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namedSheetViews/namedSheetView1.xml" ContentType="application/vnd.ms-excel.namedsheetviews+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https://unitednations.sharepoint.com/sites/JIAG-JointIntersectorAnalysisGroup/Shared Documents/04 - Technical support and HelpDesk/JIAF 2.0 Severity 5 Review Committee/Venezuela/"/>
    </mc:Choice>
  </mc:AlternateContent>
  <xr:revisionPtr revIDLastSave="1885" documentId="8_{3021B610-32FD-429F-B459-E55AFDD5E92A}" xr6:coauthVersionLast="47" xr6:coauthVersionMax="47" xr10:uidLastSave="{33662C18-26F8-4FAA-BF51-2C37BDF27966}"/>
  <bookViews>
    <workbookView xWindow="-110" yWindow="-110" windowWidth="19420" windowHeight="11500" firstSheet="4" activeTab="4" xr2:uid="{3267E1DB-6692-4EC0-B98E-0ED4D5271C2A}"/>
  </bookViews>
  <sheets>
    <sheet name="Leer" sheetId="35" r:id="rId1"/>
    <sheet name="Umbrales" sheetId="44" r:id="rId2"/>
    <sheet name="Tendencia histórica de PiN" sheetId="92" r:id="rId3"/>
    <sheet name="WS - 3.1 PiN Total" sheetId="27" r:id="rId4"/>
    <sheet name="WS - 3.2 Severidad Intersector" sheetId="93" r:id="rId5"/>
    <sheet name="Tabla de ref. Indicadores" sheetId="94" r:id="rId6"/>
    <sheet name="ResumenTallerSev" sheetId="97" r:id="rId7"/>
    <sheet name="Analysis" sheetId="95" r:id="rId8"/>
    <sheet name="Org_Mun_AlertaNut" sheetId="100" r:id="rId9"/>
    <sheet name="Map" sheetId="96" state="hidden" r:id="rId10"/>
    <sheet name="Sheet2" sheetId="99" state="hidden" r:id="rId11"/>
  </sheets>
  <definedNames>
    <definedName name="_xlnm._FilterDatabase" localSheetId="9" hidden="1">Map!$D$1:$X$336</definedName>
    <definedName name="_xlnm._FilterDatabase" localSheetId="5" hidden="1">'Tabla de ref. Indicadores'!#REF!</definedName>
    <definedName name="_xlnm._FilterDatabase" localSheetId="2" hidden="1">'Tendencia histórica de PiN'!#REF!</definedName>
    <definedName name="_xlnm._FilterDatabase" localSheetId="3" hidden="1">'WS - 3.1 PiN Total'!$BA$3:$BB$3</definedName>
    <definedName name="_xlnm._FilterDatabase" localSheetId="4" hidden="1">'WS - 3.2 Severidad Intersector'!$A$2:$E$2</definedName>
    <definedName name="_xlchart.v1.0" hidden="1">Analysis!$B$37:$I$37</definedName>
    <definedName name="_xlchart.v1.1" hidden="1">Analysis!$B$38:$I$38</definedName>
    <definedName name="flag_pin_historical">Umbrales!$D$13</definedName>
    <definedName name="flag_pin_perc">Umbrales!$D$12</definedName>
    <definedName name="perc_1st_2nd">Umbrales!$D$9</definedName>
    <definedName name="perc_1st_3rd">Umbrales!$D$10</definedName>
    <definedName name="pin_perc">#REF!</definedName>
    <definedName name="sectors_sev_4">Umbrales!$D$27</definedName>
    <definedName name="sectors_sev_5">Umbrales!$D$26</definedName>
    <definedName name="zero_pin_thresh">Umbrales!$D$8</definedName>
  </definedNames>
  <calcPr calcId="191028"/>
  <pivotCaches>
    <pivotCache cacheId="8738"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21" i="93" l="1" a="1"/>
  <c r="V321" i="93" s="1"/>
  <c r="V322" i="93" a="1"/>
  <c r="V322" i="93" s="1"/>
  <c r="V323" i="93" a="1"/>
  <c r="V323" i="93" s="1"/>
  <c r="V325" i="93" a="1"/>
  <c r="V325" i="93" s="1"/>
  <c r="AA2" i="96" l="1"/>
  <c r="AA3" i="96"/>
  <c r="AA4" i="96"/>
  <c r="AA5" i="96"/>
  <c r="AA6" i="96"/>
  <c r="AA7" i="96"/>
  <c r="AA8" i="96"/>
  <c r="AA9" i="96"/>
  <c r="AA10" i="96"/>
  <c r="AA11" i="96"/>
  <c r="AA12" i="96"/>
  <c r="AA13" i="96"/>
  <c r="AA14" i="96"/>
  <c r="AA15" i="96"/>
  <c r="AA16" i="96"/>
  <c r="AA17" i="96"/>
  <c r="AA18" i="96"/>
  <c r="AA19" i="96"/>
  <c r="AA20" i="96"/>
  <c r="AA21" i="96"/>
  <c r="AA22" i="96"/>
  <c r="AA23" i="96"/>
  <c r="AA24" i="96"/>
  <c r="AA25" i="96"/>
  <c r="AA26" i="96"/>
  <c r="AA27" i="96"/>
  <c r="AA28" i="96"/>
  <c r="AA29" i="96"/>
  <c r="AA30" i="96"/>
  <c r="AA31" i="96"/>
  <c r="AA32" i="96"/>
  <c r="AA33" i="96"/>
  <c r="AA34" i="96"/>
  <c r="AA35" i="96"/>
  <c r="AA36" i="96"/>
  <c r="AA37" i="96"/>
  <c r="AA38" i="96"/>
  <c r="AA39" i="96"/>
  <c r="AA40" i="96"/>
  <c r="AA41" i="96"/>
  <c r="AA42" i="96"/>
  <c r="AA43" i="96"/>
  <c r="AA44" i="96"/>
  <c r="AA45" i="96"/>
  <c r="AA46" i="96"/>
  <c r="AA47" i="96"/>
  <c r="AA48" i="96"/>
  <c r="AA49" i="96"/>
  <c r="AA50" i="96"/>
  <c r="AA51" i="96"/>
  <c r="AA52" i="96"/>
  <c r="AA53" i="96"/>
  <c r="AA54" i="96"/>
  <c r="AA55" i="96"/>
  <c r="AA56" i="96"/>
  <c r="AA57" i="96"/>
  <c r="AA58" i="96"/>
  <c r="AA59" i="96"/>
  <c r="AA60" i="96"/>
  <c r="AA61" i="96"/>
  <c r="AA62" i="96"/>
  <c r="AA63" i="96"/>
  <c r="AA64" i="96"/>
  <c r="AA65" i="96"/>
  <c r="AA66" i="96"/>
  <c r="AA67" i="96"/>
  <c r="AA68" i="96"/>
  <c r="AA69" i="96"/>
  <c r="AA70" i="96"/>
  <c r="AA71" i="96"/>
  <c r="AA72" i="96"/>
  <c r="AA73" i="96"/>
  <c r="AA74" i="96"/>
  <c r="AA75" i="96"/>
  <c r="AA76" i="96"/>
  <c r="AA77" i="96"/>
  <c r="AA78" i="96"/>
  <c r="AA79" i="96"/>
  <c r="AA80" i="96"/>
  <c r="AA81" i="96"/>
  <c r="AA82" i="96"/>
  <c r="AA83" i="96"/>
  <c r="AA84" i="96"/>
  <c r="AA85" i="96"/>
  <c r="AA86" i="96"/>
  <c r="AA87" i="96"/>
  <c r="AA88" i="96"/>
  <c r="AA89" i="96"/>
  <c r="AA90" i="96"/>
  <c r="AA91" i="96"/>
  <c r="AA92" i="96"/>
  <c r="AA93" i="96"/>
  <c r="AA94" i="96"/>
  <c r="AA95" i="96"/>
  <c r="AA96" i="96"/>
  <c r="AA97" i="96"/>
  <c r="AA98" i="96"/>
  <c r="AA99" i="96"/>
  <c r="AA100" i="96"/>
  <c r="AA101" i="96"/>
  <c r="AA102" i="96"/>
  <c r="AA103" i="96"/>
  <c r="AA104" i="96"/>
  <c r="AA105" i="96"/>
  <c r="AA106" i="96"/>
  <c r="AA107" i="96"/>
  <c r="AA108" i="96"/>
  <c r="AA109" i="96"/>
  <c r="AA110" i="96"/>
  <c r="AA111" i="96"/>
  <c r="AA112" i="96"/>
  <c r="AA113" i="96"/>
  <c r="AA114" i="96"/>
  <c r="AA115" i="96"/>
  <c r="AA116" i="96"/>
  <c r="AA117" i="96"/>
  <c r="AA118" i="96"/>
  <c r="AA119" i="96"/>
  <c r="AA120" i="96"/>
  <c r="AA121" i="96"/>
  <c r="AA122" i="96"/>
  <c r="AA123" i="96"/>
  <c r="AA124" i="96"/>
  <c r="AA125" i="96"/>
  <c r="AA126" i="96"/>
  <c r="AA127" i="96"/>
  <c r="AA128" i="96"/>
  <c r="AA129" i="96"/>
  <c r="AA130" i="96"/>
  <c r="AA131" i="96"/>
  <c r="AA132" i="96"/>
  <c r="AA133" i="96"/>
  <c r="AA134" i="96"/>
  <c r="AA135" i="96"/>
  <c r="AA136" i="96"/>
  <c r="AA137" i="96"/>
  <c r="AA138" i="96"/>
  <c r="AA139" i="96"/>
  <c r="AA140" i="96"/>
  <c r="AA141" i="96"/>
  <c r="AA142" i="96"/>
  <c r="AA143" i="96"/>
  <c r="AA144" i="96"/>
  <c r="AA145" i="96"/>
  <c r="AA146" i="96"/>
  <c r="AA147" i="96"/>
  <c r="AA148" i="96"/>
  <c r="AA149" i="96"/>
  <c r="AA150" i="96"/>
  <c r="AA151" i="96"/>
  <c r="AA152" i="96"/>
  <c r="AA153" i="96"/>
  <c r="AA154" i="96"/>
  <c r="AA155" i="96"/>
  <c r="AA156" i="96"/>
  <c r="AA157" i="96"/>
  <c r="AA158" i="96"/>
  <c r="AA159" i="96"/>
  <c r="AA160" i="96"/>
  <c r="AA161" i="96"/>
  <c r="AA162" i="96"/>
  <c r="AA163" i="96"/>
  <c r="AA164" i="96"/>
  <c r="AA165" i="96"/>
  <c r="AA166" i="96"/>
  <c r="AA167" i="96"/>
  <c r="AA168" i="96"/>
  <c r="AA169" i="96"/>
  <c r="AA170" i="96"/>
  <c r="AA171" i="96"/>
  <c r="AA172" i="96"/>
  <c r="AA173" i="96"/>
  <c r="AA174" i="96"/>
  <c r="AA175" i="96"/>
  <c r="AA176" i="96"/>
  <c r="AA177" i="96"/>
  <c r="AA178" i="96"/>
  <c r="AA179" i="96"/>
  <c r="AA180" i="96"/>
  <c r="AA181" i="96"/>
  <c r="AA182" i="96"/>
  <c r="AA183" i="96"/>
  <c r="AA184" i="96"/>
  <c r="AA185" i="96"/>
  <c r="AA186" i="96"/>
  <c r="AA187" i="96"/>
  <c r="AA188" i="96"/>
  <c r="AA189" i="96"/>
  <c r="AA190" i="96"/>
  <c r="AA191" i="96"/>
  <c r="AA192" i="96"/>
  <c r="AA193" i="96"/>
  <c r="AA194" i="96"/>
  <c r="AA195" i="96"/>
  <c r="AA196" i="96"/>
  <c r="AA197" i="96"/>
  <c r="AA198" i="96"/>
  <c r="AA199" i="96"/>
  <c r="AA200" i="96"/>
  <c r="AA201" i="96"/>
  <c r="AA202" i="96"/>
  <c r="AA203" i="96"/>
  <c r="AA204" i="96"/>
  <c r="AA205" i="96"/>
  <c r="AA206" i="96"/>
  <c r="AA207" i="96"/>
  <c r="AA208" i="96"/>
  <c r="AA209" i="96"/>
  <c r="AA210" i="96"/>
  <c r="AA211" i="96"/>
  <c r="AA212" i="96"/>
  <c r="AA213" i="96"/>
  <c r="AA214" i="96"/>
  <c r="AA215" i="96"/>
  <c r="AA216" i="96"/>
  <c r="AA217" i="96"/>
  <c r="AA218" i="96"/>
  <c r="AA219" i="96"/>
  <c r="AA220" i="96"/>
  <c r="AA221" i="96"/>
  <c r="AA222" i="96"/>
  <c r="AA223" i="96"/>
  <c r="AA224" i="96"/>
  <c r="AA225" i="96"/>
  <c r="AA226" i="96"/>
  <c r="AA227" i="96"/>
  <c r="AA228" i="96"/>
  <c r="AA229" i="96"/>
  <c r="AA230" i="96"/>
  <c r="AA231" i="96"/>
  <c r="AA232" i="96"/>
  <c r="AA233" i="96"/>
  <c r="AA234" i="96"/>
  <c r="AA235" i="96"/>
  <c r="AA236" i="96"/>
  <c r="AA237" i="96"/>
  <c r="AA238" i="96"/>
  <c r="AA239" i="96"/>
  <c r="AA240" i="96"/>
  <c r="AA241" i="96"/>
  <c r="AA242" i="96"/>
  <c r="AA243" i="96"/>
  <c r="AA244" i="96"/>
  <c r="AA245" i="96"/>
  <c r="AA246" i="96"/>
  <c r="AA247" i="96"/>
  <c r="AA248" i="96"/>
  <c r="AA249" i="96"/>
  <c r="AA250" i="96"/>
  <c r="AA251" i="96"/>
  <c r="AA252" i="96"/>
  <c r="AA253" i="96"/>
  <c r="AA254" i="96"/>
  <c r="AA255" i="96"/>
  <c r="AA256" i="96"/>
  <c r="AA257" i="96"/>
  <c r="AA258" i="96"/>
  <c r="AA259" i="96"/>
  <c r="AA260" i="96"/>
  <c r="AA261" i="96"/>
  <c r="AA262" i="96"/>
  <c r="AA263" i="96"/>
  <c r="AA264" i="96"/>
  <c r="AA265" i="96"/>
  <c r="AA266" i="96"/>
  <c r="AA267" i="96"/>
  <c r="AA268" i="96"/>
  <c r="AA269" i="96"/>
  <c r="AA270" i="96"/>
  <c r="AA271" i="96"/>
  <c r="AA272" i="96"/>
  <c r="AA273" i="96"/>
  <c r="AA274" i="96"/>
  <c r="AA275" i="96"/>
  <c r="AA276" i="96"/>
  <c r="AA277" i="96"/>
  <c r="AA278" i="96"/>
  <c r="AA279" i="96"/>
  <c r="AA280" i="96"/>
  <c r="AA281" i="96"/>
  <c r="AA282" i="96"/>
  <c r="AA283" i="96"/>
  <c r="AA284" i="96"/>
  <c r="AA285" i="96"/>
  <c r="AA286" i="96"/>
  <c r="AA287" i="96"/>
  <c r="AA288" i="96"/>
  <c r="AA289" i="96"/>
  <c r="AA290" i="96"/>
  <c r="AA291" i="96"/>
  <c r="AA292" i="96"/>
  <c r="AA293" i="96"/>
  <c r="AA294" i="96"/>
  <c r="AA295" i="96"/>
  <c r="AA296" i="96"/>
  <c r="AA297" i="96"/>
  <c r="AA298" i="96"/>
  <c r="AA299" i="96"/>
  <c r="AA300" i="96"/>
  <c r="AA301" i="96"/>
  <c r="AA302" i="96"/>
  <c r="AA303" i="96"/>
  <c r="AA304" i="96"/>
  <c r="AA305" i="96"/>
  <c r="AA306" i="96"/>
  <c r="AA307" i="96"/>
  <c r="AA308" i="96"/>
  <c r="AA309" i="96"/>
  <c r="AA310" i="96"/>
  <c r="AA311" i="96"/>
  <c r="AA312" i="96"/>
  <c r="AA313" i="96"/>
  <c r="AA314" i="96"/>
  <c r="AA315" i="96"/>
  <c r="AA316" i="96"/>
  <c r="AA317" i="96"/>
  <c r="AA318" i="96"/>
  <c r="AA319" i="96"/>
  <c r="AA320" i="96"/>
  <c r="AA321" i="96"/>
  <c r="AA322" i="96"/>
  <c r="AA323" i="96"/>
  <c r="AA324" i="96"/>
  <c r="AA325" i="96"/>
  <c r="AA326" i="96"/>
  <c r="AA327" i="96"/>
  <c r="AA328" i="96"/>
  <c r="AA329" i="96"/>
  <c r="AA330" i="96"/>
  <c r="AA331" i="96"/>
  <c r="AA332" i="96"/>
  <c r="AA333" i="96"/>
  <c r="AA334" i="96"/>
  <c r="AA335" i="96"/>
  <c r="AA336" i="96"/>
  <c r="W4" i="96"/>
  <c r="W8" i="96"/>
  <c r="W9" i="96"/>
  <c r="W10" i="96"/>
  <c r="W11" i="96"/>
  <c r="W12" i="96"/>
  <c r="W13" i="96"/>
  <c r="W14" i="96"/>
  <c r="W21" i="96"/>
  <c r="W22" i="96"/>
  <c r="W29" i="96"/>
  <c r="W32" i="96"/>
  <c r="W33" i="96"/>
  <c r="W38" i="96"/>
  <c r="W46" i="96"/>
  <c r="W78" i="96"/>
  <c r="W82" i="96"/>
  <c r="W84" i="96"/>
  <c r="W86" i="96"/>
  <c r="W89" i="96"/>
  <c r="W94" i="96"/>
  <c r="W111" i="96"/>
  <c r="W115" i="96"/>
  <c r="W118" i="96"/>
  <c r="W123" i="96"/>
  <c r="W124" i="96"/>
  <c r="W125" i="96"/>
  <c r="W126" i="96"/>
  <c r="W129" i="96"/>
  <c r="W135" i="96"/>
  <c r="W147" i="96"/>
  <c r="W187" i="96"/>
  <c r="W194" i="96"/>
  <c r="W200" i="96"/>
  <c r="W204" i="96"/>
  <c r="W215" i="96"/>
  <c r="W228" i="96"/>
  <c r="W247" i="96"/>
  <c r="W250" i="96"/>
  <c r="W259" i="96"/>
  <c r="W269" i="96"/>
  <c r="W300" i="96"/>
  <c r="W302" i="96"/>
  <c r="W305" i="96"/>
  <c r="W312" i="96"/>
  <c r="W316" i="96"/>
  <c r="W318" i="96"/>
  <c r="W322" i="96"/>
  <c r="W330" i="96"/>
  <c r="W3" i="96"/>
  <c r="W5" i="96"/>
  <c r="W6" i="96"/>
  <c r="W7" i="96"/>
  <c r="W15" i="96"/>
  <c r="W16" i="96"/>
  <c r="W17" i="96"/>
  <c r="W18" i="96"/>
  <c r="W19" i="96"/>
  <c r="W20" i="96"/>
  <c r="W23" i="96"/>
  <c r="W24" i="96"/>
  <c r="W25" i="96"/>
  <c r="W26" i="96"/>
  <c r="W27" i="96"/>
  <c r="W28" i="96"/>
  <c r="W30" i="96"/>
  <c r="W31" i="96"/>
  <c r="W34" i="96"/>
  <c r="W35" i="96"/>
  <c r="W36" i="96"/>
  <c r="W37" i="96"/>
  <c r="W39" i="96"/>
  <c r="W40" i="96"/>
  <c r="W41" i="96"/>
  <c r="W42" i="96"/>
  <c r="W43" i="96"/>
  <c r="W44" i="96"/>
  <c r="W45" i="96"/>
  <c r="W47" i="96"/>
  <c r="W48" i="96"/>
  <c r="W49" i="96"/>
  <c r="W50" i="96"/>
  <c r="W51" i="96"/>
  <c r="W52" i="96"/>
  <c r="W53" i="96"/>
  <c r="W54" i="96"/>
  <c r="W55" i="96"/>
  <c r="W56" i="96"/>
  <c r="W57" i="96"/>
  <c r="W58" i="96"/>
  <c r="W59" i="96"/>
  <c r="W60" i="96"/>
  <c r="W61" i="96"/>
  <c r="W62" i="96"/>
  <c r="W63" i="96"/>
  <c r="W64" i="96"/>
  <c r="W65" i="96"/>
  <c r="W66" i="96"/>
  <c r="W67" i="96"/>
  <c r="W68" i="96"/>
  <c r="W69" i="96"/>
  <c r="W70" i="96"/>
  <c r="W71" i="96"/>
  <c r="W72" i="96"/>
  <c r="W73" i="96"/>
  <c r="W74" i="96"/>
  <c r="W75" i="96"/>
  <c r="W76" i="96"/>
  <c r="W77" i="96"/>
  <c r="W79" i="96"/>
  <c r="W80" i="96"/>
  <c r="W81" i="96"/>
  <c r="W83" i="96"/>
  <c r="W85" i="96"/>
  <c r="W87" i="96"/>
  <c r="W88" i="96"/>
  <c r="W90" i="96"/>
  <c r="W91" i="96"/>
  <c r="W92" i="96"/>
  <c r="W93" i="96"/>
  <c r="W95" i="96"/>
  <c r="W96" i="96"/>
  <c r="W97" i="96"/>
  <c r="W98" i="96"/>
  <c r="W99" i="96"/>
  <c r="W100" i="96"/>
  <c r="W101" i="96"/>
  <c r="W102" i="96"/>
  <c r="W103" i="96"/>
  <c r="W104" i="96"/>
  <c r="W105" i="96"/>
  <c r="W106" i="96"/>
  <c r="W107" i="96"/>
  <c r="W108" i="96"/>
  <c r="W109" i="96"/>
  <c r="W110" i="96"/>
  <c r="W112" i="96"/>
  <c r="W113" i="96"/>
  <c r="W114" i="96"/>
  <c r="W116" i="96"/>
  <c r="W117" i="96"/>
  <c r="W119" i="96"/>
  <c r="W120" i="96"/>
  <c r="W121" i="96"/>
  <c r="W122" i="96"/>
  <c r="W127" i="96"/>
  <c r="W128" i="96"/>
  <c r="W130" i="96"/>
  <c r="W131" i="96"/>
  <c r="W132" i="96"/>
  <c r="W133" i="96"/>
  <c r="W134" i="96"/>
  <c r="W136" i="96"/>
  <c r="W137" i="96"/>
  <c r="W138" i="96"/>
  <c r="W139" i="96"/>
  <c r="W140" i="96"/>
  <c r="W141" i="96"/>
  <c r="W142" i="96"/>
  <c r="W143" i="96"/>
  <c r="W144" i="96"/>
  <c r="W145" i="96"/>
  <c r="W146" i="96"/>
  <c r="W148" i="96"/>
  <c r="W149" i="96"/>
  <c r="W150" i="96"/>
  <c r="W151" i="96"/>
  <c r="W152" i="96"/>
  <c r="W153" i="96"/>
  <c r="W154" i="96"/>
  <c r="W155" i="96"/>
  <c r="W156" i="96"/>
  <c r="W157" i="96"/>
  <c r="W158" i="96"/>
  <c r="W159" i="96"/>
  <c r="W160" i="96"/>
  <c r="W161" i="96"/>
  <c r="W162" i="96"/>
  <c r="W163" i="96"/>
  <c r="W164" i="96"/>
  <c r="W165" i="96"/>
  <c r="W166" i="96"/>
  <c r="W167" i="96"/>
  <c r="W168" i="96"/>
  <c r="W169" i="96"/>
  <c r="W170" i="96"/>
  <c r="W171" i="96"/>
  <c r="W172" i="96"/>
  <c r="W173" i="96"/>
  <c r="W174" i="96"/>
  <c r="W175" i="96"/>
  <c r="W176" i="96"/>
  <c r="W177" i="96"/>
  <c r="W178" i="96"/>
  <c r="W179" i="96"/>
  <c r="W180" i="96"/>
  <c r="W181" i="96"/>
  <c r="W182" i="96"/>
  <c r="W183" i="96"/>
  <c r="W184" i="96"/>
  <c r="W185" i="96"/>
  <c r="W186" i="96"/>
  <c r="W188" i="96"/>
  <c r="W189" i="96"/>
  <c r="W190" i="96"/>
  <c r="W191" i="96"/>
  <c r="W192" i="96"/>
  <c r="W193" i="96"/>
  <c r="W195" i="96"/>
  <c r="W196" i="96"/>
  <c r="W197" i="96"/>
  <c r="W198" i="96"/>
  <c r="W199" i="96"/>
  <c r="W201" i="96"/>
  <c r="W202" i="96"/>
  <c r="W203" i="96"/>
  <c r="W205" i="96"/>
  <c r="W206" i="96"/>
  <c r="W207" i="96"/>
  <c r="W208" i="96"/>
  <c r="W209" i="96"/>
  <c r="W210" i="96"/>
  <c r="W211" i="96"/>
  <c r="W212" i="96"/>
  <c r="W213" i="96"/>
  <c r="W214" i="96"/>
  <c r="W216" i="96"/>
  <c r="W217" i="96"/>
  <c r="W218" i="96"/>
  <c r="W219" i="96"/>
  <c r="W220" i="96"/>
  <c r="W221" i="96"/>
  <c r="W222" i="96"/>
  <c r="W223" i="96"/>
  <c r="W224" i="96"/>
  <c r="W225" i="96"/>
  <c r="W226" i="96"/>
  <c r="W227" i="96"/>
  <c r="W229" i="96"/>
  <c r="W230" i="96"/>
  <c r="W231" i="96"/>
  <c r="W232" i="96"/>
  <c r="W233" i="96"/>
  <c r="W234" i="96"/>
  <c r="W235" i="96"/>
  <c r="W236" i="96"/>
  <c r="W237" i="96"/>
  <c r="W238" i="96"/>
  <c r="W239" i="96"/>
  <c r="W240" i="96"/>
  <c r="W241" i="96"/>
  <c r="W242" i="96"/>
  <c r="W243" i="96"/>
  <c r="W244" i="96"/>
  <c r="W245" i="96"/>
  <c r="W246" i="96"/>
  <c r="W248" i="96"/>
  <c r="W249" i="96"/>
  <c r="W251" i="96"/>
  <c r="W252" i="96"/>
  <c r="W253" i="96"/>
  <c r="W254" i="96"/>
  <c r="W255" i="96"/>
  <c r="W256" i="96"/>
  <c r="W257" i="96"/>
  <c r="W258" i="96"/>
  <c r="W260" i="96"/>
  <c r="W261" i="96"/>
  <c r="W262" i="96"/>
  <c r="W263" i="96"/>
  <c r="W264" i="96"/>
  <c r="W265" i="96"/>
  <c r="W266" i="96"/>
  <c r="W267" i="96"/>
  <c r="W268" i="96"/>
  <c r="W270" i="96"/>
  <c r="W271" i="96"/>
  <c r="W272" i="96"/>
  <c r="W273" i="96"/>
  <c r="W274" i="96"/>
  <c r="W275" i="96"/>
  <c r="W276" i="96"/>
  <c r="W277" i="96"/>
  <c r="W278" i="96"/>
  <c r="W279" i="96"/>
  <c r="W280" i="96"/>
  <c r="W281" i="96"/>
  <c r="W282" i="96"/>
  <c r="W283" i="96"/>
  <c r="W284" i="96"/>
  <c r="W285" i="96"/>
  <c r="W286" i="96"/>
  <c r="W287" i="96"/>
  <c r="W288" i="96"/>
  <c r="W289" i="96"/>
  <c r="W290" i="96"/>
  <c r="W291" i="96"/>
  <c r="W292" i="96"/>
  <c r="W293" i="96"/>
  <c r="W294" i="96"/>
  <c r="W295" i="96"/>
  <c r="W296" i="96"/>
  <c r="W297" i="96"/>
  <c r="W298" i="96"/>
  <c r="W299" i="96"/>
  <c r="W301" i="96"/>
  <c r="W303" i="96"/>
  <c r="W304" i="96"/>
  <c r="W306" i="96"/>
  <c r="W307" i="96"/>
  <c r="W308" i="96"/>
  <c r="W309" i="96"/>
  <c r="W310" i="96"/>
  <c r="W311" i="96"/>
  <c r="W313" i="96"/>
  <c r="W314" i="96"/>
  <c r="W315" i="96"/>
  <c r="W317" i="96"/>
  <c r="W319" i="96"/>
  <c r="W320" i="96"/>
  <c r="W321" i="96"/>
  <c r="W323" i="96"/>
  <c r="W324" i="96"/>
  <c r="W325" i="96"/>
  <c r="W326" i="96"/>
  <c r="W327" i="96"/>
  <c r="W328" i="96"/>
  <c r="W329" i="96"/>
  <c r="W331" i="96"/>
  <c r="W332" i="96"/>
  <c r="W333" i="96"/>
  <c r="W334" i="96"/>
  <c r="W335" i="96"/>
  <c r="W336" i="96"/>
  <c r="W2" i="96"/>
  <c r="A4" i="27" l="1"/>
  <c r="A184" i="27"/>
  <c r="A199" i="27"/>
  <c r="A60" i="27"/>
  <c r="A204" i="27"/>
  <c r="A232" i="27"/>
  <c r="A222" i="27"/>
  <c r="A231" i="27"/>
  <c r="A36" i="27"/>
  <c r="A124" i="27"/>
  <c r="A105" i="27"/>
  <c r="A233" i="27"/>
  <c r="A135" i="27"/>
  <c r="A161" i="27"/>
  <c r="A165" i="27"/>
  <c r="A24" i="27"/>
  <c r="A166" i="27"/>
  <c r="A142" i="27"/>
  <c r="A234" i="27"/>
  <c r="A118" i="27"/>
  <c r="A83" i="27"/>
  <c r="A112" i="27"/>
  <c r="A79" i="27"/>
  <c r="A235" i="27"/>
  <c r="A216" i="27"/>
  <c r="A10" i="27"/>
  <c r="A34" i="27"/>
  <c r="A215" i="27"/>
  <c r="A141" i="27"/>
  <c r="A70" i="27"/>
  <c r="A73" i="27"/>
  <c r="A134" i="27"/>
  <c r="A64" i="27"/>
  <c r="A126" i="27"/>
  <c r="A108" i="27"/>
  <c r="A21" i="27"/>
  <c r="A236" i="27"/>
  <c r="A237" i="27"/>
  <c r="A238" i="27"/>
  <c r="A156" i="27"/>
  <c r="A239" i="27"/>
  <c r="A240" i="27"/>
  <c r="A241" i="27"/>
  <c r="A65" i="27"/>
  <c r="A167" i="27"/>
  <c r="A139" i="27"/>
  <c r="A242" i="27"/>
  <c r="A137" i="27"/>
  <c r="A243" i="27"/>
  <c r="A244" i="27"/>
  <c r="A189" i="27"/>
  <c r="A245" i="27"/>
  <c r="A246" i="27"/>
  <c r="A221" i="27"/>
  <c r="A247" i="27"/>
  <c r="A76" i="27"/>
  <c r="A248" i="27"/>
  <c r="A19" i="27"/>
  <c r="A249" i="27"/>
  <c r="A250" i="27"/>
  <c r="A251" i="27"/>
  <c r="A144" i="27"/>
  <c r="A252" i="27"/>
  <c r="A113" i="27"/>
  <c r="A253" i="27"/>
  <c r="A178" i="27"/>
  <c r="A8" i="27"/>
  <c r="A57" i="27"/>
  <c r="A125" i="27"/>
  <c r="A94" i="27"/>
  <c r="A11" i="27"/>
  <c r="A50" i="27"/>
  <c r="A81" i="27"/>
  <c r="A147" i="27"/>
  <c r="A61" i="27"/>
  <c r="A119" i="27"/>
  <c r="A145" i="27"/>
  <c r="A254" i="27"/>
  <c r="A37" i="27"/>
  <c r="A255" i="27"/>
  <c r="A256" i="27"/>
  <c r="A85" i="27"/>
  <c r="A257" i="27"/>
  <c r="A33" i="27"/>
  <c r="A258" i="27"/>
  <c r="A259" i="27"/>
  <c r="A260" i="27"/>
  <c r="A261" i="27"/>
  <c r="A262" i="27"/>
  <c r="A263" i="27"/>
  <c r="A6" i="27"/>
  <c r="A264" i="27"/>
  <c r="A265" i="27"/>
  <c r="A266" i="27"/>
  <c r="A267" i="27"/>
  <c r="A268" i="27"/>
  <c r="A269" i="27"/>
  <c r="A195" i="27"/>
  <c r="A47" i="27"/>
  <c r="A270" i="27"/>
  <c r="A95" i="27"/>
  <c r="A121" i="27"/>
  <c r="A226" i="27"/>
  <c r="A54" i="27"/>
  <c r="A185" i="27"/>
  <c r="A200" i="27"/>
  <c r="A169" i="27"/>
  <c r="A225" i="27"/>
  <c r="A17" i="27"/>
  <c r="A87" i="27"/>
  <c r="A187" i="27"/>
  <c r="A210" i="27"/>
  <c r="A80" i="27"/>
  <c r="A146" i="27"/>
  <c r="A223" i="27"/>
  <c r="A86" i="27"/>
  <c r="A162" i="27"/>
  <c r="A27" i="27"/>
  <c r="A159" i="27"/>
  <c r="A230" i="27"/>
  <c r="A201" i="27"/>
  <c r="A190" i="27"/>
  <c r="A213" i="27"/>
  <c r="A157" i="27"/>
  <c r="A228" i="27"/>
  <c r="A229" i="27"/>
  <c r="A180" i="27"/>
  <c r="A211" i="27"/>
  <c r="A154" i="27"/>
  <c r="A176" i="27"/>
  <c r="A196" i="27"/>
  <c r="A197" i="27"/>
  <c r="A202" i="27"/>
  <c r="A51" i="27"/>
  <c r="A155" i="27"/>
  <c r="A271" i="27"/>
  <c r="A39" i="27"/>
  <c r="A82" i="27"/>
  <c r="A272" i="27"/>
  <c r="A127" i="27"/>
  <c r="A46" i="27"/>
  <c r="A209" i="27"/>
  <c r="A218" i="27"/>
  <c r="A78" i="27"/>
  <c r="A128" i="27"/>
  <c r="A116" i="27"/>
  <c r="A7" i="27"/>
  <c r="A63" i="27"/>
  <c r="A48" i="27"/>
  <c r="A273" i="27"/>
  <c r="A274" i="27"/>
  <c r="A32" i="27"/>
  <c r="A88" i="27"/>
  <c r="A44" i="27"/>
  <c r="A275" i="27"/>
  <c r="A130" i="27"/>
  <c r="A276" i="27"/>
  <c r="A277" i="27"/>
  <c r="A278" i="27"/>
  <c r="A279" i="27"/>
  <c r="A280" i="27"/>
  <c r="A281" i="27"/>
  <c r="A282" i="27"/>
  <c r="A283" i="27"/>
  <c r="A26" i="27"/>
  <c r="A284" i="27"/>
  <c r="A285" i="27"/>
  <c r="A286" i="27"/>
  <c r="A287" i="27"/>
  <c r="A143" i="27"/>
  <c r="A203" i="27"/>
  <c r="A288" i="27"/>
  <c r="A104" i="27"/>
  <c r="A138" i="27"/>
  <c r="A148" i="27"/>
  <c r="A224" i="27"/>
  <c r="A66" i="27"/>
  <c r="A170" i="27"/>
  <c r="A23" i="27"/>
  <c r="A93" i="27"/>
  <c r="A150" i="27"/>
  <c r="A110" i="27"/>
  <c r="A91" i="27"/>
  <c r="A52" i="27"/>
  <c r="A101" i="27"/>
  <c r="A16" i="27"/>
  <c r="A40" i="27"/>
  <c r="A35" i="27"/>
  <c r="A289" i="27"/>
  <c r="A140" i="27"/>
  <c r="A41" i="27"/>
  <c r="A151" i="27"/>
  <c r="A290" i="27"/>
  <c r="A122" i="27"/>
  <c r="A9" i="27"/>
  <c r="A43" i="27"/>
  <c r="A291" i="27"/>
  <c r="A152" i="27"/>
  <c r="A175" i="27"/>
  <c r="A74" i="27"/>
  <c r="A153" i="27"/>
  <c r="A149" i="27"/>
  <c r="A90" i="27"/>
  <c r="A96" i="27"/>
  <c r="A12" i="27"/>
  <c r="A69" i="27"/>
  <c r="A171" i="27"/>
  <c r="A186" i="27"/>
  <c r="A174" i="27"/>
  <c r="A198" i="27"/>
  <c r="A292" i="27"/>
  <c r="A131" i="27"/>
  <c r="A53" i="27"/>
  <c r="A56" i="27"/>
  <c r="A293" i="27"/>
  <c r="A294" i="27"/>
  <c r="A295" i="27"/>
  <c r="A296" i="27"/>
  <c r="A177" i="27"/>
  <c r="A92" i="27"/>
  <c r="A219" i="27"/>
  <c r="A297" i="27"/>
  <c r="A31" i="27"/>
  <c r="A77" i="27"/>
  <c r="A298" i="27"/>
  <c r="A299" i="27"/>
  <c r="A183" i="27"/>
  <c r="A98" i="27"/>
  <c r="A30" i="27"/>
  <c r="A300" i="27"/>
  <c r="A301" i="27"/>
  <c r="A302" i="27"/>
  <c r="A207" i="27"/>
  <c r="A303" i="27"/>
  <c r="A71" i="27"/>
  <c r="A182" i="27"/>
  <c r="A304" i="27"/>
  <c r="A129" i="27"/>
  <c r="A160" i="27"/>
  <c r="A25" i="27"/>
  <c r="A194" i="27"/>
  <c r="A179" i="27"/>
  <c r="A103" i="27"/>
  <c r="A227" i="27"/>
  <c r="A192" i="27"/>
  <c r="A220" i="27"/>
  <c r="A107" i="27"/>
  <c r="A100" i="27"/>
  <c r="A18" i="27"/>
  <c r="A89" i="27"/>
  <c r="A305" i="27"/>
  <c r="A306" i="27"/>
  <c r="A97" i="27"/>
  <c r="A62" i="27"/>
  <c r="A307" i="27"/>
  <c r="A308" i="27"/>
  <c r="A132" i="27"/>
  <c r="A309" i="27"/>
  <c r="A111" i="27"/>
  <c r="A133" i="27"/>
  <c r="A120" i="27"/>
  <c r="A310" i="27"/>
  <c r="A311" i="27"/>
  <c r="A72" i="27"/>
  <c r="A168" i="27"/>
  <c r="A191" i="27"/>
  <c r="A312" i="27"/>
  <c r="A313" i="27"/>
  <c r="A158" i="27"/>
  <c r="A75" i="27"/>
  <c r="A314" i="27"/>
  <c r="A212" i="27"/>
  <c r="A22" i="27"/>
  <c r="A315" i="27"/>
  <c r="A316" i="27"/>
  <c r="A317" i="27"/>
  <c r="A117" i="27"/>
  <c r="A318" i="27"/>
  <c r="A319" i="27"/>
  <c r="A320" i="27"/>
  <c r="A321" i="27"/>
  <c r="A217" i="27"/>
  <c r="A322" i="27"/>
  <c r="A164" i="27"/>
  <c r="A172" i="27"/>
  <c r="A323" i="27"/>
  <c r="A324" i="27"/>
  <c r="A208" i="27"/>
  <c r="A325" i="27"/>
  <c r="A326" i="27"/>
  <c r="A206" i="27"/>
  <c r="A327" i="27"/>
  <c r="A328" i="27"/>
  <c r="A193" i="27"/>
  <c r="A329" i="27"/>
  <c r="A163" i="27"/>
  <c r="A106" i="27"/>
  <c r="A330" i="27"/>
  <c r="A42" i="27"/>
  <c r="A331" i="27"/>
  <c r="A332" i="27"/>
  <c r="A84" i="27"/>
  <c r="A333" i="27"/>
  <c r="A102" i="27"/>
  <c r="A181" i="27"/>
  <c r="A214" i="27"/>
  <c r="A334" i="27"/>
  <c r="A99" i="27"/>
  <c r="A335" i="27"/>
  <c r="A336" i="27"/>
  <c r="A188" i="27"/>
  <c r="A173" i="27"/>
  <c r="A337" i="27"/>
  <c r="A205" i="27"/>
  <c r="A38" i="27"/>
  <c r="A15" i="27"/>
  <c r="A114" i="27"/>
  <c r="A45" i="27"/>
  <c r="A136" i="27"/>
  <c r="A29" i="27"/>
  <c r="A115" i="27"/>
  <c r="A55" i="27"/>
  <c r="A28" i="27"/>
  <c r="A49" i="27"/>
  <c r="A20" i="27"/>
  <c r="A5" i="27"/>
  <c r="A68" i="27"/>
  <c r="A58" i="27"/>
  <c r="A59" i="27"/>
  <c r="A13" i="27"/>
  <c r="A67" i="27"/>
  <c r="A123" i="27"/>
  <c r="A338" i="27"/>
  <c r="A109" i="27"/>
  <c r="A14" i="27"/>
  <c r="A4" i="93"/>
  <c r="W4" i="93" s="1"/>
  <c r="A5" i="93"/>
  <c r="W5" i="93" s="1"/>
  <c r="A6" i="93"/>
  <c r="W6" i="93" s="1"/>
  <c r="A7" i="93"/>
  <c r="W7" i="93" s="1"/>
  <c r="A8" i="93"/>
  <c r="W8" i="93" s="1"/>
  <c r="A9" i="93"/>
  <c r="W9" i="93" s="1"/>
  <c r="A10" i="93"/>
  <c r="W10" i="93" s="1"/>
  <c r="A11" i="93"/>
  <c r="W11" i="93" s="1"/>
  <c r="A12" i="93"/>
  <c r="W12" i="93" s="1"/>
  <c r="A13" i="93"/>
  <c r="W13" i="93" s="1"/>
  <c r="A14" i="93"/>
  <c r="W14" i="93" s="1"/>
  <c r="A15" i="93"/>
  <c r="W15" i="93" s="1"/>
  <c r="A16" i="93"/>
  <c r="W16" i="93" s="1"/>
  <c r="A17" i="93"/>
  <c r="W17" i="93" s="1"/>
  <c r="A18" i="93"/>
  <c r="W18" i="93" s="1"/>
  <c r="A19" i="93"/>
  <c r="W19" i="93" s="1"/>
  <c r="A20" i="93"/>
  <c r="W20" i="93" s="1"/>
  <c r="A21" i="93"/>
  <c r="W21" i="93" s="1"/>
  <c r="A22" i="93"/>
  <c r="W22" i="93" s="1"/>
  <c r="A23" i="93"/>
  <c r="W23" i="93" s="1"/>
  <c r="A24" i="93"/>
  <c r="W24" i="93" s="1"/>
  <c r="A25" i="93"/>
  <c r="W25" i="93" s="1"/>
  <c r="A26" i="93"/>
  <c r="W26" i="93" s="1"/>
  <c r="A27" i="93"/>
  <c r="W27" i="93" s="1"/>
  <c r="A28" i="93"/>
  <c r="W28" i="93" s="1"/>
  <c r="A29" i="93"/>
  <c r="W29" i="93" s="1"/>
  <c r="A30" i="93"/>
  <c r="W30" i="93" s="1"/>
  <c r="A31" i="93"/>
  <c r="W31" i="93" s="1"/>
  <c r="A32" i="93"/>
  <c r="W32" i="93" s="1"/>
  <c r="A33" i="93"/>
  <c r="W33" i="93" s="1"/>
  <c r="A34" i="93"/>
  <c r="W34" i="93" s="1"/>
  <c r="A35" i="93"/>
  <c r="W35" i="93" s="1"/>
  <c r="A36" i="93"/>
  <c r="W36" i="93" s="1"/>
  <c r="A37" i="93"/>
  <c r="W37" i="93" s="1"/>
  <c r="A38" i="93"/>
  <c r="W38" i="93" s="1"/>
  <c r="A39" i="93"/>
  <c r="W39" i="93" s="1"/>
  <c r="A40" i="93"/>
  <c r="W40" i="93" s="1"/>
  <c r="A41" i="93"/>
  <c r="W41" i="93" s="1"/>
  <c r="A42" i="93"/>
  <c r="W42" i="93" s="1"/>
  <c r="A43" i="93"/>
  <c r="W43" i="93" s="1"/>
  <c r="A44" i="93"/>
  <c r="W44" i="93" s="1"/>
  <c r="A45" i="93"/>
  <c r="W45" i="93" s="1"/>
  <c r="A46" i="93"/>
  <c r="W46" i="93" s="1"/>
  <c r="A47" i="93"/>
  <c r="W47" i="93" s="1"/>
  <c r="A48" i="93"/>
  <c r="W48" i="93" s="1"/>
  <c r="A49" i="93"/>
  <c r="W49" i="93" s="1"/>
  <c r="A50" i="93"/>
  <c r="W50" i="93" s="1"/>
  <c r="A51" i="93"/>
  <c r="W51" i="93" s="1"/>
  <c r="A52" i="93"/>
  <c r="W52" i="93" s="1"/>
  <c r="A53" i="93"/>
  <c r="W53" i="93" s="1"/>
  <c r="A54" i="93"/>
  <c r="W54" i="93" s="1"/>
  <c r="A55" i="93"/>
  <c r="W55" i="93" s="1"/>
  <c r="A56" i="93"/>
  <c r="W56" i="93" s="1"/>
  <c r="A57" i="93"/>
  <c r="W57" i="93" s="1"/>
  <c r="A58" i="93"/>
  <c r="W58" i="93" s="1"/>
  <c r="A59" i="93"/>
  <c r="W59" i="93" s="1"/>
  <c r="A60" i="93"/>
  <c r="W60" i="93" s="1"/>
  <c r="A61" i="93"/>
  <c r="W61" i="93" s="1"/>
  <c r="A62" i="93"/>
  <c r="W62" i="93" s="1"/>
  <c r="A63" i="93"/>
  <c r="W63" i="93" s="1"/>
  <c r="A64" i="93"/>
  <c r="W64" i="93" s="1"/>
  <c r="A65" i="93"/>
  <c r="W65" i="93" s="1"/>
  <c r="A66" i="93"/>
  <c r="W66" i="93" s="1"/>
  <c r="A67" i="93"/>
  <c r="W67" i="93" s="1"/>
  <c r="A68" i="93"/>
  <c r="W68" i="93" s="1"/>
  <c r="A69" i="93"/>
  <c r="W69" i="93" s="1"/>
  <c r="A70" i="93"/>
  <c r="W70" i="93" s="1"/>
  <c r="A71" i="93"/>
  <c r="W71" i="93" s="1"/>
  <c r="A72" i="93"/>
  <c r="W72" i="93" s="1"/>
  <c r="A73" i="93"/>
  <c r="W73" i="93" s="1"/>
  <c r="A74" i="93"/>
  <c r="W74" i="93" s="1"/>
  <c r="A75" i="93"/>
  <c r="W75" i="93" s="1"/>
  <c r="A76" i="93"/>
  <c r="W76" i="93" s="1"/>
  <c r="A77" i="93"/>
  <c r="W77" i="93" s="1"/>
  <c r="A78" i="93"/>
  <c r="W78" i="93" s="1"/>
  <c r="A79" i="93"/>
  <c r="W79" i="93" s="1"/>
  <c r="A80" i="93"/>
  <c r="W80" i="93" s="1"/>
  <c r="A81" i="93"/>
  <c r="W81" i="93" s="1"/>
  <c r="A82" i="93"/>
  <c r="W82" i="93" s="1"/>
  <c r="A83" i="93"/>
  <c r="W83" i="93" s="1"/>
  <c r="A84" i="93"/>
  <c r="W84" i="93" s="1"/>
  <c r="A85" i="93"/>
  <c r="W85" i="93" s="1"/>
  <c r="A86" i="93"/>
  <c r="W86" i="93" s="1"/>
  <c r="A87" i="93"/>
  <c r="W87" i="93" s="1"/>
  <c r="A88" i="93"/>
  <c r="W88" i="93" s="1"/>
  <c r="A89" i="93"/>
  <c r="W89" i="93" s="1"/>
  <c r="A90" i="93"/>
  <c r="W90" i="93" s="1"/>
  <c r="A91" i="93"/>
  <c r="W91" i="93" s="1"/>
  <c r="A92" i="93"/>
  <c r="W92" i="93" s="1"/>
  <c r="A93" i="93"/>
  <c r="W93" i="93" s="1"/>
  <c r="A94" i="93"/>
  <c r="W94" i="93" s="1"/>
  <c r="A95" i="93"/>
  <c r="W95" i="93" s="1"/>
  <c r="A96" i="93"/>
  <c r="W96" i="93" s="1"/>
  <c r="A97" i="93"/>
  <c r="W97" i="93" s="1"/>
  <c r="A98" i="93"/>
  <c r="W98" i="93" s="1"/>
  <c r="A99" i="93"/>
  <c r="W99" i="93" s="1"/>
  <c r="A100" i="93"/>
  <c r="W100" i="93" s="1"/>
  <c r="A101" i="93"/>
  <c r="W101" i="93" s="1"/>
  <c r="A102" i="93"/>
  <c r="W102" i="93" s="1"/>
  <c r="A103" i="93"/>
  <c r="W103" i="93" s="1"/>
  <c r="A104" i="93"/>
  <c r="W104" i="93" s="1"/>
  <c r="A105" i="93"/>
  <c r="W105" i="93" s="1"/>
  <c r="A106" i="93"/>
  <c r="W106" i="93" s="1"/>
  <c r="A107" i="93"/>
  <c r="W107" i="93" s="1"/>
  <c r="A108" i="93"/>
  <c r="W108" i="93" s="1"/>
  <c r="A109" i="93"/>
  <c r="W109" i="93" s="1"/>
  <c r="A110" i="93"/>
  <c r="W110" i="93" s="1"/>
  <c r="A111" i="93"/>
  <c r="W111" i="93" s="1"/>
  <c r="A112" i="93"/>
  <c r="W112" i="93" s="1"/>
  <c r="A113" i="93"/>
  <c r="W113" i="93" s="1"/>
  <c r="A114" i="93"/>
  <c r="W114" i="93" s="1"/>
  <c r="A115" i="93"/>
  <c r="W115" i="93" s="1"/>
  <c r="A116" i="93"/>
  <c r="W116" i="93" s="1"/>
  <c r="A117" i="93"/>
  <c r="W117" i="93" s="1"/>
  <c r="A118" i="93"/>
  <c r="W118" i="93" s="1"/>
  <c r="A119" i="93"/>
  <c r="W119" i="93" s="1"/>
  <c r="A120" i="93"/>
  <c r="W120" i="93" s="1"/>
  <c r="A121" i="93"/>
  <c r="W121" i="93" s="1"/>
  <c r="A122" i="93"/>
  <c r="W122" i="93" s="1"/>
  <c r="A123" i="93"/>
  <c r="W123" i="93" s="1"/>
  <c r="A124" i="93"/>
  <c r="W124" i="93" s="1"/>
  <c r="A125" i="93"/>
  <c r="W125" i="93" s="1"/>
  <c r="A126" i="93"/>
  <c r="W126" i="93" s="1"/>
  <c r="A127" i="93"/>
  <c r="W127" i="93" s="1"/>
  <c r="A128" i="93"/>
  <c r="W128" i="93" s="1"/>
  <c r="A129" i="93"/>
  <c r="W129" i="93" s="1"/>
  <c r="A130" i="93"/>
  <c r="W130" i="93" s="1"/>
  <c r="A131" i="93"/>
  <c r="W131" i="93" s="1"/>
  <c r="A132" i="93"/>
  <c r="W132" i="93" s="1"/>
  <c r="A133" i="93"/>
  <c r="W133" i="93" s="1"/>
  <c r="A134" i="93"/>
  <c r="W134" i="93" s="1"/>
  <c r="A135" i="93"/>
  <c r="W135" i="93" s="1"/>
  <c r="A136" i="93"/>
  <c r="W136" i="93" s="1"/>
  <c r="A137" i="93"/>
  <c r="W137" i="93" s="1"/>
  <c r="A138" i="93"/>
  <c r="W138" i="93" s="1"/>
  <c r="A139" i="93"/>
  <c r="W139" i="93" s="1"/>
  <c r="A140" i="93"/>
  <c r="W140" i="93" s="1"/>
  <c r="A141" i="93"/>
  <c r="W141" i="93" s="1"/>
  <c r="A142" i="93"/>
  <c r="W142" i="93" s="1"/>
  <c r="A143" i="93"/>
  <c r="W143" i="93" s="1"/>
  <c r="A144" i="93"/>
  <c r="W144" i="93" s="1"/>
  <c r="A145" i="93"/>
  <c r="W145" i="93" s="1"/>
  <c r="A146" i="93"/>
  <c r="W146" i="93" s="1"/>
  <c r="A147" i="93"/>
  <c r="W147" i="93" s="1"/>
  <c r="A148" i="93"/>
  <c r="W148" i="93" s="1"/>
  <c r="A149" i="93"/>
  <c r="W149" i="93" s="1"/>
  <c r="A150" i="93"/>
  <c r="W150" i="93" s="1"/>
  <c r="A151" i="93"/>
  <c r="W151" i="93" s="1"/>
  <c r="A152" i="93"/>
  <c r="W152" i="93" s="1"/>
  <c r="A153" i="93"/>
  <c r="W153" i="93" s="1"/>
  <c r="A154" i="93"/>
  <c r="W154" i="93" s="1"/>
  <c r="A155" i="93"/>
  <c r="W155" i="93" s="1"/>
  <c r="A156" i="93"/>
  <c r="W156" i="93" s="1"/>
  <c r="A157" i="93"/>
  <c r="W157" i="93" s="1"/>
  <c r="A158" i="93"/>
  <c r="W158" i="93" s="1"/>
  <c r="A159" i="93"/>
  <c r="W159" i="93" s="1"/>
  <c r="A160" i="93"/>
  <c r="W160" i="93" s="1"/>
  <c r="A161" i="93"/>
  <c r="W161" i="93" s="1"/>
  <c r="A162" i="93"/>
  <c r="W162" i="93" s="1"/>
  <c r="A163" i="93"/>
  <c r="W163" i="93" s="1"/>
  <c r="A164" i="93"/>
  <c r="W164" i="93" s="1"/>
  <c r="A165" i="93"/>
  <c r="W165" i="93" s="1"/>
  <c r="A166" i="93"/>
  <c r="W166" i="93" s="1"/>
  <c r="A167" i="93"/>
  <c r="W167" i="93" s="1"/>
  <c r="A168" i="93"/>
  <c r="W168" i="93" s="1"/>
  <c r="A169" i="93"/>
  <c r="W169" i="93" s="1"/>
  <c r="A170" i="93"/>
  <c r="W170" i="93" s="1"/>
  <c r="A171" i="93"/>
  <c r="W171" i="93" s="1"/>
  <c r="A172" i="93"/>
  <c r="W172" i="93" s="1"/>
  <c r="A173" i="93"/>
  <c r="W173" i="93" s="1"/>
  <c r="A174" i="93"/>
  <c r="W174" i="93" s="1"/>
  <c r="A175" i="93"/>
  <c r="W175" i="93" s="1"/>
  <c r="A176" i="93"/>
  <c r="W176" i="93" s="1"/>
  <c r="A177" i="93"/>
  <c r="W177" i="93" s="1"/>
  <c r="A178" i="93"/>
  <c r="W178" i="93" s="1"/>
  <c r="A179" i="93"/>
  <c r="W179" i="93" s="1"/>
  <c r="A180" i="93"/>
  <c r="W180" i="93" s="1"/>
  <c r="A181" i="93"/>
  <c r="W181" i="93" s="1"/>
  <c r="A182" i="93"/>
  <c r="W182" i="93" s="1"/>
  <c r="A183" i="93"/>
  <c r="W183" i="93" s="1"/>
  <c r="A184" i="93"/>
  <c r="W184" i="93" s="1"/>
  <c r="A185" i="93"/>
  <c r="W185" i="93" s="1"/>
  <c r="A186" i="93"/>
  <c r="W186" i="93" s="1"/>
  <c r="A187" i="93"/>
  <c r="W187" i="93" s="1"/>
  <c r="A188" i="93"/>
  <c r="W188" i="93" s="1"/>
  <c r="A189" i="93"/>
  <c r="W189" i="93" s="1"/>
  <c r="A190" i="93"/>
  <c r="W190" i="93" s="1"/>
  <c r="A191" i="93"/>
  <c r="W191" i="93" s="1"/>
  <c r="A192" i="93"/>
  <c r="W192" i="93" s="1"/>
  <c r="A193" i="93"/>
  <c r="W193" i="93" s="1"/>
  <c r="A194" i="93"/>
  <c r="W194" i="93" s="1"/>
  <c r="A195" i="93"/>
  <c r="W195" i="93" s="1"/>
  <c r="A196" i="93"/>
  <c r="W196" i="93" s="1"/>
  <c r="A197" i="93"/>
  <c r="W197" i="93" s="1"/>
  <c r="A198" i="93"/>
  <c r="W198" i="93" s="1"/>
  <c r="A199" i="93"/>
  <c r="W199" i="93" s="1"/>
  <c r="A200" i="93"/>
  <c r="W200" i="93" s="1"/>
  <c r="A201" i="93"/>
  <c r="W201" i="93" s="1"/>
  <c r="A202" i="93"/>
  <c r="W202" i="93" s="1"/>
  <c r="A203" i="93"/>
  <c r="W203" i="93" s="1"/>
  <c r="A204" i="93"/>
  <c r="W204" i="93" s="1"/>
  <c r="A205" i="93"/>
  <c r="W205" i="93" s="1"/>
  <c r="A206" i="93"/>
  <c r="W206" i="93" s="1"/>
  <c r="A207" i="93"/>
  <c r="W207" i="93" s="1"/>
  <c r="A208" i="93"/>
  <c r="W208" i="93" s="1"/>
  <c r="A209" i="93"/>
  <c r="W209" i="93" s="1"/>
  <c r="A210" i="93"/>
  <c r="W210" i="93" s="1"/>
  <c r="A211" i="93"/>
  <c r="W211" i="93" s="1"/>
  <c r="A212" i="93"/>
  <c r="W212" i="93" s="1"/>
  <c r="A213" i="93"/>
  <c r="W213" i="93" s="1"/>
  <c r="A214" i="93"/>
  <c r="W214" i="93" s="1"/>
  <c r="A215" i="93"/>
  <c r="W215" i="93" s="1"/>
  <c r="A216" i="93"/>
  <c r="W216" i="93" s="1"/>
  <c r="A217" i="93"/>
  <c r="W217" i="93" s="1"/>
  <c r="A218" i="93"/>
  <c r="W218" i="93" s="1"/>
  <c r="A219" i="93"/>
  <c r="W219" i="93" s="1"/>
  <c r="A220" i="93"/>
  <c r="W220" i="93" s="1"/>
  <c r="A221" i="93"/>
  <c r="W221" i="93" s="1"/>
  <c r="A222" i="93"/>
  <c r="W222" i="93" s="1"/>
  <c r="A223" i="93"/>
  <c r="W223" i="93" s="1"/>
  <c r="A224" i="93"/>
  <c r="W224" i="93" s="1"/>
  <c r="A225" i="93"/>
  <c r="W225" i="93" s="1"/>
  <c r="A226" i="93"/>
  <c r="W226" i="93" s="1"/>
  <c r="A227" i="93"/>
  <c r="W227" i="93" s="1"/>
  <c r="A228" i="93"/>
  <c r="W228" i="93" s="1"/>
  <c r="A229" i="93"/>
  <c r="W229" i="93" s="1"/>
  <c r="A230" i="93"/>
  <c r="W230" i="93" s="1"/>
  <c r="A231" i="93"/>
  <c r="W231" i="93" s="1"/>
  <c r="A232" i="93"/>
  <c r="W232" i="93" s="1"/>
  <c r="A233" i="93"/>
  <c r="W233" i="93" s="1"/>
  <c r="A234" i="93"/>
  <c r="W234" i="93" s="1"/>
  <c r="A235" i="93"/>
  <c r="W235" i="93" s="1"/>
  <c r="A236" i="93"/>
  <c r="W236" i="93" s="1"/>
  <c r="A237" i="93"/>
  <c r="W237" i="93" s="1"/>
  <c r="A238" i="93"/>
  <c r="W238" i="93" s="1"/>
  <c r="A239" i="93"/>
  <c r="W239" i="93" s="1"/>
  <c r="A240" i="93"/>
  <c r="W240" i="93" s="1"/>
  <c r="A241" i="93"/>
  <c r="W241" i="93" s="1"/>
  <c r="A242" i="93"/>
  <c r="W242" i="93" s="1"/>
  <c r="A243" i="93"/>
  <c r="W243" i="93" s="1"/>
  <c r="A244" i="93"/>
  <c r="W244" i="93" s="1"/>
  <c r="A245" i="93"/>
  <c r="W245" i="93" s="1"/>
  <c r="A246" i="93"/>
  <c r="W246" i="93" s="1"/>
  <c r="A247" i="93"/>
  <c r="W247" i="93" s="1"/>
  <c r="A248" i="93"/>
  <c r="W248" i="93" s="1"/>
  <c r="A249" i="93"/>
  <c r="W249" i="93" s="1"/>
  <c r="A250" i="93"/>
  <c r="W250" i="93" s="1"/>
  <c r="A251" i="93"/>
  <c r="W251" i="93" s="1"/>
  <c r="A252" i="93"/>
  <c r="W252" i="93" s="1"/>
  <c r="A253" i="93"/>
  <c r="W253" i="93" s="1"/>
  <c r="A254" i="93"/>
  <c r="W254" i="93" s="1"/>
  <c r="A255" i="93"/>
  <c r="W255" i="93" s="1"/>
  <c r="A256" i="93"/>
  <c r="W256" i="93" s="1"/>
  <c r="A257" i="93"/>
  <c r="W257" i="93" s="1"/>
  <c r="A258" i="93"/>
  <c r="W258" i="93" s="1"/>
  <c r="A259" i="93"/>
  <c r="W259" i="93" s="1"/>
  <c r="A260" i="93"/>
  <c r="W260" i="93" s="1"/>
  <c r="A261" i="93"/>
  <c r="W261" i="93" s="1"/>
  <c r="A262" i="93"/>
  <c r="W262" i="93" s="1"/>
  <c r="A263" i="93"/>
  <c r="W263" i="93" s="1"/>
  <c r="A264" i="93"/>
  <c r="W264" i="93" s="1"/>
  <c r="A265" i="93"/>
  <c r="W265" i="93" s="1"/>
  <c r="A266" i="93"/>
  <c r="W266" i="93" s="1"/>
  <c r="A267" i="93"/>
  <c r="W267" i="93" s="1"/>
  <c r="A268" i="93"/>
  <c r="W268" i="93" s="1"/>
  <c r="A269" i="93"/>
  <c r="W269" i="93" s="1"/>
  <c r="A270" i="93"/>
  <c r="W270" i="93" s="1"/>
  <c r="A271" i="93"/>
  <c r="W271" i="93" s="1"/>
  <c r="A272" i="93"/>
  <c r="W272" i="93" s="1"/>
  <c r="A273" i="93"/>
  <c r="W273" i="93" s="1"/>
  <c r="A274" i="93"/>
  <c r="W274" i="93" s="1"/>
  <c r="A275" i="93"/>
  <c r="W275" i="93" s="1"/>
  <c r="A276" i="93"/>
  <c r="W276" i="93" s="1"/>
  <c r="A277" i="93"/>
  <c r="W277" i="93" s="1"/>
  <c r="A278" i="93"/>
  <c r="W278" i="93" s="1"/>
  <c r="A279" i="93"/>
  <c r="W279" i="93" s="1"/>
  <c r="A280" i="93"/>
  <c r="W280" i="93" s="1"/>
  <c r="A281" i="93"/>
  <c r="W281" i="93" s="1"/>
  <c r="A282" i="93"/>
  <c r="W282" i="93" s="1"/>
  <c r="A283" i="93"/>
  <c r="W283" i="93" s="1"/>
  <c r="A284" i="93"/>
  <c r="W284" i="93" s="1"/>
  <c r="A285" i="93"/>
  <c r="W285" i="93" s="1"/>
  <c r="A286" i="93"/>
  <c r="W286" i="93" s="1"/>
  <c r="A287" i="93"/>
  <c r="W287" i="93" s="1"/>
  <c r="A288" i="93"/>
  <c r="W288" i="93" s="1"/>
  <c r="A289" i="93"/>
  <c r="W289" i="93" s="1"/>
  <c r="A290" i="93"/>
  <c r="W290" i="93" s="1"/>
  <c r="A291" i="93"/>
  <c r="W291" i="93" s="1"/>
  <c r="A292" i="93"/>
  <c r="W292" i="93" s="1"/>
  <c r="A293" i="93"/>
  <c r="W293" i="93" s="1"/>
  <c r="A294" i="93"/>
  <c r="W294" i="93" s="1"/>
  <c r="A295" i="93"/>
  <c r="W295" i="93" s="1"/>
  <c r="A296" i="93"/>
  <c r="W296" i="93" s="1"/>
  <c r="A297" i="93"/>
  <c r="W297" i="93" s="1"/>
  <c r="A298" i="93"/>
  <c r="W298" i="93" s="1"/>
  <c r="A299" i="93"/>
  <c r="W299" i="93" s="1"/>
  <c r="A300" i="93"/>
  <c r="W300" i="93" s="1"/>
  <c r="A301" i="93"/>
  <c r="W301" i="93" s="1"/>
  <c r="A302" i="93"/>
  <c r="W302" i="93" s="1"/>
  <c r="A303" i="93"/>
  <c r="W303" i="93" s="1"/>
  <c r="A304" i="93"/>
  <c r="W304" i="93" s="1"/>
  <c r="A305" i="93"/>
  <c r="W305" i="93" s="1"/>
  <c r="A306" i="93"/>
  <c r="W306" i="93" s="1"/>
  <c r="A307" i="93"/>
  <c r="W307" i="93" s="1"/>
  <c r="A308" i="93"/>
  <c r="W308" i="93" s="1"/>
  <c r="A309" i="93"/>
  <c r="W309" i="93" s="1"/>
  <c r="A310" i="93"/>
  <c r="W310" i="93" s="1"/>
  <c r="A311" i="93"/>
  <c r="W311" i="93" s="1"/>
  <c r="A312" i="93"/>
  <c r="W312" i="93" s="1"/>
  <c r="A313" i="93"/>
  <c r="W313" i="93" s="1"/>
  <c r="A314" i="93"/>
  <c r="W314" i="93" s="1"/>
  <c r="A315" i="93"/>
  <c r="W315" i="93" s="1"/>
  <c r="A316" i="93"/>
  <c r="W316" i="93" s="1"/>
  <c r="A317" i="93"/>
  <c r="W317" i="93" s="1"/>
  <c r="A318" i="93"/>
  <c r="W318" i="93" s="1"/>
  <c r="A319" i="93"/>
  <c r="W319" i="93" s="1"/>
  <c r="A320" i="93"/>
  <c r="W320" i="93" s="1"/>
  <c r="A321" i="93"/>
  <c r="W321" i="93" s="1"/>
  <c r="A322" i="93"/>
  <c r="W322" i="93" s="1"/>
  <c r="A323" i="93"/>
  <c r="W323" i="93" s="1"/>
  <c r="A324" i="93"/>
  <c r="W324" i="93" s="1"/>
  <c r="A325" i="93"/>
  <c r="W325" i="93" s="1"/>
  <c r="A326" i="93"/>
  <c r="W326" i="93" s="1"/>
  <c r="A327" i="93"/>
  <c r="W327" i="93" s="1"/>
  <c r="A328" i="93"/>
  <c r="W328" i="93" s="1"/>
  <c r="A329" i="93"/>
  <c r="W329" i="93" s="1"/>
  <c r="A330" i="93"/>
  <c r="W330" i="93" s="1"/>
  <c r="A331" i="93"/>
  <c r="W331" i="93" s="1"/>
  <c r="A332" i="93"/>
  <c r="W332" i="93" s="1"/>
  <c r="A333" i="93"/>
  <c r="W333" i="93" s="1"/>
  <c r="A334" i="93"/>
  <c r="W334" i="93" s="1"/>
  <c r="A335" i="93"/>
  <c r="W335" i="93" s="1"/>
  <c r="A336" i="93"/>
  <c r="W336" i="93" s="1"/>
  <c r="A337" i="93"/>
  <c r="W337" i="93" s="1"/>
  <c r="A338" i="93"/>
  <c r="W338" i="93" s="1"/>
  <c r="K343" i="27"/>
  <c r="AO13" i="97"/>
  <c r="AO334" i="97"/>
  <c r="AO3" i="97"/>
  <c r="AO63" i="97"/>
  <c r="AO19" i="97"/>
  <c r="AO295" i="97"/>
  <c r="AO43" i="97"/>
  <c r="AO17" i="97"/>
  <c r="AO39" i="97"/>
  <c r="AO42" i="97"/>
  <c r="AO286" i="97"/>
  <c r="AO303" i="97"/>
  <c r="AO184" i="97"/>
  <c r="AO49" i="97"/>
  <c r="AO195" i="97"/>
  <c r="AO16" i="97"/>
  <c r="AO320" i="97"/>
  <c r="AO22" i="97"/>
  <c r="AO30" i="97"/>
  <c r="AO41" i="97"/>
  <c r="AO293" i="97"/>
  <c r="AO283" i="97"/>
  <c r="AO278" i="97"/>
  <c r="AO31" i="97"/>
  <c r="AO34" i="97"/>
  <c r="AO301" i="97"/>
  <c r="AO51" i="97"/>
  <c r="AO32" i="97"/>
  <c r="AO276" i="97"/>
  <c r="AO28" i="97"/>
  <c r="AO27" i="97"/>
  <c r="AO240" i="97"/>
  <c r="AO309" i="97"/>
  <c r="AO310" i="97"/>
  <c r="AO243" i="97"/>
  <c r="AO68" i="97"/>
  <c r="AO242" i="97"/>
  <c r="AO285" i="97"/>
  <c r="AO10" i="97"/>
  <c r="AO287" i="97"/>
  <c r="AO318" i="97"/>
  <c r="AO266" i="97"/>
  <c r="AO322" i="97"/>
  <c r="AO24" i="97"/>
  <c r="AO298" i="97"/>
  <c r="AO18" i="97"/>
  <c r="AO262" i="97"/>
  <c r="AO236" i="97"/>
  <c r="AO46" i="97"/>
  <c r="AO145" i="97"/>
  <c r="AO300" i="97"/>
  <c r="AO65" i="97"/>
  <c r="AO311" i="97"/>
  <c r="AO277" i="97"/>
  <c r="AO316" i="97"/>
  <c r="AO241" i="97"/>
  <c r="AO239" i="97"/>
  <c r="AO281" i="97"/>
  <c r="AO297" i="97"/>
  <c r="AO306" i="97"/>
  <c r="AO64" i="97"/>
  <c r="AO321" i="97"/>
  <c r="AO237" i="97"/>
  <c r="AO273" i="97"/>
  <c r="AO52" i="97"/>
  <c r="AO72" i="97"/>
  <c r="AO296" i="97"/>
  <c r="AO307" i="97"/>
  <c r="AO144" i="97"/>
  <c r="AO50" i="97"/>
  <c r="AO6" i="97"/>
  <c r="AO336" i="97"/>
  <c r="AO126" i="97"/>
  <c r="AO206" i="97"/>
  <c r="AO96" i="97"/>
  <c r="AO292" i="97"/>
  <c r="AO62" i="97"/>
  <c r="AO317" i="97"/>
  <c r="AO269" i="97"/>
  <c r="AO130" i="97"/>
  <c r="AO308" i="97"/>
  <c r="AO44" i="97"/>
  <c r="AO53" i="97"/>
  <c r="AO211" i="97"/>
  <c r="AO305" i="97"/>
  <c r="AO319" i="97"/>
  <c r="AO146" i="97"/>
  <c r="AO147" i="97"/>
  <c r="AO253" i="97"/>
  <c r="AO48" i="97"/>
  <c r="AO109" i="97"/>
  <c r="AO187" i="97"/>
  <c r="AO244" i="97"/>
  <c r="AO256" i="97"/>
  <c r="AO14" i="97"/>
  <c r="AO23" i="97"/>
  <c r="AO207" i="97"/>
  <c r="AO131" i="97"/>
  <c r="AO261" i="97"/>
  <c r="AO208" i="97"/>
  <c r="AO314" i="97"/>
  <c r="AO238" i="97"/>
  <c r="AO315" i="97"/>
  <c r="AO129" i="97"/>
  <c r="AO189" i="97"/>
  <c r="AO35" i="97"/>
  <c r="AO327" i="97"/>
  <c r="AO179" i="97"/>
  <c r="AO88" i="97"/>
  <c r="AO205" i="97"/>
  <c r="AO247" i="97"/>
  <c r="AO324" i="97"/>
  <c r="AO86" i="97"/>
  <c r="AO312" i="97"/>
  <c r="AO248" i="97"/>
  <c r="AO83" i="97"/>
  <c r="AO139" i="97"/>
  <c r="AO76" i="97"/>
  <c r="AO323" i="97"/>
  <c r="AO82" i="97"/>
  <c r="AO267" i="97"/>
  <c r="AO81" i="97"/>
  <c r="AO192" i="97"/>
  <c r="AO142" i="97"/>
  <c r="AO330" i="97"/>
  <c r="AO33" i="97"/>
  <c r="AO112" i="97"/>
  <c r="AO37" i="97"/>
  <c r="AO229" i="97"/>
  <c r="AO67" i="97"/>
  <c r="AO172" i="97"/>
  <c r="AO141" i="97"/>
  <c r="AO79" i="97"/>
  <c r="AO191" i="97"/>
  <c r="AO313" i="97"/>
  <c r="AO84" i="97"/>
  <c r="AO199" i="97"/>
  <c r="AO21" i="97"/>
  <c r="AO161" i="97"/>
  <c r="AO200" i="97"/>
  <c r="AO251" i="97"/>
  <c r="AO5" i="97"/>
  <c r="AO95" i="97"/>
  <c r="AO78" i="97"/>
  <c r="AO156" i="97"/>
  <c r="AO15" i="97"/>
  <c r="AO110" i="97"/>
  <c r="AO87" i="97"/>
  <c r="AO54" i="97"/>
  <c r="AO265" i="97"/>
  <c r="AO186" i="97"/>
  <c r="AO246" i="97"/>
  <c r="AO135" i="97"/>
  <c r="AO193" i="97"/>
  <c r="AO2" i="97"/>
  <c r="AO138" i="97"/>
  <c r="AO75" i="97"/>
  <c r="AO288" i="97"/>
  <c r="AO203" i="97"/>
  <c r="AO175" i="97"/>
  <c r="AO29" i="97"/>
  <c r="AO11" i="97"/>
  <c r="AO69" i="97"/>
  <c r="AO9" i="97"/>
  <c r="AO8" i="97"/>
  <c r="AO329" i="97"/>
  <c r="AO291" i="97"/>
  <c r="AO80" i="97"/>
  <c r="AO197" i="97"/>
  <c r="AO294" i="97"/>
  <c r="AO153" i="97"/>
  <c r="AO38" i="97"/>
  <c r="AO289" i="97"/>
  <c r="AO165" i="97"/>
  <c r="AO140" i="97"/>
  <c r="AO212" i="97"/>
  <c r="AO45" i="97"/>
  <c r="AO89" i="97"/>
  <c r="AO167" i="97"/>
  <c r="AO190" i="97"/>
  <c r="AO224" i="97"/>
  <c r="AO26" i="97"/>
  <c r="AO304" i="97"/>
  <c r="AO162" i="97"/>
  <c r="AO284" i="97"/>
  <c r="AO148" i="97"/>
  <c r="AO250" i="97"/>
  <c r="AO302" i="97"/>
  <c r="AO73" i="97"/>
  <c r="AO132" i="97"/>
  <c r="AO290" i="97"/>
  <c r="AO254" i="97"/>
  <c r="AO137" i="97"/>
  <c r="AO245" i="97"/>
  <c r="AO279" i="97"/>
  <c r="AO233" i="97"/>
  <c r="AO201" i="97"/>
  <c r="AO36" i="97"/>
  <c r="AO85" i="97"/>
  <c r="AO168" i="97"/>
  <c r="AO226" i="97"/>
  <c r="AO299" i="97"/>
  <c r="AO202" i="97"/>
  <c r="AO143" i="97"/>
  <c r="AO77" i="97"/>
  <c r="AO188" i="97"/>
  <c r="AO280" i="97"/>
  <c r="AO66" i="97"/>
  <c r="AO333" i="97"/>
  <c r="AO133" i="97"/>
  <c r="AO260" i="97"/>
  <c r="AO93" i="97"/>
  <c r="AO332" i="97"/>
  <c r="AO111" i="97"/>
  <c r="AO108" i="97"/>
  <c r="AO25" i="97"/>
  <c r="AO157" i="97"/>
  <c r="AO121" i="97"/>
  <c r="AO71" i="97"/>
  <c r="AO258" i="97"/>
  <c r="AO263" i="97"/>
  <c r="AO58" i="97"/>
  <c r="AO105" i="97"/>
  <c r="AO113" i="97"/>
  <c r="AO122" i="97"/>
  <c r="AO70" i="97"/>
  <c r="AO198" i="97"/>
  <c r="AO106" i="97"/>
  <c r="AO100" i="97"/>
  <c r="AO204" i="97"/>
  <c r="AO223" i="97"/>
  <c r="AO107" i="97"/>
  <c r="AO117" i="97"/>
  <c r="AO232" i="97"/>
  <c r="AO252" i="97"/>
  <c r="AO136" i="97"/>
  <c r="AO123" i="97"/>
  <c r="AO257" i="97"/>
  <c r="AO230" i="97"/>
  <c r="AO196" i="97"/>
  <c r="AO182" i="97"/>
  <c r="AO159" i="97"/>
  <c r="AO328" i="97"/>
  <c r="AO150" i="97"/>
  <c r="AO235" i="97"/>
  <c r="AO268" i="97"/>
  <c r="AO116" i="97"/>
  <c r="AO209" i="97"/>
  <c r="AO210" i="97"/>
  <c r="AO335" i="97"/>
  <c r="AO181" i="97"/>
  <c r="AO215" i="97"/>
  <c r="AO118" i="97"/>
  <c r="AO176" i="97"/>
  <c r="AO7" i="97"/>
  <c r="AO171" i="97"/>
  <c r="AO97" i="97"/>
  <c r="AO115" i="97"/>
  <c r="AO216" i="97"/>
  <c r="AO56" i="97"/>
  <c r="AO57" i="97"/>
  <c r="AO94" i="97"/>
  <c r="AO163" i="97"/>
  <c r="AO219" i="97"/>
  <c r="AO55" i="97"/>
  <c r="AO164" i="97"/>
  <c r="AO114" i="97"/>
  <c r="AO12" i="97"/>
  <c r="AO218" i="97"/>
  <c r="AO20" i="97"/>
  <c r="AO160" i="97"/>
  <c r="AO103" i="97"/>
  <c r="AO174" i="97"/>
  <c r="AO74" i="97"/>
  <c r="AO194" i="97"/>
  <c r="AO231" i="97"/>
  <c r="AO213" i="97"/>
  <c r="AO220" i="97"/>
  <c r="AO331" i="97"/>
  <c r="AO222" i="97"/>
  <c r="AO234" i="97"/>
  <c r="AO185" i="97"/>
  <c r="AO155" i="97"/>
  <c r="AO124" i="97"/>
  <c r="AO228" i="97"/>
  <c r="AO59" i="97"/>
  <c r="AO166" i="97"/>
  <c r="AO154" i="97"/>
  <c r="AO98" i="97"/>
  <c r="AO119" i="97"/>
  <c r="AO4" i="97"/>
  <c r="AO158" i="97"/>
  <c r="AO152" i="97"/>
  <c r="AO214" i="97"/>
  <c r="AO102" i="97"/>
  <c r="AO91" i="97"/>
  <c r="AO125" i="97"/>
  <c r="AO92" i="97"/>
  <c r="AO101" i="97"/>
  <c r="AO120" i="97"/>
  <c r="AO40" i="97"/>
  <c r="AO127" i="97"/>
  <c r="AO128" i="97"/>
  <c r="AO134" i="97"/>
  <c r="AO47" i="97"/>
  <c r="AO149" i="97"/>
  <c r="AO151" i="97"/>
  <c r="AO170" i="97"/>
  <c r="AO60" i="97"/>
  <c r="AO173" i="97"/>
  <c r="AO61" i="97"/>
  <c r="AO177" i="97"/>
  <c r="AO178" i="97"/>
  <c r="AO217" i="97"/>
  <c r="AO221" i="97"/>
  <c r="AO227" i="97"/>
  <c r="AO249" i="97"/>
  <c r="AO255" i="97"/>
  <c r="AO259" i="97"/>
  <c r="AO264" i="97"/>
  <c r="AO270" i="97"/>
  <c r="AO271" i="97"/>
  <c r="AO272" i="97"/>
  <c r="AO274" i="97"/>
  <c r="AO275" i="97"/>
  <c r="AO282" i="97"/>
  <c r="AO326" i="97"/>
  <c r="AO90" i="97"/>
  <c r="AO99" i="97"/>
  <c r="AO104" i="97"/>
  <c r="AO169" i="97"/>
  <c r="AO180" i="97"/>
  <c r="AO183" i="97"/>
  <c r="AO225" i="97"/>
  <c r="AO325" i="97"/>
  <c r="AR20" i="97" l="1"/>
  <c r="AR336" i="97"/>
  <c r="AR4" i="97"/>
  <c r="AR5" i="97"/>
  <c r="AR17" i="97"/>
  <c r="AR6" i="97"/>
  <c r="AR7" i="97"/>
  <c r="AR8" i="97"/>
  <c r="AR9" i="97"/>
  <c r="AR73" i="97"/>
  <c r="AR74" i="97"/>
  <c r="AR75" i="97"/>
  <c r="AR76" i="97"/>
  <c r="AR77" i="97"/>
  <c r="AR78" i="97"/>
  <c r="AR79" i="97"/>
  <c r="AR80" i="97"/>
  <c r="AR81" i="97"/>
  <c r="AR196" i="97"/>
  <c r="AR82" i="97"/>
  <c r="AR83" i="97"/>
  <c r="AR84" i="97"/>
  <c r="AR11" i="97"/>
  <c r="AR85" i="97"/>
  <c r="AR86" i="97"/>
  <c r="AR87" i="97"/>
  <c r="AR88" i="97"/>
  <c r="AR89" i="97"/>
  <c r="AR12" i="97"/>
  <c r="AR90" i="97"/>
  <c r="AR30" i="97"/>
  <c r="AR10" i="97"/>
  <c r="AR15" i="97"/>
  <c r="AR31" i="97"/>
  <c r="AR32" i="97"/>
  <c r="AR33" i="97"/>
  <c r="AR18" i="97"/>
  <c r="AR91" i="97"/>
  <c r="AR92" i="97"/>
  <c r="AR93" i="97"/>
  <c r="AR94" i="97"/>
  <c r="AR95" i="97"/>
  <c r="AR96" i="97"/>
  <c r="AR97" i="97"/>
  <c r="AR98" i="97"/>
  <c r="AR99" i="97"/>
  <c r="AR100" i="97"/>
  <c r="AR101" i="97"/>
  <c r="AR102" i="97"/>
  <c r="AR103" i="97"/>
  <c r="AR104" i="97"/>
  <c r="AR105" i="97"/>
  <c r="AR106" i="97"/>
  <c r="AR107" i="97"/>
  <c r="AR108" i="97"/>
  <c r="AR21" i="97"/>
  <c r="AR22" i="97"/>
  <c r="AR109" i="97"/>
  <c r="AR23" i="97"/>
  <c r="AR24" i="97"/>
  <c r="AR110" i="97"/>
  <c r="AR25" i="97"/>
  <c r="AR26" i="97"/>
  <c r="AR111" i="97"/>
  <c r="AR27" i="97"/>
  <c r="AR28" i="97"/>
  <c r="AR256" i="97"/>
  <c r="AR34" i="97"/>
  <c r="AR35" i="97"/>
  <c r="AR19" i="97"/>
  <c r="AR266" i="97"/>
  <c r="AR29" i="97"/>
  <c r="AR2" i="97"/>
  <c r="AR36" i="97"/>
  <c r="AR37" i="97"/>
  <c r="AR39" i="97"/>
  <c r="AR112" i="97"/>
  <c r="AR113" i="97"/>
  <c r="AR114" i="97"/>
  <c r="AR115" i="97"/>
  <c r="AR116" i="97"/>
  <c r="AR117" i="97"/>
  <c r="AR118" i="97"/>
  <c r="AR119" i="97"/>
  <c r="AR120" i="97"/>
  <c r="AR121" i="97"/>
  <c r="AR122" i="97"/>
  <c r="AR123" i="97"/>
  <c r="AR124" i="97"/>
  <c r="AR125" i="97"/>
  <c r="AR198" i="97"/>
  <c r="AR126" i="97"/>
  <c r="AR330" i="97"/>
  <c r="AR40" i="97"/>
  <c r="AR127" i="97"/>
  <c r="AR41" i="97"/>
  <c r="AR128" i="97"/>
  <c r="AR129" i="97"/>
  <c r="AR130" i="97"/>
  <c r="AR131" i="97"/>
  <c r="AR3" i="97"/>
  <c r="AR42" i="97"/>
  <c r="AR13" i="97"/>
  <c r="AR295" i="97"/>
  <c r="AR132" i="97"/>
  <c r="AR133" i="97"/>
  <c r="AR134" i="97"/>
  <c r="AR135" i="97"/>
  <c r="AR136" i="97"/>
  <c r="AR46" i="97"/>
  <c r="AR137" i="97"/>
  <c r="AR47" i="97"/>
  <c r="AR48" i="97"/>
  <c r="AR239" i="97"/>
  <c r="AR138" i="97"/>
  <c r="AR139" i="97"/>
  <c r="AR242" i="97"/>
  <c r="AR311" i="97"/>
  <c r="AR140" i="97"/>
  <c r="AR141" i="97"/>
  <c r="AR142" i="97"/>
  <c r="AR52" i="97"/>
  <c r="AR53" i="97"/>
  <c r="AR143" i="97"/>
  <c r="AR144" i="97"/>
  <c r="AR145" i="97"/>
  <c r="AR54" i="97"/>
  <c r="AR146" i="97"/>
  <c r="AR147" i="97"/>
  <c r="AR148" i="97"/>
  <c r="AR149" i="97"/>
  <c r="AR55" i="97"/>
  <c r="AR56" i="97"/>
  <c r="AR150" i="97"/>
  <c r="AR151" i="97"/>
  <c r="AR152" i="97"/>
  <c r="AR153" i="97"/>
  <c r="AR154" i="97"/>
  <c r="AR155" i="97"/>
  <c r="AR156" i="97"/>
  <c r="AR157" i="97"/>
  <c r="AR57" i="97"/>
  <c r="AR158" i="97"/>
  <c r="AR159" i="97"/>
  <c r="AR160" i="97"/>
  <c r="AR161" i="97"/>
  <c r="AR162" i="97"/>
  <c r="AR163" i="97"/>
  <c r="AR164" i="97"/>
  <c r="AR165" i="97"/>
  <c r="AR166" i="97"/>
  <c r="AR167" i="97"/>
  <c r="AR58" i="97"/>
  <c r="AR168" i="97"/>
  <c r="AR169" i="97"/>
  <c r="AR59" i="97"/>
  <c r="AR170" i="97"/>
  <c r="AR60" i="97"/>
  <c r="AR331" i="97"/>
  <c r="AR171" i="97"/>
  <c r="AR172" i="97"/>
  <c r="AR173" i="97"/>
  <c r="AR174" i="97"/>
  <c r="AR61" i="97"/>
  <c r="AR332" i="97"/>
  <c r="AR175" i="97"/>
  <c r="AR176" i="97"/>
  <c r="AR177" i="97"/>
  <c r="AR178" i="97"/>
  <c r="AR179" i="97"/>
  <c r="AR180" i="97"/>
  <c r="AR333" i="97"/>
  <c r="AR181" i="97"/>
  <c r="AR182" i="97"/>
  <c r="AR183" i="97"/>
  <c r="AR184" i="97"/>
  <c r="AR14" i="97"/>
  <c r="AR185" i="97"/>
  <c r="AR186" i="97"/>
  <c r="AR312" i="97"/>
  <c r="AR187" i="97"/>
  <c r="AR188" i="97"/>
  <c r="AR189" i="97"/>
  <c r="AR190" i="97"/>
  <c r="AR191" i="97"/>
  <c r="AR192" i="97"/>
  <c r="AR193" i="97"/>
  <c r="AR38" i="97"/>
  <c r="AR194" i="97"/>
  <c r="AR195" i="97"/>
  <c r="AR247" i="97"/>
  <c r="AR65" i="97"/>
  <c r="AR334" i="97"/>
  <c r="AR197" i="97"/>
  <c r="AR315" i="97"/>
  <c r="AR199" i="97"/>
  <c r="AR200" i="97"/>
  <c r="AR201" i="97"/>
  <c r="AR202" i="97"/>
  <c r="AR203" i="97"/>
  <c r="AR204" i="97"/>
  <c r="AR205" i="97"/>
  <c r="AR206" i="97"/>
  <c r="AR207" i="97"/>
  <c r="AR208" i="97"/>
  <c r="AR209" i="97"/>
  <c r="AR210" i="97"/>
  <c r="AR211" i="97"/>
  <c r="AR66" i="97"/>
  <c r="AR212" i="97"/>
  <c r="AR213" i="97"/>
  <c r="AR214" i="97"/>
  <c r="AR215" i="97"/>
  <c r="AR216" i="97"/>
  <c r="AR217" i="97"/>
  <c r="AR218" i="97"/>
  <c r="AR219" i="97"/>
  <c r="AR220" i="97"/>
  <c r="AR221" i="97"/>
  <c r="AR222" i="97"/>
  <c r="AR335" i="97"/>
  <c r="AR223" i="97"/>
  <c r="AR224" i="97"/>
  <c r="AR225" i="97"/>
  <c r="AR226" i="97"/>
  <c r="AR227" i="97"/>
  <c r="AR228" i="97"/>
  <c r="AR229" i="97"/>
  <c r="AR230" i="97"/>
  <c r="AR67" i="97"/>
  <c r="AR231" i="97"/>
  <c r="AR232" i="97"/>
  <c r="AR233" i="97"/>
  <c r="AR234" i="97"/>
  <c r="AR235" i="97"/>
  <c r="AR236" i="97"/>
  <c r="AR237" i="97"/>
  <c r="AR68" i="97"/>
  <c r="AR238" i="97"/>
  <c r="AR318" i="97"/>
  <c r="AR240" i="97"/>
  <c r="AR241" i="97"/>
  <c r="AR43" i="97"/>
  <c r="AR243" i="97"/>
  <c r="AR244" i="97"/>
  <c r="AR245" i="97"/>
  <c r="AR69" i="97"/>
  <c r="AR246" i="97"/>
  <c r="AR319" i="97"/>
  <c r="AR320" i="97"/>
  <c r="AR249" i="97"/>
  <c r="AR70" i="97"/>
  <c r="AR250" i="97"/>
  <c r="AR322" i="97"/>
  <c r="AR252" i="97"/>
  <c r="AR253" i="97"/>
  <c r="AR254" i="97"/>
  <c r="AR255" i="97"/>
  <c r="AR44" i="97"/>
  <c r="AR257" i="97"/>
  <c r="AR258" i="97"/>
  <c r="AR259" i="97"/>
  <c r="AR260" i="97"/>
  <c r="AR261" i="97"/>
  <c r="AR262" i="97"/>
  <c r="AR263" i="97"/>
  <c r="AR264" i="97"/>
  <c r="AR265" i="97"/>
  <c r="AR45" i="97"/>
  <c r="AR267" i="97"/>
  <c r="AR268" i="97"/>
  <c r="AR269" i="97"/>
  <c r="AR270" i="97"/>
  <c r="AR271" i="97"/>
  <c r="AR272" i="97"/>
  <c r="AR273" i="97"/>
  <c r="AR274" i="97"/>
  <c r="AR275" i="97"/>
  <c r="AR276" i="97"/>
  <c r="AR277" i="97"/>
  <c r="AR278" i="97"/>
  <c r="AR279" i="97"/>
  <c r="AR280" i="97"/>
  <c r="AR281" i="97"/>
  <c r="AR282" i="97"/>
  <c r="AR283" i="97"/>
  <c r="AR284" i="97"/>
  <c r="AR285" i="97"/>
  <c r="AR286" i="97"/>
  <c r="AR287" i="97"/>
  <c r="AR288" i="97"/>
  <c r="AR289" i="97"/>
  <c r="AR290" i="97"/>
  <c r="AR291" i="97"/>
  <c r="AR292" i="97"/>
  <c r="AR293" i="97"/>
  <c r="AR294" i="97"/>
  <c r="AR248" i="97"/>
  <c r="AR296" i="97"/>
  <c r="AR297" i="97"/>
  <c r="AR298" i="97"/>
  <c r="AR299" i="97"/>
  <c r="AR300" i="97"/>
  <c r="AR301" i="97"/>
  <c r="AR302" i="97"/>
  <c r="AR303" i="97"/>
  <c r="AR304" i="97"/>
  <c r="AR305" i="97"/>
  <c r="AR306" i="97"/>
  <c r="AR307" i="97"/>
  <c r="AR308" i="97"/>
  <c r="AR71" i="97"/>
  <c r="AR72" i="97"/>
  <c r="AR309" i="97"/>
  <c r="AR310" i="97"/>
  <c r="AR49" i="97"/>
  <c r="AR50" i="97"/>
  <c r="AR313" i="97"/>
  <c r="AR314" i="97"/>
  <c r="AR16" i="97"/>
  <c r="AR316" i="97"/>
  <c r="AR317" i="97"/>
  <c r="AR51" i="97"/>
  <c r="AR62" i="97"/>
  <c r="AR323" i="97"/>
  <c r="AR321" i="97"/>
  <c r="AR63" i="97"/>
  <c r="AR64" i="97"/>
  <c r="AR324" i="97"/>
  <c r="AR325" i="97"/>
  <c r="AR326" i="97"/>
  <c r="AR327" i="97"/>
  <c r="AR328" i="97"/>
  <c r="AR329" i="97"/>
  <c r="AR251" i="97"/>
  <c r="AA4" i="97" l="1"/>
  <c r="AB4" i="97"/>
  <c r="AA5" i="97"/>
  <c r="AB5" i="97"/>
  <c r="AA17" i="97"/>
  <c r="AB17" i="97"/>
  <c r="AA6" i="97"/>
  <c r="AB6" i="97"/>
  <c r="AA7" i="97"/>
  <c r="AB7" i="97"/>
  <c r="AA8" i="97"/>
  <c r="AB8" i="97"/>
  <c r="AA9" i="97"/>
  <c r="AB9" i="97"/>
  <c r="AA73" i="97"/>
  <c r="AB73" i="97"/>
  <c r="AA74" i="97"/>
  <c r="AB74" i="97"/>
  <c r="AA75" i="97"/>
  <c r="AB75" i="97"/>
  <c r="AA76" i="97"/>
  <c r="AB76" i="97"/>
  <c r="AA77" i="97"/>
  <c r="AB77" i="97"/>
  <c r="AA78" i="97"/>
  <c r="AB78" i="97"/>
  <c r="AA79" i="97"/>
  <c r="AB79" i="97"/>
  <c r="AA80" i="97"/>
  <c r="AB80" i="97"/>
  <c r="AA81" i="97"/>
  <c r="AB81" i="97"/>
  <c r="AA196" i="97"/>
  <c r="AB196" i="97"/>
  <c r="AA82" i="97"/>
  <c r="AB82" i="97"/>
  <c r="AA83" i="97"/>
  <c r="AB83" i="97"/>
  <c r="AA84" i="97"/>
  <c r="AB84" i="97"/>
  <c r="AA11" i="97"/>
  <c r="AB11" i="97"/>
  <c r="AA85" i="97"/>
  <c r="AB85" i="97"/>
  <c r="AA86" i="97"/>
  <c r="AB86" i="97"/>
  <c r="AA87" i="97"/>
  <c r="AB87" i="97"/>
  <c r="AA88" i="97"/>
  <c r="AB88" i="97"/>
  <c r="AA89" i="97"/>
  <c r="AB89" i="97"/>
  <c r="AA12" i="97"/>
  <c r="AB12" i="97"/>
  <c r="AA90" i="97"/>
  <c r="AB90" i="97"/>
  <c r="AA30" i="97"/>
  <c r="AB30" i="97"/>
  <c r="AA10" i="97"/>
  <c r="AB10" i="97"/>
  <c r="AA15" i="97"/>
  <c r="AB15" i="97"/>
  <c r="AA31" i="97"/>
  <c r="AB31" i="97"/>
  <c r="AA32" i="97"/>
  <c r="AB32" i="97"/>
  <c r="AA33" i="97"/>
  <c r="AB33" i="97"/>
  <c r="AA18" i="97"/>
  <c r="AB18" i="97"/>
  <c r="AA91" i="97"/>
  <c r="AB91" i="97"/>
  <c r="AA92" i="97"/>
  <c r="AB92" i="97"/>
  <c r="AA93" i="97"/>
  <c r="AB93" i="97"/>
  <c r="AA94" i="97"/>
  <c r="AB94" i="97"/>
  <c r="AA95" i="97"/>
  <c r="AB95" i="97"/>
  <c r="AA96" i="97"/>
  <c r="AB96" i="97"/>
  <c r="AA97" i="97"/>
  <c r="AB97" i="97"/>
  <c r="AA98" i="97"/>
  <c r="AB98" i="97"/>
  <c r="AA20" i="97"/>
  <c r="AB20" i="97"/>
  <c r="AA99" i="97"/>
  <c r="AB99" i="97"/>
  <c r="AA100" i="97"/>
  <c r="AB100" i="97"/>
  <c r="AA101" i="97"/>
  <c r="AB101" i="97"/>
  <c r="AA102" i="97"/>
  <c r="AB102" i="97"/>
  <c r="AA103" i="97"/>
  <c r="AB103" i="97"/>
  <c r="AA104" i="97"/>
  <c r="AB104" i="97"/>
  <c r="AA105" i="97"/>
  <c r="AB105" i="97"/>
  <c r="AA106" i="97"/>
  <c r="AB106" i="97"/>
  <c r="AA107" i="97"/>
  <c r="AB107" i="97"/>
  <c r="AA108" i="97"/>
  <c r="AB108" i="97"/>
  <c r="AA21" i="97"/>
  <c r="AB21" i="97"/>
  <c r="AA22" i="97"/>
  <c r="AB22" i="97"/>
  <c r="AA109" i="97"/>
  <c r="AB109" i="97"/>
  <c r="AA23" i="97"/>
  <c r="AB23" i="97"/>
  <c r="AA24" i="97"/>
  <c r="AB24" i="97"/>
  <c r="AA110" i="97"/>
  <c r="AB110" i="97"/>
  <c r="AA25" i="97"/>
  <c r="AB25" i="97"/>
  <c r="AA26" i="97"/>
  <c r="AB26" i="97"/>
  <c r="AA111" i="97"/>
  <c r="AB111" i="97"/>
  <c r="AA27" i="97"/>
  <c r="AB27" i="97"/>
  <c r="AA28" i="97"/>
  <c r="AB28" i="97"/>
  <c r="AA256" i="97"/>
  <c r="AB256" i="97"/>
  <c r="AA34" i="97"/>
  <c r="AB34" i="97"/>
  <c r="AA35" i="97"/>
  <c r="AB35" i="97"/>
  <c r="AA19" i="97"/>
  <c r="AB19" i="97"/>
  <c r="AA266" i="97"/>
  <c r="AB266" i="97"/>
  <c r="AA29" i="97"/>
  <c r="AB29" i="97"/>
  <c r="AA2" i="97"/>
  <c r="AB2" i="97"/>
  <c r="AA36" i="97"/>
  <c r="AB36" i="97"/>
  <c r="AA37" i="97"/>
  <c r="AB37" i="97"/>
  <c r="AA39" i="97"/>
  <c r="AB39" i="97"/>
  <c r="AA112" i="97"/>
  <c r="AB112" i="97"/>
  <c r="AA113" i="97"/>
  <c r="AB113" i="97"/>
  <c r="AA114" i="97"/>
  <c r="AB114" i="97"/>
  <c r="AA115" i="97"/>
  <c r="AB115" i="97"/>
  <c r="AA116" i="97"/>
  <c r="AB116" i="97"/>
  <c r="AA117" i="97"/>
  <c r="AB117" i="97"/>
  <c r="AA118" i="97"/>
  <c r="AB118" i="97"/>
  <c r="AA119" i="97"/>
  <c r="AB119" i="97"/>
  <c r="AA120" i="97"/>
  <c r="AB120" i="97"/>
  <c r="AA121" i="97"/>
  <c r="AB121" i="97"/>
  <c r="AA122" i="97"/>
  <c r="AB122" i="97"/>
  <c r="AA123" i="97"/>
  <c r="AB123" i="97"/>
  <c r="AA124" i="97"/>
  <c r="AB124" i="97"/>
  <c r="AA125" i="97"/>
  <c r="AB125" i="97"/>
  <c r="AA198" i="97"/>
  <c r="AB198" i="97"/>
  <c r="AA126" i="97"/>
  <c r="AB126" i="97"/>
  <c r="AA330" i="97"/>
  <c r="AB330" i="97"/>
  <c r="AA40" i="97"/>
  <c r="AB40" i="97"/>
  <c r="AA127" i="97"/>
  <c r="AB127" i="97"/>
  <c r="AA41" i="97"/>
  <c r="AB41" i="97"/>
  <c r="AA128" i="97"/>
  <c r="AB128" i="97"/>
  <c r="AA129" i="97"/>
  <c r="AB129" i="97"/>
  <c r="AA130" i="97"/>
  <c r="AB130" i="97"/>
  <c r="AA131" i="97"/>
  <c r="AB131" i="97"/>
  <c r="AA3" i="97"/>
  <c r="AB3" i="97"/>
  <c r="AA42" i="97"/>
  <c r="AB42" i="97"/>
  <c r="AA13" i="97"/>
  <c r="AB13" i="97"/>
  <c r="AA295" i="97"/>
  <c r="AB295" i="97"/>
  <c r="AA132" i="97"/>
  <c r="AB132" i="97"/>
  <c r="AA133" i="97"/>
  <c r="AB133" i="97"/>
  <c r="AA134" i="97"/>
  <c r="AB134" i="97"/>
  <c r="AA135" i="97"/>
  <c r="AB135" i="97"/>
  <c r="AA136" i="97"/>
  <c r="AB136" i="97"/>
  <c r="AA46" i="97"/>
  <c r="AB46" i="97"/>
  <c r="AA137" i="97"/>
  <c r="AB137" i="97"/>
  <c r="AA47" i="97"/>
  <c r="AB47" i="97"/>
  <c r="AA48" i="97"/>
  <c r="AB48" i="97"/>
  <c r="AA239" i="97"/>
  <c r="AB239" i="97"/>
  <c r="AA138" i="97"/>
  <c r="AB138" i="97"/>
  <c r="AA139" i="97"/>
  <c r="AB139" i="97"/>
  <c r="AA242" i="97"/>
  <c r="AB242" i="97"/>
  <c r="AA311" i="97"/>
  <c r="AB311" i="97"/>
  <c r="AA140" i="97"/>
  <c r="AB140" i="97"/>
  <c r="AA141" i="97"/>
  <c r="AB141" i="97"/>
  <c r="AA142" i="97"/>
  <c r="AB142" i="97"/>
  <c r="AA52" i="97"/>
  <c r="AB52" i="97"/>
  <c r="AA53" i="97"/>
  <c r="AB53" i="97"/>
  <c r="AA143" i="97"/>
  <c r="AB143" i="97"/>
  <c r="AA144" i="97"/>
  <c r="AB144" i="97"/>
  <c r="AA145" i="97"/>
  <c r="AB145" i="97"/>
  <c r="AA54" i="97"/>
  <c r="AB54" i="97"/>
  <c r="AA146" i="97"/>
  <c r="AB146" i="97"/>
  <c r="AA147" i="97"/>
  <c r="AB147" i="97"/>
  <c r="AA148" i="97"/>
  <c r="AB148" i="97"/>
  <c r="AA149" i="97"/>
  <c r="AB149" i="97"/>
  <c r="AA55" i="97"/>
  <c r="AB55" i="97"/>
  <c r="AA56" i="97"/>
  <c r="AB56" i="97"/>
  <c r="AA150" i="97"/>
  <c r="AB150" i="97"/>
  <c r="AA151" i="97"/>
  <c r="AB151" i="97"/>
  <c r="AA152" i="97"/>
  <c r="AB152" i="97"/>
  <c r="AA153" i="97"/>
  <c r="AB153" i="97"/>
  <c r="AA154" i="97"/>
  <c r="AB154" i="97"/>
  <c r="AA155" i="97"/>
  <c r="AB155" i="97"/>
  <c r="AA156" i="97"/>
  <c r="AB156" i="97"/>
  <c r="AA157" i="97"/>
  <c r="AB157" i="97"/>
  <c r="AA57" i="97"/>
  <c r="AB57" i="97"/>
  <c r="AA158" i="97"/>
  <c r="AB158" i="97"/>
  <c r="AA159" i="97"/>
  <c r="AB159" i="97"/>
  <c r="AA160" i="97"/>
  <c r="AB160" i="97"/>
  <c r="AA161" i="97"/>
  <c r="AB161" i="97"/>
  <c r="AA162" i="97"/>
  <c r="AB162" i="97"/>
  <c r="AA163" i="97"/>
  <c r="AB163" i="97"/>
  <c r="AA164" i="97"/>
  <c r="AB164" i="97"/>
  <c r="AA165" i="97"/>
  <c r="AB165" i="97"/>
  <c r="AA166" i="97"/>
  <c r="AB166" i="97"/>
  <c r="AA167" i="97"/>
  <c r="AB167" i="97"/>
  <c r="AA58" i="97"/>
  <c r="AB58" i="97"/>
  <c r="AA168" i="97"/>
  <c r="AB168" i="97"/>
  <c r="AA169" i="97"/>
  <c r="AB169" i="97"/>
  <c r="AA59" i="97"/>
  <c r="AB59" i="97"/>
  <c r="AA170" i="97"/>
  <c r="AB170" i="97"/>
  <c r="AA60" i="97"/>
  <c r="AB60" i="97"/>
  <c r="AA331" i="97"/>
  <c r="AB331" i="97"/>
  <c r="AA171" i="97"/>
  <c r="AB171" i="97"/>
  <c r="AA172" i="97"/>
  <c r="AB172" i="97"/>
  <c r="AA173" i="97"/>
  <c r="AB173" i="97"/>
  <c r="AA174" i="97"/>
  <c r="AB174" i="97"/>
  <c r="AA61" i="97"/>
  <c r="AB61" i="97"/>
  <c r="AA332" i="97"/>
  <c r="AB332" i="97"/>
  <c r="AA175" i="97"/>
  <c r="AB175" i="97"/>
  <c r="AA176" i="97"/>
  <c r="AB176" i="97"/>
  <c r="AA177" i="97"/>
  <c r="AB177" i="97"/>
  <c r="AA178" i="97"/>
  <c r="AB178" i="97"/>
  <c r="AA179" i="97"/>
  <c r="AB179" i="97"/>
  <c r="AA180" i="97"/>
  <c r="AB180" i="97"/>
  <c r="AA333" i="97"/>
  <c r="AB333" i="97"/>
  <c r="AA181" i="97"/>
  <c r="AB181" i="97"/>
  <c r="AA182" i="97"/>
  <c r="AB182" i="97"/>
  <c r="AA183" i="97"/>
  <c r="AB183" i="97"/>
  <c r="AA184" i="97"/>
  <c r="AB184" i="97"/>
  <c r="AA14" i="97"/>
  <c r="AB14" i="97"/>
  <c r="AA185" i="97"/>
  <c r="AB185" i="97"/>
  <c r="AA186" i="97"/>
  <c r="AB186" i="97"/>
  <c r="AA312" i="97"/>
  <c r="AB312" i="97"/>
  <c r="AA187" i="97"/>
  <c r="AB187" i="97"/>
  <c r="AA188" i="97"/>
  <c r="AB188" i="97"/>
  <c r="AA189" i="97"/>
  <c r="AB189" i="97"/>
  <c r="AA190" i="97"/>
  <c r="AB190" i="97"/>
  <c r="AA191" i="97"/>
  <c r="AB191" i="97"/>
  <c r="AA192" i="97"/>
  <c r="AB192" i="97"/>
  <c r="AA193" i="97"/>
  <c r="AB193" i="97"/>
  <c r="AA38" i="97"/>
  <c r="AB38" i="97"/>
  <c r="AA194" i="97"/>
  <c r="AB194" i="97"/>
  <c r="AA195" i="97"/>
  <c r="AB195" i="97"/>
  <c r="AA247" i="97"/>
  <c r="AB247" i="97"/>
  <c r="AA65" i="97"/>
  <c r="AB65" i="97"/>
  <c r="AA334" i="97"/>
  <c r="AB334" i="97"/>
  <c r="AA197" i="97"/>
  <c r="AB197" i="97"/>
  <c r="AA315" i="97"/>
  <c r="AB315" i="97"/>
  <c r="AA199" i="97"/>
  <c r="AB199" i="97"/>
  <c r="AA200" i="97"/>
  <c r="AB200" i="97"/>
  <c r="AA201" i="97"/>
  <c r="AB201" i="97"/>
  <c r="AA202" i="97"/>
  <c r="AB202" i="97"/>
  <c r="AA203" i="97"/>
  <c r="AB203" i="97"/>
  <c r="AA204" i="97"/>
  <c r="AB204" i="97"/>
  <c r="AA205" i="97"/>
  <c r="AB205" i="97"/>
  <c r="AA206" i="97"/>
  <c r="AB206" i="97"/>
  <c r="AA207" i="97"/>
  <c r="AB207" i="97"/>
  <c r="AA208" i="97"/>
  <c r="AB208" i="97"/>
  <c r="AA209" i="97"/>
  <c r="AB209" i="97"/>
  <c r="AA210" i="97"/>
  <c r="AB210" i="97"/>
  <c r="AA211" i="97"/>
  <c r="AB211" i="97"/>
  <c r="AA66" i="97"/>
  <c r="AB66" i="97"/>
  <c r="AA212" i="97"/>
  <c r="AB212" i="97"/>
  <c r="AA213" i="97"/>
  <c r="AB213" i="97"/>
  <c r="AA214" i="97"/>
  <c r="AB214" i="97"/>
  <c r="AA215" i="97"/>
  <c r="AB215" i="97"/>
  <c r="AA216" i="97"/>
  <c r="AB216" i="97"/>
  <c r="AA217" i="97"/>
  <c r="AB217" i="97"/>
  <c r="AA218" i="97"/>
  <c r="AB218" i="97"/>
  <c r="AA219" i="97"/>
  <c r="AB219" i="97"/>
  <c r="AA220" i="97"/>
  <c r="AB220" i="97"/>
  <c r="AA221" i="97"/>
  <c r="AB221" i="97"/>
  <c r="AA222" i="97"/>
  <c r="AB222" i="97"/>
  <c r="AA335" i="97"/>
  <c r="AB335" i="97"/>
  <c r="AA223" i="97"/>
  <c r="AB223" i="97"/>
  <c r="AA224" i="97"/>
  <c r="AB224" i="97"/>
  <c r="AA225" i="97"/>
  <c r="AB225" i="97"/>
  <c r="AA226" i="97"/>
  <c r="AB226" i="97"/>
  <c r="AA227" i="97"/>
  <c r="AB227" i="97"/>
  <c r="AA228" i="97"/>
  <c r="AB228" i="97"/>
  <c r="AA229" i="97"/>
  <c r="AB229" i="97"/>
  <c r="AA230" i="97"/>
  <c r="AB230" i="97"/>
  <c r="AA67" i="97"/>
  <c r="AB67" i="97"/>
  <c r="AA231" i="97"/>
  <c r="AB231" i="97"/>
  <c r="AA232" i="97"/>
  <c r="AB232" i="97"/>
  <c r="AA233" i="97"/>
  <c r="AB233" i="97"/>
  <c r="AA234" i="97"/>
  <c r="AB234" i="97"/>
  <c r="AA235" i="97"/>
  <c r="AB235" i="97"/>
  <c r="AA236" i="97"/>
  <c r="AB236" i="97"/>
  <c r="AA237" i="97"/>
  <c r="AB237" i="97"/>
  <c r="AA68" i="97"/>
  <c r="AB68" i="97"/>
  <c r="AA238" i="97"/>
  <c r="AB238" i="97"/>
  <c r="AA318" i="97"/>
  <c r="AB318" i="97"/>
  <c r="AA240" i="97"/>
  <c r="AB240" i="97"/>
  <c r="AA241" i="97"/>
  <c r="AB241" i="97"/>
  <c r="AA43" i="97"/>
  <c r="AB43" i="97"/>
  <c r="AA243" i="97"/>
  <c r="AB243" i="97"/>
  <c r="AA244" i="97"/>
  <c r="AB244" i="97"/>
  <c r="AA245" i="97"/>
  <c r="AB245" i="97"/>
  <c r="AA69" i="97"/>
  <c r="AB69" i="97"/>
  <c r="AA246" i="97"/>
  <c r="AB246" i="97"/>
  <c r="AA319" i="97"/>
  <c r="AB319" i="97"/>
  <c r="AA320" i="97"/>
  <c r="AB320" i="97"/>
  <c r="AA249" i="97"/>
  <c r="AB249" i="97"/>
  <c r="AA70" i="97"/>
  <c r="AB70" i="97"/>
  <c r="AA250" i="97"/>
  <c r="AB250" i="97"/>
  <c r="AA322" i="97"/>
  <c r="AB322" i="97"/>
  <c r="AA252" i="97"/>
  <c r="AB252" i="97"/>
  <c r="AA253" i="97"/>
  <c r="AB253" i="97"/>
  <c r="AA254" i="97"/>
  <c r="AB254" i="97"/>
  <c r="AA255" i="97"/>
  <c r="AB255" i="97"/>
  <c r="AA44" i="97"/>
  <c r="AB44" i="97"/>
  <c r="AA257" i="97"/>
  <c r="AB257" i="97"/>
  <c r="AA336" i="97"/>
  <c r="AB336" i="97"/>
  <c r="AA258" i="97"/>
  <c r="AB258" i="97"/>
  <c r="AA259" i="97"/>
  <c r="AB259" i="97"/>
  <c r="AA260" i="97"/>
  <c r="AB260" i="97"/>
  <c r="AA261" i="97"/>
  <c r="AB261" i="97"/>
  <c r="AA262" i="97"/>
  <c r="AB262" i="97"/>
  <c r="AA263" i="97"/>
  <c r="AB263" i="97"/>
  <c r="AA264" i="97"/>
  <c r="AB264" i="97"/>
  <c r="AA265" i="97"/>
  <c r="AB265" i="97"/>
  <c r="AA45" i="97"/>
  <c r="AB45" i="97"/>
  <c r="AA267" i="97"/>
  <c r="AB267" i="97"/>
  <c r="AA268" i="97"/>
  <c r="AB268" i="97"/>
  <c r="AA269" i="97"/>
  <c r="AB269" i="97"/>
  <c r="AA270" i="97"/>
  <c r="AB270" i="97"/>
  <c r="AA271" i="97"/>
  <c r="AB271" i="97"/>
  <c r="AA272" i="97"/>
  <c r="AB272" i="97"/>
  <c r="AA273" i="97"/>
  <c r="AB273" i="97"/>
  <c r="AA274" i="97"/>
  <c r="AB274" i="97"/>
  <c r="AA275" i="97"/>
  <c r="AB275" i="97"/>
  <c r="AA276" i="97"/>
  <c r="AB276" i="97"/>
  <c r="AA277" i="97"/>
  <c r="AB277" i="97"/>
  <c r="AA278" i="97"/>
  <c r="AB278" i="97"/>
  <c r="AA279" i="97"/>
  <c r="AB279" i="97"/>
  <c r="AA280" i="97"/>
  <c r="AB280" i="97"/>
  <c r="AA281" i="97"/>
  <c r="AB281" i="97"/>
  <c r="AA282" i="97"/>
  <c r="AB282" i="97"/>
  <c r="AA283" i="97"/>
  <c r="AB283" i="97"/>
  <c r="AA284" i="97"/>
  <c r="AB284" i="97"/>
  <c r="AA285" i="97"/>
  <c r="AB285" i="97"/>
  <c r="AA286" i="97"/>
  <c r="AB286" i="97"/>
  <c r="AA287" i="97"/>
  <c r="AB287" i="97"/>
  <c r="AA288" i="97"/>
  <c r="AB288" i="97"/>
  <c r="AA289" i="97"/>
  <c r="AB289" i="97"/>
  <c r="AA290" i="97"/>
  <c r="AB290" i="97"/>
  <c r="AA291" i="97"/>
  <c r="AB291" i="97"/>
  <c r="AA292" i="97"/>
  <c r="AB292" i="97"/>
  <c r="AA293" i="97"/>
  <c r="AB293" i="97"/>
  <c r="AA294" i="97"/>
  <c r="AB294" i="97"/>
  <c r="AA248" i="97"/>
  <c r="AB248" i="97"/>
  <c r="AA296" i="97"/>
  <c r="AB296" i="97"/>
  <c r="AA297" i="97"/>
  <c r="AB297" i="97"/>
  <c r="AA298" i="97"/>
  <c r="AB298" i="97"/>
  <c r="AA299" i="97"/>
  <c r="AB299" i="97"/>
  <c r="AA300" i="97"/>
  <c r="AB300" i="97"/>
  <c r="AA301" i="97"/>
  <c r="AB301" i="97"/>
  <c r="AA302" i="97"/>
  <c r="AB302" i="97"/>
  <c r="AA303" i="97"/>
  <c r="AB303" i="97"/>
  <c r="AA304" i="97"/>
  <c r="AB304" i="97"/>
  <c r="AA305" i="97"/>
  <c r="AB305" i="97"/>
  <c r="AA306" i="97"/>
  <c r="AB306" i="97"/>
  <c r="AA307" i="97"/>
  <c r="AB307" i="97"/>
  <c r="AA308" i="97"/>
  <c r="AB308" i="97"/>
  <c r="AA71" i="97"/>
  <c r="AB71" i="97"/>
  <c r="AA72" i="97"/>
  <c r="AB72" i="97"/>
  <c r="AA309" i="97"/>
  <c r="AB309" i="97"/>
  <c r="AA310" i="97"/>
  <c r="AB310" i="97"/>
  <c r="AA49" i="97"/>
  <c r="AB49" i="97"/>
  <c r="AA50" i="97"/>
  <c r="AB50" i="97"/>
  <c r="AA313" i="97"/>
  <c r="AB313" i="97"/>
  <c r="AA314" i="97"/>
  <c r="AB314" i="97"/>
  <c r="AA16" i="97"/>
  <c r="AB16" i="97"/>
  <c r="AA316" i="97"/>
  <c r="AB316" i="97"/>
  <c r="AA317" i="97"/>
  <c r="AB317" i="97"/>
  <c r="AA51" i="97"/>
  <c r="AB51" i="97"/>
  <c r="AA62" i="97"/>
  <c r="AB62" i="97"/>
  <c r="AA323" i="97"/>
  <c r="AB323" i="97"/>
  <c r="AA321" i="97"/>
  <c r="AB321" i="97"/>
  <c r="AA63" i="97"/>
  <c r="AB63" i="97"/>
  <c r="AA64" i="97"/>
  <c r="AB64" i="97"/>
  <c r="AA324" i="97"/>
  <c r="AB324" i="97"/>
  <c r="AA325" i="97"/>
  <c r="AB325" i="97"/>
  <c r="AA326" i="97"/>
  <c r="AB326" i="97"/>
  <c r="AA327" i="97"/>
  <c r="AB327" i="97"/>
  <c r="AA328" i="97"/>
  <c r="AB328" i="97"/>
  <c r="AA329" i="97"/>
  <c r="AB329" i="97"/>
  <c r="AB251" i="97"/>
  <c r="AA251" i="97"/>
  <c r="V15" i="95" l="1"/>
  <c r="W15" i="95" s="1"/>
  <c r="V14" i="95"/>
  <c r="W14" i="95" s="1"/>
  <c r="O5" i="92"/>
  <c r="P5" i="92"/>
  <c r="R5" i="92"/>
  <c r="S5" i="92"/>
  <c r="T5" i="92"/>
  <c r="O6" i="92"/>
  <c r="P6" i="92"/>
  <c r="R6" i="92"/>
  <c r="S6" i="92"/>
  <c r="T6" i="92"/>
  <c r="O7" i="92"/>
  <c r="P7" i="92"/>
  <c r="R7" i="92"/>
  <c r="S7" i="92"/>
  <c r="T7" i="92"/>
  <c r="O8" i="92"/>
  <c r="P8" i="92"/>
  <c r="R8" i="92"/>
  <c r="S8" i="92"/>
  <c r="T8" i="92"/>
  <c r="O9" i="92"/>
  <c r="P9" i="92"/>
  <c r="R9" i="92"/>
  <c r="S9" i="92"/>
  <c r="T9" i="92"/>
  <c r="O10" i="92"/>
  <c r="P10" i="92"/>
  <c r="R10" i="92"/>
  <c r="S10" i="92"/>
  <c r="T10" i="92"/>
  <c r="O11" i="92"/>
  <c r="P11" i="92"/>
  <c r="R11" i="92"/>
  <c r="S11" i="92"/>
  <c r="T11" i="92"/>
  <c r="O12" i="92"/>
  <c r="P12" i="92"/>
  <c r="R12" i="92"/>
  <c r="S12" i="92"/>
  <c r="T12" i="92"/>
  <c r="O13" i="92"/>
  <c r="P13" i="92"/>
  <c r="R13" i="92"/>
  <c r="S13" i="92"/>
  <c r="T13" i="92"/>
  <c r="O14" i="92"/>
  <c r="P14" i="92"/>
  <c r="R14" i="92"/>
  <c r="S14" i="92"/>
  <c r="T14" i="92"/>
  <c r="O15" i="92"/>
  <c r="P15" i="92"/>
  <c r="R15" i="92"/>
  <c r="S15" i="92"/>
  <c r="T15" i="92"/>
  <c r="O16" i="92"/>
  <c r="P16" i="92"/>
  <c r="R16" i="92"/>
  <c r="S16" i="92"/>
  <c r="T16" i="92"/>
  <c r="O17" i="92"/>
  <c r="P17" i="92"/>
  <c r="R17" i="92"/>
  <c r="S17" i="92"/>
  <c r="T17" i="92"/>
  <c r="O18" i="92"/>
  <c r="P18" i="92"/>
  <c r="R18" i="92"/>
  <c r="S18" i="92"/>
  <c r="T18" i="92"/>
  <c r="O19" i="92"/>
  <c r="P19" i="92"/>
  <c r="R19" i="92"/>
  <c r="S19" i="92"/>
  <c r="T19" i="92"/>
  <c r="O20" i="92"/>
  <c r="P20" i="92"/>
  <c r="R20" i="92"/>
  <c r="S20" i="92"/>
  <c r="T20" i="92"/>
  <c r="O21" i="92"/>
  <c r="P21" i="92"/>
  <c r="R21" i="92"/>
  <c r="S21" i="92"/>
  <c r="T21" i="92"/>
  <c r="O22" i="92"/>
  <c r="P22" i="92"/>
  <c r="R22" i="92"/>
  <c r="S22" i="92"/>
  <c r="T22" i="92"/>
  <c r="O23" i="92"/>
  <c r="P23" i="92"/>
  <c r="R23" i="92"/>
  <c r="S23" i="92"/>
  <c r="T23" i="92"/>
  <c r="O24" i="92"/>
  <c r="P24" i="92"/>
  <c r="R24" i="92"/>
  <c r="S24" i="92"/>
  <c r="T24" i="92"/>
  <c r="O25" i="92"/>
  <c r="P25" i="92"/>
  <c r="R25" i="92"/>
  <c r="S25" i="92"/>
  <c r="T25" i="92"/>
  <c r="O26" i="92"/>
  <c r="P26" i="92"/>
  <c r="R26" i="92"/>
  <c r="S26" i="92"/>
  <c r="T26" i="92"/>
  <c r="O27" i="92"/>
  <c r="P27" i="92"/>
  <c r="R27" i="92"/>
  <c r="S27" i="92"/>
  <c r="T27" i="92"/>
  <c r="O28" i="92"/>
  <c r="P28" i="92"/>
  <c r="R28" i="92"/>
  <c r="S28" i="92"/>
  <c r="T28" i="92"/>
  <c r="O29" i="92"/>
  <c r="P29" i="92"/>
  <c r="R29" i="92"/>
  <c r="S29" i="92"/>
  <c r="T29" i="92"/>
  <c r="O30" i="92"/>
  <c r="P30" i="92"/>
  <c r="R30" i="92"/>
  <c r="S30" i="92"/>
  <c r="T30" i="92"/>
  <c r="O31" i="92"/>
  <c r="P31" i="92"/>
  <c r="R31" i="92"/>
  <c r="S31" i="92"/>
  <c r="T31" i="92"/>
  <c r="O32" i="92"/>
  <c r="P32" i="92"/>
  <c r="R32" i="92"/>
  <c r="S32" i="92"/>
  <c r="T32" i="92"/>
  <c r="O33" i="92"/>
  <c r="P33" i="92"/>
  <c r="R33" i="92"/>
  <c r="S33" i="92"/>
  <c r="T33" i="92"/>
  <c r="O34" i="92"/>
  <c r="P34" i="92"/>
  <c r="R34" i="92"/>
  <c r="S34" i="92"/>
  <c r="T34" i="92"/>
  <c r="O35" i="92"/>
  <c r="P35" i="92"/>
  <c r="R35" i="92"/>
  <c r="S35" i="92"/>
  <c r="T35" i="92"/>
  <c r="O36" i="92"/>
  <c r="P36" i="92"/>
  <c r="R36" i="92"/>
  <c r="S36" i="92"/>
  <c r="T36" i="92"/>
  <c r="O37" i="92"/>
  <c r="P37" i="92"/>
  <c r="R37" i="92"/>
  <c r="S37" i="92"/>
  <c r="T37" i="92"/>
  <c r="O38" i="92"/>
  <c r="P38" i="92"/>
  <c r="R38" i="92"/>
  <c r="S38" i="92"/>
  <c r="T38" i="92"/>
  <c r="O39" i="92"/>
  <c r="P39" i="92"/>
  <c r="R39" i="92"/>
  <c r="S39" i="92"/>
  <c r="T39" i="92"/>
  <c r="O40" i="92"/>
  <c r="P40" i="92"/>
  <c r="R40" i="92"/>
  <c r="S40" i="92"/>
  <c r="T40" i="92"/>
  <c r="O41" i="92"/>
  <c r="P41" i="92"/>
  <c r="R41" i="92"/>
  <c r="S41" i="92"/>
  <c r="T41" i="92"/>
  <c r="O42" i="92"/>
  <c r="P42" i="92"/>
  <c r="R42" i="92"/>
  <c r="S42" i="92"/>
  <c r="T42" i="92"/>
  <c r="O43" i="92"/>
  <c r="P43" i="92"/>
  <c r="R43" i="92"/>
  <c r="S43" i="92"/>
  <c r="T43" i="92"/>
  <c r="O44" i="92"/>
  <c r="P44" i="92"/>
  <c r="R44" i="92"/>
  <c r="S44" i="92"/>
  <c r="T44" i="92"/>
  <c r="O45" i="92"/>
  <c r="P45" i="92"/>
  <c r="R45" i="92"/>
  <c r="S45" i="92"/>
  <c r="T45" i="92"/>
  <c r="O46" i="92"/>
  <c r="P46" i="92"/>
  <c r="R46" i="92"/>
  <c r="S46" i="92"/>
  <c r="T46" i="92"/>
  <c r="O47" i="92"/>
  <c r="P47" i="92"/>
  <c r="R47" i="92"/>
  <c r="S47" i="92"/>
  <c r="T47" i="92"/>
  <c r="O48" i="92"/>
  <c r="P48" i="92"/>
  <c r="R48" i="92"/>
  <c r="S48" i="92"/>
  <c r="T48" i="92"/>
  <c r="O49" i="92"/>
  <c r="P49" i="92"/>
  <c r="R49" i="92"/>
  <c r="S49" i="92"/>
  <c r="T49" i="92"/>
  <c r="O50" i="92"/>
  <c r="P50" i="92"/>
  <c r="R50" i="92"/>
  <c r="S50" i="92"/>
  <c r="T50" i="92"/>
  <c r="O51" i="92"/>
  <c r="P51" i="92"/>
  <c r="R51" i="92"/>
  <c r="S51" i="92"/>
  <c r="T51" i="92"/>
  <c r="O52" i="92"/>
  <c r="P52" i="92"/>
  <c r="R52" i="92"/>
  <c r="S52" i="92"/>
  <c r="T52" i="92"/>
  <c r="O53" i="92"/>
  <c r="P53" i="92"/>
  <c r="R53" i="92"/>
  <c r="S53" i="92"/>
  <c r="T53" i="92"/>
  <c r="O54" i="92"/>
  <c r="P54" i="92"/>
  <c r="R54" i="92"/>
  <c r="S54" i="92"/>
  <c r="T54" i="92"/>
  <c r="O55" i="92"/>
  <c r="P55" i="92"/>
  <c r="R55" i="92"/>
  <c r="S55" i="92"/>
  <c r="T55" i="92"/>
  <c r="O56" i="92"/>
  <c r="P56" i="92"/>
  <c r="R56" i="92"/>
  <c r="S56" i="92"/>
  <c r="T56" i="92"/>
  <c r="O57" i="92"/>
  <c r="P57" i="92"/>
  <c r="R57" i="92"/>
  <c r="S57" i="92"/>
  <c r="T57" i="92"/>
  <c r="O58" i="92"/>
  <c r="P58" i="92"/>
  <c r="R58" i="92"/>
  <c r="S58" i="92"/>
  <c r="T58" i="92"/>
  <c r="O59" i="92"/>
  <c r="P59" i="92"/>
  <c r="R59" i="92"/>
  <c r="S59" i="92"/>
  <c r="T59" i="92"/>
  <c r="O60" i="92"/>
  <c r="P60" i="92"/>
  <c r="R60" i="92"/>
  <c r="S60" i="92"/>
  <c r="T60" i="92"/>
  <c r="O61" i="92"/>
  <c r="P61" i="92"/>
  <c r="R61" i="92"/>
  <c r="S61" i="92"/>
  <c r="T61" i="92"/>
  <c r="O62" i="92"/>
  <c r="P62" i="92"/>
  <c r="R62" i="92"/>
  <c r="S62" i="92"/>
  <c r="T62" i="92"/>
  <c r="O63" i="92"/>
  <c r="P63" i="92"/>
  <c r="R63" i="92"/>
  <c r="S63" i="92"/>
  <c r="T63" i="92"/>
  <c r="O64" i="92"/>
  <c r="P64" i="92"/>
  <c r="R64" i="92"/>
  <c r="S64" i="92"/>
  <c r="T64" i="92"/>
  <c r="O65" i="92"/>
  <c r="P65" i="92"/>
  <c r="R65" i="92"/>
  <c r="S65" i="92"/>
  <c r="T65" i="92"/>
  <c r="O66" i="92"/>
  <c r="P66" i="92"/>
  <c r="R66" i="92"/>
  <c r="S66" i="92"/>
  <c r="T66" i="92"/>
  <c r="O67" i="92"/>
  <c r="P67" i="92"/>
  <c r="R67" i="92"/>
  <c r="S67" i="92"/>
  <c r="T67" i="92"/>
  <c r="O68" i="92"/>
  <c r="P68" i="92"/>
  <c r="R68" i="92"/>
  <c r="S68" i="92"/>
  <c r="T68" i="92"/>
  <c r="O69" i="92"/>
  <c r="P69" i="92"/>
  <c r="R69" i="92"/>
  <c r="S69" i="92"/>
  <c r="T69" i="92"/>
  <c r="O70" i="92"/>
  <c r="P70" i="92"/>
  <c r="R70" i="92"/>
  <c r="S70" i="92"/>
  <c r="T70" i="92"/>
  <c r="O71" i="92"/>
  <c r="P71" i="92"/>
  <c r="R71" i="92"/>
  <c r="S71" i="92"/>
  <c r="T71" i="92"/>
  <c r="O72" i="92"/>
  <c r="P72" i="92"/>
  <c r="R72" i="92"/>
  <c r="S72" i="92"/>
  <c r="T72" i="92"/>
  <c r="O73" i="92"/>
  <c r="P73" i="92"/>
  <c r="R73" i="92"/>
  <c r="S73" i="92"/>
  <c r="T73" i="92"/>
  <c r="O74" i="92"/>
  <c r="P74" i="92"/>
  <c r="R74" i="92"/>
  <c r="S74" i="92"/>
  <c r="T74" i="92"/>
  <c r="O75" i="92"/>
  <c r="P75" i="92"/>
  <c r="R75" i="92"/>
  <c r="S75" i="92"/>
  <c r="T75" i="92"/>
  <c r="O76" i="92"/>
  <c r="P76" i="92"/>
  <c r="R76" i="92"/>
  <c r="S76" i="92"/>
  <c r="T76" i="92"/>
  <c r="O77" i="92"/>
  <c r="P77" i="92"/>
  <c r="R77" i="92"/>
  <c r="S77" i="92"/>
  <c r="T77" i="92"/>
  <c r="O78" i="92"/>
  <c r="P78" i="92"/>
  <c r="R78" i="92"/>
  <c r="S78" i="92"/>
  <c r="T78" i="92"/>
  <c r="O79" i="92"/>
  <c r="P79" i="92"/>
  <c r="R79" i="92"/>
  <c r="S79" i="92"/>
  <c r="T79" i="92"/>
  <c r="O80" i="92"/>
  <c r="P80" i="92"/>
  <c r="R80" i="92"/>
  <c r="S80" i="92"/>
  <c r="T80" i="92"/>
  <c r="O81" i="92"/>
  <c r="P81" i="92"/>
  <c r="R81" i="92"/>
  <c r="S81" i="92"/>
  <c r="T81" i="92"/>
  <c r="O82" i="92"/>
  <c r="P82" i="92"/>
  <c r="R82" i="92"/>
  <c r="S82" i="92"/>
  <c r="T82" i="92"/>
  <c r="O83" i="92"/>
  <c r="P83" i="92"/>
  <c r="R83" i="92"/>
  <c r="S83" i="92"/>
  <c r="T83" i="92"/>
  <c r="O84" i="92"/>
  <c r="P84" i="92"/>
  <c r="R84" i="92"/>
  <c r="S84" i="92"/>
  <c r="T84" i="92"/>
  <c r="O85" i="92"/>
  <c r="P85" i="92"/>
  <c r="R85" i="92"/>
  <c r="S85" i="92"/>
  <c r="T85" i="92"/>
  <c r="O86" i="92"/>
  <c r="P86" i="92"/>
  <c r="R86" i="92"/>
  <c r="S86" i="92"/>
  <c r="T86" i="92"/>
  <c r="O87" i="92"/>
  <c r="P87" i="92"/>
  <c r="R87" i="92"/>
  <c r="S87" i="92"/>
  <c r="T87" i="92"/>
  <c r="O88" i="92"/>
  <c r="P88" i="92"/>
  <c r="R88" i="92"/>
  <c r="S88" i="92"/>
  <c r="T88" i="92"/>
  <c r="O89" i="92"/>
  <c r="P89" i="92"/>
  <c r="R89" i="92"/>
  <c r="S89" i="92"/>
  <c r="T89" i="92"/>
  <c r="O90" i="92"/>
  <c r="P90" i="92"/>
  <c r="R90" i="92"/>
  <c r="S90" i="92"/>
  <c r="T90" i="92"/>
  <c r="O91" i="92"/>
  <c r="P91" i="92"/>
  <c r="R91" i="92"/>
  <c r="S91" i="92"/>
  <c r="T91" i="92"/>
  <c r="O92" i="92"/>
  <c r="P92" i="92"/>
  <c r="R92" i="92"/>
  <c r="S92" i="92"/>
  <c r="T92" i="92"/>
  <c r="O93" i="92"/>
  <c r="P93" i="92"/>
  <c r="R93" i="92"/>
  <c r="S93" i="92"/>
  <c r="T93" i="92"/>
  <c r="O94" i="92"/>
  <c r="P94" i="92"/>
  <c r="R94" i="92"/>
  <c r="S94" i="92"/>
  <c r="T94" i="92"/>
  <c r="O95" i="92"/>
  <c r="P95" i="92"/>
  <c r="R95" i="92"/>
  <c r="S95" i="92"/>
  <c r="T95" i="92"/>
  <c r="O96" i="92"/>
  <c r="P96" i="92"/>
  <c r="R96" i="92"/>
  <c r="S96" i="92"/>
  <c r="T96" i="92"/>
  <c r="O97" i="92"/>
  <c r="P97" i="92"/>
  <c r="R97" i="92"/>
  <c r="S97" i="92"/>
  <c r="T97" i="92"/>
  <c r="O98" i="92"/>
  <c r="P98" i="92"/>
  <c r="R98" i="92"/>
  <c r="S98" i="92"/>
  <c r="T98" i="92"/>
  <c r="O99" i="92"/>
  <c r="P99" i="92"/>
  <c r="R99" i="92"/>
  <c r="S99" i="92"/>
  <c r="T99" i="92"/>
  <c r="O100" i="92"/>
  <c r="P100" i="92"/>
  <c r="R100" i="92"/>
  <c r="S100" i="92"/>
  <c r="T100" i="92"/>
  <c r="O101" i="92"/>
  <c r="P101" i="92"/>
  <c r="R101" i="92"/>
  <c r="S101" i="92"/>
  <c r="T101" i="92"/>
  <c r="O102" i="92"/>
  <c r="P102" i="92"/>
  <c r="R102" i="92"/>
  <c r="S102" i="92"/>
  <c r="T102" i="92"/>
  <c r="O103" i="92"/>
  <c r="P103" i="92"/>
  <c r="R103" i="92"/>
  <c r="S103" i="92"/>
  <c r="T103" i="92"/>
  <c r="O104" i="92"/>
  <c r="P104" i="92"/>
  <c r="R104" i="92"/>
  <c r="S104" i="92"/>
  <c r="T104" i="92"/>
  <c r="O105" i="92"/>
  <c r="P105" i="92"/>
  <c r="R105" i="92"/>
  <c r="S105" i="92"/>
  <c r="T105" i="92"/>
  <c r="O106" i="92"/>
  <c r="P106" i="92"/>
  <c r="R106" i="92"/>
  <c r="S106" i="92"/>
  <c r="T106" i="92"/>
  <c r="O107" i="92"/>
  <c r="P107" i="92"/>
  <c r="R107" i="92"/>
  <c r="S107" i="92"/>
  <c r="T107" i="92"/>
  <c r="O108" i="92"/>
  <c r="P108" i="92"/>
  <c r="R108" i="92"/>
  <c r="S108" i="92"/>
  <c r="T108" i="92"/>
  <c r="O109" i="92"/>
  <c r="P109" i="92"/>
  <c r="R109" i="92"/>
  <c r="S109" i="92"/>
  <c r="T109" i="92"/>
  <c r="O110" i="92"/>
  <c r="P110" i="92"/>
  <c r="R110" i="92"/>
  <c r="S110" i="92"/>
  <c r="T110" i="92"/>
  <c r="O111" i="92"/>
  <c r="P111" i="92"/>
  <c r="R111" i="92"/>
  <c r="S111" i="92"/>
  <c r="T111" i="92"/>
  <c r="O112" i="92"/>
  <c r="P112" i="92"/>
  <c r="R112" i="92"/>
  <c r="S112" i="92"/>
  <c r="T112" i="92"/>
  <c r="O113" i="92"/>
  <c r="P113" i="92"/>
  <c r="R113" i="92"/>
  <c r="S113" i="92"/>
  <c r="T113" i="92"/>
  <c r="O114" i="92"/>
  <c r="P114" i="92"/>
  <c r="R114" i="92"/>
  <c r="S114" i="92"/>
  <c r="T114" i="92"/>
  <c r="O115" i="92"/>
  <c r="P115" i="92"/>
  <c r="R115" i="92"/>
  <c r="S115" i="92"/>
  <c r="T115" i="92"/>
  <c r="O116" i="92"/>
  <c r="P116" i="92"/>
  <c r="R116" i="92"/>
  <c r="S116" i="92"/>
  <c r="T116" i="92"/>
  <c r="O117" i="92"/>
  <c r="P117" i="92"/>
  <c r="R117" i="92"/>
  <c r="S117" i="92"/>
  <c r="T117" i="92"/>
  <c r="O118" i="92"/>
  <c r="P118" i="92"/>
  <c r="R118" i="92"/>
  <c r="S118" i="92"/>
  <c r="T118" i="92"/>
  <c r="O119" i="92"/>
  <c r="P119" i="92"/>
  <c r="R119" i="92"/>
  <c r="S119" i="92"/>
  <c r="T119" i="92"/>
  <c r="O120" i="92"/>
  <c r="P120" i="92"/>
  <c r="R120" i="92"/>
  <c r="S120" i="92"/>
  <c r="T120" i="92"/>
  <c r="O121" i="92"/>
  <c r="P121" i="92"/>
  <c r="R121" i="92"/>
  <c r="S121" i="92"/>
  <c r="T121" i="92"/>
  <c r="O122" i="92"/>
  <c r="P122" i="92"/>
  <c r="R122" i="92"/>
  <c r="S122" i="92"/>
  <c r="T122" i="92"/>
  <c r="O123" i="92"/>
  <c r="P123" i="92"/>
  <c r="R123" i="92"/>
  <c r="S123" i="92"/>
  <c r="T123" i="92"/>
  <c r="O124" i="92"/>
  <c r="P124" i="92"/>
  <c r="R124" i="92"/>
  <c r="S124" i="92"/>
  <c r="T124" i="92"/>
  <c r="O125" i="92"/>
  <c r="P125" i="92"/>
  <c r="R125" i="92"/>
  <c r="S125" i="92"/>
  <c r="T125" i="92"/>
  <c r="O126" i="92"/>
  <c r="P126" i="92"/>
  <c r="R126" i="92"/>
  <c r="S126" i="92"/>
  <c r="T126" i="92"/>
  <c r="O127" i="92"/>
  <c r="P127" i="92"/>
  <c r="R127" i="92"/>
  <c r="S127" i="92"/>
  <c r="T127" i="92"/>
  <c r="O128" i="92"/>
  <c r="P128" i="92"/>
  <c r="R128" i="92"/>
  <c r="S128" i="92"/>
  <c r="T128" i="92"/>
  <c r="O129" i="92"/>
  <c r="P129" i="92"/>
  <c r="R129" i="92"/>
  <c r="S129" i="92"/>
  <c r="T129" i="92"/>
  <c r="O130" i="92"/>
  <c r="P130" i="92"/>
  <c r="R130" i="92"/>
  <c r="S130" i="92"/>
  <c r="T130" i="92"/>
  <c r="O131" i="92"/>
  <c r="P131" i="92"/>
  <c r="R131" i="92"/>
  <c r="S131" i="92"/>
  <c r="T131" i="92"/>
  <c r="O132" i="92"/>
  <c r="P132" i="92"/>
  <c r="R132" i="92"/>
  <c r="S132" i="92"/>
  <c r="T132" i="92"/>
  <c r="O133" i="92"/>
  <c r="P133" i="92"/>
  <c r="R133" i="92"/>
  <c r="S133" i="92"/>
  <c r="T133" i="92"/>
  <c r="O134" i="92"/>
  <c r="P134" i="92"/>
  <c r="R134" i="92"/>
  <c r="S134" i="92"/>
  <c r="T134" i="92"/>
  <c r="O135" i="92"/>
  <c r="P135" i="92"/>
  <c r="R135" i="92"/>
  <c r="S135" i="92"/>
  <c r="T135" i="92"/>
  <c r="O136" i="92"/>
  <c r="P136" i="92"/>
  <c r="R136" i="92"/>
  <c r="S136" i="92"/>
  <c r="T136" i="92"/>
  <c r="O137" i="92"/>
  <c r="P137" i="92"/>
  <c r="R137" i="92"/>
  <c r="S137" i="92"/>
  <c r="T137" i="92"/>
  <c r="O138" i="92"/>
  <c r="P138" i="92"/>
  <c r="R138" i="92"/>
  <c r="S138" i="92"/>
  <c r="T138" i="92"/>
  <c r="O139" i="92"/>
  <c r="P139" i="92"/>
  <c r="R139" i="92"/>
  <c r="S139" i="92"/>
  <c r="T139" i="92"/>
  <c r="O140" i="92"/>
  <c r="P140" i="92"/>
  <c r="R140" i="92"/>
  <c r="S140" i="92"/>
  <c r="T140" i="92"/>
  <c r="O141" i="92"/>
  <c r="P141" i="92"/>
  <c r="R141" i="92"/>
  <c r="S141" i="92"/>
  <c r="T141" i="92"/>
  <c r="O142" i="92"/>
  <c r="P142" i="92"/>
  <c r="R142" i="92"/>
  <c r="S142" i="92"/>
  <c r="T142" i="92"/>
  <c r="O143" i="92"/>
  <c r="P143" i="92"/>
  <c r="R143" i="92"/>
  <c r="S143" i="92"/>
  <c r="T143" i="92"/>
  <c r="O144" i="92"/>
  <c r="P144" i="92"/>
  <c r="R144" i="92"/>
  <c r="S144" i="92"/>
  <c r="T144" i="92"/>
  <c r="O145" i="92"/>
  <c r="P145" i="92"/>
  <c r="R145" i="92"/>
  <c r="S145" i="92"/>
  <c r="T145" i="92"/>
  <c r="O146" i="92"/>
  <c r="P146" i="92"/>
  <c r="R146" i="92"/>
  <c r="S146" i="92"/>
  <c r="T146" i="92"/>
  <c r="O147" i="92"/>
  <c r="P147" i="92"/>
  <c r="R147" i="92"/>
  <c r="S147" i="92"/>
  <c r="T147" i="92"/>
  <c r="O148" i="92"/>
  <c r="P148" i="92"/>
  <c r="R148" i="92"/>
  <c r="S148" i="92"/>
  <c r="T148" i="92"/>
  <c r="O149" i="92"/>
  <c r="P149" i="92"/>
  <c r="R149" i="92"/>
  <c r="S149" i="92"/>
  <c r="T149" i="92"/>
  <c r="O150" i="92"/>
  <c r="P150" i="92"/>
  <c r="R150" i="92"/>
  <c r="S150" i="92"/>
  <c r="T150" i="92"/>
  <c r="O151" i="92"/>
  <c r="P151" i="92"/>
  <c r="R151" i="92"/>
  <c r="S151" i="92"/>
  <c r="T151" i="92"/>
  <c r="O152" i="92"/>
  <c r="P152" i="92"/>
  <c r="R152" i="92"/>
  <c r="S152" i="92"/>
  <c r="T152" i="92"/>
  <c r="O153" i="92"/>
  <c r="P153" i="92"/>
  <c r="R153" i="92"/>
  <c r="S153" i="92"/>
  <c r="T153" i="92"/>
  <c r="O154" i="92"/>
  <c r="P154" i="92"/>
  <c r="R154" i="92"/>
  <c r="S154" i="92"/>
  <c r="T154" i="92"/>
  <c r="O155" i="92"/>
  <c r="P155" i="92"/>
  <c r="R155" i="92"/>
  <c r="S155" i="92"/>
  <c r="T155" i="92"/>
  <c r="O156" i="92"/>
  <c r="P156" i="92"/>
  <c r="R156" i="92"/>
  <c r="S156" i="92"/>
  <c r="T156" i="92"/>
  <c r="O157" i="92"/>
  <c r="P157" i="92"/>
  <c r="R157" i="92"/>
  <c r="S157" i="92"/>
  <c r="T157" i="92"/>
  <c r="O158" i="92"/>
  <c r="P158" i="92"/>
  <c r="R158" i="92"/>
  <c r="S158" i="92"/>
  <c r="T158" i="92"/>
  <c r="O159" i="92"/>
  <c r="P159" i="92"/>
  <c r="R159" i="92"/>
  <c r="S159" i="92"/>
  <c r="T159" i="92"/>
  <c r="O160" i="92"/>
  <c r="P160" i="92"/>
  <c r="R160" i="92"/>
  <c r="S160" i="92"/>
  <c r="T160" i="92"/>
  <c r="O161" i="92"/>
  <c r="P161" i="92"/>
  <c r="R161" i="92"/>
  <c r="S161" i="92"/>
  <c r="T161" i="92"/>
  <c r="O162" i="92"/>
  <c r="P162" i="92"/>
  <c r="R162" i="92"/>
  <c r="S162" i="92"/>
  <c r="T162" i="92"/>
  <c r="O163" i="92"/>
  <c r="P163" i="92"/>
  <c r="R163" i="92"/>
  <c r="S163" i="92"/>
  <c r="T163" i="92"/>
  <c r="O164" i="92"/>
  <c r="P164" i="92"/>
  <c r="R164" i="92"/>
  <c r="S164" i="92"/>
  <c r="T164" i="92"/>
  <c r="O165" i="92"/>
  <c r="P165" i="92"/>
  <c r="R165" i="92"/>
  <c r="S165" i="92"/>
  <c r="T165" i="92"/>
  <c r="O166" i="92"/>
  <c r="P166" i="92"/>
  <c r="R166" i="92"/>
  <c r="S166" i="92"/>
  <c r="T166" i="92"/>
  <c r="O167" i="92"/>
  <c r="P167" i="92"/>
  <c r="R167" i="92"/>
  <c r="S167" i="92"/>
  <c r="T167" i="92"/>
  <c r="O168" i="92"/>
  <c r="P168" i="92"/>
  <c r="R168" i="92"/>
  <c r="S168" i="92"/>
  <c r="T168" i="92"/>
  <c r="O169" i="92"/>
  <c r="P169" i="92"/>
  <c r="R169" i="92"/>
  <c r="S169" i="92"/>
  <c r="T169" i="92"/>
  <c r="O170" i="92"/>
  <c r="P170" i="92"/>
  <c r="R170" i="92"/>
  <c r="S170" i="92"/>
  <c r="T170" i="92"/>
  <c r="O171" i="92"/>
  <c r="P171" i="92"/>
  <c r="R171" i="92"/>
  <c r="S171" i="92"/>
  <c r="T171" i="92"/>
  <c r="O172" i="92"/>
  <c r="P172" i="92"/>
  <c r="R172" i="92"/>
  <c r="S172" i="92"/>
  <c r="T172" i="92"/>
  <c r="O173" i="92"/>
  <c r="P173" i="92"/>
  <c r="R173" i="92"/>
  <c r="S173" i="92"/>
  <c r="T173" i="92"/>
  <c r="O174" i="92"/>
  <c r="P174" i="92"/>
  <c r="R174" i="92"/>
  <c r="S174" i="92"/>
  <c r="T174" i="92"/>
  <c r="O175" i="92"/>
  <c r="P175" i="92"/>
  <c r="R175" i="92"/>
  <c r="S175" i="92"/>
  <c r="T175" i="92"/>
  <c r="O176" i="92"/>
  <c r="P176" i="92"/>
  <c r="R176" i="92"/>
  <c r="S176" i="92"/>
  <c r="T176" i="92"/>
  <c r="O177" i="92"/>
  <c r="P177" i="92"/>
  <c r="R177" i="92"/>
  <c r="S177" i="92"/>
  <c r="T177" i="92"/>
  <c r="O178" i="92"/>
  <c r="P178" i="92"/>
  <c r="R178" i="92"/>
  <c r="S178" i="92"/>
  <c r="T178" i="92"/>
  <c r="O179" i="92"/>
  <c r="P179" i="92"/>
  <c r="R179" i="92"/>
  <c r="S179" i="92"/>
  <c r="T179" i="92"/>
  <c r="O180" i="92"/>
  <c r="P180" i="92"/>
  <c r="R180" i="92"/>
  <c r="S180" i="92"/>
  <c r="T180" i="92"/>
  <c r="O181" i="92"/>
  <c r="P181" i="92"/>
  <c r="R181" i="92"/>
  <c r="S181" i="92"/>
  <c r="T181" i="92"/>
  <c r="O182" i="92"/>
  <c r="P182" i="92"/>
  <c r="R182" i="92"/>
  <c r="S182" i="92"/>
  <c r="T182" i="92"/>
  <c r="O183" i="92"/>
  <c r="P183" i="92"/>
  <c r="R183" i="92"/>
  <c r="S183" i="92"/>
  <c r="T183" i="92"/>
  <c r="O184" i="92"/>
  <c r="P184" i="92"/>
  <c r="R184" i="92"/>
  <c r="S184" i="92"/>
  <c r="T184" i="92"/>
  <c r="O185" i="92"/>
  <c r="P185" i="92"/>
  <c r="R185" i="92"/>
  <c r="S185" i="92"/>
  <c r="T185" i="92"/>
  <c r="O186" i="92"/>
  <c r="P186" i="92"/>
  <c r="R186" i="92"/>
  <c r="S186" i="92"/>
  <c r="T186" i="92"/>
  <c r="O187" i="92"/>
  <c r="P187" i="92"/>
  <c r="R187" i="92"/>
  <c r="S187" i="92"/>
  <c r="T187" i="92"/>
  <c r="O188" i="92"/>
  <c r="P188" i="92"/>
  <c r="R188" i="92"/>
  <c r="S188" i="92"/>
  <c r="T188" i="92"/>
  <c r="O189" i="92"/>
  <c r="P189" i="92"/>
  <c r="R189" i="92"/>
  <c r="S189" i="92"/>
  <c r="T189" i="92"/>
  <c r="O190" i="92"/>
  <c r="P190" i="92"/>
  <c r="R190" i="92"/>
  <c r="S190" i="92"/>
  <c r="T190" i="92"/>
  <c r="O191" i="92"/>
  <c r="P191" i="92"/>
  <c r="R191" i="92"/>
  <c r="S191" i="92"/>
  <c r="T191" i="92"/>
  <c r="O192" i="92"/>
  <c r="P192" i="92"/>
  <c r="R192" i="92"/>
  <c r="S192" i="92"/>
  <c r="T192" i="92"/>
  <c r="O193" i="92"/>
  <c r="P193" i="92"/>
  <c r="R193" i="92"/>
  <c r="S193" i="92"/>
  <c r="T193" i="92"/>
  <c r="O194" i="92"/>
  <c r="P194" i="92"/>
  <c r="R194" i="92"/>
  <c r="S194" i="92"/>
  <c r="T194" i="92"/>
  <c r="O195" i="92"/>
  <c r="P195" i="92"/>
  <c r="R195" i="92"/>
  <c r="S195" i="92"/>
  <c r="T195" i="92"/>
  <c r="O196" i="92"/>
  <c r="P196" i="92"/>
  <c r="R196" i="92"/>
  <c r="S196" i="92"/>
  <c r="T196" i="92"/>
  <c r="O197" i="92"/>
  <c r="P197" i="92"/>
  <c r="R197" i="92"/>
  <c r="S197" i="92"/>
  <c r="T197" i="92"/>
  <c r="O198" i="92"/>
  <c r="P198" i="92"/>
  <c r="R198" i="92"/>
  <c r="S198" i="92"/>
  <c r="T198" i="92"/>
  <c r="O199" i="92"/>
  <c r="P199" i="92"/>
  <c r="R199" i="92"/>
  <c r="S199" i="92"/>
  <c r="T199" i="92"/>
  <c r="O200" i="92"/>
  <c r="P200" i="92"/>
  <c r="R200" i="92"/>
  <c r="S200" i="92"/>
  <c r="T200" i="92"/>
  <c r="O201" i="92"/>
  <c r="P201" i="92"/>
  <c r="R201" i="92"/>
  <c r="S201" i="92"/>
  <c r="T201" i="92"/>
  <c r="O202" i="92"/>
  <c r="P202" i="92"/>
  <c r="R202" i="92"/>
  <c r="S202" i="92"/>
  <c r="T202" i="92"/>
  <c r="O203" i="92"/>
  <c r="P203" i="92"/>
  <c r="R203" i="92"/>
  <c r="S203" i="92"/>
  <c r="T203" i="92"/>
  <c r="O204" i="92"/>
  <c r="P204" i="92"/>
  <c r="R204" i="92"/>
  <c r="S204" i="92"/>
  <c r="T204" i="92"/>
  <c r="O205" i="92"/>
  <c r="P205" i="92"/>
  <c r="R205" i="92"/>
  <c r="S205" i="92"/>
  <c r="T205" i="92"/>
  <c r="O206" i="92"/>
  <c r="P206" i="92"/>
  <c r="R206" i="92"/>
  <c r="S206" i="92"/>
  <c r="T206" i="92"/>
  <c r="O207" i="92"/>
  <c r="P207" i="92"/>
  <c r="R207" i="92"/>
  <c r="S207" i="92"/>
  <c r="T207" i="92"/>
  <c r="O208" i="92"/>
  <c r="P208" i="92"/>
  <c r="R208" i="92"/>
  <c r="S208" i="92"/>
  <c r="T208" i="92"/>
  <c r="O209" i="92"/>
  <c r="P209" i="92"/>
  <c r="R209" i="92"/>
  <c r="S209" i="92"/>
  <c r="T209" i="92"/>
  <c r="O210" i="92"/>
  <c r="P210" i="92"/>
  <c r="R210" i="92"/>
  <c r="S210" i="92"/>
  <c r="T210" i="92"/>
  <c r="O211" i="92"/>
  <c r="P211" i="92"/>
  <c r="R211" i="92"/>
  <c r="S211" i="92"/>
  <c r="T211" i="92"/>
  <c r="O212" i="92"/>
  <c r="P212" i="92"/>
  <c r="R212" i="92"/>
  <c r="S212" i="92"/>
  <c r="T212" i="92"/>
  <c r="O213" i="92"/>
  <c r="P213" i="92"/>
  <c r="R213" i="92"/>
  <c r="S213" i="92"/>
  <c r="T213" i="92"/>
  <c r="O214" i="92"/>
  <c r="P214" i="92"/>
  <c r="R214" i="92"/>
  <c r="S214" i="92"/>
  <c r="T214" i="92"/>
  <c r="O215" i="92"/>
  <c r="P215" i="92"/>
  <c r="R215" i="92"/>
  <c r="S215" i="92"/>
  <c r="T215" i="92"/>
  <c r="O216" i="92"/>
  <c r="P216" i="92"/>
  <c r="R216" i="92"/>
  <c r="S216" i="92"/>
  <c r="T216" i="92"/>
  <c r="O217" i="92"/>
  <c r="P217" i="92"/>
  <c r="R217" i="92"/>
  <c r="S217" i="92"/>
  <c r="T217" i="92"/>
  <c r="O218" i="92"/>
  <c r="P218" i="92"/>
  <c r="R218" i="92"/>
  <c r="S218" i="92"/>
  <c r="T218" i="92"/>
  <c r="O219" i="92"/>
  <c r="P219" i="92"/>
  <c r="R219" i="92"/>
  <c r="S219" i="92"/>
  <c r="T219" i="92"/>
  <c r="O220" i="92"/>
  <c r="P220" i="92"/>
  <c r="R220" i="92"/>
  <c r="S220" i="92"/>
  <c r="T220" i="92"/>
  <c r="O221" i="92"/>
  <c r="P221" i="92"/>
  <c r="R221" i="92"/>
  <c r="S221" i="92"/>
  <c r="T221" i="92"/>
  <c r="O222" i="92"/>
  <c r="P222" i="92"/>
  <c r="R222" i="92"/>
  <c r="S222" i="92"/>
  <c r="T222" i="92"/>
  <c r="O223" i="92"/>
  <c r="P223" i="92"/>
  <c r="R223" i="92"/>
  <c r="S223" i="92"/>
  <c r="T223" i="92"/>
  <c r="O224" i="92"/>
  <c r="P224" i="92"/>
  <c r="R224" i="92"/>
  <c r="S224" i="92"/>
  <c r="T224" i="92"/>
  <c r="O225" i="92"/>
  <c r="P225" i="92"/>
  <c r="R225" i="92"/>
  <c r="S225" i="92"/>
  <c r="T225" i="92"/>
  <c r="O226" i="92"/>
  <c r="P226" i="92"/>
  <c r="R226" i="92"/>
  <c r="S226" i="92"/>
  <c r="T226" i="92"/>
  <c r="O227" i="92"/>
  <c r="P227" i="92"/>
  <c r="R227" i="92"/>
  <c r="S227" i="92"/>
  <c r="T227" i="92"/>
  <c r="O228" i="92"/>
  <c r="P228" i="92"/>
  <c r="R228" i="92"/>
  <c r="S228" i="92"/>
  <c r="T228" i="92"/>
  <c r="O229" i="92"/>
  <c r="P229" i="92"/>
  <c r="R229" i="92"/>
  <c r="S229" i="92"/>
  <c r="T229" i="92"/>
  <c r="O230" i="92"/>
  <c r="P230" i="92"/>
  <c r="R230" i="92"/>
  <c r="S230" i="92"/>
  <c r="T230" i="92"/>
  <c r="O231" i="92"/>
  <c r="P231" i="92"/>
  <c r="R231" i="92"/>
  <c r="S231" i="92"/>
  <c r="T231" i="92"/>
  <c r="O232" i="92"/>
  <c r="P232" i="92"/>
  <c r="R232" i="92"/>
  <c r="S232" i="92"/>
  <c r="T232" i="92"/>
  <c r="O233" i="92"/>
  <c r="P233" i="92"/>
  <c r="R233" i="92"/>
  <c r="S233" i="92"/>
  <c r="T233" i="92"/>
  <c r="O234" i="92"/>
  <c r="P234" i="92"/>
  <c r="R234" i="92"/>
  <c r="S234" i="92"/>
  <c r="T234" i="92"/>
  <c r="O235" i="92"/>
  <c r="P235" i="92"/>
  <c r="R235" i="92"/>
  <c r="S235" i="92"/>
  <c r="T235" i="92"/>
  <c r="O236" i="92"/>
  <c r="P236" i="92"/>
  <c r="R236" i="92"/>
  <c r="S236" i="92"/>
  <c r="T236" i="92"/>
  <c r="O237" i="92"/>
  <c r="P237" i="92"/>
  <c r="R237" i="92"/>
  <c r="S237" i="92"/>
  <c r="T237" i="92"/>
  <c r="O238" i="92"/>
  <c r="P238" i="92"/>
  <c r="R238" i="92"/>
  <c r="S238" i="92"/>
  <c r="T238" i="92"/>
  <c r="O239" i="92"/>
  <c r="P239" i="92"/>
  <c r="R239" i="92"/>
  <c r="S239" i="92"/>
  <c r="T239" i="92"/>
  <c r="O240" i="92"/>
  <c r="P240" i="92"/>
  <c r="R240" i="92"/>
  <c r="S240" i="92"/>
  <c r="T240" i="92"/>
  <c r="O241" i="92"/>
  <c r="P241" i="92"/>
  <c r="R241" i="92"/>
  <c r="S241" i="92"/>
  <c r="T241" i="92"/>
  <c r="O242" i="92"/>
  <c r="P242" i="92"/>
  <c r="R242" i="92"/>
  <c r="S242" i="92"/>
  <c r="T242" i="92"/>
  <c r="O243" i="92"/>
  <c r="P243" i="92"/>
  <c r="R243" i="92"/>
  <c r="S243" i="92"/>
  <c r="T243" i="92"/>
  <c r="O244" i="92"/>
  <c r="P244" i="92"/>
  <c r="R244" i="92"/>
  <c r="S244" i="92"/>
  <c r="T244" i="92"/>
  <c r="O245" i="92"/>
  <c r="P245" i="92"/>
  <c r="R245" i="92"/>
  <c r="S245" i="92"/>
  <c r="T245" i="92"/>
  <c r="O246" i="92"/>
  <c r="P246" i="92"/>
  <c r="R246" i="92"/>
  <c r="S246" i="92"/>
  <c r="T246" i="92"/>
  <c r="O247" i="92"/>
  <c r="P247" i="92"/>
  <c r="R247" i="92"/>
  <c r="S247" i="92"/>
  <c r="T247" i="92"/>
  <c r="O248" i="92"/>
  <c r="P248" i="92"/>
  <c r="R248" i="92"/>
  <c r="S248" i="92"/>
  <c r="T248" i="92"/>
  <c r="O249" i="92"/>
  <c r="P249" i="92"/>
  <c r="R249" i="92"/>
  <c r="S249" i="92"/>
  <c r="T249" i="92"/>
  <c r="O250" i="92"/>
  <c r="P250" i="92"/>
  <c r="R250" i="92"/>
  <c r="S250" i="92"/>
  <c r="T250" i="92"/>
  <c r="O251" i="92"/>
  <c r="P251" i="92"/>
  <c r="R251" i="92"/>
  <c r="S251" i="92"/>
  <c r="T251" i="92"/>
  <c r="O252" i="92"/>
  <c r="P252" i="92"/>
  <c r="R252" i="92"/>
  <c r="S252" i="92"/>
  <c r="T252" i="92"/>
  <c r="O253" i="92"/>
  <c r="P253" i="92"/>
  <c r="R253" i="92"/>
  <c r="S253" i="92"/>
  <c r="T253" i="92"/>
  <c r="O254" i="92"/>
  <c r="P254" i="92"/>
  <c r="R254" i="92"/>
  <c r="S254" i="92"/>
  <c r="T254" i="92"/>
  <c r="O255" i="92"/>
  <c r="P255" i="92"/>
  <c r="R255" i="92"/>
  <c r="S255" i="92"/>
  <c r="T255" i="92"/>
  <c r="O256" i="92"/>
  <c r="P256" i="92"/>
  <c r="R256" i="92"/>
  <c r="S256" i="92"/>
  <c r="T256" i="92"/>
  <c r="O257" i="92"/>
  <c r="P257" i="92"/>
  <c r="R257" i="92"/>
  <c r="S257" i="92"/>
  <c r="T257" i="92"/>
  <c r="O258" i="92"/>
  <c r="P258" i="92"/>
  <c r="R258" i="92"/>
  <c r="S258" i="92"/>
  <c r="T258" i="92"/>
  <c r="O259" i="92"/>
  <c r="P259" i="92"/>
  <c r="R259" i="92"/>
  <c r="S259" i="92"/>
  <c r="T259" i="92"/>
  <c r="O260" i="92"/>
  <c r="P260" i="92"/>
  <c r="R260" i="92"/>
  <c r="S260" i="92"/>
  <c r="T260" i="92"/>
  <c r="O261" i="92"/>
  <c r="P261" i="92"/>
  <c r="R261" i="92"/>
  <c r="S261" i="92"/>
  <c r="T261" i="92"/>
  <c r="O262" i="92"/>
  <c r="P262" i="92"/>
  <c r="R262" i="92"/>
  <c r="S262" i="92"/>
  <c r="T262" i="92"/>
  <c r="O263" i="92"/>
  <c r="P263" i="92"/>
  <c r="R263" i="92"/>
  <c r="S263" i="92"/>
  <c r="T263" i="92"/>
  <c r="O264" i="92"/>
  <c r="P264" i="92"/>
  <c r="R264" i="92"/>
  <c r="S264" i="92"/>
  <c r="T264" i="92"/>
  <c r="O265" i="92"/>
  <c r="P265" i="92"/>
  <c r="R265" i="92"/>
  <c r="S265" i="92"/>
  <c r="T265" i="92"/>
  <c r="O266" i="92"/>
  <c r="P266" i="92"/>
  <c r="R266" i="92"/>
  <c r="S266" i="92"/>
  <c r="T266" i="92"/>
  <c r="O267" i="92"/>
  <c r="P267" i="92"/>
  <c r="R267" i="92"/>
  <c r="S267" i="92"/>
  <c r="T267" i="92"/>
  <c r="O268" i="92"/>
  <c r="P268" i="92"/>
  <c r="R268" i="92"/>
  <c r="S268" i="92"/>
  <c r="T268" i="92"/>
  <c r="O269" i="92"/>
  <c r="P269" i="92"/>
  <c r="R269" i="92"/>
  <c r="S269" i="92"/>
  <c r="T269" i="92"/>
  <c r="O270" i="92"/>
  <c r="P270" i="92"/>
  <c r="R270" i="92"/>
  <c r="S270" i="92"/>
  <c r="T270" i="92"/>
  <c r="O271" i="92"/>
  <c r="P271" i="92"/>
  <c r="R271" i="92"/>
  <c r="S271" i="92"/>
  <c r="T271" i="92"/>
  <c r="O272" i="92"/>
  <c r="P272" i="92"/>
  <c r="R272" i="92"/>
  <c r="S272" i="92"/>
  <c r="T272" i="92"/>
  <c r="O273" i="92"/>
  <c r="P273" i="92"/>
  <c r="R273" i="92"/>
  <c r="S273" i="92"/>
  <c r="T273" i="92"/>
  <c r="O274" i="92"/>
  <c r="P274" i="92"/>
  <c r="R274" i="92"/>
  <c r="S274" i="92"/>
  <c r="T274" i="92"/>
  <c r="O275" i="92"/>
  <c r="P275" i="92"/>
  <c r="R275" i="92"/>
  <c r="S275" i="92"/>
  <c r="T275" i="92"/>
  <c r="O276" i="92"/>
  <c r="P276" i="92"/>
  <c r="R276" i="92"/>
  <c r="S276" i="92"/>
  <c r="T276" i="92"/>
  <c r="O277" i="92"/>
  <c r="P277" i="92"/>
  <c r="R277" i="92"/>
  <c r="S277" i="92"/>
  <c r="T277" i="92"/>
  <c r="O278" i="92"/>
  <c r="P278" i="92"/>
  <c r="R278" i="92"/>
  <c r="S278" i="92"/>
  <c r="T278" i="92"/>
  <c r="O279" i="92"/>
  <c r="P279" i="92"/>
  <c r="R279" i="92"/>
  <c r="S279" i="92"/>
  <c r="T279" i="92"/>
  <c r="O280" i="92"/>
  <c r="P280" i="92"/>
  <c r="R280" i="92"/>
  <c r="S280" i="92"/>
  <c r="T280" i="92"/>
  <c r="O281" i="92"/>
  <c r="P281" i="92"/>
  <c r="R281" i="92"/>
  <c r="S281" i="92"/>
  <c r="T281" i="92"/>
  <c r="O282" i="92"/>
  <c r="P282" i="92"/>
  <c r="R282" i="92"/>
  <c r="S282" i="92"/>
  <c r="T282" i="92"/>
  <c r="O283" i="92"/>
  <c r="P283" i="92"/>
  <c r="R283" i="92"/>
  <c r="S283" i="92"/>
  <c r="T283" i="92"/>
  <c r="O284" i="92"/>
  <c r="P284" i="92"/>
  <c r="R284" i="92"/>
  <c r="S284" i="92"/>
  <c r="T284" i="92"/>
  <c r="O285" i="92"/>
  <c r="P285" i="92"/>
  <c r="R285" i="92"/>
  <c r="S285" i="92"/>
  <c r="T285" i="92"/>
  <c r="O286" i="92"/>
  <c r="P286" i="92"/>
  <c r="R286" i="92"/>
  <c r="S286" i="92"/>
  <c r="T286" i="92"/>
  <c r="O287" i="92"/>
  <c r="P287" i="92"/>
  <c r="R287" i="92"/>
  <c r="S287" i="92"/>
  <c r="T287" i="92"/>
  <c r="O288" i="92"/>
  <c r="P288" i="92"/>
  <c r="R288" i="92"/>
  <c r="S288" i="92"/>
  <c r="T288" i="92"/>
  <c r="O289" i="92"/>
  <c r="P289" i="92"/>
  <c r="R289" i="92"/>
  <c r="S289" i="92"/>
  <c r="T289" i="92"/>
  <c r="O290" i="92"/>
  <c r="P290" i="92"/>
  <c r="R290" i="92"/>
  <c r="S290" i="92"/>
  <c r="T290" i="92"/>
  <c r="O291" i="92"/>
  <c r="P291" i="92"/>
  <c r="R291" i="92"/>
  <c r="S291" i="92"/>
  <c r="T291" i="92"/>
  <c r="O292" i="92"/>
  <c r="P292" i="92"/>
  <c r="R292" i="92"/>
  <c r="S292" i="92"/>
  <c r="T292" i="92"/>
  <c r="O293" i="92"/>
  <c r="P293" i="92"/>
  <c r="R293" i="92"/>
  <c r="S293" i="92"/>
  <c r="T293" i="92"/>
  <c r="O294" i="92"/>
  <c r="P294" i="92"/>
  <c r="R294" i="92"/>
  <c r="S294" i="92"/>
  <c r="T294" i="92"/>
  <c r="O295" i="92"/>
  <c r="P295" i="92"/>
  <c r="R295" i="92"/>
  <c r="S295" i="92"/>
  <c r="T295" i="92"/>
  <c r="O296" i="92"/>
  <c r="P296" i="92"/>
  <c r="R296" i="92"/>
  <c r="S296" i="92"/>
  <c r="T296" i="92"/>
  <c r="O297" i="92"/>
  <c r="P297" i="92"/>
  <c r="R297" i="92"/>
  <c r="S297" i="92"/>
  <c r="T297" i="92"/>
  <c r="O298" i="92"/>
  <c r="P298" i="92"/>
  <c r="R298" i="92"/>
  <c r="S298" i="92"/>
  <c r="T298" i="92"/>
  <c r="O299" i="92"/>
  <c r="P299" i="92"/>
  <c r="R299" i="92"/>
  <c r="S299" i="92"/>
  <c r="T299" i="92"/>
  <c r="O300" i="92"/>
  <c r="P300" i="92"/>
  <c r="R300" i="92"/>
  <c r="S300" i="92"/>
  <c r="T300" i="92"/>
  <c r="O301" i="92"/>
  <c r="P301" i="92"/>
  <c r="R301" i="92"/>
  <c r="S301" i="92"/>
  <c r="T301" i="92"/>
  <c r="O302" i="92"/>
  <c r="P302" i="92"/>
  <c r="R302" i="92"/>
  <c r="S302" i="92"/>
  <c r="T302" i="92"/>
  <c r="O303" i="92"/>
  <c r="P303" i="92"/>
  <c r="R303" i="92"/>
  <c r="S303" i="92"/>
  <c r="T303" i="92"/>
  <c r="O304" i="92"/>
  <c r="P304" i="92"/>
  <c r="R304" i="92"/>
  <c r="S304" i="92"/>
  <c r="T304" i="92"/>
  <c r="O305" i="92"/>
  <c r="P305" i="92"/>
  <c r="R305" i="92"/>
  <c r="S305" i="92"/>
  <c r="T305" i="92"/>
  <c r="O306" i="92"/>
  <c r="P306" i="92"/>
  <c r="R306" i="92"/>
  <c r="S306" i="92"/>
  <c r="T306" i="92"/>
  <c r="O307" i="92"/>
  <c r="P307" i="92"/>
  <c r="R307" i="92"/>
  <c r="S307" i="92"/>
  <c r="T307" i="92"/>
  <c r="O308" i="92"/>
  <c r="P308" i="92"/>
  <c r="R308" i="92"/>
  <c r="S308" i="92"/>
  <c r="T308" i="92"/>
  <c r="O309" i="92"/>
  <c r="P309" i="92"/>
  <c r="R309" i="92"/>
  <c r="S309" i="92"/>
  <c r="T309" i="92"/>
  <c r="O310" i="92"/>
  <c r="P310" i="92"/>
  <c r="R310" i="92"/>
  <c r="S310" i="92"/>
  <c r="T310" i="92"/>
  <c r="O311" i="92"/>
  <c r="P311" i="92"/>
  <c r="R311" i="92"/>
  <c r="S311" i="92"/>
  <c r="T311" i="92"/>
  <c r="O312" i="92"/>
  <c r="P312" i="92"/>
  <c r="R312" i="92"/>
  <c r="S312" i="92"/>
  <c r="T312" i="92"/>
  <c r="O313" i="92"/>
  <c r="P313" i="92"/>
  <c r="R313" i="92"/>
  <c r="S313" i="92"/>
  <c r="T313" i="92"/>
  <c r="O314" i="92"/>
  <c r="P314" i="92"/>
  <c r="R314" i="92"/>
  <c r="S314" i="92"/>
  <c r="T314" i="92"/>
  <c r="O315" i="92"/>
  <c r="P315" i="92"/>
  <c r="R315" i="92"/>
  <c r="S315" i="92"/>
  <c r="T315" i="92"/>
  <c r="O316" i="92"/>
  <c r="P316" i="92"/>
  <c r="R316" i="92"/>
  <c r="S316" i="92"/>
  <c r="T316" i="92"/>
  <c r="O317" i="92"/>
  <c r="P317" i="92"/>
  <c r="R317" i="92"/>
  <c r="S317" i="92"/>
  <c r="T317" i="92"/>
  <c r="O318" i="92"/>
  <c r="P318" i="92"/>
  <c r="R318" i="92"/>
  <c r="S318" i="92"/>
  <c r="T318" i="92"/>
  <c r="O319" i="92"/>
  <c r="P319" i="92"/>
  <c r="R319" i="92"/>
  <c r="S319" i="92"/>
  <c r="T319" i="92"/>
  <c r="O320" i="92"/>
  <c r="P320" i="92"/>
  <c r="R320" i="92"/>
  <c r="S320" i="92"/>
  <c r="T320" i="92"/>
  <c r="O321" i="92"/>
  <c r="P321" i="92"/>
  <c r="R321" i="92"/>
  <c r="S321" i="92"/>
  <c r="T321" i="92"/>
  <c r="O322" i="92"/>
  <c r="P322" i="92"/>
  <c r="R322" i="92"/>
  <c r="S322" i="92"/>
  <c r="T322" i="92"/>
  <c r="O323" i="92"/>
  <c r="P323" i="92"/>
  <c r="R323" i="92"/>
  <c r="S323" i="92"/>
  <c r="T323" i="92"/>
  <c r="O324" i="92"/>
  <c r="P324" i="92"/>
  <c r="R324" i="92"/>
  <c r="S324" i="92"/>
  <c r="T324" i="92"/>
  <c r="O325" i="92"/>
  <c r="P325" i="92"/>
  <c r="R325" i="92"/>
  <c r="S325" i="92"/>
  <c r="T325" i="92"/>
  <c r="O326" i="92"/>
  <c r="P326" i="92"/>
  <c r="R326" i="92"/>
  <c r="S326" i="92"/>
  <c r="T326" i="92"/>
  <c r="O327" i="92"/>
  <c r="P327" i="92"/>
  <c r="R327" i="92"/>
  <c r="S327" i="92"/>
  <c r="T327" i="92"/>
  <c r="O328" i="92"/>
  <c r="P328" i="92"/>
  <c r="R328" i="92"/>
  <c r="S328" i="92"/>
  <c r="T328" i="92"/>
  <c r="O329" i="92"/>
  <c r="P329" i="92"/>
  <c r="R329" i="92"/>
  <c r="S329" i="92"/>
  <c r="T329" i="92"/>
  <c r="O330" i="92"/>
  <c r="P330" i="92"/>
  <c r="R330" i="92"/>
  <c r="S330" i="92"/>
  <c r="T330" i="92"/>
  <c r="O331" i="92"/>
  <c r="P331" i="92"/>
  <c r="R331" i="92"/>
  <c r="S331" i="92"/>
  <c r="T331" i="92"/>
  <c r="O332" i="92"/>
  <c r="P332" i="92"/>
  <c r="R332" i="92"/>
  <c r="S332" i="92"/>
  <c r="T332" i="92"/>
  <c r="O333" i="92"/>
  <c r="P333" i="92"/>
  <c r="R333" i="92"/>
  <c r="S333" i="92"/>
  <c r="T333" i="92"/>
  <c r="O334" i="92"/>
  <c r="P334" i="92"/>
  <c r="R334" i="92"/>
  <c r="S334" i="92"/>
  <c r="T334" i="92"/>
  <c r="O335" i="92"/>
  <c r="P335" i="92"/>
  <c r="R335" i="92"/>
  <c r="S335" i="92"/>
  <c r="T335" i="92"/>
  <c r="O336" i="92"/>
  <c r="P336" i="92"/>
  <c r="R336" i="92"/>
  <c r="S336" i="92"/>
  <c r="T336" i="92"/>
  <c r="O337" i="92"/>
  <c r="P337" i="92"/>
  <c r="R337" i="92"/>
  <c r="S337" i="92"/>
  <c r="T337" i="92"/>
  <c r="O338" i="92"/>
  <c r="P338" i="92"/>
  <c r="R338" i="92"/>
  <c r="S338" i="92"/>
  <c r="T338" i="92"/>
  <c r="P4" i="92"/>
  <c r="R4" i="92"/>
  <c r="S4" i="92"/>
  <c r="T4" i="92"/>
  <c r="O4" i="92"/>
  <c r="U8" i="95"/>
  <c r="U9" i="95"/>
  <c r="U10" i="95"/>
  <c r="U11" i="95"/>
  <c r="U12" i="95"/>
  <c r="U13" i="95"/>
  <c r="J1" i="92"/>
  <c r="K1" i="92"/>
  <c r="L1" i="92"/>
  <c r="M1" i="92"/>
  <c r="N1" i="92"/>
  <c r="I1" i="92"/>
  <c r="P1" i="92" l="1"/>
  <c r="V13" i="95"/>
  <c r="W13" i="95" s="1"/>
  <c r="V12" i="95"/>
  <c r="W12" i="95" s="1"/>
  <c r="V11" i="95"/>
  <c r="W11" i="95" s="1"/>
  <c r="T1" i="92"/>
  <c r="V9" i="95"/>
  <c r="W9" i="95" s="1"/>
  <c r="S1" i="92"/>
  <c r="R1" i="92"/>
  <c r="V8" i="95"/>
  <c r="W8" i="95" s="1"/>
  <c r="O1" i="92"/>
  <c r="G1" i="27" l="1"/>
  <c r="H1" i="27" s="1"/>
  <c r="H33" i="95" l="1" a="1"/>
  <c r="H33" i="95" s="1"/>
  <c r="H32" i="95" a="1"/>
  <c r="H32" i="95" s="1"/>
  <c r="G31" i="95" a="1"/>
  <c r="G31" i="95" s="1"/>
  <c r="F31" i="95" a="1"/>
  <c r="F31" i="95" s="1"/>
  <c r="D31" i="95" a="1"/>
  <c r="D31" i="95" s="1"/>
  <c r="C31" i="95" a="1"/>
  <c r="C31" i="95" s="1"/>
  <c r="C33" i="95" a="1"/>
  <c r="C33" i="95" s="1"/>
  <c r="C32" i="95" a="1"/>
  <c r="C32" i="95" s="1"/>
  <c r="C30" i="95" a="1"/>
  <c r="C30" i="95" s="1"/>
  <c r="C29" i="95" a="1"/>
  <c r="C29" i="95" s="1"/>
  <c r="C27" i="95" a="1"/>
  <c r="C27" i="95" s="1"/>
  <c r="V19" i="93" a="1"/>
  <c r="V19" i="93" s="1"/>
  <c r="V20" i="93" a="1"/>
  <c r="V20" i="93" s="1"/>
  <c r="V22" i="93" a="1"/>
  <c r="V22" i="93" s="1"/>
  <c r="V23" i="93" a="1"/>
  <c r="V23" i="93" s="1"/>
  <c r="V24" i="93" a="1"/>
  <c r="V24" i="93" s="1"/>
  <c r="V25" i="93" a="1"/>
  <c r="V25" i="93" s="1"/>
  <c r="V26" i="93" a="1"/>
  <c r="V26" i="93" s="1"/>
  <c r="V27" i="93" a="1"/>
  <c r="V27" i="93" s="1"/>
  <c r="V43" i="93" a="1"/>
  <c r="V43" i="93" s="1"/>
  <c r="V44" i="93" a="1"/>
  <c r="V44" i="93" s="1"/>
  <c r="V45" i="93" a="1"/>
  <c r="V45" i="93" s="1"/>
  <c r="V46" i="93" a="1"/>
  <c r="V46" i="93" s="1"/>
  <c r="V47" i="93" a="1"/>
  <c r="V47" i="93" s="1"/>
  <c r="V48" i="93" a="1"/>
  <c r="V48" i="93" s="1"/>
  <c r="V49" i="93" a="1"/>
  <c r="V49" i="93" s="1"/>
  <c r="V50" i="93" a="1"/>
  <c r="V50" i="93" s="1"/>
  <c r="V51" i="93" a="1"/>
  <c r="V51" i="93" s="1"/>
  <c r="V67" i="93" a="1"/>
  <c r="V67" i="93" s="1"/>
  <c r="V68" i="93" a="1"/>
  <c r="V68" i="93" s="1"/>
  <c r="V69" i="93" a="1"/>
  <c r="V69" i="93" s="1"/>
  <c r="V70" i="93" a="1"/>
  <c r="V70" i="93" s="1"/>
  <c r="V72" i="93" a="1"/>
  <c r="V72" i="93" s="1"/>
  <c r="V73" i="93" a="1"/>
  <c r="V73" i="93" s="1"/>
  <c r="V74" i="93" a="1"/>
  <c r="V74" i="93" s="1"/>
  <c r="V75" i="93" a="1"/>
  <c r="V75" i="93" s="1"/>
  <c r="V76" i="93" a="1"/>
  <c r="V76" i="93" s="1"/>
  <c r="V90" i="93" a="1"/>
  <c r="V90" i="93" s="1"/>
  <c r="V91" i="93" a="1"/>
  <c r="V91" i="93" s="1"/>
  <c r="V92" i="93" a="1"/>
  <c r="V92" i="93" s="1"/>
  <c r="V93" i="93" a="1"/>
  <c r="V93" i="93" s="1"/>
  <c r="V95" i="93" a="1"/>
  <c r="V95" i="93" s="1"/>
  <c r="V96" i="93" a="1"/>
  <c r="V96" i="93" s="1"/>
  <c r="V97" i="93" a="1"/>
  <c r="V97" i="93" s="1"/>
  <c r="V98" i="93" a="1"/>
  <c r="V98" i="93" s="1"/>
  <c r="V99" i="93" a="1"/>
  <c r="V99" i="93" s="1"/>
  <c r="V100" i="93" a="1"/>
  <c r="V100" i="93" s="1"/>
  <c r="V114" i="93" a="1"/>
  <c r="V114" i="93" s="1"/>
  <c r="V115" i="93" a="1"/>
  <c r="V115" i="93" s="1"/>
  <c r="V116" i="93" a="1"/>
  <c r="V116" i="93" s="1"/>
  <c r="V118" i="93" a="1"/>
  <c r="V118" i="93" s="1"/>
  <c r="V119" i="93" a="1"/>
  <c r="V119" i="93" s="1"/>
  <c r="V120" i="93" a="1"/>
  <c r="V120" i="93" s="1"/>
  <c r="V121" i="93" a="1"/>
  <c r="V121" i="93" s="1"/>
  <c r="V122" i="93" a="1"/>
  <c r="V122" i="93" s="1"/>
  <c r="V123" i="93" a="1"/>
  <c r="V123" i="93" s="1"/>
  <c r="V124" i="93" a="1"/>
  <c r="V124" i="93" s="1"/>
  <c r="V138" i="93" a="1"/>
  <c r="V138" i="93" s="1"/>
  <c r="V139" i="93" a="1"/>
  <c r="V139" i="93" s="1"/>
  <c r="V140" i="93" a="1"/>
  <c r="V140" i="93" s="1"/>
  <c r="V141" i="93" a="1"/>
  <c r="V141" i="93" s="1"/>
  <c r="V142" i="93" a="1"/>
  <c r="V142" i="93" s="1"/>
  <c r="V143" i="93" a="1"/>
  <c r="V143" i="93" s="1"/>
  <c r="V144" i="93" a="1"/>
  <c r="V144" i="93" s="1"/>
  <c r="V145" i="93" a="1"/>
  <c r="V145" i="93" s="1"/>
  <c r="V146" i="93" a="1"/>
  <c r="V146" i="93" s="1"/>
  <c r="V147" i="93" a="1"/>
  <c r="V147" i="93" s="1"/>
  <c r="V148" i="93" a="1"/>
  <c r="V148" i="93" s="1"/>
  <c r="V162" i="93" a="1"/>
  <c r="V162" i="93" s="1"/>
  <c r="V163" i="93" a="1"/>
  <c r="V163" i="93" s="1"/>
  <c r="V164" i="93" a="1"/>
  <c r="V164" i="93" s="1"/>
  <c r="V165" i="93" a="1"/>
  <c r="V165" i="93" s="1"/>
  <c r="V166" i="93" a="1"/>
  <c r="V166" i="93" s="1"/>
  <c r="V167" i="93" a="1"/>
  <c r="V167" i="93" s="1"/>
  <c r="V168" i="93" a="1"/>
  <c r="V168" i="93" s="1"/>
  <c r="V169" i="93" a="1"/>
  <c r="V169" i="93" s="1"/>
  <c r="V170" i="93" a="1"/>
  <c r="V170" i="93" s="1"/>
  <c r="V171" i="93" a="1"/>
  <c r="V171" i="93" s="1"/>
  <c r="V172" i="93" a="1"/>
  <c r="V172" i="93" s="1"/>
  <c r="V186" i="93" a="1"/>
  <c r="V186" i="93" s="1"/>
  <c r="V187" i="93" a="1"/>
  <c r="V187" i="93" s="1"/>
  <c r="V188" i="93" a="1"/>
  <c r="V188" i="93" s="1"/>
  <c r="V189" i="93" a="1"/>
  <c r="V189" i="93" s="1"/>
  <c r="V190" i="93" a="1"/>
  <c r="V190" i="93" s="1"/>
  <c r="V191" i="93" a="1"/>
  <c r="V191" i="93" s="1"/>
  <c r="V192" i="93" a="1"/>
  <c r="V192" i="93" s="1"/>
  <c r="V193" i="93" a="1"/>
  <c r="V193" i="93" s="1"/>
  <c r="V195" i="93" a="1"/>
  <c r="V195" i="93" s="1"/>
  <c r="V196" i="93" a="1"/>
  <c r="V196" i="93" s="1"/>
  <c r="V210" i="93" a="1"/>
  <c r="V210" i="93" s="1"/>
  <c r="V211" i="93" a="1"/>
  <c r="V211" i="93" s="1"/>
  <c r="V212" i="93" a="1"/>
  <c r="V212" i="93" s="1"/>
  <c r="V213" i="93" a="1"/>
  <c r="V213" i="93" s="1"/>
  <c r="V214" i="93" a="1"/>
  <c r="V214" i="93" s="1"/>
  <c r="V215" i="93" a="1"/>
  <c r="V215" i="93" s="1"/>
  <c r="V216" i="93" a="1"/>
  <c r="V216" i="93" s="1"/>
  <c r="V217" i="93" a="1"/>
  <c r="V217" i="93" s="1"/>
  <c r="V218" i="93" a="1"/>
  <c r="V218" i="93" s="1"/>
  <c r="V219" i="93" a="1"/>
  <c r="V219" i="93" s="1"/>
  <c r="V220" i="93" a="1"/>
  <c r="V220" i="93" s="1"/>
  <c r="V234" i="93" a="1"/>
  <c r="V234" i="93" s="1"/>
  <c r="V235" i="93" a="1"/>
  <c r="V235" i="93" s="1"/>
  <c r="V236" i="93" a="1"/>
  <c r="V236" i="93" s="1"/>
  <c r="V237" i="93" a="1"/>
  <c r="V237" i="93" s="1"/>
  <c r="V238" i="93" a="1"/>
  <c r="V238" i="93" s="1"/>
  <c r="V239" i="93" a="1"/>
  <c r="V239" i="93" s="1"/>
  <c r="V240" i="93" a="1"/>
  <c r="V240" i="93" s="1"/>
  <c r="V241" i="93" a="1"/>
  <c r="V241" i="93" s="1"/>
  <c r="V242" i="93" a="1"/>
  <c r="V242" i="93" s="1"/>
  <c r="V243" i="93" a="1"/>
  <c r="V243" i="93" s="1"/>
  <c r="V244" i="93" a="1"/>
  <c r="V244" i="93" s="1"/>
  <c r="V256" i="93" a="1"/>
  <c r="V256" i="93" s="1"/>
  <c r="V258" i="93" a="1"/>
  <c r="V258" i="93" s="1"/>
  <c r="V259" i="93" a="1"/>
  <c r="V259" i="93" s="1"/>
  <c r="V260" i="93" a="1"/>
  <c r="V260" i="93" s="1"/>
  <c r="V261" i="93" a="1"/>
  <c r="V261" i="93" s="1"/>
  <c r="V262" i="93" a="1"/>
  <c r="V262" i="93" s="1"/>
  <c r="V263" i="93" a="1"/>
  <c r="V263" i="93" s="1"/>
  <c r="V264" i="93" a="1"/>
  <c r="V264" i="93" s="1"/>
  <c r="V265" i="93" a="1"/>
  <c r="V265" i="93" s="1"/>
  <c r="V266" i="93" a="1"/>
  <c r="V266" i="93" s="1"/>
  <c r="V267" i="93" a="1"/>
  <c r="V267" i="93" s="1"/>
  <c r="V268" i="93" a="1"/>
  <c r="V268" i="93" s="1"/>
  <c r="V280" i="93" a="1"/>
  <c r="V280" i="93" s="1"/>
  <c r="V282" i="93" a="1"/>
  <c r="V282" i="93" s="1"/>
  <c r="V284" i="93" a="1"/>
  <c r="V284" i="93" s="1"/>
  <c r="V285" i="93" a="1"/>
  <c r="V285" i="93" s="1"/>
  <c r="V286" i="93" a="1"/>
  <c r="V286" i="93" s="1"/>
  <c r="V287" i="93" a="1"/>
  <c r="V287" i="93" s="1"/>
  <c r="V288" i="93" a="1"/>
  <c r="V288" i="93" s="1"/>
  <c r="V289" i="93" a="1"/>
  <c r="V289" i="93" s="1"/>
  <c r="V290" i="93" a="1"/>
  <c r="V290" i="93" s="1"/>
  <c r="V291" i="93" a="1"/>
  <c r="V291" i="93" s="1"/>
  <c r="V292" i="93" a="1"/>
  <c r="V292" i="93" s="1"/>
  <c r="V304" i="93" a="1"/>
  <c r="V304" i="93" s="1"/>
  <c r="V306" i="93" a="1"/>
  <c r="V306" i="93" s="1"/>
  <c r="V307" i="93" a="1"/>
  <c r="V307" i="93" s="1"/>
  <c r="V308" i="93" a="1"/>
  <c r="V308" i="93" s="1"/>
  <c r="V309" i="93" a="1"/>
  <c r="V309" i="93" s="1"/>
  <c r="V310" i="93" a="1"/>
  <c r="V310" i="93" s="1"/>
  <c r="V311" i="93" a="1"/>
  <c r="V311" i="93" s="1"/>
  <c r="V312" i="93" a="1"/>
  <c r="V312" i="93" s="1"/>
  <c r="V313" i="93" a="1"/>
  <c r="V313" i="93" s="1"/>
  <c r="V315" i="93" a="1"/>
  <c r="V315" i="93" s="1"/>
  <c r="V316" i="93" a="1"/>
  <c r="V316" i="93" s="1"/>
  <c r="V328" i="93" a="1"/>
  <c r="V328" i="93" s="1"/>
  <c r="V330" i="93" a="1"/>
  <c r="V330" i="93" s="1"/>
  <c r="V331" i="93" a="1"/>
  <c r="V331" i="93" s="1"/>
  <c r="V332" i="93" a="1"/>
  <c r="V332" i="93" s="1"/>
  <c r="V333" i="93" a="1"/>
  <c r="V333" i="93" s="1"/>
  <c r="V334" i="93" a="1"/>
  <c r="V334" i="93" s="1"/>
  <c r="V335" i="93" a="1"/>
  <c r="V335" i="93" s="1"/>
  <c r="V336" i="93" a="1"/>
  <c r="V336" i="93" s="1"/>
  <c r="V337" i="93" a="1"/>
  <c r="V337" i="93" s="1"/>
  <c r="G67" i="95" a="1"/>
  <c r="G67" i="95"/>
  <c r="V329" i="93" a="1"/>
  <c r="V329" i="93" s="1"/>
  <c r="V327" i="93" a="1"/>
  <c r="V327" i="93" s="1"/>
  <c r="V326" i="93" a="1"/>
  <c r="V326" i="93" s="1"/>
  <c r="V319" i="93" a="1"/>
  <c r="V319" i="93" s="1"/>
  <c r="V318" i="93" a="1"/>
  <c r="V318" i="93" s="1"/>
  <c r="V317" i="93" a="1"/>
  <c r="V317" i="93" s="1"/>
  <c r="V305" i="93" a="1"/>
  <c r="V305" i="93" s="1"/>
  <c r="V303" i="93" a="1"/>
  <c r="V303" i="93" s="1"/>
  <c r="V301" i="93" a="1"/>
  <c r="V301" i="93" s="1"/>
  <c r="V300" i="93" a="1"/>
  <c r="V300" i="93" s="1"/>
  <c r="V299" i="93" a="1"/>
  <c r="V299" i="93" s="1"/>
  <c r="V298" i="93" a="1"/>
  <c r="V298" i="93" s="1"/>
  <c r="V297" i="93" a="1"/>
  <c r="V297" i="93" s="1"/>
  <c r="V296" i="93" a="1"/>
  <c r="V296" i="93" s="1"/>
  <c r="V295" i="93" a="1"/>
  <c r="V295" i="93" s="1"/>
  <c r="V294" i="93" a="1"/>
  <c r="V294" i="93" s="1"/>
  <c r="V293" i="93" a="1"/>
  <c r="V293" i="93" s="1"/>
  <c r="V281" i="93" a="1"/>
  <c r="V281" i="93" s="1"/>
  <c r="V279" i="93" a="1"/>
  <c r="V279" i="93" s="1"/>
  <c r="V278" i="93" a="1"/>
  <c r="V278" i="93" s="1"/>
  <c r="V277" i="93" a="1"/>
  <c r="V277" i="93" s="1"/>
  <c r="V276" i="93" a="1"/>
  <c r="V276" i="93" s="1"/>
  <c r="V275" i="93" a="1"/>
  <c r="V275" i="93" s="1"/>
  <c r="V274" i="93" a="1"/>
  <c r="V274" i="93" s="1"/>
  <c r="V273" i="93" a="1"/>
  <c r="V273" i="93" s="1"/>
  <c r="V272" i="93" a="1"/>
  <c r="V272" i="93" s="1"/>
  <c r="V271" i="93" a="1"/>
  <c r="V271" i="93" s="1"/>
  <c r="V270" i="93" a="1"/>
  <c r="V270" i="93" s="1"/>
  <c r="V269" i="93" a="1"/>
  <c r="V269" i="93" s="1"/>
  <c r="V257" i="93" a="1"/>
  <c r="V257" i="93" s="1"/>
  <c r="V255" i="93" a="1"/>
  <c r="V255" i="93" s="1"/>
  <c r="V254" i="93" a="1"/>
  <c r="V254" i="93" s="1"/>
  <c r="V253" i="93" a="1"/>
  <c r="V253" i="93" s="1"/>
  <c r="V252" i="93" a="1"/>
  <c r="V252" i="93" s="1"/>
  <c r="V251" i="93" a="1"/>
  <c r="V251" i="93" s="1"/>
  <c r="V250" i="93" a="1"/>
  <c r="V250" i="93" s="1"/>
  <c r="V249" i="93" a="1"/>
  <c r="V249" i="93" s="1"/>
  <c r="V248" i="93" a="1"/>
  <c r="V248" i="93" s="1"/>
  <c r="V247" i="93" a="1"/>
  <c r="V247" i="93" s="1"/>
  <c r="V246" i="93" a="1"/>
  <c r="V246" i="93" s="1"/>
  <c r="V245" i="93" a="1"/>
  <c r="V245" i="93" s="1"/>
  <c r="V233" i="93" a="1"/>
  <c r="V233" i="93" s="1"/>
  <c r="V232" i="93" a="1"/>
  <c r="V232" i="93" s="1"/>
  <c r="V231" i="93" a="1"/>
  <c r="V231" i="93" s="1"/>
  <c r="V230" i="93" a="1"/>
  <c r="V230" i="93" s="1"/>
  <c r="V229" i="93" a="1"/>
  <c r="V229" i="93" s="1"/>
  <c r="V228" i="93" a="1"/>
  <c r="V228" i="93" s="1"/>
  <c r="V227" i="93" a="1"/>
  <c r="V227" i="93" s="1"/>
  <c r="V226" i="93" a="1"/>
  <c r="V226" i="93" s="1"/>
  <c r="V225" i="93" a="1"/>
  <c r="V225" i="93" s="1"/>
  <c r="V224" i="93" a="1"/>
  <c r="V224" i="93" s="1"/>
  <c r="V223" i="93" a="1"/>
  <c r="V223" i="93" s="1"/>
  <c r="V222" i="93" a="1"/>
  <c r="V222" i="93" s="1"/>
  <c r="V221" i="93" a="1"/>
  <c r="V221" i="93" s="1"/>
  <c r="V209" i="93" a="1"/>
  <c r="V209" i="93" s="1"/>
  <c r="V208" i="93" a="1"/>
  <c r="V208" i="93" s="1"/>
  <c r="V207" i="93" a="1"/>
  <c r="V207" i="93" s="1"/>
  <c r="V206" i="93" a="1"/>
  <c r="V206" i="93" s="1"/>
  <c r="V205" i="93" a="1"/>
  <c r="V205" i="93" s="1"/>
  <c r="V204" i="93" a="1"/>
  <c r="V204" i="93" s="1"/>
  <c r="V203" i="93" a="1"/>
  <c r="V203" i="93" s="1"/>
  <c r="V202" i="93" a="1"/>
  <c r="V202" i="93" s="1"/>
  <c r="V201" i="93" a="1"/>
  <c r="V201" i="93" s="1"/>
  <c r="V200" i="93" a="1"/>
  <c r="V200" i="93" s="1"/>
  <c r="V199" i="93" a="1"/>
  <c r="V199" i="93" s="1"/>
  <c r="V198" i="93" a="1"/>
  <c r="V198" i="93" s="1"/>
  <c r="V197" i="93" a="1"/>
  <c r="V197" i="93" s="1"/>
  <c r="V185" i="93" a="1"/>
  <c r="V185" i="93" s="1"/>
  <c r="V184" i="93" a="1"/>
  <c r="V184" i="93" s="1"/>
  <c r="V183" i="93" a="1"/>
  <c r="V183" i="93" s="1"/>
  <c r="V182" i="93" a="1"/>
  <c r="V182" i="93" s="1"/>
  <c r="V181" i="93" a="1"/>
  <c r="V181" i="93" s="1"/>
  <c r="V179" i="93" a="1"/>
  <c r="V179" i="93" s="1"/>
  <c r="V178" i="93" a="1"/>
  <c r="V178" i="93" s="1"/>
  <c r="V177" i="93" a="1"/>
  <c r="V177" i="93" s="1"/>
  <c r="V176" i="93" a="1"/>
  <c r="V176" i="93" s="1"/>
  <c r="V175" i="93" a="1"/>
  <c r="V175" i="93" s="1"/>
  <c r="V174" i="93" a="1"/>
  <c r="V174" i="93" s="1"/>
  <c r="V173" i="93" a="1"/>
  <c r="V173" i="93" s="1"/>
  <c r="V161" i="93" a="1"/>
  <c r="V161" i="93" s="1"/>
  <c r="V160" i="93" a="1"/>
  <c r="V160" i="93" s="1"/>
  <c r="V159" i="93" a="1"/>
  <c r="V159" i="93" s="1"/>
  <c r="V158" i="93" a="1"/>
  <c r="V158" i="93" s="1"/>
  <c r="V157" i="93" a="1"/>
  <c r="V157" i="93" s="1"/>
  <c r="V156" i="93" a="1"/>
  <c r="V156" i="93" s="1"/>
  <c r="V155" i="93" a="1"/>
  <c r="V155" i="93" s="1"/>
  <c r="V154" i="93" a="1"/>
  <c r="V154" i="93" s="1"/>
  <c r="V153" i="93" a="1"/>
  <c r="V153" i="93" s="1"/>
  <c r="V152" i="93" a="1"/>
  <c r="V152" i="93" s="1"/>
  <c r="V151" i="93" a="1"/>
  <c r="V151" i="93" s="1"/>
  <c r="V150" i="93" a="1"/>
  <c r="V150" i="93" s="1"/>
  <c r="V149" i="93" a="1"/>
  <c r="V149" i="93" s="1"/>
  <c r="V137" i="93" a="1"/>
  <c r="V137" i="93" s="1"/>
  <c r="V136" i="93" a="1"/>
  <c r="V136" i="93" s="1"/>
  <c r="V135" i="93" a="1"/>
  <c r="V135" i="93" s="1"/>
  <c r="V134" i="93" a="1"/>
  <c r="V134" i="93" s="1"/>
  <c r="V133" i="93" a="1"/>
  <c r="V133" i="93" s="1"/>
  <c r="V132" i="93" a="1"/>
  <c r="V132" i="93" s="1"/>
  <c r="V131" i="93" a="1"/>
  <c r="V131" i="93" s="1"/>
  <c r="V130" i="93" a="1"/>
  <c r="V130" i="93" s="1"/>
  <c r="V129" i="93" a="1"/>
  <c r="V129" i="93" s="1"/>
  <c r="V128" i="93" a="1"/>
  <c r="V128" i="93" s="1"/>
  <c r="V127" i="93" a="1"/>
  <c r="V127" i="93" s="1"/>
  <c r="V126" i="93" a="1"/>
  <c r="V126" i="93" s="1"/>
  <c r="V125" i="93" a="1"/>
  <c r="V125" i="93" s="1"/>
  <c r="V113" i="93" a="1"/>
  <c r="V113" i="93" s="1"/>
  <c r="V112" i="93" a="1"/>
  <c r="V112" i="93" s="1"/>
  <c r="V111" i="93" a="1"/>
  <c r="V111" i="93" s="1"/>
  <c r="V110" i="93" a="1"/>
  <c r="V110" i="93" s="1"/>
  <c r="V109" i="93" a="1"/>
  <c r="V109" i="93" s="1"/>
  <c r="V108" i="93" a="1"/>
  <c r="V108" i="93" s="1"/>
  <c r="V107" i="93" a="1"/>
  <c r="V107" i="93" s="1"/>
  <c r="V106" i="93" a="1"/>
  <c r="V106" i="93" s="1"/>
  <c r="V105" i="93" a="1"/>
  <c r="V105" i="93" s="1"/>
  <c r="V103" i="93" a="1"/>
  <c r="V103" i="93" s="1"/>
  <c r="V102" i="93" a="1"/>
  <c r="V102" i="93" s="1"/>
  <c r="V101" i="93" a="1"/>
  <c r="V101" i="93" s="1"/>
  <c r="V89" i="93" a="1"/>
  <c r="V89" i="93" s="1"/>
  <c r="V88" i="93" a="1"/>
  <c r="V88" i="93" s="1"/>
  <c r="V87" i="93" a="1"/>
  <c r="V87" i="93" s="1"/>
  <c r="V86" i="93" a="1"/>
  <c r="V86" i="93" s="1"/>
  <c r="V85" i="93" a="1"/>
  <c r="V85" i="93" s="1"/>
  <c r="V84" i="93" a="1"/>
  <c r="V84" i="93" s="1"/>
  <c r="V83" i="93" a="1"/>
  <c r="V83" i="93" s="1"/>
  <c r="V82" i="93" a="1"/>
  <c r="V82" i="93" s="1"/>
  <c r="V81" i="93" a="1"/>
  <c r="V81" i="93" s="1"/>
  <c r="V80" i="93" a="1"/>
  <c r="V80" i="93" s="1"/>
  <c r="V79" i="93" a="1"/>
  <c r="V79" i="93" s="1"/>
  <c r="V78" i="93" a="1"/>
  <c r="V78" i="93" s="1"/>
  <c r="V77" i="93" a="1"/>
  <c r="V77" i="93" s="1"/>
  <c r="V66" i="93" a="1"/>
  <c r="V66" i="93" s="1"/>
  <c r="V65" i="93" a="1"/>
  <c r="V65" i="93" s="1"/>
  <c r="V64" i="93" a="1"/>
  <c r="V64" i="93" s="1"/>
  <c r="V63" i="93" a="1"/>
  <c r="V63" i="93" s="1"/>
  <c r="V62" i="93" a="1"/>
  <c r="V62" i="93" s="1"/>
  <c r="V61" i="93" a="1"/>
  <c r="V61" i="93" s="1"/>
  <c r="V60" i="93" a="1"/>
  <c r="V60" i="93" s="1"/>
  <c r="V59" i="93" a="1"/>
  <c r="V59" i="93" s="1"/>
  <c r="V58" i="93" a="1"/>
  <c r="V58" i="93" s="1"/>
  <c r="V57" i="93" a="1"/>
  <c r="V57" i="93" s="1"/>
  <c r="V56" i="93" a="1"/>
  <c r="V56" i="93" s="1"/>
  <c r="V55" i="93" a="1"/>
  <c r="V55" i="93" s="1"/>
  <c r="V54" i="93" a="1"/>
  <c r="V54" i="93" s="1"/>
  <c r="V53" i="93" a="1"/>
  <c r="V53" i="93" s="1"/>
  <c r="V52" i="93" a="1"/>
  <c r="V52" i="93" s="1"/>
  <c r="V42" i="93" a="1"/>
  <c r="V42" i="93" s="1"/>
  <c r="V41" i="93" a="1"/>
  <c r="V41" i="93" s="1"/>
  <c r="V40" i="93" a="1"/>
  <c r="V40" i="93" s="1"/>
  <c r="V39" i="93" a="1"/>
  <c r="V39" i="93" s="1"/>
  <c r="V38" i="93" a="1"/>
  <c r="V38" i="93" s="1"/>
  <c r="V37" i="93" a="1"/>
  <c r="V37" i="93" s="1"/>
  <c r="V35" i="93" a="1"/>
  <c r="V35" i="93" s="1"/>
  <c r="V34" i="93" a="1"/>
  <c r="V34" i="93" s="1"/>
  <c r="V33" i="93" a="1"/>
  <c r="V33" i="93" s="1"/>
  <c r="V32" i="93" a="1"/>
  <c r="V32" i="93" s="1"/>
  <c r="V31" i="93" a="1"/>
  <c r="V31" i="93" s="1"/>
  <c r="V30" i="93" a="1"/>
  <c r="V30" i="93" s="1"/>
  <c r="V29" i="93" a="1"/>
  <c r="V29" i="93" s="1"/>
  <c r="V28" i="93" a="1"/>
  <c r="V28" i="93" s="1"/>
  <c r="V18" i="93" a="1"/>
  <c r="V18" i="93" s="1"/>
  <c r="V17" i="93" a="1"/>
  <c r="V17" i="93" s="1"/>
  <c r="V16" i="93" a="1"/>
  <c r="V16" i="93" s="1"/>
  <c r="V15" i="93" a="1"/>
  <c r="V15" i="93" s="1"/>
  <c r="V14" i="93" a="1"/>
  <c r="V14" i="93" s="1"/>
  <c r="V13" i="93" a="1"/>
  <c r="V13" i="93" s="1"/>
  <c r="V12" i="93" a="1"/>
  <c r="V12" i="93" s="1"/>
  <c r="V11" i="93" a="1"/>
  <c r="V11" i="93" s="1"/>
  <c r="V9" i="93" a="1"/>
  <c r="V9" i="93" s="1"/>
  <c r="V8" i="93" a="1"/>
  <c r="V8" i="93" s="1"/>
  <c r="V7" i="93" a="1"/>
  <c r="V7" i="93" s="1"/>
  <c r="V6" i="93" a="1"/>
  <c r="V6" i="93" s="1"/>
  <c r="V5" i="93" a="1"/>
  <c r="V5" i="93" s="1"/>
  <c r="V4" i="93" a="1"/>
  <c r="V4" i="93" s="1"/>
  <c r="E17" i="95"/>
  <c r="C14" i="95" l="1" a="1"/>
  <c r="C14" i="95" s="1"/>
  <c r="V283" i="93" a="1"/>
  <c r="V283" i="93" s="1"/>
  <c r="V314" i="93" a="1"/>
  <c r="V314" i="93" s="1"/>
  <c r="V338" i="93" a="1"/>
  <c r="V338" i="93" s="1"/>
  <c r="C16" i="95"/>
  <c r="C15" i="95"/>
  <c r="B3" i="95" l="1" a="1"/>
  <c r="B3" i="95" s="1"/>
  <c r="M14" i="95"/>
  <c r="M15" i="95"/>
  <c r="M12" i="95"/>
  <c r="M11" i="95"/>
  <c r="M13" i="95"/>
  <c r="D5" i="95" l="1"/>
  <c r="J4" i="95"/>
  <c r="H7" i="95"/>
  <c r="G7" i="95"/>
  <c r="J6" i="95"/>
  <c r="C7" i="95"/>
  <c r="C6" i="95"/>
  <c r="E7" i="95"/>
  <c r="H6" i="95"/>
  <c r="D6" i="95"/>
  <c r="D7" i="95"/>
  <c r="H4" i="95"/>
  <c r="C5" i="95"/>
  <c r="I4" i="95"/>
  <c r="I7" i="95"/>
  <c r="D4" i="95"/>
  <c r="F5" i="95"/>
  <c r="C4" i="95"/>
  <c r="I6" i="95"/>
  <c r="G6" i="95"/>
  <c r="E5" i="95"/>
  <c r="F6" i="95"/>
  <c r="J7" i="95"/>
  <c r="E6" i="95"/>
  <c r="G4" i="95"/>
  <c r="F4" i="95"/>
  <c r="I5" i="95"/>
  <c r="E4" i="95"/>
  <c r="H5" i="95"/>
  <c r="J5" i="95"/>
  <c r="F7" i="95"/>
  <c r="G5" i="95"/>
  <c r="E3" i="95"/>
  <c r="F3" i="95"/>
  <c r="D3" i="95"/>
  <c r="G3" i="95"/>
  <c r="H3" i="95"/>
  <c r="I3" i="95"/>
  <c r="J3" i="95"/>
  <c r="C3" i="95"/>
  <c r="M16" i="95"/>
  <c r="C18" i="95"/>
  <c r="G65" i="95"/>
  <c r="C38" i="95"/>
  <c r="E38" i="95"/>
  <c r="F38" i="95"/>
  <c r="G38" i="95"/>
  <c r="H38" i="95"/>
  <c r="B38" i="95"/>
  <c r="J33" i="95" l="1"/>
  <c r="I33" i="95"/>
  <c r="G33" i="95"/>
  <c r="F33" i="95"/>
  <c r="D33" i="95"/>
  <c r="I32" i="95"/>
  <c r="G32" i="95"/>
  <c r="F32" i="95"/>
  <c r="D32" i="95"/>
  <c r="H31" i="95"/>
  <c r="G30" i="95"/>
  <c r="F30" i="95"/>
  <c r="D30" i="95"/>
  <c r="F29" i="95"/>
  <c r="D29" i="95"/>
  <c r="D27" i="95"/>
  <c r="C26" i="95"/>
  <c r="E20" i="95" l="1"/>
  <c r="E15" i="95"/>
  <c r="D15" i="95"/>
  <c r="J20" i="95"/>
  <c r="I20" i="95"/>
  <c r="H20" i="95"/>
  <c r="G20" i="95"/>
  <c r="F20" i="95"/>
  <c r="D20" i="95"/>
  <c r="C20" i="95"/>
  <c r="I19" i="95"/>
  <c r="H19" i="95"/>
  <c r="G19" i="95"/>
  <c r="F19" i="95"/>
  <c r="D19" i="95"/>
  <c r="C19" i="95"/>
  <c r="H18" i="95"/>
  <c r="G18" i="95"/>
  <c r="F18" i="95"/>
  <c r="D18" i="95"/>
  <c r="G17" i="95"/>
  <c r="F17" i="95"/>
  <c r="D17" i="95"/>
  <c r="C17" i="95"/>
  <c r="F16" i="95"/>
  <c r="D16" i="95"/>
  <c r="D14" i="95"/>
  <c r="C13" i="95"/>
  <c r="A5" i="94"/>
  <c r="A6" i="94"/>
  <c r="A7" i="94"/>
  <c r="A8" i="94"/>
  <c r="A9" i="94"/>
  <c r="A10" i="94"/>
  <c r="A11" i="94"/>
  <c r="A12" i="94"/>
  <c r="A13" i="94"/>
  <c r="A14" i="94"/>
  <c r="A15" i="94"/>
  <c r="A16" i="94"/>
  <c r="A17" i="94"/>
  <c r="A18" i="94"/>
  <c r="A19" i="94"/>
  <c r="A20" i="94"/>
  <c r="A21" i="94"/>
  <c r="A22" i="94"/>
  <c r="A23" i="94"/>
  <c r="A24" i="94"/>
  <c r="A25" i="94"/>
  <c r="A26" i="94"/>
  <c r="A27" i="94"/>
  <c r="A28" i="94"/>
  <c r="A29" i="94"/>
  <c r="A30" i="94"/>
  <c r="A31" i="94"/>
  <c r="A32" i="94"/>
  <c r="A33" i="94"/>
  <c r="A34" i="94"/>
  <c r="A35" i="94"/>
  <c r="A36" i="94"/>
  <c r="A37" i="94"/>
  <c r="A38" i="94"/>
  <c r="A39" i="94"/>
  <c r="A40" i="94"/>
  <c r="A41" i="94"/>
  <c r="A42" i="94"/>
  <c r="A43" i="94"/>
  <c r="A44" i="94"/>
  <c r="A45" i="94"/>
  <c r="A46" i="94"/>
  <c r="A47" i="94"/>
  <c r="A48" i="94"/>
  <c r="A49" i="94"/>
  <c r="A50" i="94"/>
  <c r="A51" i="94"/>
  <c r="A52" i="94"/>
  <c r="A53" i="94"/>
  <c r="A54" i="94"/>
  <c r="A55" i="94"/>
  <c r="A56" i="94"/>
  <c r="A57" i="94"/>
  <c r="A58" i="94"/>
  <c r="A59" i="94"/>
  <c r="A60" i="94"/>
  <c r="A61" i="94"/>
  <c r="A62" i="94"/>
  <c r="A63" i="94"/>
  <c r="A64" i="94"/>
  <c r="A65" i="94"/>
  <c r="A66" i="94"/>
  <c r="A67" i="94"/>
  <c r="A68" i="94"/>
  <c r="A69" i="94"/>
  <c r="A70" i="94"/>
  <c r="A71" i="94"/>
  <c r="A72" i="94"/>
  <c r="A73" i="94"/>
  <c r="A74" i="94"/>
  <c r="A75" i="94"/>
  <c r="A76" i="94"/>
  <c r="A77" i="94"/>
  <c r="A78" i="94"/>
  <c r="A79" i="94"/>
  <c r="A80" i="94"/>
  <c r="A81" i="94"/>
  <c r="A82" i="94"/>
  <c r="A83" i="94"/>
  <c r="A84" i="94"/>
  <c r="A85" i="94"/>
  <c r="A86" i="94"/>
  <c r="A87" i="94"/>
  <c r="A88" i="94"/>
  <c r="A89" i="94"/>
  <c r="A90" i="94"/>
  <c r="A91" i="94"/>
  <c r="A92" i="94"/>
  <c r="A93" i="94"/>
  <c r="A94" i="94"/>
  <c r="A95" i="94"/>
  <c r="A96" i="94"/>
  <c r="A97" i="94"/>
  <c r="A98" i="94"/>
  <c r="A99" i="94"/>
  <c r="A100" i="94"/>
  <c r="A101" i="94"/>
  <c r="A102" i="94"/>
  <c r="A103" i="94"/>
  <c r="A104" i="94"/>
  <c r="A105" i="94"/>
  <c r="A106" i="94"/>
  <c r="A107" i="94"/>
  <c r="A108" i="94"/>
  <c r="A109" i="94"/>
  <c r="A110" i="94"/>
  <c r="A111" i="94"/>
  <c r="A112" i="94"/>
  <c r="A113" i="94"/>
  <c r="A114" i="94"/>
  <c r="A115" i="94"/>
  <c r="A116" i="94"/>
  <c r="A117" i="94"/>
  <c r="A118" i="94"/>
  <c r="A119" i="94"/>
  <c r="A120" i="94"/>
  <c r="A121" i="94"/>
  <c r="A122" i="94"/>
  <c r="A123" i="94"/>
  <c r="A124" i="94"/>
  <c r="A125" i="94"/>
  <c r="A126" i="94"/>
  <c r="A127" i="94"/>
  <c r="A128" i="94"/>
  <c r="A129" i="94"/>
  <c r="A130" i="94"/>
  <c r="A131" i="94"/>
  <c r="A132" i="94"/>
  <c r="A133" i="94"/>
  <c r="A134" i="94"/>
  <c r="A135" i="94"/>
  <c r="A136" i="94"/>
  <c r="A137" i="94"/>
  <c r="A138" i="94"/>
  <c r="A139" i="94"/>
  <c r="A140" i="94"/>
  <c r="A141" i="94"/>
  <c r="A142" i="94"/>
  <c r="A143" i="94"/>
  <c r="A144" i="94"/>
  <c r="A145" i="94"/>
  <c r="A146" i="94"/>
  <c r="A147" i="94"/>
  <c r="A148" i="94"/>
  <c r="A149" i="94"/>
  <c r="A150" i="94"/>
  <c r="A151" i="94"/>
  <c r="A152" i="94"/>
  <c r="A153" i="94"/>
  <c r="A154" i="94"/>
  <c r="A155" i="94"/>
  <c r="A156" i="94"/>
  <c r="A157" i="94"/>
  <c r="A158" i="94"/>
  <c r="A159" i="94"/>
  <c r="A160" i="94"/>
  <c r="A161" i="94"/>
  <c r="A162" i="94"/>
  <c r="A163" i="94"/>
  <c r="A164" i="94"/>
  <c r="A165" i="94"/>
  <c r="A166" i="94"/>
  <c r="A167" i="94"/>
  <c r="A168" i="94"/>
  <c r="A169" i="94"/>
  <c r="A170" i="94"/>
  <c r="A171" i="94"/>
  <c r="A172" i="94"/>
  <c r="A173" i="94"/>
  <c r="A174" i="94"/>
  <c r="A175" i="94"/>
  <c r="A176" i="94"/>
  <c r="A177" i="94"/>
  <c r="A178" i="94"/>
  <c r="A179" i="94"/>
  <c r="A180" i="94"/>
  <c r="A181" i="94"/>
  <c r="A182" i="94"/>
  <c r="A183" i="94"/>
  <c r="A184" i="94"/>
  <c r="A185" i="94"/>
  <c r="A186" i="94"/>
  <c r="A187" i="94"/>
  <c r="A188" i="94"/>
  <c r="A189" i="94"/>
  <c r="A190" i="94"/>
  <c r="A191" i="94"/>
  <c r="A192" i="94"/>
  <c r="A193" i="94"/>
  <c r="A194" i="94"/>
  <c r="A195" i="94"/>
  <c r="A196" i="94"/>
  <c r="A197" i="94"/>
  <c r="A198" i="94"/>
  <c r="A199" i="94"/>
  <c r="A200" i="94"/>
  <c r="A201" i="94"/>
  <c r="A202" i="94"/>
  <c r="A203" i="94"/>
  <c r="A204" i="94"/>
  <c r="A205" i="94"/>
  <c r="A206" i="94"/>
  <c r="A207" i="94"/>
  <c r="A208" i="94"/>
  <c r="A209" i="94"/>
  <c r="A210" i="94"/>
  <c r="A211" i="94"/>
  <c r="A212" i="94"/>
  <c r="A213" i="94"/>
  <c r="A214" i="94"/>
  <c r="A215" i="94"/>
  <c r="A216" i="94"/>
  <c r="A217" i="94"/>
  <c r="A218" i="94"/>
  <c r="A219" i="94"/>
  <c r="A220" i="94"/>
  <c r="A221" i="94"/>
  <c r="A222" i="94"/>
  <c r="A223" i="94"/>
  <c r="A224" i="94"/>
  <c r="A225" i="94"/>
  <c r="A226" i="94"/>
  <c r="A227" i="94"/>
  <c r="A228" i="94"/>
  <c r="A229" i="94"/>
  <c r="A230" i="94"/>
  <c r="A231" i="94"/>
  <c r="A232" i="94"/>
  <c r="A233" i="94"/>
  <c r="A234" i="94"/>
  <c r="A235" i="94"/>
  <c r="A236" i="94"/>
  <c r="A237" i="94"/>
  <c r="A238" i="94"/>
  <c r="A239" i="94"/>
  <c r="A240" i="94"/>
  <c r="A241" i="94"/>
  <c r="A242" i="94"/>
  <c r="A243" i="94"/>
  <c r="A244" i="94"/>
  <c r="A245" i="94"/>
  <c r="A246" i="94"/>
  <c r="A247" i="94"/>
  <c r="A248" i="94"/>
  <c r="A249" i="94"/>
  <c r="A250" i="94"/>
  <c r="A251" i="94"/>
  <c r="A252" i="94"/>
  <c r="A253" i="94"/>
  <c r="A254" i="94"/>
  <c r="A255" i="94"/>
  <c r="A256" i="94"/>
  <c r="A257" i="94"/>
  <c r="A258" i="94"/>
  <c r="A259" i="94"/>
  <c r="A260" i="94"/>
  <c r="A261" i="94"/>
  <c r="A262" i="94"/>
  <c r="A263" i="94"/>
  <c r="A264" i="94"/>
  <c r="A265" i="94"/>
  <c r="A266" i="94"/>
  <c r="A267" i="94"/>
  <c r="A268" i="94"/>
  <c r="A269" i="94"/>
  <c r="A270" i="94"/>
  <c r="A271" i="94"/>
  <c r="A272" i="94"/>
  <c r="A273" i="94"/>
  <c r="A274" i="94"/>
  <c r="A275" i="94"/>
  <c r="A276" i="94"/>
  <c r="A277" i="94"/>
  <c r="A278" i="94"/>
  <c r="A279" i="94"/>
  <c r="A280" i="94"/>
  <c r="A281" i="94"/>
  <c r="A282" i="94"/>
  <c r="A283" i="94"/>
  <c r="A284" i="94"/>
  <c r="A285" i="94"/>
  <c r="A286" i="94"/>
  <c r="A287" i="94"/>
  <c r="A288" i="94"/>
  <c r="A289" i="94"/>
  <c r="A290" i="94"/>
  <c r="A291" i="94"/>
  <c r="A292" i="94"/>
  <c r="A293" i="94"/>
  <c r="A294" i="94"/>
  <c r="A295" i="94"/>
  <c r="A296" i="94"/>
  <c r="A297" i="94"/>
  <c r="A298" i="94"/>
  <c r="A299" i="94"/>
  <c r="A300" i="94"/>
  <c r="A301" i="94"/>
  <c r="A302" i="94"/>
  <c r="A303" i="94"/>
  <c r="A304" i="94"/>
  <c r="A305" i="94"/>
  <c r="A306" i="94"/>
  <c r="A307" i="94"/>
  <c r="A308" i="94"/>
  <c r="A309" i="94"/>
  <c r="A310" i="94"/>
  <c r="A311" i="94"/>
  <c r="A312" i="94"/>
  <c r="A313" i="94"/>
  <c r="A314" i="94"/>
  <c r="A315" i="94"/>
  <c r="A316" i="94"/>
  <c r="A317" i="94"/>
  <c r="A318" i="94"/>
  <c r="A319" i="94"/>
  <c r="A320" i="94"/>
  <c r="A321" i="94"/>
  <c r="A322" i="94"/>
  <c r="A323" i="94"/>
  <c r="A324" i="94"/>
  <c r="A325" i="94"/>
  <c r="A326" i="94"/>
  <c r="A327" i="94"/>
  <c r="A328" i="94"/>
  <c r="A329" i="94"/>
  <c r="A330" i="94"/>
  <c r="A331" i="94"/>
  <c r="A332" i="94"/>
  <c r="A333" i="94"/>
  <c r="A334" i="94"/>
  <c r="A335" i="94"/>
  <c r="A336" i="94"/>
  <c r="A337" i="94"/>
  <c r="A338" i="94"/>
  <c r="A5" i="92"/>
  <c r="A6" i="92"/>
  <c r="A7" i="92"/>
  <c r="A8" i="92"/>
  <c r="A9" i="92"/>
  <c r="A10" i="92"/>
  <c r="A11" i="92"/>
  <c r="A12" i="92"/>
  <c r="A13" i="92"/>
  <c r="A14" i="92"/>
  <c r="A15" i="92"/>
  <c r="A16" i="92"/>
  <c r="A17" i="92"/>
  <c r="A18" i="92"/>
  <c r="A19" i="92"/>
  <c r="A20" i="92"/>
  <c r="A21" i="92"/>
  <c r="A22" i="92"/>
  <c r="A23" i="92"/>
  <c r="A24" i="92"/>
  <c r="A25" i="92"/>
  <c r="A26" i="92"/>
  <c r="A27" i="92"/>
  <c r="A28" i="92"/>
  <c r="A29" i="92"/>
  <c r="A30" i="92"/>
  <c r="A31" i="92"/>
  <c r="A32" i="92"/>
  <c r="A33" i="92"/>
  <c r="A34" i="92"/>
  <c r="A35" i="92"/>
  <c r="A36" i="92"/>
  <c r="A37" i="92"/>
  <c r="A38" i="92"/>
  <c r="A39" i="92"/>
  <c r="A40" i="92"/>
  <c r="A41" i="92"/>
  <c r="A42" i="92"/>
  <c r="A43" i="92"/>
  <c r="A44" i="92"/>
  <c r="A45" i="92"/>
  <c r="A46" i="92"/>
  <c r="A47" i="92"/>
  <c r="A48" i="92"/>
  <c r="A49" i="92"/>
  <c r="A50" i="92"/>
  <c r="A51" i="92"/>
  <c r="A52" i="92"/>
  <c r="A53" i="92"/>
  <c r="A54" i="92"/>
  <c r="A55" i="92"/>
  <c r="A56" i="92"/>
  <c r="A57" i="92"/>
  <c r="A58" i="92"/>
  <c r="A59" i="92"/>
  <c r="A60" i="92"/>
  <c r="A61" i="92"/>
  <c r="A62" i="92"/>
  <c r="A63" i="92"/>
  <c r="A64" i="92"/>
  <c r="A65" i="92"/>
  <c r="A66" i="92"/>
  <c r="A67" i="92"/>
  <c r="A68" i="92"/>
  <c r="A69" i="92"/>
  <c r="A70" i="92"/>
  <c r="A71" i="92"/>
  <c r="A72" i="92"/>
  <c r="A73" i="92"/>
  <c r="A74" i="92"/>
  <c r="A75" i="92"/>
  <c r="A76" i="92"/>
  <c r="A77" i="92"/>
  <c r="A78" i="92"/>
  <c r="A79" i="92"/>
  <c r="A80" i="92"/>
  <c r="A81" i="92"/>
  <c r="A82" i="92"/>
  <c r="A83" i="92"/>
  <c r="A84" i="92"/>
  <c r="A85" i="92"/>
  <c r="A86" i="92"/>
  <c r="A87" i="92"/>
  <c r="A88" i="92"/>
  <c r="A89" i="92"/>
  <c r="A90" i="92"/>
  <c r="A91" i="92"/>
  <c r="A92" i="92"/>
  <c r="A93" i="92"/>
  <c r="A94" i="92"/>
  <c r="A95" i="92"/>
  <c r="A96" i="92"/>
  <c r="A97" i="92"/>
  <c r="A98" i="92"/>
  <c r="A99" i="92"/>
  <c r="A100" i="92"/>
  <c r="A101" i="92"/>
  <c r="A102" i="92"/>
  <c r="A103" i="92"/>
  <c r="A104" i="92"/>
  <c r="A105" i="92"/>
  <c r="A106" i="92"/>
  <c r="A107" i="92"/>
  <c r="A108" i="92"/>
  <c r="A109" i="92"/>
  <c r="A110" i="92"/>
  <c r="A111" i="92"/>
  <c r="A112" i="92"/>
  <c r="A113" i="92"/>
  <c r="A114" i="92"/>
  <c r="A115" i="92"/>
  <c r="A116" i="92"/>
  <c r="A117" i="92"/>
  <c r="A118" i="92"/>
  <c r="A119" i="92"/>
  <c r="A120" i="92"/>
  <c r="A121" i="92"/>
  <c r="A122" i="92"/>
  <c r="A123" i="92"/>
  <c r="A124" i="92"/>
  <c r="A125" i="92"/>
  <c r="A126" i="92"/>
  <c r="A127" i="92"/>
  <c r="A128" i="92"/>
  <c r="A129" i="92"/>
  <c r="A130" i="92"/>
  <c r="A131" i="92"/>
  <c r="A132" i="92"/>
  <c r="A133" i="92"/>
  <c r="A134" i="92"/>
  <c r="A135" i="92"/>
  <c r="A136" i="92"/>
  <c r="A137" i="92"/>
  <c r="A138" i="92"/>
  <c r="A139" i="92"/>
  <c r="A140" i="92"/>
  <c r="A141" i="92"/>
  <c r="A142" i="92"/>
  <c r="A143" i="92"/>
  <c r="A144" i="92"/>
  <c r="A145" i="92"/>
  <c r="A146" i="92"/>
  <c r="A147" i="92"/>
  <c r="A148" i="92"/>
  <c r="A149" i="92"/>
  <c r="A150" i="92"/>
  <c r="A151" i="92"/>
  <c r="A152" i="92"/>
  <c r="A153" i="92"/>
  <c r="A154" i="92"/>
  <c r="A155" i="92"/>
  <c r="A156" i="92"/>
  <c r="A157" i="92"/>
  <c r="A158" i="92"/>
  <c r="A159" i="92"/>
  <c r="A160" i="92"/>
  <c r="A161" i="92"/>
  <c r="A162" i="92"/>
  <c r="A163" i="92"/>
  <c r="A164" i="92"/>
  <c r="A165" i="92"/>
  <c r="A166" i="92"/>
  <c r="A167" i="92"/>
  <c r="A168" i="92"/>
  <c r="A169" i="92"/>
  <c r="A170" i="92"/>
  <c r="A171" i="92"/>
  <c r="A172" i="92"/>
  <c r="A173" i="92"/>
  <c r="A174" i="92"/>
  <c r="A175" i="92"/>
  <c r="A176" i="92"/>
  <c r="A177" i="92"/>
  <c r="A178" i="92"/>
  <c r="A179" i="92"/>
  <c r="A180" i="92"/>
  <c r="A181" i="92"/>
  <c r="A182" i="92"/>
  <c r="A183" i="92"/>
  <c r="A184" i="92"/>
  <c r="A185" i="92"/>
  <c r="A186" i="92"/>
  <c r="A187" i="92"/>
  <c r="A188" i="92"/>
  <c r="A189" i="92"/>
  <c r="A190" i="92"/>
  <c r="A191" i="92"/>
  <c r="A192" i="92"/>
  <c r="A193" i="92"/>
  <c r="A194" i="92"/>
  <c r="A195" i="92"/>
  <c r="A196" i="92"/>
  <c r="A197" i="92"/>
  <c r="A198" i="92"/>
  <c r="A199" i="92"/>
  <c r="A200" i="92"/>
  <c r="A201" i="92"/>
  <c r="A202" i="92"/>
  <c r="A203" i="92"/>
  <c r="A204" i="92"/>
  <c r="A205" i="92"/>
  <c r="A206" i="92"/>
  <c r="A207" i="92"/>
  <c r="A208" i="92"/>
  <c r="A209" i="92"/>
  <c r="A210" i="92"/>
  <c r="A211" i="92"/>
  <c r="A212" i="92"/>
  <c r="A213" i="92"/>
  <c r="A214" i="92"/>
  <c r="A215" i="92"/>
  <c r="A216" i="92"/>
  <c r="A217" i="92"/>
  <c r="A218" i="92"/>
  <c r="A219" i="92"/>
  <c r="A220" i="92"/>
  <c r="A221" i="92"/>
  <c r="A222" i="92"/>
  <c r="A223" i="92"/>
  <c r="A224" i="92"/>
  <c r="A225" i="92"/>
  <c r="A226" i="92"/>
  <c r="A227" i="92"/>
  <c r="A228" i="92"/>
  <c r="A229" i="92"/>
  <c r="A230" i="92"/>
  <c r="A231" i="92"/>
  <c r="A232" i="92"/>
  <c r="A233" i="92"/>
  <c r="A234" i="92"/>
  <c r="A235" i="92"/>
  <c r="A236" i="92"/>
  <c r="A237" i="92"/>
  <c r="A238" i="92"/>
  <c r="A239" i="92"/>
  <c r="A240" i="92"/>
  <c r="A241" i="92"/>
  <c r="A242" i="92"/>
  <c r="A243" i="92"/>
  <c r="A244" i="92"/>
  <c r="A245" i="92"/>
  <c r="A246" i="92"/>
  <c r="A247" i="92"/>
  <c r="A248" i="92"/>
  <c r="A249" i="92"/>
  <c r="A250" i="92"/>
  <c r="A251" i="92"/>
  <c r="A252" i="92"/>
  <c r="A253" i="92"/>
  <c r="A254" i="92"/>
  <c r="A255" i="92"/>
  <c r="A256" i="92"/>
  <c r="A257" i="92"/>
  <c r="A258" i="92"/>
  <c r="A259" i="92"/>
  <c r="A260" i="92"/>
  <c r="A261" i="92"/>
  <c r="A262" i="92"/>
  <c r="A263" i="92"/>
  <c r="A264" i="92"/>
  <c r="A265" i="92"/>
  <c r="A266" i="92"/>
  <c r="A267" i="92"/>
  <c r="A268" i="92"/>
  <c r="A269" i="92"/>
  <c r="A270" i="92"/>
  <c r="A271" i="92"/>
  <c r="A272" i="92"/>
  <c r="A273" i="92"/>
  <c r="A274" i="92"/>
  <c r="A275" i="92"/>
  <c r="A276" i="92"/>
  <c r="A277" i="92"/>
  <c r="A278" i="92"/>
  <c r="A279" i="92"/>
  <c r="A280" i="92"/>
  <c r="A281" i="92"/>
  <c r="A282" i="92"/>
  <c r="A283" i="92"/>
  <c r="A284" i="92"/>
  <c r="A285" i="92"/>
  <c r="A286" i="92"/>
  <c r="A287" i="92"/>
  <c r="A288" i="92"/>
  <c r="A289" i="92"/>
  <c r="A290" i="92"/>
  <c r="A291" i="92"/>
  <c r="A292" i="92"/>
  <c r="A293" i="92"/>
  <c r="A294" i="92"/>
  <c r="A295" i="92"/>
  <c r="A296" i="92"/>
  <c r="A297" i="92"/>
  <c r="A298" i="92"/>
  <c r="A299" i="92"/>
  <c r="A300" i="92"/>
  <c r="A301" i="92"/>
  <c r="A302" i="92"/>
  <c r="A303" i="92"/>
  <c r="A304" i="92"/>
  <c r="A305" i="92"/>
  <c r="A306" i="92"/>
  <c r="A307" i="92"/>
  <c r="A308" i="92"/>
  <c r="A309" i="92"/>
  <c r="A310" i="92"/>
  <c r="A311" i="92"/>
  <c r="A312" i="92"/>
  <c r="A313" i="92"/>
  <c r="A314" i="92"/>
  <c r="A315" i="92"/>
  <c r="A316" i="92"/>
  <c r="A317" i="92"/>
  <c r="A318" i="92"/>
  <c r="A319" i="92"/>
  <c r="A320" i="92"/>
  <c r="A321" i="92"/>
  <c r="A322" i="92"/>
  <c r="A323" i="92"/>
  <c r="A324" i="92"/>
  <c r="A325" i="92"/>
  <c r="A326" i="92"/>
  <c r="A327" i="92"/>
  <c r="A328" i="92"/>
  <c r="A329" i="92"/>
  <c r="A330" i="92"/>
  <c r="A331" i="92"/>
  <c r="A332" i="92"/>
  <c r="A333" i="92"/>
  <c r="A334" i="92"/>
  <c r="A335" i="92"/>
  <c r="A336" i="92"/>
  <c r="A337" i="92"/>
  <c r="A338" i="92"/>
  <c r="A4" i="92"/>
  <c r="E16" i="95" l="1"/>
  <c r="E18" i="95"/>
  <c r="E19" i="95"/>
  <c r="AA5" i="92"/>
  <c r="AB5" i="92"/>
  <c r="AD5" i="92"/>
  <c r="AE5" i="92"/>
  <c r="AA6" i="92"/>
  <c r="AB6" i="92"/>
  <c r="AD6" i="92"/>
  <c r="AE6" i="92"/>
  <c r="AA7" i="92"/>
  <c r="AB7" i="92"/>
  <c r="AD7" i="92"/>
  <c r="AE7" i="92"/>
  <c r="AA8" i="92"/>
  <c r="AB8" i="92"/>
  <c r="AD8" i="92"/>
  <c r="AE8" i="92"/>
  <c r="AA9" i="92"/>
  <c r="AB9" i="92"/>
  <c r="AD9" i="92"/>
  <c r="AE9" i="92"/>
  <c r="AA10" i="92"/>
  <c r="AB10" i="92"/>
  <c r="AD10" i="92"/>
  <c r="AE10" i="92"/>
  <c r="AA11" i="92"/>
  <c r="AB11" i="92"/>
  <c r="AD11" i="92"/>
  <c r="AE11" i="92"/>
  <c r="AA12" i="92"/>
  <c r="AB12" i="92"/>
  <c r="AD12" i="92"/>
  <c r="AE12" i="92"/>
  <c r="AA13" i="92"/>
  <c r="AB13" i="92"/>
  <c r="AD13" i="92"/>
  <c r="AE13" i="92"/>
  <c r="AA14" i="92"/>
  <c r="AB14" i="92"/>
  <c r="AD14" i="92"/>
  <c r="AE14" i="92"/>
  <c r="AA15" i="92"/>
  <c r="AB15" i="92"/>
  <c r="AD15" i="92"/>
  <c r="AE15" i="92"/>
  <c r="AA16" i="92"/>
  <c r="AB16" i="92"/>
  <c r="AD16" i="92"/>
  <c r="AE16" i="92"/>
  <c r="AA17" i="92"/>
  <c r="AB17" i="92"/>
  <c r="AD17" i="92"/>
  <c r="AE17" i="92"/>
  <c r="AA18" i="92"/>
  <c r="AB18" i="92"/>
  <c r="AD18" i="92"/>
  <c r="AE18" i="92"/>
  <c r="AA19" i="92"/>
  <c r="AB19" i="92"/>
  <c r="AD19" i="92"/>
  <c r="AE19" i="92"/>
  <c r="AA20" i="92"/>
  <c r="AB20" i="92"/>
  <c r="AD20" i="92"/>
  <c r="AE20" i="92"/>
  <c r="AA21" i="92"/>
  <c r="AB21" i="92"/>
  <c r="AD21" i="92"/>
  <c r="AE21" i="92"/>
  <c r="AA22" i="92"/>
  <c r="AB22" i="92"/>
  <c r="AD22" i="92"/>
  <c r="AE22" i="92"/>
  <c r="AA23" i="92"/>
  <c r="AB23" i="92"/>
  <c r="AD23" i="92"/>
  <c r="AE23" i="92"/>
  <c r="AA24" i="92"/>
  <c r="AB24" i="92"/>
  <c r="AD24" i="92"/>
  <c r="AE24" i="92"/>
  <c r="AA25" i="92"/>
  <c r="AB25" i="92"/>
  <c r="AD25" i="92"/>
  <c r="AE25" i="92"/>
  <c r="AA26" i="92"/>
  <c r="AB26" i="92"/>
  <c r="AD26" i="92"/>
  <c r="AE26" i="92"/>
  <c r="AA27" i="92"/>
  <c r="AB27" i="92"/>
  <c r="AD27" i="92"/>
  <c r="AE27" i="92"/>
  <c r="AA28" i="92"/>
  <c r="AB28" i="92"/>
  <c r="AD28" i="92"/>
  <c r="AE28" i="92"/>
  <c r="AA29" i="92"/>
  <c r="AB29" i="92"/>
  <c r="AD29" i="92"/>
  <c r="AE29" i="92"/>
  <c r="AA30" i="92"/>
  <c r="AB30" i="92"/>
  <c r="AD30" i="92"/>
  <c r="AE30" i="92"/>
  <c r="AA31" i="92"/>
  <c r="AB31" i="92"/>
  <c r="AD31" i="92"/>
  <c r="AE31" i="92"/>
  <c r="AA32" i="92"/>
  <c r="AB32" i="92"/>
  <c r="AD32" i="92"/>
  <c r="AE32" i="92"/>
  <c r="AA33" i="92"/>
  <c r="AB33" i="92"/>
  <c r="AD33" i="92"/>
  <c r="AE33" i="92"/>
  <c r="AA34" i="92"/>
  <c r="AB34" i="92"/>
  <c r="AD34" i="92"/>
  <c r="AE34" i="92"/>
  <c r="AA35" i="92"/>
  <c r="AB35" i="92"/>
  <c r="AD35" i="92"/>
  <c r="AE35" i="92"/>
  <c r="AA36" i="92"/>
  <c r="AB36" i="92"/>
  <c r="AD36" i="92"/>
  <c r="AE36" i="92"/>
  <c r="AA37" i="92"/>
  <c r="AB37" i="92"/>
  <c r="AD37" i="92"/>
  <c r="AE37" i="92"/>
  <c r="AA38" i="92"/>
  <c r="AB38" i="92"/>
  <c r="AD38" i="92"/>
  <c r="AE38" i="92"/>
  <c r="AA39" i="92"/>
  <c r="AB39" i="92"/>
  <c r="AD39" i="92"/>
  <c r="AE39" i="92"/>
  <c r="AA40" i="92"/>
  <c r="AB40" i="92"/>
  <c r="AD40" i="92"/>
  <c r="AE40" i="92"/>
  <c r="AA41" i="92"/>
  <c r="AB41" i="92"/>
  <c r="AD41" i="92"/>
  <c r="AE41" i="92"/>
  <c r="AA42" i="92"/>
  <c r="AB42" i="92"/>
  <c r="AD42" i="92"/>
  <c r="AE42" i="92"/>
  <c r="AA43" i="92"/>
  <c r="AB43" i="92"/>
  <c r="AD43" i="92"/>
  <c r="AE43" i="92"/>
  <c r="AA44" i="92"/>
  <c r="AB44" i="92"/>
  <c r="AD44" i="92"/>
  <c r="AE44" i="92"/>
  <c r="AA45" i="92"/>
  <c r="AB45" i="92"/>
  <c r="AD45" i="92"/>
  <c r="AE45" i="92"/>
  <c r="AA46" i="92"/>
  <c r="AB46" i="92"/>
  <c r="AD46" i="92"/>
  <c r="AE46" i="92"/>
  <c r="AA47" i="92"/>
  <c r="AB47" i="92"/>
  <c r="AD47" i="92"/>
  <c r="AE47" i="92"/>
  <c r="AA48" i="92"/>
  <c r="AB48" i="92"/>
  <c r="AD48" i="92"/>
  <c r="AE48" i="92"/>
  <c r="AA49" i="92"/>
  <c r="AB49" i="92"/>
  <c r="AD49" i="92"/>
  <c r="AE49" i="92"/>
  <c r="AA50" i="92"/>
  <c r="AB50" i="92"/>
  <c r="AD50" i="92"/>
  <c r="AE50" i="92"/>
  <c r="AA51" i="92"/>
  <c r="AB51" i="92"/>
  <c r="AD51" i="92"/>
  <c r="AE51" i="92"/>
  <c r="AA52" i="92"/>
  <c r="AB52" i="92"/>
  <c r="AD52" i="92"/>
  <c r="AE52" i="92"/>
  <c r="AA53" i="92"/>
  <c r="AB53" i="92"/>
  <c r="AD53" i="92"/>
  <c r="AE53" i="92"/>
  <c r="AA54" i="92"/>
  <c r="AB54" i="92"/>
  <c r="AD54" i="92"/>
  <c r="AE54" i="92"/>
  <c r="AA55" i="92"/>
  <c r="AB55" i="92"/>
  <c r="AD55" i="92"/>
  <c r="AE55" i="92"/>
  <c r="AA56" i="92"/>
  <c r="AB56" i="92"/>
  <c r="AD56" i="92"/>
  <c r="AE56" i="92"/>
  <c r="AA57" i="92"/>
  <c r="AB57" i="92"/>
  <c r="AD57" i="92"/>
  <c r="AE57" i="92"/>
  <c r="AA58" i="92"/>
  <c r="AB58" i="92"/>
  <c r="AD58" i="92"/>
  <c r="AE58" i="92"/>
  <c r="AA59" i="92"/>
  <c r="AB59" i="92"/>
  <c r="AD59" i="92"/>
  <c r="AE59" i="92"/>
  <c r="AA60" i="92"/>
  <c r="AB60" i="92"/>
  <c r="AD60" i="92"/>
  <c r="AE60" i="92"/>
  <c r="AA61" i="92"/>
  <c r="AB61" i="92"/>
  <c r="AD61" i="92"/>
  <c r="AE61" i="92"/>
  <c r="AA62" i="92"/>
  <c r="AB62" i="92"/>
  <c r="AD62" i="92"/>
  <c r="AE62" i="92"/>
  <c r="AA63" i="92"/>
  <c r="AB63" i="92"/>
  <c r="AD63" i="92"/>
  <c r="AE63" i="92"/>
  <c r="AA64" i="92"/>
  <c r="AB64" i="92"/>
  <c r="AD64" i="92"/>
  <c r="AE64" i="92"/>
  <c r="AA65" i="92"/>
  <c r="AB65" i="92"/>
  <c r="AD65" i="92"/>
  <c r="AE65" i="92"/>
  <c r="AA66" i="92"/>
  <c r="AB66" i="92"/>
  <c r="AD66" i="92"/>
  <c r="AE66" i="92"/>
  <c r="AA67" i="92"/>
  <c r="AB67" i="92"/>
  <c r="AD67" i="92"/>
  <c r="AE67" i="92"/>
  <c r="AA68" i="92"/>
  <c r="AB68" i="92"/>
  <c r="AD68" i="92"/>
  <c r="AE68" i="92"/>
  <c r="AA69" i="92"/>
  <c r="AB69" i="92"/>
  <c r="AD69" i="92"/>
  <c r="AE69" i="92"/>
  <c r="AA70" i="92"/>
  <c r="AB70" i="92"/>
  <c r="AD70" i="92"/>
  <c r="AE70" i="92"/>
  <c r="AA71" i="92"/>
  <c r="AB71" i="92"/>
  <c r="AD71" i="92"/>
  <c r="AE71" i="92"/>
  <c r="AA72" i="92"/>
  <c r="AB72" i="92"/>
  <c r="AD72" i="92"/>
  <c r="AE72" i="92"/>
  <c r="AA73" i="92"/>
  <c r="AB73" i="92"/>
  <c r="AD73" i="92"/>
  <c r="AE73" i="92"/>
  <c r="AA74" i="92"/>
  <c r="AB74" i="92"/>
  <c r="AD74" i="92"/>
  <c r="AE74" i="92"/>
  <c r="AA75" i="92"/>
  <c r="AB75" i="92"/>
  <c r="AD75" i="92"/>
  <c r="AE75" i="92"/>
  <c r="AA76" i="92"/>
  <c r="AB76" i="92"/>
  <c r="AD76" i="92"/>
  <c r="AE76" i="92"/>
  <c r="AA77" i="92"/>
  <c r="AB77" i="92"/>
  <c r="AD77" i="92"/>
  <c r="AE77" i="92"/>
  <c r="AA78" i="92"/>
  <c r="AB78" i="92"/>
  <c r="AD78" i="92"/>
  <c r="AE78" i="92"/>
  <c r="AA79" i="92"/>
  <c r="AB79" i="92"/>
  <c r="AD79" i="92"/>
  <c r="AE79" i="92"/>
  <c r="AA80" i="92"/>
  <c r="AB80" i="92"/>
  <c r="AD80" i="92"/>
  <c r="AE80" i="92"/>
  <c r="AA81" i="92"/>
  <c r="AB81" i="92"/>
  <c r="AD81" i="92"/>
  <c r="AE81" i="92"/>
  <c r="AA82" i="92"/>
  <c r="AB82" i="92"/>
  <c r="AD82" i="92"/>
  <c r="AE82" i="92"/>
  <c r="AA83" i="92"/>
  <c r="AB83" i="92"/>
  <c r="AD83" i="92"/>
  <c r="AE83" i="92"/>
  <c r="AA84" i="92"/>
  <c r="AB84" i="92"/>
  <c r="AD84" i="92"/>
  <c r="AE84" i="92"/>
  <c r="AA85" i="92"/>
  <c r="AB85" i="92"/>
  <c r="AD85" i="92"/>
  <c r="AE85" i="92"/>
  <c r="AA86" i="92"/>
  <c r="AB86" i="92"/>
  <c r="AD86" i="92"/>
  <c r="AE86" i="92"/>
  <c r="AA87" i="92"/>
  <c r="AB87" i="92"/>
  <c r="AD87" i="92"/>
  <c r="AE87" i="92"/>
  <c r="AA88" i="92"/>
  <c r="AB88" i="92"/>
  <c r="AD88" i="92"/>
  <c r="AE88" i="92"/>
  <c r="AA89" i="92"/>
  <c r="AB89" i="92"/>
  <c r="AD89" i="92"/>
  <c r="AE89" i="92"/>
  <c r="AA90" i="92"/>
  <c r="AB90" i="92"/>
  <c r="AD90" i="92"/>
  <c r="AE90" i="92"/>
  <c r="AA91" i="92"/>
  <c r="AB91" i="92"/>
  <c r="AD91" i="92"/>
  <c r="AE91" i="92"/>
  <c r="AA92" i="92"/>
  <c r="AB92" i="92"/>
  <c r="AD92" i="92"/>
  <c r="AE92" i="92"/>
  <c r="AA93" i="92"/>
  <c r="AB93" i="92"/>
  <c r="AD93" i="92"/>
  <c r="AE93" i="92"/>
  <c r="AA94" i="92"/>
  <c r="AB94" i="92"/>
  <c r="AD94" i="92"/>
  <c r="AE94" i="92"/>
  <c r="AA95" i="92"/>
  <c r="AB95" i="92"/>
  <c r="AD95" i="92"/>
  <c r="AE95" i="92"/>
  <c r="AA96" i="92"/>
  <c r="AB96" i="92"/>
  <c r="AD96" i="92"/>
  <c r="AE96" i="92"/>
  <c r="AA97" i="92"/>
  <c r="AB97" i="92"/>
  <c r="AD97" i="92"/>
  <c r="AE97" i="92"/>
  <c r="AA98" i="92"/>
  <c r="AB98" i="92"/>
  <c r="AD98" i="92"/>
  <c r="AE98" i="92"/>
  <c r="AA99" i="92"/>
  <c r="AB99" i="92"/>
  <c r="AD99" i="92"/>
  <c r="AE99" i="92"/>
  <c r="AA100" i="92"/>
  <c r="AB100" i="92"/>
  <c r="AD100" i="92"/>
  <c r="AE100" i="92"/>
  <c r="AA101" i="92"/>
  <c r="AB101" i="92"/>
  <c r="AD101" i="92"/>
  <c r="AE101" i="92"/>
  <c r="AA102" i="92"/>
  <c r="AB102" i="92"/>
  <c r="AD102" i="92"/>
  <c r="AE102" i="92"/>
  <c r="AA103" i="92"/>
  <c r="AB103" i="92"/>
  <c r="AD103" i="92"/>
  <c r="AE103" i="92"/>
  <c r="AA104" i="92"/>
  <c r="AB104" i="92"/>
  <c r="AD104" i="92"/>
  <c r="AE104" i="92"/>
  <c r="AA105" i="92"/>
  <c r="AB105" i="92"/>
  <c r="AD105" i="92"/>
  <c r="AE105" i="92"/>
  <c r="AA106" i="92"/>
  <c r="AB106" i="92"/>
  <c r="AD106" i="92"/>
  <c r="AE106" i="92"/>
  <c r="AA107" i="92"/>
  <c r="AB107" i="92"/>
  <c r="AD107" i="92"/>
  <c r="AE107" i="92"/>
  <c r="AA108" i="92"/>
  <c r="AB108" i="92"/>
  <c r="AD108" i="92"/>
  <c r="AE108" i="92"/>
  <c r="AA109" i="92"/>
  <c r="AB109" i="92"/>
  <c r="AD109" i="92"/>
  <c r="AE109" i="92"/>
  <c r="AA110" i="92"/>
  <c r="AB110" i="92"/>
  <c r="AD110" i="92"/>
  <c r="AE110" i="92"/>
  <c r="AA111" i="92"/>
  <c r="AB111" i="92"/>
  <c r="AD111" i="92"/>
  <c r="AE111" i="92"/>
  <c r="AA112" i="92"/>
  <c r="AB112" i="92"/>
  <c r="AD112" i="92"/>
  <c r="AE112" i="92"/>
  <c r="AA113" i="92"/>
  <c r="AB113" i="92"/>
  <c r="AD113" i="92"/>
  <c r="AE113" i="92"/>
  <c r="AA114" i="92"/>
  <c r="AB114" i="92"/>
  <c r="AD114" i="92"/>
  <c r="AE114" i="92"/>
  <c r="AA115" i="92"/>
  <c r="AB115" i="92"/>
  <c r="AD115" i="92"/>
  <c r="AE115" i="92"/>
  <c r="AA116" i="92"/>
  <c r="AB116" i="92"/>
  <c r="AD116" i="92"/>
  <c r="AE116" i="92"/>
  <c r="AA117" i="92"/>
  <c r="AB117" i="92"/>
  <c r="AD117" i="92"/>
  <c r="AE117" i="92"/>
  <c r="AA118" i="92"/>
  <c r="AB118" i="92"/>
  <c r="AD118" i="92"/>
  <c r="AE118" i="92"/>
  <c r="AA119" i="92"/>
  <c r="AB119" i="92"/>
  <c r="AD119" i="92"/>
  <c r="AE119" i="92"/>
  <c r="AA120" i="92"/>
  <c r="AB120" i="92"/>
  <c r="AD120" i="92"/>
  <c r="AE120" i="92"/>
  <c r="AA121" i="92"/>
  <c r="AB121" i="92"/>
  <c r="AD121" i="92"/>
  <c r="AE121" i="92"/>
  <c r="AA122" i="92"/>
  <c r="AB122" i="92"/>
  <c r="AD122" i="92"/>
  <c r="AE122" i="92"/>
  <c r="AA123" i="92"/>
  <c r="AB123" i="92"/>
  <c r="AD123" i="92"/>
  <c r="AE123" i="92"/>
  <c r="AA124" i="92"/>
  <c r="AB124" i="92"/>
  <c r="AD124" i="92"/>
  <c r="AE124" i="92"/>
  <c r="AA125" i="92"/>
  <c r="AB125" i="92"/>
  <c r="AD125" i="92"/>
  <c r="AE125" i="92"/>
  <c r="AA126" i="92"/>
  <c r="AB126" i="92"/>
  <c r="AD126" i="92"/>
  <c r="AE126" i="92"/>
  <c r="AA127" i="92"/>
  <c r="AB127" i="92"/>
  <c r="AD127" i="92"/>
  <c r="AE127" i="92"/>
  <c r="AA128" i="92"/>
  <c r="AB128" i="92"/>
  <c r="AD128" i="92"/>
  <c r="AE128" i="92"/>
  <c r="AA129" i="92"/>
  <c r="AB129" i="92"/>
  <c r="AD129" i="92"/>
  <c r="AE129" i="92"/>
  <c r="AA130" i="92"/>
  <c r="AB130" i="92"/>
  <c r="AD130" i="92"/>
  <c r="AE130" i="92"/>
  <c r="AA131" i="92"/>
  <c r="AB131" i="92"/>
  <c r="AD131" i="92"/>
  <c r="AE131" i="92"/>
  <c r="AA132" i="92"/>
  <c r="AB132" i="92"/>
  <c r="AD132" i="92"/>
  <c r="AE132" i="92"/>
  <c r="AA133" i="92"/>
  <c r="AB133" i="92"/>
  <c r="AD133" i="92"/>
  <c r="AE133" i="92"/>
  <c r="AA134" i="92"/>
  <c r="AB134" i="92"/>
  <c r="AD134" i="92"/>
  <c r="AE134" i="92"/>
  <c r="AA135" i="92"/>
  <c r="AB135" i="92"/>
  <c r="AD135" i="92"/>
  <c r="AE135" i="92"/>
  <c r="AA136" i="92"/>
  <c r="AB136" i="92"/>
  <c r="AD136" i="92"/>
  <c r="AE136" i="92"/>
  <c r="AA137" i="92"/>
  <c r="AB137" i="92"/>
  <c r="AD137" i="92"/>
  <c r="AE137" i="92"/>
  <c r="AA138" i="92"/>
  <c r="AB138" i="92"/>
  <c r="AD138" i="92"/>
  <c r="AE138" i="92"/>
  <c r="AA139" i="92"/>
  <c r="AB139" i="92"/>
  <c r="AD139" i="92"/>
  <c r="AE139" i="92"/>
  <c r="AA140" i="92"/>
  <c r="AB140" i="92"/>
  <c r="AD140" i="92"/>
  <c r="AE140" i="92"/>
  <c r="AA141" i="92"/>
  <c r="AB141" i="92"/>
  <c r="AD141" i="92"/>
  <c r="AE141" i="92"/>
  <c r="AA142" i="92"/>
  <c r="AB142" i="92"/>
  <c r="AD142" i="92"/>
  <c r="AE142" i="92"/>
  <c r="AA143" i="92"/>
  <c r="AB143" i="92"/>
  <c r="AD143" i="92"/>
  <c r="AE143" i="92"/>
  <c r="AA144" i="92"/>
  <c r="AB144" i="92"/>
  <c r="AD144" i="92"/>
  <c r="AE144" i="92"/>
  <c r="AA145" i="92"/>
  <c r="AB145" i="92"/>
  <c r="AD145" i="92"/>
  <c r="AE145" i="92"/>
  <c r="AA146" i="92"/>
  <c r="AB146" i="92"/>
  <c r="AD146" i="92"/>
  <c r="AE146" i="92"/>
  <c r="AA147" i="92"/>
  <c r="AB147" i="92"/>
  <c r="AD147" i="92"/>
  <c r="AE147" i="92"/>
  <c r="AA148" i="92"/>
  <c r="AB148" i="92"/>
  <c r="AD148" i="92"/>
  <c r="AE148" i="92"/>
  <c r="AA149" i="92"/>
  <c r="AB149" i="92"/>
  <c r="AD149" i="92"/>
  <c r="AE149" i="92"/>
  <c r="AA150" i="92"/>
  <c r="AB150" i="92"/>
  <c r="AD150" i="92"/>
  <c r="AE150" i="92"/>
  <c r="AA151" i="92"/>
  <c r="AB151" i="92"/>
  <c r="AD151" i="92"/>
  <c r="AE151" i="92"/>
  <c r="AA152" i="92"/>
  <c r="AB152" i="92"/>
  <c r="AD152" i="92"/>
  <c r="AE152" i="92"/>
  <c r="AA153" i="92"/>
  <c r="AB153" i="92"/>
  <c r="AD153" i="92"/>
  <c r="AE153" i="92"/>
  <c r="AA154" i="92"/>
  <c r="AB154" i="92"/>
  <c r="AD154" i="92"/>
  <c r="AE154" i="92"/>
  <c r="AA155" i="92"/>
  <c r="AB155" i="92"/>
  <c r="AD155" i="92"/>
  <c r="AE155" i="92"/>
  <c r="AA156" i="92"/>
  <c r="AB156" i="92"/>
  <c r="AD156" i="92"/>
  <c r="AE156" i="92"/>
  <c r="AA157" i="92"/>
  <c r="AB157" i="92"/>
  <c r="AD157" i="92"/>
  <c r="AE157" i="92"/>
  <c r="AA158" i="92"/>
  <c r="AB158" i="92"/>
  <c r="AD158" i="92"/>
  <c r="AE158" i="92"/>
  <c r="AA159" i="92"/>
  <c r="AB159" i="92"/>
  <c r="AD159" i="92"/>
  <c r="AE159" i="92"/>
  <c r="AA160" i="92"/>
  <c r="AB160" i="92"/>
  <c r="AD160" i="92"/>
  <c r="AE160" i="92"/>
  <c r="AA161" i="92"/>
  <c r="AB161" i="92"/>
  <c r="AD161" i="92"/>
  <c r="AE161" i="92"/>
  <c r="AA162" i="92"/>
  <c r="AB162" i="92"/>
  <c r="AD162" i="92"/>
  <c r="AE162" i="92"/>
  <c r="AA163" i="92"/>
  <c r="AB163" i="92"/>
  <c r="AD163" i="92"/>
  <c r="AE163" i="92"/>
  <c r="AA164" i="92"/>
  <c r="AB164" i="92"/>
  <c r="AD164" i="92"/>
  <c r="AE164" i="92"/>
  <c r="AA165" i="92"/>
  <c r="AB165" i="92"/>
  <c r="AD165" i="92"/>
  <c r="AE165" i="92"/>
  <c r="AA166" i="92"/>
  <c r="AB166" i="92"/>
  <c r="AD166" i="92"/>
  <c r="AE166" i="92"/>
  <c r="AA167" i="92"/>
  <c r="AB167" i="92"/>
  <c r="AD167" i="92"/>
  <c r="AE167" i="92"/>
  <c r="AA168" i="92"/>
  <c r="AB168" i="92"/>
  <c r="AD168" i="92"/>
  <c r="AE168" i="92"/>
  <c r="AA169" i="92"/>
  <c r="AB169" i="92"/>
  <c r="AD169" i="92"/>
  <c r="AE169" i="92"/>
  <c r="AA170" i="92"/>
  <c r="AB170" i="92"/>
  <c r="AD170" i="92"/>
  <c r="AE170" i="92"/>
  <c r="AA171" i="92"/>
  <c r="AB171" i="92"/>
  <c r="AD171" i="92"/>
  <c r="AE171" i="92"/>
  <c r="AA172" i="92"/>
  <c r="AB172" i="92"/>
  <c r="AD172" i="92"/>
  <c r="AE172" i="92"/>
  <c r="AA173" i="92"/>
  <c r="AB173" i="92"/>
  <c r="AD173" i="92"/>
  <c r="AE173" i="92"/>
  <c r="AA174" i="92"/>
  <c r="AB174" i="92"/>
  <c r="AD174" i="92"/>
  <c r="AE174" i="92"/>
  <c r="AA175" i="92"/>
  <c r="AB175" i="92"/>
  <c r="AD175" i="92"/>
  <c r="AE175" i="92"/>
  <c r="AA176" i="92"/>
  <c r="AB176" i="92"/>
  <c r="AD176" i="92"/>
  <c r="AE176" i="92"/>
  <c r="AA177" i="92"/>
  <c r="AB177" i="92"/>
  <c r="AD177" i="92"/>
  <c r="AE177" i="92"/>
  <c r="AA178" i="92"/>
  <c r="AB178" i="92"/>
  <c r="AD178" i="92"/>
  <c r="AE178" i="92"/>
  <c r="AA179" i="92"/>
  <c r="AB179" i="92"/>
  <c r="AD179" i="92"/>
  <c r="AE179" i="92"/>
  <c r="AA180" i="92"/>
  <c r="AB180" i="92"/>
  <c r="AD180" i="92"/>
  <c r="AE180" i="92"/>
  <c r="AA181" i="92"/>
  <c r="AB181" i="92"/>
  <c r="AD181" i="92"/>
  <c r="AE181" i="92"/>
  <c r="AA182" i="92"/>
  <c r="AB182" i="92"/>
  <c r="AD182" i="92"/>
  <c r="AE182" i="92"/>
  <c r="AA183" i="92"/>
  <c r="AB183" i="92"/>
  <c r="AD183" i="92"/>
  <c r="AE183" i="92"/>
  <c r="AA184" i="92"/>
  <c r="AB184" i="92"/>
  <c r="AD184" i="92"/>
  <c r="AE184" i="92"/>
  <c r="AA185" i="92"/>
  <c r="AB185" i="92"/>
  <c r="AD185" i="92"/>
  <c r="AE185" i="92"/>
  <c r="AA186" i="92"/>
  <c r="AB186" i="92"/>
  <c r="AD186" i="92"/>
  <c r="AE186" i="92"/>
  <c r="AA187" i="92"/>
  <c r="AB187" i="92"/>
  <c r="AD187" i="92"/>
  <c r="AE187" i="92"/>
  <c r="AA188" i="92"/>
  <c r="AB188" i="92"/>
  <c r="AD188" i="92"/>
  <c r="AE188" i="92"/>
  <c r="AA189" i="92"/>
  <c r="AB189" i="92"/>
  <c r="AD189" i="92"/>
  <c r="AE189" i="92"/>
  <c r="AA190" i="92"/>
  <c r="AB190" i="92"/>
  <c r="AD190" i="92"/>
  <c r="AE190" i="92"/>
  <c r="AA191" i="92"/>
  <c r="AB191" i="92"/>
  <c r="AD191" i="92"/>
  <c r="AE191" i="92"/>
  <c r="AA192" i="92"/>
  <c r="AB192" i="92"/>
  <c r="AD192" i="92"/>
  <c r="AE192" i="92"/>
  <c r="AA193" i="92"/>
  <c r="AB193" i="92"/>
  <c r="AD193" i="92"/>
  <c r="AE193" i="92"/>
  <c r="AA194" i="92"/>
  <c r="AB194" i="92"/>
  <c r="AD194" i="92"/>
  <c r="AE194" i="92"/>
  <c r="AA195" i="92"/>
  <c r="AB195" i="92"/>
  <c r="AD195" i="92"/>
  <c r="AE195" i="92"/>
  <c r="AA196" i="92"/>
  <c r="AB196" i="92"/>
  <c r="AD196" i="92"/>
  <c r="AE196" i="92"/>
  <c r="AA197" i="92"/>
  <c r="AB197" i="92"/>
  <c r="AD197" i="92"/>
  <c r="AE197" i="92"/>
  <c r="AA198" i="92"/>
  <c r="AB198" i="92"/>
  <c r="AD198" i="92"/>
  <c r="AE198" i="92"/>
  <c r="AA199" i="92"/>
  <c r="AB199" i="92"/>
  <c r="AD199" i="92"/>
  <c r="AE199" i="92"/>
  <c r="AA200" i="92"/>
  <c r="AB200" i="92"/>
  <c r="AD200" i="92"/>
  <c r="AE200" i="92"/>
  <c r="AA201" i="92"/>
  <c r="AB201" i="92"/>
  <c r="AD201" i="92"/>
  <c r="AE201" i="92"/>
  <c r="AA202" i="92"/>
  <c r="AB202" i="92"/>
  <c r="AD202" i="92"/>
  <c r="AE202" i="92"/>
  <c r="AA203" i="92"/>
  <c r="AB203" i="92"/>
  <c r="AD203" i="92"/>
  <c r="AE203" i="92"/>
  <c r="AA204" i="92"/>
  <c r="AB204" i="92"/>
  <c r="AD204" i="92"/>
  <c r="AE204" i="92"/>
  <c r="AA205" i="92"/>
  <c r="AB205" i="92"/>
  <c r="AD205" i="92"/>
  <c r="AE205" i="92"/>
  <c r="AA206" i="92"/>
  <c r="AB206" i="92"/>
  <c r="AD206" i="92"/>
  <c r="AE206" i="92"/>
  <c r="AA207" i="92"/>
  <c r="AB207" i="92"/>
  <c r="AD207" i="92"/>
  <c r="AE207" i="92"/>
  <c r="AA208" i="92"/>
  <c r="AB208" i="92"/>
  <c r="AD208" i="92"/>
  <c r="AE208" i="92"/>
  <c r="AA209" i="92"/>
  <c r="AB209" i="92"/>
  <c r="AD209" i="92"/>
  <c r="AE209" i="92"/>
  <c r="AA210" i="92"/>
  <c r="AB210" i="92"/>
  <c r="AD210" i="92"/>
  <c r="AE210" i="92"/>
  <c r="AA211" i="92"/>
  <c r="AB211" i="92"/>
  <c r="AD211" i="92"/>
  <c r="AE211" i="92"/>
  <c r="AA212" i="92"/>
  <c r="AB212" i="92"/>
  <c r="AD212" i="92"/>
  <c r="AE212" i="92"/>
  <c r="AA213" i="92"/>
  <c r="AB213" i="92"/>
  <c r="AD213" i="92"/>
  <c r="AE213" i="92"/>
  <c r="AA214" i="92"/>
  <c r="AB214" i="92"/>
  <c r="AD214" i="92"/>
  <c r="AE214" i="92"/>
  <c r="AA215" i="92"/>
  <c r="AB215" i="92"/>
  <c r="AD215" i="92"/>
  <c r="AE215" i="92"/>
  <c r="AA216" i="92"/>
  <c r="AB216" i="92"/>
  <c r="AD216" i="92"/>
  <c r="AE216" i="92"/>
  <c r="AA217" i="92"/>
  <c r="AB217" i="92"/>
  <c r="AD217" i="92"/>
  <c r="AE217" i="92"/>
  <c r="AA218" i="92"/>
  <c r="AB218" i="92"/>
  <c r="AD218" i="92"/>
  <c r="AE218" i="92"/>
  <c r="AA219" i="92"/>
  <c r="AB219" i="92"/>
  <c r="AD219" i="92"/>
  <c r="AE219" i="92"/>
  <c r="AA220" i="92"/>
  <c r="AB220" i="92"/>
  <c r="AD220" i="92"/>
  <c r="AE220" i="92"/>
  <c r="AA221" i="92"/>
  <c r="AB221" i="92"/>
  <c r="AD221" i="92"/>
  <c r="AE221" i="92"/>
  <c r="AA222" i="92"/>
  <c r="AB222" i="92"/>
  <c r="AD222" i="92"/>
  <c r="AE222" i="92"/>
  <c r="AA223" i="92"/>
  <c r="AB223" i="92"/>
  <c r="AD223" i="92"/>
  <c r="AE223" i="92"/>
  <c r="AA224" i="92"/>
  <c r="AB224" i="92"/>
  <c r="AD224" i="92"/>
  <c r="AE224" i="92"/>
  <c r="AA225" i="92"/>
  <c r="AB225" i="92"/>
  <c r="AD225" i="92"/>
  <c r="AE225" i="92"/>
  <c r="AA226" i="92"/>
  <c r="AB226" i="92"/>
  <c r="AD226" i="92"/>
  <c r="AE226" i="92"/>
  <c r="AA227" i="92"/>
  <c r="AB227" i="92"/>
  <c r="AD227" i="92"/>
  <c r="AE227" i="92"/>
  <c r="AA228" i="92"/>
  <c r="AB228" i="92"/>
  <c r="AD228" i="92"/>
  <c r="AE228" i="92"/>
  <c r="AA229" i="92"/>
  <c r="AB229" i="92"/>
  <c r="AD229" i="92"/>
  <c r="AE229" i="92"/>
  <c r="AA230" i="92"/>
  <c r="AB230" i="92"/>
  <c r="AD230" i="92"/>
  <c r="AE230" i="92"/>
  <c r="AA231" i="92"/>
  <c r="AB231" i="92"/>
  <c r="AD231" i="92"/>
  <c r="AE231" i="92"/>
  <c r="AA232" i="92"/>
  <c r="AB232" i="92"/>
  <c r="AD232" i="92"/>
  <c r="AE232" i="92"/>
  <c r="AA233" i="92"/>
  <c r="AB233" i="92"/>
  <c r="AD233" i="92"/>
  <c r="AE233" i="92"/>
  <c r="AA234" i="92"/>
  <c r="AB234" i="92"/>
  <c r="AD234" i="92"/>
  <c r="AE234" i="92"/>
  <c r="AA235" i="92"/>
  <c r="AB235" i="92"/>
  <c r="AD235" i="92"/>
  <c r="AE235" i="92"/>
  <c r="AA236" i="92"/>
  <c r="AB236" i="92"/>
  <c r="AD236" i="92"/>
  <c r="AE236" i="92"/>
  <c r="AA237" i="92"/>
  <c r="AB237" i="92"/>
  <c r="AD237" i="92"/>
  <c r="AE237" i="92"/>
  <c r="AA238" i="92"/>
  <c r="AB238" i="92"/>
  <c r="AD238" i="92"/>
  <c r="AE238" i="92"/>
  <c r="AA239" i="92"/>
  <c r="AB239" i="92"/>
  <c r="AD239" i="92"/>
  <c r="AE239" i="92"/>
  <c r="AA240" i="92"/>
  <c r="AB240" i="92"/>
  <c r="AD240" i="92"/>
  <c r="AE240" i="92"/>
  <c r="AA241" i="92"/>
  <c r="AB241" i="92"/>
  <c r="AD241" i="92"/>
  <c r="AE241" i="92"/>
  <c r="AA242" i="92"/>
  <c r="AB242" i="92"/>
  <c r="AD242" i="92"/>
  <c r="AE242" i="92"/>
  <c r="AA243" i="92"/>
  <c r="AB243" i="92"/>
  <c r="AD243" i="92"/>
  <c r="AE243" i="92"/>
  <c r="AA244" i="92"/>
  <c r="AB244" i="92"/>
  <c r="AD244" i="92"/>
  <c r="AE244" i="92"/>
  <c r="AA245" i="92"/>
  <c r="AB245" i="92"/>
  <c r="AD245" i="92"/>
  <c r="AE245" i="92"/>
  <c r="AA246" i="92"/>
  <c r="AB246" i="92"/>
  <c r="AD246" i="92"/>
  <c r="AE246" i="92"/>
  <c r="AA247" i="92"/>
  <c r="AB247" i="92"/>
  <c r="AD247" i="92"/>
  <c r="AE247" i="92"/>
  <c r="AA248" i="92"/>
  <c r="AB248" i="92"/>
  <c r="AD248" i="92"/>
  <c r="AE248" i="92"/>
  <c r="AA249" i="92"/>
  <c r="AB249" i="92"/>
  <c r="AD249" i="92"/>
  <c r="AE249" i="92"/>
  <c r="AA250" i="92"/>
  <c r="AB250" i="92"/>
  <c r="AD250" i="92"/>
  <c r="AE250" i="92"/>
  <c r="AA251" i="92"/>
  <c r="AB251" i="92"/>
  <c r="AD251" i="92"/>
  <c r="AE251" i="92"/>
  <c r="AA252" i="92"/>
  <c r="AB252" i="92"/>
  <c r="AD252" i="92"/>
  <c r="AE252" i="92"/>
  <c r="AA253" i="92"/>
  <c r="AB253" i="92"/>
  <c r="AD253" i="92"/>
  <c r="AE253" i="92"/>
  <c r="AA254" i="92"/>
  <c r="AB254" i="92"/>
  <c r="AD254" i="92"/>
  <c r="AE254" i="92"/>
  <c r="AA255" i="92"/>
  <c r="AB255" i="92"/>
  <c r="AD255" i="92"/>
  <c r="AE255" i="92"/>
  <c r="AA256" i="92"/>
  <c r="AB256" i="92"/>
  <c r="AD256" i="92"/>
  <c r="AE256" i="92"/>
  <c r="AA257" i="92"/>
  <c r="AB257" i="92"/>
  <c r="AD257" i="92"/>
  <c r="AE257" i="92"/>
  <c r="AA258" i="92"/>
  <c r="AB258" i="92"/>
  <c r="AD258" i="92"/>
  <c r="AE258" i="92"/>
  <c r="AA259" i="92"/>
  <c r="AB259" i="92"/>
  <c r="AD259" i="92"/>
  <c r="AE259" i="92"/>
  <c r="AA260" i="92"/>
  <c r="AB260" i="92"/>
  <c r="AD260" i="92"/>
  <c r="AE260" i="92"/>
  <c r="AA261" i="92"/>
  <c r="AB261" i="92"/>
  <c r="AD261" i="92"/>
  <c r="AE261" i="92"/>
  <c r="AA262" i="92"/>
  <c r="AB262" i="92"/>
  <c r="AD262" i="92"/>
  <c r="AE262" i="92"/>
  <c r="AA263" i="92"/>
  <c r="AB263" i="92"/>
  <c r="AD263" i="92"/>
  <c r="AE263" i="92"/>
  <c r="AA264" i="92"/>
  <c r="AB264" i="92"/>
  <c r="AD264" i="92"/>
  <c r="AE264" i="92"/>
  <c r="AA265" i="92"/>
  <c r="AB265" i="92"/>
  <c r="AD265" i="92"/>
  <c r="AE265" i="92"/>
  <c r="AA266" i="92"/>
  <c r="AB266" i="92"/>
  <c r="AD266" i="92"/>
  <c r="AE266" i="92"/>
  <c r="AA267" i="92"/>
  <c r="AB267" i="92"/>
  <c r="AD267" i="92"/>
  <c r="AE267" i="92"/>
  <c r="AA268" i="92"/>
  <c r="AB268" i="92"/>
  <c r="AD268" i="92"/>
  <c r="AE268" i="92"/>
  <c r="AA269" i="92"/>
  <c r="AB269" i="92"/>
  <c r="AD269" i="92"/>
  <c r="AE269" i="92"/>
  <c r="AA270" i="92"/>
  <c r="AB270" i="92"/>
  <c r="AD270" i="92"/>
  <c r="AE270" i="92"/>
  <c r="AA271" i="92"/>
  <c r="AB271" i="92"/>
  <c r="AD271" i="92"/>
  <c r="AE271" i="92"/>
  <c r="AA272" i="92"/>
  <c r="AB272" i="92"/>
  <c r="AD272" i="92"/>
  <c r="AE272" i="92"/>
  <c r="AA273" i="92"/>
  <c r="AB273" i="92"/>
  <c r="AD273" i="92"/>
  <c r="AE273" i="92"/>
  <c r="AA274" i="92"/>
  <c r="AB274" i="92"/>
  <c r="AD274" i="92"/>
  <c r="AE274" i="92"/>
  <c r="AA275" i="92"/>
  <c r="AB275" i="92"/>
  <c r="AD275" i="92"/>
  <c r="AE275" i="92"/>
  <c r="AA276" i="92"/>
  <c r="AB276" i="92"/>
  <c r="AD276" i="92"/>
  <c r="AE276" i="92"/>
  <c r="AA277" i="92"/>
  <c r="AB277" i="92"/>
  <c r="AD277" i="92"/>
  <c r="AE277" i="92"/>
  <c r="AA278" i="92"/>
  <c r="AB278" i="92"/>
  <c r="AD278" i="92"/>
  <c r="AE278" i="92"/>
  <c r="AA279" i="92"/>
  <c r="AB279" i="92"/>
  <c r="AD279" i="92"/>
  <c r="AE279" i="92"/>
  <c r="AA280" i="92"/>
  <c r="AB280" i="92"/>
  <c r="AD280" i="92"/>
  <c r="AE280" i="92"/>
  <c r="AA281" i="92"/>
  <c r="AB281" i="92"/>
  <c r="AD281" i="92"/>
  <c r="AE281" i="92"/>
  <c r="AA282" i="92"/>
  <c r="AB282" i="92"/>
  <c r="AD282" i="92"/>
  <c r="AE282" i="92"/>
  <c r="AA283" i="92"/>
  <c r="AB283" i="92"/>
  <c r="AD283" i="92"/>
  <c r="AE283" i="92"/>
  <c r="AA284" i="92"/>
  <c r="AB284" i="92"/>
  <c r="AD284" i="92"/>
  <c r="AE284" i="92"/>
  <c r="AA285" i="92"/>
  <c r="AB285" i="92"/>
  <c r="AD285" i="92"/>
  <c r="AE285" i="92"/>
  <c r="AA286" i="92"/>
  <c r="AB286" i="92"/>
  <c r="AD286" i="92"/>
  <c r="AE286" i="92"/>
  <c r="AA287" i="92"/>
  <c r="AB287" i="92"/>
  <c r="AD287" i="92"/>
  <c r="AE287" i="92"/>
  <c r="AA288" i="92"/>
  <c r="AB288" i="92"/>
  <c r="AD288" i="92"/>
  <c r="AE288" i="92"/>
  <c r="AA289" i="92"/>
  <c r="AB289" i="92"/>
  <c r="AD289" i="92"/>
  <c r="AE289" i="92"/>
  <c r="AA290" i="92"/>
  <c r="AB290" i="92"/>
  <c r="AD290" i="92"/>
  <c r="AE290" i="92"/>
  <c r="AA291" i="92"/>
  <c r="AB291" i="92"/>
  <c r="AD291" i="92"/>
  <c r="AE291" i="92"/>
  <c r="AA292" i="92"/>
  <c r="AB292" i="92"/>
  <c r="AD292" i="92"/>
  <c r="AE292" i="92"/>
  <c r="AA293" i="92"/>
  <c r="AB293" i="92"/>
  <c r="AD293" i="92"/>
  <c r="AE293" i="92"/>
  <c r="AA294" i="92"/>
  <c r="AB294" i="92"/>
  <c r="AD294" i="92"/>
  <c r="AE294" i="92"/>
  <c r="AA295" i="92"/>
  <c r="AB295" i="92"/>
  <c r="AD295" i="92"/>
  <c r="AE295" i="92"/>
  <c r="AA296" i="92"/>
  <c r="AB296" i="92"/>
  <c r="AD296" i="92"/>
  <c r="AE296" i="92"/>
  <c r="AA297" i="92"/>
  <c r="AB297" i="92"/>
  <c r="AD297" i="92"/>
  <c r="AE297" i="92"/>
  <c r="AA298" i="92"/>
  <c r="AB298" i="92"/>
  <c r="AD298" i="92"/>
  <c r="AE298" i="92"/>
  <c r="AA299" i="92"/>
  <c r="AB299" i="92"/>
  <c r="AD299" i="92"/>
  <c r="AE299" i="92"/>
  <c r="AA300" i="92"/>
  <c r="AB300" i="92"/>
  <c r="AD300" i="92"/>
  <c r="AE300" i="92"/>
  <c r="AA301" i="92"/>
  <c r="AB301" i="92"/>
  <c r="AD301" i="92"/>
  <c r="AE301" i="92"/>
  <c r="AA302" i="92"/>
  <c r="AB302" i="92"/>
  <c r="AD302" i="92"/>
  <c r="AE302" i="92"/>
  <c r="AA303" i="92"/>
  <c r="AB303" i="92"/>
  <c r="AD303" i="92"/>
  <c r="AE303" i="92"/>
  <c r="AA304" i="92"/>
  <c r="AB304" i="92"/>
  <c r="AD304" i="92"/>
  <c r="AE304" i="92"/>
  <c r="AA305" i="92"/>
  <c r="AB305" i="92"/>
  <c r="AD305" i="92"/>
  <c r="AE305" i="92"/>
  <c r="AA306" i="92"/>
  <c r="AB306" i="92"/>
  <c r="AD306" i="92"/>
  <c r="AE306" i="92"/>
  <c r="AA307" i="92"/>
  <c r="AB307" i="92"/>
  <c r="AD307" i="92"/>
  <c r="AE307" i="92"/>
  <c r="AA308" i="92"/>
  <c r="AB308" i="92"/>
  <c r="AD308" i="92"/>
  <c r="AE308" i="92"/>
  <c r="AA309" i="92"/>
  <c r="AB309" i="92"/>
  <c r="AD309" i="92"/>
  <c r="AE309" i="92"/>
  <c r="AA310" i="92"/>
  <c r="AB310" i="92"/>
  <c r="AD310" i="92"/>
  <c r="AE310" i="92"/>
  <c r="AA311" i="92"/>
  <c r="AB311" i="92"/>
  <c r="AD311" i="92"/>
  <c r="AE311" i="92"/>
  <c r="AA312" i="92"/>
  <c r="AB312" i="92"/>
  <c r="AD312" i="92"/>
  <c r="AE312" i="92"/>
  <c r="AA313" i="92"/>
  <c r="AB313" i="92"/>
  <c r="AD313" i="92"/>
  <c r="AE313" i="92"/>
  <c r="AA314" i="92"/>
  <c r="AB314" i="92"/>
  <c r="AD314" i="92"/>
  <c r="AE314" i="92"/>
  <c r="AA315" i="92"/>
  <c r="AB315" i="92"/>
  <c r="AD315" i="92"/>
  <c r="AE315" i="92"/>
  <c r="AA316" i="92"/>
  <c r="AB316" i="92"/>
  <c r="AD316" i="92"/>
  <c r="AE316" i="92"/>
  <c r="AA317" i="92"/>
  <c r="AB317" i="92"/>
  <c r="AD317" i="92"/>
  <c r="AE317" i="92"/>
  <c r="AA318" i="92"/>
  <c r="AB318" i="92"/>
  <c r="AD318" i="92"/>
  <c r="AE318" i="92"/>
  <c r="AA319" i="92"/>
  <c r="AB319" i="92"/>
  <c r="AD319" i="92"/>
  <c r="AE319" i="92"/>
  <c r="AA320" i="92"/>
  <c r="AB320" i="92"/>
  <c r="AD320" i="92"/>
  <c r="AE320" i="92"/>
  <c r="AA321" i="92"/>
  <c r="AB321" i="92"/>
  <c r="AD321" i="92"/>
  <c r="AE321" i="92"/>
  <c r="AA322" i="92"/>
  <c r="AB322" i="92"/>
  <c r="AD322" i="92"/>
  <c r="AE322" i="92"/>
  <c r="AA323" i="92"/>
  <c r="AB323" i="92"/>
  <c r="AD323" i="92"/>
  <c r="AE323" i="92"/>
  <c r="AA324" i="92"/>
  <c r="AB324" i="92"/>
  <c r="AD324" i="92"/>
  <c r="AE324" i="92"/>
  <c r="AA325" i="92"/>
  <c r="AB325" i="92"/>
  <c r="AD325" i="92"/>
  <c r="AE325" i="92"/>
  <c r="AA326" i="92"/>
  <c r="AB326" i="92"/>
  <c r="AD326" i="92"/>
  <c r="AE326" i="92"/>
  <c r="AA327" i="92"/>
  <c r="AB327" i="92"/>
  <c r="AD327" i="92"/>
  <c r="AE327" i="92"/>
  <c r="AA328" i="92"/>
  <c r="AB328" i="92"/>
  <c r="AD328" i="92"/>
  <c r="AE328" i="92"/>
  <c r="AA329" i="92"/>
  <c r="AB329" i="92"/>
  <c r="AD329" i="92"/>
  <c r="AE329" i="92"/>
  <c r="AA330" i="92"/>
  <c r="AB330" i="92"/>
  <c r="AD330" i="92"/>
  <c r="AE330" i="92"/>
  <c r="AA331" i="92"/>
  <c r="AB331" i="92"/>
  <c r="AD331" i="92"/>
  <c r="AE331" i="92"/>
  <c r="AA332" i="92"/>
  <c r="AB332" i="92"/>
  <c r="AD332" i="92"/>
  <c r="AE332" i="92"/>
  <c r="AA333" i="92"/>
  <c r="AB333" i="92"/>
  <c r="AD333" i="92"/>
  <c r="AE333" i="92"/>
  <c r="AA334" i="92"/>
  <c r="AB334" i="92"/>
  <c r="AD334" i="92"/>
  <c r="AE334" i="92"/>
  <c r="AA335" i="92"/>
  <c r="AB335" i="92"/>
  <c r="AD335" i="92"/>
  <c r="AE335" i="92"/>
  <c r="AA336" i="92"/>
  <c r="AB336" i="92"/>
  <c r="AD336" i="92"/>
  <c r="AE336" i="92"/>
  <c r="AA337" i="92"/>
  <c r="AB337" i="92"/>
  <c r="AD337" i="92"/>
  <c r="AE337" i="92"/>
  <c r="AA338" i="92"/>
  <c r="AB338" i="92"/>
  <c r="AD338" i="92"/>
  <c r="AE338" i="92"/>
  <c r="AA4" i="92"/>
  <c r="AB4" i="92"/>
  <c r="AD4" i="92"/>
  <c r="AE4" i="92"/>
  <c r="J1" i="27"/>
  <c r="L1" i="27"/>
  <c r="M1" i="27"/>
  <c r="N1" i="27"/>
  <c r="O1" i="27"/>
  <c r="P1" i="27"/>
  <c r="L355" i="27" l="1"/>
  <c r="L379" i="27"/>
  <c r="L403" i="27"/>
  <c r="L427" i="27"/>
  <c r="L451" i="27"/>
  <c r="L475" i="27"/>
  <c r="L499" i="27"/>
  <c r="L523" i="27"/>
  <c r="L547" i="27"/>
  <c r="L571" i="27"/>
  <c r="L595" i="27"/>
  <c r="L619" i="27"/>
  <c r="L643" i="27"/>
  <c r="L667" i="27"/>
  <c r="L356" i="27"/>
  <c r="L380" i="27"/>
  <c r="L404" i="27"/>
  <c r="L428" i="27"/>
  <c r="L452" i="27"/>
  <c r="L476" i="27"/>
  <c r="L500" i="27"/>
  <c r="L524" i="27"/>
  <c r="L548" i="27"/>
  <c r="L572" i="27"/>
  <c r="L596" i="27"/>
  <c r="L620" i="27"/>
  <c r="L644" i="27"/>
  <c r="L668" i="27"/>
  <c r="L358" i="27"/>
  <c r="L382" i="27"/>
  <c r="L406" i="27"/>
  <c r="L430" i="27"/>
  <c r="L454" i="27"/>
  <c r="L478" i="27"/>
  <c r="L502" i="27"/>
  <c r="L526" i="27"/>
  <c r="L550" i="27"/>
  <c r="L574" i="27"/>
  <c r="L598" i="27"/>
  <c r="L622" i="27"/>
  <c r="L646" i="27"/>
  <c r="L670" i="27"/>
  <c r="L361" i="27"/>
  <c r="L433" i="27"/>
  <c r="L505" i="27"/>
  <c r="L577" i="27"/>
  <c r="L649" i="27"/>
  <c r="L362" i="27"/>
  <c r="L410" i="27"/>
  <c r="L482" i="27"/>
  <c r="L554" i="27"/>
  <c r="L626" i="27"/>
  <c r="L677" i="27"/>
  <c r="L659" i="27"/>
  <c r="L372" i="27"/>
  <c r="L516" i="27"/>
  <c r="L660" i="27"/>
  <c r="L359" i="27"/>
  <c r="L383" i="27"/>
  <c r="L407" i="27"/>
  <c r="L431" i="27"/>
  <c r="L455" i="27"/>
  <c r="L479" i="27"/>
  <c r="L503" i="27"/>
  <c r="L527" i="27"/>
  <c r="L551" i="27"/>
  <c r="L575" i="27"/>
  <c r="L599" i="27"/>
  <c r="L623" i="27"/>
  <c r="L647" i="27"/>
  <c r="L671" i="27"/>
  <c r="L409" i="27"/>
  <c r="L457" i="27"/>
  <c r="L529" i="27"/>
  <c r="L601" i="27"/>
  <c r="L673" i="27"/>
  <c r="L434" i="27"/>
  <c r="L530" i="27"/>
  <c r="L602" i="27"/>
  <c r="L674" i="27"/>
  <c r="L635" i="27"/>
  <c r="L444" i="27"/>
  <c r="L612" i="27"/>
  <c r="L360" i="27"/>
  <c r="L384" i="27"/>
  <c r="L408" i="27"/>
  <c r="L432" i="27"/>
  <c r="L456" i="27"/>
  <c r="L480" i="27"/>
  <c r="L504" i="27"/>
  <c r="L528" i="27"/>
  <c r="L552" i="27"/>
  <c r="L576" i="27"/>
  <c r="L600" i="27"/>
  <c r="L624" i="27"/>
  <c r="L648" i="27"/>
  <c r="L672" i="27"/>
  <c r="L385" i="27"/>
  <c r="L481" i="27"/>
  <c r="L553" i="27"/>
  <c r="L625" i="27"/>
  <c r="L386" i="27"/>
  <c r="L458" i="27"/>
  <c r="L506" i="27"/>
  <c r="L578" i="27"/>
  <c r="L650" i="27"/>
  <c r="L653" i="27"/>
  <c r="L611" i="27"/>
  <c r="L420" i="27"/>
  <c r="L540" i="27"/>
  <c r="L363" i="27"/>
  <c r="L387" i="27"/>
  <c r="L411" i="27"/>
  <c r="L435" i="27"/>
  <c r="L459" i="27"/>
  <c r="L483" i="27"/>
  <c r="L507" i="27"/>
  <c r="L531" i="27"/>
  <c r="L555" i="27"/>
  <c r="L579" i="27"/>
  <c r="L603" i="27"/>
  <c r="L627" i="27"/>
  <c r="L651" i="27"/>
  <c r="L675" i="27"/>
  <c r="L364" i="27"/>
  <c r="L388" i="27"/>
  <c r="L412" i="27"/>
  <c r="L436" i="27"/>
  <c r="L460" i="27"/>
  <c r="L484" i="27"/>
  <c r="L508" i="27"/>
  <c r="L532" i="27"/>
  <c r="L556" i="27"/>
  <c r="L580" i="27"/>
  <c r="L604" i="27"/>
  <c r="L628" i="27"/>
  <c r="L652" i="27"/>
  <c r="L676" i="27"/>
  <c r="L365" i="27"/>
  <c r="L389" i="27"/>
  <c r="L413" i="27"/>
  <c r="L437" i="27"/>
  <c r="L461" i="27"/>
  <c r="L485" i="27"/>
  <c r="L509" i="27"/>
  <c r="L533" i="27"/>
  <c r="L557" i="27"/>
  <c r="L581" i="27"/>
  <c r="L605" i="27"/>
  <c r="L629" i="27"/>
  <c r="L396" i="27"/>
  <c r="L564" i="27"/>
  <c r="L366" i="27"/>
  <c r="L390" i="27"/>
  <c r="L414" i="27"/>
  <c r="L438" i="27"/>
  <c r="L462" i="27"/>
  <c r="L486" i="27"/>
  <c r="L510" i="27"/>
  <c r="L534" i="27"/>
  <c r="L558" i="27"/>
  <c r="L582" i="27"/>
  <c r="L606" i="27"/>
  <c r="L630" i="27"/>
  <c r="L654" i="27"/>
  <c r="L678" i="27"/>
  <c r="L392" i="27"/>
  <c r="L440" i="27"/>
  <c r="L488" i="27"/>
  <c r="L536" i="27"/>
  <c r="L584" i="27"/>
  <c r="L632" i="27"/>
  <c r="L680" i="27"/>
  <c r="L393" i="27"/>
  <c r="L441" i="27"/>
  <c r="L465" i="27"/>
  <c r="L513" i="27"/>
  <c r="L561" i="27"/>
  <c r="L633" i="27"/>
  <c r="L346" i="27"/>
  <c r="L514" i="27"/>
  <c r="L658" i="27"/>
  <c r="L587" i="27"/>
  <c r="L348" i="27"/>
  <c r="L492" i="27"/>
  <c r="L588" i="27"/>
  <c r="L367" i="27"/>
  <c r="L391" i="27"/>
  <c r="L415" i="27"/>
  <c r="L439" i="27"/>
  <c r="L463" i="27"/>
  <c r="L487" i="27"/>
  <c r="L511" i="27"/>
  <c r="L535" i="27"/>
  <c r="L559" i="27"/>
  <c r="L583" i="27"/>
  <c r="L607" i="27"/>
  <c r="L631" i="27"/>
  <c r="L655" i="27"/>
  <c r="L679" i="27"/>
  <c r="L368" i="27"/>
  <c r="L416" i="27"/>
  <c r="L464" i="27"/>
  <c r="L512" i="27"/>
  <c r="L560" i="27"/>
  <c r="L608" i="27"/>
  <c r="L656" i="27"/>
  <c r="L369" i="27"/>
  <c r="L417" i="27"/>
  <c r="L489" i="27"/>
  <c r="L537" i="27"/>
  <c r="L585" i="27"/>
  <c r="L609" i="27"/>
  <c r="L657" i="27"/>
  <c r="L562" i="27"/>
  <c r="L634" i="27"/>
  <c r="L563" i="27"/>
  <c r="L468" i="27"/>
  <c r="L636" i="27"/>
  <c r="L370" i="27"/>
  <c r="L394" i="27"/>
  <c r="L418" i="27"/>
  <c r="L442" i="27"/>
  <c r="L466" i="27"/>
  <c r="L490" i="27"/>
  <c r="L538" i="27"/>
  <c r="L586" i="27"/>
  <c r="L610" i="27"/>
  <c r="L347" i="27"/>
  <c r="L371" i="27"/>
  <c r="L395" i="27"/>
  <c r="L419" i="27"/>
  <c r="L443" i="27"/>
  <c r="L467" i="27"/>
  <c r="L491" i="27"/>
  <c r="L515" i="27"/>
  <c r="L539" i="27"/>
  <c r="L422" i="27"/>
  <c r="L497" i="27"/>
  <c r="L589" i="27"/>
  <c r="L664" i="27"/>
  <c r="L423" i="27"/>
  <c r="L498" i="27"/>
  <c r="L590" i="27"/>
  <c r="L665" i="27"/>
  <c r="L349" i="27"/>
  <c r="L424" i="27"/>
  <c r="L501" i="27"/>
  <c r="L591" i="27"/>
  <c r="L666" i="27"/>
  <c r="L350" i="27"/>
  <c r="L425" i="27"/>
  <c r="L517" i="27"/>
  <c r="L592" i="27"/>
  <c r="L669" i="27"/>
  <c r="L351" i="27"/>
  <c r="L426" i="27"/>
  <c r="L518" i="27"/>
  <c r="L593" i="27"/>
  <c r="L352" i="27"/>
  <c r="L429" i="27"/>
  <c r="L519" i="27"/>
  <c r="L594" i="27"/>
  <c r="L353" i="27"/>
  <c r="L445" i="27"/>
  <c r="L520" i="27"/>
  <c r="L597" i="27"/>
  <c r="L354" i="27"/>
  <c r="L446" i="27"/>
  <c r="L521" i="27"/>
  <c r="L613" i="27"/>
  <c r="L357" i="27"/>
  <c r="L447" i="27"/>
  <c r="L522" i="27"/>
  <c r="L614" i="27"/>
  <c r="L374" i="27"/>
  <c r="L449" i="27"/>
  <c r="L541" i="27"/>
  <c r="L616" i="27"/>
  <c r="L375" i="27"/>
  <c r="L450" i="27"/>
  <c r="L542" i="27"/>
  <c r="L617" i="27"/>
  <c r="L543" i="27"/>
  <c r="L621" i="27"/>
  <c r="L378" i="27"/>
  <c r="L545" i="27"/>
  <c r="L637" i="27"/>
  <c r="L661" i="27"/>
  <c r="L495" i="27"/>
  <c r="L373" i="27"/>
  <c r="L615" i="27"/>
  <c r="L376" i="27"/>
  <c r="L453" i="27"/>
  <c r="L618" i="27"/>
  <c r="L470" i="27"/>
  <c r="L377" i="27"/>
  <c r="L469" i="27"/>
  <c r="L544" i="27"/>
  <c r="L421" i="27"/>
  <c r="L381" i="27"/>
  <c r="L471" i="27"/>
  <c r="L546" i="27"/>
  <c r="L638" i="27"/>
  <c r="L397" i="27"/>
  <c r="L472" i="27"/>
  <c r="L549" i="27"/>
  <c r="L639" i="27"/>
  <c r="L398" i="27"/>
  <c r="L473" i="27"/>
  <c r="L565" i="27"/>
  <c r="L640" i="27"/>
  <c r="L405" i="27"/>
  <c r="L399" i="27"/>
  <c r="L474" i="27"/>
  <c r="L566" i="27"/>
  <c r="L641" i="27"/>
  <c r="L401" i="27"/>
  <c r="L568" i="27"/>
  <c r="L402" i="27"/>
  <c r="L569" i="27"/>
  <c r="L570" i="27"/>
  <c r="L573" i="27"/>
  <c r="L663" i="27"/>
  <c r="L525" i="27"/>
  <c r="L400" i="27"/>
  <c r="L477" i="27"/>
  <c r="L567" i="27"/>
  <c r="L642" i="27"/>
  <c r="L493" i="27"/>
  <c r="L645" i="27"/>
  <c r="L494" i="27"/>
  <c r="L662" i="27"/>
  <c r="L496" i="27"/>
  <c r="L448" i="27"/>
  <c r="I1" i="27"/>
  <c r="U41" i="93" l="1"/>
  <c r="AG41" i="93" s="1"/>
  <c r="AB47" i="93"/>
  <c r="AB48" i="93"/>
  <c r="S51" i="93"/>
  <c r="AB65" i="93"/>
  <c r="Q75" i="93"/>
  <c r="AO89" i="93"/>
  <c r="AU259" i="27" s="1"/>
  <c r="Q99" i="93"/>
  <c r="AO113" i="93"/>
  <c r="AU87" i="27" s="1"/>
  <c r="Q137" i="93"/>
  <c r="Q147" i="93"/>
  <c r="AC161" i="93"/>
  <c r="AB167" i="93"/>
  <c r="AB168" i="93"/>
  <c r="Q171" i="93"/>
  <c r="S185" i="93"/>
  <c r="Q195" i="93"/>
  <c r="U209" i="93"/>
  <c r="AG209" i="93" s="1"/>
  <c r="AC215" i="93"/>
  <c r="AD215" i="93" s="1" a="1"/>
  <c r="AD215" i="93" s="1"/>
  <c r="AB233" i="93"/>
  <c r="AC239" i="93"/>
  <c r="AD239" i="93" s="1" a="1"/>
  <c r="AD239" i="93" s="1"/>
  <c r="AB257" i="93"/>
  <c r="AB263" i="93"/>
  <c r="AB264" i="93"/>
  <c r="U281" i="93"/>
  <c r="AG281" i="93" s="1"/>
  <c r="Q291" i="93"/>
  <c r="AC305" i="93"/>
  <c r="AC311" i="93"/>
  <c r="AE311" i="93" s="1" a="1"/>
  <c r="AE311" i="93" s="1"/>
  <c r="AF311" i="93" s="1" a="1"/>
  <c r="AF311" i="93" s="1"/>
  <c r="AC312" i="93"/>
  <c r="AE312" i="93" s="1" a="1"/>
  <c r="AE312" i="93" s="1"/>
  <c r="AF312" i="93" s="1" a="1"/>
  <c r="AF312" i="93" s="1"/>
  <c r="U329" i="93"/>
  <c r="AG329" i="93" s="1"/>
  <c r="AC336" i="93"/>
  <c r="AE336" i="93" s="1" a="1"/>
  <c r="AE336" i="93" s="1"/>
  <c r="AF336" i="93" s="1" a="1"/>
  <c r="AF336" i="93" s="1"/>
  <c r="R10" i="93"/>
  <c r="AO20" i="93"/>
  <c r="AU166" i="27" s="1"/>
  <c r="R21" i="93"/>
  <c r="S23" i="93"/>
  <c r="AC25" i="93"/>
  <c r="AE25" i="93" s="1" a="1"/>
  <c r="AE25" i="93" s="1"/>
  <c r="AF25" i="93" s="1" a="1"/>
  <c r="AF25" i="93" s="1"/>
  <c r="S26" i="93"/>
  <c r="Q30" i="93"/>
  <c r="Q31" i="93"/>
  <c r="T34" i="93"/>
  <c r="Q40" i="93"/>
  <c r="AO44" i="93"/>
  <c r="AU239" i="27" s="1"/>
  <c r="AO47" i="93"/>
  <c r="AU65" i="27" s="1"/>
  <c r="AC49" i="93"/>
  <c r="AE49" i="93" s="1" a="1"/>
  <c r="AE49" i="93" s="1"/>
  <c r="AF49" i="93" s="1" a="1"/>
  <c r="AF49" i="93" s="1"/>
  <c r="R50" i="93"/>
  <c r="R54" i="93"/>
  <c r="R55" i="93"/>
  <c r="R58" i="93"/>
  <c r="AC68" i="93"/>
  <c r="AO69" i="93"/>
  <c r="AU178" i="27" s="1"/>
  <c r="R71" i="93"/>
  <c r="S73" i="93"/>
  <c r="Q74" i="93"/>
  <c r="S78" i="93"/>
  <c r="U79" i="93"/>
  <c r="AG79" i="93" s="1"/>
  <c r="S82" i="93"/>
  <c r="AC92" i="93"/>
  <c r="AD92" i="93" s="1" a="1"/>
  <c r="AD92" i="93" s="1"/>
  <c r="Q93" i="93"/>
  <c r="S95" i="93"/>
  <c r="U97" i="93"/>
  <c r="AG97" i="93" s="1"/>
  <c r="S98" i="93"/>
  <c r="T102" i="93"/>
  <c r="Q103" i="93"/>
  <c r="T106" i="93"/>
  <c r="Q112" i="93"/>
  <c r="AC116" i="93"/>
  <c r="S117" i="93"/>
  <c r="T121" i="93"/>
  <c r="Q122" i="93"/>
  <c r="R126" i="93"/>
  <c r="Q127" i="93"/>
  <c r="U130" i="93"/>
  <c r="AG130" i="93" s="1"/>
  <c r="AC140" i="93"/>
  <c r="AO141" i="93"/>
  <c r="AU82" i="27" s="1"/>
  <c r="AO143" i="93"/>
  <c r="AU127" i="27" s="1"/>
  <c r="AB145" i="93"/>
  <c r="Q146" i="93"/>
  <c r="S150" i="93"/>
  <c r="S151" i="93"/>
  <c r="R154" i="93"/>
  <c r="Q160" i="93"/>
  <c r="U164" i="93"/>
  <c r="AG164" i="93" s="1"/>
  <c r="T165" i="93"/>
  <c r="AC169" i="93"/>
  <c r="AD169" i="93" s="1" a="1"/>
  <c r="AD169" i="93" s="1"/>
  <c r="R170" i="93"/>
  <c r="T174" i="93"/>
  <c r="Q175" i="93"/>
  <c r="R178" i="93"/>
  <c r="U188" i="93"/>
  <c r="AG188" i="93" s="1"/>
  <c r="R189" i="93"/>
  <c r="Q193" i="93"/>
  <c r="S194" i="93"/>
  <c r="Q198" i="93"/>
  <c r="Q199" i="93"/>
  <c r="U202" i="93"/>
  <c r="AG202" i="93" s="1"/>
  <c r="R203" i="93"/>
  <c r="R208" i="93"/>
  <c r="AB212" i="93"/>
  <c r="T213" i="93"/>
  <c r="AC217" i="93"/>
  <c r="AE217" i="93" s="1" a="1"/>
  <c r="AE217" i="93" s="1"/>
  <c r="AF217" i="93" s="1" a="1"/>
  <c r="AF217" i="93" s="1"/>
  <c r="S218" i="93"/>
  <c r="S222" i="93"/>
  <c r="S223" i="93"/>
  <c r="U226" i="93"/>
  <c r="AG226" i="93" s="1"/>
  <c r="Q234" i="93"/>
  <c r="Q236" i="93"/>
  <c r="AO237" i="93"/>
  <c r="AU303" i="27" s="1"/>
  <c r="AC241" i="93"/>
  <c r="AD241" i="93" s="1" a="1"/>
  <c r="AD241" i="93" s="1"/>
  <c r="S242" i="93"/>
  <c r="Q246" i="93"/>
  <c r="R247" i="93"/>
  <c r="R249" i="93"/>
  <c r="U250" i="93"/>
  <c r="AG250" i="93" s="1"/>
  <c r="Q251" i="93"/>
  <c r="R256" i="93"/>
  <c r="Q258" i="93"/>
  <c r="AB260" i="93"/>
  <c r="R261" i="93"/>
  <c r="R262" i="93"/>
  <c r="S263" i="93"/>
  <c r="S266" i="93"/>
  <c r="R270" i="93"/>
  <c r="R271" i="93"/>
  <c r="R272" i="93"/>
  <c r="R273" i="93"/>
  <c r="U274" i="93"/>
  <c r="AG274" i="93" s="1"/>
  <c r="R275" i="93"/>
  <c r="T284" i="93"/>
  <c r="Q285" i="93"/>
  <c r="S286" i="93"/>
  <c r="U289" i="93"/>
  <c r="AG289" i="93" s="1"/>
  <c r="S290" i="93"/>
  <c r="T293" i="93"/>
  <c r="T294" i="93"/>
  <c r="T295" i="93"/>
  <c r="R296" i="93"/>
  <c r="R297" i="93"/>
  <c r="U298" i="93"/>
  <c r="AG298" i="93" s="1"/>
  <c r="AO299" i="93"/>
  <c r="AU163" i="27" s="1"/>
  <c r="R307" i="93"/>
  <c r="S308" i="93"/>
  <c r="T309" i="93"/>
  <c r="S310" i="93"/>
  <c r="AC313" i="93"/>
  <c r="AE313" i="93" s="1" a="1"/>
  <c r="AE313" i="93" s="1"/>
  <c r="AF313" i="93" s="1" a="1"/>
  <c r="AF313" i="93" s="1"/>
  <c r="S314" i="93"/>
  <c r="T318" i="93"/>
  <c r="AO319" i="93"/>
  <c r="AU15" i="27" s="1"/>
  <c r="R320" i="93"/>
  <c r="R321" i="93"/>
  <c r="Q323" i="93"/>
  <c r="R331" i="93"/>
  <c r="U332" i="93"/>
  <c r="AG332" i="93" s="1"/>
  <c r="T333" i="93"/>
  <c r="R334" i="93"/>
  <c r="T338" i="93"/>
  <c r="Q8" i="93"/>
  <c r="Q9" i="93"/>
  <c r="Q10" i="93"/>
  <c r="Q11" i="93"/>
  <c r="Q13" i="93"/>
  <c r="Q14" i="93"/>
  <c r="Q15" i="93"/>
  <c r="Q16" i="93"/>
  <c r="Q18" i="93"/>
  <c r="Q19" i="93"/>
  <c r="Q22" i="93"/>
  <c r="Q26" i="93"/>
  <c r="Q27" i="93"/>
  <c r="Q29" i="93"/>
  <c r="Q32" i="93"/>
  <c r="Q33" i="93"/>
  <c r="Q35" i="93"/>
  <c r="Q37" i="93"/>
  <c r="Q38" i="93"/>
  <c r="Q39" i="93"/>
  <c r="Q42" i="93"/>
  <c r="Q43" i="93"/>
  <c r="Q46" i="93"/>
  <c r="Q50" i="93"/>
  <c r="Q51" i="93"/>
  <c r="Q53" i="93"/>
  <c r="Q56" i="93"/>
  <c r="Q57" i="93"/>
  <c r="Q59" i="93"/>
  <c r="Q61" i="93"/>
  <c r="Q62" i="93"/>
  <c r="Q63" i="93"/>
  <c r="Q64" i="93"/>
  <c r="Q66" i="93"/>
  <c r="Q67" i="93"/>
  <c r="Q70" i="93"/>
  <c r="Q77" i="93"/>
  <c r="Q80" i="93"/>
  <c r="Q81" i="93"/>
  <c r="Q83" i="93"/>
  <c r="Q85" i="93"/>
  <c r="Q86" i="93"/>
  <c r="Q87" i="93"/>
  <c r="Q88" i="93"/>
  <c r="Q90" i="93"/>
  <c r="Q91" i="93"/>
  <c r="Q94" i="93"/>
  <c r="Q101" i="93"/>
  <c r="Q104" i="93"/>
  <c r="Q105" i="93"/>
  <c r="Q107" i="93"/>
  <c r="Q108" i="93"/>
  <c r="Q109" i="93"/>
  <c r="Q110" i="93"/>
  <c r="Q111" i="93"/>
  <c r="Q114" i="93"/>
  <c r="Q115" i="93"/>
  <c r="Q118" i="93"/>
  <c r="Q123" i="93"/>
  <c r="Q125" i="93"/>
  <c r="Q128" i="93"/>
  <c r="Q129" i="93"/>
  <c r="Q131" i="93"/>
  <c r="Q133" i="93"/>
  <c r="Q134" i="93"/>
  <c r="Q135" i="93"/>
  <c r="Q136" i="93"/>
  <c r="Q138" i="93"/>
  <c r="Q139" i="93"/>
  <c r="Q141" i="93"/>
  <c r="Q142" i="93"/>
  <c r="Q149" i="93"/>
  <c r="Q152" i="93"/>
  <c r="Q153" i="93"/>
  <c r="Q155" i="93"/>
  <c r="Q157" i="93"/>
  <c r="Q158" i="93"/>
  <c r="Q159" i="93"/>
  <c r="Q162" i="93"/>
  <c r="Q163" i="93"/>
  <c r="Q166" i="93"/>
  <c r="Q170" i="93"/>
  <c r="Q173" i="93"/>
  <c r="Q174" i="93"/>
  <c r="Q176" i="93"/>
  <c r="Q177" i="93"/>
  <c r="Q179" i="93"/>
  <c r="Q181" i="93"/>
  <c r="Q182" i="93"/>
  <c r="Q183" i="93"/>
  <c r="Q184" i="93"/>
  <c r="Q186" i="93"/>
  <c r="Q187" i="93"/>
  <c r="Q190" i="93"/>
  <c r="Q197" i="93"/>
  <c r="Q200" i="93"/>
  <c r="Q201" i="93"/>
  <c r="Q203" i="93"/>
  <c r="Q205" i="93"/>
  <c r="Q206" i="93"/>
  <c r="Q207" i="93"/>
  <c r="Q208" i="93"/>
  <c r="Q210" i="93"/>
  <c r="Q211" i="93"/>
  <c r="Q214" i="93"/>
  <c r="Q219" i="93"/>
  <c r="Q221" i="93"/>
  <c r="Q224" i="93"/>
  <c r="Q225" i="93"/>
  <c r="Q227" i="93"/>
  <c r="Q229" i="93"/>
  <c r="Q231" i="93"/>
  <c r="Q232" i="93"/>
  <c r="Q235" i="93"/>
  <c r="Q238" i="93"/>
  <c r="Q243" i="93"/>
  <c r="Q245" i="93"/>
  <c r="Q248" i="93"/>
  <c r="Q249" i="93"/>
  <c r="Q253" i="93"/>
  <c r="Q256" i="93"/>
  <c r="Q259" i="93"/>
  <c r="Q262" i="93"/>
  <c r="Q267" i="93"/>
  <c r="Q269" i="93"/>
  <c r="Q272" i="93"/>
  <c r="Q273" i="93"/>
  <c r="Q277" i="93"/>
  <c r="Q282" i="93"/>
  <c r="Q283" i="93"/>
  <c r="Q286" i="93"/>
  <c r="Q293" i="93"/>
  <c r="Q295" i="93"/>
  <c r="Q296" i="93"/>
  <c r="Q307" i="93"/>
  <c r="Q309" i="93"/>
  <c r="Q310" i="93"/>
  <c r="Q325" i="93"/>
  <c r="R8" i="93"/>
  <c r="R9" i="93"/>
  <c r="R11" i="93"/>
  <c r="R13" i="93"/>
  <c r="R14" i="93"/>
  <c r="R15" i="93"/>
  <c r="R16" i="93"/>
  <c r="R18" i="93"/>
  <c r="R19" i="93"/>
  <c r="R22" i="93"/>
  <c r="R26" i="93"/>
  <c r="R27" i="93"/>
  <c r="R29" i="93"/>
  <c r="R32" i="93"/>
  <c r="R33" i="93"/>
  <c r="R35" i="93"/>
  <c r="R37" i="93"/>
  <c r="R38" i="93"/>
  <c r="R39" i="93"/>
  <c r="R42" i="93"/>
  <c r="R43" i="93"/>
  <c r="R46" i="93"/>
  <c r="R51" i="93"/>
  <c r="R53" i="93"/>
  <c r="R56" i="93"/>
  <c r="R57" i="93"/>
  <c r="R59" i="93"/>
  <c r="R61" i="93"/>
  <c r="R62" i="93"/>
  <c r="R63" i="93"/>
  <c r="R64" i="93"/>
  <c r="R66" i="93"/>
  <c r="R67" i="93"/>
  <c r="R70" i="93"/>
  <c r="R74" i="93"/>
  <c r="R75" i="93"/>
  <c r="R77" i="93"/>
  <c r="R78" i="93"/>
  <c r="R79" i="93"/>
  <c r="R80" i="93"/>
  <c r="R81" i="93"/>
  <c r="R82" i="93"/>
  <c r="R83" i="93"/>
  <c r="R85" i="93"/>
  <c r="R86" i="93"/>
  <c r="R87" i="93"/>
  <c r="R88" i="93"/>
  <c r="R90" i="93"/>
  <c r="R91" i="93"/>
  <c r="R94" i="93"/>
  <c r="R98" i="93"/>
  <c r="R99" i="93"/>
  <c r="R101" i="93"/>
  <c r="R104" i="93"/>
  <c r="R105" i="93"/>
  <c r="R107" i="93"/>
  <c r="R109" i="93"/>
  <c r="R110" i="93"/>
  <c r="R111" i="93"/>
  <c r="R112" i="93"/>
  <c r="R114" i="93"/>
  <c r="R115" i="93"/>
  <c r="R118" i="93"/>
  <c r="R122" i="93"/>
  <c r="R123" i="93"/>
  <c r="R125" i="93"/>
  <c r="R128" i="93"/>
  <c r="R129" i="93"/>
  <c r="R131" i="93"/>
  <c r="R133" i="93"/>
  <c r="R134" i="93"/>
  <c r="R135" i="93"/>
  <c r="R136" i="93"/>
  <c r="R138" i="93"/>
  <c r="R139" i="93"/>
  <c r="R142" i="93"/>
  <c r="R146" i="93"/>
  <c r="R147" i="93"/>
  <c r="R149" i="93"/>
  <c r="R152" i="93"/>
  <c r="R153" i="93"/>
  <c r="R155" i="93"/>
  <c r="R157" i="93"/>
  <c r="R158" i="93"/>
  <c r="R159" i="93"/>
  <c r="R160" i="93"/>
  <c r="R162" i="93"/>
  <c r="R163" i="93"/>
  <c r="R166" i="93"/>
  <c r="R171" i="93"/>
  <c r="R173" i="93"/>
  <c r="R176" i="93"/>
  <c r="R177" i="93"/>
  <c r="R179" i="93"/>
  <c r="R181" i="93"/>
  <c r="R182" i="93"/>
  <c r="R183" i="93"/>
  <c r="R184" i="93"/>
  <c r="R186" i="93"/>
  <c r="R187" i="93"/>
  <c r="R190" i="93"/>
  <c r="R195" i="93"/>
  <c r="R197" i="93"/>
  <c r="R200" i="93"/>
  <c r="R201" i="93"/>
  <c r="R205" i="93"/>
  <c r="R206" i="93"/>
  <c r="R207" i="93"/>
  <c r="R210" i="93"/>
  <c r="R211" i="93"/>
  <c r="R214" i="93"/>
  <c r="R219" i="93"/>
  <c r="R221" i="93"/>
  <c r="R224" i="93"/>
  <c r="R225" i="93"/>
  <c r="R227" i="93"/>
  <c r="R229" i="93"/>
  <c r="R230" i="93"/>
  <c r="R231" i="93"/>
  <c r="R232" i="93"/>
  <c r="R234" i="93"/>
  <c r="R235" i="93"/>
  <c r="R238" i="93"/>
  <c r="R243" i="93"/>
  <c r="R245" i="93"/>
  <c r="R248" i="93"/>
  <c r="R251" i="93"/>
  <c r="R253" i="93"/>
  <c r="R254" i="93"/>
  <c r="R255" i="93"/>
  <c r="R258" i="93"/>
  <c r="R259" i="93"/>
  <c r="R267" i="93"/>
  <c r="R269" i="93"/>
  <c r="R280" i="93"/>
  <c r="R282" i="93"/>
  <c r="R283" i="93"/>
  <c r="R285" i="93"/>
  <c r="R286" i="93"/>
  <c r="R291" i="93"/>
  <c r="R293" i="93"/>
  <c r="R304" i="93"/>
  <c r="R310" i="93"/>
  <c r="R317" i="93"/>
  <c r="R325" i="93"/>
  <c r="R328" i="93"/>
  <c r="S8" i="93"/>
  <c r="S9" i="93"/>
  <c r="S11" i="93"/>
  <c r="S13" i="93"/>
  <c r="S14" i="93"/>
  <c r="S15" i="93"/>
  <c r="S16" i="93"/>
  <c r="S18" i="93"/>
  <c r="S19" i="93"/>
  <c r="S22" i="93"/>
  <c r="S27" i="93"/>
  <c r="S29" i="93"/>
  <c r="S30" i="93"/>
  <c r="S32" i="93"/>
  <c r="S33" i="93"/>
  <c r="S35" i="93"/>
  <c r="S37" i="93"/>
  <c r="S38" i="93"/>
  <c r="S39" i="93"/>
  <c r="S40" i="93"/>
  <c r="S42" i="93"/>
  <c r="S43" i="93"/>
  <c r="S46" i="93"/>
  <c r="S53" i="93"/>
  <c r="S56" i="93"/>
  <c r="S57" i="93"/>
  <c r="S59" i="93"/>
  <c r="S61" i="93"/>
  <c r="S62" i="93"/>
  <c r="S63" i="93"/>
  <c r="S64" i="93"/>
  <c r="S66" i="93"/>
  <c r="S67" i="93"/>
  <c r="S70" i="93"/>
  <c r="S75" i="93"/>
  <c r="S77" i="93"/>
  <c r="S80" i="93"/>
  <c r="S81" i="93"/>
  <c r="S83" i="93"/>
  <c r="S85" i="93"/>
  <c r="S86" i="93"/>
  <c r="S87" i="93"/>
  <c r="S88" i="93"/>
  <c r="S90" i="93"/>
  <c r="S91" i="93"/>
  <c r="S93" i="93"/>
  <c r="S94" i="93"/>
  <c r="S99" i="93"/>
  <c r="S101" i="93"/>
  <c r="S104" i="93"/>
  <c r="S105" i="93"/>
  <c r="S107" i="93"/>
  <c r="S109" i="93"/>
  <c r="S110" i="93"/>
  <c r="S111" i="93"/>
  <c r="S112" i="93"/>
  <c r="S114" i="93"/>
  <c r="S115" i="93"/>
  <c r="S118" i="93"/>
  <c r="S122" i="93"/>
  <c r="S123" i="93"/>
  <c r="S125" i="93"/>
  <c r="S126" i="93"/>
  <c r="S127" i="93"/>
  <c r="S128" i="93"/>
  <c r="S129" i="93"/>
  <c r="S130" i="93"/>
  <c r="S131" i="93"/>
  <c r="S133" i="93"/>
  <c r="S134" i="93"/>
  <c r="S135" i="93"/>
  <c r="S136" i="93"/>
  <c r="S138" i="93"/>
  <c r="S139" i="93"/>
  <c r="S142" i="93"/>
  <c r="S146" i="93"/>
  <c r="S147" i="93"/>
  <c r="S149" i="93"/>
  <c r="S152" i="93"/>
  <c r="S153" i="93"/>
  <c r="S155" i="93"/>
  <c r="S157" i="93"/>
  <c r="S158" i="93"/>
  <c r="S159" i="93"/>
  <c r="S160" i="93"/>
  <c r="S162" i="93"/>
  <c r="S163" i="93"/>
  <c r="S166" i="93"/>
  <c r="S171" i="93"/>
  <c r="S173" i="93"/>
  <c r="S176" i="93"/>
  <c r="S177" i="93"/>
  <c r="S179" i="93"/>
  <c r="S181" i="93"/>
  <c r="S182" i="93"/>
  <c r="S183" i="93"/>
  <c r="S184" i="93"/>
  <c r="S186" i="93"/>
  <c r="S187" i="93"/>
  <c r="S190" i="93"/>
  <c r="S195" i="93"/>
  <c r="S197" i="93"/>
  <c r="S200" i="93"/>
  <c r="S201" i="93"/>
  <c r="S203" i="93"/>
  <c r="S205" i="93"/>
  <c r="S206" i="93"/>
  <c r="S210" i="93"/>
  <c r="S211" i="93"/>
  <c r="S214" i="93"/>
  <c r="S219" i="93"/>
  <c r="S221" i="93"/>
  <c r="S224" i="93"/>
  <c r="S225" i="93"/>
  <c r="S227" i="93"/>
  <c r="S229" i="93"/>
  <c r="S230" i="93"/>
  <c r="S231" i="93"/>
  <c r="S232" i="93"/>
  <c r="S234" i="93"/>
  <c r="S235" i="93"/>
  <c r="S238" i="93"/>
  <c r="S243" i="93"/>
  <c r="S245" i="93"/>
  <c r="S248" i="93"/>
  <c r="S249" i="93"/>
  <c r="S250" i="93"/>
  <c r="S251" i="93"/>
  <c r="S254" i="93"/>
  <c r="S255" i="93"/>
  <c r="S256" i="93"/>
  <c r="S258" i="93"/>
  <c r="S259" i="93"/>
  <c r="S262" i="93"/>
  <c r="S267" i="93"/>
  <c r="S269" i="93"/>
  <c r="S272" i="93"/>
  <c r="S280" i="93"/>
  <c r="S282" i="93"/>
  <c r="S283" i="93"/>
  <c r="S293" i="93"/>
  <c r="S294" i="93"/>
  <c r="S296" i="93"/>
  <c r="S303" i="93"/>
  <c r="S306" i="93"/>
  <c r="S307" i="93"/>
  <c r="S317" i="93"/>
  <c r="S320" i="93"/>
  <c r="S321" i="93"/>
  <c r="S330" i="93"/>
  <c r="T8" i="93"/>
  <c r="T9" i="93"/>
  <c r="T11" i="93"/>
  <c r="T13" i="93"/>
  <c r="T14" i="93"/>
  <c r="T15" i="93"/>
  <c r="T16" i="93"/>
  <c r="T18" i="93"/>
  <c r="T19" i="93"/>
  <c r="T22" i="93"/>
  <c r="T25" i="93"/>
  <c r="T27" i="93"/>
  <c r="T29" i="93"/>
  <c r="T30" i="93"/>
  <c r="T32" i="93"/>
  <c r="T33" i="93"/>
  <c r="T35" i="93"/>
  <c r="T37" i="93"/>
  <c r="T38" i="93"/>
  <c r="T39" i="93"/>
  <c r="T40" i="93"/>
  <c r="T42" i="93"/>
  <c r="T43" i="93"/>
  <c r="T45" i="93"/>
  <c r="T46" i="93"/>
  <c r="T51" i="93"/>
  <c r="T53" i="93"/>
  <c r="T56" i="93"/>
  <c r="T57" i="93"/>
  <c r="T59" i="93"/>
  <c r="T61" i="93"/>
  <c r="T62" i="93"/>
  <c r="T63" i="93"/>
  <c r="T64" i="93"/>
  <c r="T66" i="93"/>
  <c r="T67" i="93"/>
  <c r="T70" i="93"/>
  <c r="T75" i="93"/>
  <c r="T77" i="93"/>
  <c r="T78" i="93"/>
  <c r="T80" i="93"/>
  <c r="T81" i="93"/>
  <c r="T82" i="93"/>
  <c r="T83" i="93"/>
  <c r="T85" i="93"/>
  <c r="T86" i="93"/>
  <c r="T87" i="93"/>
  <c r="T88" i="93"/>
  <c r="T90" i="93"/>
  <c r="T91" i="93"/>
  <c r="T94" i="93"/>
  <c r="T98" i="93"/>
  <c r="T99" i="93"/>
  <c r="T101" i="93"/>
  <c r="T104" i="93"/>
  <c r="T105" i="93"/>
  <c r="T107" i="93"/>
  <c r="T109" i="93"/>
  <c r="T110" i="93"/>
  <c r="T111" i="93"/>
  <c r="T112" i="93"/>
  <c r="T114" i="93"/>
  <c r="T115" i="93"/>
  <c r="T118" i="93"/>
  <c r="T122" i="93"/>
  <c r="T123" i="93"/>
  <c r="T125" i="93"/>
  <c r="T128" i="93"/>
  <c r="T129" i="93"/>
  <c r="T131" i="93"/>
  <c r="T133" i="93"/>
  <c r="T134" i="93"/>
  <c r="T135" i="93"/>
  <c r="T136" i="93"/>
  <c r="T138" i="93"/>
  <c r="T139" i="93"/>
  <c r="T142" i="93"/>
  <c r="T146" i="93"/>
  <c r="T147" i="93"/>
  <c r="T149" i="93"/>
  <c r="T152" i="93"/>
  <c r="T153" i="93"/>
  <c r="T155" i="93"/>
  <c r="T157" i="93"/>
  <c r="T158" i="93"/>
  <c r="T159" i="93"/>
  <c r="T160" i="93"/>
  <c r="T162" i="93"/>
  <c r="T163" i="93"/>
  <c r="T166" i="93"/>
  <c r="T170" i="93"/>
  <c r="T171" i="93"/>
  <c r="T173" i="93"/>
  <c r="T176" i="93"/>
  <c r="T177" i="93"/>
  <c r="T179" i="93"/>
  <c r="T181" i="93"/>
  <c r="T182" i="93"/>
  <c r="T183" i="93"/>
  <c r="T184" i="93"/>
  <c r="T186" i="93"/>
  <c r="T187" i="93"/>
  <c r="T190" i="93"/>
  <c r="T194" i="93"/>
  <c r="T195" i="93"/>
  <c r="T197" i="93"/>
  <c r="T198" i="93"/>
  <c r="T200" i="93"/>
  <c r="T201" i="93"/>
  <c r="T203" i="93"/>
  <c r="T205" i="93"/>
  <c r="T206" i="93"/>
  <c r="T207" i="93"/>
  <c r="T208" i="93"/>
  <c r="T210" i="93"/>
  <c r="T211" i="93"/>
  <c r="T214" i="93"/>
  <c r="T219" i="93"/>
  <c r="T221" i="93"/>
  <c r="T224" i="93"/>
  <c r="T225" i="93"/>
  <c r="T227" i="93"/>
  <c r="T229" i="93"/>
  <c r="T230" i="93"/>
  <c r="T231" i="93"/>
  <c r="T232" i="93"/>
  <c r="T234" i="93"/>
  <c r="T235" i="93"/>
  <c r="T238" i="93"/>
  <c r="T243" i="93"/>
  <c r="T245" i="93"/>
  <c r="T248" i="93"/>
  <c r="T249" i="93"/>
  <c r="T251" i="93"/>
  <c r="T253" i="93"/>
  <c r="T254" i="93"/>
  <c r="T255" i="93"/>
  <c r="T256" i="93"/>
  <c r="T258" i="93"/>
  <c r="T259" i="93"/>
  <c r="T262" i="93"/>
  <c r="T267" i="93"/>
  <c r="T269" i="93"/>
  <c r="T270" i="93"/>
  <c r="T272" i="93"/>
  <c r="T273" i="93"/>
  <c r="T277" i="93"/>
  <c r="T278" i="93"/>
  <c r="T279" i="93"/>
  <c r="T280" i="93"/>
  <c r="T283" i="93"/>
  <c r="T286" i="93"/>
  <c r="T291" i="93"/>
  <c r="T296" i="93"/>
  <c r="T297" i="93"/>
  <c r="T301" i="93"/>
  <c r="T302" i="93"/>
  <c r="T303" i="93"/>
  <c r="T304" i="93"/>
  <c r="T306" i="93"/>
  <c r="T307" i="93"/>
  <c r="T310" i="93"/>
  <c r="T314" i="93"/>
  <c r="T315" i="93"/>
  <c r="T317" i="93"/>
  <c r="T320" i="93"/>
  <c r="T325" i="93"/>
  <c r="T328" i="93"/>
  <c r="U8" i="93"/>
  <c r="AG8" i="93" s="1"/>
  <c r="U9" i="93"/>
  <c r="AG9" i="93" s="1"/>
  <c r="U10" i="93"/>
  <c r="AG10" i="93" s="1"/>
  <c r="U11" i="93"/>
  <c r="AG11" i="93" s="1"/>
  <c r="U13" i="93"/>
  <c r="AG13" i="93" s="1"/>
  <c r="U14" i="93"/>
  <c r="AG14" i="93" s="1"/>
  <c r="U15" i="93"/>
  <c r="AG15" i="93" s="1"/>
  <c r="U16" i="93"/>
  <c r="AG16" i="93" s="1"/>
  <c r="U18" i="93"/>
  <c r="AG18" i="93" s="1"/>
  <c r="U19" i="93"/>
  <c r="AG19" i="93" s="1"/>
  <c r="U22" i="93"/>
  <c r="AG22" i="93" s="1"/>
  <c r="U26" i="93"/>
  <c r="AG26" i="93" s="1"/>
  <c r="U27" i="93"/>
  <c r="AG27" i="93" s="1"/>
  <c r="U29" i="93"/>
  <c r="AG29" i="93" s="1"/>
  <c r="U32" i="93"/>
  <c r="AG32" i="93" s="1"/>
  <c r="U33" i="93"/>
  <c r="AG33" i="93" s="1"/>
  <c r="U35" i="93"/>
  <c r="AG35" i="93" s="1"/>
  <c r="U37" i="93"/>
  <c r="AG37" i="93" s="1"/>
  <c r="U38" i="93"/>
  <c r="AG38" i="93" s="1"/>
  <c r="U39" i="93"/>
  <c r="AG39" i="93" s="1"/>
  <c r="U40" i="93"/>
  <c r="AG40" i="93" s="1"/>
  <c r="U42" i="93"/>
  <c r="AG42" i="93" s="1"/>
  <c r="U43" i="93"/>
  <c r="AG43" i="93" s="1"/>
  <c r="U46" i="93"/>
  <c r="AG46" i="93" s="1"/>
  <c r="U50" i="93"/>
  <c r="AG50" i="93" s="1"/>
  <c r="U51" i="93"/>
  <c r="AG51" i="93" s="1"/>
  <c r="U53" i="93"/>
  <c r="AG53" i="93" s="1"/>
  <c r="U56" i="93"/>
  <c r="AG56" i="93" s="1"/>
  <c r="U57" i="93"/>
  <c r="AG57" i="93" s="1"/>
  <c r="U58" i="93"/>
  <c r="AG58" i="93" s="1"/>
  <c r="U59" i="93"/>
  <c r="AG59" i="93" s="1"/>
  <c r="U61" i="93"/>
  <c r="AG61" i="93" s="1"/>
  <c r="U62" i="93"/>
  <c r="AG62" i="93" s="1"/>
  <c r="U63" i="93"/>
  <c r="AG63" i="93" s="1"/>
  <c r="U64" i="93"/>
  <c r="AG64" i="93" s="1"/>
  <c r="U66" i="93"/>
  <c r="AG66" i="93" s="1"/>
  <c r="U67" i="93"/>
  <c r="AG67" i="93" s="1"/>
  <c r="U68" i="93"/>
  <c r="AG68" i="93" s="1"/>
  <c r="U70" i="93"/>
  <c r="AG70" i="93" s="1"/>
  <c r="U74" i="93"/>
  <c r="AG74" i="93" s="1"/>
  <c r="U75" i="93"/>
  <c r="AG75" i="93" s="1"/>
  <c r="U77" i="93"/>
  <c r="AG77" i="93" s="1"/>
  <c r="U80" i="93"/>
  <c r="AG80" i="93" s="1"/>
  <c r="U81" i="93"/>
  <c r="AG81" i="93" s="1"/>
  <c r="U83" i="93"/>
  <c r="AG83" i="93" s="1"/>
  <c r="U85" i="93"/>
  <c r="AG85" i="93" s="1"/>
  <c r="U86" i="93"/>
  <c r="AG86" i="93" s="1"/>
  <c r="U87" i="93"/>
  <c r="AG87" i="93" s="1"/>
  <c r="U88" i="93"/>
  <c r="AG88" i="93" s="1"/>
  <c r="U90" i="93"/>
  <c r="AG90" i="93" s="1"/>
  <c r="U91" i="93"/>
  <c r="AG91" i="93" s="1"/>
  <c r="U94" i="93"/>
  <c r="AG94" i="93" s="1"/>
  <c r="U98" i="93"/>
  <c r="AG98" i="93" s="1"/>
  <c r="U99" i="93"/>
  <c r="AG99" i="93" s="1"/>
  <c r="U101" i="93"/>
  <c r="AG101" i="93" s="1"/>
  <c r="U102" i="93"/>
  <c r="AG102" i="93" s="1"/>
  <c r="U103" i="93"/>
  <c r="AG103" i="93" s="1"/>
  <c r="U104" i="93"/>
  <c r="AG104" i="93" s="1"/>
  <c r="U105" i="93"/>
  <c r="AG105" i="93" s="1"/>
  <c r="U106" i="93"/>
  <c r="AG106" i="93" s="1"/>
  <c r="U107" i="93"/>
  <c r="AG107" i="93" s="1"/>
  <c r="U109" i="93"/>
  <c r="AG109" i="93" s="1"/>
  <c r="U110" i="93"/>
  <c r="AG110" i="93" s="1"/>
  <c r="U111" i="93"/>
  <c r="AG111" i="93" s="1"/>
  <c r="U112" i="93"/>
  <c r="AG112" i="93" s="1"/>
  <c r="U114" i="93"/>
  <c r="AG114" i="93" s="1"/>
  <c r="U115" i="93"/>
  <c r="AG115" i="93" s="1"/>
  <c r="U118" i="93"/>
  <c r="AG118" i="93" s="1"/>
  <c r="U122" i="93"/>
  <c r="AG122" i="93" s="1"/>
  <c r="U123" i="93"/>
  <c r="AG123" i="93" s="1"/>
  <c r="U125" i="93"/>
  <c r="AG125" i="93" s="1"/>
  <c r="U126" i="93"/>
  <c r="AG126" i="93" s="1"/>
  <c r="U128" i="93"/>
  <c r="AG128" i="93" s="1"/>
  <c r="U129" i="93"/>
  <c r="AG129" i="93" s="1"/>
  <c r="U131" i="93"/>
  <c r="AG131" i="93" s="1"/>
  <c r="U133" i="93"/>
  <c r="AG133" i="93" s="1"/>
  <c r="U134" i="93"/>
  <c r="AG134" i="93" s="1"/>
  <c r="U135" i="93"/>
  <c r="AG135" i="93" s="1"/>
  <c r="U136" i="93"/>
  <c r="AG136" i="93" s="1"/>
  <c r="U138" i="93"/>
  <c r="AG138" i="93" s="1"/>
  <c r="U139" i="93"/>
  <c r="AG139" i="93" s="1"/>
  <c r="U142" i="93"/>
  <c r="AG142" i="93" s="1"/>
  <c r="U146" i="93"/>
  <c r="AG146" i="93" s="1"/>
  <c r="U147" i="93"/>
  <c r="AG147" i="93" s="1"/>
  <c r="U149" i="93"/>
  <c r="AG149" i="93" s="1"/>
  <c r="U152" i="93"/>
  <c r="AG152" i="93" s="1"/>
  <c r="U153" i="93"/>
  <c r="AG153" i="93" s="1"/>
  <c r="U155" i="93"/>
  <c r="AG155" i="93" s="1"/>
  <c r="U157" i="93"/>
  <c r="AG157" i="93" s="1"/>
  <c r="U158" i="93"/>
  <c r="AG158" i="93" s="1"/>
  <c r="U159" i="93"/>
  <c r="AG159" i="93" s="1"/>
  <c r="U160" i="93"/>
  <c r="AG160" i="93" s="1"/>
  <c r="U162" i="93"/>
  <c r="AG162" i="93" s="1"/>
  <c r="U163" i="93"/>
  <c r="AG163" i="93" s="1"/>
  <c r="U166" i="93"/>
  <c r="AG166" i="93" s="1"/>
  <c r="U170" i="93"/>
  <c r="AG170" i="93" s="1"/>
  <c r="U171" i="93"/>
  <c r="AG171" i="93" s="1"/>
  <c r="U173" i="93"/>
  <c r="AG173" i="93" s="1"/>
  <c r="U174" i="93"/>
  <c r="AG174" i="93" s="1"/>
  <c r="U176" i="93"/>
  <c r="AG176" i="93" s="1"/>
  <c r="U177" i="93"/>
  <c r="AG177" i="93" s="1"/>
  <c r="U179" i="93"/>
  <c r="AG179" i="93" s="1"/>
  <c r="U181" i="93"/>
  <c r="AG181" i="93" s="1"/>
  <c r="U182" i="93"/>
  <c r="AG182" i="93" s="1"/>
  <c r="U183" i="93"/>
  <c r="AG183" i="93" s="1"/>
  <c r="U184" i="93"/>
  <c r="AG184" i="93" s="1"/>
  <c r="U186" i="93"/>
  <c r="AG186" i="93" s="1"/>
  <c r="U187" i="93"/>
  <c r="AG187" i="93" s="1"/>
  <c r="U190" i="93"/>
  <c r="AG190" i="93" s="1"/>
  <c r="U194" i="93"/>
  <c r="AG194" i="93" s="1"/>
  <c r="U195" i="93"/>
  <c r="AG195" i="93" s="1"/>
  <c r="U197" i="93"/>
  <c r="AG197" i="93" s="1"/>
  <c r="U200" i="93"/>
  <c r="AG200" i="93" s="1"/>
  <c r="U201" i="93"/>
  <c r="AG201" i="93" s="1"/>
  <c r="U203" i="93"/>
  <c r="AG203" i="93" s="1"/>
  <c r="U205" i="93"/>
  <c r="AG205" i="93" s="1"/>
  <c r="U206" i="93"/>
  <c r="AG206" i="93" s="1"/>
  <c r="U207" i="93"/>
  <c r="AG207" i="93" s="1"/>
  <c r="U208" i="93"/>
  <c r="AG208" i="93" s="1"/>
  <c r="U210" i="93"/>
  <c r="AG210" i="93" s="1"/>
  <c r="U211" i="93"/>
  <c r="AG211" i="93" s="1"/>
  <c r="U214" i="93"/>
  <c r="AG214" i="93" s="1"/>
  <c r="U219" i="93"/>
  <c r="AG219" i="93" s="1"/>
  <c r="U221" i="93"/>
  <c r="AG221" i="93" s="1"/>
  <c r="U222" i="93"/>
  <c r="AG222" i="93" s="1"/>
  <c r="U223" i="93"/>
  <c r="AG223" i="93" s="1"/>
  <c r="U224" i="93"/>
  <c r="AG224" i="93" s="1"/>
  <c r="U225" i="93"/>
  <c r="AG225" i="93" s="1"/>
  <c r="U227" i="93"/>
  <c r="AG227" i="93" s="1"/>
  <c r="U229" i="93"/>
  <c r="AG229" i="93" s="1"/>
  <c r="U230" i="93"/>
  <c r="AG230" i="93" s="1"/>
  <c r="U231" i="93"/>
  <c r="AG231" i="93" s="1"/>
  <c r="U232" i="93"/>
  <c r="AG232" i="93" s="1"/>
  <c r="U235" i="93"/>
  <c r="AG235" i="93" s="1"/>
  <c r="U238" i="93"/>
  <c r="AG238" i="93" s="1"/>
  <c r="U243" i="93"/>
  <c r="AG243" i="93" s="1"/>
  <c r="U245" i="93"/>
  <c r="AG245" i="93" s="1"/>
  <c r="U246" i="93"/>
  <c r="AG246" i="93" s="1"/>
  <c r="U248" i="93"/>
  <c r="AG248" i="93" s="1"/>
  <c r="U249" i="93"/>
  <c r="AG249" i="93" s="1"/>
  <c r="U251" i="93"/>
  <c r="AG251" i="93" s="1"/>
  <c r="U253" i="93"/>
  <c r="AG253" i="93" s="1"/>
  <c r="U254" i="93"/>
  <c r="AG254" i="93" s="1"/>
  <c r="U255" i="93"/>
  <c r="AG255" i="93" s="1"/>
  <c r="U256" i="93"/>
  <c r="AG256" i="93" s="1"/>
  <c r="U258" i="93"/>
  <c r="AG258" i="93" s="1"/>
  <c r="U259" i="93"/>
  <c r="AG259" i="93" s="1"/>
  <c r="U262" i="93"/>
  <c r="AG262" i="93" s="1"/>
  <c r="U267" i="93"/>
  <c r="AG267" i="93" s="1"/>
  <c r="U269" i="93"/>
  <c r="AG269" i="93" s="1"/>
  <c r="U270" i="93"/>
  <c r="AG270" i="93" s="1"/>
  <c r="U272" i="93"/>
  <c r="AG272" i="93" s="1"/>
  <c r="U273" i="93"/>
  <c r="AG273" i="93" s="1"/>
  <c r="U275" i="93"/>
  <c r="AG275" i="93" s="1"/>
  <c r="U277" i="93"/>
  <c r="AG277" i="93" s="1"/>
  <c r="U278" i="93"/>
  <c r="AG278" i="93" s="1"/>
  <c r="U279" i="93"/>
  <c r="AG279" i="93" s="1"/>
  <c r="U280" i="93"/>
  <c r="AG280" i="93" s="1"/>
  <c r="U282" i="93"/>
  <c r="AG282" i="93" s="1"/>
  <c r="U283" i="93"/>
  <c r="AG283" i="93" s="1"/>
  <c r="U286" i="93"/>
  <c r="AG286" i="93" s="1"/>
  <c r="U291" i="93"/>
  <c r="AG291" i="93" s="1"/>
  <c r="U293" i="93"/>
  <c r="AG293" i="93" s="1"/>
  <c r="U294" i="93"/>
  <c r="AG294" i="93" s="1"/>
  <c r="U301" i="93"/>
  <c r="AG301" i="93" s="1"/>
  <c r="U304" i="93"/>
  <c r="AG304" i="93" s="1"/>
  <c r="U306" i="93"/>
  <c r="AG306" i="93" s="1"/>
  <c r="U307" i="93"/>
  <c r="AG307" i="93" s="1"/>
  <c r="U315" i="93"/>
  <c r="AG315" i="93" s="1"/>
  <c r="U319" i="93"/>
  <c r="AG319" i="93" s="1"/>
  <c r="U321" i="93"/>
  <c r="AG321" i="93" s="1"/>
  <c r="U325" i="93"/>
  <c r="AG325" i="93" s="1"/>
  <c r="U326" i="93"/>
  <c r="AG326" i="93" s="1"/>
  <c r="U328" i="93"/>
  <c r="AG328" i="93" s="1"/>
  <c r="U331" i="93"/>
  <c r="AG331" i="93" s="1"/>
  <c r="U334" i="93"/>
  <c r="AG334" i="93" s="1"/>
  <c r="AO8" i="93"/>
  <c r="AU204" i="27" s="1"/>
  <c r="AO9" i="93"/>
  <c r="AU232" i="27" s="1"/>
  <c r="AO13" i="93"/>
  <c r="AU124" i="27" s="1"/>
  <c r="AO14" i="93"/>
  <c r="AU105" i="27" s="1"/>
  <c r="AO15" i="93"/>
  <c r="AU233" i="27" s="1"/>
  <c r="AO16" i="93"/>
  <c r="AU135" i="27" s="1"/>
  <c r="AO22" i="93"/>
  <c r="AU234" i="27" s="1"/>
  <c r="AO27" i="93"/>
  <c r="AU235" i="27" s="1"/>
  <c r="AO29" i="93"/>
  <c r="AU10" i="27" s="1"/>
  <c r="AO30" i="93"/>
  <c r="AU34" i="27" s="1"/>
  <c r="AO32" i="93"/>
  <c r="AU141" i="27" s="1"/>
  <c r="AO34" i="93"/>
  <c r="AU73" i="27" s="1"/>
  <c r="AO37" i="93"/>
  <c r="AU126" i="27" s="1"/>
  <c r="AO38" i="93"/>
  <c r="AU108" i="27" s="1"/>
  <c r="AO39" i="93"/>
  <c r="AU21" i="27" s="1"/>
  <c r="AO40" i="93"/>
  <c r="AU236" i="27" s="1"/>
  <c r="AO46" i="93"/>
  <c r="AU241" i="27" s="1"/>
  <c r="AO50" i="93"/>
  <c r="AU242" i="27" s="1"/>
  <c r="AO51" i="93"/>
  <c r="AU137" i="27" s="1"/>
  <c r="AO53" i="93"/>
  <c r="AU244" i="27" s="1"/>
  <c r="AO54" i="93"/>
  <c r="AU189" i="27" s="1"/>
  <c r="AO56" i="93"/>
  <c r="AU246" i="27" s="1"/>
  <c r="AO57" i="93"/>
  <c r="AU221" i="27" s="1"/>
  <c r="AO58" i="93"/>
  <c r="AU247" i="27" s="1"/>
  <c r="AO59" i="93"/>
  <c r="AU76" i="27" s="1"/>
  <c r="AO61" i="93"/>
  <c r="AU19" i="27" s="1"/>
  <c r="AO62" i="93"/>
  <c r="AU249" i="27" s="1"/>
  <c r="AO63" i="93"/>
  <c r="AU250" i="27" s="1"/>
  <c r="AO64" i="93"/>
  <c r="AU251" i="27" s="1"/>
  <c r="AO66" i="93"/>
  <c r="AU252" i="27" s="1"/>
  <c r="AO74" i="93"/>
  <c r="AU11" i="27" s="1"/>
  <c r="AO75" i="93"/>
  <c r="AU50" i="27" s="1"/>
  <c r="AO77" i="93"/>
  <c r="AU147" i="27" s="1"/>
  <c r="AO78" i="93"/>
  <c r="AU61" i="27" s="1"/>
  <c r="AO80" i="93"/>
  <c r="AU145" i="27" s="1"/>
  <c r="AO81" i="93"/>
  <c r="AU254" i="27" s="1"/>
  <c r="AO82" i="93"/>
  <c r="AU37" i="27" s="1"/>
  <c r="AO83" i="93"/>
  <c r="AU255" i="27" s="1"/>
  <c r="AO86" i="93"/>
  <c r="AU257" i="27" s="1"/>
  <c r="AO87" i="93"/>
  <c r="AU33" i="27" s="1"/>
  <c r="AO90" i="93"/>
  <c r="AU260" i="27" s="1"/>
  <c r="AO94" i="93"/>
  <c r="AU6" i="27" s="1"/>
  <c r="AO99" i="93"/>
  <c r="AU268" i="27" s="1"/>
  <c r="AO101" i="93"/>
  <c r="AU195" i="27" s="1"/>
  <c r="AO102" i="93"/>
  <c r="AU47" i="27" s="1"/>
  <c r="AO104" i="93"/>
  <c r="AU95" i="27" s="1"/>
  <c r="AO105" i="93"/>
  <c r="AU121" i="27" s="1"/>
  <c r="AO106" i="93"/>
  <c r="AU226" i="27" s="1"/>
  <c r="AO107" i="93"/>
  <c r="AU54" i="27" s="1"/>
  <c r="AO109" i="93"/>
  <c r="AU200" i="27" s="1"/>
  <c r="AO110" i="93"/>
  <c r="AU169" i="27" s="1"/>
  <c r="AO111" i="93"/>
  <c r="AU225" i="27" s="1"/>
  <c r="AO112" i="93"/>
  <c r="AU17" i="27" s="1"/>
  <c r="AO115" i="93"/>
  <c r="AU210" i="27" s="1"/>
  <c r="AO122" i="93"/>
  <c r="AU159" i="27" s="1"/>
  <c r="AO123" i="93"/>
  <c r="AU230" i="27" s="1"/>
  <c r="AO125" i="93"/>
  <c r="AU190" i="27" s="1"/>
  <c r="AO126" i="93"/>
  <c r="AU213" i="27" s="1"/>
  <c r="AO130" i="93"/>
  <c r="AU180" i="27" s="1"/>
  <c r="AO131" i="93"/>
  <c r="AU211" i="27" s="1"/>
  <c r="AO133" i="93"/>
  <c r="AU176" i="27" s="1"/>
  <c r="AO134" i="93"/>
  <c r="AU196" i="27" s="1"/>
  <c r="AO135" i="93"/>
  <c r="AU197" i="27" s="1"/>
  <c r="AO136" i="93"/>
  <c r="AU202" i="27" s="1"/>
  <c r="AO142" i="93"/>
  <c r="AU272" i="27" s="1"/>
  <c r="AO146" i="93"/>
  <c r="AU218" i="27" s="1"/>
  <c r="AO147" i="93"/>
  <c r="AU78" i="27" s="1"/>
  <c r="AO149" i="93"/>
  <c r="AU116" i="27" s="1"/>
  <c r="AO150" i="93"/>
  <c r="AU7" i="27" s="1"/>
  <c r="AO152" i="93"/>
  <c r="AU48" i="27" s="1"/>
  <c r="AO155" i="93"/>
  <c r="AU32" i="27" s="1"/>
  <c r="AO157" i="93"/>
  <c r="AU44" i="27" s="1"/>
  <c r="AO158" i="93"/>
  <c r="AU275" i="27" s="1"/>
  <c r="AO159" i="93"/>
  <c r="AU130" i="27" s="1"/>
  <c r="AO160" i="93"/>
  <c r="AU276" i="27" s="1"/>
  <c r="AO162" i="93"/>
  <c r="AU278" i="27" s="1"/>
  <c r="AO163" i="93"/>
  <c r="AU279" i="27" s="1"/>
  <c r="AO170" i="93"/>
  <c r="AU285" i="27" s="1"/>
  <c r="AO171" i="93"/>
  <c r="AU286" i="27" s="1"/>
  <c r="AO173" i="93"/>
  <c r="AU143" i="27" s="1"/>
  <c r="AO174" i="93"/>
  <c r="AU203" i="27" s="1"/>
  <c r="AO176" i="93"/>
  <c r="AU104" i="27" s="1"/>
  <c r="AO178" i="93"/>
  <c r="AU148" i="27" s="1"/>
  <c r="AO179" i="93"/>
  <c r="AU224" i="27" s="1"/>
  <c r="AO180" i="93"/>
  <c r="AU66" i="27" s="1"/>
  <c r="AO181" i="93"/>
  <c r="AU170" i="27" s="1"/>
  <c r="AO182" i="93"/>
  <c r="AU23" i="27" s="1"/>
  <c r="AO183" i="93"/>
  <c r="AU93" i="27" s="1"/>
  <c r="AO184" i="93"/>
  <c r="AU150" i="27" s="1"/>
  <c r="AO190" i="93"/>
  <c r="AU40" i="27" s="1"/>
  <c r="AO195" i="93"/>
  <c r="AU151" i="27" s="1"/>
  <c r="AO197" i="93"/>
  <c r="AU122" i="27" s="1"/>
  <c r="AO198" i="93"/>
  <c r="AU9" i="27" s="1"/>
  <c r="AO200" i="93"/>
  <c r="AU291" i="27" s="1"/>
  <c r="AO201" i="93"/>
  <c r="AU152" i="27" s="1"/>
  <c r="AO203" i="93"/>
  <c r="AU74" i="27" s="1"/>
  <c r="AO205" i="93"/>
  <c r="AU149" i="27" s="1"/>
  <c r="AO206" i="93"/>
  <c r="AU90" i="27" s="1"/>
  <c r="AO209" i="93"/>
  <c r="AU69" i="27" s="1"/>
  <c r="AO210" i="93"/>
  <c r="AU171" i="27" s="1"/>
  <c r="AO213" i="93"/>
  <c r="AU198" i="27" s="1"/>
  <c r="AO214" i="93"/>
  <c r="AU292" i="27" s="1"/>
  <c r="AO219" i="93"/>
  <c r="AU294" i="27" s="1"/>
  <c r="AO221" i="93"/>
  <c r="AU296" i="27" s="1"/>
  <c r="AO222" i="93"/>
  <c r="AU177" i="27" s="1"/>
  <c r="AO224" i="93"/>
  <c r="AU219" i="27" s="1"/>
  <c r="AO225" i="93"/>
  <c r="AU297" i="27" s="1"/>
  <c r="AO227" i="93"/>
  <c r="AU77" i="27" s="1"/>
  <c r="AO230" i="93"/>
  <c r="AU183" i="27" s="1"/>
  <c r="AO231" i="93"/>
  <c r="AU98" i="27" s="1"/>
  <c r="AO234" i="93"/>
  <c r="AU301" i="27" s="1"/>
  <c r="AO238" i="93"/>
  <c r="AU71" i="27" s="1"/>
  <c r="AO243" i="93"/>
  <c r="AU25" i="27" s="1"/>
  <c r="AO246" i="93"/>
  <c r="AU103" i="27" s="1"/>
  <c r="AO248" i="93"/>
  <c r="AU192" i="27" s="1"/>
  <c r="AO249" i="93"/>
  <c r="AU220" i="27" s="1"/>
  <c r="AO251" i="93"/>
  <c r="AU100" i="27" s="1"/>
  <c r="AO254" i="93"/>
  <c r="AU305" i="27" s="1"/>
  <c r="AO256" i="93"/>
  <c r="AU97" i="27" s="1"/>
  <c r="AO258" i="93"/>
  <c r="AU307" i="27" s="1"/>
  <c r="AO262" i="93"/>
  <c r="AU111" i="27" s="1"/>
  <c r="AO267" i="93"/>
  <c r="AU72" i="27" s="1"/>
  <c r="AO270" i="93"/>
  <c r="AU312" i="27" s="1"/>
  <c r="AO272" i="93"/>
  <c r="AU158" i="27" s="1"/>
  <c r="AO273" i="93"/>
  <c r="AU75" i="27" s="1"/>
  <c r="AO275" i="93"/>
  <c r="AU212" i="27" s="1"/>
  <c r="AO277" i="93"/>
  <c r="AU315" i="27" s="1"/>
  <c r="AO278" i="93"/>
  <c r="AU316" i="27" s="1"/>
  <c r="AO279" i="93"/>
  <c r="AU317" i="27" s="1"/>
  <c r="AO280" i="93"/>
  <c r="AU117" i="27" s="1"/>
  <c r="AO282" i="93"/>
  <c r="AU319" i="27" s="1"/>
  <c r="AO283" i="93"/>
  <c r="AU320" i="27" s="1"/>
  <c r="AO286" i="93"/>
  <c r="AU322" i="27" s="1"/>
  <c r="AO291" i="93"/>
  <c r="AU208" i="27" s="1"/>
  <c r="AO293" i="93"/>
  <c r="AU326" i="27" s="1"/>
  <c r="AO294" i="93"/>
  <c r="AU206" i="27" s="1"/>
  <c r="AO301" i="93"/>
  <c r="AU330" i="27" s="1"/>
  <c r="AO302" i="93"/>
  <c r="AU42" i="27" s="1"/>
  <c r="AO305" i="93"/>
  <c r="AU84" i="27" s="1"/>
  <c r="AO306" i="93"/>
  <c r="AU333" i="27" s="1"/>
  <c r="AO310" i="93"/>
  <c r="AU334" i="27" s="1"/>
  <c r="AO315" i="93"/>
  <c r="AU173" i="27" s="1"/>
  <c r="AO326" i="93"/>
  <c r="AU28" i="27" s="1"/>
  <c r="AO328" i="93"/>
  <c r="AU20" i="27" s="1"/>
  <c r="AO334" i="93"/>
  <c r="AU67" i="27" s="1"/>
  <c r="AB8" i="93"/>
  <c r="AB9" i="93"/>
  <c r="AB10" i="93"/>
  <c r="AB11" i="93"/>
  <c r="AB13" i="93"/>
  <c r="AB14" i="93"/>
  <c r="AB15" i="93"/>
  <c r="AB16" i="93"/>
  <c r="AB18" i="93"/>
  <c r="AB19" i="93"/>
  <c r="AB21" i="93"/>
  <c r="AB22" i="93"/>
  <c r="AB26" i="93"/>
  <c r="AB27" i="93"/>
  <c r="AB29" i="93"/>
  <c r="AB30" i="93"/>
  <c r="AB31" i="93"/>
  <c r="AB32" i="93"/>
  <c r="AB33" i="93"/>
  <c r="AB34" i="93"/>
  <c r="AB35" i="93"/>
  <c r="AB37" i="93"/>
  <c r="AB38" i="93"/>
  <c r="AB39" i="93"/>
  <c r="AB40" i="93"/>
  <c r="AB42" i="93"/>
  <c r="AB43" i="93"/>
  <c r="AB45" i="93"/>
  <c r="AB46" i="93"/>
  <c r="AB50" i="93"/>
  <c r="AB51" i="93"/>
  <c r="AB53" i="93"/>
  <c r="AB54" i="93"/>
  <c r="AB55" i="93"/>
  <c r="AB56" i="93"/>
  <c r="AB57" i="93"/>
  <c r="AB58" i="93"/>
  <c r="AB59" i="93"/>
  <c r="AB61" i="93"/>
  <c r="AB62" i="93"/>
  <c r="AB63" i="93"/>
  <c r="AB64" i="93"/>
  <c r="AB66" i="93"/>
  <c r="AB67" i="93"/>
  <c r="AB69" i="93"/>
  <c r="AB70" i="93"/>
  <c r="AB71" i="93"/>
  <c r="AB72" i="93"/>
  <c r="AB74" i="93"/>
  <c r="AB75" i="93"/>
  <c r="AB77" i="93"/>
  <c r="AB78" i="93"/>
  <c r="AB79" i="93"/>
  <c r="AB80" i="93"/>
  <c r="AB81" i="93"/>
  <c r="AB82" i="93"/>
  <c r="AB83" i="93"/>
  <c r="AB85" i="93"/>
  <c r="AB86" i="93"/>
  <c r="AB87" i="93"/>
  <c r="AB88" i="93"/>
  <c r="AB90" i="93"/>
  <c r="AB91" i="93"/>
  <c r="AB93" i="93"/>
  <c r="AB94" i="93"/>
  <c r="AB95" i="93"/>
  <c r="AB98" i="93"/>
  <c r="AB99" i="93"/>
  <c r="AB101" i="93"/>
  <c r="AB102" i="93"/>
  <c r="AB103" i="93"/>
  <c r="AB104" i="93"/>
  <c r="AB105" i="93"/>
  <c r="AB106" i="93"/>
  <c r="AB107" i="93"/>
  <c r="AB109" i="93"/>
  <c r="AB110" i="93"/>
  <c r="AB111" i="93"/>
  <c r="AB112" i="93"/>
  <c r="AB114" i="93"/>
  <c r="AB115" i="93"/>
  <c r="AB116" i="93"/>
  <c r="AB117" i="93"/>
  <c r="AB118" i="93"/>
  <c r="AB122" i="93"/>
  <c r="AB123" i="93"/>
  <c r="AB125" i="93"/>
  <c r="AB126" i="93"/>
  <c r="AB127" i="93"/>
  <c r="AB128" i="93"/>
  <c r="AB129" i="93"/>
  <c r="AB130" i="93"/>
  <c r="AB131" i="93"/>
  <c r="AB133" i="93"/>
  <c r="AB134" i="93"/>
  <c r="AB135" i="93"/>
  <c r="AB136" i="93"/>
  <c r="AB138" i="93"/>
  <c r="AB139" i="93"/>
  <c r="AB141" i="93"/>
  <c r="AB142" i="93"/>
  <c r="AB146" i="93"/>
  <c r="AB147" i="93"/>
  <c r="AB149" i="93"/>
  <c r="AB150" i="93"/>
  <c r="AB151" i="93"/>
  <c r="AB152" i="93"/>
  <c r="AB153" i="93"/>
  <c r="AB154" i="93"/>
  <c r="AB155" i="93"/>
  <c r="AB157" i="93"/>
  <c r="AB158" i="93"/>
  <c r="AB159" i="93"/>
  <c r="AB160" i="93"/>
  <c r="AB162" i="93"/>
  <c r="AB163" i="93"/>
  <c r="AB165" i="93"/>
  <c r="AB166" i="93"/>
  <c r="AB170" i="93"/>
  <c r="AB171" i="93"/>
  <c r="AB173" i="93"/>
  <c r="AB174" i="93"/>
  <c r="AB175" i="93"/>
  <c r="AB176" i="93"/>
  <c r="AB177" i="93"/>
  <c r="AB178" i="93"/>
  <c r="AB179" i="93"/>
  <c r="AB181" i="93"/>
  <c r="AB182" i="93"/>
  <c r="AB183" i="93"/>
  <c r="AB184" i="93"/>
  <c r="AB186" i="93"/>
  <c r="AB187" i="93"/>
  <c r="AB188" i="93"/>
  <c r="AB189" i="93"/>
  <c r="AB190" i="93"/>
  <c r="AB194" i="93"/>
  <c r="AB195" i="93"/>
  <c r="AB197" i="93"/>
  <c r="AB198" i="93"/>
  <c r="AB199" i="93"/>
  <c r="AB200" i="93"/>
  <c r="AB201" i="93"/>
  <c r="AB202" i="93"/>
  <c r="AB203" i="93"/>
  <c r="AB205" i="93"/>
  <c r="AB206" i="93"/>
  <c r="AB207" i="93"/>
  <c r="AB208" i="93"/>
  <c r="AB210" i="93"/>
  <c r="AB211" i="93"/>
  <c r="AB213" i="93"/>
  <c r="AB214" i="93"/>
  <c r="AB219" i="93"/>
  <c r="AB221" i="93"/>
  <c r="AB222" i="93"/>
  <c r="AB223" i="93"/>
  <c r="AB224" i="93"/>
  <c r="AB225" i="93"/>
  <c r="AB226" i="93"/>
  <c r="AB227" i="93"/>
  <c r="AB229" i="93"/>
  <c r="AB230" i="93"/>
  <c r="AB231" i="93"/>
  <c r="AB232" i="93"/>
  <c r="AB234" i="93"/>
  <c r="AB235" i="93"/>
  <c r="AB237" i="93"/>
  <c r="AB238" i="93"/>
  <c r="AB243" i="93"/>
  <c r="AB245" i="93"/>
  <c r="AB246" i="93"/>
  <c r="AB247" i="93"/>
  <c r="AB248" i="93"/>
  <c r="AB249" i="93"/>
  <c r="AB250" i="93"/>
  <c r="AB251" i="93"/>
  <c r="AB253" i="93"/>
  <c r="AB254" i="93"/>
  <c r="AB255" i="93"/>
  <c r="AB256" i="93"/>
  <c r="AB258" i="93"/>
  <c r="AB259" i="93"/>
  <c r="AB261" i="93"/>
  <c r="AB262" i="93"/>
  <c r="AB267" i="93"/>
  <c r="AB269" i="93"/>
  <c r="AB270" i="93"/>
  <c r="AB271" i="93"/>
  <c r="AB272" i="93"/>
  <c r="AB273" i="93"/>
  <c r="AB274" i="93"/>
  <c r="AB275" i="93"/>
  <c r="AB277" i="93"/>
  <c r="AB278" i="93"/>
  <c r="AB279" i="93"/>
  <c r="AB280" i="93"/>
  <c r="AB282" i="93"/>
  <c r="AB283" i="93"/>
  <c r="AB285" i="93"/>
  <c r="AB286" i="93"/>
  <c r="AB291" i="93"/>
  <c r="AB293" i="93"/>
  <c r="AB294" i="93"/>
  <c r="AB295" i="93"/>
  <c r="AB296" i="93"/>
  <c r="AB297" i="93"/>
  <c r="AB299" i="93"/>
  <c r="AB300" i="93"/>
  <c r="AB301" i="93"/>
  <c r="AB302" i="93"/>
  <c r="AB304" i="93"/>
  <c r="AB305" i="93"/>
  <c r="AB306" i="93"/>
  <c r="AB307" i="93"/>
  <c r="AB309" i="93"/>
  <c r="AB310" i="93"/>
  <c r="AB315" i="93"/>
  <c r="AB317" i="93"/>
  <c r="AB318" i="93"/>
  <c r="AB319" i="93"/>
  <c r="AB320" i="93"/>
  <c r="AB321" i="93"/>
  <c r="AB323" i="93"/>
  <c r="AB325" i="93"/>
  <c r="AB328" i="93"/>
  <c r="AB330" i="93"/>
  <c r="AB331" i="93"/>
  <c r="AB333" i="93"/>
  <c r="AB334" i="93"/>
  <c r="AC8" i="93"/>
  <c r="AE8" i="93" s="1" a="1"/>
  <c r="AE8" i="93" s="1"/>
  <c r="AF8" i="93" s="1" a="1"/>
  <c r="AF8" i="93" s="1"/>
  <c r="AC9" i="93"/>
  <c r="AD9" i="93" s="1" a="1"/>
  <c r="AD9" i="93" s="1"/>
  <c r="AC10" i="93"/>
  <c r="AD10" i="93" s="1" a="1"/>
  <c r="AD10" i="93" s="1"/>
  <c r="AC11" i="93"/>
  <c r="AD11" i="93" s="1" a="1"/>
  <c r="AD11" i="93" s="1"/>
  <c r="AC13" i="93"/>
  <c r="AE13" i="93" s="1" a="1"/>
  <c r="AE13" i="93" s="1"/>
  <c r="AF13" i="93" s="1" a="1"/>
  <c r="AF13" i="93" s="1"/>
  <c r="AC14" i="93"/>
  <c r="AE14" i="93" s="1" a="1"/>
  <c r="AE14" i="93" s="1"/>
  <c r="AF14" i="93" s="1" a="1"/>
  <c r="AF14" i="93" s="1"/>
  <c r="AC15" i="93"/>
  <c r="AE15" i="93" s="1" a="1"/>
  <c r="AE15" i="93" s="1"/>
  <c r="AF15" i="93" s="1" a="1"/>
  <c r="AF15" i="93" s="1"/>
  <c r="AC16" i="93"/>
  <c r="AE16" i="93" s="1" a="1"/>
  <c r="AE16" i="93" s="1"/>
  <c r="AF16" i="93" s="1" a="1"/>
  <c r="AF16" i="93" s="1"/>
  <c r="AC18" i="93"/>
  <c r="AC19" i="93"/>
  <c r="AC21" i="93"/>
  <c r="AE21" i="93" s="1" a="1"/>
  <c r="AE21" i="93" s="1"/>
  <c r="AF21" i="93" s="1" a="1"/>
  <c r="AF21" i="93" s="1"/>
  <c r="AC22" i="93"/>
  <c r="AC26" i="93"/>
  <c r="AD26" i="93" s="1" a="1"/>
  <c r="AD26" i="93" s="1"/>
  <c r="AC27" i="93"/>
  <c r="AC29" i="93"/>
  <c r="AE29" i="93" s="1" a="1"/>
  <c r="AE29" i="93" s="1"/>
  <c r="AF29" i="93" s="1" a="1"/>
  <c r="AF29" i="93" s="1"/>
  <c r="AC30" i="93"/>
  <c r="AD30" i="93" s="1" a="1"/>
  <c r="AD30" i="93" s="1"/>
  <c r="AC31" i="93"/>
  <c r="AE31" i="93" s="1" a="1"/>
  <c r="AE31" i="93" s="1"/>
  <c r="AF31" i="93" s="1" a="1"/>
  <c r="AF31" i="93" s="1"/>
  <c r="AC32" i="93"/>
  <c r="AC33" i="93"/>
  <c r="AE33" i="93" s="1" a="1"/>
  <c r="AE33" i="93" s="1"/>
  <c r="AF33" i="93" s="1" a="1"/>
  <c r="AF33" i="93" s="1"/>
  <c r="AC34" i="93"/>
  <c r="AD34" i="93" s="1" a="1"/>
  <c r="AD34" i="93" s="1"/>
  <c r="AC35" i="93"/>
  <c r="AD35" i="93" s="1" a="1"/>
  <c r="AD35" i="93" s="1"/>
  <c r="AC37" i="93"/>
  <c r="AD37" i="93" s="1" a="1"/>
  <c r="AD37" i="93" s="1"/>
  <c r="AC38" i="93"/>
  <c r="AD38" i="93" s="1" a="1"/>
  <c r="AD38" i="93" s="1"/>
  <c r="AC39" i="93"/>
  <c r="AD39" i="93" s="1" a="1"/>
  <c r="AD39" i="93" s="1"/>
  <c r="AC40" i="93"/>
  <c r="AD40" i="93" s="1" a="1"/>
  <c r="AD40" i="93" s="1"/>
  <c r="AC42" i="93"/>
  <c r="AE42" i="93" s="1" a="1"/>
  <c r="AE42" i="93" s="1"/>
  <c r="AF42" i="93" s="1" a="1"/>
  <c r="AF42" i="93" s="1"/>
  <c r="AC43" i="93"/>
  <c r="AC45" i="93"/>
  <c r="AD45" i="93" s="1" a="1"/>
  <c r="AD45" i="93" s="1"/>
  <c r="AC46" i="93"/>
  <c r="AE46" i="93" s="1" a="1"/>
  <c r="AE46" i="93" s="1"/>
  <c r="AF46" i="93" s="1" a="1"/>
  <c r="AF46" i="93" s="1"/>
  <c r="AC50" i="93"/>
  <c r="AD50" i="93" s="1" a="1"/>
  <c r="AD50" i="93" s="1"/>
  <c r="AC51" i="93"/>
  <c r="AC53" i="93"/>
  <c r="AE53" i="93" s="1" a="1"/>
  <c r="AE53" i="93" s="1"/>
  <c r="AF53" i="93" s="1" a="1"/>
  <c r="AF53" i="93" s="1"/>
  <c r="AC54" i="93"/>
  <c r="AC55" i="93"/>
  <c r="AE55" i="93" s="1" a="1"/>
  <c r="AE55" i="93" s="1"/>
  <c r="AF55" i="93" s="1" a="1"/>
  <c r="AF55" i="93" s="1"/>
  <c r="AC56" i="93"/>
  <c r="AD56" i="93" s="1" a="1"/>
  <c r="AD56" i="93" s="1"/>
  <c r="AC57" i="93"/>
  <c r="AD57" i="93" s="1" a="1"/>
  <c r="AD57" i="93" s="1"/>
  <c r="AC58" i="93"/>
  <c r="AE58" i="93" s="1" a="1"/>
  <c r="AE58" i="93" s="1"/>
  <c r="AF58" i="93" s="1" a="1"/>
  <c r="AF58" i="93" s="1"/>
  <c r="AC59" i="93"/>
  <c r="AC61" i="93"/>
  <c r="AD61" i="93" s="1" a="1"/>
  <c r="AD61" i="93" s="1"/>
  <c r="AC62" i="93"/>
  <c r="AD62" i="93" s="1" a="1"/>
  <c r="AD62" i="93" s="1"/>
  <c r="AC63" i="93"/>
  <c r="AE63" i="93" s="1" a="1"/>
  <c r="AE63" i="93" s="1"/>
  <c r="AF63" i="93" s="1" a="1"/>
  <c r="AF63" i="93" s="1"/>
  <c r="AC64" i="93"/>
  <c r="AC66" i="93"/>
  <c r="AE66" i="93" s="1" a="1"/>
  <c r="AE66" i="93" s="1"/>
  <c r="AF66" i="93" s="1" a="1"/>
  <c r="AF66" i="93" s="1"/>
  <c r="AC67" i="93"/>
  <c r="AE67" i="93" s="1" a="1"/>
  <c r="AE67" i="93" s="1"/>
  <c r="AF67" i="93" s="1" a="1"/>
  <c r="AF67" i="93" s="1"/>
  <c r="AC69" i="93"/>
  <c r="AC70" i="93"/>
  <c r="AD70" i="93" s="1" a="1"/>
  <c r="AD70" i="93" s="1"/>
  <c r="AC71" i="93"/>
  <c r="AE71" i="93" s="1" a="1"/>
  <c r="AE71" i="93" s="1"/>
  <c r="AF71" i="93" s="1" a="1"/>
  <c r="AF71" i="93" s="1"/>
  <c r="AC74" i="93"/>
  <c r="AC75" i="93"/>
  <c r="AD75" i="93" s="1" a="1"/>
  <c r="AD75" i="93" s="1"/>
  <c r="AC77" i="93"/>
  <c r="AD77" i="93" s="1" a="1"/>
  <c r="AD77" i="93" s="1"/>
  <c r="AC78" i="93"/>
  <c r="AC79" i="93"/>
  <c r="AE79" i="93" s="1" a="1"/>
  <c r="AE79" i="93" s="1"/>
  <c r="AF79" i="93" s="1" a="1"/>
  <c r="AF79" i="93" s="1"/>
  <c r="AC80" i="93"/>
  <c r="AC81" i="93"/>
  <c r="AE81" i="93" s="1" a="1"/>
  <c r="AE81" i="93" s="1"/>
  <c r="AF81" i="93" s="1" a="1"/>
  <c r="AF81" i="93" s="1"/>
  <c r="AC82" i="93"/>
  <c r="AD82" i="93" s="1" a="1"/>
  <c r="AD82" i="93" s="1"/>
  <c r="AC83" i="93"/>
  <c r="AC85" i="93"/>
  <c r="AD85" i="93" s="1" a="1"/>
  <c r="AD85" i="93" s="1"/>
  <c r="AC86" i="93"/>
  <c r="AE86" i="93" s="1" a="1"/>
  <c r="AE86" i="93" s="1"/>
  <c r="AF86" i="93" s="1" a="1"/>
  <c r="AF86" i="93" s="1"/>
  <c r="AC87" i="93"/>
  <c r="AE87" i="93" s="1" a="1"/>
  <c r="AE87" i="93" s="1"/>
  <c r="AF87" i="93" s="1" a="1"/>
  <c r="AF87" i="93" s="1"/>
  <c r="AC88" i="93"/>
  <c r="AE88" i="93" s="1" a="1"/>
  <c r="AE88" i="93" s="1"/>
  <c r="AF88" i="93" s="1" a="1"/>
  <c r="AF88" i="93" s="1"/>
  <c r="AC90" i="93"/>
  <c r="AC91" i="93"/>
  <c r="AC93" i="93"/>
  <c r="AC94" i="93"/>
  <c r="AD94" i="93" s="1" a="1"/>
  <c r="AD94" i="93" s="1"/>
  <c r="AC98" i="93"/>
  <c r="AC99" i="93"/>
  <c r="AC101" i="93"/>
  <c r="AE101" i="93" s="1" a="1"/>
  <c r="AE101" i="93" s="1"/>
  <c r="AF101" i="93" s="1" a="1"/>
  <c r="AF101" i="93" s="1"/>
  <c r="AC102" i="93"/>
  <c r="AC103" i="93"/>
  <c r="AE103" i="93" s="1" a="1"/>
  <c r="AE103" i="93" s="1"/>
  <c r="AF103" i="93" s="1" a="1"/>
  <c r="AF103" i="93" s="1"/>
  <c r="AC104" i="93"/>
  <c r="AE104" i="93" s="1" a="1"/>
  <c r="AE104" i="93" s="1"/>
  <c r="AF104" i="93" s="1" a="1"/>
  <c r="AF104" i="93" s="1"/>
  <c r="AC105" i="93"/>
  <c r="AD105" i="93" s="1" a="1"/>
  <c r="AD105" i="93" s="1"/>
  <c r="AC106" i="93"/>
  <c r="AD106" i="93" s="1" a="1"/>
  <c r="AD106" i="93" s="1"/>
  <c r="AC107" i="93"/>
  <c r="AD107" i="93" s="1" a="1"/>
  <c r="AD107" i="93" s="1"/>
  <c r="AC109" i="93"/>
  <c r="AE109" i="93" s="1" a="1"/>
  <c r="AE109" i="93" s="1"/>
  <c r="AF109" i="93" s="1" a="1"/>
  <c r="AF109" i="93" s="1"/>
  <c r="AC110" i="93"/>
  <c r="AE110" i="93" s="1" a="1"/>
  <c r="AE110" i="93" s="1"/>
  <c r="AF110" i="93" s="1" a="1"/>
  <c r="AF110" i="93" s="1"/>
  <c r="AC111" i="93"/>
  <c r="AE111" i="93" s="1" a="1"/>
  <c r="AE111" i="93" s="1"/>
  <c r="AF111" i="93" s="1" a="1"/>
  <c r="AF111" i="93" s="1"/>
  <c r="AC112" i="93"/>
  <c r="AD112" i="93" s="1" a="1"/>
  <c r="AD112" i="93" s="1"/>
  <c r="AC114" i="93"/>
  <c r="AC115" i="93"/>
  <c r="AD115" i="93" s="1" a="1"/>
  <c r="AD115" i="93" s="1"/>
  <c r="AC117" i="93"/>
  <c r="AD117" i="93" s="1" a="1"/>
  <c r="AD117" i="93" s="1"/>
  <c r="AC118" i="93"/>
  <c r="AC122" i="93"/>
  <c r="AC123" i="93"/>
  <c r="AD123" i="93" s="1" a="1"/>
  <c r="AD123" i="93" s="1"/>
  <c r="AC125" i="93"/>
  <c r="AD125" i="93" s="1" a="1"/>
  <c r="AD125" i="93" s="1"/>
  <c r="AC126" i="93"/>
  <c r="AC127" i="93"/>
  <c r="AD127" i="93" s="1" a="1"/>
  <c r="AD127" i="93" s="1"/>
  <c r="AC128" i="93"/>
  <c r="AE128" i="93" s="1" a="1"/>
  <c r="AE128" i="93" s="1"/>
  <c r="AF128" i="93" s="1" a="1"/>
  <c r="AF128" i="93" s="1"/>
  <c r="AC129" i="93"/>
  <c r="AE129" i="93" s="1" a="1"/>
  <c r="AE129" i="93" s="1"/>
  <c r="AF129" i="93" s="1" a="1"/>
  <c r="AF129" i="93" s="1"/>
  <c r="AC130" i="93"/>
  <c r="AE130" i="93" s="1" a="1"/>
  <c r="AE130" i="93" s="1"/>
  <c r="AF130" i="93" s="1" a="1"/>
  <c r="AF130" i="93" s="1"/>
  <c r="AC131" i="93"/>
  <c r="AC133" i="93"/>
  <c r="AE133" i="93" s="1" a="1"/>
  <c r="AE133" i="93" s="1"/>
  <c r="AF133" i="93" s="1" a="1"/>
  <c r="AF133" i="93" s="1"/>
  <c r="AC134" i="93"/>
  <c r="AE134" i="93" s="1" a="1"/>
  <c r="AE134" i="93" s="1"/>
  <c r="AF134" i="93" s="1" a="1"/>
  <c r="AF134" i="93" s="1"/>
  <c r="AC135" i="93"/>
  <c r="AD135" i="93" s="1" a="1"/>
  <c r="AD135" i="93" s="1"/>
  <c r="AC136" i="93"/>
  <c r="AE136" i="93" s="1" a="1"/>
  <c r="AE136" i="93" s="1"/>
  <c r="AF136" i="93" s="1" a="1"/>
  <c r="AF136" i="93" s="1"/>
  <c r="AC138" i="93"/>
  <c r="AC139" i="93"/>
  <c r="AC141" i="93"/>
  <c r="AE141" i="93" s="1" a="1"/>
  <c r="AE141" i="93" s="1"/>
  <c r="AF141" i="93" s="1" a="1"/>
  <c r="AF141" i="93" s="1"/>
  <c r="AC142" i="93"/>
  <c r="AC146" i="93"/>
  <c r="AE146" i="93" s="1" a="1"/>
  <c r="AE146" i="93" s="1"/>
  <c r="AF146" i="93" s="1" a="1"/>
  <c r="AF146" i="93" s="1"/>
  <c r="AC147" i="93"/>
  <c r="AC149" i="93"/>
  <c r="AD149" i="93" s="1" a="1"/>
  <c r="AD149" i="93" s="1"/>
  <c r="AC150" i="93"/>
  <c r="AD150" i="93" s="1" a="1"/>
  <c r="AD150" i="93" s="1"/>
  <c r="AC151" i="93"/>
  <c r="AD151" i="93" s="1" a="1"/>
  <c r="AD151" i="93" s="1"/>
  <c r="AC152" i="93"/>
  <c r="AC153" i="93"/>
  <c r="AD153" i="93" s="1" a="1"/>
  <c r="AD153" i="93" s="1"/>
  <c r="AC154" i="93"/>
  <c r="AE154" i="93" s="1" a="1"/>
  <c r="AE154" i="93" s="1"/>
  <c r="AF154" i="93" s="1" a="1"/>
  <c r="AF154" i="93" s="1"/>
  <c r="AC155" i="93"/>
  <c r="AC157" i="93"/>
  <c r="AD157" i="93" s="1" a="1"/>
  <c r="AD157" i="93" s="1"/>
  <c r="AC158" i="93"/>
  <c r="AD158" i="93" s="1" a="1"/>
  <c r="AD158" i="93" s="1"/>
  <c r="AC159" i="93"/>
  <c r="AD159" i="93" s="1" a="1"/>
  <c r="AD159" i="93" s="1"/>
  <c r="AC160" i="93"/>
  <c r="AE160" i="93" s="1" a="1"/>
  <c r="AE160" i="93" s="1"/>
  <c r="AF160" i="93" s="1" a="1"/>
  <c r="AF160" i="93" s="1"/>
  <c r="AC162" i="93"/>
  <c r="AC163" i="93"/>
  <c r="AC165" i="93"/>
  <c r="AD165" i="93" s="1" a="1"/>
  <c r="AD165" i="93" s="1"/>
  <c r="AC166" i="93"/>
  <c r="AC167" i="93"/>
  <c r="AC170" i="93"/>
  <c r="AD170" i="93" s="1" a="1"/>
  <c r="AD170" i="93" s="1"/>
  <c r="AC171" i="93"/>
  <c r="AC173" i="93"/>
  <c r="AD173" i="93" s="1" a="1"/>
  <c r="AD173" i="93" s="1"/>
  <c r="AC174" i="93"/>
  <c r="AD174" i="93" s="1" a="1"/>
  <c r="AD174" i="93" s="1"/>
  <c r="AC175" i="93"/>
  <c r="AD175" i="93" s="1" a="1"/>
  <c r="AD175" i="93" s="1"/>
  <c r="AC176" i="93"/>
  <c r="AC177" i="93"/>
  <c r="AE177" i="93" s="1" a="1"/>
  <c r="AE177" i="93" s="1"/>
  <c r="AF177" i="93" s="1" a="1"/>
  <c r="AF177" i="93" s="1"/>
  <c r="AC178" i="93"/>
  <c r="AE178" i="93" s="1" a="1"/>
  <c r="AE178" i="93" s="1"/>
  <c r="AF178" i="93" s="1" a="1"/>
  <c r="AF178" i="93" s="1"/>
  <c r="AC179" i="93"/>
  <c r="AC181" i="93"/>
  <c r="AD181" i="93" s="1" a="1"/>
  <c r="AD181" i="93" s="1"/>
  <c r="AC182" i="93"/>
  <c r="AD182" i="93" s="1" a="1"/>
  <c r="AD182" i="93" s="1"/>
  <c r="AC183" i="93"/>
  <c r="AE183" i="93" s="1" a="1"/>
  <c r="AE183" i="93" s="1"/>
  <c r="AF183" i="93" s="1" a="1"/>
  <c r="AF183" i="93" s="1"/>
  <c r="AC184" i="93"/>
  <c r="AE184" i="93" s="1" a="1"/>
  <c r="AE184" i="93" s="1"/>
  <c r="AF184" i="93" s="1" a="1"/>
  <c r="AF184" i="93" s="1"/>
  <c r="AC186" i="93"/>
  <c r="AD186" i="93" s="1" a="1"/>
  <c r="AD186" i="93" s="1"/>
  <c r="AC187" i="93"/>
  <c r="AD187" i="93" s="1" a="1"/>
  <c r="AD187" i="93" s="1"/>
  <c r="AC189" i="93"/>
  <c r="AD189" i="93" s="1" a="1"/>
  <c r="AD189" i="93" s="1"/>
  <c r="AC190" i="93"/>
  <c r="AD190" i="93" s="1" a="1"/>
  <c r="AD190" i="93" s="1"/>
  <c r="AC191" i="93"/>
  <c r="AE191" i="93" s="1" a="1"/>
  <c r="AE191" i="93" s="1"/>
  <c r="AF191" i="93" s="1" a="1"/>
  <c r="AF191" i="93" s="1"/>
  <c r="AC194" i="93"/>
  <c r="AE194" i="93" s="1" a="1"/>
  <c r="AE194" i="93" s="1"/>
  <c r="AF194" i="93" s="1" a="1"/>
  <c r="AF194" i="93" s="1"/>
  <c r="AC195" i="93"/>
  <c r="AD195" i="93" s="1" a="1"/>
  <c r="AD195" i="93" s="1"/>
  <c r="AC197" i="93"/>
  <c r="AE197" i="93" s="1" a="1"/>
  <c r="AE197" i="93" s="1"/>
  <c r="AF197" i="93" s="1" a="1"/>
  <c r="AF197" i="93" s="1"/>
  <c r="AC198" i="93"/>
  <c r="AC199" i="93"/>
  <c r="AD199" i="93" s="1" a="1"/>
  <c r="AD199" i="93" s="1"/>
  <c r="AC200" i="93"/>
  <c r="AD200" i="93" s="1" a="1"/>
  <c r="AD200" i="93" s="1"/>
  <c r="AC201" i="93"/>
  <c r="AD201" i="93" s="1" a="1"/>
  <c r="AD201" i="93" s="1"/>
  <c r="AC202" i="93"/>
  <c r="AE202" i="93" s="1" a="1"/>
  <c r="AE202" i="93" s="1"/>
  <c r="AF202" i="93" s="1" a="1"/>
  <c r="AF202" i="93" s="1"/>
  <c r="AC203" i="93"/>
  <c r="AD203" i="93" s="1" a="1"/>
  <c r="AD203" i="93" s="1"/>
  <c r="AC205" i="93"/>
  <c r="AE205" i="93" s="1" a="1"/>
  <c r="AE205" i="93" s="1"/>
  <c r="AF205" i="93" s="1" a="1"/>
  <c r="AF205" i="93" s="1"/>
  <c r="AC206" i="93"/>
  <c r="AC207" i="93"/>
  <c r="AE207" i="93" s="1" a="1"/>
  <c r="AE207" i="93" s="1"/>
  <c r="AF207" i="93" s="1" a="1"/>
  <c r="AF207" i="93" s="1"/>
  <c r="AC208" i="93"/>
  <c r="AE208" i="93" s="1" a="1"/>
  <c r="AE208" i="93" s="1"/>
  <c r="AF208" i="93" s="1" a="1"/>
  <c r="AF208" i="93" s="1"/>
  <c r="AC210" i="93"/>
  <c r="AC211" i="93"/>
  <c r="AC213" i="93"/>
  <c r="AC214" i="93"/>
  <c r="AD214" i="93" s="1" a="1"/>
  <c r="AD214" i="93" s="1"/>
  <c r="AC218" i="93"/>
  <c r="AE218" i="93" s="1" a="1"/>
  <c r="AE218" i="93" s="1"/>
  <c r="AF218" i="93" s="1" a="1"/>
  <c r="AF218" i="93" s="1"/>
  <c r="AC219" i="93"/>
  <c r="AC221" i="93"/>
  <c r="AE221" i="93" s="1" a="1"/>
  <c r="AE221" i="93" s="1"/>
  <c r="AF221" i="93" s="1" a="1"/>
  <c r="AF221" i="93" s="1"/>
  <c r="AC222" i="93"/>
  <c r="AC223" i="93"/>
  <c r="AD223" i="93" s="1" a="1"/>
  <c r="AD223" i="93" s="1"/>
  <c r="AC224" i="93"/>
  <c r="AC225" i="93"/>
  <c r="AE225" i="93" s="1" a="1"/>
  <c r="AE225" i="93" s="1"/>
  <c r="AF225" i="93" s="1" a="1"/>
  <c r="AF225" i="93" s="1"/>
  <c r="AC226" i="93"/>
  <c r="AD226" i="93" s="1" a="1"/>
  <c r="AD226" i="93" s="1"/>
  <c r="AC227" i="93"/>
  <c r="AC229" i="93"/>
  <c r="AE229" i="93" s="1" a="1"/>
  <c r="AE229" i="93" s="1"/>
  <c r="AF229" i="93" s="1" a="1"/>
  <c r="AF229" i="93" s="1"/>
  <c r="AC230" i="93"/>
  <c r="AE230" i="93" s="1" a="1"/>
  <c r="AE230" i="93" s="1"/>
  <c r="AF230" i="93" s="1" a="1"/>
  <c r="AF230" i="93" s="1"/>
  <c r="AC231" i="93"/>
  <c r="AD231" i="93" s="1" a="1"/>
  <c r="AD231" i="93" s="1"/>
  <c r="AC232" i="93"/>
  <c r="AE232" i="93" s="1" a="1"/>
  <c r="AE232" i="93" s="1"/>
  <c r="AF232" i="93" s="1" a="1"/>
  <c r="AF232" i="93" s="1"/>
  <c r="AC234" i="93"/>
  <c r="AD234" i="93" s="1" a="1"/>
  <c r="AD234" i="93" s="1"/>
  <c r="AC235" i="93"/>
  <c r="AC237" i="93"/>
  <c r="AE237" i="93" s="1" a="1"/>
  <c r="AE237" i="93" s="1"/>
  <c r="AF237" i="93" s="1" a="1"/>
  <c r="AF237" i="93" s="1"/>
  <c r="AC238" i="93"/>
  <c r="AE238" i="93" s="1" a="1"/>
  <c r="AE238" i="93" s="1"/>
  <c r="AF238" i="93" s="1" a="1"/>
  <c r="AF238" i="93" s="1"/>
  <c r="AC243" i="93"/>
  <c r="AC245" i="93"/>
  <c r="AE245" i="93" s="1" a="1"/>
  <c r="AE245" i="93" s="1"/>
  <c r="AF245" i="93" s="1" a="1"/>
  <c r="AF245" i="93" s="1"/>
  <c r="AC246" i="93"/>
  <c r="AC247" i="93"/>
  <c r="AD247" i="93" s="1" a="1"/>
  <c r="AD247" i="93" s="1"/>
  <c r="AC248" i="93"/>
  <c r="AC249" i="93"/>
  <c r="AE249" i="93" s="1" a="1"/>
  <c r="AE249" i="93" s="1"/>
  <c r="AF249" i="93" s="1" a="1"/>
  <c r="AF249" i="93" s="1"/>
  <c r="AC251" i="93"/>
  <c r="AC252" i="93"/>
  <c r="AE252" i="93" s="1" a="1"/>
  <c r="AE252" i="93" s="1"/>
  <c r="AF252" i="93" s="1" a="1"/>
  <c r="AF252" i="93" s="1"/>
  <c r="AC253" i="93"/>
  <c r="AE253" i="93" s="1" a="1"/>
  <c r="AE253" i="93" s="1"/>
  <c r="AF253" i="93" s="1" a="1"/>
  <c r="AF253" i="93" s="1"/>
  <c r="AC254" i="93"/>
  <c r="AE254" i="93" s="1" a="1"/>
  <c r="AE254" i="93" s="1"/>
  <c r="AF254" i="93" s="1" a="1"/>
  <c r="AF254" i="93" s="1"/>
  <c r="AC255" i="93"/>
  <c r="AE255" i="93" s="1" a="1"/>
  <c r="AE255" i="93" s="1"/>
  <c r="AF255" i="93" s="1" a="1"/>
  <c r="AF255" i="93" s="1"/>
  <c r="AC256" i="93"/>
  <c r="AD256" i="93" s="1" a="1"/>
  <c r="AD256" i="93" s="1"/>
  <c r="AC257" i="93"/>
  <c r="AD257" i="93" s="1" a="1"/>
  <c r="AD257" i="93" s="1"/>
  <c r="AC258" i="93"/>
  <c r="AE258" i="93" s="1" a="1"/>
  <c r="AE258" i="93" s="1"/>
  <c r="AF258" i="93" s="1" a="1"/>
  <c r="AF258" i="93" s="1"/>
  <c r="AC259" i="93"/>
  <c r="AE259" i="93" s="1" a="1"/>
  <c r="AE259" i="93" s="1"/>
  <c r="AF259" i="93" s="1" a="1"/>
  <c r="AF259" i="93" s="1"/>
  <c r="AC261" i="93"/>
  <c r="AC262" i="93"/>
  <c r="AC263" i="93"/>
  <c r="AE263" i="93" s="1" a="1"/>
  <c r="AE263" i="93" s="1"/>
  <c r="AF263" i="93" s="1" a="1"/>
  <c r="AF263" i="93" s="1"/>
  <c r="AC267" i="93"/>
  <c r="AE267" i="93" s="1" a="1"/>
  <c r="AE267" i="93" s="1"/>
  <c r="AF267" i="93" s="1" a="1"/>
  <c r="AF267" i="93" s="1"/>
  <c r="AC269" i="93"/>
  <c r="AE269" i="93" s="1" a="1"/>
  <c r="AE269" i="93" s="1"/>
  <c r="AF269" i="93" s="1" a="1"/>
  <c r="AF269" i="93" s="1"/>
  <c r="AC270" i="93"/>
  <c r="AD270" i="93" s="1" a="1"/>
  <c r="AD270" i="93" s="1"/>
  <c r="AC271" i="93"/>
  <c r="AE271" i="93" s="1" a="1"/>
  <c r="AE271" i="93" s="1"/>
  <c r="AF271" i="93" s="1" a="1"/>
  <c r="AF271" i="93" s="1"/>
  <c r="AC272" i="93"/>
  <c r="AD272" i="93" s="1" a="1"/>
  <c r="AD272" i="93" s="1"/>
  <c r="AC273" i="93"/>
  <c r="AD273" i="93" s="1" a="1"/>
  <c r="AD273" i="93" s="1"/>
  <c r="AC275" i="93"/>
  <c r="AD275" i="93" s="1" a="1"/>
  <c r="AD275" i="93" s="1"/>
  <c r="AC277" i="93"/>
  <c r="AD277" i="93" s="1" a="1"/>
  <c r="AD277" i="93" s="1"/>
  <c r="AC278" i="93"/>
  <c r="AE278" i="93" s="1" a="1"/>
  <c r="AE278" i="93" s="1"/>
  <c r="AF278" i="93" s="1" a="1"/>
  <c r="AF278" i="93" s="1"/>
  <c r="AC279" i="93"/>
  <c r="AE279" i="93" s="1" a="1"/>
  <c r="AE279" i="93" s="1"/>
  <c r="AF279" i="93" s="1" a="1"/>
  <c r="AF279" i="93" s="1"/>
  <c r="AC280" i="93"/>
  <c r="AE280" i="93" s="1" a="1"/>
  <c r="AE280" i="93" s="1"/>
  <c r="AF280" i="93" s="1" a="1"/>
  <c r="AF280" i="93" s="1"/>
  <c r="AC282" i="93"/>
  <c r="AC283" i="93"/>
  <c r="AD283" i="93" s="1" a="1"/>
  <c r="AD283" i="93" s="1"/>
  <c r="AC285" i="93"/>
  <c r="AC286" i="93"/>
  <c r="AD286" i="93" s="1" a="1"/>
  <c r="AD286" i="93" s="1"/>
  <c r="AC291" i="93"/>
  <c r="AC293" i="93"/>
  <c r="AD293" i="93" s="1" a="1"/>
  <c r="AD293" i="93" s="1"/>
  <c r="AC294" i="93"/>
  <c r="AE294" i="93" s="1" a="1"/>
  <c r="AE294" i="93" s="1"/>
  <c r="AF294" i="93" s="1" a="1"/>
  <c r="AF294" i="93" s="1"/>
  <c r="AC295" i="93"/>
  <c r="AD295" i="93" s="1" a="1"/>
  <c r="AD295" i="93" s="1"/>
  <c r="AC296" i="93"/>
  <c r="AE296" i="93" s="1" a="1"/>
  <c r="AE296" i="93" s="1"/>
  <c r="AF296" i="93" s="1" a="1"/>
  <c r="AF296" i="93" s="1"/>
  <c r="AC297" i="93"/>
  <c r="AD297" i="93" s="1" a="1"/>
  <c r="AD297" i="93" s="1"/>
  <c r="AC299" i="93"/>
  <c r="AE299" i="93" s="1" a="1"/>
  <c r="AE299" i="93" s="1"/>
  <c r="AF299" i="93" s="1" a="1"/>
  <c r="AF299" i="93" s="1"/>
  <c r="AC301" i="93"/>
  <c r="AD301" i="93" s="1" a="1"/>
  <c r="AD301" i="93" s="1"/>
  <c r="AC302" i="93"/>
  <c r="AE302" i="93" s="1" a="1"/>
  <c r="AE302" i="93" s="1"/>
  <c r="AF302" i="93" s="1" a="1"/>
  <c r="AF302" i="93" s="1"/>
  <c r="AC303" i="93"/>
  <c r="AE303" i="93" s="1" a="1"/>
  <c r="AE303" i="93" s="1"/>
  <c r="AF303" i="93" s="1" a="1"/>
  <c r="AF303" i="93" s="1"/>
  <c r="AC304" i="93"/>
  <c r="AE304" i="93" s="1" a="1"/>
  <c r="AE304" i="93" s="1"/>
  <c r="AF304" i="93" s="1" a="1"/>
  <c r="AF304" i="93" s="1"/>
  <c r="AC306" i="93"/>
  <c r="AC307" i="93"/>
  <c r="AC308" i="93"/>
  <c r="AD308" i="93" s="1" a="1"/>
  <c r="AD308" i="93" s="1"/>
  <c r="AC309" i="93"/>
  <c r="AE309" i="93" s="1" a="1"/>
  <c r="AE309" i="93" s="1"/>
  <c r="AF309" i="93" s="1" a="1"/>
  <c r="AF309" i="93" s="1"/>
  <c r="AC310" i="93"/>
  <c r="AE310" i="93" s="1" a="1"/>
  <c r="AE310" i="93" s="1"/>
  <c r="AF310" i="93" s="1" a="1"/>
  <c r="AF310" i="93" s="1"/>
  <c r="AC315" i="93"/>
  <c r="AD315" i="93" s="1" a="1"/>
  <c r="AD315" i="93" s="1"/>
  <c r="AC317" i="93"/>
  <c r="AD317" i="93" s="1" a="1"/>
  <c r="AD317" i="93" s="1"/>
  <c r="AC318" i="93"/>
  <c r="AD318" i="93" s="1" a="1"/>
  <c r="AD318" i="93" s="1"/>
  <c r="AC319" i="93"/>
  <c r="AE319" i="93" s="1" a="1"/>
  <c r="AE319" i="93" s="1"/>
  <c r="AF319" i="93" s="1" a="1"/>
  <c r="AF319" i="93" s="1"/>
  <c r="AC320" i="93"/>
  <c r="AD320" i="93" s="1" a="1"/>
  <c r="AD320" i="93" s="1"/>
  <c r="AC321" i="93"/>
  <c r="AE321" i="93" s="1" a="1"/>
  <c r="AE321" i="93" s="1"/>
  <c r="AF321" i="93" s="1" a="1"/>
  <c r="AF321" i="93" s="1"/>
  <c r="AC323" i="93"/>
  <c r="AC325" i="93"/>
  <c r="AD325" i="93" s="1" a="1"/>
  <c r="AD325" i="93" s="1"/>
  <c r="AC326" i="93"/>
  <c r="AE326" i="93" s="1" a="1"/>
  <c r="AE326" i="93" s="1"/>
  <c r="AF326" i="93" s="1" a="1"/>
  <c r="AF326" i="93" s="1"/>
  <c r="AC327" i="93"/>
  <c r="AD327" i="93" s="1" a="1"/>
  <c r="AD327" i="93" s="1"/>
  <c r="AC328" i="93"/>
  <c r="AD328" i="93" s="1" a="1"/>
  <c r="AD328" i="93" s="1"/>
  <c r="AC330" i="93"/>
  <c r="AC331" i="93"/>
  <c r="AC333" i="93"/>
  <c r="AD333" i="93" s="1" a="1"/>
  <c r="AD333" i="93" s="1"/>
  <c r="AC334" i="93"/>
  <c r="AE334" i="93" s="1" a="1"/>
  <c r="AE334" i="93" s="1"/>
  <c r="AF334" i="93" s="1" a="1"/>
  <c r="AF334" i="93" s="1"/>
  <c r="AF5" i="92"/>
  <c r="AF6" i="92"/>
  <c r="AF7" i="92"/>
  <c r="AF8" i="92"/>
  <c r="AF9" i="92"/>
  <c r="AF10" i="92"/>
  <c r="AF11" i="92"/>
  <c r="AF12" i="92"/>
  <c r="AF13" i="92"/>
  <c r="AF14" i="92"/>
  <c r="AF15" i="92"/>
  <c r="AF16" i="92"/>
  <c r="AF17" i="92"/>
  <c r="AF18" i="92"/>
  <c r="AF19" i="92"/>
  <c r="AF20" i="92"/>
  <c r="AF21" i="92"/>
  <c r="AF22" i="92"/>
  <c r="AF23" i="92"/>
  <c r="AF24" i="92"/>
  <c r="AF25" i="92"/>
  <c r="AF26" i="92"/>
  <c r="AF27" i="92"/>
  <c r="AF28" i="92"/>
  <c r="AF29" i="92"/>
  <c r="AF30" i="92"/>
  <c r="AF31" i="92"/>
  <c r="AF32" i="92"/>
  <c r="AF33" i="92"/>
  <c r="AF34" i="92"/>
  <c r="AF35" i="92"/>
  <c r="AF36" i="92"/>
  <c r="AF37" i="92"/>
  <c r="AF38" i="92"/>
  <c r="AF39" i="92"/>
  <c r="AF40" i="92"/>
  <c r="AF41" i="92"/>
  <c r="AF42" i="92"/>
  <c r="AF43" i="92"/>
  <c r="AF44" i="92"/>
  <c r="AF45" i="92"/>
  <c r="AF46" i="92"/>
  <c r="AF47" i="92"/>
  <c r="AF48" i="92"/>
  <c r="AF49" i="92"/>
  <c r="AF50" i="92"/>
  <c r="AF51" i="92"/>
  <c r="AF52" i="92"/>
  <c r="AF53" i="92"/>
  <c r="AF54" i="92"/>
  <c r="AF55" i="92"/>
  <c r="AF56" i="92"/>
  <c r="AF57" i="92"/>
  <c r="AF58" i="92"/>
  <c r="AF59" i="92"/>
  <c r="AF60" i="92"/>
  <c r="AF61" i="92"/>
  <c r="AF62" i="92"/>
  <c r="AF63" i="92"/>
  <c r="AF64" i="92"/>
  <c r="AF65" i="92"/>
  <c r="AF66" i="92"/>
  <c r="AF67" i="92"/>
  <c r="AF68" i="92"/>
  <c r="AF69" i="92"/>
  <c r="AF70" i="92"/>
  <c r="AF71" i="92"/>
  <c r="AF72" i="92"/>
  <c r="AF73" i="92"/>
  <c r="AF74" i="92"/>
  <c r="AF75" i="92"/>
  <c r="AF76" i="92"/>
  <c r="AF77" i="92"/>
  <c r="AF78" i="92"/>
  <c r="AF79" i="92"/>
  <c r="AF80" i="92"/>
  <c r="AF81" i="92"/>
  <c r="AF82" i="92"/>
  <c r="AF83" i="92"/>
  <c r="AF84" i="92"/>
  <c r="AF85" i="92"/>
  <c r="AF86" i="92"/>
  <c r="AF87" i="92"/>
  <c r="AF88" i="92"/>
  <c r="AF89" i="92"/>
  <c r="AF90" i="92"/>
  <c r="AF91" i="92"/>
  <c r="AF92" i="92"/>
  <c r="AF93" i="92"/>
  <c r="AF94" i="92"/>
  <c r="AF95" i="92"/>
  <c r="AF96" i="92"/>
  <c r="AF97" i="92"/>
  <c r="AF98" i="92"/>
  <c r="AF99" i="92"/>
  <c r="AF100" i="92"/>
  <c r="AF101" i="92"/>
  <c r="AF102" i="92"/>
  <c r="AF103" i="92"/>
  <c r="AF104" i="92"/>
  <c r="AF105" i="92"/>
  <c r="AF106" i="92"/>
  <c r="AF107" i="92"/>
  <c r="AF108" i="92"/>
  <c r="AF109" i="92"/>
  <c r="AF110" i="92"/>
  <c r="AF111" i="92"/>
  <c r="AF112" i="92"/>
  <c r="AF113" i="92"/>
  <c r="AF114" i="92"/>
  <c r="AF115" i="92"/>
  <c r="AF116" i="92"/>
  <c r="AF117" i="92"/>
  <c r="AF118" i="92"/>
  <c r="AF119" i="92"/>
  <c r="AF120" i="92"/>
  <c r="AF121" i="92"/>
  <c r="AF122" i="92"/>
  <c r="AF123" i="92"/>
  <c r="AF124" i="92"/>
  <c r="AF125" i="92"/>
  <c r="AF126" i="92"/>
  <c r="AF127" i="92"/>
  <c r="AF128" i="92"/>
  <c r="AF129" i="92"/>
  <c r="AF130" i="92"/>
  <c r="AF131" i="92"/>
  <c r="AF132" i="92"/>
  <c r="AF133" i="92"/>
  <c r="AF134" i="92"/>
  <c r="AF135" i="92"/>
  <c r="AF136" i="92"/>
  <c r="AF137" i="92"/>
  <c r="AF138" i="92"/>
  <c r="AF139" i="92"/>
  <c r="AF140" i="92"/>
  <c r="AF141" i="92"/>
  <c r="AF142" i="92"/>
  <c r="AF143" i="92"/>
  <c r="AF144" i="92"/>
  <c r="AF145" i="92"/>
  <c r="AF146" i="92"/>
  <c r="AF147" i="92"/>
  <c r="AF148" i="92"/>
  <c r="AF149" i="92"/>
  <c r="AF150" i="92"/>
  <c r="AF151" i="92"/>
  <c r="AF152" i="92"/>
  <c r="AF153" i="92"/>
  <c r="AF154" i="92"/>
  <c r="AF155" i="92"/>
  <c r="AF156" i="92"/>
  <c r="AF157" i="92"/>
  <c r="AF158" i="92"/>
  <c r="AF159" i="92"/>
  <c r="AF160" i="92"/>
  <c r="AF161" i="92"/>
  <c r="AF162" i="92"/>
  <c r="AF163" i="92"/>
  <c r="AF164" i="92"/>
  <c r="AF165" i="92"/>
  <c r="AF166" i="92"/>
  <c r="AF167" i="92"/>
  <c r="AF168" i="92"/>
  <c r="AF169" i="92"/>
  <c r="AF170" i="92"/>
  <c r="AF171" i="92"/>
  <c r="AF172" i="92"/>
  <c r="AF173" i="92"/>
  <c r="AF174" i="92"/>
  <c r="AF175" i="92"/>
  <c r="AF176" i="92"/>
  <c r="AF177" i="92"/>
  <c r="AF178" i="92"/>
  <c r="AF179" i="92"/>
  <c r="AF180" i="92"/>
  <c r="AF181" i="92"/>
  <c r="AF182" i="92"/>
  <c r="AF183" i="92"/>
  <c r="AF184" i="92"/>
  <c r="AF185" i="92"/>
  <c r="AF186" i="92"/>
  <c r="AF187" i="92"/>
  <c r="AF188" i="92"/>
  <c r="AF189" i="92"/>
  <c r="AF190" i="92"/>
  <c r="AF191" i="92"/>
  <c r="AF192" i="92"/>
  <c r="AF193" i="92"/>
  <c r="AF194" i="92"/>
  <c r="AF195" i="92"/>
  <c r="AF196" i="92"/>
  <c r="AF197" i="92"/>
  <c r="AF198" i="92"/>
  <c r="AF199" i="92"/>
  <c r="AF200" i="92"/>
  <c r="AF201" i="92"/>
  <c r="AF202" i="92"/>
  <c r="AF203" i="92"/>
  <c r="AF204" i="92"/>
  <c r="AF205" i="92"/>
  <c r="AF206" i="92"/>
  <c r="AF207" i="92"/>
  <c r="AF208" i="92"/>
  <c r="AF209" i="92"/>
  <c r="AF210" i="92"/>
  <c r="AF211" i="92"/>
  <c r="AF212" i="92"/>
  <c r="AF213" i="92"/>
  <c r="AF214" i="92"/>
  <c r="AF215" i="92"/>
  <c r="AF216" i="92"/>
  <c r="AF217" i="92"/>
  <c r="AF218" i="92"/>
  <c r="AF219" i="92"/>
  <c r="AF220" i="92"/>
  <c r="AF221" i="92"/>
  <c r="AF222" i="92"/>
  <c r="AF223" i="92"/>
  <c r="AF224" i="92"/>
  <c r="AF225" i="92"/>
  <c r="AF226" i="92"/>
  <c r="AF227" i="92"/>
  <c r="AF228" i="92"/>
  <c r="AF229" i="92"/>
  <c r="AF230" i="92"/>
  <c r="AF231" i="92"/>
  <c r="AF232" i="92"/>
  <c r="AF233" i="92"/>
  <c r="AF234" i="92"/>
  <c r="AF235" i="92"/>
  <c r="AF236" i="92"/>
  <c r="AF237" i="92"/>
  <c r="AF238" i="92"/>
  <c r="AF239" i="92"/>
  <c r="AF240" i="92"/>
  <c r="AF241" i="92"/>
  <c r="AF242" i="92"/>
  <c r="AF243" i="92"/>
  <c r="AF244" i="92"/>
  <c r="AF245" i="92"/>
  <c r="AF246" i="92"/>
  <c r="AF247" i="92"/>
  <c r="AF248" i="92"/>
  <c r="AF249" i="92"/>
  <c r="AF250" i="92"/>
  <c r="AF251" i="92"/>
  <c r="AF252" i="92"/>
  <c r="AF253" i="92"/>
  <c r="AF254" i="92"/>
  <c r="AF255" i="92"/>
  <c r="AF256" i="92"/>
  <c r="AF257" i="92"/>
  <c r="AF258" i="92"/>
  <c r="AF259" i="92"/>
  <c r="AF260" i="92"/>
  <c r="AF261" i="92"/>
  <c r="AF262" i="92"/>
  <c r="AF263" i="92"/>
  <c r="AF264" i="92"/>
  <c r="AF265" i="92"/>
  <c r="AF266" i="92"/>
  <c r="AF267" i="92"/>
  <c r="AF268" i="92"/>
  <c r="AF269" i="92"/>
  <c r="AF270" i="92"/>
  <c r="AF271" i="92"/>
  <c r="AF272" i="92"/>
  <c r="AF273" i="92"/>
  <c r="AF274" i="92"/>
  <c r="AF275" i="92"/>
  <c r="AF276" i="92"/>
  <c r="AF277" i="92"/>
  <c r="AF278" i="92"/>
  <c r="AF279" i="92"/>
  <c r="AF280" i="92"/>
  <c r="AF281" i="92"/>
  <c r="AF282" i="92"/>
  <c r="AF283" i="92"/>
  <c r="AF284" i="92"/>
  <c r="AF285" i="92"/>
  <c r="AF286" i="92"/>
  <c r="AF287" i="92"/>
  <c r="AF288" i="92"/>
  <c r="AF289" i="92"/>
  <c r="AF290" i="92"/>
  <c r="AF291" i="92"/>
  <c r="AF292" i="92"/>
  <c r="AF293" i="92"/>
  <c r="AF294" i="92"/>
  <c r="AF295" i="92"/>
  <c r="AF296" i="92"/>
  <c r="AF297" i="92"/>
  <c r="AF298" i="92"/>
  <c r="AF299" i="92"/>
  <c r="AF300" i="92"/>
  <c r="AF301" i="92"/>
  <c r="AF302" i="92"/>
  <c r="AF303" i="92"/>
  <c r="AF304" i="92"/>
  <c r="AF305" i="92"/>
  <c r="AF306" i="92"/>
  <c r="AF307" i="92"/>
  <c r="AF308" i="92"/>
  <c r="AF309" i="92"/>
  <c r="AF310" i="92"/>
  <c r="AF311" i="92"/>
  <c r="AF312" i="92"/>
  <c r="AF313" i="92"/>
  <c r="AF314" i="92"/>
  <c r="AF315" i="92"/>
  <c r="AF316" i="92"/>
  <c r="AF317" i="92"/>
  <c r="AF318" i="92"/>
  <c r="AF319" i="92"/>
  <c r="AF320" i="92"/>
  <c r="AF321" i="92"/>
  <c r="AF322" i="92"/>
  <c r="AF323" i="92"/>
  <c r="AF324" i="92"/>
  <c r="AF325" i="92"/>
  <c r="AF326" i="92"/>
  <c r="AF327" i="92"/>
  <c r="AF328" i="92"/>
  <c r="AF329" i="92"/>
  <c r="AF330" i="92"/>
  <c r="AF331" i="92"/>
  <c r="AF332" i="92"/>
  <c r="AF333" i="92"/>
  <c r="AF334" i="92"/>
  <c r="AF335" i="92"/>
  <c r="AF336" i="92"/>
  <c r="AF337" i="92"/>
  <c r="AF338" i="92"/>
  <c r="AF4" i="92"/>
  <c r="N7" i="94" a="1"/>
  <c r="N7" i="94" s="1"/>
  <c r="N8" i="94" a="1"/>
  <c r="N8" i="94"/>
  <c r="N9" i="94" a="1"/>
  <c r="N9" i="94"/>
  <c r="N10" i="94" a="1"/>
  <c r="N10" i="94" s="1"/>
  <c r="N11" i="94" a="1"/>
  <c r="N11" i="94"/>
  <c r="N12" i="94" a="1"/>
  <c r="N12" i="94" s="1"/>
  <c r="N13" i="94" a="1"/>
  <c r="N13" i="94" s="1"/>
  <c r="N14" i="94" a="1"/>
  <c r="N14" i="94"/>
  <c r="N15" i="94" a="1"/>
  <c r="N15" i="94"/>
  <c r="N16" i="94" a="1"/>
  <c r="N16" i="94"/>
  <c r="N17" i="94" a="1"/>
  <c r="N17" i="94" s="1"/>
  <c r="N18" i="94" a="1"/>
  <c r="N18" i="94" s="1"/>
  <c r="N19" i="94" a="1"/>
  <c r="N19" i="94" s="1"/>
  <c r="N20" i="94" a="1"/>
  <c r="N20" i="94"/>
  <c r="N21" i="94" a="1"/>
  <c r="N21" i="94"/>
  <c r="N22" i="94" a="1"/>
  <c r="N22" i="94" s="1"/>
  <c r="N23" i="94" a="1"/>
  <c r="N23" i="94"/>
  <c r="N24" i="94" a="1"/>
  <c r="N24" i="94" s="1"/>
  <c r="N25" i="94" a="1"/>
  <c r="N25" i="94" s="1"/>
  <c r="N26" i="94" a="1"/>
  <c r="N26" i="94" s="1"/>
  <c r="N27" i="94" a="1"/>
  <c r="N27" i="94"/>
  <c r="N28" i="94" a="1"/>
  <c r="N28" i="94"/>
  <c r="N29" i="94" a="1"/>
  <c r="N29" i="94" s="1"/>
  <c r="N30" i="94" a="1"/>
  <c r="N30" i="94" s="1"/>
  <c r="N31" i="94" a="1"/>
  <c r="N31" i="94" s="1"/>
  <c r="N32" i="94" a="1"/>
  <c r="N32" i="94"/>
  <c r="N33" i="94" a="1"/>
  <c r="N33" i="94"/>
  <c r="N34" i="94" a="1"/>
  <c r="N34" i="94" s="1"/>
  <c r="N35" i="94" a="1"/>
  <c r="N35" i="94"/>
  <c r="N36" i="94" a="1"/>
  <c r="N36" i="94" s="1"/>
  <c r="N37" i="94" a="1"/>
  <c r="N37" i="94" s="1"/>
  <c r="N38" i="94" a="1"/>
  <c r="N38" i="94" s="1"/>
  <c r="N39" i="94" a="1"/>
  <c r="N39" i="94"/>
  <c r="N40" i="94" a="1"/>
  <c r="N40" i="94"/>
  <c r="N41" i="94" a="1"/>
  <c r="N41" i="94" s="1"/>
  <c r="N42" i="94" a="1"/>
  <c r="N42" i="94" s="1"/>
  <c r="N43" i="94" a="1"/>
  <c r="N43" i="94" s="1"/>
  <c r="N44" i="94" a="1"/>
  <c r="N44" i="94"/>
  <c r="N45" i="94" a="1"/>
  <c r="N45" i="94"/>
  <c r="N46" i="94" a="1"/>
  <c r="N46" i="94" s="1"/>
  <c r="N47" i="94" a="1"/>
  <c r="N47" i="94"/>
  <c r="N48" i="94" a="1"/>
  <c r="N48" i="94" s="1"/>
  <c r="N49" i="94" a="1"/>
  <c r="N49" i="94" s="1"/>
  <c r="N50" i="94" a="1"/>
  <c r="N50" i="94" s="1"/>
  <c r="N51" i="94" a="1"/>
  <c r="N51" i="94"/>
  <c r="N52" i="94" a="1"/>
  <c r="N52" i="94"/>
  <c r="N53" i="94" a="1"/>
  <c r="N53" i="94" s="1"/>
  <c r="N54" i="94" a="1"/>
  <c r="N54" i="94" s="1"/>
  <c r="N55" i="94" a="1"/>
  <c r="N55" i="94" s="1"/>
  <c r="N56" i="94" a="1"/>
  <c r="N56" i="94"/>
  <c r="N57" i="94" a="1"/>
  <c r="N57" i="94"/>
  <c r="N58" i="94" a="1"/>
  <c r="N58" i="94" s="1"/>
  <c r="N59" i="94" a="1"/>
  <c r="N59" i="94"/>
  <c r="N60" i="94" a="1"/>
  <c r="N60" i="94" s="1"/>
  <c r="N61" i="94" a="1"/>
  <c r="N61" i="94" s="1"/>
  <c r="N62" i="94" a="1"/>
  <c r="N62" i="94" s="1"/>
  <c r="N63" i="94" a="1"/>
  <c r="N63" i="94"/>
  <c r="N64" i="94" a="1"/>
  <c r="N64" i="94"/>
  <c r="N65" i="94" a="1"/>
  <c r="N65" i="94" s="1"/>
  <c r="N66" i="94" a="1"/>
  <c r="N66" i="94" s="1"/>
  <c r="N67" i="94" a="1"/>
  <c r="N67" i="94" s="1"/>
  <c r="N68" i="94" a="1"/>
  <c r="N68" i="94"/>
  <c r="N69" i="94" a="1"/>
  <c r="N69" i="94"/>
  <c r="N70" i="94" a="1"/>
  <c r="N70" i="94" s="1"/>
  <c r="N71" i="94" a="1"/>
  <c r="N71" i="94"/>
  <c r="N72" i="94" a="1"/>
  <c r="N72" i="94" s="1"/>
  <c r="N73" i="94" a="1"/>
  <c r="N73" i="94" s="1"/>
  <c r="N74" i="94" a="1"/>
  <c r="N74" i="94" s="1"/>
  <c r="N75" i="94" a="1"/>
  <c r="N75" i="94"/>
  <c r="N76" i="94" a="1"/>
  <c r="N76" i="94"/>
  <c r="N77" i="94" a="1"/>
  <c r="N77" i="94" s="1"/>
  <c r="N78" i="94" a="1"/>
  <c r="N78" i="94" s="1"/>
  <c r="N79" i="94" a="1"/>
  <c r="N79" i="94" s="1"/>
  <c r="N80" i="94" a="1"/>
  <c r="N80" i="94"/>
  <c r="N81" i="94" a="1"/>
  <c r="N81" i="94"/>
  <c r="N82" i="94" a="1"/>
  <c r="N82" i="94" s="1"/>
  <c r="N83" i="94" a="1"/>
  <c r="N83" i="94"/>
  <c r="N84" i="94" a="1"/>
  <c r="N84" i="94" s="1"/>
  <c r="N85" i="94" a="1"/>
  <c r="N85" i="94" s="1"/>
  <c r="N86" i="94" a="1"/>
  <c r="N86" i="94" s="1"/>
  <c r="N87" i="94" a="1"/>
  <c r="N87" i="94"/>
  <c r="N88" i="94" a="1"/>
  <c r="N88" i="94"/>
  <c r="N89" i="94" a="1"/>
  <c r="N89" i="94" s="1"/>
  <c r="N90" i="94" a="1"/>
  <c r="N90" i="94" s="1"/>
  <c r="N91" i="94" a="1"/>
  <c r="N91" i="94" s="1"/>
  <c r="N92" i="94" a="1"/>
  <c r="N92" i="94"/>
  <c r="N93" i="94" a="1"/>
  <c r="N93" i="94"/>
  <c r="N94" i="94" a="1"/>
  <c r="N94" i="94" s="1"/>
  <c r="N95" i="94" a="1"/>
  <c r="N95" i="94"/>
  <c r="N96" i="94" a="1"/>
  <c r="N96" i="94" s="1"/>
  <c r="N97" i="94" a="1"/>
  <c r="N97" i="94" s="1"/>
  <c r="N98" i="94" a="1"/>
  <c r="N98" i="94" s="1"/>
  <c r="N99" i="94" a="1"/>
  <c r="N99" i="94"/>
  <c r="N100" i="94" a="1"/>
  <c r="N100" i="94"/>
  <c r="N101" i="94" a="1"/>
  <c r="N101" i="94" s="1"/>
  <c r="N102" i="94" a="1"/>
  <c r="N102" i="94" s="1"/>
  <c r="N103" i="94" a="1"/>
  <c r="N103" i="94" s="1"/>
  <c r="N104" i="94" a="1"/>
  <c r="N104" i="94"/>
  <c r="N105" i="94" a="1"/>
  <c r="N105" i="94"/>
  <c r="N106" i="94" a="1"/>
  <c r="N106" i="94" s="1"/>
  <c r="N107" i="94" a="1"/>
  <c r="N107" i="94"/>
  <c r="N108" i="94" a="1"/>
  <c r="N108" i="94" s="1"/>
  <c r="N109" i="94" a="1"/>
  <c r="N109" i="94" s="1"/>
  <c r="N110" i="94" a="1"/>
  <c r="N110" i="94" s="1"/>
  <c r="N111" i="94" a="1"/>
  <c r="N111" i="94"/>
  <c r="N112" i="94" a="1"/>
  <c r="N112" i="94"/>
  <c r="N113" i="94" a="1"/>
  <c r="N113" i="94" s="1"/>
  <c r="N114" i="94" a="1"/>
  <c r="N114" i="94" s="1"/>
  <c r="N115" i="94" a="1"/>
  <c r="N115" i="94" s="1"/>
  <c r="N116" i="94" a="1"/>
  <c r="N116" i="94"/>
  <c r="N117" i="94" a="1"/>
  <c r="N117" i="94"/>
  <c r="N118" i="94" a="1"/>
  <c r="N118" i="94" s="1"/>
  <c r="N119" i="94" a="1"/>
  <c r="N119" i="94"/>
  <c r="N120" i="94" a="1"/>
  <c r="N120" i="94" s="1"/>
  <c r="N121" i="94" a="1"/>
  <c r="N121" i="94" s="1"/>
  <c r="N122" i="94" a="1"/>
  <c r="N122" i="94" s="1"/>
  <c r="N123" i="94" a="1"/>
  <c r="N123" i="94"/>
  <c r="N124" i="94" a="1"/>
  <c r="N124" i="94"/>
  <c r="N125" i="94" a="1"/>
  <c r="N125" i="94" s="1"/>
  <c r="N126" i="94" a="1"/>
  <c r="N126" i="94" s="1"/>
  <c r="N127" i="94" a="1"/>
  <c r="N127" i="94" s="1"/>
  <c r="N128" i="94" a="1"/>
  <c r="N128" i="94"/>
  <c r="N129" i="94" a="1"/>
  <c r="N129" i="94"/>
  <c r="N130" i="94" a="1"/>
  <c r="N130" i="94" s="1"/>
  <c r="N131" i="94" a="1"/>
  <c r="N131" i="94"/>
  <c r="N132" i="94" a="1"/>
  <c r="N132" i="94" s="1"/>
  <c r="N133" i="94" a="1"/>
  <c r="N133" i="94" s="1"/>
  <c r="N134" i="94" a="1"/>
  <c r="N134" i="94" s="1"/>
  <c r="N135" i="94" a="1"/>
  <c r="N135" i="94"/>
  <c r="N136" i="94" a="1"/>
  <c r="N136" i="94"/>
  <c r="N137" i="94" a="1"/>
  <c r="N137" i="94" s="1"/>
  <c r="N138" i="94" a="1"/>
  <c r="N138" i="94" s="1"/>
  <c r="N139" i="94" a="1"/>
  <c r="N139" i="94" s="1"/>
  <c r="N140" i="94" a="1"/>
  <c r="N140" i="94"/>
  <c r="N141" i="94" a="1"/>
  <c r="N141" i="94"/>
  <c r="N142" i="94" a="1"/>
  <c r="N142" i="94" s="1"/>
  <c r="N143" i="94" a="1"/>
  <c r="N143" i="94"/>
  <c r="N144" i="94" a="1"/>
  <c r="N144" i="94" s="1"/>
  <c r="N145" i="94" a="1"/>
  <c r="N145" i="94" s="1"/>
  <c r="N146" i="94" a="1"/>
  <c r="N146" i="94" s="1"/>
  <c r="N147" i="94" a="1"/>
  <c r="N147" i="94" s="1"/>
  <c r="N148" i="94" a="1"/>
  <c r="N148" i="94"/>
  <c r="N149" i="94" a="1"/>
  <c r="N149" i="94" s="1"/>
  <c r="N150" i="94" a="1"/>
  <c r="N150" i="94" s="1"/>
  <c r="N151" i="94" a="1"/>
  <c r="N151" i="94" s="1"/>
  <c r="N152" i="94" a="1"/>
  <c r="N152" i="94"/>
  <c r="N153" i="94" a="1"/>
  <c r="N153" i="94"/>
  <c r="N154" i="94" a="1"/>
  <c r="N154" i="94" s="1"/>
  <c r="N155" i="94" a="1"/>
  <c r="N155" i="94"/>
  <c r="N156" i="94" a="1"/>
  <c r="N156" i="94" s="1"/>
  <c r="N157" i="94" a="1"/>
  <c r="N157" i="94" s="1"/>
  <c r="N158" i="94" a="1"/>
  <c r="N158" i="94" s="1"/>
  <c r="N159" i="94" a="1"/>
  <c r="N159" i="94"/>
  <c r="N160" i="94" a="1"/>
  <c r="N160" i="94"/>
  <c r="N161" i="94" a="1"/>
  <c r="N161" i="94" s="1"/>
  <c r="N162" i="94" a="1"/>
  <c r="N162" i="94" s="1"/>
  <c r="N163" i="94" a="1"/>
  <c r="N163" i="94" s="1"/>
  <c r="N164" i="94" a="1"/>
  <c r="N164" i="94"/>
  <c r="N165" i="94" a="1"/>
  <c r="N165" i="94"/>
  <c r="N166" i="94" a="1"/>
  <c r="N166" i="94" s="1"/>
  <c r="N167" i="94" a="1"/>
  <c r="N167" i="94"/>
  <c r="N168" i="94" a="1"/>
  <c r="N168" i="94" s="1"/>
  <c r="N169" i="94" a="1"/>
  <c r="N169" i="94" s="1"/>
  <c r="N170" i="94" a="1"/>
  <c r="N170" i="94" s="1"/>
  <c r="N171" i="94" a="1"/>
  <c r="N171" i="94"/>
  <c r="N172" i="94" a="1"/>
  <c r="N172" i="94"/>
  <c r="N173" i="94" a="1"/>
  <c r="N173" i="94" s="1"/>
  <c r="N174" i="94" a="1"/>
  <c r="N174" i="94" s="1"/>
  <c r="N175" i="94" a="1"/>
  <c r="N175" i="94" s="1"/>
  <c r="N176" i="94" a="1"/>
  <c r="N176" i="94"/>
  <c r="N177" i="94" a="1"/>
  <c r="N177" i="94"/>
  <c r="N178" i="94" a="1"/>
  <c r="N178" i="94" s="1"/>
  <c r="N179" i="94" a="1"/>
  <c r="N179" i="94"/>
  <c r="N180" i="94" a="1"/>
  <c r="N180" i="94" s="1"/>
  <c r="N181" i="94" a="1"/>
  <c r="N181" i="94" s="1"/>
  <c r="N182" i="94" a="1"/>
  <c r="N182" i="94" s="1"/>
  <c r="N183" i="94" a="1"/>
  <c r="N183" i="94"/>
  <c r="N184" i="94" a="1"/>
  <c r="N184" i="94"/>
  <c r="N185" i="94" a="1"/>
  <c r="N185" i="94" s="1"/>
  <c r="N186" i="94" a="1"/>
  <c r="N186" i="94" s="1"/>
  <c r="N187" i="94" a="1"/>
  <c r="N187" i="94" s="1"/>
  <c r="N188" i="94" a="1"/>
  <c r="N188" i="94"/>
  <c r="N189" i="94" a="1"/>
  <c r="N189" i="94" s="1"/>
  <c r="N190" i="94" a="1"/>
  <c r="N190" i="94" s="1"/>
  <c r="N191" i="94" a="1"/>
  <c r="N191" i="94"/>
  <c r="N192" i="94" a="1"/>
  <c r="N192" i="94" s="1"/>
  <c r="N193" i="94" a="1"/>
  <c r="N193" i="94" s="1"/>
  <c r="N194" i="94" a="1"/>
  <c r="N194" i="94" s="1"/>
  <c r="N195" i="94" a="1"/>
  <c r="N195" i="94"/>
  <c r="N196" i="94" a="1"/>
  <c r="N196" i="94"/>
  <c r="N197" i="94" a="1"/>
  <c r="N197" i="94" s="1"/>
  <c r="N198" i="94" a="1"/>
  <c r="N198" i="94" s="1"/>
  <c r="N199" i="94" a="1"/>
  <c r="N199" i="94" s="1"/>
  <c r="N200" i="94" a="1"/>
  <c r="N200" i="94"/>
  <c r="N201" i="94" a="1"/>
  <c r="N201" i="94" s="1"/>
  <c r="N202" i="94" a="1"/>
  <c r="N202" i="94" s="1"/>
  <c r="N203" i="94" a="1"/>
  <c r="N203" i="94"/>
  <c r="N204" i="94" a="1"/>
  <c r="N204" i="94" s="1"/>
  <c r="N205" i="94" a="1"/>
  <c r="N205" i="94" s="1"/>
  <c r="N206" i="94" a="1"/>
  <c r="N206" i="94" s="1"/>
  <c r="N207" i="94" a="1"/>
  <c r="N207" i="94"/>
  <c r="N208" i="94" a="1"/>
  <c r="N208" i="94"/>
  <c r="N209" i="94" a="1"/>
  <c r="N209" i="94" s="1"/>
  <c r="N210" i="94" a="1"/>
  <c r="N210" i="94" s="1"/>
  <c r="N211" i="94" a="1"/>
  <c r="N211" i="94" s="1"/>
  <c r="N212" i="94" a="1"/>
  <c r="N212" i="94"/>
  <c r="N213" i="94" a="1"/>
  <c r="N213" i="94" s="1"/>
  <c r="N214" i="94" a="1"/>
  <c r="N214" i="94" s="1"/>
  <c r="N215" i="94" a="1"/>
  <c r="N215" i="94" s="1"/>
  <c r="N216" i="94" a="1"/>
  <c r="N216" i="94" s="1"/>
  <c r="N217" i="94" a="1"/>
  <c r="N217" i="94" s="1"/>
  <c r="N218" i="94" a="1"/>
  <c r="N218" i="94" s="1"/>
  <c r="N219" i="94" a="1"/>
  <c r="N219" i="94"/>
  <c r="N220" i="94" a="1"/>
  <c r="N220" i="94" s="1"/>
  <c r="N221" i="94" a="1"/>
  <c r="N221" i="94" s="1"/>
  <c r="N222" i="94" a="1"/>
  <c r="N222" i="94" s="1"/>
  <c r="N223" i="94" a="1"/>
  <c r="N223" i="94" s="1"/>
  <c r="N224" i="94" a="1"/>
  <c r="N224" i="94"/>
  <c r="N225" i="94" a="1"/>
  <c r="N225" i="94" s="1"/>
  <c r="N226" i="94" a="1"/>
  <c r="N226" i="94" s="1"/>
  <c r="N227" i="94" a="1"/>
  <c r="N227" i="94"/>
  <c r="N228" i="94" a="1"/>
  <c r="N228" i="94" s="1"/>
  <c r="N229" i="94" a="1"/>
  <c r="N229" i="94" s="1"/>
  <c r="N230" i="94" a="1"/>
  <c r="N230" i="94" s="1"/>
  <c r="N231" i="94" a="1"/>
  <c r="N231" i="94"/>
  <c r="N232" i="94" a="1"/>
  <c r="N232" i="94"/>
  <c r="N233" i="94" a="1"/>
  <c r="N233" i="94" s="1"/>
  <c r="N234" i="94" a="1"/>
  <c r="N234" i="94" s="1"/>
  <c r="N235" i="94" a="1"/>
  <c r="N235" i="94" s="1"/>
  <c r="N236" i="94" a="1"/>
  <c r="N236" i="94"/>
  <c r="N237" i="94" a="1"/>
  <c r="N237" i="94" s="1"/>
  <c r="N238" i="94" a="1"/>
  <c r="N238" i="94" s="1"/>
  <c r="N239" i="94" a="1"/>
  <c r="N239" i="94"/>
  <c r="N240" i="94" a="1"/>
  <c r="N240" i="94" s="1"/>
  <c r="N241" i="94" a="1"/>
  <c r="N241" i="94" s="1"/>
  <c r="N242" i="94" a="1"/>
  <c r="N242" i="94" s="1"/>
  <c r="N243" i="94" a="1"/>
  <c r="N243" i="94"/>
  <c r="N244" i="94" a="1"/>
  <c r="N244" i="94"/>
  <c r="N245" i="94" a="1"/>
  <c r="N245" i="94" s="1"/>
  <c r="N246" i="94" a="1"/>
  <c r="N246" i="94" s="1"/>
  <c r="N247" i="94" a="1"/>
  <c r="N247" i="94" s="1"/>
  <c r="N248" i="94" a="1"/>
  <c r="N248" i="94"/>
  <c r="N249" i="94" a="1"/>
  <c r="N249" i="94" s="1"/>
  <c r="N250" i="94" a="1"/>
  <c r="N250" i="94" s="1"/>
  <c r="N251" i="94" a="1"/>
  <c r="N251" i="94"/>
  <c r="N252" i="94" a="1"/>
  <c r="N252" i="94" s="1"/>
  <c r="N253" i="94" a="1"/>
  <c r="N253" i="94" s="1"/>
  <c r="N254" i="94" a="1"/>
  <c r="N254" i="94" s="1"/>
  <c r="N255" i="94" a="1"/>
  <c r="N255" i="94"/>
  <c r="N256" i="94" a="1"/>
  <c r="N256" i="94"/>
  <c r="N257" i="94" a="1"/>
  <c r="N257" i="94" s="1"/>
  <c r="N258" i="94" a="1"/>
  <c r="N258" i="94" s="1"/>
  <c r="N259" i="94" a="1"/>
  <c r="N259" i="94" s="1"/>
  <c r="N260" i="94" a="1"/>
  <c r="N260" i="94"/>
  <c r="N261" i="94" a="1"/>
  <c r="N261" i="94" s="1"/>
  <c r="N262" i="94" a="1"/>
  <c r="N262" i="94" s="1"/>
  <c r="N263" i="94" a="1"/>
  <c r="N263" i="94"/>
  <c r="N264" i="94" a="1"/>
  <c r="N264" i="94" s="1"/>
  <c r="N265" i="94" a="1"/>
  <c r="N265" i="94" s="1"/>
  <c r="N266" i="94" a="1"/>
  <c r="N266" i="94" s="1"/>
  <c r="N267" i="94" a="1"/>
  <c r="N267" i="94" s="1"/>
  <c r="N268" i="94" a="1"/>
  <c r="N268" i="94"/>
  <c r="N269" i="94" a="1"/>
  <c r="N269" i="94" s="1"/>
  <c r="N270" i="94" a="1"/>
  <c r="N270" i="94" s="1"/>
  <c r="N271" i="94" a="1"/>
  <c r="N271" i="94" s="1"/>
  <c r="N272" i="94" a="1"/>
  <c r="N272" i="94"/>
  <c r="N273" i="94" a="1"/>
  <c r="N273" i="94" s="1"/>
  <c r="N274" i="94" a="1"/>
  <c r="N274" i="94" s="1"/>
  <c r="N275" i="94" a="1"/>
  <c r="N275" i="94" s="1"/>
  <c r="N276" i="94" a="1"/>
  <c r="N276" i="94" s="1"/>
  <c r="N277" i="94" a="1"/>
  <c r="N277" i="94" s="1"/>
  <c r="N278" i="94" a="1"/>
  <c r="N278" i="94" s="1"/>
  <c r="N279" i="94" a="1"/>
  <c r="N279" i="94" s="1"/>
  <c r="N280" i="94" a="1"/>
  <c r="N280" i="94" s="1"/>
  <c r="N281" i="94" a="1"/>
  <c r="N281" i="94" s="1"/>
  <c r="N282" i="94" a="1"/>
  <c r="N282" i="94" s="1"/>
  <c r="N283" i="94" a="1"/>
  <c r="N283" i="94" s="1"/>
  <c r="N284" i="94" a="1"/>
  <c r="N284" i="94"/>
  <c r="N285" i="94" a="1"/>
  <c r="N285" i="94" s="1"/>
  <c r="N286" i="94" a="1"/>
  <c r="N286" i="94" s="1"/>
  <c r="N287" i="94" a="1"/>
  <c r="N287" i="94" s="1"/>
  <c r="N288" i="94" a="1"/>
  <c r="N288" i="94" s="1"/>
  <c r="N289" i="94" a="1"/>
  <c r="N289" i="94" s="1"/>
  <c r="N290" i="94" a="1"/>
  <c r="N290" i="94" s="1"/>
  <c r="N291" i="94" a="1"/>
  <c r="N291" i="94" s="1"/>
  <c r="N292" i="94" a="1"/>
  <c r="N292" i="94" s="1"/>
  <c r="N293" i="94" a="1"/>
  <c r="N293" i="94" s="1"/>
  <c r="N294" i="94" a="1"/>
  <c r="N294" i="94" s="1"/>
  <c r="N295" i="94" a="1"/>
  <c r="N295" i="94" s="1"/>
  <c r="N296" i="94" a="1"/>
  <c r="N296" i="94"/>
  <c r="N297" i="94" a="1"/>
  <c r="N297" i="94" s="1"/>
  <c r="N298" i="94" a="1"/>
  <c r="N298" i="94" s="1"/>
  <c r="N299" i="94" a="1"/>
  <c r="N299" i="94" s="1"/>
  <c r="N300" i="94" a="1"/>
  <c r="N300" i="94" s="1"/>
  <c r="N301" i="94" a="1"/>
  <c r="N301" i="94" s="1"/>
  <c r="N302" i="94" a="1"/>
  <c r="N302" i="94" s="1"/>
  <c r="N303" i="94" a="1"/>
  <c r="N303" i="94" s="1"/>
  <c r="N304" i="94" a="1"/>
  <c r="N304" i="94" s="1"/>
  <c r="N305" i="94" a="1"/>
  <c r="N305" i="94" s="1"/>
  <c r="N306" i="94" a="1"/>
  <c r="N306" i="94" s="1"/>
  <c r="N307" i="94" a="1"/>
  <c r="N307" i="94" s="1"/>
  <c r="N308" i="94" a="1"/>
  <c r="N308" i="94"/>
  <c r="N309" i="94" a="1"/>
  <c r="N309" i="94" s="1"/>
  <c r="N310" i="94" a="1"/>
  <c r="N310" i="94" s="1"/>
  <c r="N311" i="94" a="1"/>
  <c r="N311" i="94" s="1"/>
  <c r="N312" i="94" a="1"/>
  <c r="N312" i="94" s="1"/>
  <c r="N313" i="94" a="1"/>
  <c r="N313" i="94" s="1"/>
  <c r="N314" i="94" a="1"/>
  <c r="N314" i="94" s="1"/>
  <c r="N315" i="94" a="1"/>
  <c r="N315" i="94" s="1"/>
  <c r="N316" i="94" a="1"/>
  <c r="N316" i="94" s="1"/>
  <c r="N317" i="94" a="1"/>
  <c r="N317" i="94" s="1"/>
  <c r="N318" i="94" a="1"/>
  <c r="N318" i="94" s="1"/>
  <c r="N319" i="94" a="1"/>
  <c r="N319" i="94" s="1"/>
  <c r="N320" i="94" a="1"/>
  <c r="N320" i="94"/>
  <c r="N321" i="94" a="1"/>
  <c r="N321" i="94" s="1"/>
  <c r="N322" i="94" a="1"/>
  <c r="N322" i="94" s="1"/>
  <c r="N323" i="94" a="1"/>
  <c r="N323" i="94" s="1"/>
  <c r="N324" i="94" a="1"/>
  <c r="N324" i="94" s="1"/>
  <c r="N325" i="94" a="1"/>
  <c r="N325" i="94" s="1"/>
  <c r="N326" i="94" a="1"/>
  <c r="N326" i="94" s="1"/>
  <c r="N327" i="94" a="1"/>
  <c r="N327" i="94" s="1"/>
  <c r="N328" i="94" a="1"/>
  <c r="N328" i="94" s="1"/>
  <c r="N329" i="94" a="1"/>
  <c r="N329" i="94" s="1"/>
  <c r="N330" i="94" a="1"/>
  <c r="N330" i="94" s="1"/>
  <c r="N331" i="94" a="1"/>
  <c r="N331" i="94" s="1"/>
  <c r="N332" i="94" a="1"/>
  <c r="N332" i="94"/>
  <c r="N333" i="94" a="1"/>
  <c r="N333" i="94" s="1"/>
  <c r="N334" i="94" a="1"/>
  <c r="N334" i="94" s="1"/>
  <c r="N335" i="94" a="1"/>
  <c r="N335" i="94" s="1"/>
  <c r="N336" i="94" a="1"/>
  <c r="N336" i="94" s="1"/>
  <c r="N337" i="94" a="1"/>
  <c r="N337" i="94" s="1"/>
  <c r="N338" i="94" a="1"/>
  <c r="N338" i="94" s="1"/>
  <c r="Q7" i="94" a="1"/>
  <c r="Q7" i="94" s="1"/>
  <c r="Q8" i="94" a="1"/>
  <c r="Q8" i="94" s="1"/>
  <c r="Q9" i="94" a="1"/>
  <c r="Q9" i="94" s="1"/>
  <c r="Q10" i="94" a="1"/>
  <c r="Q10" i="94" s="1"/>
  <c r="Q11" i="94" a="1"/>
  <c r="Q11" i="94" s="1"/>
  <c r="Q12" i="94" a="1"/>
  <c r="Q12" i="94"/>
  <c r="Q13" i="94" a="1"/>
  <c r="Q13" i="94" s="1"/>
  <c r="Q14" i="94" a="1"/>
  <c r="Q14" i="94" s="1"/>
  <c r="Q15" i="94" a="1"/>
  <c r="Q15" i="94" s="1"/>
  <c r="Q16" i="94" a="1"/>
  <c r="Q16" i="94" s="1"/>
  <c r="Q17" i="94" a="1"/>
  <c r="Q17" i="94" s="1"/>
  <c r="Q18" i="94" a="1"/>
  <c r="Q18" i="94" s="1"/>
  <c r="Q19" i="94" a="1"/>
  <c r="Q19" i="94" s="1"/>
  <c r="Q20" i="94" a="1"/>
  <c r="Q20" i="94" s="1"/>
  <c r="Q21" i="94" a="1"/>
  <c r="Q21" i="94" s="1"/>
  <c r="Q22" i="94" a="1"/>
  <c r="Q22" i="94" s="1"/>
  <c r="Q23" i="94" a="1"/>
  <c r="Q23" i="94" s="1"/>
  <c r="Q24" i="94" a="1"/>
  <c r="Q24" i="94"/>
  <c r="Q25" i="94" a="1"/>
  <c r="Q25" i="94" s="1"/>
  <c r="Q26" i="94" a="1"/>
  <c r="Q26" i="94" s="1"/>
  <c r="Q27" i="94" a="1"/>
  <c r="Q27" i="94" s="1"/>
  <c r="Q28" i="94" a="1"/>
  <c r="Q28" i="94" s="1"/>
  <c r="Q29" i="94" a="1"/>
  <c r="Q29" i="94" s="1"/>
  <c r="Q30" i="94" a="1"/>
  <c r="Q30" i="94" s="1"/>
  <c r="Q31" i="94" a="1"/>
  <c r="Q31" i="94" s="1"/>
  <c r="Q32" i="94" a="1"/>
  <c r="Q32" i="94" s="1"/>
  <c r="Q33" i="94" a="1"/>
  <c r="Q33" i="94" s="1"/>
  <c r="Q34" i="94" a="1"/>
  <c r="Q34" i="94" s="1"/>
  <c r="Q35" i="94" a="1"/>
  <c r="Q35" i="94" s="1"/>
  <c r="Q36" i="94" a="1"/>
  <c r="Q36" i="94" s="1"/>
  <c r="Q37" i="94" a="1"/>
  <c r="Q37" i="94" s="1"/>
  <c r="Q38" i="94" a="1"/>
  <c r="Q38" i="94" s="1"/>
  <c r="Q39" i="94" a="1"/>
  <c r="Q39" i="94" s="1"/>
  <c r="Q40" i="94" a="1"/>
  <c r="Q40" i="94" s="1"/>
  <c r="Q41" i="94" a="1"/>
  <c r="Q41" i="94" s="1"/>
  <c r="Q42" i="94" a="1"/>
  <c r="Q42" i="94" s="1"/>
  <c r="Q43" i="94" a="1"/>
  <c r="Q43" i="94" s="1"/>
  <c r="Q44" i="94" a="1"/>
  <c r="Q44" i="94" s="1"/>
  <c r="Q45" i="94" a="1"/>
  <c r="Q45" i="94" s="1"/>
  <c r="Q46" i="94" a="1"/>
  <c r="Q46" i="94" s="1"/>
  <c r="Q47" i="94" a="1"/>
  <c r="Q47" i="94" s="1"/>
  <c r="Q48" i="94" a="1"/>
  <c r="Q48" i="94" s="1"/>
  <c r="Q49" i="94" a="1"/>
  <c r="Q49" i="94" s="1"/>
  <c r="Q50" i="94" a="1"/>
  <c r="Q50" i="94" s="1"/>
  <c r="Q51" i="94" a="1"/>
  <c r="Q51" i="94" s="1"/>
  <c r="Q52" i="94" a="1"/>
  <c r="Q52" i="94" s="1"/>
  <c r="Q53" i="94" a="1"/>
  <c r="Q53" i="94" s="1"/>
  <c r="Q54" i="94" a="1"/>
  <c r="Q54" i="94" s="1"/>
  <c r="Q55" i="94" a="1"/>
  <c r="Q55" i="94" s="1"/>
  <c r="Q56" i="94" a="1"/>
  <c r="Q56" i="94" s="1"/>
  <c r="Q57" i="94" a="1"/>
  <c r="Q57" i="94" s="1"/>
  <c r="Q58" i="94" a="1"/>
  <c r="Q58" i="94" s="1"/>
  <c r="Q59" i="94" a="1"/>
  <c r="Q59" i="94" s="1"/>
  <c r="Q60" i="94" a="1"/>
  <c r="Q60" i="94" s="1"/>
  <c r="Q61" i="94" a="1"/>
  <c r="Q61" i="94" s="1"/>
  <c r="Q62" i="94" a="1"/>
  <c r="Q62" i="94" s="1"/>
  <c r="Q63" i="94" a="1"/>
  <c r="Q63" i="94" s="1"/>
  <c r="Q64" i="94" a="1"/>
  <c r="Q64" i="94" s="1"/>
  <c r="Q65" i="94" a="1"/>
  <c r="Q65" i="94" s="1"/>
  <c r="Q66" i="94" a="1"/>
  <c r="Q66" i="94" s="1"/>
  <c r="Q67" i="94" a="1"/>
  <c r="Q67" i="94" s="1"/>
  <c r="Q68" i="94" a="1"/>
  <c r="Q68" i="94" s="1"/>
  <c r="Q69" i="94" a="1"/>
  <c r="Q69" i="94" s="1"/>
  <c r="Q70" i="94" a="1"/>
  <c r="Q70" i="94" s="1"/>
  <c r="Q71" i="94" a="1"/>
  <c r="Q71" i="94" s="1"/>
  <c r="Q72" i="94" a="1"/>
  <c r="Q72" i="94" s="1"/>
  <c r="Q73" i="94" a="1"/>
  <c r="Q73" i="94" s="1"/>
  <c r="Q74" i="94" a="1"/>
  <c r="Q74" i="94" s="1"/>
  <c r="Q75" i="94" a="1"/>
  <c r="Q75" i="94" s="1"/>
  <c r="Q76" i="94" a="1"/>
  <c r="Q76" i="94" s="1"/>
  <c r="Q77" i="94" a="1"/>
  <c r="Q77" i="94" s="1"/>
  <c r="Q78" i="94" a="1"/>
  <c r="Q78" i="94" s="1"/>
  <c r="Q79" i="94" a="1"/>
  <c r="Q79" i="94" s="1"/>
  <c r="Q80" i="94" a="1"/>
  <c r="Q80" i="94" s="1"/>
  <c r="Q81" i="94" a="1"/>
  <c r="Q81" i="94" s="1"/>
  <c r="Q82" i="94" a="1"/>
  <c r="Q82" i="94" s="1"/>
  <c r="Q83" i="94" a="1"/>
  <c r="Q83" i="94" s="1"/>
  <c r="Q84" i="94" a="1"/>
  <c r="Q84" i="94" s="1"/>
  <c r="Q85" i="94" a="1"/>
  <c r="Q85" i="94" s="1"/>
  <c r="Q86" i="94" a="1"/>
  <c r="Q86" i="94" s="1"/>
  <c r="Q87" i="94" a="1"/>
  <c r="Q87" i="94" s="1"/>
  <c r="Q88" i="94" a="1"/>
  <c r="Q88" i="94" s="1"/>
  <c r="Q89" i="94" a="1"/>
  <c r="Q89" i="94" s="1"/>
  <c r="Q90" i="94" a="1"/>
  <c r="Q90" i="94" s="1"/>
  <c r="Q91" i="94" a="1"/>
  <c r="Q91" i="94" s="1"/>
  <c r="Q92" i="94" a="1"/>
  <c r="Q92" i="94" s="1"/>
  <c r="Q93" i="94" a="1"/>
  <c r="Q93" i="94" s="1"/>
  <c r="Q94" i="94" a="1"/>
  <c r="Q94" i="94" s="1"/>
  <c r="Q95" i="94" a="1"/>
  <c r="Q95" i="94" s="1"/>
  <c r="Q96" i="94" a="1"/>
  <c r="Q96" i="94" s="1"/>
  <c r="Q97" i="94" a="1"/>
  <c r="Q97" i="94" s="1"/>
  <c r="Q98" i="94" a="1"/>
  <c r="Q98" i="94" s="1"/>
  <c r="Q99" i="94" a="1"/>
  <c r="Q99" i="94" s="1"/>
  <c r="Q100" i="94" a="1"/>
  <c r="Q100" i="94" s="1"/>
  <c r="Q101" i="94" a="1"/>
  <c r="Q101" i="94" s="1"/>
  <c r="Q102" i="94" a="1"/>
  <c r="Q102" i="94" s="1"/>
  <c r="Q103" i="94" a="1"/>
  <c r="Q103" i="94" s="1"/>
  <c r="Q104" i="94" a="1"/>
  <c r="Q104" i="94" s="1"/>
  <c r="Q105" i="94" a="1"/>
  <c r="Q105" i="94" s="1"/>
  <c r="Q106" i="94" a="1"/>
  <c r="Q106" i="94" s="1"/>
  <c r="Q107" i="94" a="1"/>
  <c r="Q107" i="94" s="1"/>
  <c r="Q108" i="94" a="1"/>
  <c r="Q108" i="94" s="1"/>
  <c r="Q109" i="94" a="1"/>
  <c r="Q109" i="94" s="1"/>
  <c r="Q110" i="94" a="1"/>
  <c r="Q110" i="94" s="1"/>
  <c r="Q111" i="94" a="1"/>
  <c r="Q111" i="94" s="1"/>
  <c r="Q112" i="94" a="1"/>
  <c r="Q112" i="94" s="1"/>
  <c r="Q113" i="94" a="1"/>
  <c r="Q113" i="94" s="1"/>
  <c r="Q114" i="94" a="1"/>
  <c r="Q114" i="94" s="1"/>
  <c r="Q115" i="94" a="1"/>
  <c r="Q115" i="94" s="1"/>
  <c r="Q116" i="94" a="1"/>
  <c r="Q116" i="94" s="1"/>
  <c r="Q117" i="94" a="1"/>
  <c r="Q117" i="94" s="1"/>
  <c r="Q118" i="94" a="1"/>
  <c r="Q118" i="94" s="1"/>
  <c r="Q119" i="94" a="1"/>
  <c r="Q119" i="94" s="1"/>
  <c r="Q120" i="94" a="1"/>
  <c r="Q120" i="94" s="1"/>
  <c r="Q121" i="94" a="1"/>
  <c r="Q121" i="94" s="1"/>
  <c r="Q122" i="94" a="1"/>
  <c r="Q122" i="94" s="1"/>
  <c r="Q123" i="94" a="1"/>
  <c r="Q123" i="94" s="1"/>
  <c r="Q124" i="94" a="1"/>
  <c r="Q124" i="94" s="1"/>
  <c r="Q125" i="94" a="1"/>
  <c r="Q125" i="94" s="1"/>
  <c r="Q126" i="94" a="1"/>
  <c r="Q126" i="94" s="1"/>
  <c r="Q127" i="94" a="1"/>
  <c r="Q127" i="94" s="1"/>
  <c r="Q128" i="94" a="1"/>
  <c r="Q128" i="94" s="1"/>
  <c r="Q129" i="94" a="1"/>
  <c r="Q129" i="94" s="1"/>
  <c r="Q130" i="94" a="1"/>
  <c r="Q130" i="94" s="1"/>
  <c r="Q131" i="94" a="1"/>
  <c r="Q131" i="94" s="1"/>
  <c r="Q132" i="94" a="1"/>
  <c r="Q132" i="94" s="1"/>
  <c r="Q133" i="94" a="1"/>
  <c r="Q133" i="94" s="1"/>
  <c r="Q134" i="94" a="1"/>
  <c r="Q134" i="94" s="1"/>
  <c r="Q135" i="94" a="1"/>
  <c r="Q135" i="94" s="1"/>
  <c r="Q136" i="94" a="1"/>
  <c r="Q136" i="94" s="1"/>
  <c r="Q137" i="94" a="1"/>
  <c r="Q137" i="94" s="1"/>
  <c r="Q138" i="94" a="1"/>
  <c r="Q138" i="94" s="1"/>
  <c r="Q139" i="94" a="1"/>
  <c r="Q139" i="94" s="1"/>
  <c r="Q140" i="94" a="1"/>
  <c r="Q140" i="94" s="1"/>
  <c r="Q141" i="94" a="1"/>
  <c r="Q141" i="94" s="1"/>
  <c r="Q142" i="94" a="1"/>
  <c r="Q142" i="94" s="1"/>
  <c r="Q143" i="94" a="1"/>
  <c r="Q143" i="94" s="1"/>
  <c r="Q144" i="94" a="1"/>
  <c r="Q144" i="94" s="1"/>
  <c r="Q145" i="94" a="1"/>
  <c r="Q145" i="94" s="1"/>
  <c r="Q146" i="94" a="1"/>
  <c r="Q146" i="94" s="1"/>
  <c r="Q147" i="94" a="1"/>
  <c r="Q147" i="94" s="1"/>
  <c r="Q148" i="94" a="1"/>
  <c r="Q148" i="94" s="1"/>
  <c r="Q149" i="94" a="1"/>
  <c r="Q149" i="94" s="1"/>
  <c r="Q150" i="94" a="1"/>
  <c r="Q150" i="94" s="1"/>
  <c r="Q151" i="94" a="1"/>
  <c r="Q151" i="94" s="1"/>
  <c r="Q152" i="94" a="1"/>
  <c r="Q152" i="94" s="1"/>
  <c r="Q153" i="94" a="1"/>
  <c r="Q153" i="94" s="1"/>
  <c r="Q154" i="94" a="1"/>
  <c r="Q154" i="94" s="1"/>
  <c r="Q155" i="94" a="1"/>
  <c r="Q155" i="94" s="1"/>
  <c r="Q156" i="94" a="1"/>
  <c r="Q156" i="94" s="1"/>
  <c r="Q157" i="94" a="1"/>
  <c r="Q157" i="94" s="1"/>
  <c r="Q158" i="94" a="1"/>
  <c r="Q158" i="94" s="1"/>
  <c r="Q159" i="94" a="1"/>
  <c r="Q159" i="94" s="1"/>
  <c r="Q160" i="94" a="1"/>
  <c r="Q160" i="94" s="1"/>
  <c r="Q161" i="94" a="1"/>
  <c r="Q161" i="94" s="1"/>
  <c r="Q162" i="94" a="1"/>
  <c r="Q162" i="94" s="1"/>
  <c r="Q163" i="94" a="1"/>
  <c r="Q163" i="94" s="1"/>
  <c r="Q164" i="94" a="1"/>
  <c r="Q164" i="94" s="1"/>
  <c r="Q165" i="94" a="1"/>
  <c r="Q165" i="94" s="1"/>
  <c r="Q166" i="94" a="1"/>
  <c r="Q166" i="94" s="1"/>
  <c r="Q167" i="94" a="1"/>
  <c r="Q167" i="94" s="1"/>
  <c r="Q168" i="94" a="1"/>
  <c r="Q168" i="94" s="1"/>
  <c r="Q169" i="94" a="1"/>
  <c r="Q169" i="94" s="1"/>
  <c r="Q170" i="94" a="1"/>
  <c r="Q170" i="94" s="1"/>
  <c r="Q171" i="94" a="1"/>
  <c r="Q171" i="94" s="1"/>
  <c r="Q172" i="94" a="1"/>
  <c r="Q172" i="94" s="1"/>
  <c r="Q173" i="94" a="1"/>
  <c r="Q173" i="94" s="1"/>
  <c r="Q174" i="94" a="1"/>
  <c r="Q174" i="94" s="1"/>
  <c r="Q175" i="94" a="1"/>
  <c r="Q175" i="94" s="1"/>
  <c r="Q176" i="94" a="1"/>
  <c r="Q176" i="94" s="1"/>
  <c r="Q177" i="94" a="1"/>
  <c r="Q177" i="94" s="1"/>
  <c r="Q178" i="94" a="1"/>
  <c r="Q178" i="94" s="1"/>
  <c r="Q179" i="94" a="1"/>
  <c r="Q179" i="94" s="1"/>
  <c r="Q180" i="94" a="1"/>
  <c r="Q180" i="94" s="1"/>
  <c r="Q181" i="94" a="1"/>
  <c r="Q181" i="94" s="1"/>
  <c r="Q182" i="94" a="1"/>
  <c r="Q182" i="94" s="1"/>
  <c r="Q183" i="94" a="1"/>
  <c r="Q183" i="94" s="1"/>
  <c r="Q184" i="94" a="1"/>
  <c r="Q184" i="94" s="1"/>
  <c r="Q185" i="94" a="1"/>
  <c r="Q185" i="94" s="1"/>
  <c r="Q186" i="94" a="1"/>
  <c r="Q186" i="94" s="1"/>
  <c r="Q187" i="94" a="1"/>
  <c r="Q187" i="94" s="1"/>
  <c r="Q188" i="94" a="1"/>
  <c r="Q188" i="94" s="1"/>
  <c r="Q189" i="94" a="1"/>
  <c r="Q189" i="94" s="1"/>
  <c r="Q190" i="94" a="1"/>
  <c r="Q190" i="94" s="1"/>
  <c r="Q191" i="94" a="1"/>
  <c r="Q191" i="94" s="1"/>
  <c r="Q192" i="94" a="1"/>
  <c r="Q192" i="94" s="1"/>
  <c r="Q193" i="94" a="1"/>
  <c r="Q193" i="94" s="1"/>
  <c r="Q194" i="94" a="1"/>
  <c r="Q194" i="94" s="1"/>
  <c r="Q195" i="94" a="1"/>
  <c r="Q195" i="94" s="1"/>
  <c r="Q196" i="94" a="1"/>
  <c r="Q196" i="94" s="1"/>
  <c r="Q197" i="94" a="1"/>
  <c r="Q197" i="94" s="1"/>
  <c r="Q198" i="94" a="1"/>
  <c r="Q198" i="94" s="1"/>
  <c r="Q199" i="94" a="1"/>
  <c r="Q199" i="94" s="1"/>
  <c r="Q200" i="94" a="1"/>
  <c r="Q200" i="94" s="1"/>
  <c r="Q201" i="94" a="1"/>
  <c r="Q201" i="94" s="1"/>
  <c r="Q202" i="94" a="1"/>
  <c r="Q202" i="94" s="1"/>
  <c r="Q203" i="94" a="1"/>
  <c r="Q203" i="94" s="1"/>
  <c r="Q204" i="94" a="1"/>
  <c r="Q204" i="94" s="1"/>
  <c r="Q205" i="94" a="1"/>
  <c r="Q205" i="94" s="1"/>
  <c r="Q206" i="94" a="1"/>
  <c r="Q206" i="94" s="1"/>
  <c r="Q207" i="94" a="1"/>
  <c r="Q207" i="94" s="1"/>
  <c r="Q208" i="94" a="1"/>
  <c r="Q208" i="94" s="1"/>
  <c r="Q209" i="94" a="1"/>
  <c r="Q209" i="94" s="1"/>
  <c r="Q210" i="94" a="1"/>
  <c r="Q210" i="94" s="1"/>
  <c r="Q211" i="94" a="1"/>
  <c r="Q211" i="94" s="1"/>
  <c r="Q212" i="94" a="1"/>
  <c r="Q212" i="94" s="1"/>
  <c r="Q213" i="94" a="1"/>
  <c r="Q213" i="94" s="1"/>
  <c r="Q214" i="94" a="1"/>
  <c r="Q214" i="94" s="1"/>
  <c r="Q215" i="94" a="1"/>
  <c r="Q215" i="94" s="1"/>
  <c r="Q216" i="94" a="1"/>
  <c r="Q216" i="94" s="1"/>
  <c r="Q217" i="94" a="1"/>
  <c r="Q217" i="94" s="1"/>
  <c r="Q218" i="94" a="1"/>
  <c r="Q218" i="94" s="1"/>
  <c r="Q219" i="94" a="1"/>
  <c r="Q219" i="94" s="1"/>
  <c r="Q220" i="94" a="1"/>
  <c r="Q220" i="94" s="1"/>
  <c r="Q221" i="94" a="1"/>
  <c r="Q221" i="94" s="1"/>
  <c r="Q222" i="94" a="1"/>
  <c r="Q222" i="94" s="1"/>
  <c r="Q223" i="94" a="1"/>
  <c r="Q223" i="94" s="1"/>
  <c r="Q224" i="94" a="1"/>
  <c r="Q224" i="94" s="1"/>
  <c r="Q225" i="94" a="1"/>
  <c r="Q225" i="94" s="1"/>
  <c r="Q226" i="94" a="1"/>
  <c r="Q226" i="94" s="1"/>
  <c r="Q227" i="94" a="1"/>
  <c r="Q227" i="94" s="1"/>
  <c r="Q228" i="94" a="1"/>
  <c r="Q228" i="94" s="1"/>
  <c r="Q229" i="94" a="1"/>
  <c r="Q229" i="94" s="1"/>
  <c r="Q230" i="94" a="1"/>
  <c r="Q230" i="94" s="1"/>
  <c r="Q231" i="94" a="1"/>
  <c r="Q231" i="94" s="1"/>
  <c r="Q232" i="94" a="1"/>
  <c r="Q232" i="94" s="1"/>
  <c r="Q233" i="94" a="1"/>
  <c r="Q233" i="94" s="1"/>
  <c r="Q234" i="94" a="1"/>
  <c r="Q234" i="94" s="1"/>
  <c r="Q235" i="94" a="1"/>
  <c r="Q235" i="94" s="1"/>
  <c r="Q236" i="94" a="1"/>
  <c r="Q236" i="94" s="1"/>
  <c r="Q237" i="94" a="1"/>
  <c r="Q237" i="94" s="1"/>
  <c r="Q238" i="94" a="1"/>
  <c r="Q238" i="94" s="1"/>
  <c r="Q239" i="94" a="1"/>
  <c r="Q239" i="94" s="1"/>
  <c r="Q240" i="94" a="1"/>
  <c r="Q240" i="94" s="1"/>
  <c r="Q241" i="94" a="1"/>
  <c r="Q241" i="94" s="1"/>
  <c r="Q242" i="94" a="1"/>
  <c r="Q242" i="94" s="1"/>
  <c r="Q243" i="94" a="1"/>
  <c r="Q243" i="94" s="1"/>
  <c r="Q244" i="94" a="1"/>
  <c r="Q244" i="94" s="1"/>
  <c r="Q245" i="94" a="1"/>
  <c r="Q245" i="94" s="1"/>
  <c r="Q246" i="94" a="1"/>
  <c r="Q246" i="94" s="1"/>
  <c r="Q247" i="94" a="1"/>
  <c r="Q247" i="94" s="1"/>
  <c r="Q248" i="94" a="1"/>
  <c r="Q248" i="94" s="1"/>
  <c r="Q249" i="94" a="1"/>
  <c r="Q249" i="94" s="1"/>
  <c r="Q250" i="94" a="1"/>
  <c r="Q250" i="94" s="1"/>
  <c r="Q251" i="94" a="1"/>
  <c r="Q251" i="94" s="1"/>
  <c r="Q252" i="94" a="1"/>
  <c r="Q252" i="94" s="1"/>
  <c r="Q253" i="94" a="1"/>
  <c r="Q253" i="94" s="1"/>
  <c r="Q254" i="94" a="1"/>
  <c r="Q254" i="94" s="1"/>
  <c r="Q255" i="94" a="1"/>
  <c r="Q255" i="94" s="1"/>
  <c r="Q256" i="94" a="1"/>
  <c r="Q256" i="94" s="1"/>
  <c r="Q257" i="94" a="1"/>
  <c r="Q257" i="94" s="1"/>
  <c r="Q258" i="94" a="1"/>
  <c r="Q258" i="94" s="1"/>
  <c r="Q259" i="94" a="1"/>
  <c r="Q259" i="94" s="1"/>
  <c r="Q260" i="94" a="1"/>
  <c r="Q260" i="94" s="1"/>
  <c r="Q261" i="94" a="1"/>
  <c r="Q261" i="94" s="1"/>
  <c r="Q262" i="94" a="1"/>
  <c r="Q262" i="94" s="1"/>
  <c r="Q263" i="94" a="1"/>
  <c r="Q263" i="94" s="1"/>
  <c r="Q264" i="94" a="1"/>
  <c r="Q264" i="94" s="1"/>
  <c r="Q265" i="94" a="1"/>
  <c r="Q265" i="94" s="1"/>
  <c r="Q266" i="94" a="1"/>
  <c r="Q266" i="94" s="1"/>
  <c r="Q267" i="94" a="1"/>
  <c r="Q267" i="94" s="1"/>
  <c r="Q268" i="94" a="1"/>
  <c r="Q268" i="94" s="1"/>
  <c r="Q269" i="94" a="1"/>
  <c r="Q269" i="94" s="1"/>
  <c r="Q270" i="94" a="1"/>
  <c r="Q270" i="94" s="1"/>
  <c r="Q271" i="94" a="1"/>
  <c r="Q271" i="94" s="1"/>
  <c r="Q272" i="94" a="1"/>
  <c r="Q272" i="94" s="1"/>
  <c r="Q273" i="94" a="1"/>
  <c r="Q273" i="94" s="1"/>
  <c r="Q274" i="94" a="1"/>
  <c r="Q274" i="94" s="1"/>
  <c r="Q275" i="94" a="1"/>
  <c r="Q275" i="94" s="1"/>
  <c r="Q276" i="94" a="1"/>
  <c r="Q276" i="94" s="1"/>
  <c r="Q277" i="94" a="1"/>
  <c r="Q277" i="94" s="1"/>
  <c r="Q278" i="94" a="1"/>
  <c r="Q278" i="94" s="1"/>
  <c r="Q279" i="94" a="1"/>
  <c r="Q279" i="94" s="1"/>
  <c r="Q280" i="94" a="1"/>
  <c r="Q280" i="94" s="1"/>
  <c r="Q281" i="94" a="1"/>
  <c r="Q281" i="94" s="1"/>
  <c r="Q282" i="94" a="1"/>
  <c r="Q282" i="94" s="1"/>
  <c r="Q283" i="94" a="1"/>
  <c r="Q283" i="94" s="1"/>
  <c r="Q284" i="94" a="1"/>
  <c r="Q284" i="94" s="1"/>
  <c r="Q285" i="94" a="1"/>
  <c r="Q285" i="94" s="1"/>
  <c r="Q286" i="94" a="1"/>
  <c r="Q286" i="94" s="1"/>
  <c r="Q287" i="94" a="1"/>
  <c r="Q287" i="94" s="1"/>
  <c r="Q288" i="94" a="1"/>
  <c r="Q288" i="94" s="1"/>
  <c r="Q289" i="94" a="1"/>
  <c r="Q289" i="94" s="1"/>
  <c r="Q290" i="94" a="1"/>
  <c r="Q290" i="94" s="1"/>
  <c r="Q291" i="94" a="1"/>
  <c r="Q291" i="94" s="1"/>
  <c r="Q292" i="94" a="1"/>
  <c r="Q292" i="94" s="1"/>
  <c r="Q293" i="94" a="1"/>
  <c r="Q293" i="94" s="1"/>
  <c r="Q294" i="94" a="1"/>
  <c r="Q294" i="94" s="1"/>
  <c r="Q295" i="94" a="1"/>
  <c r="Q295" i="94" s="1"/>
  <c r="Q296" i="94" a="1"/>
  <c r="Q296" i="94" s="1"/>
  <c r="Q297" i="94" a="1"/>
  <c r="Q297" i="94" s="1"/>
  <c r="Q298" i="94" a="1"/>
  <c r="Q298" i="94" s="1"/>
  <c r="Q299" i="94" a="1"/>
  <c r="Q299" i="94" s="1"/>
  <c r="Q300" i="94" a="1"/>
  <c r="Q300" i="94" s="1"/>
  <c r="Q301" i="94" a="1"/>
  <c r="Q301" i="94" s="1"/>
  <c r="Q302" i="94" a="1"/>
  <c r="Q302" i="94" s="1"/>
  <c r="Q303" i="94" a="1"/>
  <c r="Q303" i="94" s="1"/>
  <c r="Q304" i="94" a="1"/>
  <c r="Q304" i="94" s="1"/>
  <c r="Q305" i="94" a="1"/>
  <c r="Q305" i="94" s="1"/>
  <c r="Q306" i="94" a="1"/>
  <c r="Q306" i="94" s="1"/>
  <c r="Q307" i="94" a="1"/>
  <c r="Q307" i="94" s="1"/>
  <c r="Q308" i="94" a="1"/>
  <c r="Q308" i="94" s="1"/>
  <c r="Q309" i="94" a="1"/>
  <c r="Q309" i="94" s="1"/>
  <c r="Q310" i="94" a="1"/>
  <c r="Q310" i="94" s="1"/>
  <c r="Q311" i="94" a="1"/>
  <c r="Q311" i="94" s="1"/>
  <c r="Q312" i="94" a="1"/>
  <c r="Q312" i="94" s="1"/>
  <c r="Q313" i="94" a="1"/>
  <c r="Q313" i="94" s="1"/>
  <c r="Q314" i="94" a="1"/>
  <c r="Q314" i="94" s="1"/>
  <c r="Q315" i="94" a="1"/>
  <c r="Q315" i="94" s="1"/>
  <c r="Q316" i="94" a="1"/>
  <c r="Q316" i="94" s="1"/>
  <c r="Q317" i="94" a="1"/>
  <c r="Q317" i="94" s="1"/>
  <c r="Q318" i="94" a="1"/>
  <c r="Q318" i="94" s="1"/>
  <c r="Q319" i="94" a="1"/>
  <c r="Q319" i="94" s="1"/>
  <c r="Q320" i="94" a="1"/>
  <c r="Q320" i="94" s="1"/>
  <c r="Q321" i="94" a="1"/>
  <c r="Q321" i="94" s="1"/>
  <c r="Q322" i="94" a="1"/>
  <c r="Q322" i="94" s="1"/>
  <c r="Q323" i="94" a="1"/>
  <c r="Q323" i="94" s="1"/>
  <c r="Q324" i="94" a="1"/>
  <c r="Q324" i="94" s="1"/>
  <c r="Q325" i="94" a="1"/>
  <c r="Q325" i="94" s="1"/>
  <c r="Q326" i="94" a="1"/>
  <c r="Q326" i="94" s="1"/>
  <c r="Q327" i="94" a="1"/>
  <c r="Q327" i="94" s="1"/>
  <c r="Q328" i="94" a="1"/>
  <c r="Q328" i="94" s="1"/>
  <c r="Q329" i="94" a="1"/>
  <c r="Q329" i="94" s="1"/>
  <c r="Q330" i="94" a="1"/>
  <c r="Q330" i="94" s="1"/>
  <c r="Q331" i="94" a="1"/>
  <c r="Q331" i="94" s="1"/>
  <c r="Q332" i="94" a="1"/>
  <c r="Q332" i="94" s="1"/>
  <c r="Q333" i="94" a="1"/>
  <c r="Q333" i="94" s="1"/>
  <c r="Q334" i="94" a="1"/>
  <c r="Q334" i="94" s="1"/>
  <c r="Q335" i="94" a="1"/>
  <c r="Q335" i="94" s="1"/>
  <c r="Q336" i="94" a="1"/>
  <c r="Q336" i="94" s="1"/>
  <c r="Q337" i="94" a="1"/>
  <c r="Q337" i="94" s="1"/>
  <c r="Q338" i="94" a="1"/>
  <c r="Q338" i="94" s="1"/>
  <c r="AA7" i="94" a="1"/>
  <c r="AA7" i="94" s="1"/>
  <c r="AA8" i="94" a="1"/>
  <c r="AA8" i="94" s="1"/>
  <c r="AA9" i="94" a="1"/>
  <c r="AA9" i="94" s="1"/>
  <c r="AA10" i="94" a="1"/>
  <c r="AA10" i="94" s="1"/>
  <c r="AA11" i="94" a="1"/>
  <c r="AA11" i="94" s="1"/>
  <c r="AA12" i="94" a="1"/>
  <c r="AA12" i="94" s="1"/>
  <c r="AA13" i="94" a="1"/>
  <c r="AA13" i="94" s="1"/>
  <c r="AA14" i="94" a="1"/>
  <c r="AA14" i="94" s="1"/>
  <c r="AA15" i="94" a="1"/>
  <c r="AA15" i="94" s="1"/>
  <c r="AA16" i="94" a="1"/>
  <c r="AA16" i="94" s="1"/>
  <c r="AA17" i="94" a="1"/>
  <c r="AA17" i="94" s="1"/>
  <c r="AA18" i="94" a="1"/>
  <c r="AA18" i="94" s="1"/>
  <c r="AA19" i="94" a="1"/>
  <c r="AA19" i="94" s="1"/>
  <c r="AA20" i="94" a="1"/>
  <c r="AA20" i="94" s="1"/>
  <c r="AA21" i="94" a="1"/>
  <c r="AA21" i="94" s="1"/>
  <c r="AA22" i="94" a="1"/>
  <c r="AA22" i="94" s="1"/>
  <c r="AA23" i="94" a="1"/>
  <c r="AA23" i="94" s="1"/>
  <c r="AA24" i="94" a="1"/>
  <c r="AA24" i="94" s="1"/>
  <c r="AA25" i="94" a="1"/>
  <c r="AA25" i="94" s="1"/>
  <c r="AA26" i="94" a="1"/>
  <c r="AA26" i="94" s="1"/>
  <c r="AA27" i="94" a="1"/>
  <c r="AA27" i="94" s="1"/>
  <c r="AA28" i="94" a="1"/>
  <c r="AA28" i="94" s="1"/>
  <c r="AA29" i="94" a="1"/>
  <c r="AA29" i="94" s="1"/>
  <c r="AA30" i="94" a="1"/>
  <c r="AA30" i="94" s="1"/>
  <c r="AA31" i="94" a="1"/>
  <c r="AA31" i="94" s="1"/>
  <c r="AA32" i="94" a="1"/>
  <c r="AA32" i="94" s="1"/>
  <c r="AA33" i="94" a="1"/>
  <c r="AA33" i="94" s="1"/>
  <c r="AA34" i="94" a="1"/>
  <c r="AA34" i="94" s="1"/>
  <c r="AA35" i="94" a="1"/>
  <c r="AA35" i="94" s="1"/>
  <c r="AA36" i="94" a="1"/>
  <c r="AA36" i="94" s="1"/>
  <c r="AA37" i="94" a="1"/>
  <c r="AA37" i="94" s="1"/>
  <c r="AA38" i="94" a="1"/>
  <c r="AA38" i="94" s="1"/>
  <c r="AA39" i="94" a="1"/>
  <c r="AA39" i="94" s="1"/>
  <c r="AA40" i="94" a="1"/>
  <c r="AA40" i="94" s="1"/>
  <c r="AA41" i="94" a="1"/>
  <c r="AA41" i="94" s="1"/>
  <c r="AA42" i="94" a="1"/>
  <c r="AA42" i="94" s="1"/>
  <c r="AA43" i="94" a="1"/>
  <c r="AA43" i="94" s="1"/>
  <c r="AA44" i="94" a="1"/>
  <c r="AA44" i="94" s="1"/>
  <c r="AA45" i="94" a="1"/>
  <c r="AA45" i="94" s="1"/>
  <c r="AA46" i="94" a="1"/>
  <c r="AA46" i="94" s="1"/>
  <c r="AA47" i="94" a="1"/>
  <c r="AA47" i="94" s="1"/>
  <c r="AA48" i="94" a="1"/>
  <c r="AA48" i="94" s="1"/>
  <c r="AA49" i="94" a="1"/>
  <c r="AA49" i="94" s="1"/>
  <c r="AA50" i="94" a="1"/>
  <c r="AA50" i="94" s="1"/>
  <c r="AA51" i="94" a="1"/>
  <c r="AA51" i="94" s="1"/>
  <c r="AA52" i="94" a="1"/>
  <c r="AA52" i="94" s="1"/>
  <c r="AA53" i="94" a="1"/>
  <c r="AA53" i="94" s="1"/>
  <c r="AA54" i="94" a="1"/>
  <c r="AA54" i="94" s="1"/>
  <c r="AA55" i="94" a="1"/>
  <c r="AA55" i="94" s="1"/>
  <c r="AA56" i="94" a="1"/>
  <c r="AA56" i="94" s="1"/>
  <c r="AA57" i="94" a="1"/>
  <c r="AA57" i="94" s="1"/>
  <c r="AA58" i="94" a="1"/>
  <c r="AA58" i="94" s="1"/>
  <c r="AA59" i="94" a="1"/>
  <c r="AA59" i="94" s="1"/>
  <c r="AA60" i="94" a="1"/>
  <c r="AA60" i="94" s="1"/>
  <c r="AA61" i="94" a="1"/>
  <c r="AA61" i="94" s="1"/>
  <c r="AA62" i="94" a="1"/>
  <c r="AA62" i="94" s="1"/>
  <c r="AA63" i="94" a="1"/>
  <c r="AA63" i="94" s="1"/>
  <c r="AA64" i="94" a="1"/>
  <c r="AA64" i="94" s="1"/>
  <c r="AA65" i="94" a="1"/>
  <c r="AA65" i="94" s="1"/>
  <c r="AA66" i="94" a="1"/>
  <c r="AA66" i="94" s="1"/>
  <c r="AA67" i="94" a="1"/>
  <c r="AA67" i="94" s="1"/>
  <c r="AA68" i="94" a="1"/>
  <c r="AA68" i="94" s="1"/>
  <c r="AA69" i="94" a="1"/>
  <c r="AA69" i="94" s="1"/>
  <c r="AA70" i="94" a="1"/>
  <c r="AA70" i="94" s="1"/>
  <c r="AA71" i="94" a="1"/>
  <c r="AA71" i="94" s="1"/>
  <c r="AA72" i="94" a="1"/>
  <c r="AA72" i="94" s="1"/>
  <c r="AA73" i="94" a="1"/>
  <c r="AA73" i="94" s="1"/>
  <c r="AA74" i="94" a="1"/>
  <c r="AA74" i="94" s="1"/>
  <c r="AA75" i="94" a="1"/>
  <c r="AA75" i="94" s="1"/>
  <c r="AA76" i="94" a="1"/>
  <c r="AA76" i="94" s="1"/>
  <c r="AA77" i="94" a="1"/>
  <c r="AA77" i="94" s="1"/>
  <c r="AA78" i="94" a="1"/>
  <c r="AA78" i="94" s="1"/>
  <c r="AA79" i="94" a="1"/>
  <c r="AA79" i="94" s="1"/>
  <c r="AA80" i="94" a="1"/>
  <c r="AA80" i="94" s="1"/>
  <c r="AA81" i="94" a="1"/>
  <c r="AA81" i="94" s="1"/>
  <c r="AA82" i="94" a="1"/>
  <c r="AA82" i="94" s="1"/>
  <c r="AA83" i="94" a="1"/>
  <c r="AA83" i="94" s="1"/>
  <c r="AA84" i="94" a="1"/>
  <c r="AA84" i="94" s="1"/>
  <c r="AA85" i="94" a="1"/>
  <c r="AA85" i="94" s="1"/>
  <c r="AA86" i="94" a="1"/>
  <c r="AA86" i="94" s="1"/>
  <c r="AA87" i="94" a="1"/>
  <c r="AA87" i="94" s="1"/>
  <c r="AA88" i="94" a="1"/>
  <c r="AA88" i="94" s="1"/>
  <c r="AA89" i="94" a="1"/>
  <c r="AA89" i="94" s="1"/>
  <c r="AA90" i="94" a="1"/>
  <c r="AA90" i="94" s="1"/>
  <c r="AA91" i="94" a="1"/>
  <c r="AA91" i="94" s="1"/>
  <c r="AA92" i="94" a="1"/>
  <c r="AA92" i="94" s="1"/>
  <c r="AA93" i="94" a="1"/>
  <c r="AA93" i="94" s="1"/>
  <c r="AA94" i="94" a="1"/>
  <c r="AA94" i="94" s="1"/>
  <c r="AA95" i="94" a="1"/>
  <c r="AA95" i="94" s="1"/>
  <c r="AA96" i="94" a="1"/>
  <c r="AA96" i="94" s="1"/>
  <c r="AA97" i="94" a="1"/>
  <c r="AA97" i="94" s="1"/>
  <c r="AA98" i="94" a="1"/>
  <c r="AA98" i="94" s="1"/>
  <c r="AA99" i="94" a="1"/>
  <c r="AA99" i="94" s="1"/>
  <c r="AA100" i="94" a="1"/>
  <c r="AA100" i="94" s="1"/>
  <c r="AA101" i="94" a="1"/>
  <c r="AA101" i="94" s="1"/>
  <c r="AA102" i="94" a="1"/>
  <c r="AA102" i="94" s="1"/>
  <c r="AA103" i="94" a="1"/>
  <c r="AA103" i="94" s="1"/>
  <c r="AA104" i="94" a="1"/>
  <c r="AA104" i="94" s="1"/>
  <c r="AA105" i="94" a="1"/>
  <c r="AA105" i="94" s="1"/>
  <c r="AA106" i="94" a="1"/>
  <c r="AA106" i="94" s="1"/>
  <c r="AA107" i="94" a="1"/>
  <c r="AA107" i="94" s="1"/>
  <c r="AA108" i="94" a="1"/>
  <c r="AA108" i="94" s="1"/>
  <c r="AA109" i="94" a="1"/>
  <c r="AA109" i="94" s="1"/>
  <c r="AA110" i="94" a="1"/>
  <c r="AA110" i="94" s="1"/>
  <c r="AA111" i="94" a="1"/>
  <c r="AA111" i="94" s="1"/>
  <c r="AA112" i="94" a="1"/>
  <c r="AA112" i="94" s="1"/>
  <c r="AA113" i="94" a="1"/>
  <c r="AA113" i="94" s="1"/>
  <c r="AA114" i="94" a="1"/>
  <c r="AA114" i="94" s="1"/>
  <c r="AA115" i="94" a="1"/>
  <c r="AA115" i="94" s="1"/>
  <c r="AA116" i="94" a="1"/>
  <c r="AA116" i="94" s="1"/>
  <c r="AA117" i="94" a="1"/>
  <c r="AA117" i="94" s="1"/>
  <c r="AA118" i="94" a="1"/>
  <c r="AA118" i="94" s="1"/>
  <c r="AA119" i="94" a="1"/>
  <c r="AA119" i="94" s="1"/>
  <c r="AA120" i="94" a="1"/>
  <c r="AA120" i="94" s="1"/>
  <c r="AA121" i="94" a="1"/>
  <c r="AA121" i="94" s="1"/>
  <c r="AA122" i="94" a="1"/>
  <c r="AA122" i="94" s="1"/>
  <c r="AA123" i="94" a="1"/>
  <c r="AA123" i="94" s="1"/>
  <c r="AA124" i="94" a="1"/>
  <c r="AA124" i="94" s="1"/>
  <c r="AA125" i="94" a="1"/>
  <c r="AA125" i="94" s="1"/>
  <c r="AA126" i="94" a="1"/>
  <c r="AA126" i="94" s="1"/>
  <c r="AA127" i="94" a="1"/>
  <c r="AA127" i="94" s="1"/>
  <c r="AA128" i="94" a="1"/>
  <c r="AA128" i="94" s="1"/>
  <c r="AA129" i="94" a="1"/>
  <c r="AA129" i="94" s="1"/>
  <c r="AA130" i="94" a="1"/>
  <c r="AA130" i="94" s="1"/>
  <c r="AA131" i="94" a="1"/>
  <c r="AA131" i="94" s="1"/>
  <c r="AA132" i="94" a="1"/>
  <c r="AA132" i="94" s="1"/>
  <c r="AA133" i="94" a="1"/>
  <c r="AA133" i="94" s="1"/>
  <c r="AA134" i="94" a="1"/>
  <c r="AA134" i="94" s="1"/>
  <c r="AA135" i="94" a="1"/>
  <c r="AA135" i="94" s="1"/>
  <c r="AA136" i="94" a="1"/>
  <c r="AA136" i="94" s="1"/>
  <c r="AA137" i="94" a="1"/>
  <c r="AA137" i="94" s="1"/>
  <c r="AA138" i="94" a="1"/>
  <c r="AA138" i="94" s="1"/>
  <c r="AA139" i="94" a="1"/>
  <c r="AA139" i="94" s="1"/>
  <c r="AA140" i="94" a="1"/>
  <c r="AA140" i="94" s="1"/>
  <c r="AA141" i="94" a="1"/>
  <c r="AA141" i="94" s="1"/>
  <c r="AA142" i="94" a="1"/>
  <c r="AA142" i="94" s="1"/>
  <c r="AA143" i="94" a="1"/>
  <c r="AA143" i="94" s="1"/>
  <c r="AA144" i="94" a="1"/>
  <c r="AA144" i="94" s="1"/>
  <c r="AA145" i="94" a="1"/>
  <c r="AA145" i="94" s="1"/>
  <c r="AA146" i="94" a="1"/>
  <c r="AA146" i="94" s="1"/>
  <c r="AA147" i="94" a="1"/>
  <c r="AA147" i="94" s="1"/>
  <c r="AA148" i="94" a="1"/>
  <c r="AA148" i="94" s="1"/>
  <c r="AA149" i="94" a="1"/>
  <c r="AA149" i="94" s="1"/>
  <c r="AA150" i="94" a="1"/>
  <c r="AA150" i="94" s="1"/>
  <c r="AA151" i="94" a="1"/>
  <c r="AA151" i="94" s="1"/>
  <c r="AA152" i="94" a="1"/>
  <c r="AA152" i="94" s="1"/>
  <c r="AA153" i="94" a="1"/>
  <c r="AA153" i="94" s="1"/>
  <c r="AA154" i="94" a="1"/>
  <c r="AA154" i="94" s="1"/>
  <c r="AA155" i="94" a="1"/>
  <c r="AA155" i="94" s="1"/>
  <c r="AA156" i="94" a="1"/>
  <c r="AA156" i="94" s="1"/>
  <c r="AA157" i="94" a="1"/>
  <c r="AA157" i="94" s="1"/>
  <c r="AA158" i="94" a="1"/>
  <c r="AA158" i="94" s="1"/>
  <c r="AA159" i="94" a="1"/>
  <c r="AA159" i="94" s="1"/>
  <c r="AA160" i="94" a="1"/>
  <c r="AA160" i="94" s="1"/>
  <c r="AA161" i="94" a="1"/>
  <c r="AA161" i="94" s="1"/>
  <c r="AA162" i="94" a="1"/>
  <c r="AA162" i="94" s="1"/>
  <c r="AA163" i="94" a="1"/>
  <c r="AA163" i="94" s="1"/>
  <c r="AA164" i="94" a="1"/>
  <c r="AA164" i="94" s="1"/>
  <c r="AA165" i="94" a="1"/>
  <c r="AA165" i="94" s="1"/>
  <c r="AA166" i="94" a="1"/>
  <c r="AA166" i="94" s="1"/>
  <c r="AA167" i="94" a="1"/>
  <c r="AA167" i="94" s="1"/>
  <c r="AA168" i="94" a="1"/>
  <c r="AA168" i="94" s="1"/>
  <c r="AA169" i="94" a="1"/>
  <c r="AA169" i="94" s="1"/>
  <c r="AA170" i="94" a="1"/>
  <c r="AA170" i="94" s="1"/>
  <c r="AA171" i="94" a="1"/>
  <c r="AA171" i="94" s="1"/>
  <c r="AA172" i="94" a="1"/>
  <c r="AA172" i="94" s="1"/>
  <c r="AA173" i="94" a="1"/>
  <c r="AA173" i="94" s="1"/>
  <c r="AA174" i="94" a="1"/>
  <c r="AA174" i="94" s="1"/>
  <c r="AA175" i="94" a="1"/>
  <c r="AA175" i="94" s="1"/>
  <c r="AA176" i="94" a="1"/>
  <c r="AA176" i="94" s="1"/>
  <c r="AA177" i="94" a="1"/>
  <c r="AA177" i="94" s="1"/>
  <c r="AA178" i="94" a="1"/>
  <c r="AA178" i="94" s="1"/>
  <c r="AA179" i="94" a="1"/>
  <c r="AA179" i="94" s="1"/>
  <c r="AA180" i="94" a="1"/>
  <c r="AA180" i="94" s="1"/>
  <c r="AA181" i="94" a="1"/>
  <c r="AA181" i="94" s="1"/>
  <c r="AA182" i="94" a="1"/>
  <c r="AA182" i="94" s="1"/>
  <c r="AA183" i="94" a="1"/>
  <c r="AA183" i="94" s="1"/>
  <c r="AA184" i="94" a="1"/>
  <c r="AA184" i="94" s="1"/>
  <c r="AA185" i="94" a="1"/>
  <c r="AA185" i="94" s="1"/>
  <c r="AA186" i="94" a="1"/>
  <c r="AA186" i="94" s="1"/>
  <c r="AA187" i="94" a="1"/>
  <c r="AA187" i="94" s="1"/>
  <c r="AA188" i="94" a="1"/>
  <c r="AA188" i="94" s="1"/>
  <c r="AA189" i="94" a="1"/>
  <c r="AA189" i="94" s="1"/>
  <c r="AA190" i="94" a="1"/>
  <c r="AA190" i="94" s="1"/>
  <c r="AA191" i="94" a="1"/>
  <c r="AA191" i="94" s="1"/>
  <c r="AA192" i="94" a="1"/>
  <c r="AA192" i="94" s="1"/>
  <c r="AA193" i="94" a="1"/>
  <c r="AA193" i="94" s="1"/>
  <c r="AA194" i="94" a="1"/>
  <c r="AA194" i="94" s="1"/>
  <c r="AA195" i="94" a="1"/>
  <c r="AA195" i="94" s="1"/>
  <c r="AA196" i="94" a="1"/>
  <c r="AA196" i="94" s="1"/>
  <c r="AA197" i="94" a="1"/>
  <c r="AA197" i="94" s="1"/>
  <c r="AA198" i="94" a="1"/>
  <c r="AA198" i="94" s="1"/>
  <c r="AA199" i="94" a="1"/>
  <c r="AA199" i="94" s="1"/>
  <c r="AA200" i="94" a="1"/>
  <c r="AA200" i="94" s="1"/>
  <c r="AA201" i="94" a="1"/>
  <c r="AA201" i="94" s="1"/>
  <c r="AA202" i="94" a="1"/>
  <c r="AA202" i="94" s="1"/>
  <c r="AA203" i="94" a="1"/>
  <c r="AA203" i="94" s="1"/>
  <c r="AA204" i="94" a="1"/>
  <c r="AA204" i="94" s="1"/>
  <c r="AA205" i="94" a="1"/>
  <c r="AA205" i="94" s="1"/>
  <c r="AA206" i="94" a="1"/>
  <c r="AA206" i="94" s="1"/>
  <c r="AA207" i="94" a="1"/>
  <c r="AA207" i="94" s="1"/>
  <c r="AA208" i="94" a="1"/>
  <c r="AA208" i="94" s="1"/>
  <c r="AA209" i="94" a="1"/>
  <c r="AA209" i="94" s="1"/>
  <c r="AA210" i="94" a="1"/>
  <c r="AA210" i="94" s="1"/>
  <c r="AA211" i="94" a="1"/>
  <c r="AA211" i="94" s="1"/>
  <c r="AA212" i="94" a="1"/>
  <c r="AA212" i="94" s="1"/>
  <c r="AA213" i="94" a="1"/>
  <c r="AA213" i="94" s="1"/>
  <c r="AA214" i="94" a="1"/>
  <c r="AA214" i="94" s="1"/>
  <c r="AA215" i="94" a="1"/>
  <c r="AA215" i="94" s="1"/>
  <c r="AA216" i="94" a="1"/>
  <c r="AA216" i="94" s="1"/>
  <c r="AA217" i="94" a="1"/>
  <c r="AA217" i="94" s="1"/>
  <c r="AA218" i="94" a="1"/>
  <c r="AA218" i="94" s="1"/>
  <c r="AA219" i="94" a="1"/>
  <c r="AA219" i="94" s="1"/>
  <c r="AA220" i="94" a="1"/>
  <c r="AA220" i="94" s="1"/>
  <c r="AA221" i="94" a="1"/>
  <c r="AA221" i="94" s="1"/>
  <c r="AA222" i="94" a="1"/>
  <c r="AA222" i="94" s="1"/>
  <c r="AA223" i="94" a="1"/>
  <c r="AA223" i="94" s="1"/>
  <c r="AA224" i="94" a="1"/>
  <c r="AA224" i="94" s="1"/>
  <c r="AA225" i="94" a="1"/>
  <c r="AA225" i="94" s="1"/>
  <c r="AA226" i="94" a="1"/>
  <c r="AA226" i="94" s="1"/>
  <c r="AA227" i="94" a="1"/>
  <c r="AA227" i="94" s="1"/>
  <c r="AA228" i="94" a="1"/>
  <c r="AA228" i="94" s="1"/>
  <c r="AA229" i="94" a="1"/>
  <c r="AA229" i="94" s="1"/>
  <c r="AA230" i="94" a="1"/>
  <c r="AA230" i="94" s="1"/>
  <c r="AA231" i="94" a="1"/>
  <c r="AA231" i="94" s="1"/>
  <c r="AA232" i="94" a="1"/>
  <c r="AA232" i="94" s="1"/>
  <c r="AA233" i="94" a="1"/>
  <c r="AA233" i="94" s="1"/>
  <c r="AA234" i="94" a="1"/>
  <c r="AA234" i="94" s="1"/>
  <c r="AA235" i="94" a="1"/>
  <c r="AA235" i="94" s="1"/>
  <c r="AA236" i="94" a="1"/>
  <c r="AA236" i="94" s="1"/>
  <c r="AA237" i="94" a="1"/>
  <c r="AA237" i="94" s="1"/>
  <c r="AA238" i="94" a="1"/>
  <c r="AA238" i="94" s="1"/>
  <c r="AA239" i="94" a="1"/>
  <c r="AA239" i="94" s="1"/>
  <c r="AA240" i="94" a="1"/>
  <c r="AA240" i="94" s="1"/>
  <c r="AA241" i="94" a="1"/>
  <c r="AA241" i="94" s="1"/>
  <c r="AA242" i="94" a="1"/>
  <c r="AA242" i="94" s="1"/>
  <c r="AA243" i="94" a="1"/>
  <c r="AA243" i="94" s="1"/>
  <c r="AA244" i="94" a="1"/>
  <c r="AA244" i="94" s="1"/>
  <c r="AA245" i="94" a="1"/>
  <c r="AA245" i="94" s="1"/>
  <c r="AA246" i="94" a="1"/>
  <c r="AA246" i="94" s="1"/>
  <c r="AA247" i="94" a="1"/>
  <c r="AA247" i="94" s="1"/>
  <c r="AA248" i="94" a="1"/>
  <c r="AA248" i="94" s="1"/>
  <c r="AA249" i="94" a="1"/>
  <c r="AA249" i="94" s="1"/>
  <c r="AA250" i="94" a="1"/>
  <c r="AA250" i="94" s="1"/>
  <c r="AA251" i="94" a="1"/>
  <c r="AA251" i="94" s="1"/>
  <c r="AA252" i="94" a="1"/>
  <c r="AA252" i="94" s="1"/>
  <c r="AA253" i="94" a="1"/>
  <c r="AA253" i="94" s="1"/>
  <c r="AA254" i="94" a="1"/>
  <c r="AA254" i="94" s="1"/>
  <c r="AA255" i="94" a="1"/>
  <c r="AA255" i="94" s="1"/>
  <c r="AA256" i="94" a="1"/>
  <c r="AA256" i="94" s="1"/>
  <c r="AA257" i="94" a="1"/>
  <c r="AA257" i="94" s="1"/>
  <c r="AA258" i="94" a="1"/>
  <c r="AA258" i="94" s="1"/>
  <c r="AA259" i="94" a="1"/>
  <c r="AA259" i="94" s="1"/>
  <c r="AA260" i="94" a="1"/>
  <c r="AA260" i="94" s="1"/>
  <c r="AA261" i="94" a="1"/>
  <c r="AA261" i="94" s="1"/>
  <c r="AA262" i="94" a="1"/>
  <c r="AA262" i="94" s="1"/>
  <c r="AA263" i="94" a="1"/>
  <c r="AA263" i="94" s="1"/>
  <c r="AA264" i="94" a="1"/>
  <c r="AA264" i="94" s="1"/>
  <c r="AA265" i="94" a="1"/>
  <c r="AA265" i="94" s="1"/>
  <c r="AA266" i="94" a="1"/>
  <c r="AA266" i="94" s="1"/>
  <c r="AA267" i="94" a="1"/>
  <c r="AA267" i="94" s="1"/>
  <c r="AA268" i="94" a="1"/>
  <c r="AA268" i="94" s="1"/>
  <c r="AA269" i="94" a="1"/>
  <c r="AA269" i="94" s="1"/>
  <c r="AA270" i="94" a="1"/>
  <c r="AA270" i="94" s="1"/>
  <c r="AA271" i="94" a="1"/>
  <c r="AA271" i="94" s="1"/>
  <c r="AA272" i="94" a="1"/>
  <c r="AA272" i="94" s="1"/>
  <c r="AA273" i="94" a="1"/>
  <c r="AA273" i="94" s="1"/>
  <c r="AA274" i="94" a="1"/>
  <c r="AA274" i="94" s="1"/>
  <c r="AA275" i="94" a="1"/>
  <c r="AA275" i="94" s="1"/>
  <c r="AA276" i="94" a="1"/>
  <c r="AA276" i="94" s="1"/>
  <c r="AA277" i="94" a="1"/>
  <c r="AA277" i="94" s="1"/>
  <c r="AA278" i="94" a="1"/>
  <c r="AA278" i="94" s="1"/>
  <c r="AA279" i="94" a="1"/>
  <c r="AA279" i="94" s="1"/>
  <c r="AA280" i="94" a="1"/>
  <c r="AA280" i="94" s="1"/>
  <c r="AA281" i="94" a="1"/>
  <c r="AA281" i="94" s="1"/>
  <c r="AA282" i="94" a="1"/>
  <c r="AA282" i="94" s="1"/>
  <c r="AA283" i="94" a="1"/>
  <c r="AA283" i="94" s="1"/>
  <c r="AA284" i="94" a="1"/>
  <c r="AA284" i="94" s="1"/>
  <c r="AA285" i="94" a="1"/>
  <c r="AA285" i="94" s="1"/>
  <c r="AA286" i="94" a="1"/>
  <c r="AA286" i="94" s="1"/>
  <c r="AA287" i="94" a="1"/>
  <c r="AA287" i="94" s="1"/>
  <c r="AA288" i="94" a="1"/>
  <c r="AA288" i="94" s="1"/>
  <c r="AA289" i="94" a="1"/>
  <c r="AA289" i="94" s="1"/>
  <c r="AA290" i="94" a="1"/>
  <c r="AA290" i="94" s="1"/>
  <c r="AA291" i="94" a="1"/>
  <c r="AA291" i="94" s="1"/>
  <c r="AA292" i="94" a="1"/>
  <c r="AA292" i="94" s="1"/>
  <c r="AA293" i="94" a="1"/>
  <c r="AA293" i="94" s="1"/>
  <c r="AA294" i="94" a="1"/>
  <c r="AA294" i="94" s="1"/>
  <c r="AA295" i="94" a="1"/>
  <c r="AA295" i="94" s="1"/>
  <c r="AA296" i="94" a="1"/>
  <c r="AA296" i="94" s="1"/>
  <c r="AA297" i="94" a="1"/>
  <c r="AA297" i="94" s="1"/>
  <c r="AA298" i="94" a="1"/>
  <c r="AA298" i="94" s="1"/>
  <c r="AA299" i="94" a="1"/>
  <c r="AA299" i="94" s="1"/>
  <c r="AA300" i="94" a="1"/>
  <c r="AA300" i="94" s="1"/>
  <c r="AA301" i="94" a="1"/>
  <c r="AA301" i="94" s="1"/>
  <c r="AA302" i="94" a="1"/>
  <c r="AA302" i="94" s="1"/>
  <c r="AA303" i="94" a="1"/>
  <c r="AA303" i="94" s="1"/>
  <c r="AA304" i="94" a="1"/>
  <c r="AA304" i="94" s="1"/>
  <c r="AA305" i="94" a="1"/>
  <c r="AA305" i="94" s="1"/>
  <c r="AA306" i="94" a="1"/>
  <c r="AA306" i="94" s="1"/>
  <c r="AA307" i="94" a="1"/>
  <c r="AA307" i="94" s="1"/>
  <c r="AA308" i="94" a="1"/>
  <c r="AA308" i="94" s="1"/>
  <c r="AA309" i="94" a="1"/>
  <c r="AA309" i="94" s="1"/>
  <c r="AA310" i="94" a="1"/>
  <c r="AA310" i="94" s="1"/>
  <c r="AA311" i="94" a="1"/>
  <c r="AA311" i="94" s="1"/>
  <c r="AA312" i="94" a="1"/>
  <c r="AA312" i="94" s="1"/>
  <c r="AA313" i="94" a="1"/>
  <c r="AA313" i="94" s="1"/>
  <c r="AA314" i="94" a="1"/>
  <c r="AA314" i="94" s="1"/>
  <c r="AA315" i="94" a="1"/>
  <c r="AA315" i="94" s="1"/>
  <c r="AA316" i="94" a="1"/>
  <c r="AA316" i="94" s="1"/>
  <c r="AA317" i="94" a="1"/>
  <c r="AA317" i="94" s="1"/>
  <c r="AA318" i="94" a="1"/>
  <c r="AA318" i="94" s="1"/>
  <c r="AA319" i="94" a="1"/>
  <c r="AA319" i="94" s="1"/>
  <c r="AA320" i="94" a="1"/>
  <c r="AA320" i="94" s="1"/>
  <c r="AA321" i="94" a="1"/>
  <c r="AA321" i="94" s="1"/>
  <c r="AA322" i="94" a="1"/>
  <c r="AA322" i="94" s="1"/>
  <c r="AA323" i="94" a="1"/>
  <c r="AA323" i="94" s="1"/>
  <c r="AA324" i="94" a="1"/>
  <c r="AA324" i="94" s="1"/>
  <c r="AA325" i="94" a="1"/>
  <c r="AA325" i="94" s="1"/>
  <c r="AA326" i="94" a="1"/>
  <c r="AA326" i="94" s="1"/>
  <c r="AA327" i="94" a="1"/>
  <c r="AA327" i="94" s="1"/>
  <c r="AA328" i="94" a="1"/>
  <c r="AA328" i="94" s="1"/>
  <c r="AA329" i="94" a="1"/>
  <c r="AA329" i="94" s="1"/>
  <c r="AA330" i="94" a="1"/>
  <c r="AA330" i="94" s="1"/>
  <c r="AA331" i="94" a="1"/>
  <c r="AA331" i="94" s="1"/>
  <c r="AA332" i="94" a="1"/>
  <c r="AA332" i="94" s="1"/>
  <c r="AA333" i="94" a="1"/>
  <c r="AA333" i="94" s="1"/>
  <c r="AA334" i="94" a="1"/>
  <c r="AA334" i="94" s="1"/>
  <c r="AA335" i="94" a="1"/>
  <c r="AA335" i="94" s="1"/>
  <c r="AA336" i="94" a="1"/>
  <c r="AA336" i="94" s="1"/>
  <c r="AA337" i="94" a="1"/>
  <c r="AA337" i="94" s="1"/>
  <c r="AA338" i="94" a="1"/>
  <c r="AA338" i="94" s="1"/>
  <c r="J209" i="96" a="1"/>
  <c r="K211" i="96" a="1"/>
  <c r="J177" i="96" a="1"/>
  <c r="J241" i="96" a="1"/>
  <c r="H170" i="96" a="1"/>
  <c r="I49" i="96" a="1"/>
  <c r="I16" i="96" a="1"/>
  <c r="I115" i="96" a="1"/>
  <c r="F118" i="96" a="1"/>
  <c r="G45" i="96" a="1"/>
  <c r="M248" i="96" a="1"/>
  <c r="E150" i="96" a="1"/>
  <c r="M282" i="96" a="1"/>
  <c r="F29" i="96" a="1"/>
  <c r="E63" i="96" a="1"/>
  <c r="K328" i="96" a="1"/>
  <c r="L83" i="96" a="1"/>
  <c r="K120" i="96" a="1"/>
  <c r="E270" i="96" a="1"/>
  <c r="J8" i="96" a="1"/>
  <c r="J13" i="96" a="1"/>
  <c r="E128" i="96" a="1"/>
  <c r="K231" i="96" a="1"/>
  <c r="I281" i="96" a="1"/>
  <c r="F20" i="96" a="1"/>
  <c r="L119" i="96" a="1"/>
  <c r="I318" i="96" a="1"/>
  <c r="K118" i="96" a="1"/>
  <c r="M245" i="96" a="1"/>
  <c r="H296" i="96" a="1"/>
  <c r="E42" i="96" a="1"/>
  <c r="K34" i="96" a="1"/>
  <c r="F323" i="96" a="1"/>
  <c r="G24" i="96" a="1"/>
  <c r="G100" i="96" a="1"/>
  <c r="F11" i="96" a="1"/>
  <c r="I224" i="96" a="1"/>
  <c r="L5" i="96" a="1"/>
  <c r="E71" i="96" a="1"/>
  <c r="G223" i="96" a="1"/>
  <c r="I195" i="96" a="1"/>
  <c r="G183" i="96" a="1"/>
  <c r="H288" i="96" a="1"/>
  <c r="K299" i="96" a="1"/>
  <c r="L114" i="96" a="1"/>
  <c r="E175" i="96" a="1"/>
  <c r="L193" i="96" a="1"/>
  <c r="L58" i="96" a="1"/>
  <c r="H8" i="96" a="1"/>
  <c r="M102" i="96" a="1"/>
  <c r="I21" i="96" a="1"/>
  <c r="G26" i="96" a="1"/>
  <c r="E323" i="96" a="1"/>
  <c r="M171" i="96" a="1"/>
  <c r="I185" i="96" a="1"/>
  <c r="L73" i="96" a="1"/>
  <c r="H255" i="96" a="1"/>
  <c r="I191" i="96" a="1"/>
  <c r="G314" i="96" a="1"/>
  <c r="F259" i="96" a="1"/>
  <c r="I327" i="96" a="1"/>
  <c r="J315" i="96" a="1"/>
  <c r="E142" i="96" a="1"/>
  <c r="I88" i="96" a="1"/>
  <c r="I175" i="96" a="1"/>
  <c r="I188" i="96" a="1"/>
  <c r="M297" i="96" a="1"/>
  <c r="M316" i="96" a="1"/>
  <c r="K234" i="96" a="1"/>
  <c r="E34" i="96" a="1"/>
  <c r="M78" i="96" a="1"/>
  <c r="J301" i="96" a="1"/>
  <c r="J199" i="96" a="1"/>
  <c r="F194" i="96" a="1"/>
  <c r="E303" i="96" a="1"/>
  <c r="M211" i="96" a="1"/>
  <c r="K241" i="96" a="1"/>
  <c r="K45" i="96" a="1"/>
  <c r="F45" i="96" a="1"/>
  <c r="I254" i="96" a="1"/>
  <c r="I172" i="96" a="1"/>
  <c r="E197" i="96" a="1"/>
  <c r="F249" i="96" a="1"/>
  <c r="F159" i="96" a="1"/>
  <c r="M292" i="96" a="1"/>
  <c r="M136" i="96" a="1"/>
  <c r="H67" i="96" a="1"/>
  <c r="E162" i="96" a="1"/>
  <c r="I223" i="96" a="1"/>
  <c r="F81" i="96" a="1"/>
  <c r="H135" i="96" a="1"/>
  <c r="H19" i="96" a="1"/>
  <c r="E228" i="96" a="1"/>
  <c r="G335" i="96" a="1"/>
  <c r="E57" i="96" a="1"/>
  <c r="H208" i="96" a="1"/>
  <c r="M68" i="96" a="1"/>
  <c r="H120" i="96" a="1"/>
  <c r="J5" i="96" a="1"/>
  <c r="F309" i="96" a="1"/>
  <c r="G165" i="96" a="1"/>
  <c r="J112" i="96" a="1"/>
  <c r="H100" i="96" a="1"/>
  <c r="L176" i="96" a="1"/>
  <c r="M107" i="96" a="1"/>
  <c r="J114" i="96" a="1"/>
  <c r="M156" i="96" a="1"/>
  <c r="I166" i="96" a="1"/>
  <c r="F103" i="96" a="1"/>
  <c r="K259" i="96" a="1"/>
  <c r="G219" i="96" a="1"/>
  <c r="M187" i="96" a="1"/>
  <c r="J273" i="96" a="1"/>
  <c r="E135" i="96" a="1"/>
  <c r="L90" i="96" a="1"/>
  <c r="J103" i="96" a="1"/>
  <c r="E178" i="96" a="1"/>
  <c r="G272" i="96" a="1"/>
  <c r="E163" i="96" a="1"/>
  <c r="E17" i="96" a="1"/>
  <c r="M309" i="96" a="1"/>
  <c r="K94" i="96" a="1"/>
  <c r="M167" i="96" a="1"/>
  <c r="G104" i="96" a="1"/>
  <c r="M223" i="96" a="1"/>
  <c r="K176" i="96" a="1"/>
  <c r="J50" i="96" a="1"/>
  <c r="E229" i="96" a="1"/>
  <c r="L271" i="96" a="1"/>
  <c r="M168" i="96" a="1"/>
  <c r="I221" i="96" a="1"/>
  <c r="M145" i="96" a="1"/>
  <c r="F9" i="96" a="1"/>
  <c r="L38" i="96" a="1"/>
  <c r="M298" i="96" a="1"/>
  <c r="I31" i="96" a="1"/>
  <c r="G194" i="96" a="1"/>
  <c r="H144" i="96" a="1"/>
  <c r="M61" i="96" a="1"/>
  <c r="H153" i="96" a="1"/>
  <c r="L214" i="96" a="1"/>
  <c r="H196" i="96" a="1"/>
  <c r="G197" i="96" a="1"/>
  <c r="J309" i="96" a="1"/>
  <c r="E297" i="96" a="1"/>
  <c r="K60" i="96" a="1"/>
  <c r="H56" i="96" a="1"/>
  <c r="J240" i="96" a="1"/>
  <c r="I118" i="96" a="1"/>
  <c r="L64" i="96" a="1"/>
  <c r="G127" i="96" a="1"/>
  <c r="E113" i="96" a="1"/>
  <c r="M110" i="96" a="1"/>
  <c r="H154" i="96" a="1"/>
  <c r="J227" i="96" a="1"/>
  <c r="L203" i="96" a="1"/>
  <c r="M178" i="96" a="1"/>
  <c r="I286" i="96" a="1"/>
  <c r="J40" i="96" a="1"/>
  <c r="K188" i="96" a="1"/>
  <c r="I297" i="96" a="1"/>
  <c r="F322" i="96" a="1"/>
  <c r="L219" i="96" a="1"/>
  <c r="H133" i="96" a="1"/>
  <c r="I256" i="96" a="1"/>
  <c r="M273" i="96" a="1"/>
  <c r="E115" i="96" a="1"/>
  <c r="I240" i="96" a="1"/>
  <c r="M169" i="96" a="1"/>
  <c r="G334" i="96" a="1"/>
  <c r="H227" i="96" a="1"/>
  <c r="G237" i="96" a="1"/>
  <c r="G158" i="96" a="1"/>
  <c r="H249" i="96" a="1"/>
  <c r="M6" i="96" a="1"/>
  <c r="G323" i="96" a="1"/>
  <c r="F106" i="96" a="1"/>
  <c r="M155" i="96" a="1"/>
  <c r="G285" i="96" a="1"/>
  <c r="L186" i="96" a="1"/>
  <c r="L150" i="96" a="1"/>
  <c r="H31" i="96" a="1"/>
  <c r="I247" i="96" a="1"/>
  <c r="F245" i="96" a="1"/>
  <c r="H54" i="96" a="1"/>
  <c r="L157" i="96" a="1"/>
  <c r="J307" i="96" a="1"/>
  <c r="I328" i="96" a="1"/>
  <c r="I56" i="96" a="1"/>
  <c r="F64" i="96" a="1"/>
  <c r="E24" i="96" a="1"/>
  <c r="E189" i="96" a="1"/>
  <c r="M289" i="96" a="1"/>
  <c r="F24" i="96" a="1"/>
  <c r="L108" i="96" a="1"/>
  <c r="E12" i="96" a="1"/>
  <c r="H171" i="96" a="1"/>
  <c r="L42" i="96" a="1"/>
  <c r="H199" i="96" a="1"/>
  <c r="M159" i="96" a="1"/>
  <c r="H329" i="96" a="1"/>
  <c r="H81" i="96" a="1"/>
  <c r="M308" i="96" a="1"/>
  <c r="F217" i="96" a="1"/>
  <c r="E331" i="96" a="1"/>
  <c r="J35" i="96" a="1"/>
  <c r="I299" i="96" a="1"/>
  <c r="G156" i="96" a="1"/>
  <c r="K273" i="96" a="1"/>
  <c r="M23" i="96" a="1"/>
  <c r="F220" i="96" a="1"/>
  <c r="E291" i="96" a="1"/>
  <c r="J59" i="96" a="1"/>
  <c r="J119" i="96" a="1"/>
  <c r="I230" i="96" a="1"/>
  <c r="J238" i="96" a="1"/>
  <c r="E90" i="96" a="1"/>
  <c r="L292" i="96" a="1"/>
  <c r="G42" i="96" a="1"/>
  <c r="M44" i="96" a="1"/>
  <c r="J225" i="96" a="1"/>
  <c r="H189" i="96" a="1"/>
  <c r="I25" i="96" a="1"/>
  <c r="K317" i="96" a="1"/>
  <c r="L233" i="96" a="1"/>
  <c r="J264" i="96" a="1"/>
  <c r="M22" i="96" a="1"/>
  <c r="I295" i="96" a="1"/>
  <c r="G2" i="96" a="1"/>
  <c r="G225" i="96" a="1"/>
  <c r="M194" i="96" a="1"/>
  <c r="M2" i="96" a="1"/>
  <c r="M319" i="96" a="1"/>
  <c r="M93" i="96" a="1"/>
  <c r="G46" i="96" a="1"/>
  <c r="M88" i="96" a="1"/>
  <c r="J283" i="96" a="1"/>
  <c r="M259" i="96" a="1"/>
  <c r="J106" i="96" a="1"/>
  <c r="J174" i="96" a="1"/>
  <c r="J226" i="96" a="1"/>
  <c r="G243" i="96" a="1"/>
  <c r="H212" i="96" a="1"/>
  <c r="F23" i="96" a="1"/>
  <c r="H97" i="96" a="1"/>
  <c r="G230" i="96" a="1"/>
  <c r="F181" i="96" a="1"/>
  <c r="I187" i="96" a="1"/>
  <c r="L36" i="96" a="1"/>
  <c r="F79" i="96" a="1"/>
  <c r="L280" i="96" a="1"/>
  <c r="I231" i="96" a="1"/>
  <c r="E66" i="96" a="1"/>
  <c r="F267" i="96" a="1"/>
  <c r="H18" i="96" a="1"/>
  <c r="I33" i="96" a="1"/>
  <c r="H136" i="96" a="1"/>
  <c r="G115" i="96" a="1"/>
  <c r="J118" i="96" a="1"/>
  <c r="H279" i="96" a="1"/>
  <c r="L131" i="96" a="1"/>
  <c r="G218" i="96" a="1"/>
  <c r="J168" i="96" a="1"/>
  <c r="G98" i="96" a="1"/>
  <c r="E253" i="96" a="1"/>
  <c r="J70" i="96" a="1"/>
  <c r="J299" i="96" a="1"/>
  <c r="I199" i="96" a="1"/>
  <c r="H151" i="96" a="1"/>
  <c r="J272" i="96" a="1"/>
  <c r="E3" i="96" a="1"/>
  <c r="E58" i="96" a="1"/>
  <c r="M210" i="96" a="1"/>
  <c r="L18" i="96" a="1"/>
  <c r="E180" i="96" a="1"/>
  <c r="M43" i="96" a="1"/>
  <c r="I15" i="96" a="1"/>
  <c r="I146" i="96" a="1"/>
  <c r="E117" i="96" a="1"/>
  <c r="J253" i="96" a="1"/>
  <c r="F317" i="96" a="1"/>
  <c r="L122" i="96" a="1"/>
  <c r="E25" i="96" a="1"/>
  <c r="E164" i="96" a="1"/>
  <c r="L299" i="96" a="1"/>
  <c r="L95" i="96" a="1"/>
  <c r="F214" i="96" a="1"/>
  <c r="F254" i="96" a="1"/>
  <c r="K51" i="96" a="1"/>
  <c r="L264" i="96" a="1"/>
  <c r="K146" i="96" a="1"/>
  <c r="L207" i="96" a="1"/>
  <c r="H277" i="96" a="1"/>
  <c r="E92" i="96" a="1"/>
  <c r="L159" i="96" a="1"/>
  <c r="J193" i="96" a="1"/>
  <c r="E174" i="96" a="1"/>
  <c r="I50" i="96" a="1"/>
  <c r="E239" i="96" a="1"/>
  <c r="J212" i="96" a="1"/>
  <c r="J287" i="96" a="1"/>
  <c r="M299" i="96" a="1"/>
  <c r="H190" i="96" a="1"/>
  <c r="M179" i="96" a="1"/>
  <c r="J231" i="96" a="1"/>
  <c r="J129" i="96" a="1"/>
  <c r="K203" i="96" a="1"/>
  <c r="I110" i="96" a="1"/>
  <c r="H286" i="96" a="1"/>
  <c r="K96" i="96" a="1"/>
  <c r="H96" i="96" a="1"/>
  <c r="I39" i="96" a="1"/>
  <c r="K83" i="96" a="1"/>
  <c r="J125" i="96" a="1"/>
  <c r="J53" i="96" a="1"/>
  <c r="H147" i="96" a="1"/>
  <c r="H148" i="96" a="1"/>
  <c r="L19" i="96" a="1"/>
  <c r="E11" i="96" a="1"/>
  <c r="J222" i="96" a="1"/>
  <c r="E244" i="96" a="1"/>
  <c r="L183" i="96" a="1"/>
  <c r="M4" i="96" a="1"/>
  <c r="E321" i="96" a="1"/>
  <c r="K76" i="96" a="1"/>
  <c r="H191" i="96" a="1"/>
  <c r="L140" i="96" a="1"/>
  <c r="L81" i="96" a="1"/>
  <c r="F228" i="96" a="1"/>
  <c r="F135" i="96" a="1"/>
  <c r="I83" i="96" a="1"/>
  <c r="F77" i="96" a="1"/>
  <c r="E266" i="96" a="1"/>
  <c r="M271" i="96" a="1"/>
  <c r="E181" i="96" a="1"/>
  <c r="H35" i="96" a="1"/>
  <c r="G38" i="96" a="1"/>
  <c r="F13" i="96" a="1"/>
  <c r="G327" i="96" a="1"/>
  <c r="F321" i="96" a="1"/>
  <c r="F180" i="96" a="1"/>
  <c r="K253" i="96" a="1"/>
  <c r="G66" i="96" a="1"/>
  <c r="E334" i="96" a="1"/>
  <c r="K30" i="96" a="1"/>
  <c r="E27" i="96" a="1"/>
  <c r="J151" i="96" a="1"/>
  <c r="M246" i="96" a="1"/>
  <c r="K201" i="96" a="1"/>
  <c r="L132" i="96" a="1"/>
  <c r="E79" i="96" a="1"/>
  <c r="F224" i="96" a="1"/>
  <c r="G171" i="96" a="1"/>
  <c r="E263" i="96" a="1"/>
  <c r="E50" i="96" a="1"/>
  <c r="G212" i="96" a="1"/>
  <c r="E73" i="96" a="1"/>
  <c r="F149" i="96" a="1"/>
  <c r="L123" i="96" a="1"/>
  <c r="W316" i="97" l="1" a="1"/>
  <c r="W316" i="97" s="1"/>
  <c r="X316" i="97" s="1"/>
  <c r="W325" i="97" a="1"/>
  <c r="W325" i="97" s="1"/>
  <c r="X325" i="97" s="1"/>
  <c r="W324" i="97" a="1"/>
  <c r="W324" i="97" s="1"/>
  <c r="X324" i="97" s="1"/>
  <c r="E303" i="96"/>
  <c r="M155" i="96"/>
  <c r="I327" i="96"/>
  <c r="L83" i="96"/>
  <c r="J283" i="96"/>
  <c r="G171" i="96"/>
  <c r="E79" i="96"/>
  <c r="L95" i="96"/>
  <c r="I223" i="96"/>
  <c r="H249" i="96"/>
  <c r="G327" i="96"/>
  <c r="E228" i="96"/>
  <c r="H277" i="96"/>
  <c r="G194" i="96"/>
  <c r="K328" i="96"/>
  <c r="M43" i="96"/>
  <c r="L233" i="96"/>
  <c r="K118" i="96"/>
  <c r="K51" i="96"/>
  <c r="E11" i="96"/>
  <c r="M223" i="96"/>
  <c r="L183" i="96"/>
  <c r="E115" i="96"/>
  <c r="H56" i="96"/>
  <c r="G335" i="96"/>
  <c r="L119" i="96"/>
  <c r="G26" i="96"/>
  <c r="M171" i="96"/>
  <c r="M248" i="96"/>
  <c r="E58" i="96"/>
  <c r="E90" i="96"/>
  <c r="F254" i="96"/>
  <c r="F259" i="96"/>
  <c r="K203" i="96"/>
  <c r="J264" i="96"/>
  <c r="J70" i="96"/>
  <c r="H96" i="96"/>
  <c r="I118" i="96"/>
  <c r="L122" i="96"/>
  <c r="J287" i="96"/>
  <c r="J272" i="96"/>
  <c r="K241" i="96"/>
  <c r="G223" i="96"/>
  <c r="H288" i="96"/>
  <c r="L131" i="96"/>
  <c r="H81" i="96"/>
  <c r="F322" i="96"/>
  <c r="E331" i="96"/>
  <c r="K299" i="96"/>
  <c r="K259" i="96"/>
  <c r="K188" i="96"/>
  <c r="I56" i="96"/>
  <c r="H279" i="96"/>
  <c r="K30" i="96"/>
  <c r="F245" i="96"/>
  <c r="H196" i="96"/>
  <c r="M145" i="96"/>
  <c r="M246" i="96"/>
  <c r="I230" i="96"/>
  <c r="H329" i="96"/>
  <c r="L299" i="96"/>
  <c r="J118" i="96"/>
  <c r="E321" i="96"/>
  <c r="I318" i="96"/>
  <c r="M292" i="96"/>
  <c r="J240" i="96"/>
  <c r="J253" i="96"/>
  <c r="F217" i="96"/>
  <c r="L19" i="96"/>
  <c r="J273" i="96"/>
  <c r="E253" i="96"/>
  <c r="I328" i="96"/>
  <c r="K76" i="96"/>
  <c r="E3" i="96"/>
  <c r="M282" i="96"/>
  <c r="J119" i="96"/>
  <c r="K211" i="96"/>
  <c r="J301" i="96"/>
  <c r="J50" i="96"/>
  <c r="M6" i="96"/>
  <c r="F13" i="96"/>
  <c r="M316" i="96"/>
  <c r="E117" i="96"/>
  <c r="L140" i="96"/>
  <c r="H18" i="96"/>
  <c r="E178" i="96"/>
  <c r="K60" i="96"/>
  <c r="J177" i="96"/>
  <c r="H191" i="96"/>
  <c r="G38" i="96"/>
  <c r="F118" i="96"/>
  <c r="M2" i="96"/>
  <c r="G158" i="96"/>
  <c r="F45" i="96"/>
  <c r="M88" i="96"/>
  <c r="G98" i="96"/>
  <c r="L271" i="96"/>
  <c r="H97" i="96"/>
  <c r="G45" i="96"/>
  <c r="J35" i="96"/>
  <c r="M136" i="96"/>
  <c r="J53" i="96"/>
  <c r="I191" i="96"/>
  <c r="E197" i="96"/>
  <c r="E175" i="96"/>
  <c r="E150" i="96"/>
  <c r="F77" i="96"/>
  <c r="E180" i="96"/>
  <c r="H190" i="96"/>
  <c r="M4" i="96"/>
  <c r="L193" i="96"/>
  <c r="F317" i="96"/>
  <c r="J112" i="96"/>
  <c r="K231" i="96"/>
  <c r="J231" i="96"/>
  <c r="H255" i="96"/>
  <c r="K34" i="96"/>
  <c r="J238" i="96"/>
  <c r="K96" i="96"/>
  <c r="E135" i="96"/>
  <c r="G104" i="96"/>
  <c r="E270" i="96"/>
  <c r="M271" i="96"/>
  <c r="I281" i="96"/>
  <c r="F323" i="96"/>
  <c r="I33" i="96"/>
  <c r="L73" i="96"/>
  <c r="H120" i="96"/>
  <c r="E263" i="96"/>
  <c r="J309" i="96"/>
  <c r="F220" i="96"/>
  <c r="E50" i="96"/>
  <c r="L150" i="96"/>
  <c r="H151" i="96"/>
  <c r="M289" i="96"/>
  <c r="K120" i="96"/>
  <c r="L38" i="96"/>
  <c r="E164" i="96"/>
  <c r="G323" i="96"/>
  <c r="H153" i="96"/>
  <c r="L292" i="96"/>
  <c r="M179" i="96"/>
  <c r="M298" i="96"/>
  <c r="F309" i="96"/>
  <c r="M245" i="96"/>
  <c r="J307" i="96"/>
  <c r="H189" i="96"/>
  <c r="G165" i="96"/>
  <c r="I172" i="96"/>
  <c r="J13" i="96"/>
  <c r="G197" i="96"/>
  <c r="L219" i="96"/>
  <c r="J193" i="96"/>
  <c r="E42" i="96"/>
  <c r="I88" i="96"/>
  <c r="J222" i="96"/>
  <c r="I286" i="96"/>
  <c r="K94" i="96"/>
  <c r="M22" i="96"/>
  <c r="J227" i="96"/>
  <c r="I21" i="96"/>
  <c r="L176" i="96"/>
  <c r="M61" i="96"/>
  <c r="L132" i="96"/>
  <c r="G285" i="96"/>
  <c r="K253" i="96"/>
  <c r="L36" i="96"/>
  <c r="J168" i="96"/>
  <c r="H199" i="96"/>
  <c r="H8" i="96"/>
  <c r="E34" i="96"/>
  <c r="K146" i="96"/>
  <c r="M168" i="96"/>
  <c r="E27" i="96"/>
  <c r="F228" i="96"/>
  <c r="E297" i="96"/>
  <c r="I199" i="96"/>
  <c r="L157" i="96"/>
  <c r="L186" i="96"/>
  <c r="I240" i="96"/>
  <c r="F181" i="96"/>
  <c r="K317" i="96"/>
  <c r="G100" i="96"/>
  <c r="I115" i="96"/>
  <c r="I175" i="96"/>
  <c r="G237" i="96"/>
  <c r="F194" i="96"/>
  <c r="H136" i="96"/>
  <c r="F103" i="96"/>
  <c r="J125" i="96"/>
  <c r="H154" i="96"/>
  <c r="I256" i="96"/>
  <c r="M259" i="96"/>
  <c r="E73" i="96"/>
  <c r="F81" i="96"/>
  <c r="J40" i="96"/>
  <c r="F135" i="96"/>
  <c r="J106" i="96"/>
  <c r="F106" i="96"/>
  <c r="M167" i="96"/>
  <c r="H286" i="96"/>
  <c r="H212" i="96"/>
  <c r="G225" i="96"/>
  <c r="I297" i="96"/>
  <c r="H296" i="96"/>
  <c r="G156" i="96"/>
  <c r="F23" i="96"/>
  <c r="F64" i="96"/>
  <c r="K273" i="96"/>
  <c r="I31" i="96"/>
  <c r="L42" i="96"/>
  <c r="M44" i="96"/>
  <c r="L81" i="96"/>
  <c r="L64" i="96"/>
  <c r="L5" i="96"/>
  <c r="F20" i="96"/>
  <c r="I15" i="96"/>
  <c r="I166" i="96"/>
  <c r="J129" i="96"/>
  <c r="E174" i="96"/>
  <c r="J226" i="96"/>
  <c r="E291" i="96"/>
  <c r="M273" i="96"/>
  <c r="E189" i="96"/>
  <c r="F29" i="96"/>
  <c r="J241" i="96"/>
  <c r="I110" i="96"/>
  <c r="L90" i="96"/>
  <c r="F321" i="96"/>
  <c r="J315" i="96"/>
  <c r="L159" i="96"/>
  <c r="E17" i="96"/>
  <c r="I50" i="96"/>
  <c r="I299" i="96"/>
  <c r="M210" i="96"/>
  <c r="I247" i="96"/>
  <c r="H133" i="96"/>
  <c r="L214" i="96"/>
  <c r="G314" i="96"/>
  <c r="M194" i="96"/>
  <c r="J225" i="96"/>
  <c r="I25" i="96"/>
  <c r="I49" i="96"/>
  <c r="G272" i="96"/>
  <c r="E181" i="96"/>
  <c r="E162" i="96"/>
  <c r="M156" i="96"/>
  <c r="H148" i="96"/>
  <c r="M297" i="96"/>
  <c r="E12" i="96"/>
  <c r="J151" i="96"/>
  <c r="H147" i="96"/>
  <c r="H135" i="96"/>
  <c r="J199" i="96"/>
  <c r="I39" i="96"/>
  <c r="M23" i="96"/>
  <c r="I231" i="96"/>
  <c r="K201" i="96"/>
  <c r="L18" i="96"/>
  <c r="H19" i="96"/>
  <c r="I195" i="96"/>
  <c r="E63" i="96"/>
  <c r="G24" i="96"/>
  <c r="M309" i="96"/>
  <c r="F267" i="96"/>
  <c r="M159" i="96"/>
  <c r="F24" i="96"/>
  <c r="K83" i="96"/>
  <c r="K234" i="96"/>
  <c r="E266" i="96"/>
  <c r="M93" i="96"/>
  <c r="L114" i="96"/>
  <c r="K45" i="96"/>
  <c r="G115" i="96"/>
  <c r="J209" i="96"/>
  <c r="E239" i="96"/>
  <c r="J59" i="96"/>
  <c r="I224" i="96"/>
  <c r="I187" i="96"/>
  <c r="H171" i="96"/>
  <c r="L203" i="96"/>
  <c r="I146" i="96"/>
  <c r="F180" i="96"/>
  <c r="G183" i="96"/>
  <c r="H144" i="96"/>
  <c r="J174" i="96"/>
  <c r="E229" i="96"/>
  <c r="F11" i="96"/>
  <c r="F249" i="96"/>
  <c r="H35" i="96"/>
  <c r="G42" i="96"/>
  <c r="G218" i="96"/>
  <c r="E66" i="96"/>
  <c r="J8" i="96"/>
  <c r="E24" i="96"/>
  <c r="M178" i="96"/>
  <c r="G243" i="96"/>
  <c r="M107" i="96"/>
  <c r="E142" i="96"/>
  <c r="L123" i="96"/>
  <c r="F149" i="96"/>
  <c r="E244" i="96"/>
  <c r="E163" i="96"/>
  <c r="M68" i="96"/>
  <c r="H100" i="96"/>
  <c r="M187" i="96"/>
  <c r="M308" i="96"/>
  <c r="I254" i="96"/>
  <c r="I16" i="96"/>
  <c r="L264" i="96"/>
  <c r="J299" i="96"/>
  <c r="H170" i="96"/>
  <c r="F9" i="96"/>
  <c r="M102" i="96"/>
  <c r="G127" i="96"/>
  <c r="G212" i="96"/>
  <c r="G334" i="96"/>
  <c r="I221" i="96"/>
  <c r="H227" i="96"/>
  <c r="L58" i="96"/>
  <c r="F214" i="96"/>
  <c r="J5" i="96"/>
  <c r="M78" i="96"/>
  <c r="M110" i="96"/>
  <c r="E334" i="96"/>
  <c r="H31" i="96"/>
  <c r="I188" i="96"/>
  <c r="G66" i="96"/>
  <c r="H54" i="96"/>
  <c r="M169" i="96"/>
  <c r="H208" i="96"/>
  <c r="E71" i="96"/>
  <c r="I83" i="96"/>
  <c r="L108" i="96"/>
  <c r="E323" i="96"/>
  <c r="F159" i="96"/>
  <c r="J212" i="96"/>
  <c r="G2" i="96"/>
  <c r="E92" i="96"/>
  <c r="M211" i="96"/>
  <c r="F79" i="96"/>
  <c r="J114" i="96"/>
  <c r="L207" i="96"/>
  <c r="I295" i="96"/>
  <c r="I185" i="96"/>
  <c r="F224" i="96"/>
  <c r="G230" i="96"/>
  <c r="J103" i="96"/>
  <c r="L280" i="96"/>
  <c r="M299" i="96"/>
  <c r="G219" i="96"/>
  <c r="E25" i="96"/>
  <c r="G46" i="96"/>
  <c r="H67" i="96"/>
  <c r="K176" i="96"/>
  <c r="M319" i="96"/>
  <c r="E128" i="96"/>
  <c r="E57" i="96"/>
  <c r="E113" i="96"/>
  <c r="W20" i="97" a="1"/>
  <c r="W20" i="97" s="1"/>
  <c r="X20" i="97" s="1"/>
  <c r="W295" i="97" a="1"/>
  <c r="W295" i="97" s="1"/>
  <c r="X295" i="97" s="1"/>
  <c r="W257" i="97" a="1"/>
  <c r="W257" i="97" s="1"/>
  <c r="X257" i="97" s="1"/>
  <c r="W322" i="97" a="1"/>
  <c r="W322" i="97" s="1"/>
  <c r="X322" i="97" s="1"/>
  <c r="W98" i="97" a="1"/>
  <c r="W98" i="97" s="1"/>
  <c r="X98" i="97" s="1"/>
  <c r="W66" i="97" a="1"/>
  <c r="W66" i="97" s="1"/>
  <c r="X66" i="97" s="1"/>
  <c r="Z260" i="97" a="1"/>
  <c r="Z260" i="97" s="1"/>
  <c r="P265" i="96" a="1"/>
  <c r="P265" i="96" s="1"/>
  <c r="Z206" i="97" a="1"/>
  <c r="Z206" i="97" s="1"/>
  <c r="P204" i="96" a="1"/>
  <c r="P204" i="96" s="1"/>
  <c r="Z59" i="97" a="1"/>
  <c r="Z59" i="97" s="1"/>
  <c r="P157" i="96" a="1"/>
  <c r="P157" i="96" s="1"/>
  <c r="Z133" i="97" a="1"/>
  <c r="Z133" i="97" s="1"/>
  <c r="P107" i="96" a="1"/>
  <c r="P107" i="96" s="1"/>
  <c r="Z109" i="97" a="1"/>
  <c r="Z109" i="97" s="1"/>
  <c r="P59" i="96" a="1"/>
  <c r="P59" i="96" s="1"/>
  <c r="Z7" i="97" a="1"/>
  <c r="Z7" i="97" s="1"/>
  <c r="P7" i="96" a="1"/>
  <c r="P7" i="96" s="1"/>
  <c r="Z209" i="97" a="1"/>
  <c r="Z209" i="97" s="1"/>
  <c r="P207" i="96" a="1"/>
  <c r="P207" i="96" s="1"/>
  <c r="Z325" i="97" a="1"/>
  <c r="Z325" i="97" s="1"/>
  <c r="P332" i="96" a="1"/>
  <c r="P332" i="96" s="1"/>
  <c r="Z44" i="97" a="1"/>
  <c r="Z44" i="97" s="1"/>
  <c r="P260" i="96" a="1"/>
  <c r="P260" i="96" s="1"/>
  <c r="Z205" i="97" a="1"/>
  <c r="Z205" i="97" s="1"/>
  <c r="P203" i="96" a="1"/>
  <c r="P203" i="96" s="1"/>
  <c r="Z169" i="97" a="1"/>
  <c r="Z169" i="97" s="1"/>
  <c r="P156" i="96" a="1"/>
  <c r="P156" i="96" s="1"/>
  <c r="Z295" i="97" a="1"/>
  <c r="Z295" i="97" s="1"/>
  <c r="P105" i="96" a="1"/>
  <c r="P105" i="96" s="1"/>
  <c r="Z21" i="97" a="1"/>
  <c r="Z21" i="97" s="1"/>
  <c r="P57" i="96" a="1"/>
  <c r="P57" i="96" s="1"/>
  <c r="Z6" i="97" a="1"/>
  <c r="Z6" i="97" s="1"/>
  <c r="P6" i="96" a="1"/>
  <c r="P6" i="96" s="1"/>
  <c r="Z134" i="97" a="1"/>
  <c r="Z134" i="97" s="1"/>
  <c r="P108" i="96" a="1"/>
  <c r="P108" i="96" s="1"/>
  <c r="Z62" i="97" a="1"/>
  <c r="Z62" i="97" s="1"/>
  <c r="P326" i="96" a="1"/>
  <c r="P326" i="96" s="1"/>
  <c r="Z252" i="97" a="1"/>
  <c r="Z252" i="97" s="1"/>
  <c r="P256" i="96" a="1"/>
  <c r="P256" i="96" s="1"/>
  <c r="Z203" i="97" a="1"/>
  <c r="Z203" i="97" s="1"/>
  <c r="P201" i="96" a="1"/>
  <c r="P201" i="96" s="1"/>
  <c r="Z168" i="97" a="1"/>
  <c r="Z168" i="97" s="1"/>
  <c r="P155" i="96" a="1"/>
  <c r="P155" i="96" s="1"/>
  <c r="Z13" i="97" a="1"/>
  <c r="Z13" i="97" s="1"/>
  <c r="P104" i="96" a="1"/>
  <c r="P104" i="96" s="1"/>
  <c r="Z108" i="97" a="1"/>
  <c r="Z108" i="97" s="1"/>
  <c r="P56" i="96" a="1"/>
  <c r="P56" i="96" s="1"/>
  <c r="Z317" i="97" a="1"/>
  <c r="Z317" i="97" s="1"/>
  <c r="P324" i="96" a="1"/>
  <c r="P324" i="96" s="1"/>
  <c r="Z250" i="97" a="1"/>
  <c r="Z250" i="97" s="1"/>
  <c r="P254" i="96" a="1"/>
  <c r="P254" i="96" s="1"/>
  <c r="Z201" i="97" a="1"/>
  <c r="Z201" i="97" s="1"/>
  <c r="P199" i="96" a="1"/>
  <c r="P199" i="96" s="1"/>
  <c r="Z167" i="97" a="1"/>
  <c r="Z167" i="97" s="1"/>
  <c r="P153" i="96" a="1"/>
  <c r="P153" i="96" s="1"/>
  <c r="Z42" i="97" a="1"/>
  <c r="Z42" i="97" s="1"/>
  <c r="P103" i="96" a="1"/>
  <c r="P103" i="96" s="1"/>
  <c r="Z107" i="97" a="1"/>
  <c r="Z107" i="97" s="1"/>
  <c r="P55" i="96" a="1"/>
  <c r="P55" i="96" s="1"/>
  <c r="Z308" i="97" a="1"/>
  <c r="Z308" i="97" s="1"/>
  <c r="P313" i="96" a="1"/>
  <c r="P313" i="96" s="1"/>
  <c r="Z249" i="97" a="1"/>
  <c r="Z249" i="97" s="1"/>
  <c r="P252" i="96" a="1"/>
  <c r="P252" i="96" s="1"/>
  <c r="Z200" i="97" a="1"/>
  <c r="Z200" i="97" s="1"/>
  <c r="P198" i="96" a="1"/>
  <c r="P198" i="96" s="1"/>
  <c r="Z164" i="97" a="1"/>
  <c r="Z164" i="97" s="1"/>
  <c r="P150" i="96" a="1"/>
  <c r="P150" i="96" s="1"/>
  <c r="Z3" i="97" a="1"/>
  <c r="Z3" i="97" s="1"/>
  <c r="P102" i="96" a="1"/>
  <c r="P102" i="96" s="1"/>
  <c r="Z106" i="97" a="1"/>
  <c r="Z106" i="97" s="1"/>
  <c r="P54" i="96" a="1"/>
  <c r="P54" i="96" s="1"/>
  <c r="Z292" i="97" a="1"/>
  <c r="Z292" i="97" s="1"/>
  <c r="P297" i="96" a="1"/>
  <c r="P297" i="96" s="1"/>
  <c r="Z98" i="97" a="1"/>
  <c r="Z98" i="97" s="1"/>
  <c r="P45" i="96" a="1"/>
  <c r="P45" i="96" s="1"/>
  <c r="Z263" i="97" a="1"/>
  <c r="Z263" i="97" s="1"/>
  <c r="P268" i="96" a="1"/>
  <c r="P268" i="96" s="1"/>
  <c r="Z303" i="97" a="1"/>
  <c r="Z303" i="97" s="1"/>
  <c r="P308" i="96" a="1"/>
  <c r="P308" i="96" s="1"/>
  <c r="Z246" i="97" a="1"/>
  <c r="Z246" i="97" s="1"/>
  <c r="P249" i="96" a="1"/>
  <c r="P249" i="96" s="1"/>
  <c r="Z315" i="97" a="1"/>
  <c r="Z315" i="97" s="1"/>
  <c r="P196" i="96" a="1"/>
  <c r="P196" i="96" s="1"/>
  <c r="Z162" i="97" a="1"/>
  <c r="Z162" i="97" s="1"/>
  <c r="P148" i="96" a="1"/>
  <c r="P148" i="96" s="1"/>
  <c r="Z130" i="97" a="1"/>
  <c r="Z130" i="97" s="1"/>
  <c r="P100" i="96" a="1"/>
  <c r="P100" i="96" s="1"/>
  <c r="Z104" i="97" a="1"/>
  <c r="Z104" i="97" s="1"/>
  <c r="P52" i="96" a="1"/>
  <c r="P52" i="96" s="1"/>
  <c r="Z95" i="97" a="1"/>
  <c r="Z95" i="97" s="1"/>
  <c r="P42" i="96" a="1"/>
  <c r="P42" i="96" s="1"/>
  <c r="Z74" i="97" a="1"/>
  <c r="Z74" i="97" s="1"/>
  <c r="P11" i="96" a="1"/>
  <c r="P11" i="96" s="1"/>
  <c r="Z299" i="97" a="1"/>
  <c r="Z299" i="97" s="1"/>
  <c r="P304" i="96" a="1"/>
  <c r="P304" i="96" s="1"/>
  <c r="Z245" i="97" a="1"/>
  <c r="Z245" i="97" s="1"/>
  <c r="P247" i="96" a="1"/>
  <c r="P247" i="96" s="1"/>
  <c r="Z197" i="97" a="1"/>
  <c r="Z197" i="97" s="1"/>
  <c r="P195" i="96" a="1"/>
  <c r="P195" i="96" s="1"/>
  <c r="Z161" i="97" a="1"/>
  <c r="Z161" i="97" s="1"/>
  <c r="P147" i="96" a="1"/>
  <c r="P147" i="96" s="1"/>
  <c r="Z129" i="97" a="1"/>
  <c r="Z129" i="97" s="1"/>
  <c r="P99" i="96" a="1"/>
  <c r="P99" i="96" s="1"/>
  <c r="Z103" i="97" a="1"/>
  <c r="Z103" i="97" s="1"/>
  <c r="P51" i="96" a="1"/>
  <c r="P51" i="96" s="1"/>
  <c r="Z170" i="97" a="1"/>
  <c r="Z170" i="97" s="1"/>
  <c r="P158" i="96" a="1"/>
  <c r="P158" i="96" s="1"/>
  <c r="Z298" i="97" a="1"/>
  <c r="Z298" i="97" s="1"/>
  <c r="P303" i="96" a="1"/>
  <c r="P303" i="96" s="1"/>
  <c r="Z244" i="97" a="1"/>
  <c r="Z244" i="97" s="1"/>
  <c r="P246" i="96" a="1"/>
  <c r="P246" i="96" s="1"/>
  <c r="Z65" i="97" a="1"/>
  <c r="Z65" i="97" s="1"/>
  <c r="P193" i="96" a="1"/>
  <c r="P193" i="96" s="1"/>
  <c r="Z159" i="97" a="1"/>
  <c r="Z159" i="97" s="1"/>
  <c r="P145" i="96" a="1"/>
  <c r="P145" i="96" s="1"/>
  <c r="Z41" i="97" a="1"/>
  <c r="Z41" i="97" s="1"/>
  <c r="P97" i="96" a="1"/>
  <c r="P97" i="96" s="1"/>
  <c r="Z101" i="97" a="1"/>
  <c r="Z101" i="97" s="1"/>
  <c r="P49" i="96" a="1"/>
  <c r="P49" i="96" s="1"/>
  <c r="Z248" i="97" a="1"/>
  <c r="Z248" i="97" s="1"/>
  <c r="P300" i="96" a="1"/>
  <c r="P300" i="96" s="1"/>
  <c r="Z43" i="97" a="1"/>
  <c r="Z43" i="97" s="1"/>
  <c r="P244" i="96" a="1"/>
  <c r="P244" i="96" s="1"/>
  <c r="Z193" i="97" a="1"/>
  <c r="Z193" i="97" s="1"/>
  <c r="P188" i="96" a="1"/>
  <c r="P188" i="96" s="1"/>
  <c r="Z158" i="97" a="1"/>
  <c r="Z158" i="97" s="1"/>
  <c r="P144" i="96" a="1"/>
  <c r="P144" i="96" s="1"/>
  <c r="Z198" i="97" a="1"/>
  <c r="Z198" i="97" s="1"/>
  <c r="P92" i="96" a="1"/>
  <c r="P92" i="96" s="1"/>
  <c r="Z100" i="97" a="1"/>
  <c r="Z100" i="97" s="1"/>
  <c r="P48" i="96" a="1"/>
  <c r="P48" i="96" s="1"/>
  <c r="Z294" i="97" a="1"/>
  <c r="Z294" i="97" s="1"/>
  <c r="P299" i="96" a="1"/>
  <c r="P299" i="96" s="1"/>
  <c r="Z318" i="97" a="1"/>
  <c r="Z318" i="97" s="1"/>
  <c r="P241" i="96" a="1"/>
  <c r="P241" i="96" s="1"/>
  <c r="Z187" i="97" a="1"/>
  <c r="Z187" i="97" s="1"/>
  <c r="P182" i="96" a="1"/>
  <c r="P182" i="96" s="1"/>
  <c r="Z155" i="97" a="1"/>
  <c r="Z155" i="97" s="1"/>
  <c r="P140" i="96" a="1"/>
  <c r="P140" i="96" s="1"/>
  <c r="Z122" i="97" a="1"/>
  <c r="Z122" i="97" s="1"/>
  <c r="P88" i="96" a="1"/>
  <c r="P88" i="96" s="1"/>
  <c r="Z97" i="97" a="1"/>
  <c r="Z97" i="97" s="1"/>
  <c r="P44" i="96" a="1"/>
  <c r="P44" i="96" s="1"/>
  <c r="Z23" i="97" a="1"/>
  <c r="Z23" i="97" s="1"/>
  <c r="P60" i="96" a="1"/>
  <c r="P60" i="96" s="1"/>
  <c r="Z287" i="97" a="1"/>
  <c r="Z287" i="97" s="1"/>
  <c r="P292" i="96" a="1"/>
  <c r="P292" i="96" s="1"/>
  <c r="Z235" i="97" a="1"/>
  <c r="Z235" i="97" s="1"/>
  <c r="P236" i="96" a="1"/>
  <c r="P236" i="96" s="1"/>
  <c r="Z312" i="97" a="1"/>
  <c r="Z312" i="97" s="1"/>
  <c r="P181" i="96" a="1"/>
  <c r="P181" i="96" s="1"/>
  <c r="Z56" i="97" a="1"/>
  <c r="Z56" i="97" s="1"/>
  <c r="P134" i="96" a="1"/>
  <c r="P134" i="96" s="1"/>
  <c r="Z119" i="97" a="1"/>
  <c r="Z119" i="97" s="1"/>
  <c r="P85" i="96" a="1"/>
  <c r="P85" i="96" s="1"/>
  <c r="Z91" i="97" a="1"/>
  <c r="Z91" i="97" s="1"/>
  <c r="P38" i="96" a="1"/>
  <c r="P38" i="96" s="1"/>
  <c r="Z286" i="97" a="1"/>
  <c r="Z286" i="97" s="1"/>
  <c r="P291" i="96" a="1"/>
  <c r="P291" i="96" s="1"/>
  <c r="Z231" i="97" a="1"/>
  <c r="Z231" i="97" s="1"/>
  <c r="P232" i="96" a="1"/>
  <c r="P232" i="96" s="1"/>
  <c r="Z186" i="97" a="1"/>
  <c r="Z186" i="97" s="1"/>
  <c r="P180" i="96" a="1"/>
  <c r="P180" i="96" s="1"/>
  <c r="Z55" i="97" a="1"/>
  <c r="Z55" i="97" s="1"/>
  <c r="P133" i="96" a="1"/>
  <c r="P133" i="96" s="1"/>
  <c r="Z118" i="97" a="1"/>
  <c r="Z118" i="97" s="1"/>
  <c r="P84" i="96" a="1"/>
  <c r="P84" i="96" s="1"/>
  <c r="Z18" i="97" a="1"/>
  <c r="Z18" i="97" s="1"/>
  <c r="P37" i="96" a="1"/>
  <c r="P37" i="96" s="1"/>
  <c r="Z284" i="97" a="1"/>
  <c r="Z284" i="97" s="1"/>
  <c r="P289" i="96" a="1"/>
  <c r="P289" i="96" s="1"/>
  <c r="Z229" i="97" a="1"/>
  <c r="Z229" i="97" s="1"/>
  <c r="P229" i="96" a="1"/>
  <c r="P229" i="96" s="1"/>
  <c r="Z185" i="97" a="1"/>
  <c r="Z185" i="97" s="1"/>
  <c r="P179" i="96" a="1"/>
  <c r="P179" i="96" s="1"/>
  <c r="Z149" i="97" a="1"/>
  <c r="Z149" i="97" s="1"/>
  <c r="P132" i="96" a="1"/>
  <c r="P132" i="96" s="1"/>
  <c r="Z115" i="97" a="1"/>
  <c r="Z115" i="97" s="1"/>
  <c r="P81" i="96" a="1"/>
  <c r="P81" i="96" s="1"/>
  <c r="Z33" i="97" a="1"/>
  <c r="Z33" i="97" s="1"/>
  <c r="P36" i="96" a="1"/>
  <c r="P36" i="96" s="1"/>
  <c r="Z234" i="97" a="1"/>
  <c r="Z234" i="97" s="1"/>
  <c r="P235" i="96" a="1"/>
  <c r="P235" i="96" s="1"/>
  <c r="Z279" i="97" a="1"/>
  <c r="Z279" i="97" s="1"/>
  <c r="P284" i="96" a="1"/>
  <c r="P284" i="96" s="1"/>
  <c r="Z228" i="97" a="1"/>
  <c r="Z228" i="97" s="1"/>
  <c r="P228" i="96" a="1"/>
  <c r="P228" i="96" s="1"/>
  <c r="Z14" i="97" a="1"/>
  <c r="Z14" i="97" s="1"/>
  <c r="P178" i="96" a="1"/>
  <c r="P178" i="96" s="1"/>
  <c r="Z148" i="97" a="1"/>
  <c r="Z148" i="97" s="1"/>
  <c r="P131" i="96" a="1"/>
  <c r="P131" i="96" s="1"/>
  <c r="Z114" i="97" a="1"/>
  <c r="Z114" i="97" s="1"/>
  <c r="P80" i="96" a="1"/>
  <c r="P80" i="96" s="1"/>
  <c r="Z32" i="97" a="1"/>
  <c r="Z32" i="97" s="1"/>
  <c r="P35" i="96" a="1"/>
  <c r="P35" i="96" s="1"/>
  <c r="Z276" i="97" a="1"/>
  <c r="Z276" i="97" s="1"/>
  <c r="P281" i="96" a="1"/>
  <c r="P281" i="96" s="1"/>
  <c r="Z225" i="97" a="1"/>
  <c r="Z225" i="97" s="1"/>
  <c r="P225" i="96" a="1"/>
  <c r="P225" i="96" s="1"/>
  <c r="Z184" i="97" a="1"/>
  <c r="Z184" i="97" s="1"/>
  <c r="P177" i="96" a="1"/>
  <c r="P177" i="96" s="1"/>
  <c r="Z146" i="97" a="1"/>
  <c r="Z146" i="97" s="1"/>
  <c r="P129" i="96" a="1"/>
  <c r="P129" i="96" s="1"/>
  <c r="Z113" i="97" a="1"/>
  <c r="Z113" i="97" s="1"/>
  <c r="P79" i="96" a="1"/>
  <c r="P79" i="96" s="1"/>
  <c r="Z10" i="97" a="1"/>
  <c r="Z10" i="97" s="1"/>
  <c r="P32" i="96" a="1"/>
  <c r="P32" i="96" s="1"/>
  <c r="Z81" i="97" a="1"/>
  <c r="Z81" i="97" s="1"/>
  <c r="P18" i="96" a="1"/>
  <c r="P18" i="96" s="1"/>
  <c r="Z46" i="97" a="1"/>
  <c r="Z46" i="97" s="1"/>
  <c r="P111" i="96" a="1"/>
  <c r="P111" i="96" s="1"/>
  <c r="Z275" i="97" a="1"/>
  <c r="Z275" i="97" s="1"/>
  <c r="P280" i="96" a="1"/>
  <c r="P280" i="96" s="1"/>
  <c r="Z223" i="97" a="1"/>
  <c r="Z223" i="97" s="1"/>
  <c r="P223" i="96" a="1"/>
  <c r="P223" i="96" s="1"/>
  <c r="Z183" i="97" a="1"/>
  <c r="Z183" i="97" s="1"/>
  <c r="P176" i="96" a="1"/>
  <c r="P176" i="96" s="1"/>
  <c r="Z54" i="97" a="1"/>
  <c r="Z54" i="97" s="1"/>
  <c r="P128" i="96" a="1"/>
  <c r="P128" i="96" s="1"/>
  <c r="Z112" i="97" a="1"/>
  <c r="Z112" i="97" s="1"/>
  <c r="P78" i="96" a="1"/>
  <c r="P78" i="96" s="1"/>
  <c r="Z90" i="97" a="1"/>
  <c r="Z90" i="97" s="1"/>
  <c r="P30" i="96" a="1"/>
  <c r="P30" i="96" s="1"/>
  <c r="Z273" i="97" a="1"/>
  <c r="Z273" i="97" s="1"/>
  <c r="P278" i="96" a="1"/>
  <c r="P278" i="96" s="1"/>
  <c r="Z335" i="97" a="1"/>
  <c r="Z335" i="97" s="1"/>
  <c r="P222" i="96" a="1"/>
  <c r="P222" i="96" s="1"/>
  <c r="Z181" i="97" a="1"/>
  <c r="Z181" i="97" s="1"/>
  <c r="P174" i="96" a="1"/>
  <c r="P174" i="96" s="1"/>
  <c r="Z53" i="97" a="1"/>
  <c r="Z53" i="97" s="1"/>
  <c r="P124" i="96" a="1"/>
  <c r="P124" i="96" s="1"/>
  <c r="Z37" i="97" a="1"/>
  <c r="Z37" i="97" s="1"/>
  <c r="P76" i="96" a="1"/>
  <c r="P76" i="96" s="1"/>
  <c r="Z89" i="97" a="1"/>
  <c r="Z89" i="97" s="1"/>
  <c r="P28" i="96" a="1"/>
  <c r="P28" i="96" s="1"/>
  <c r="Z121" i="97" a="1"/>
  <c r="Z121" i="97" s="1"/>
  <c r="P87" i="96" a="1"/>
  <c r="P87" i="96" s="1"/>
  <c r="Z272" i="97" a="1"/>
  <c r="Z272" i="97" s="1"/>
  <c r="P277" i="96" a="1"/>
  <c r="P277" i="96" s="1"/>
  <c r="Z221" i="97" a="1"/>
  <c r="Z221" i="97" s="1"/>
  <c r="P220" i="96" a="1"/>
  <c r="P220" i="96" s="1"/>
  <c r="Z180" i="97" a="1"/>
  <c r="Z180" i="97" s="1"/>
  <c r="P172" i="96" a="1"/>
  <c r="P172" i="96" s="1"/>
  <c r="Z52" i="97" a="1"/>
  <c r="Z52" i="97" s="1"/>
  <c r="P123" i="96" a="1"/>
  <c r="P123" i="96" s="1"/>
  <c r="Z36" i="97" a="1"/>
  <c r="Z36" i="97" s="1"/>
  <c r="P75" i="96" a="1"/>
  <c r="P75" i="96" s="1"/>
  <c r="Z88" i="97" a="1"/>
  <c r="Z88" i="97" s="1"/>
  <c r="P27" i="96" a="1"/>
  <c r="P27" i="96" s="1"/>
  <c r="Z271" i="97" a="1"/>
  <c r="Z271" i="97" s="1"/>
  <c r="P276" i="96" a="1"/>
  <c r="P276" i="96" s="1"/>
  <c r="Z220" i="97" a="1"/>
  <c r="Z220" i="97" s="1"/>
  <c r="P219" i="96" a="1"/>
  <c r="P219" i="96" s="1"/>
  <c r="Z179" i="97" a="1"/>
  <c r="Z179" i="97" s="1"/>
  <c r="P171" i="96" a="1"/>
  <c r="P171" i="96" s="1"/>
  <c r="Z141" i="97" a="1"/>
  <c r="Z141" i="97" s="1"/>
  <c r="P121" i="96" a="1"/>
  <c r="P121" i="96" s="1"/>
  <c r="Z29" i="97" a="1"/>
  <c r="Z29" i="97" s="1"/>
  <c r="P73" i="96" a="1"/>
  <c r="P73" i="96" s="1"/>
  <c r="Z86" i="97" a="1"/>
  <c r="Z86" i="97" s="1"/>
  <c r="P25" i="96" a="1"/>
  <c r="P25" i="96" s="1"/>
  <c r="Z270" i="97" a="1"/>
  <c r="Z270" i="97" s="1"/>
  <c r="P275" i="96" a="1"/>
  <c r="P275" i="96" s="1"/>
  <c r="Z218" i="97" a="1"/>
  <c r="Z218" i="97" s="1"/>
  <c r="P217" i="96" a="1"/>
  <c r="P217" i="96" s="1"/>
  <c r="Z177" i="97" a="1"/>
  <c r="Z177" i="97" s="1"/>
  <c r="P169" i="96" a="1"/>
  <c r="P169" i="96" s="1"/>
  <c r="Z140" i="97" a="1"/>
  <c r="Z140" i="97" s="1"/>
  <c r="P120" i="96" a="1"/>
  <c r="P120" i="96" s="1"/>
  <c r="Z266" i="97" a="1"/>
  <c r="Z266" i="97" s="1"/>
  <c r="P72" i="96" a="1"/>
  <c r="P72" i="96" s="1"/>
  <c r="Z82" i="97" a="1"/>
  <c r="Z82" i="97" s="1"/>
  <c r="P20" i="96" a="1"/>
  <c r="P20" i="96" s="1"/>
  <c r="Z213" i="97" a="1"/>
  <c r="Z213" i="97" s="1"/>
  <c r="P212" i="96" a="1"/>
  <c r="P212" i="96" s="1"/>
  <c r="Z176" i="97" a="1"/>
  <c r="Z176" i="97" s="1"/>
  <c r="P168" i="96" a="1"/>
  <c r="P168" i="96" s="1"/>
  <c r="Z47" i="97" a="1"/>
  <c r="Z47" i="97" s="1"/>
  <c r="P113" i="96" a="1"/>
  <c r="P113" i="96" s="1"/>
  <c r="Z26" i="97" a="1"/>
  <c r="Z26" i="97" s="1"/>
  <c r="P64" i="96" a="1"/>
  <c r="P64" i="96" s="1"/>
  <c r="Z77" i="97" a="1"/>
  <c r="Z77" i="97" s="1"/>
  <c r="P14" i="96" a="1"/>
  <c r="P14" i="96" s="1"/>
  <c r="Z310" i="97" a="1"/>
  <c r="Z310" i="97" s="1"/>
  <c r="P317" i="96" a="1"/>
  <c r="P317" i="96" s="1"/>
  <c r="Z156" i="97" a="1"/>
  <c r="Z156" i="97" s="1"/>
  <c r="P141" i="96" a="1"/>
  <c r="P141" i="96" s="1"/>
  <c r="Z45" i="97" a="1"/>
  <c r="Z45" i="97" s="1"/>
  <c r="P271" i="96" a="1"/>
  <c r="P271" i="96" s="1"/>
  <c r="Z212" i="97" a="1"/>
  <c r="Z212" i="97" s="1"/>
  <c r="P211" i="96" a="1"/>
  <c r="P211" i="96" s="1"/>
  <c r="Z171" i="97" a="1"/>
  <c r="Z171" i="97" s="1"/>
  <c r="P161" i="96" a="1"/>
  <c r="P161" i="96" s="1"/>
  <c r="Z136" i="97" a="1"/>
  <c r="Z136" i="97" s="1"/>
  <c r="P110" i="96" a="1"/>
  <c r="P110" i="96" s="1"/>
  <c r="Z110" i="97" a="1"/>
  <c r="Z110" i="97" s="1"/>
  <c r="P62" i="96" a="1"/>
  <c r="P62" i="96" s="1"/>
  <c r="Z76" i="97" a="1"/>
  <c r="Z76" i="97" s="1"/>
  <c r="P13" i="96" a="1"/>
  <c r="P13" i="96" s="1"/>
  <c r="Z154" i="97" a="1"/>
  <c r="Z154" i="97" s="1"/>
  <c r="P139" i="96" a="1"/>
  <c r="P139" i="96" s="1"/>
  <c r="Z28" i="97" a="1"/>
  <c r="Z28" i="97" s="1"/>
  <c r="P67" i="96" a="1"/>
  <c r="P67" i="96" s="1"/>
  <c r="Z268" i="97" a="1"/>
  <c r="Z268" i="97" s="1"/>
  <c r="P273" i="96" a="1"/>
  <c r="P273" i="96" s="1"/>
  <c r="Z265" i="97" a="1"/>
  <c r="Z265" i="97" s="1"/>
  <c r="P270" i="96" a="1"/>
  <c r="P270" i="96" s="1"/>
  <c r="Z210" i="97" a="1"/>
  <c r="Z210" i="97" s="1"/>
  <c r="P208" i="96" a="1"/>
  <c r="P208" i="96" s="1"/>
  <c r="Z331" i="97" a="1"/>
  <c r="Z331" i="97" s="1"/>
  <c r="P160" i="96" a="1"/>
  <c r="P160" i="96" s="1"/>
  <c r="Z135" i="97" a="1"/>
  <c r="Z135" i="97" s="1"/>
  <c r="P109" i="96" a="1"/>
  <c r="P109" i="96" s="1"/>
  <c r="Z24" i="97" a="1"/>
  <c r="Z24" i="97" s="1"/>
  <c r="P61" i="96" a="1"/>
  <c r="P61" i="96" s="1"/>
  <c r="Z75" i="97" a="1"/>
  <c r="Z75" i="97" s="1"/>
  <c r="P12" i="96" a="1"/>
  <c r="P12" i="96" s="1"/>
  <c r="W67" i="97" a="1"/>
  <c r="W67" i="97" s="1"/>
  <c r="X67" i="97" s="1"/>
  <c r="W192" i="97" a="1"/>
  <c r="W192" i="97" s="1"/>
  <c r="X192" i="97" s="1"/>
  <c r="W123" i="97" a="1"/>
  <c r="W123" i="97" s="1"/>
  <c r="X123" i="97" s="1"/>
  <c r="W169" i="97" a="1"/>
  <c r="W169" i="97" s="1"/>
  <c r="X169" i="97" s="1"/>
  <c r="W109" i="97" a="1"/>
  <c r="W109" i="97" s="1"/>
  <c r="X109" i="97" s="1"/>
  <c r="W199" i="97" a="1"/>
  <c r="W199" i="97" s="1"/>
  <c r="X199" i="97" s="1"/>
  <c r="W59" i="97" a="1"/>
  <c r="W59" i="97" s="1"/>
  <c r="X59" i="97" s="1"/>
  <c r="W252" i="97" a="1"/>
  <c r="W252" i="97" s="1"/>
  <c r="X252" i="97" s="1"/>
  <c r="W24" i="97" a="1"/>
  <c r="W24" i="97" s="1"/>
  <c r="X24" i="97" s="1"/>
  <c r="W85" i="97" a="1"/>
  <c r="W85" i="97" s="1"/>
  <c r="X85" i="97" s="1"/>
  <c r="W232" i="97" a="1"/>
  <c r="W232" i="97" s="1"/>
  <c r="X232" i="97" s="1"/>
  <c r="W300" i="97" a="1"/>
  <c r="W300" i="97" s="1"/>
  <c r="X300" i="97" s="1"/>
  <c r="W77" i="97" a="1"/>
  <c r="W77" i="97" s="1"/>
  <c r="X77" i="97" s="1"/>
  <c r="W292" i="97" a="1"/>
  <c r="W292" i="97" s="1"/>
  <c r="X292" i="97" s="1"/>
  <c r="W225" i="97" a="1"/>
  <c r="W225" i="97" s="1"/>
  <c r="X225" i="97" s="1"/>
  <c r="W75" i="97" a="1"/>
  <c r="W75" i="97" s="1"/>
  <c r="X75" i="97" s="1"/>
  <c r="W235" i="97" a="1"/>
  <c r="W235" i="97" s="1"/>
  <c r="X235" i="97" s="1"/>
  <c r="W44" i="97" a="1"/>
  <c r="W44" i="97" s="1"/>
  <c r="X44" i="97" s="1"/>
  <c r="W189" i="97" a="1"/>
  <c r="W189" i="97" s="1"/>
  <c r="X189" i="97" s="1"/>
  <c r="W185" i="97" a="1"/>
  <c r="W185" i="97" s="1"/>
  <c r="X185" i="97" s="1"/>
  <c r="W302" i="97" a="1"/>
  <c r="W302" i="97" s="1"/>
  <c r="X302" i="97" s="1"/>
  <c r="W36" i="97" a="1"/>
  <c r="W36" i="97" s="1"/>
  <c r="X36" i="97" s="1"/>
  <c r="W55" i="97" a="1"/>
  <c r="W55" i="97" s="1"/>
  <c r="X55" i="97" s="1"/>
  <c r="W34" i="97" a="1"/>
  <c r="W34" i="97" s="1"/>
  <c r="X34" i="97" s="1"/>
  <c r="W165" i="97" a="1"/>
  <c r="W165" i="97" s="1"/>
  <c r="X165" i="97" s="1"/>
  <c r="W120" i="97" a="1"/>
  <c r="W120" i="97" s="1"/>
  <c r="X120" i="97" s="1"/>
  <c r="W113" i="97" a="1"/>
  <c r="W113" i="97" s="1"/>
  <c r="X113" i="97" s="1"/>
  <c r="W184" i="97" a="1"/>
  <c r="W184" i="97" s="1"/>
  <c r="X184" i="97" s="1"/>
  <c r="W115" i="97" a="1"/>
  <c r="W115" i="97" s="1"/>
  <c r="X115" i="97" s="1"/>
  <c r="W152" i="97" a="1"/>
  <c r="W152" i="97" s="1"/>
  <c r="X152" i="97" s="1"/>
  <c r="W45" i="97" a="1"/>
  <c r="W45" i="97" s="1"/>
  <c r="X45" i="97" s="1"/>
  <c r="W201" i="97" a="1"/>
  <c r="W201" i="97" s="1"/>
  <c r="X201" i="97" s="1"/>
  <c r="W56" i="97" a="1"/>
  <c r="W56" i="97" s="1"/>
  <c r="X56" i="97" s="1"/>
  <c r="W131" i="97" a="1"/>
  <c r="W131" i="97" s="1"/>
  <c r="X131" i="97" s="1"/>
  <c r="W266" i="97" a="1"/>
  <c r="W266" i="97" s="1"/>
  <c r="X266" i="97" s="1"/>
  <c r="W76" i="97" a="1"/>
  <c r="W76" i="97" s="1"/>
  <c r="X76" i="97" s="1"/>
  <c r="W167" i="97" a="1"/>
  <c r="W167" i="97" s="1"/>
  <c r="X167" i="97" s="1"/>
  <c r="W86" i="97" a="1"/>
  <c r="W86" i="97" s="1"/>
  <c r="X86" i="97" s="1"/>
  <c r="W164" i="97" a="1"/>
  <c r="W164" i="97" s="1"/>
  <c r="X164" i="97" s="1"/>
  <c r="W239" i="97" a="1"/>
  <c r="W239" i="97" s="1"/>
  <c r="X239" i="97" s="1"/>
  <c r="W106" i="97" a="1"/>
  <c r="W106" i="97" s="1"/>
  <c r="X106" i="97" s="1"/>
  <c r="W50" i="97" a="1"/>
  <c r="W50" i="97" s="1"/>
  <c r="X50" i="97" s="1"/>
  <c r="W69" i="97" a="1"/>
  <c r="W69" i="97" s="1"/>
  <c r="X69" i="97" s="1"/>
  <c r="W211" i="97" a="1"/>
  <c r="W211" i="97" s="1"/>
  <c r="X211" i="97" s="1"/>
  <c r="W48" i="97" a="1"/>
  <c r="W48" i="97" s="1"/>
  <c r="X48" i="97" s="1"/>
  <c r="W119" i="97" a="1"/>
  <c r="W119" i="97" s="1"/>
  <c r="X119" i="97" s="1"/>
  <c r="W49" i="97" a="1"/>
  <c r="W49" i="97" s="1"/>
  <c r="X49" i="97" s="1"/>
  <c r="W137" i="97" a="1"/>
  <c r="W137" i="97" s="1"/>
  <c r="X137" i="97" s="1"/>
  <c r="W243" i="97" a="1"/>
  <c r="W243" i="97" s="1"/>
  <c r="X243" i="97" s="1"/>
  <c r="W82" i="97" a="1"/>
  <c r="W82" i="97" s="1"/>
  <c r="X82" i="97" s="1"/>
  <c r="W272" i="97" a="1"/>
  <c r="W272" i="97" s="1"/>
  <c r="X272" i="97" s="1"/>
  <c r="W196" i="97" a="1"/>
  <c r="W196" i="97" s="1"/>
  <c r="X196" i="97" s="1"/>
  <c r="W260" i="97" a="1"/>
  <c r="W260" i="97" s="1"/>
  <c r="X260" i="97" s="1"/>
  <c r="W309" i="97" a="1"/>
  <c r="W309" i="97" s="1"/>
  <c r="X309" i="97" s="1"/>
  <c r="W206" i="97" a="1"/>
  <c r="W206" i="97" s="1"/>
  <c r="X206" i="97" s="1"/>
  <c r="W182" i="97" a="1"/>
  <c r="W182" i="97" s="1"/>
  <c r="X182" i="97" s="1"/>
  <c r="W255" i="97" a="1"/>
  <c r="W255" i="97" s="1"/>
  <c r="X255" i="97" s="1"/>
  <c r="W303" i="97" a="1"/>
  <c r="W303" i="97" s="1"/>
  <c r="X303" i="97" s="1"/>
  <c r="W270" i="97" a="1"/>
  <c r="W270" i="97" s="1"/>
  <c r="X270" i="97" s="1"/>
  <c r="W7" i="97" a="1"/>
  <c r="W7" i="97" s="1"/>
  <c r="X7" i="97" s="1"/>
  <c r="W268" i="97" a="1"/>
  <c r="W268" i="97" s="1"/>
  <c r="X268" i="97" s="1"/>
  <c r="W203" i="97" a="1"/>
  <c r="W203" i="97" s="1"/>
  <c r="X203" i="97" s="1"/>
  <c r="W133" i="97" a="1"/>
  <c r="W133" i="97" s="1"/>
  <c r="X133" i="97" s="1"/>
  <c r="W13" i="97" a="1"/>
  <c r="W13" i="97" s="1"/>
  <c r="X13" i="97" s="1"/>
  <c r="W148" i="97" a="1"/>
  <c r="W148" i="97" s="1"/>
  <c r="X148" i="97" s="1"/>
  <c r="W93" i="97" a="1"/>
  <c r="W93" i="97" s="1"/>
  <c r="X93" i="97" s="1"/>
  <c r="W130" i="97" a="1"/>
  <c r="W130" i="97" s="1"/>
  <c r="X130" i="97" s="1"/>
  <c r="W35" i="97" a="1"/>
  <c r="W35" i="97" s="1"/>
  <c r="X35" i="97" s="1"/>
  <c r="W180" i="97" a="1"/>
  <c r="W180" i="97" s="1"/>
  <c r="X180" i="97" s="1"/>
  <c r="W171" i="97" a="1"/>
  <c r="W171" i="97" s="1"/>
  <c r="X171" i="97" s="1"/>
  <c r="W146" i="97" a="1"/>
  <c r="W146" i="97" s="1"/>
  <c r="X146" i="97" s="1"/>
  <c r="W293" i="97" a="1"/>
  <c r="W293" i="97" s="1"/>
  <c r="X293" i="97" s="1"/>
  <c r="W145" i="97" a="1"/>
  <c r="W145" i="97" s="1"/>
  <c r="X145" i="97" s="1"/>
  <c r="W224" i="97" a="1"/>
  <c r="W224" i="97" s="1"/>
  <c r="X224" i="97" s="1"/>
  <c r="W30" i="97" a="1"/>
  <c r="W30" i="97" s="1"/>
  <c r="X30" i="97" s="1"/>
  <c r="W191" i="97" a="1"/>
  <c r="W191" i="97" s="1"/>
  <c r="X191" i="97" s="1"/>
  <c r="W141" i="97" a="1"/>
  <c r="W141" i="97" s="1"/>
  <c r="X141" i="97" s="1"/>
  <c r="W140" i="97" a="1"/>
  <c r="W140" i="97" s="1"/>
  <c r="X140" i="97" s="1"/>
  <c r="W110" i="97" a="1"/>
  <c r="W110" i="97" s="1"/>
  <c r="X110" i="97" s="1"/>
  <c r="W89" i="97" a="1"/>
  <c r="W89" i="97" s="1"/>
  <c r="X89" i="97" s="1"/>
  <c r="W249" i="97" a="1"/>
  <c r="W249" i="97" s="1"/>
  <c r="X249" i="97" s="1"/>
  <c r="W29" i="97" a="1"/>
  <c r="W29" i="97" s="1"/>
  <c r="X29" i="97" s="1"/>
  <c r="W163" i="97" a="1"/>
  <c r="W163" i="97" s="1"/>
  <c r="X163" i="97" s="1"/>
  <c r="W108" i="97" a="1"/>
  <c r="W108" i="97" s="1"/>
  <c r="X108" i="97" s="1"/>
  <c r="W107" i="97" a="1"/>
  <c r="W107" i="97" s="1"/>
  <c r="X107" i="97" s="1"/>
  <c r="W210" i="97" a="1"/>
  <c r="W210" i="97" s="1"/>
  <c r="X210" i="97" s="1"/>
  <c r="W118" i="97" a="1"/>
  <c r="W118" i="97" s="1"/>
  <c r="X118" i="97" s="1"/>
  <c r="U271" i="93"/>
  <c r="AG271" i="93" s="1"/>
  <c r="U78" i="93"/>
  <c r="AG78" i="93" s="1"/>
  <c r="T199" i="93"/>
  <c r="AO295" i="93"/>
  <c r="AU327" i="27" s="1"/>
  <c r="U151" i="93"/>
  <c r="AG151" i="93" s="1"/>
  <c r="AO250" i="93"/>
  <c r="AU107" i="27" s="1"/>
  <c r="U150" i="93"/>
  <c r="AG150" i="93" s="1"/>
  <c r="S208" i="93"/>
  <c r="AH208" i="93" s="1"/>
  <c r="S170" i="93"/>
  <c r="AH170" i="93" s="1"/>
  <c r="R40" i="93"/>
  <c r="AH40" i="93" s="1"/>
  <c r="T319" i="93"/>
  <c r="T271" i="93"/>
  <c r="T79" i="93"/>
  <c r="S50" i="93"/>
  <c r="R202" i="93"/>
  <c r="Q106" i="93"/>
  <c r="AO247" i="93"/>
  <c r="AU227" i="27" s="1"/>
  <c r="AO175" i="93"/>
  <c r="AU288" i="27" s="1"/>
  <c r="AO103" i="93"/>
  <c r="AU270" i="27" s="1"/>
  <c r="AO31" i="93"/>
  <c r="AU215" i="27" s="1"/>
  <c r="U178" i="93"/>
  <c r="AG178" i="93" s="1"/>
  <c r="T151" i="93"/>
  <c r="R199" i="93"/>
  <c r="U31" i="93"/>
  <c r="AG31" i="93" s="1"/>
  <c r="T266" i="93"/>
  <c r="T150" i="93"/>
  <c r="T74" i="93"/>
  <c r="S247" i="93"/>
  <c r="R34" i="93"/>
  <c r="U30" i="93"/>
  <c r="AG30" i="93" s="1"/>
  <c r="S246" i="93"/>
  <c r="S199" i="93"/>
  <c r="R151" i="93"/>
  <c r="Q178" i="93"/>
  <c r="Q98" i="93"/>
  <c r="AH98" i="93" s="1"/>
  <c r="T31" i="93"/>
  <c r="S198" i="93"/>
  <c r="R150" i="93"/>
  <c r="Q223" i="93"/>
  <c r="AO202" i="93"/>
  <c r="AU175" i="27" s="1"/>
  <c r="U295" i="93"/>
  <c r="AG295" i="93" s="1"/>
  <c r="T223" i="93"/>
  <c r="S295" i="93"/>
  <c r="S79" i="93"/>
  <c r="R295" i="93"/>
  <c r="U175" i="93"/>
  <c r="AG175" i="93" s="1"/>
  <c r="S17" i="93"/>
  <c r="T103" i="93"/>
  <c r="R103" i="93"/>
  <c r="AO199" i="93"/>
  <c r="AU43" i="27" s="1"/>
  <c r="T218" i="93"/>
  <c r="T178" i="93"/>
  <c r="T26" i="93"/>
  <c r="S74" i="93"/>
  <c r="R102" i="93"/>
  <c r="AO127" i="93"/>
  <c r="AU157" i="27" s="1"/>
  <c r="AO55" i="93"/>
  <c r="AU245" i="27" s="1"/>
  <c r="U247" i="93"/>
  <c r="AG247" i="93" s="1"/>
  <c r="S31" i="93"/>
  <c r="AO271" i="93"/>
  <c r="AU313" i="27" s="1"/>
  <c r="T250" i="93"/>
  <c r="T175" i="93"/>
  <c r="S274" i="93"/>
  <c r="R223" i="93"/>
  <c r="AO226" i="93"/>
  <c r="AU31" i="27" s="1"/>
  <c r="U199" i="93"/>
  <c r="AG199" i="93" s="1"/>
  <c r="U54" i="93"/>
  <c r="AG54" i="93" s="1"/>
  <c r="S140" i="93"/>
  <c r="R222" i="93"/>
  <c r="U127" i="93"/>
  <c r="AG127" i="93" s="1"/>
  <c r="U198" i="93"/>
  <c r="AG198" i="93" s="1"/>
  <c r="T290" i="93"/>
  <c r="T55" i="93"/>
  <c r="S271" i="93"/>
  <c r="U55" i="93"/>
  <c r="AG55" i="93" s="1"/>
  <c r="AO154" i="93"/>
  <c r="AU274" i="27" s="1"/>
  <c r="T247" i="93"/>
  <c r="Q250" i="93"/>
  <c r="Q79" i="93"/>
  <c r="AO223" i="93"/>
  <c r="AU92" i="27" s="1"/>
  <c r="T246" i="93"/>
  <c r="Q78" i="93"/>
  <c r="AH78" i="93" s="1"/>
  <c r="T127" i="93"/>
  <c r="T50" i="93"/>
  <c r="T126" i="93"/>
  <c r="S175" i="93"/>
  <c r="S58" i="93"/>
  <c r="R49" i="93"/>
  <c r="Q247" i="93"/>
  <c r="AO151" i="93"/>
  <c r="AU63" i="27" s="1"/>
  <c r="AO79" i="93"/>
  <c r="AU119" i="27" s="1"/>
  <c r="U154" i="93"/>
  <c r="AG154" i="93" s="1"/>
  <c r="T242" i="93"/>
  <c r="T10" i="93"/>
  <c r="S174" i="93"/>
  <c r="T130" i="93"/>
  <c r="S178" i="93"/>
  <c r="S45" i="93"/>
  <c r="R117" i="93"/>
  <c r="Q274" i="93"/>
  <c r="Q126" i="93"/>
  <c r="Q58" i="93"/>
  <c r="S213" i="93"/>
  <c r="R315" i="93"/>
  <c r="S291" i="93"/>
  <c r="AH291" i="93" s="1"/>
  <c r="AO309" i="93"/>
  <c r="AU214" i="27" s="1"/>
  <c r="AO165" i="93"/>
  <c r="AU281" i="27" s="1"/>
  <c r="T93" i="93"/>
  <c r="S141" i="93"/>
  <c r="S10" i="93"/>
  <c r="Q226" i="93"/>
  <c r="Q189" i="93"/>
  <c r="Q21" i="93"/>
  <c r="U189" i="93"/>
  <c r="AG189" i="93" s="1"/>
  <c r="U21" i="93"/>
  <c r="AG21" i="93" s="1"/>
  <c r="T261" i="93"/>
  <c r="T58" i="93"/>
  <c r="Q271" i="93"/>
  <c r="Q154" i="93"/>
  <c r="Q55" i="93"/>
  <c r="T226" i="93"/>
  <c r="S106" i="93"/>
  <c r="R47" i="93"/>
  <c r="Q270" i="93"/>
  <c r="Q54" i="93"/>
  <c r="U288" i="93"/>
  <c r="AG288" i="93" s="1"/>
  <c r="Q240" i="93"/>
  <c r="T216" i="93"/>
  <c r="T192" i="93"/>
  <c r="Q144" i="93"/>
  <c r="U120" i="93"/>
  <c r="AG120" i="93" s="1"/>
  <c r="T96" i="93"/>
  <c r="T72" i="93"/>
  <c r="Q24" i="93"/>
  <c r="U309" i="93"/>
  <c r="AG309" i="93" s="1"/>
  <c r="R213" i="93"/>
  <c r="Q117" i="93"/>
  <c r="S335" i="93"/>
  <c r="T287" i="93"/>
  <c r="T191" i="93"/>
  <c r="R143" i="93"/>
  <c r="Q119" i="93"/>
  <c r="Q95" i="93"/>
  <c r="T71" i="93"/>
  <c r="AO23" i="93"/>
  <c r="AU118" i="27" s="1"/>
  <c r="AO93" i="93"/>
  <c r="AU263" i="27" s="1"/>
  <c r="U261" i="93"/>
  <c r="AG261" i="93" s="1"/>
  <c r="U117" i="93"/>
  <c r="AG117" i="93" s="1"/>
  <c r="T189" i="93"/>
  <c r="T21" i="93"/>
  <c r="S285" i="93"/>
  <c r="R250" i="93"/>
  <c r="R141" i="93"/>
  <c r="R45" i="93"/>
  <c r="Q222" i="93"/>
  <c r="Q151" i="93"/>
  <c r="AO261" i="93"/>
  <c r="AU309" i="27" s="1"/>
  <c r="U82" i="93"/>
  <c r="AG82" i="93" s="1"/>
  <c r="T154" i="93"/>
  <c r="T54" i="93"/>
  <c r="S103" i="93"/>
  <c r="S69" i="93"/>
  <c r="R175" i="93"/>
  <c r="R140" i="93"/>
  <c r="Q150" i="93"/>
  <c r="Q82" i="93"/>
  <c r="AH82" i="93" s="1"/>
  <c r="AO189" i="93"/>
  <c r="AU16" i="27" s="1"/>
  <c r="T222" i="93"/>
  <c r="S202" i="93"/>
  <c r="S102" i="93"/>
  <c r="S34" i="93"/>
  <c r="R174" i="93"/>
  <c r="R106" i="93"/>
  <c r="Q261" i="93"/>
  <c r="T117" i="93"/>
  <c r="S237" i="93"/>
  <c r="S165" i="93"/>
  <c r="R246" i="93"/>
  <c r="Q45" i="93"/>
  <c r="U45" i="93"/>
  <c r="AG45" i="93" s="1"/>
  <c r="Q213" i="93"/>
  <c r="U213" i="93"/>
  <c r="AG213" i="93" s="1"/>
  <c r="R69" i="93"/>
  <c r="AO117" i="93"/>
  <c r="AU146" i="27" s="1"/>
  <c r="U141" i="93"/>
  <c r="AG141" i="93" s="1"/>
  <c r="T285" i="93"/>
  <c r="S270" i="93"/>
  <c r="R237" i="93"/>
  <c r="R165" i="93"/>
  <c r="AO333" i="93"/>
  <c r="AU13" i="27" s="1"/>
  <c r="U285" i="93"/>
  <c r="AG285" i="93" s="1"/>
  <c r="R130" i="93"/>
  <c r="AO285" i="93"/>
  <c r="AU217" i="27" s="1"/>
  <c r="U69" i="93"/>
  <c r="AG69" i="93" s="1"/>
  <c r="T141" i="93"/>
  <c r="S189" i="93"/>
  <c r="R198" i="93"/>
  <c r="Q69" i="93"/>
  <c r="S333" i="93"/>
  <c r="S226" i="93"/>
  <c r="S154" i="93"/>
  <c r="R93" i="93"/>
  <c r="R31" i="93"/>
  <c r="Q34" i="93"/>
  <c r="U34" i="93"/>
  <c r="AG34" i="93" s="1"/>
  <c r="S261" i="93"/>
  <c r="S55" i="93"/>
  <c r="S21" i="93"/>
  <c r="R127" i="93"/>
  <c r="R30" i="93"/>
  <c r="AH30" i="93" s="1"/>
  <c r="Q202" i="93"/>
  <c r="Q102" i="93"/>
  <c r="T69" i="93"/>
  <c r="S54" i="93"/>
  <c r="Q165" i="93"/>
  <c r="U165" i="93"/>
  <c r="AG165" i="93" s="1"/>
  <c r="T237" i="93"/>
  <c r="Q237" i="93"/>
  <c r="Q130" i="93"/>
  <c r="U237" i="93"/>
  <c r="AG237" i="93" s="1"/>
  <c r="T202" i="93"/>
  <c r="R226" i="93"/>
  <c r="S309" i="93"/>
  <c r="U93" i="93"/>
  <c r="AG93" i="93" s="1"/>
  <c r="Q275" i="93"/>
  <c r="AH125" i="93"/>
  <c r="U24" i="93"/>
  <c r="AG24" i="93" s="1"/>
  <c r="U23" i="93"/>
  <c r="AG23" i="93" s="1"/>
  <c r="U144" i="93"/>
  <c r="AG144" i="93" s="1"/>
  <c r="T95" i="93"/>
  <c r="R167" i="93"/>
  <c r="R168" i="93"/>
  <c r="U47" i="93"/>
  <c r="AG47" i="93" s="1"/>
  <c r="S315" i="93"/>
  <c r="S119" i="93"/>
  <c r="Q23" i="93"/>
  <c r="AB192" i="93"/>
  <c r="W197" i="97" s="1" a="1"/>
  <c r="W197" i="97" s="1"/>
  <c r="X197" i="97" s="1"/>
  <c r="AB191" i="93"/>
  <c r="W8" i="97" s="1" a="1"/>
  <c r="W8" i="97" s="1"/>
  <c r="X8" i="97" s="1"/>
  <c r="AC96" i="93"/>
  <c r="AE96" i="93" s="1" a="1"/>
  <c r="AE96" i="93" s="1"/>
  <c r="AF96" i="93" s="1" a="1"/>
  <c r="AF96" i="93" s="1"/>
  <c r="AO71" i="93"/>
  <c r="AU57" i="27" s="1"/>
  <c r="U167" i="93"/>
  <c r="AG167" i="93" s="1"/>
  <c r="U72" i="93"/>
  <c r="AG72" i="93" s="1"/>
  <c r="T120" i="93"/>
  <c r="R95" i="93"/>
  <c r="AC264" i="93"/>
  <c r="AD264" i="93" s="1" a="1"/>
  <c r="AD264" i="93" s="1"/>
  <c r="AC95" i="93"/>
  <c r="AE95" i="93" s="1" a="1"/>
  <c r="AE95" i="93" s="1"/>
  <c r="AF95" i="93" s="1" a="1"/>
  <c r="AF95" i="93" s="1"/>
  <c r="AB288" i="93"/>
  <c r="W223" i="97" s="1" a="1"/>
  <c r="W223" i="97" s="1"/>
  <c r="X223" i="97" s="1"/>
  <c r="U71" i="93"/>
  <c r="AG71" i="93" s="1"/>
  <c r="T119" i="93"/>
  <c r="Q143" i="93"/>
  <c r="Q48" i="93"/>
  <c r="AB287" i="93"/>
  <c r="W284" i="97" s="1" a="1"/>
  <c r="W284" i="97" s="1"/>
  <c r="X284" i="97" s="1"/>
  <c r="T23" i="93"/>
  <c r="S48" i="93"/>
  <c r="Q47" i="93"/>
  <c r="T215" i="93"/>
  <c r="S47" i="93"/>
  <c r="AB119" i="93"/>
  <c r="W52" i="97" s="1" a="1"/>
  <c r="W52" i="97" s="1"/>
  <c r="X52" i="97" s="1"/>
  <c r="AO192" i="93"/>
  <c r="AU289" i="27" s="1"/>
  <c r="AO72" i="93"/>
  <c r="AU125" i="27" s="1"/>
  <c r="AC119" i="93"/>
  <c r="AE119" i="93" s="1" a="1"/>
  <c r="AE119" i="93" s="1"/>
  <c r="AF119" i="93" s="1" a="1"/>
  <c r="AF119" i="93" s="1"/>
  <c r="AO191" i="93"/>
  <c r="AU35" i="27" s="1"/>
  <c r="AO95" i="93"/>
  <c r="AU264" i="27" s="1"/>
  <c r="AH77" i="93"/>
  <c r="S338" i="93"/>
  <c r="AC24" i="93"/>
  <c r="AE24" i="93" s="1" a="1"/>
  <c r="AE24" i="93" s="1"/>
  <c r="AF24" i="93" s="1" a="1"/>
  <c r="AF24" i="93" s="1"/>
  <c r="AB24" i="93"/>
  <c r="W15" i="97" s="1" a="1"/>
  <c r="W15" i="97" s="1"/>
  <c r="X15" i="97" s="1"/>
  <c r="U191" i="93"/>
  <c r="AG191" i="93" s="1"/>
  <c r="U95" i="93"/>
  <c r="AG95" i="93" s="1"/>
  <c r="Q239" i="93"/>
  <c r="AC335" i="93"/>
  <c r="AD335" i="93" s="1" a="1"/>
  <c r="AD335" i="93" s="1"/>
  <c r="AC23" i="93"/>
  <c r="AE23" i="93" s="1" a="1"/>
  <c r="AE23" i="93" s="1"/>
  <c r="AF23" i="93" s="1" a="1"/>
  <c r="AF23" i="93" s="1"/>
  <c r="AB23" i="93"/>
  <c r="W186" i="97" s="1" a="1"/>
  <c r="W186" i="97" s="1"/>
  <c r="X186" i="97" s="1"/>
  <c r="T47" i="93"/>
  <c r="Q168" i="93"/>
  <c r="Q71" i="93"/>
  <c r="S168" i="93"/>
  <c r="S71" i="93"/>
  <c r="R23" i="93"/>
  <c r="AC144" i="93"/>
  <c r="AD144" i="93" s="1" a="1"/>
  <c r="AD144" i="93" s="1"/>
  <c r="AB143" i="93"/>
  <c r="W161" i="97" s="1" a="1"/>
  <c r="W161" i="97" s="1"/>
  <c r="X161" i="97" s="1"/>
  <c r="AO288" i="93"/>
  <c r="AU172" i="27" s="1"/>
  <c r="AB239" i="93"/>
  <c r="W63" i="97" s="1" a="1"/>
  <c r="W63" i="97" s="1"/>
  <c r="X63" i="97" s="1"/>
  <c r="AO287" i="93"/>
  <c r="AU164" i="27" s="1"/>
  <c r="AO120" i="93"/>
  <c r="AU162" i="27" s="1"/>
  <c r="AC47" i="93"/>
  <c r="AD47" i="93" s="1" a="1"/>
  <c r="AD47" i="93" s="1"/>
  <c r="U119" i="93"/>
  <c r="AG119" i="93" s="1"/>
  <c r="AC143" i="93"/>
  <c r="AD143" i="93" s="1" a="1"/>
  <c r="AD143" i="93" s="1"/>
  <c r="T311" i="93"/>
  <c r="R48" i="93"/>
  <c r="Q191" i="93"/>
  <c r="R330" i="93"/>
  <c r="R306" i="93"/>
  <c r="T282" i="93"/>
  <c r="S264" i="93"/>
  <c r="S167" i="93"/>
  <c r="AO215" i="93"/>
  <c r="AU131" i="27" s="1"/>
  <c r="AO96" i="93"/>
  <c r="AU265" i="27" s="1"/>
  <c r="U143" i="93"/>
  <c r="AG143" i="93" s="1"/>
  <c r="T239" i="93"/>
  <c r="R264" i="93"/>
  <c r="Q167" i="93"/>
  <c r="AC48" i="93"/>
  <c r="AE48" i="93" s="1" a="1"/>
  <c r="AE48" i="93" s="1"/>
  <c r="AF48" i="93" s="1" a="1"/>
  <c r="AF48" i="93" s="1"/>
  <c r="AB312" i="93"/>
  <c r="W308" i="97" s="1" a="1"/>
  <c r="W308" i="97" s="1"/>
  <c r="X308" i="97" s="1"/>
  <c r="AB216" i="93"/>
  <c r="U240" i="93"/>
  <c r="AG240" i="93" s="1"/>
  <c r="S192" i="93"/>
  <c r="S72" i="93"/>
  <c r="R263" i="93"/>
  <c r="T240" i="93"/>
  <c r="AC168" i="93"/>
  <c r="AE168" i="93" s="1" a="1"/>
  <c r="AE168" i="93" s="1"/>
  <c r="AF168" i="93" s="1" a="1"/>
  <c r="AF168" i="93" s="1"/>
  <c r="AB311" i="93"/>
  <c r="AB215" i="93"/>
  <c r="W218" i="97" s="1" a="1"/>
  <c r="W218" i="97" s="1"/>
  <c r="X218" i="97" s="1"/>
  <c r="AB96" i="93"/>
  <c r="W3" i="97" s="1" a="1"/>
  <c r="W3" i="97" s="1"/>
  <c r="X3" i="97" s="1"/>
  <c r="S191" i="93"/>
  <c r="AO312" i="93"/>
  <c r="AU335" i="27" s="1"/>
  <c r="T144" i="93"/>
  <c r="T24" i="93"/>
  <c r="R192" i="93"/>
  <c r="R72" i="93"/>
  <c r="U168" i="93"/>
  <c r="AG168" i="93" s="1"/>
  <c r="U48" i="93"/>
  <c r="AG48" i="93" s="1"/>
  <c r="T264" i="93"/>
  <c r="T143" i="93"/>
  <c r="R191" i="93"/>
  <c r="Q192" i="93"/>
  <c r="Q72" i="93"/>
  <c r="T263" i="93"/>
  <c r="Q264" i="93"/>
  <c r="AC287" i="93"/>
  <c r="AE287" i="93" s="1" a="1"/>
  <c r="AE287" i="93" s="1"/>
  <c r="AF287" i="93" s="1" a="1"/>
  <c r="AF287" i="93" s="1"/>
  <c r="AC72" i="93"/>
  <c r="AD72" i="93" s="1" a="1"/>
  <c r="AD72" i="93" s="1"/>
  <c r="AB120" i="93"/>
  <c r="W53" i="97" s="1" a="1"/>
  <c r="W53" i="97" s="1"/>
  <c r="X53" i="97" s="1"/>
  <c r="AO239" i="93"/>
  <c r="AU182" i="27" s="1"/>
  <c r="AO119" i="93"/>
  <c r="AU86" i="27" s="1"/>
  <c r="S96" i="93"/>
  <c r="AC288" i="93"/>
  <c r="AE288" i="93" s="1" a="1"/>
  <c r="AE288" i="93" s="1"/>
  <c r="AF288" i="93" s="1" a="1"/>
  <c r="AF288" i="93" s="1"/>
  <c r="AO240" i="93"/>
  <c r="AU304" i="27" s="1"/>
  <c r="AC192" i="93"/>
  <c r="AD192" i="93" s="1" a="1"/>
  <c r="AD192" i="93" s="1"/>
  <c r="AB240" i="93"/>
  <c r="U312" i="93"/>
  <c r="AG312" i="93" s="1"/>
  <c r="T48" i="93"/>
  <c r="R335" i="93"/>
  <c r="R311" i="93"/>
  <c r="R287" i="93"/>
  <c r="Q263" i="93"/>
  <c r="U239" i="93"/>
  <c r="AG239" i="93" s="1"/>
  <c r="U215" i="93"/>
  <c r="AG215" i="93" s="1"/>
  <c r="T168" i="93"/>
  <c r="S216" i="93"/>
  <c r="R96" i="93"/>
  <c r="AO24" i="93"/>
  <c r="AU83" i="27" s="1"/>
  <c r="U264" i="93"/>
  <c r="AG264" i="93" s="1"/>
  <c r="U192" i="93"/>
  <c r="AG192" i="93" s="1"/>
  <c r="T167" i="93"/>
  <c r="S288" i="93"/>
  <c r="S215" i="93"/>
  <c r="Q96" i="93"/>
  <c r="AB336" i="93"/>
  <c r="AO144" i="93"/>
  <c r="AU46" i="27" s="1"/>
  <c r="S287" i="93"/>
  <c r="R216" i="93"/>
  <c r="Q216" i="93"/>
  <c r="AO216" i="93"/>
  <c r="AU53" i="27" s="1"/>
  <c r="AB335" i="93"/>
  <c r="W326" i="97" s="1" a="1"/>
  <c r="W326" i="97" s="1"/>
  <c r="X326" i="97" s="1"/>
  <c r="AB144" i="93"/>
  <c r="S120" i="93"/>
  <c r="R215" i="93"/>
  <c r="Q215" i="93"/>
  <c r="AO264" i="93"/>
  <c r="AU120" i="27" s="1"/>
  <c r="T312" i="93"/>
  <c r="AC216" i="93"/>
  <c r="AD216" i="93" s="1" a="1"/>
  <c r="AD216" i="93" s="1"/>
  <c r="AO263" i="93"/>
  <c r="AU133" i="27" s="1"/>
  <c r="U96" i="93"/>
  <c r="AG96" i="93" s="1"/>
  <c r="R120" i="93"/>
  <c r="Q120" i="93"/>
  <c r="AO48" i="93"/>
  <c r="AU167" i="27" s="1"/>
  <c r="S240" i="93"/>
  <c r="R288" i="93"/>
  <c r="R119" i="93"/>
  <c r="AO168" i="93"/>
  <c r="AU26" i="27" s="1"/>
  <c r="S239" i="93"/>
  <c r="S144" i="93"/>
  <c r="S24" i="93"/>
  <c r="AC120" i="93"/>
  <c r="AD120" i="93" s="1" a="1"/>
  <c r="AD120" i="93" s="1"/>
  <c r="AO167" i="93"/>
  <c r="AU283" i="27" s="1"/>
  <c r="U216" i="93"/>
  <c r="AG216" i="93" s="1"/>
  <c r="S143" i="93"/>
  <c r="R240" i="93"/>
  <c r="AC240" i="93"/>
  <c r="AE240" i="93" s="1" a="1"/>
  <c r="AE240" i="93" s="1"/>
  <c r="AF240" i="93" s="1" a="1"/>
  <c r="AF240" i="93" s="1"/>
  <c r="R239" i="93"/>
  <c r="R144" i="93"/>
  <c r="R24" i="93"/>
  <c r="AO137" i="93"/>
  <c r="AU51" i="27" s="1"/>
  <c r="T65" i="93"/>
  <c r="S281" i="93"/>
  <c r="R89" i="93"/>
  <c r="AB89" i="93"/>
  <c r="W127" i="97" s="1" a="1"/>
  <c r="W127" i="97" s="1"/>
  <c r="X127" i="97" s="1"/>
  <c r="T233" i="93"/>
  <c r="S97" i="93"/>
  <c r="Q161" i="93"/>
  <c r="Q49" i="93"/>
  <c r="AB17" i="93"/>
  <c r="AC329" i="93"/>
  <c r="AD329" i="93" s="1" a="1"/>
  <c r="AD329" i="93" s="1"/>
  <c r="AC73" i="93"/>
  <c r="AE73" i="93" s="1" a="1"/>
  <c r="AE73" i="93" s="1"/>
  <c r="AF73" i="93" s="1" a="1"/>
  <c r="AF73" i="93" s="1"/>
  <c r="AO281" i="93"/>
  <c r="AU318" i="27" s="1"/>
  <c r="AO25" i="93"/>
  <c r="AU112" i="27" s="1"/>
  <c r="U65" i="93"/>
  <c r="AG65" i="93" s="1"/>
  <c r="S209" i="93"/>
  <c r="S41" i="93"/>
  <c r="R233" i="93"/>
  <c r="AC17" i="93"/>
  <c r="AE17" i="93" s="1" a="1"/>
  <c r="AE17" i="93" s="1"/>
  <c r="AF17" i="93" s="1" a="1"/>
  <c r="AF17" i="93" s="1"/>
  <c r="T89" i="93"/>
  <c r="AC281" i="93"/>
  <c r="AD281" i="93" s="1" a="1"/>
  <c r="AD281" i="93" s="1"/>
  <c r="AC193" i="93"/>
  <c r="AE193" i="93" s="1" a="1"/>
  <c r="AE193" i="93" s="1"/>
  <c r="AF193" i="93" s="1" a="1"/>
  <c r="AF193" i="93" s="1"/>
  <c r="AB169" i="93"/>
  <c r="W333" i="97" s="1" a="1"/>
  <c r="W333" i="97" s="1"/>
  <c r="X333" i="97" s="1"/>
  <c r="AC209" i="93"/>
  <c r="AE209" i="93" s="1" a="1"/>
  <c r="AE209" i="93" s="1"/>
  <c r="AF209" i="93" s="1" a="1"/>
  <c r="AF209" i="93" s="1"/>
  <c r="AB281" i="93"/>
  <c r="AB193" i="93"/>
  <c r="W315" i="97" s="1" a="1"/>
  <c r="W315" i="97" s="1"/>
  <c r="X315" i="97" s="1"/>
  <c r="AB113" i="93"/>
  <c r="W111" i="97" s="1" a="1"/>
  <c r="W111" i="97" s="1"/>
  <c r="X111" i="97" s="1"/>
  <c r="AO161" i="93"/>
  <c r="AU277" i="27" s="1"/>
  <c r="U310" i="93"/>
  <c r="AG310" i="93" s="1"/>
  <c r="U89" i="93"/>
  <c r="AG89" i="93" s="1"/>
  <c r="S331" i="93"/>
  <c r="S121" i="93"/>
  <c r="R113" i="93"/>
  <c r="Q17" i="93"/>
  <c r="AC185" i="93"/>
  <c r="AD185" i="93" s="1" a="1"/>
  <c r="AD185" i="93" s="1"/>
  <c r="AC97" i="93"/>
  <c r="AD97" i="93" s="1" a="1"/>
  <c r="AD97" i="93" s="1"/>
  <c r="U233" i="93"/>
  <c r="AG233" i="93" s="1"/>
  <c r="T257" i="93"/>
  <c r="S65" i="93"/>
  <c r="Q185" i="93"/>
  <c r="AC233" i="93"/>
  <c r="AE233" i="93" s="1" a="1"/>
  <c r="AE233" i="93" s="1"/>
  <c r="AF233" i="93" s="1" a="1"/>
  <c r="AF233" i="93" s="1"/>
  <c r="AC41" i="93"/>
  <c r="AE41" i="93" s="1" a="1"/>
  <c r="AE41" i="93" s="1"/>
  <c r="AF41" i="93" s="1" a="1"/>
  <c r="AF41" i="93" s="1"/>
  <c r="AB137" i="93"/>
  <c r="W28" i="97" s="1" a="1"/>
  <c r="W28" i="97" s="1"/>
  <c r="X28" i="97" s="1"/>
  <c r="T113" i="93"/>
  <c r="AB217" i="93"/>
  <c r="AO185" i="93"/>
  <c r="AU110" i="27" s="1"/>
  <c r="U113" i="93"/>
  <c r="AG113" i="93" s="1"/>
  <c r="R25" i="93"/>
  <c r="Q289" i="93"/>
  <c r="AC113" i="93"/>
  <c r="AD113" i="93" s="1" a="1"/>
  <c r="AD113" i="93" s="1"/>
  <c r="AO73" i="93"/>
  <c r="AU94" i="27" s="1"/>
  <c r="U305" i="93"/>
  <c r="AG305" i="93" s="1"/>
  <c r="U169" i="93"/>
  <c r="AG169" i="93" s="1"/>
  <c r="S89" i="93"/>
  <c r="R257" i="93"/>
  <c r="R137" i="93"/>
  <c r="Q41" i="93"/>
  <c r="AC121" i="93"/>
  <c r="AE121" i="93" s="1" a="1"/>
  <c r="AE121" i="93" s="1"/>
  <c r="AF121" i="93" s="1" a="1"/>
  <c r="AF121" i="93" s="1"/>
  <c r="AC65" i="93"/>
  <c r="AD65" i="93" s="1" a="1"/>
  <c r="AD65" i="93" s="1"/>
  <c r="AB161" i="93"/>
  <c r="W61" i="97" s="1" a="1"/>
  <c r="W61" i="97" s="1"/>
  <c r="X61" i="97" s="1"/>
  <c r="AB25" i="93"/>
  <c r="AO17" i="93"/>
  <c r="AU161" i="27" s="1"/>
  <c r="T137" i="93"/>
  <c r="Q209" i="93"/>
  <c r="AO97" i="93"/>
  <c r="AU266" i="27" s="1"/>
  <c r="U193" i="93"/>
  <c r="AG193" i="93" s="1"/>
  <c r="U137" i="93"/>
  <c r="AG137" i="93" s="1"/>
  <c r="T281" i="93"/>
  <c r="S113" i="93"/>
  <c r="R161" i="93"/>
  <c r="Q121" i="93"/>
  <c r="Q65" i="93"/>
  <c r="AC145" i="93"/>
  <c r="AD145" i="93" s="1" a="1"/>
  <c r="AD145" i="93" s="1"/>
  <c r="AC89" i="93"/>
  <c r="AD89" i="93" s="1" a="1"/>
  <c r="AD89" i="93" s="1"/>
  <c r="AB185" i="93"/>
  <c r="W193" i="97" s="1" a="1"/>
  <c r="W193" i="97" s="1"/>
  <c r="X193" i="97" s="1"/>
  <c r="AB49" i="93"/>
  <c r="AO41" i="93"/>
  <c r="AU237" i="27" s="1"/>
  <c r="U25" i="93"/>
  <c r="AG25" i="93" s="1"/>
  <c r="T161" i="93"/>
  <c r="AB209" i="93"/>
  <c r="W212" i="97" s="1" a="1"/>
  <c r="W212" i="97" s="1"/>
  <c r="X212" i="97" s="1"/>
  <c r="AO233" i="93"/>
  <c r="AU300" i="27" s="1"/>
  <c r="AO121" i="93"/>
  <c r="AU27" i="27" s="1"/>
  <c r="S257" i="93"/>
  <c r="S193" i="93"/>
  <c r="S137" i="93"/>
  <c r="R17" i="93"/>
  <c r="AB73" i="93"/>
  <c r="W114" i="97" s="1" a="1"/>
  <c r="W114" i="97" s="1"/>
  <c r="X114" i="97" s="1"/>
  <c r="AO65" i="93"/>
  <c r="AU144" i="27" s="1"/>
  <c r="U161" i="93"/>
  <c r="AG161" i="93" s="1"/>
  <c r="R185" i="93"/>
  <c r="Q233" i="93"/>
  <c r="Q89" i="93"/>
  <c r="T324" i="93"/>
  <c r="U300" i="93"/>
  <c r="AG300" i="93" s="1"/>
  <c r="S276" i="93"/>
  <c r="Q252" i="93"/>
  <c r="Q228" i="93"/>
  <c r="Q204" i="93"/>
  <c r="AB180" i="93"/>
  <c r="AB156" i="93"/>
  <c r="W331" i="97" s="1" a="1"/>
  <c r="W331" i="97" s="1"/>
  <c r="X331" i="97" s="1"/>
  <c r="R132" i="93"/>
  <c r="S108" i="93"/>
  <c r="S84" i="93"/>
  <c r="U60" i="93"/>
  <c r="AG60" i="93" s="1"/>
  <c r="U36" i="93"/>
  <c r="AG36" i="93" s="1"/>
  <c r="AB12" i="93"/>
  <c r="U49" i="93"/>
  <c r="AG49" i="93" s="1"/>
  <c r="T185" i="93"/>
  <c r="T73" i="93"/>
  <c r="T17" i="93"/>
  <c r="S161" i="93"/>
  <c r="R41" i="93"/>
  <c r="AB329" i="93"/>
  <c r="AB97" i="93"/>
  <c r="U185" i="93"/>
  <c r="AG185" i="93" s="1"/>
  <c r="U73" i="93"/>
  <c r="AG73" i="93" s="1"/>
  <c r="Q113" i="93"/>
  <c r="T305" i="93"/>
  <c r="S49" i="93"/>
  <c r="AB41" i="93"/>
  <c r="W181" i="97" s="1" a="1"/>
  <c r="W181" i="97" s="1"/>
  <c r="X181" i="97" s="1"/>
  <c r="AB121" i="93"/>
  <c r="W143" i="97" s="1" a="1"/>
  <c r="W143" i="97" s="1"/>
  <c r="X143" i="97" s="1"/>
  <c r="AO257" i="93"/>
  <c r="AU62" i="27" s="1"/>
  <c r="U17" i="93"/>
  <c r="AG17" i="93" s="1"/>
  <c r="T97" i="93"/>
  <c r="T41" i="93"/>
  <c r="R65" i="93"/>
  <c r="AC137" i="93"/>
  <c r="AD137" i="93" s="1" a="1"/>
  <c r="AD137" i="93" s="1"/>
  <c r="AO323" i="93"/>
  <c r="AU29" i="27" s="1"/>
  <c r="T209" i="93"/>
  <c r="R209" i="93"/>
  <c r="AO68" i="93"/>
  <c r="AU253" i="27" s="1"/>
  <c r="U276" i="93"/>
  <c r="AG276" i="93" s="1"/>
  <c r="U212" i="93"/>
  <c r="AG212" i="93" s="1"/>
  <c r="U84" i="93"/>
  <c r="AG84" i="93" s="1"/>
  <c r="T252" i="93"/>
  <c r="T20" i="93"/>
  <c r="Q20" i="93"/>
  <c r="AO92" i="93"/>
  <c r="AU262" i="27" s="1"/>
  <c r="U108" i="93"/>
  <c r="AG108" i="93" s="1"/>
  <c r="T44" i="93"/>
  <c r="S156" i="93"/>
  <c r="R236" i="93"/>
  <c r="R156" i="93"/>
  <c r="AO276" i="93"/>
  <c r="AU22" i="27" s="1"/>
  <c r="AO116" i="93"/>
  <c r="AU80" i="27" s="1"/>
  <c r="T276" i="93"/>
  <c r="S236" i="93"/>
  <c r="Q260" i="93"/>
  <c r="Q44" i="93"/>
  <c r="S337" i="93"/>
  <c r="Q313" i="93"/>
  <c r="AC289" i="93"/>
  <c r="AD289" i="93" s="1" a="1"/>
  <c r="AD289" i="93" s="1"/>
  <c r="U265" i="93"/>
  <c r="AG265" i="93" s="1"/>
  <c r="R241" i="93"/>
  <c r="R217" i="93"/>
  <c r="R193" i="93"/>
  <c r="R169" i="93"/>
  <c r="R145" i="93"/>
  <c r="R121" i="93"/>
  <c r="Q97" i="93"/>
  <c r="Q73" i="93"/>
  <c r="T49" i="93"/>
  <c r="Q25" i="93"/>
  <c r="AC36" i="93"/>
  <c r="AD36" i="93" s="1" a="1"/>
  <c r="AD36" i="93" s="1"/>
  <c r="AO140" i="93"/>
  <c r="AU39" i="27" s="1"/>
  <c r="U132" i="93"/>
  <c r="AG132" i="93" s="1"/>
  <c r="T335" i="93"/>
  <c r="T275" i="93"/>
  <c r="T68" i="93"/>
  <c r="S299" i="93"/>
  <c r="S180" i="93"/>
  <c r="R180" i="93"/>
  <c r="Q306" i="93"/>
  <c r="Q68" i="93"/>
  <c r="R336" i="93"/>
  <c r="Q312" i="93"/>
  <c r="T288" i="93"/>
  <c r="AC60" i="93"/>
  <c r="AD60" i="93" s="1" a="1"/>
  <c r="AD60" i="93" s="1"/>
  <c r="T334" i="93"/>
  <c r="T274" i="93"/>
  <c r="T92" i="93"/>
  <c r="S297" i="93"/>
  <c r="AC12" i="93"/>
  <c r="AE12" i="93" s="1" a="1"/>
  <c r="AE12" i="93" s="1"/>
  <c r="AF12" i="93" s="1" a="1"/>
  <c r="AF12" i="93" s="1"/>
  <c r="AC84" i="93"/>
  <c r="AD84" i="93" s="1" a="1"/>
  <c r="AD84" i="93" s="1"/>
  <c r="AB308" i="93"/>
  <c r="W253" i="97" s="1" a="1"/>
  <c r="W253" i="97" s="1"/>
  <c r="X253" i="97" s="1"/>
  <c r="AB252" i="93"/>
  <c r="W250" i="97" s="1" a="1"/>
  <c r="W250" i="97" s="1"/>
  <c r="X250" i="97" s="1"/>
  <c r="AO164" i="93"/>
  <c r="AU280" i="27" s="1"/>
  <c r="U236" i="93"/>
  <c r="AG236" i="93" s="1"/>
  <c r="U156" i="93"/>
  <c r="AG156" i="93" s="1"/>
  <c r="T116" i="93"/>
  <c r="S204" i="93"/>
  <c r="R308" i="93"/>
  <c r="Q92" i="93"/>
  <c r="AC236" i="93"/>
  <c r="AE236" i="93" s="1" a="1"/>
  <c r="AE236" i="93" s="1"/>
  <c r="AF236" i="93" s="1" a="1"/>
  <c r="AF236" i="93" s="1"/>
  <c r="AC108" i="93"/>
  <c r="AE108" i="93" s="1" a="1"/>
  <c r="AE108" i="93" s="1"/>
  <c r="AF108" i="93" s="1" a="1"/>
  <c r="AF108" i="93" s="1"/>
  <c r="AO332" i="93"/>
  <c r="AU59" i="27" s="1"/>
  <c r="AO300" i="93"/>
  <c r="AU106" i="27" s="1"/>
  <c r="AO12" i="93"/>
  <c r="AU36" i="27" s="1"/>
  <c r="U299" i="93"/>
  <c r="AG299" i="93" s="1"/>
  <c r="U180" i="93"/>
  <c r="AG180" i="93" s="1"/>
  <c r="T332" i="93"/>
  <c r="T299" i="93"/>
  <c r="T140" i="93"/>
  <c r="S260" i="93"/>
  <c r="R260" i="93"/>
  <c r="R204" i="93"/>
  <c r="U333" i="93"/>
  <c r="AG333" i="93" s="1"/>
  <c r="R309" i="93"/>
  <c r="R12" i="93"/>
  <c r="AC164" i="93"/>
  <c r="AD164" i="93" s="1" a="1"/>
  <c r="AD164" i="93" s="1"/>
  <c r="AB284" i="93"/>
  <c r="AB204" i="93"/>
  <c r="W9" i="97" s="1" a="1"/>
  <c r="W9" i="97" s="1"/>
  <c r="X9" i="97" s="1"/>
  <c r="AB228" i="93"/>
  <c r="W230" i="97" s="1" a="1"/>
  <c r="W230" i="97" s="1"/>
  <c r="X230" i="97" s="1"/>
  <c r="AH53" i="93"/>
  <c r="AC260" i="93"/>
  <c r="AD260" i="93" s="1" a="1"/>
  <c r="AD260" i="93" s="1"/>
  <c r="AC132" i="93"/>
  <c r="AD132" i="93" s="1" a="1"/>
  <c r="AD132" i="93" s="1"/>
  <c r="AO331" i="93"/>
  <c r="AU58" i="27" s="1"/>
  <c r="AO188" i="93"/>
  <c r="AU101" i="27" s="1"/>
  <c r="AO36" i="93"/>
  <c r="AU64" i="27" s="1"/>
  <c r="U297" i="93"/>
  <c r="AG297" i="93" s="1"/>
  <c r="U234" i="93"/>
  <c r="AG234" i="93" s="1"/>
  <c r="T331" i="93"/>
  <c r="T298" i="93"/>
  <c r="R20" i="93"/>
  <c r="Q116" i="93"/>
  <c r="S332" i="93"/>
  <c r="Q308" i="93"/>
  <c r="AC188" i="93"/>
  <c r="AE188" i="93" s="1" a="1"/>
  <c r="AE188" i="93" s="1"/>
  <c r="AF188" i="93" s="1" a="1"/>
  <c r="AF188" i="93" s="1"/>
  <c r="AB276" i="93"/>
  <c r="W273" i="97" s="1" a="1"/>
  <c r="W273" i="97" s="1"/>
  <c r="X273" i="97" s="1"/>
  <c r="AB20" i="93"/>
  <c r="W90" i="97" s="1" a="1"/>
  <c r="W90" i="97" s="1"/>
  <c r="X90" i="97" s="1"/>
  <c r="AO212" i="93"/>
  <c r="AU174" i="27" s="1"/>
  <c r="AO60" i="93"/>
  <c r="AU248" i="27" s="1"/>
  <c r="U204" i="93"/>
  <c r="AG204" i="93" s="1"/>
  <c r="T330" i="93"/>
  <c r="T164" i="93"/>
  <c r="T12" i="93"/>
  <c r="R44" i="93"/>
  <c r="Q140" i="93"/>
  <c r="Q12" i="93"/>
  <c r="AC212" i="93"/>
  <c r="AD212" i="93" s="1" a="1"/>
  <c r="AD212" i="93" s="1"/>
  <c r="AC156" i="93"/>
  <c r="AE156" i="93" s="1" a="1"/>
  <c r="AE156" i="93" s="1"/>
  <c r="AF156" i="93" s="1" a="1"/>
  <c r="AF156" i="93" s="1"/>
  <c r="AC180" i="93"/>
  <c r="AE180" i="93" s="1" a="1"/>
  <c r="AE180" i="93" s="1"/>
  <c r="AF180" i="93" s="1" a="1"/>
  <c r="AF180" i="93" s="1"/>
  <c r="AB44" i="93"/>
  <c r="W104" i="97" s="1" a="1"/>
  <c r="W104" i="97" s="1"/>
  <c r="X104" i="97" s="1"/>
  <c r="AO84" i="93"/>
  <c r="AU256" i="27" s="1"/>
  <c r="T36" i="93"/>
  <c r="S228" i="93"/>
  <c r="S20" i="93"/>
  <c r="R228" i="93"/>
  <c r="R68" i="93"/>
  <c r="U330" i="93"/>
  <c r="AG330" i="93" s="1"/>
  <c r="AC204" i="93"/>
  <c r="AE204" i="93" s="1" a="1"/>
  <c r="AE204" i="93" s="1"/>
  <c r="AF204" i="93" s="1" a="1"/>
  <c r="AF204" i="93" s="1"/>
  <c r="AB68" i="93"/>
  <c r="W37" i="97" s="1" a="1"/>
  <c r="W37" i="97" s="1"/>
  <c r="X37" i="97" s="1"/>
  <c r="AO236" i="93"/>
  <c r="AU207" i="27" s="1"/>
  <c r="AO108" i="93"/>
  <c r="AU185" i="27" s="1"/>
  <c r="T188" i="93"/>
  <c r="Q164" i="93"/>
  <c r="Q36" i="93"/>
  <c r="T329" i="93"/>
  <c r="S305" i="93"/>
  <c r="Q281" i="93"/>
  <c r="Q257" i="93"/>
  <c r="S233" i="93"/>
  <c r="AC324" i="93"/>
  <c r="AD324" i="93" s="1" a="1"/>
  <c r="AD324" i="93" s="1"/>
  <c r="AC284" i="93"/>
  <c r="AE284" i="93" s="1" a="1"/>
  <c r="AE284" i="93" s="1"/>
  <c r="AF284" i="93" s="1" a="1"/>
  <c r="AF284" i="93" s="1"/>
  <c r="AC228" i="93"/>
  <c r="AD228" i="93" s="1" a="1"/>
  <c r="AD228" i="93" s="1"/>
  <c r="AB332" i="93"/>
  <c r="W297" i="97" s="1" a="1"/>
  <c r="W297" i="97" s="1"/>
  <c r="X297" i="97" s="1"/>
  <c r="AB92" i="93"/>
  <c r="W129" i="97" s="1" a="1"/>
  <c r="W129" i="97" s="1"/>
  <c r="X129" i="97" s="1"/>
  <c r="AO324" i="93"/>
  <c r="AU115" i="27" s="1"/>
  <c r="AO132" i="93"/>
  <c r="AU154" i="27" s="1"/>
  <c r="U260" i="93"/>
  <c r="AG260" i="93" s="1"/>
  <c r="T323" i="93"/>
  <c r="T60" i="93"/>
  <c r="S44" i="93"/>
  <c r="R92" i="93"/>
  <c r="Q284" i="93"/>
  <c r="Q60" i="93"/>
  <c r="S328" i="93"/>
  <c r="S304" i="93"/>
  <c r="Q280" i="93"/>
  <c r="AH280" i="93" s="1"/>
  <c r="T212" i="93"/>
  <c r="T84" i="93"/>
  <c r="S68" i="93"/>
  <c r="Q188" i="93"/>
  <c r="T327" i="93"/>
  <c r="U303" i="93"/>
  <c r="AG303" i="93" s="1"/>
  <c r="Q279" i="93"/>
  <c r="AO255" i="93"/>
  <c r="AU306" i="27" s="1"/>
  <c r="S207" i="93"/>
  <c r="AH207" i="93" s="1"/>
  <c r="AB140" i="93"/>
  <c r="AO156" i="93"/>
  <c r="AU88" i="27" s="1"/>
  <c r="U228" i="93"/>
  <c r="AG228" i="93" s="1"/>
  <c r="U20" i="93"/>
  <c r="AG20" i="93" s="1"/>
  <c r="T108" i="93"/>
  <c r="S284" i="93"/>
  <c r="S252" i="93"/>
  <c r="S92" i="93"/>
  <c r="R116" i="93"/>
  <c r="Q84" i="93"/>
  <c r="T326" i="93"/>
  <c r="U302" i="93"/>
  <c r="AG302" i="93" s="1"/>
  <c r="R278" i="93"/>
  <c r="Q254" i="93"/>
  <c r="AH254" i="93" s="1"/>
  <c r="Q230" i="93"/>
  <c r="AH230" i="93" s="1"/>
  <c r="AB164" i="93"/>
  <c r="W176" i="97" s="1" a="1"/>
  <c r="W176" i="97" s="1"/>
  <c r="X176" i="97" s="1"/>
  <c r="AO260" i="93"/>
  <c r="AU132" i="27" s="1"/>
  <c r="U44" i="93"/>
  <c r="AG44" i="93" s="1"/>
  <c r="T236" i="93"/>
  <c r="T132" i="93"/>
  <c r="S116" i="93"/>
  <c r="Q212" i="93"/>
  <c r="Q301" i="93"/>
  <c r="R277" i="93"/>
  <c r="R284" i="93"/>
  <c r="U284" i="93"/>
  <c r="AG284" i="93" s="1"/>
  <c r="U92" i="93"/>
  <c r="AG92" i="93" s="1"/>
  <c r="T260" i="93"/>
  <c r="T156" i="93"/>
  <c r="R36" i="93"/>
  <c r="Q132" i="93"/>
  <c r="S323" i="93"/>
  <c r="Q299" i="93"/>
  <c r="U116" i="93"/>
  <c r="AG116" i="93" s="1"/>
  <c r="S164" i="93"/>
  <c r="S12" i="93"/>
  <c r="R164" i="93"/>
  <c r="R60" i="93"/>
  <c r="T322" i="93"/>
  <c r="AB324" i="93"/>
  <c r="AC276" i="93"/>
  <c r="AD276" i="93" s="1" a="1"/>
  <c r="AD276" i="93" s="1"/>
  <c r="AC20" i="93"/>
  <c r="AE20" i="93" s="1" a="1"/>
  <c r="AE20" i="93" s="1"/>
  <c r="AF20" i="93" s="1" a="1"/>
  <c r="AF20" i="93" s="1"/>
  <c r="AB236" i="93"/>
  <c r="W237" i="97" s="1" a="1"/>
  <c r="W237" i="97" s="1"/>
  <c r="X237" i="97" s="1"/>
  <c r="AB60" i="93"/>
  <c r="W256" i="97" s="1" a="1"/>
  <c r="W256" i="97" s="1"/>
  <c r="X256" i="97" s="1"/>
  <c r="AO228" i="93"/>
  <c r="AU298" i="27" s="1"/>
  <c r="U323" i="93"/>
  <c r="AG323" i="93" s="1"/>
  <c r="U252" i="93"/>
  <c r="AG252" i="93" s="1"/>
  <c r="T180" i="93"/>
  <c r="S275" i="93"/>
  <c r="Q156" i="93"/>
  <c r="T321" i="93"/>
  <c r="AC44" i="93"/>
  <c r="AE44" i="93" s="1" a="1"/>
  <c r="AE44" i="93" s="1"/>
  <c r="AF44" i="93" s="1" a="1"/>
  <c r="AF44" i="93" s="1"/>
  <c r="U140" i="93"/>
  <c r="AG140" i="93" s="1"/>
  <c r="S188" i="93"/>
  <c r="S36" i="93"/>
  <c r="R276" i="93"/>
  <c r="R188" i="93"/>
  <c r="R84" i="93"/>
  <c r="Q320" i="93"/>
  <c r="AH320" i="93" s="1"/>
  <c r="AB36" i="93"/>
  <c r="AB108" i="93"/>
  <c r="W47" i="97" s="1" a="1"/>
  <c r="W47" i="97" s="1"/>
  <c r="X47" i="97" s="1"/>
  <c r="T204" i="93"/>
  <c r="S273" i="93"/>
  <c r="AH273" i="93" s="1"/>
  <c r="S60" i="93"/>
  <c r="Q331" i="93"/>
  <c r="Q180" i="93"/>
  <c r="R319" i="93"/>
  <c r="AB84" i="93"/>
  <c r="W125" i="97" s="1" a="1"/>
  <c r="W125" i="97" s="1"/>
  <c r="X125" i="97" s="1"/>
  <c r="AB132" i="93"/>
  <c r="W151" i="97" s="1" a="1"/>
  <c r="W151" i="97" s="1"/>
  <c r="X151" i="97" s="1"/>
  <c r="AO252" i="93"/>
  <c r="AU18" i="27" s="1"/>
  <c r="U12" i="93"/>
  <c r="AG12" i="93" s="1"/>
  <c r="S311" i="93"/>
  <c r="R274" i="93"/>
  <c r="R108" i="93"/>
  <c r="Q330" i="93"/>
  <c r="AC300" i="93"/>
  <c r="AD300" i="93" s="1" a="1"/>
  <c r="AD300" i="93" s="1"/>
  <c r="T308" i="93"/>
  <c r="T228" i="93"/>
  <c r="S212" i="93"/>
  <c r="R212" i="93"/>
  <c r="Q317" i="93"/>
  <c r="AH317" i="93" s="1"/>
  <c r="AO308" i="93"/>
  <c r="AU181" i="27" s="1"/>
  <c r="S132" i="93"/>
  <c r="Q324" i="93"/>
  <c r="Q300" i="93"/>
  <c r="T268" i="93"/>
  <c r="T244" i="93"/>
  <c r="T220" i="93"/>
  <c r="T196" i="93"/>
  <c r="T172" i="93"/>
  <c r="T148" i="93"/>
  <c r="T124" i="93"/>
  <c r="U100" i="93"/>
  <c r="AG100" i="93" s="1"/>
  <c r="U76" i="93"/>
  <c r="AG76" i="93" s="1"/>
  <c r="U52" i="93"/>
  <c r="AG52" i="93" s="1"/>
  <c r="U28" i="93"/>
  <c r="AG28" i="93" s="1"/>
  <c r="S319" i="93"/>
  <c r="S145" i="93"/>
  <c r="R265" i="93"/>
  <c r="Q288" i="93"/>
  <c r="Q145" i="93"/>
  <c r="AB337" i="93"/>
  <c r="W328" i="97" s="1" a="1"/>
  <c r="W328" i="97" s="1"/>
  <c r="X328" i="97" s="1"/>
  <c r="AO337" i="93"/>
  <c r="AU109" i="27" s="1"/>
  <c r="S169" i="93"/>
  <c r="Q169" i="93"/>
  <c r="S313" i="93"/>
  <c r="Q337" i="93"/>
  <c r="AO145" i="93"/>
  <c r="AU209" i="27" s="1"/>
  <c r="U121" i="93"/>
  <c r="AG121" i="93" s="1"/>
  <c r="T145" i="93"/>
  <c r="S312" i="93"/>
  <c r="Q336" i="93"/>
  <c r="Q217" i="93"/>
  <c r="AC337" i="93"/>
  <c r="AE337" i="93" s="1" a="1"/>
  <c r="AE337" i="93" s="1"/>
  <c r="AF337" i="93" s="1" a="1"/>
  <c r="AF337" i="93" s="1"/>
  <c r="AO169" i="93"/>
  <c r="AU284" i="27" s="1"/>
  <c r="U317" i="93"/>
  <c r="AG317" i="93" s="1"/>
  <c r="U145" i="93"/>
  <c r="AG145" i="93" s="1"/>
  <c r="T169" i="93"/>
  <c r="S217" i="93"/>
  <c r="R301" i="93"/>
  <c r="Q332" i="93"/>
  <c r="S318" i="93"/>
  <c r="R294" i="93"/>
  <c r="T193" i="93"/>
  <c r="U313" i="93"/>
  <c r="AG313" i="93" s="1"/>
  <c r="T217" i="93"/>
  <c r="T241" i="93"/>
  <c r="S241" i="93"/>
  <c r="Q327" i="93"/>
  <c r="Q241" i="93"/>
  <c r="T265" i="93"/>
  <c r="R289" i="93"/>
  <c r="U217" i="93"/>
  <c r="AG217" i="93" s="1"/>
  <c r="T289" i="93"/>
  <c r="U308" i="93"/>
  <c r="AG308" i="93" s="1"/>
  <c r="S265" i="93"/>
  <c r="R73" i="93"/>
  <c r="S336" i="93"/>
  <c r="AB241" i="93"/>
  <c r="W241" i="97" s="1" a="1"/>
  <c r="W241" i="97" s="1"/>
  <c r="X241" i="97" s="1"/>
  <c r="T313" i="93"/>
  <c r="R97" i="93"/>
  <c r="Q319" i="93"/>
  <c r="AH111" i="93"/>
  <c r="R333" i="93"/>
  <c r="AB265" i="93"/>
  <c r="U241" i="93"/>
  <c r="AG241" i="93" s="1"/>
  <c r="R332" i="93"/>
  <c r="Q333" i="93"/>
  <c r="AO289" i="93"/>
  <c r="AU323" i="27" s="1"/>
  <c r="Q265" i="93"/>
  <c r="AC332" i="93"/>
  <c r="AE332" i="93" s="1" a="1"/>
  <c r="AE332" i="93" s="1"/>
  <c r="AF332" i="93" s="1" a="1"/>
  <c r="AF332" i="93" s="1"/>
  <c r="AB289" i="93"/>
  <c r="U337" i="93"/>
  <c r="AG337" i="93" s="1"/>
  <c r="S289" i="93"/>
  <c r="AC265" i="93"/>
  <c r="AD265" i="93" s="1" a="1"/>
  <c r="AD265" i="93" s="1"/>
  <c r="T337" i="93"/>
  <c r="S25" i="93"/>
  <c r="AB313" i="93"/>
  <c r="W264" i="97" s="1" a="1"/>
  <c r="W264" i="97" s="1"/>
  <c r="X264" i="97" s="1"/>
  <c r="R313" i="93"/>
  <c r="S300" i="93"/>
  <c r="Q276" i="93"/>
  <c r="R323" i="93"/>
  <c r="AO207" i="93"/>
  <c r="AU96" i="27" s="1"/>
  <c r="AC148" i="93"/>
  <c r="AD148" i="93" s="1" a="1"/>
  <c r="AD148" i="93" s="1"/>
  <c r="AC124" i="93"/>
  <c r="AD124" i="93" s="1" a="1"/>
  <c r="AD124" i="93" s="1"/>
  <c r="AC100" i="93"/>
  <c r="AE100" i="93" s="1" a="1"/>
  <c r="AE100" i="93" s="1"/>
  <c r="AF100" i="93" s="1" a="1"/>
  <c r="AF100" i="93" s="1"/>
  <c r="AC76" i="93"/>
  <c r="AD76" i="93" s="1" a="1"/>
  <c r="AD76" i="93" s="1"/>
  <c r="AC52" i="93"/>
  <c r="AD52" i="93" s="1" a="1"/>
  <c r="AD52" i="93" s="1"/>
  <c r="AC28" i="93"/>
  <c r="AD28" i="93" s="1" a="1"/>
  <c r="AD28" i="93" s="1"/>
  <c r="U327" i="93"/>
  <c r="AG327" i="93" s="1"/>
  <c r="T100" i="93"/>
  <c r="T76" i="93"/>
  <c r="T52" i="93"/>
  <c r="T28" i="93"/>
  <c r="U322" i="93"/>
  <c r="AG322" i="93" s="1"/>
  <c r="AO11" i="93"/>
  <c r="AU231" i="27" s="1"/>
  <c r="U324" i="93"/>
  <c r="AG324" i="93" s="1"/>
  <c r="S329" i="93"/>
  <c r="R303" i="93"/>
  <c r="Q305" i="93"/>
  <c r="R302" i="93"/>
  <c r="Q304" i="93"/>
  <c r="S327" i="93"/>
  <c r="Q303" i="93"/>
  <c r="AO329" i="93"/>
  <c r="AU5" i="27" s="1"/>
  <c r="T336" i="93"/>
  <c r="S324" i="93"/>
  <c r="R337" i="93"/>
  <c r="R300" i="93"/>
  <c r="S316" i="93"/>
  <c r="S292" i="93"/>
  <c r="S268" i="93"/>
  <c r="S244" i="93"/>
  <c r="S220" i="93"/>
  <c r="S196" i="93"/>
  <c r="S172" i="93"/>
  <c r="S148" i="93"/>
  <c r="S124" i="93"/>
  <c r="S100" i="93"/>
  <c r="S76" i="93"/>
  <c r="S52" i="93"/>
  <c r="S28" i="93"/>
  <c r="AB326" i="93"/>
  <c r="W294" i="97" s="1" a="1"/>
  <c r="W294" i="97" s="1"/>
  <c r="X294" i="97" s="1"/>
  <c r="U257" i="93"/>
  <c r="AG257" i="93" s="1"/>
  <c r="R299" i="93"/>
  <c r="Q315" i="93"/>
  <c r="R327" i="93"/>
  <c r="R324" i="93"/>
  <c r="AH39" i="93"/>
  <c r="S279" i="93"/>
  <c r="T300" i="93"/>
  <c r="Q255" i="93"/>
  <c r="Q329" i="93"/>
  <c r="R305" i="93"/>
  <c r="R281" i="93"/>
  <c r="R252" i="93"/>
  <c r="Q328" i="93"/>
  <c r="AO35" i="93"/>
  <c r="AU134" i="27" s="1"/>
  <c r="R279" i="93"/>
  <c r="AO327" i="93"/>
  <c r="AU49" i="27" s="1"/>
  <c r="AO303" i="93"/>
  <c r="AU331" i="27" s="1"/>
  <c r="R312" i="93"/>
  <c r="Q326" i="93"/>
  <c r="Q302" i="93"/>
  <c r="Q278" i="93"/>
  <c r="S325" i="93"/>
  <c r="S301" i="93"/>
  <c r="S277" i="93"/>
  <c r="S253" i="93"/>
  <c r="AH253" i="93" s="1"/>
  <c r="AO232" i="93"/>
  <c r="AU30" i="27" s="1"/>
  <c r="AH15" i="93"/>
  <c r="AH197" i="93"/>
  <c r="AO98" i="93"/>
  <c r="AU267" i="27" s="1"/>
  <c r="AH272" i="93"/>
  <c r="AO194" i="93"/>
  <c r="AU41" i="27" s="1"/>
  <c r="AO325" i="93"/>
  <c r="AU55" i="27" s="1"/>
  <c r="U320" i="93"/>
  <c r="AG320" i="93" s="1"/>
  <c r="U296" i="93"/>
  <c r="AG296" i="93" s="1"/>
  <c r="S334" i="93"/>
  <c r="R329" i="93"/>
  <c r="T316" i="93"/>
  <c r="U318" i="93"/>
  <c r="AG318" i="93" s="1"/>
  <c r="Q322" i="93"/>
  <c r="Q298" i="93"/>
  <c r="T292" i="93"/>
  <c r="AB322" i="93"/>
  <c r="W314" i="97" s="1" a="1"/>
  <c r="W314" i="97" s="1"/>
  <c r="X314" i="97" s="1"/>
  <c r="AB298" i="93"/>
  <c r="W248" i="97" s="1" a="1"/>
  <c r="W248" i="97" s="1"/>
  <c r="X248" i="97" s="1"/>
  <c r="AO322" i="93"/>
  <c r="AU136" i="27" s="1"/>
  <c r="R326" i="93"/>
  <c r="Q321" i="93"/>
  <c r="Q297" i="93"/>
  <c r="U316" i="93"/>
  <c r="AG316" i="93" s="1"/>
  <c r="U292" i="93"/>
  <c r="AG292" i="93" s="1"/>
  <c r="U268" i="93"/>
  <c r="AG268" i="93" s="1"/>
  <c r="U244" i="93"/>
  <c r="AG244" i="93" s="1"/>
  <c r="U220" i="93"/>
  <c r="AG220" i="93" s="1"/>
  <c r="U196" i="93"/>
  <c r="AG196" i="93" s="1"/>
  <c r="U172" i="93"/>
  <c r="AG172" i="93" s="1"/>
  <c r="U148" i="93"/>
  <c r="AG148" i="93" s="1"/>
  <c r="U124" i="93"/>
  <c r="AG124" i="93" s="1"/>
  <c r="AH296" i="93"/>
  <c r="U338" i="93"/>
  <c r="AG338" i="93" s="1"/>
  <c r="U314" i="93"/>
  <c r="AG314" i="93" s="1"/>
  <c r="U290" i="93"/>
  <c r="AG290" i="93" s="1"/>
  <c r="U266" i="93"/>
  <c r="AG266" i="93" s="1"/>
  <c r="U242" i="93"/>
  <c r="AG242" i="93" s="1"/>
  <c r="U218" i="93"/>
  <c r="AG218" i="93" s="1"/>
  <c r="Q318" i="93"/>
  <c r="Q294" i="93"/>
  <c r="R322" i="93"/>
  <c r="R298" i="93"/>
  <c r="AC322" i="93"/>
  <c r="AD322" i="93" s="1" a="1"/>
  <c r="AD322" i="93" s="1"/>
  <c r="AC298" i="93"/>
  <c r="AD298" i="93" s="1" a="1"/>
  <c r="AD298" i="93" s="1"/>
  <c r="AC274" i="93"/>
  <c r="AD274" i="93" s="1" a="1"/>
  <c r="AD274" i="93" s="1"/>
  <c r="AC250" i="93"/>
  <c r="AD250" i="93" s="1" a="1"/>
  <c r="AD250" i="93" s="1"/>
  <c r="AH269" i="93"/>
  <c r="AH149" i="93"/>
  <c r="AH101" i="93"/>
  <c r="AH29" i="93"/>
  <c r="U336" i="93"/>
  <c r="AG336" i="93" s="1"/>
  <c r="S326" i="93"/>
  <c r="S302" i="93"/>
  <c r="S278" i="93"/>
  <c r="Q316" i="93"/>
  <c r="Q292" i="93"/>
  <c r="Q268" i="93"/>
  <c r="Q244" i="93"/>
  <c r="Q220" i="93"/>
  <c r="Q196" i="93"/>
  <c r="Q172" i="93"/>
  <c r="Q148" i="93"/>
  <c r="Q124" i="93"/>
  <c r="Q100" i="93"/>
  <c r="Q76" i="93"/>
  <c r="Q52" i="93"/>
  <c r="Q28" i="93"/>
  <c r="AO88" i="93"/>
  <c r="AU258" i="27" s="1"/>
  <c r="AB316" i="93"/>
  <c r="AB292" i="93"/>
  <c r="W289" i="97" s="1" a="1"/>
  <c r="W289" i="97" s="1"/>
  <c r="X289" i="97" s="1"/>
  <c r="AB268" i="93"/>
  <c r="W265" i="97" s="1" a="1"/>
  <c r="W265" i="97" s="1"/>
  <c r="X265" i="97" s="1"/>
  <c r="AB244" i="93"/>
  <c r="W244" i="97" s="1" a="1"/>
  <c r="W244" i="97" s="1"/>
  <c r="X244" i="97" s="1"/>
  <c r="AB220" i="93"/>
  <c r="W335" i="97" s="1" a="1"/>
  <c r="W335" i="97" s="1"/>
  <c r="X335" i="97" s="1"/>
  <c r="AB196" i="93"/>
  <c r="W200" i="97" s="1" a="1"/>
  <c r="W200" i="97" s="1"/>
  <c r="X200" i="97" s="1"/>
  <c r="AB172" i="93"/>
  <c r="AB148" i="93"/>
  <c r="W166" i="97" s="1" a="1"/>
  <c r="W166" i="97" s="1"/>
  <c r="X166" i="97" s="1"/>
  <c r="AB124" i="93"/>
  <c r="AB100" i="93"/>
  <c r="W246" i="97" s="1" a="1"/>
  <c r="W246" i="97" s="1"/>
  <c r="X246" i="97" s="1"/>
  <c r="AB76" i="93"/>
  <c r="W117" i="97" s="1" a="1"/>
  <c r="W117" i="97" s="1"/>
  <c r="X117" i="97" s="1"/>
  <c r="AB52" i="93"/>
  <c r="W23" i="97" s="1" a="1"/>
  <c r="W23" i="97" s="1"/>
  <c r="X23" i="97" s="1"/>
  <c r="AB28" i="93"/>
  <c r="W18" i="97" s="1" a="1"/>
  <c r="W18" i="97" s="1"/>
  <c r="X18" i="97" s="1"/>
  <c r="AO316" i="93"/>
  <c r="AU337" i="27" s="1"/>
  <c r="AO292" i="93"/>
  <c r="AU325" i="27" s="1"/>
  <c r="AO268" i="93"/>
  <c r="AU168" i="27" s="1"/>
  <c r="AO244" i="93"/>
  <c r="AU194" i="27" s="1"/>
  <c r="AO220" i="93"/>
  <c r="AU295" i="27" s="1"/>
  <c r="AO172" i="93"/>
  <c r="AU287" i="27" s="1"/>
  <c r="AO148" i="93"/>
  <c r="AU128" i="27" s="1"/>
  <c r="AO124" i="93"/>
  <c r="AU201" i="27" s="1"/>
  <c r="AO100" i="93"/>
  <c r="AU269" i="27" s="1"/>
  <c r="AO76" i="93"/>
  <c r="AU81" i="27" s="1"/>
  <c r="AO28" i="93"/>
  <c r="AU216" i="27" s="1"/>
  <c r="U335" i="93"/>
  <c r="AG335" i="93" s="1"/>
  <c r="U311" i="93"/>
  <c r="AG311" i="93" s="1"/>
  <c r="U287" i="93"/>
  <c r="AG287" i="93" s="1"/>
  <c r="U263" i="93"/>
  <c r="AG263" i="93" s="1"/>
  <c r="Q338" i="93"/>
  <c r="Q314" i="93"/>
  <c r="Q290" i="93"/>
  <c r="Q266" i="93"/>
  <c r="Q242" i="93"/>
  <c r="Q218" i="93"/>
  <c r="Q194" i="93"/>
  <c r="AB338" i="93"/>
  <c r="W329" i="97" s="1" a="1"/>
  <c r="W329" i="97" s="1"/>
  <c r="X329" i="97" s="1"/>
  <c r="AB314" i="93"/>
  <c r="W72" i="97" s="1" a="1"/>
  <c r="W72" i="97" s="1"/>
  <c r="X72" i="97" s="1"/>
  <c r="AB290" i="93"/>
  <c r="W287" i="97" s="1" a="1"/>
  <c r="W287" i="97" s="1"/>
  <c r="X287" i="97" s="1"/>
  <c r="AB266" i="93"/>
  <c r="AB242" i="93"/>
  <c r="W43" i="97" s="1" a="1"/>
  <c r="W43" i="97" s="1"/>
  <c r="X43" i="97" s="1"/>
  <c r="AB218" i="93"/>
  <c r="W221" i="97" s="1" a="1"/>
  <c r="W221" i="97" s="1"/>
  <c r="X221" i="97" s="1"/>
  <c r="AO338" i="93"/>
  <c r="AU14" i="27" s="1"/>
  <c r="AO314" i="93"/>
  <c r="AU188" i="27" s="1"/>
  <c r="AO290" i="93"/>
  <c r="AU324" i="27" s="1"/>
  <c r="AO266" i="93"/>
  <c r="AU311" i="27" s="1"/>
  <c r="AO242" i="93"/>
  <c r="AU160" i="27" s="1"/>
  <c r="AO218" i="93"/>
  <c r="AU293" i="27" s="1"/>
  <c r="R318" i="93"/>
  <c r="S322" i="93"/>
  <c r="S298" i="93"/>
  <c r="R316" i="93"/>
  <c r="R292" i="93"/>
  <c r="R268" i="93"/>
  <c r="R244" i="93"/>
  <c r="R220" i="93"/>
  <c r="R196" i="93"/>
  <c r="R172" i="93"/>
  <c r="R148" i="93"/>
  <c r="R124" i="93"/>
  <c r="R100" i="93"/>
  <c r="R76" i="93"/>
  <c r="R52" i="93"/>
  <c r="R28" i="93"/>
  <c r="Q335" i="93"/>
  <c r="Q311" i="93"/>
  <c r="Q287" i="93"/>
  <c r="AC316" i="93"/>
  <c r="AE316" i="93" s="1" a="1"/>
  <c r="AE316" i="93" s="1"/>
  <c r="AF316" i="93" s="1" a="1"/>
  <c r="AF316" i="93" s="1"/>
  <c r="AC292" i="93"/>
  <c r="AD292" i="93" s="1" a="1"/>
  <c r="AD292" i="93" s="1"/>
  <c r="AC268" i="93"/>
  <c r="AE268" i="93" s="1" a="1"/>
  <c r="AE268" i="93" s="1"/>
  <c r="AF268" i="93" s="1" a="1"/>
  <c r="AF268" i="93" s="1"/>
  <c r="AC244" i="93"/>
  <c r="AD244" i="93" s="1" a="1"/>
  <c r="AD244" i="93" s="1"/>
  <c r="AC220" i="93"/>
  <c r="AD220" i="93" s="1" a="1"/>
  <c r="AD220" i="93" s="1"/>
  <c r="AC196" i="93"/>
  <c r="AD196" i="93" s="1" a="1"/>
  <c r="AD196" i="93" s="1"/>
  <c r="AC172" i="93"/>
  <c r="AD172" i="93" s="1" a="1"/>
  <c r="AD172" i="93" s="1"/>
  <c r="Q334" i="93"/>
  <c r="R338" i="93"/>
  <c r="R314" i="93"/>
  <c r="R290" i="93"/>
  <c r="R266" i="93"/>
  <c r="R242" i="93"/>
  <c r="R218" i="93"/>
  <c r="R194" i="93"/>
  <c r="AC338" i="93"/>
  <c r="AD338" i="93" s="1" a="1"/>
  <c r="AD338" i="93" s="1"/>
  <c r="AC314" i="93"/>
  <c r="AD314" i="93" s="1" a="1"/>
  <c r="AD314" i="93" s="1"/>
  <c r="AC290" i="93"/>
  <c r="AD290" i="93" s="1" a="1"/>
  <c r="AD290" i="93" s="1"/>
  <c r="AC266" i="93"/>
  <c r="AE266" i="93" s="1" a="1"/>
  <c r="AE266" i="93" s="1"/>
  <c r="AF266" i="93" s="1" a="1"/>
  <c r="AF266" i="93" s="1"/>
  <c r="AC242" i="93"/>
  <c r="AD242" i="93" s="1" a="1"/>
  <c r="AD242" i="93" s="1"/>
  <c r="AB327" i="93"/>
  <c r="AB303" i="93"/>
  <c r="W299" i="97" s="1" a="1"/>
  <c r="W299" i="97" s="1"/>
  <c r="X299" i="97" s="1"/>
  <c r="AO269" i="93"/>
  <c r="AU191" i="27" s="1"/>
  <c r="AH115" i="93"/>
  <c r="AH206" i="93"/>
  <c r="AH182" i="93"/>
  <c r="AH158" i="93"/>
  <c r="AH110" i="93"/>
  <c r="AH86" i="93"/>
  <c r="AH62" i="93"/>
  <c r="AH38" i="93"/>
  <c r="AO118" i="93"/>
  <c r="AU223" i="27" s="1"/>
  <c r="AH153" i="93"/>
  <c r="AH114" i="93"/>
  <c r="AH183" i="93"/>
  <c r="AH63" i="93"/>
  <c r="AH173" i="93"/>
  <c r="AH66" i="93"/>
  <c r="AH159" i="93"/>
  <c r="AH87" i="93"/>
  <c r="AH235" i="93"/>
  <c r="AH67" i="93"/>
  <c r="AH152" i="93"/>
  <c r="AH166" i="93"/>
  <c r="AH142" i="93"/>
  <c r="AH46" i="93"/>
  <c r="AH22" i="93"/>
  <c r="AO67" i="93"/>
  <c r="AU113" i="27" s="1"/>
  <c r="AH9" i="93"/>
  <c r="AH229" i="93"/>
  <c r="AH85" i="93"/>
  <c r="AH293" i="93"/>
  <c r="AH200" i="93"/>
  <c r="AH57" i="93"/>
  <c r="AO10" i="93"/>
  <c r="AU222" i="27" s="1"/>
  <c r="AH105" i="93"/>
  <c r="AH245" i="93"/>
  <c r="AO208" i="93"/>
  <c r="AU12" i="27" s="1"/>
  <c r="AH104" i="93"/>
  <c r="AH33" i="93"/>
  <c r="AO318" i="93"/>
  <c r="AU38" i="27" s="1"/>
  <c r="AH32" i="93"/>
  <c r="AO317" i="93"/>
  <c r="AU205" i="27" s="1"/>
  <c r="AH249" i="93"/>
  <c r="AD134" i="93" a="1"/>
  <c r="AD134" i="93" s="1"/>
  <c r="AH248" i="93"/>
  <c r="AH163" i="93"/>
  <c r="AD133" i="93" a="1"/>
  <c r="AD133" i="93" s="1"/>
  <c r="AH81" i="93"/>
  <c r="AH162" i="93"/>
  <c r="AD110" i="93" a="1"/>
  <c r="AD110" i="93" s="1"/>
  <c r="AH258" i="93"/>
  <c r="AH90" i="93"/>
  <c r="AD13" i="93" a="1"/>
  <c r="AD13" i="93" s="1"/>
  <c r="AH201" i="93"/>
  <c r="AO245" i="93"/>
  <c r="AU179" i="27" s="1"/>
  <c r="AO153" i="93"/>
  <c r="AU273" i="27" s="1"/>
  <c r="AH234" i="93"/>
  <c r="AH129" i="93"/>
  <c r="AO129" i="93"/>
  <c r="AU229" i="27" s="1"/>
  <c r="AH283" i="93"/>
  <c r="AH138" i="93"/>
  <c r="AH42" i="93"/>
  <c r="AH18" i="93"/>
  <c r="AH259" i="93"/>
  <c r="AO297" i="93"/>
  <c r="AU193" i="27" s="1"/>
  <c r="AH307" i="93"/>
  <c r="AH19" i="93"/>
  <c r="AO26" i="93"/>
  <c r="AU79" i="27" s="1"/>
  <c r="AH210" i="93"/>
  <c r="AH135" i="93"/>
  <c r="AH211" i="93"/>
  <c r="AH43" i="93"/>
  <c r="AO296" i="93"/>
  <c r="AU328" i="27" s="1"/>
  <c r="AH225" i="93"/>
  <c r="AH224" i="93"/>
  <c r="AH8" i="93"/>
  <c r="AO235" i="93"/>
  <c r="AU302" i="27" s="1"/>
  <c r="AH134" i="93"/>
  <c r="AO321" i="93"/>
  <c r="AU45" i="27" s="1"/>
  <c r="AH176" i="93"/>
  <c r="AH128" i="93"/>
  <c r="AH80" i="93"/>
  <c r="AH56" i="93"/>
  <c r="AH231" i="93"/>
  <c r="AH221" i="93"/>
  <c r="AH14" i="93"/>
  <c r="AO330" i="93"/>
  <c r="AU68" i="27" s="1"/>
  <c r="AH310" i="93"/>
  <c r="AH286" i="93"/>
  <c r="AH238" i="93"/>
  <c r="AH214" i="93"/>
  <c r="AH190" i="93"/>
  <c r="AH139" i="93"/>
  <c r="AD206" i="93" a="1"/>
  <c r="AD206" i="93" s="1"/>
  <c r="AE206" i="93" a="1"/>
  <c r="AE206" i="93" s="1"/>
  <c r="AF206" i="93" s="1" a="1"/>
  <c r="AF206" i="93" s="1"/>
  <c r="AO177" i="93"/>
  <c r="AU138" i="27" s="1"/>
  <c r="AH177" i="93"/>
  <c r="AO139" i="93"/>
  <c r="AU271" i="27" s="1"/>
  <c r="AO259" i="93"/>
  <c r="AU308" i="27" s="1"/>
  <c r="AO138" i="93"/>
  <c r="AU155" i="27" s="1"/>
  <c r="AE62" i="93" a="1"/>
  <c r="AE62" i="93" s="1"/>
  <c r="AF62" i="93" s="1" a="1"/>
  <c r="AF62" i="93" s="1"/>
  <c r="AO166" i="93"/>
  <c r="AU282" i="27" s="1"/>
  <c r="AD302" i="93" a="1"/>
  <c r="AD302" i="93" s="1"/>
  <c r="AH91" i="93"/>
  <c r="AO91" i="93"/>
  <c r="AU261" i="27" s="1"/>
  <c r="AO186" i="93"/>
  <c r="AU91" i="27" s="1"/>
  <c r="AH186" i="93"/>
  <c r="AH187" i="93"/>
  <c r="AO187" i="93"/>
  <c r="AU52" i="27" s="1"/>
  <c r="AO114" i="93"/>
  <c r="AU187" i="27" s="1"/>
  <c r="AH118" i="93"/>
  <c r="AH70" i="93"/>
  <c r="AO320" i="93"/>
  <c r="AU114" i="27" s="1"/>
  <c r="AO128" i="93"/>
  <c r="AU228" i="27" s="1"/>
  <c r="AO43" i="93"/>
  <c r="AU156" i="27" s="1"/>
  <c r="AH146" i="93"/>
  <c r="AH122" i="93"/>
  <c r="AH256" i="93"/>
  <c r="AH232" i="93"/>
  <c r="AH184" i="93"/>
  <c r="AH136" i="93"/>
  <c r="AH112" i="93"/>
  <c r="AH88" i="93"/>
  <c r="AH64" i="93"/>
  <c r="AH16" i="93"/>
  <c r="AH251" i="93"/>
  <c r="AH227" i="93"/>
  <c r="AH203" i="93"/>
  <c r="AH179" i="93"/>
  <c r="AH155" i="93"/>
  <c r="AH131" i="93"/>
  <c r="AH107" i="93"/>
  <c r="AH83" i="93"/>
  <c r="AH59" i="93"/>
  <c r="AH35" i="93"/>
  <c r="AH11" i="93"/>
  <c r="AO42" i="93"/>
  <c r="AU238" i="27" s="1"/>
  <c r="AO33" i="93"/>
  <c r="AU70" i="27" s="1"/>
  <c r="AO19" i="93"/>
  <c r="AU24" i="27" s="1"/>
  <c r="AO18" i="93"/>
  <c r="AU165" i="27" s="1"/>
  <c r="AO307" i="93"/>
  <c r="AU102" i="27" s="1"/>
  <c r="AE105" i="93" a="1"/>
  <c r="AE105" i="93" s="1"/>
  <c r="AF105" i="93" s="1" a="1"/>
  <c r="AF105" i="93" s="1"/>
  <c r="AD205" i="93" a="1"/>
  <c r="AD205" i="93" s="1"/>
  <c r="AO211" i="93"/>
  <c r="AU186" i="27" s="1"/>
  <c r="AD336" i="93" a="1"/>
  <c r="AD336" i="93" s="1"/>
  <c r="AD321" i="93" a="1"/>
  <c r="AD321" i="93" s="1"/>
  <c r="AD255" i="93" a="1"/>
  <c r="AD255" i="93" s="1"/>
  <c r="AD254" i="93" a="1"/>
  <c r="AD254" i="93" s="1"/>
  <c r="AD111" i="93" a="1"/>
  <c r="AD111" i="93" s="1"/>
  <c r="AH262" i="93"/>
  <c r="AE256" i="93" a="1"/>
  <c r="AE256" i="93" s="1"/>
  <c r="AF256" i="93" s="1" a="1"/>
  <c r="AF256" i="93" s="1"/>
  <c r="AE182" i="93" a="1"/>
  <c r="AE182" i="93" s="1"/>
  <c r="AF182" i="93" s="1" a="1"/>
  <c r="AF182" i="93" s="1"/>
  <c r="AH205" i="93"/>
  <c r="AD184" i="93" a="1"/>
  <c r="AD184" i="93" s="1"/>
  <c r="AH94" i="93"/>
  <c r="AO70" i="93"/>
  <c r="AU8" i="27" s="1"/>
  <c r="AH37" i="93"/>
  <c r="AO304" i="93"/>
  <c r="AU332" i="27" s="1"/>
  <c r="AE77" i="93" a="1"/>
  <c r="AE77" i="93" s="1"/>
  <c r="AF77" i="93" s="1" a="1"/>
  <c r="AF77" i="93" s="1"/>
  <c r="AD326" i="93" a="1"/>
  <c r="AD326" i="93" s="1"/>
  <c r="AD267" i="93" a="1"/>
  <c r="AD267" i="93" s="1"/>
  <c r="AE257" i="93" a="1"/>
  <c r="AE257" i="93" s="1"/>
  <c r="AF257" i="93" s="1" a="1"/>
  <c r="AF257" i="93" s="1"/>
  <c r="AE201" i="93" a="1"/>
  <c r="AE201" i="93" s="1"/>
  <c r="AF201" i="93" s="1" a="1"/>
  <c r="AF201" i="93" s="1"/>
  <c r="AH109" i="93"/>
  <c r="AE195" i="93" a="1"/>
  <c r="AE195" i="93" s="1"/>
  <c r="AF195" i="93" s="1" a="1"/>
  <c r="AF195" i="93" s="1"/>
  <c r="AE325" i="93" a="1"/>
  <c r="AE325" i="93" s="1"/>
  <c r="AF325" i="93" s="1" a="1"/>
  <c r="AF325" i="93" s="1"/>
  <c r="AE40" i="93" a="1"/>
  <c r="AE40" i="93" s="1"/>
  <c r="AF40" i="93" s="1" a="1"/>
  <c r="AF40" i="93" s="1"/>
  <c r="AE315" i="93" a="1"/>
  <c r="AE315" i="93" s="1"/>
  <c r="AF315" i="93" s="1" a="1"/>
  <c r="AF315" i="93" s="1"/>
  <c r="AE181" i="93" a="1"/>
  <c r="AE181" i="93" s="1"/>
  <c r="AF181" i="93" s="1" a="1"/>
  <c r="AF181" i="93" s="1"/>
  <c r="AE35" i="93" a="1"/>
  <c r="AE35" i="93" s="1"/>
  <c r="AF35" i="93" s="1" a="1"/>
  <c r="AF35" i="93" s="1"/>
  <c r="AD253" i="93" a="1"/>
  <c r="AD253" i="93" s="1"/>
  <c r="AD109" i="93" a="1"/>
  <c r="AD109" i="93" s="1"/>
  <c r="AH157" i="93"/>
  <c r="AE301" i="93" a="1"/>
  <c r="AE301" i="93" s="1"/>
  <c r="AF301" i="93" s="1" a="1"/>
  <c r="AF301" i="93" s="1"/>
  <c r="AE169" i="93" a="1"/>
  <c r="AE169" i="93" s="1"/>
  <c r="AF169" i="93" s="1" a="1"/>
  <c r="AF169" i="93" s="1"/>
  <c r="AE26" i="93" a="1"/>
  <c r="AE26" i="93" s="1"/>
  <c r="AF26" i="93" s="1" a="1"/>
  <c r="AF26" i="93" s="1"/>
  <c r="AE153" i="93" a="1"/>
  <c r="AE153" i="93" s="1"/>
  <c r="AF153" i="93" s="1" a="1"/>
  <c r="AF153" i="93" s="1"/>
  <c r="AD249" i="93" a="1"/>
  <c r="AD249" i="93" s="1"/>
  <c r="AD129" i="93" a="1"/>
  <c r="AD129" i="93" s="1"/>
  <c r="AH13" i="93"/>
  <c r="AE277" i="93" a="1"/>
  <c r="AE277" i="93" s="1"/>
  <c r="AF277" i="93" s="1" a="1"/>
  <c r="AF277" i="93" s="1"/>
  <c r="AE11" i="93" a="1"/>
  <c r="AE11" i="93" s="1"/>
  <c r="AF11" i="93" s="1" a="1"/>
  <c r="AF11" i="93" s="1"/>
  <c r="AH160" i="93"/>
  <c r="AE61" i="93" a="1"/>
  <c r="AE61" i="93" s="1"/>
  <c r="AF61" i="93" s="1" a="1"/>
  <c r="AF61" i="93" s="1"/>
  <c r="AH181" i="93"/>
  <c r="AE275" i="93" a="1"/>
  <c r="AE275" i="93" s="1"/>
  <c r="AF275" i="93" s="1" a="1"/>
  <c r="AF275" i="93" s="1"/>
  <c r="AE10" i="93" a="1"/>
  <c r="AE10" i="93" s="1"/>
  <c r="AF10" i="93" s="1" a="1"/>
  <c r="AF10" i="93" s="1"/>
  <c r="AD221" i="93" a="1"/>
  <c r="AD221" i="93" s="1"/>
  <c r="AD81" i="93" a="1"/>
  <c r="AD81" i="93" s="1"/>
  <c r="AD225" i="93" a="1"/>
  <c r="AD225" i="93" s="1"/>
  <c r="AE273" i="93" a="1"/>
  <c r="AE273" i="93" s="1"/>
  <c r="AF273" i="93" s="1" a="1"/>
  <c r="AF273" i="93" s="1"/>
  <c r="AE125" i="93" a="1"/>
  <c r="AE125" i="93" s="1"/>
  <c r="AF125" i="93" s="1" a="1"/>
  <c r="AF125" i="93" s="1"/>
  <c r="AE9" i="93" a="1"/>
  <c r="AE9" i="93" s="1"/>
  <c r="AF9" i="93" s="1" a="1"/>
  <c r="AF9" i="93" s="1"/>
  <c r="AH133" i="93"/>
  <c r="AE123" i="93" a="1"/>
  <c r="AE123" i="93" s="1"/>
  <c r="AF123" i="93" s="1" a="1"/>
  <c r="AF123" i="93" s="1"/>
  <c r="AH61" i="93"/>
  <c r="AO253" i="93"/>
  <c r="AU89" i="27" s="1"/>
  <c r="AO229" i="93"/>
  <c r="AU299" i="27" s="1"/>
  <c r="AO85" i="93"/>
  <c r="AU85" i="27" s="1"/>
  <c r="AD312" i="93" a="1"/>
  <c r="AD312" i="93" s="1"/>
  <c r="AD177" i="93" a="1"/>
  <c r="AD177" i="93" s="1"/>
  <c r="AE241" i="93" a="1"/>
  <c r="AE241" i="93" s="1"/>
  <c r="AF241" i="93" s="1" a="1"/>
  <c r="AF241" i="93" s="1"/>
  <c r="AD304" i="93" a="1"/>
  <c r="AD304" i="93" s="1"/>
  <c r="AD33" i="93" a="1"/>
  <c r="AD33" i="93" s="1"/>
  <c r="AE226" i="93" a="1"/>
  <c r="AE226" i="93" s="1"/>
  <c r="AF226" i="93" s="1" a="1"/>
  <c r="AF226" i="93" s="1"/>
  <c r="AE75" i="93" a="1"/>
  <c r="AE75" i="93" s="1"/>
  <c r="AF75" i="93" s="1" a="1"/>
  <c r="AF75" i="93" s="1"/>
  <c r="AH267" i="93"/>
  <c r="AH243" i="93"/>
  <c r="AH219" i="93"/>
  <c r="AH195" i="93"/>
  <c r="AH171" i="93"/>
  <c r="AH147" i="93"/>
  <c r="AH123" i="93"/>
  <c r="AH99" i="93"/>
  <c r="AH75" i="93"/>
  <c r="AH51" i="93"/>
  <c r="AH27" i="93"/>
  <c r="AD55" i="93" a="1"/>
  <c r="AD55" i="93" s="1"/>
  <c r="AD252" i="93" a="1"/>
  <c r="AD252" i="93" s="1"/>
  <c r="AD183" i="93" a="1"/>
  <c r="AD183" i="93" s="1"/>
  <c r="AD49" i="93" a="1"/>
  <c r="AD49" i="93" s="1"/>
  <c r="AD319" i="93" a="1"/>
  <c r="AD319" i="93" s="1"/>
  <c r="AD313" i="93" a="1"/>
  <c r="AD313" i="93" s="1"/>
  <c r="AE175" i="93" a="1"/>
  <c r="AE175" i="93" s="1"/>
  <c r="AF175" i="93" s="1" a="1"/>
  <c r="AF175" i="93" s="1"/>
  <c r="AE247" i="93" a="1"/>
  <c r="AE247" i="93" s="1"/>
  <c r="AF247" i="93" s="1" a="1"/>
  <c r="AF247" i="93" s="1"/>
  <c r="AE173" i="93" a="1"/>
  <c r="AE173" i="93" s="1"/>
  <c r="AF173" i="93" s="1" a="1"/>
  <c r="AF173" i="93" s="1"/>
  <c r="AD311" i="93" a="1"/>
  <c r="AD311" i="93" s="1"/>
  <c r="AE223" i="93" a="1"/>
  <c r="AE223" i="93" s="1"/>
  <c r="AF223" i="93" s="1" a="1"/>
  <c r="AF223" i="93" s="1"/>
  <c r="AE317" i="93" a="1"/>
  <c r="AE317" i="93" s="1"/>
  <c r="AF317" i="93" s="1" a="1"/>
  <c r="AF317" i="93" s="1"/>
  <c r="AD230" i="93" a="1"/>
  <c r="AD230" i="93" s="1"/>
  <c r="AD31" i="93" a="1"/>
  <c r="AD31" i="93" s="1"/>
  <c r="AE38" i="93" a="1"/>
  <c r="AE38" i="93" s="1"/>
  <c r="AF38" i="93" s="1" a="1"/>
  <c r="AF38" i="93" s="1"/>
  <c r="AD303" i="93" a="1"/>
  <c r="AD303" i="93" s="1"/>
  <c r="AD229" i="93" a="1"/>
  <c r="AD229" i="93" s="1"/>
  <c r="AE157" i="93" a="1"/>
  <c r="AE157" i="93" s="1"/>
  <c r="AF157" i="93" s="1" a="1"/>
  <c r="AF157" i="93" s="1"/>
  <c r="AE37" i="93" a="1"/>
  <c r="AE37" i="93" s="1"/>
  <c r="AF37" i="93" s="1" a="1"/>
  <c r="AF37" i="93" s="1"/>
  <c r="AD103" i="93" a="1"/>
  <c r="AD103" i="93" s="1"/>
  <c r="AD29" i="93" a="1"/>
  <c r="AD29" i="93" s="1"/>
  <c r="AD25" i="93" a="1"/>
  <c r="AD25" i="93" s="1"/>
  <c r="AE151" i="93" a="1"/>
  <c r="AE151" i="93" s="1"/>
  <c r="AF151" i="93" s="1" a="1"/>
  <c r="AF151" i="93" s="1"/>
  <c r="AE293" i="93" a="1"/>
  <c r="AE293" i="93" s="1"/>
  <c r="AF293" i="93" s="1" a="1"/>
  <c r="AF293" i="93" s="1"/>
  <c r="AE149" i="93" a="1"/>
  <c r="AE149" i="93" s="1"/>
  <c r="AF149" i="93" s="1" a="1"/>
  <c r="AF149" i="93" s="1"/>
  <c r="AE85" i="93" a="1"/>
  <c r="AE85" i="93" s="1"/>
  <c r="AF85" i="93" s="1" a="1"/>
  <c r="AF85" i="93" s="1"/>
  <c r="AD217" i="93" a="1"/>
  <c r="AD217" i="93" s="1"/>
  <c r="AD271" i="93" a="1"/>
  <c r="AD271" i="93" s="1"/>
  <c r="AD79" i="93" a="1"/>
  <c r="AD79" i="93" s="1"/>
  <c r="AD269" i="93" a="1"/>
  <c r="AD269" i="93" s="1"/>
  <c r="AD207" i="93" a="1"/>
  <c r="AD207" i="93" s="1"/>
  <c r="AE199" i="93" a="1"/>
  <c r="AE199" i="93" s="1"/>
  <c r="AF199" i="93" s="1" a="1"/>
  <c r="AF199" i="93" s="1"/>
  <c r="AE127" i="93" a="1"/>
  <c r="AE127" i="93" s="1"/>
  <c r="AF127" i="93" s="1" a="1"/>
  <c r="AF127" i="93" s="1"/>
  <c r="AE305" i="93" a="1"/>
  <c r="AE305" i="93" s="1"/>
  <c r="AF305" i="93" s="1" a="1"/>
  <c r="AF305" i="93" s="1"/>
  <c r="AD305" i="93" a="1"/>
  <c r="AD305" i="93" s="1"/>
  <c r="AD161" i="93" a="1"/>
  <c r="AD161" i="93" s="1"/>
  <c r="AE161" i="93" a="1"/>
  <c r="AE161" i="93" s="1"/>
  <c r="AF161" i="93" s="1" a="1"/>
  <c r="AF161" i="93" s="1"/>
  <c r="AD306" i="93" a="1"/>
  <c r="AD306" i="93" s="1"/>
  <c r="AE306" i="93" a="1"/>
  <c r="AE306" i="93" s="1"/>
  <c r="AF306" i="93" s="1" a="1"/>
  <c r="AF306" i="93" s="1"/>
  <c r="AE210" i="93" a="1"/>
  <c r="AE210" i="93" s="1"/>
  <c r="AF210" i="93" s="1" a="1"/>
  <c r="AF210" i="93" s="1"/>
  <c r="AD210" i="93" a="1"/>
  <c r="AD210" i="93" s="1"/>
  <c r="AE138" i="93" a="1"/>
  <c r="AE138" i="93" s="1"/>
  <c r="AF138" i="93" s="1" a="1"/>
  <c r="AF138" i="93" s="1"/>
  <c r="AD138" i="93" a="1"/>
  <c r="AD138" i="93" s="1"/>
  <c r="AE18" i="93" a="1"/>
  <c r="AE18" i="93" s="1"/>
  <c r="AF18" i="93" s="1" a="1"/>
  <c r="AF18" i="93" s="1"/>
  <c r="AD18" i="93" a="1"/>
  <c r="AD18" i="93" s="1"/>
  <c r="AE282" i="93" a="1"/>
  <c r="AE282" i="93" s="1"/>
  <c r="AF282" i="93" s="1" a="1"/>
  <c r="AF282" i="93" s="1"/>
  <c r="AD282" i="93" a="1"/>
  <c r="AD282" i="93" s="1"/>
  <c r="AD162" i="93" a="1"/>
  <c r="AD162" i="93" s="1"/>
  <c r="AE162" i="93" a="1"/>
  <c r="AE162" i="93" s="1"/>
  <c r="AF162" i="93" s="1" a="1"/>
  <c r="AF162" i="93" s="1"/>
  <c r="AE90" i="93" a="1"/>
  <c r="AE90" i="93" s="1"/>
  <c r="AF90" i="93" s="1" a="1"/>
  <c r="AF90" i="93" s="1"/>
  <c r="AD90" i="93" a="1"/>
  <c r="AD90" i="93" s="1"/>
  <c r="AE283" i="93" a="1"/>
  <c r="AE283" i="93" s="1"/>
  <c r="AF283" i="93" s="1" a="1"/>
  <c r="AF283" i="93" s="1"/>
  <c r="AO45" i="93"/>
  <c r="AU240" i="27" s="1"/>
  <c r="AE186" i="93" a="1"/>
  <c r="AE186" i="93" s="1"/>
  <c r="AF186" i="93" s="1" a="1"/>
  <c r="AF186" i="93" s="1"/>
  <c r="AD330" i="93" a="1"/>
  <c r="AD330" i="93" s="1"/>
  <c r="AE330" i="93" a="1"/>
  <c r="AE330" i="93" s="1"/>
  <c r="AF330" i="93" s="1" a="1"/>
  <c r="AF330" i="93" s="1"/>
  <c r="AD66" i="93" a="1"/>
  <c r="AD66" i="93" s="1"/>
  <c r="AE285" i="93" a="1"/>
  <c r="AE285" i="93" s="1"/>
  <c r="AF285" i="93" s="1" a="1"/>
  <c r="AF285" i="93" s="1"/>
  <c r="AD285" i="93" a="1"/>
  <c r="AD285" i="93" s="1"/>
  <c r="AD93" i="93" a="1"/>
  <c r="AD93" i="93" s="1"/>
  <c r="AE93" i="93" a="1"/>
  <c r="AE93" i="93" s="1"/>
  <c r="AF93" i="93" s="1" a="1"/>
  <c r="AF93" i="93" s="1"/>
  <c r="AD331" i="93" a="1"/>
  <c r="AD331" i="93" s="1"/>
  <c r="AE331" i="93" a="1"/>
  <c r="AE331" i="93" s="1"/>
  <c r="AF331" i="93" s="1" a="1"/>
  <c r="AF331" i="93" s="1"/>
  <c r="AE307" i="93" a="1"/>
  <c r="AE307" i="93" s="1"/>
  <c r="AF307" i="93" s="1" a="1"/>
  <c r="AF307" i="93" s="1"/>
  <c r="AD307" i="93" a="1"/>
  <c r="AD307" i="93" s="1"/>
  <c r="AD235" i="93" a="1"/>
  <c r="AD235" i="93" s="1"/>
  <c r="AE235" i="93" a="1"/>
  <c r="AE235" i="93" s="1"/>
  <c r="AF235" i="93" s="1" a="1"/>
  <c r="AF235" i="93" s="1"/>
  <c r="AD211" i="93" a="1"/>
  <c r="AD211" i="93" s="1"/>
  <c r="AE211" i="93" a="1"/>
  <c r="AE211" i="93" s="1"/>
  <c r="AF211" i="93" s="1" a="1"/>
  <c r="AF211" i="93" s="1"/>
  <c r="AD163" i="93" a="1"/>
  <c r="AD163" i="93" s="1"/>
  <c r="AE163" i="93" a="1"/>
  <c r="AE163" i="93" s="1"/>
  <c r="AF163" i="93" s="1" a="1"/>
  <c r="AF163" i="93" s="1"/>
  <c r="AD139" i="93" a="1"/>
  <c r="AD139" i="93" s="1"/>
  <c r="AE139" i="93" a="1"/>
  <c r="AE139" i="93" s="1"/>
  <c r="AF139" i="93" s="1" a="1"/>
  <c r="AF139" i="93" s="1"/>
  <c r="AD91" i="93" a="1"/>
  <c r="AD91" i="93" s="1"/>
  <c r="AE91" i="93" a="1"/>
  <c r="AE91" i="93" s="1"/>
  <c r="AF91" i="93" s="1" a="1"/>
  <c r="AF91" i="93" s="1"/>
  <c r="AE43" i="93" a="1"/>
  <c r="AE43" i="93" s="1"/>
  <c r="AF43" i="93" s="1" a="1"/>
  <c r="AF43" i="93" s="1"/>
  <c r="AD43" i="93" a="1"/>
  <c r="AD43" i="93" s="1"/>
  <c r="AD19" i="93" a="1"/>
  <c r="AD19" i="93" s="1"/>
  <c r="AE19" i="93" a="1"/>
  <c r="AE19" i="93" s="1"/>
  <c r="AF19" i="93" s="1" a="1"/>
  <c r="AF19" i="93" s="1"/>
  <c r="AD15" i="93" a="1"/>
  <c r="AD15" i="93" s="1"/>
  <c r="AE57" i="93" a="1"/>
  <c r="AE57" i="93" s="1"/>
  <c r="AF57" i="93" s="1" a="1"/>
  <c r="AF57" i="93" s="1"/>
  <c r="AD88" i="93" a="1"/>
  <c r="AD88" i="93" s="1"/>
  <c r="AD53" i="93" a="1"/>
  <c r="AD53" i="93" s="1"/>
  <c r="AD14" i="93" a="1"/>
  <c r="AD14" i="93" s="1"/>
  <c r="AD130" i="93" a="1"/>
  <c r="AD130" i="93" s="1"/>
  <c r="AD245" i="93" a="1"/>
  <c r="AD245" i="93" s="1"/>
  <c r="AD202" i="93" a="1"/>
  <c r="AD202" i="93" s="1"/>
  <c r="AD87" i="93" a="1"/>
  <c r="AD87" i="93" s="1"/>
  <c r="AE200" i="93" a="1"/>
  <c r="AE200" i="93" s="1"/>
  <c r="AF200" i="93" s="1" a="1"/>
  <c r="AF200" i="93" s="1"/>
  <c r="AD86" i="93" a="1"/>
  <c r="AD86" i="93" s="1"/>
  <c r="AE231" i="93" a="1"/>
  <c r="AE231" i="93" s="1"/>
  <c r="AF231" i="93" s="1" a="1"/>
  <c r="AF231" i="93" s="1"/>
  <c r="AE159" i="93" a="1"/>
  <c r="AE159" i="93" s="1"/>
  <c r="AF159" i="93" s="1" a="1"/>
  <c r="AF159" i="93" s="1"/>
  <c r="AD279" i="93" a="1"/>
  <c r="AD279" i="93" s="1"/>
  <c r="AE158" i="93" a="1"/>
  <c r="AE158" i="93" s="1"/>
  <c r="AF158" i="93" s="1" a="1"/>
  <c r="AF158" i="93" s="1"/>
  <c r="AD278" i="93" a="1"/>
  <c r="AD278" i="93" s="1"/>
  <c r="AD197" i="93" a="1"/>
  <c r="AD197" i="93" s="1"/>
  <c r="AD232" i="93" a="1"/>
  <c r="AD232" i="93" s="1"/>
  <c r="AE297" i="93" a="1"/>
  <c r="AE297" i="93" s="1"/>
  <c r="AF297" i="93" s="1" a="1"/>
  <c r="AF297" i="93" s="1"/>
  <c r="AE82" i="93" a="1"/>
  <c r="AE82" i="93" s="1"/>
  <c r="AF82" i="93" s="1" a="1"/>
  <c r="AF82" i="93" s="1"/>
  <c r="AE328" i="93" a="1"/>
  <c r="AE328" i="93" s="1"/>
  <c r="AF328" i="93" s="1" a="1"/>
  <c r="AF328" i="93" s="1"/>
  <c r="AD280" i="93" a="1"/>
  <c r="AD280" i="93" s="1"/>
  <c r="AE295" i="93" a="1"/>
  <c r="AE295" i="93" s="1"/>
  <c r="AF295" i="93" s="1" a="1"/>
  <c r="AF295" i="93" s="1"/>
  <c r="AE112" i="93" a="1"/>
  <c r="AE112" i="93" s="1"/>
  <c r="AF112" i="93" s="1" a="1"/>
  <c r="AF112" i="93" s="1"/>
  <c r="AD154" i="93" a="1"/>
  <c r="AD154" i="93" s="1"/>
  <c r="AD178" i="93" a="1"/>
  <c r="AD178" i="93" s="1"/>
  <c r="AE34" i="93" a="1"/>
  <c r="AE34" i="93" s="1"/>
  <c r="AF34" i="93" s="1" a="1"/>
  <c r="AF34" i="93" s="1"/>
  <c r="AD101" i="93" a="1"/>
  <c r="AD101" i="93" s="1"/>
  <c r="AD63" i="93" a="1"/>
  <c r="AD63" i="93" s="1"/>
  <c r="AE135" i="93" a="1"/>
  <c r="AE135" i="93" s="1"/>
  <c r="AF135" i="93" s="1" a="1"/>
  <c r="AF135" i="93" s="1"/>
  <c r="AD136" i="93" a="1"/>
  <c r="AD136" i="93" s="1"/>
  <c r="AD323" i="93" a="1"/>
  <c r="AD323" i="93" s="1"/>
  <c r="AE323" i="93" a="1"/>
  <c r="AE323" i="93" s="1"/>
  <c r="AF323" i="93" s="1" a="1"/>
  <c r="AF323" i="93" s="1"/>
  <c r="AD251" i="93" a="1"/>
  <c r="AD251" i="93" s="1"/>
  <c r="AE251" i="93" a="1"/>
  <c r="AE251" i="93" s="1"/>
  <c r="AF251" i="93" s="1" a="1"/>
  <c r="AF251" i="93" s="1"/>
  <c r="AE227" i="93" a="1"/>
  <c r="AE227" i="93" s="1"/>
  <c r="AF227" i="93" s="1" a="1"/>
  <c r="AF227" i="93" s="1"/>
  <c r="AD227" i="93" a="1"/>
  <c r="AD227" i="93" s="1"/>
  <c r="AE179" i="93" a="1"/>
  <c r="AE179" i="93" s="1"/>
  <c r="AF179" i="93" s="1" a="1"/>
  <c r="AF179" i="93" s="1"/>
  <c r="AD179" i="93" a="1"/>
  <c r="AD179" i="93" s="1"/>
  <c r="AE155" i="93" a="1"/>
  <c r="AE155" i="93" s="1"/>
  <c r="AF155" i="93" s="1" a="1"/>
  <c r="AF155" i="93" s="1"/>
  <c r="AD155" i="93" a="1"/>
  <c r="AD155" i="93" s="1"/>
  <c r="AD131" i="93" a="1"/>
  <c r="AD131" i="93" s="1"/>
  <c r="AE131" i="93" a="1"/>
  <c r="AE131" i="93" s="1"/>
  <c r="AF131" i="93" s="1" a="1"/>
  <c r="AF131" i="93" s="1"/>
  <c r="AE83" i="93" a="1"/>
  <c r="AE83" i="93" s="1"/>
  <c r="AF83" i="93" s="1" a="1"/>
  <c r="AF83" i="93" s="1"/>
  <c r="AD83" i="93" a="1"/>
  <c r="AD83" i="93" s="1"/>
  <c r="AD59" i="93" a="1"/>
  <c r="AD59" i="93" s="1"/>
  <c r="AE59" i="93" a="1"/>
  <c r="AE59" i="93" s="1"/>
  <c r="AF59" i="93" s="1" a="1"/>
  <c r="AF59" i="93" s="1"/>
  <c r="AE320" i="93" a="1"/>
  <c r="AE320" i="93" s="1"/>
  <c r="AF320" i="93" s="1" a="1"/>
  <c r="AF320" i="93" s="1"/>
  <c r="AE190" i="93" a="1"/>
  <c r="AE190" i="93" s="1"/>
  <c r="AF190" i="93" s="1" a="1"/>
  <c r="AF190" i="93" s="1"/>
  <c r="AE117" i="93" a="1"/>
  <c r="AE117" i="93" s="1"/>
  <c r="AF117" i="93" s="1" a="1"/>
  <c r="AF117" i="93" s="1"/>
  <c r="AE92" i="93" a="1"/>
  <c r="AE92" i="93" s="1"/>
  <c r="AF92" i="93" s="1" a="1"/>
  <c r="AF92" i="93" s="1"/>
  <c r="AD238" i="93" a="1"/>
  <c r="AD238" i="93" s="1"/>
  <c r="AE189" i="93" a="1"/>
  <c r="AE189" i="93" s="1"/>
  <c r="AF189" i="93" s="1" a="1"/>
  <c r="AF189" i="93" s="1"/>
  <c r="AE165" i="93" a="1"/>
  <c r="AE165" i="93" s="1"/>
  <c r="AF165" i="93" s="1" a="1"/>
  <c r="AF165" i="93" s="1"/>
  <c r="AD237" i="93" a="1"/>
  <c r="AD237" i="93" s="1"/>
  <c r="AD71" i="93" a="1"/>
  <c r="AD71" i="93" s="1"/>
  <c r="AE318" i="93" a="1"/>
  <c r="AE318" i="93" s="1"/>
  <c r="AF318" i="93" s="1" a="1"/>
  <c r="AF318" i="93" s="1"/>
  <c r="AD294" i="93" a="1"/>
  <c r="AD294" i="93" s="1"/>
  <c r="AD248" i="93" a="1"/>
  <c r="AD248" i="93" s="1"/>
  <c r="AE248" i="93" a="1"/>
  <c r="AE248" i="93" s="1"/>
  <c r="AF248" i="93" s="1" a="1"/>
  <c r="AF248" i="93" s="1"/>
  <c r="AD224" i="93" a="1"/>
  <c r="AD224" i="93" s="1"/>
  <c r="AE224" i="93" a="1"/>
  <c r="AE224" i="93" s="1"/>
  <c r="AF224" i="93" s="1" a="1"/>
  <c r="AF224" i="93" s="1"/>
  <c r="AD176" i="93" a="1"/>
  <c r="AD176" i="93" s="1"/>
  <c r="AE176" i="93" a="1"/>
  <c r="AE176" i="93" s="1"/>
  <c r="AF176" i="93" s="1" a="1"/>
  <c r="AF176" i="93" s="1"/>
  <c r="AE152" i="93" a="1"/>
  <c r="AE152" i="93" s="1"/>
  <c r="AF152" i="93" s="1" a="1"/>
  <c r="AF152" i="93" s="1"/>
  <c r="AD152" i="93" a="1"/>
  <c r="AD152" i="93" s="1"/>
  <c r="AE80" i="93" a="1"/>
  <c r="AE80" i="93" s="1"/>
  <c r="AF80" i="93" s="1" a="1"/>
  <c r="AF80" i="93" s="1"/>
  <c r="AD80" i="93" a="1"/>
  <c r="AD80" i="93" s="1"/>
  <c r="AD32" i="93" a="1"/>
  <c r="AD32" i="93" s="1"/>
  <c r="AE32" i="93" a="1"/>
  <c r="AE32" i="93" s="1"/>
  <c r="AF32" i="93" s="1" a="1"/>
  <c r="AF32" i="93" s="1"/>
  <c r="AD128" i="93" a="1"/>
  <c r="AD128" i="93" s="1"/>
  <c r="AE246" i="93" a="1"/>
  <c r="AE246" i="93" s="1"/>
  <c r="AF246" i="93" s="1" a="1"/>
  <c r="AF246" i="93" s="1"/>
  <c r="AD246" i="93" a="1"/>
  <c r="AD246" i="93" s="1"/>
  <c r="AD222" i="93" a="1"/>
  <c r="AD222" i="93" s="1"/>
  <c r="AE222" i="93" a="1"/>
  <c r="AE222" i="93" s="1"/>
  <c r="AF222" i="93" s="1" a="1"/>
  <c r="AF222" i="93" s="1"/>
  <c r="AD198" i="93" a="1"/>
  <c r="AD198" i="93" s="1"/>
  <c r="AE198" i="93" a="1"/>
  <c r="AE198" i="93" s="1"/>
  <c r="AF198" i="93" s="1" a="1"/>
  <c r="AF198" i="93" s="1"/>
  <c r="AD126" i="93" a="1"/>
  <c r="AD126" i="93" s="1"/>
  <c r="AE126" i="93" a="1"/>
  <c r="AE126" i="93" s="1"/>
  <c r="AF126" i="93" s="1" a="1"/>
  <c r="AF126" i="93" s="1"/>
  <c r="AD102" i="93" a="1"/>
  <c r="AD102" i="93" s="1"/>
  <c r="AE102" i="93" a="1"/>
  <c r="AE102" i="93" s="1"/>
  <c r="AF102" i="93" s="1" a="1"/>
  <c r="AF102" i="93" s="1"/>
  <c r="AD78" i="93" a="1"/>
  <c r="AD78" i="93" s="1"/>
  <c r="AE78" i="93" a="1"/>
  <c r="AE78" i="93" s="1"/>
  <c r="AF78" i="93" s="1" a="1"/>
  <c r="AF78" i="93" s="1"/>
  <c r="AE54" i="93" a="1"/>
  <c r="AE54" i="93" s="1"/>
  <c r="AF54" i="93" s="1" a="1"/>
  <c r="AF54" i="93" s="1"/>
  <c r="AD54" i="93" a="1"/>
  <c r="AD54" i="93" s="1"/>
  <c r="AD263" i="93" a="1"/>
  <c r="AD263" i="93" s="1"/>
  <c r="AE56" i="93" a="1"/>
  <c r="AE56" i="93" s="1"/>
  <c r="AF56" i="93" s="1" a="1"/>
  <c r="AF56" i="93" s="1"/>
  <c r="AD310" i="93" a="1"/>
  <c r="AD310" i="93" s="1"/>
  <c r="AD8" i="93" a="1"/>
  <c r="AD8" i="93" s="1"/>
  <c r="AD291" i="93" a="1"/>
  <c r="AD291" i="93" s="1"/>
  <c r="AE291" i="93" a="1"/>
  <c r="AE291" i="93" s="1"/>
  <c r="AF291" i="93" s="1" a="1"/>
  <c r="AF291" i="93" s="1"/>
  <c r="AD243" i="93" a="1"/>
  <c r="AD243" i="93" s="1"/>
  <c r="AE243" i="93" a="1"/>
  <c r="AE243" i="93" s="1"/>
  <c r="AF243" i="93" s="1" a="1"/>
  <c r="AF243" i="93" s="1"/>
  <c r="AD219" i="93" a="1"/>
  <c r="AD219" i="93" s="1"/>
  <c r="AE219" i="93" a="1"/>
  <c r="AE219" i="93" s="1"/>
  <c r="AF219" i="93" s="1" a="1"/>
  <c r="AF219" i="93" s="1"/>
  <c r="AE171" i="93" a="1"/>
  <c r="AE171" i="93" s="1"/>
  <c r="AF171" i="93" s="1" a="1"/>
  <c r="AF171" i="93" s="1"/>
  <c r="AD171" i="93" a="1"/>
  <c r="AD171" i="93" s="1"/>
  <c r="AD147" i="93" a="1"/>
  <c r="AD147" i="93" s="1"/>
  <c r="AE147" i="93" a="1"/>
  <c r="AE147" i="93" s="1"/>
  <c r="AF147" i="93" s="1" a="1"/>
  <c r="AF147" i="93" s="1"/>
  <c r="AD99" i="93" a="1"/>
  <c r="AD99" i="93" s="1"/>
  <c r="AE99" i="93" a="1"/>
  <c r="AE99" i="93" s="1"/>
  <c r="AF99" i="93" s="1" a="1"/>
  <c r="AF99" i="93" s="1"/>
  <c r="AD51" i="93" a="1"/>
  <c r="AD51" i="93" s="1"/>
  <c r="AE51" i="93" a="1"/>
  <c r="AE51" i="93" s="1"/>
  <c r="AF51" i="93" s="1" a="1"/>
  <c r="AF51" i="93" s="1"/>
  <c r="AD27" i="93" a="1"/>
  <c r="AD27" i="93" s="1"/>
  <c r="AE27" i="93" a="1"/>
  <c r="AE27" i="93" s="1"/>
  <c r="AF27" i="93" s="1" a="1"/>
  <c r="AF27" i="93" s="1"/>
  <c r="AD309" i="93" a="1"/>
  <c r="AD309" i="93" s="1"/>
  <c r="AD122" i="93" a="1"/>
  <c r="AD122" i="93" s="1"/>
  <c r="AE122" i="93" a="1"/>
  <c r="AE122" i="93" s="1"/>
  <c r="AF122" i="93" s="1" a="1"/>
  <c r="AF122" i="93" s="1"/>
  <c r="AD98" i="93" a="1"/>
  <c r="AD98" i="93" s="1"/>
  <c r="AE98" i="93" a="1"/>
  <c r="AE98" i="93" s="1"/>
  <c r="AF98" i="93" s="1" a="1"/>
  <c r="AF98" i="93" s="1"/>
  <c r="AD74" i="93" a="1"/>
  <c r="AD74" i="93" s="1"/>
  <c r="AE74" i="93" a="1"/>
  <c r="AE74" i="93" s="1"/>
  <c r="AF74" i="93" s="1" a="1"/>
  <c r="AF74" i="93" s="1"/>
  <c r="AD146" i="93" a="1"/>
  <c r="AD146" i="93" s="1"/>
  <c r="AE333" i="93" a="1"/>
  <c r="AE333" i="93" s="1"/>
  <c r="AF333" i="93" s="1" a="1"/>
  <c r="AF333" i="93" s="1"/>
  <c r="AE272" i="93" a="1"/>
  <c r="AE272" i="93" s="1"/>
  <c r="AF272" i="93" s="1" a="1"/>
  <c r="AF272" i="93" s="1"/>
  <c r="AE203" i="93" a="1"/>
  <c r="AE203" i="93" s="1"/>
  <c r="AF203" i="93" s="1" a="1"/>
  <c r="AF203" i="93" s="1"/>
  <c r="AE107" i="93" a="1"/>
  <c r="AE107" i="93" s="1"/>
  <c r="AF107" i="93" s="1" a="1"/>
  <c r="AF107" i="93" s="1"/>
  <c r="AE30" i="93" a="1"/>
  <c r="AE30" i="93" s="1"/>
  <c r="AF30" i="93" s="1" a="1"/>
  <c r="AF30" i="93" s="1"/>
  <c r="AD334" i="93" a="1"/>
  <c r="AD334" i="93" s="1"/>
  <c r="AE270" i="93" a="1"/>
  <c r="AE270" i="93" s="1"/>
  <c r="AF270" i="93" s="1" a="1"/>
  <c r="AF270" i="93" s="1"/>
  <c r="AE50" i="93" a="1"/>
  <c r="AE50" i="93" s="1"/>
  <c r="AF50" i="93" s="1" a="1"/>
  <c r="AF50" i="93" s="1"/>
  <c r="AD167" i="93" a="1"/>
  <c r="AD167" i="93" s="1"/>
  <c r="AE167" i="93" a="1"/>
  <c r="AE167" i="93" s="1"/>
  <c r="AF167" i="93" s="1" a="1"/>
  <c r="AF167" i="93" s="1"/>
  <c r="AD262" i="93" a="1"/>
  <c r="AD262" i="93" s="1"/>
  <c r="AE262" i="93" a="1"/>
  <c r="AE262" i="93" s="1"/>
  <c r="AF262" i="93" s="1" a="1"/>
  <c r="AF262" i="93" s="1"/>
  <c r="AD166" i="93" a="1"/>
  <c r="AD166" i="93" s="1"/>
  <c r="AE166" i="93" a="1"/>
  <c r="AE166" i="93" s="1"/>
  <c r="AF166" i="93" s="1" a="1"/>
  <c r="AF166" i="93" s="1"/>
  <c r="AD142" i="93" a="1"/>
  <c r="AD142" i="93" s="1"/>
  <c r="AE142" i="93" a="1"/>
  <c r="AE142" i="93" s="1"/>
  <c r="AF142" i="93" s="1" a="1"/>
  <c r="AF142" i="93" s="1"/>
  <c r="AD118" i="93" a="1"/>
  <c r="AD118" i="93" s="1"/>
  <c r="AE118" i="93" a="1"/>
  <c r="AE118" i="93" s="1"/>
  <c r="AF118" i="93" s="1" a="1"/>
  <c r="AF118" i="93" s="1"/>
  <c r="AE22" i="93" a="1"/>
  <c r="AE22" i="93" s="1"/>
  <c r="AF22" i="93" s="1" a="1"/>
  <c r="AF22" i="93" s="1"/>
  <c r="AD22" i="93" a="1"/>
  <c r="AD22" i="93" s="1"/>
  <c r="AE308" i="93" a="1"/>
  <c r="AE308" i="93" s="1"/>
  <c r="AF308" i="93" s="1" a="1"/>
  <c r="AF308" i="93" s="1"/>
  <c r="AD261" i="93" a="1"/>
  <c r="AD261" i="93" s="1"/>
  <c r="AE261" i="93" a="1"/>
  <c r="AE261" i="93" s="1"/>
  <c r="AF261" i="93" s="1" a="1"/>
  <c r="AF261" i="93" s="1"/>
  <c r="AD213" i="93" a="1"/>
  <c r="AD213" i="93" s="1"/>
  <c r="AE213" i="93" a="1"/>
  <c r="AE213" i="93" s="1"/>
  <c r="AF213" i="93" s="1" a="1"/>
  <c r="AF213" i="93" s="1"/>
  <c r="AE69" i="93" a="1"/>
  <c r="AE69" i="93" s="1"/>
  <c r="AF69" i="93" s="1" a="1"/>
  <c r="AF69" i="93" s="1"/>
  <c r="AD69" i="93" a="1"/>
  <c r="AD69" i="93" s="1"/>
  <c r="AE68" i="93" a="1"/>
  <c r="AE68" i="93" s="1"/>
  <c r="AF68" i="93" s="1" a="1"/>
  <c r="AF68" i="93" s="1"/>
  <c r="AD68" i="93" a="1"/>
  <c r="AD68" i="93" s="1"/>
  <c r="AD194" i="93" a="1"/>
  <c r="AD194" i="93" s="1"/>
  <c r="AD141" i="93" a="1"/>
  <c r="AD141" i="93" s="1"/>
  <c r="AE286" i="93" a="1"/>
  <c r="AE286" i="93" s="1"/>
  <c r="AF286" i="93" s="1" a="1"/>
  <c r="AF286" i="93" s="1"/>
  <c r="AE174" i="93" a="1"/>
  <c r="AE174" i="93" s="1"/>
  <c r="AF174" i="93" s="1" a="1"/>
  <c r="AF174" i="93" s="1"/>
  <c r="AE150" i="93" a="1"/>
  <c r="AE150" i="93" s="1"/>
  <c r="AF150" i="93" s="1" a="1"/>
  <c r="AF150" i="93" s="1"/>
  <c r="AD21" i="93" a="1"/>
  <c r="AD21" i="93" s="1"/>
  <c r="AE45" i="93" a="1"/>
  <c r="AE45" i="93" s="1"/>
  <c r="AF45" i="93" s="1" a="1"/>
  <c r="AF45" i="93" s="1"/>
  <c r="AD191" i="93" a="1"/>
  <c r="AD191" i="93" s="1"/>
  <c r="AE170" i="93" a="1"/>
  <c r="AE170" i="93" s="1"/>
  <c r="AF170" i="93" s="1" a="1"/>
  <c r="AF170" i="93" s="1"/>
  <c r="AD218" i="93" a="1"/>
  <c r="AD218" i="93" s="1"/>
  <c r="AD46" i="93" a="1"/>
  <c r="AD46" i="93" s="1"/>
  <c r="AE239" i="93" a="1"/>
  <c r="AE239" i="93" s="1"/>
  <c r="AF239" i="93" s="1" a="1"/>
  <c r="AF239" i="93" s="1"/>
  <c r="AE215" i="93" a="1"/>
  <c r="AE215" i="93" s="1"/>
  <c r="AF215" i="93" s="1" a="1"/>
  <c r="AF215" i="93" s="1"/>
  <c r="AE70" i="93" a="1"/>
  <c r="AE70" i="93" s="1"/>
  <c r="AF70" i="93" s="1" a="1"/>
  <c r="AF70" i="93" s="1"/>
  <c r="AD299" i="93" a="1"/>
  <c r="AD299" i="93" s="1"/>
  <c r="AD116" i="93" a="1"/>
  <c r="AD116" i="93" s="1"/>
  <c r="AE116" i="93" a="1"/>
  <c r="AE116" i="93" s="1"/>
  <c r="AF116" i="93" s="1" a="1"/>
  <c r="AF116" i="93" s="1"/>
  <c r="AE214" i="93" a="1"/>
  <c r="AE214" i="93" s="1"/>
  <c r="AF214" i="93" s="1" a="1"/>
  <c r="AF214" i="93" s="1"/>
  <c r="AE94" i="93" a="1"/>
  <c r="AE94" i="93" s="1"/>
  <c r="AF94" i="93" s="1" a="1"/>
  <c r="AF94" i="93" s="1"/>
  <c r="AD104" i="93" a="1"/>
  <c r="AD104" i="93" s="1"/>
  <c r="AD140" i="93" a="1"/>
  <c r="AD140" i="93" s="1"/>
  <c r="AE140" i="93" a="1"/>
  <c r="AE140" i="93" s="1"/>
  <c r="AF140" i="93" s="1" a="1"/>
  <c r="AF140" i="93" s="1"/>
  <c r="AD296" i="93" a="1"/>
  <c r="AD296" i="93" s="1"/>
  <c r="AE234" i="93" a="1"/>
  <c r="AE234" i="93" s="1"/>
  <c r="AF234" i="93" s="1" a="1"/>
  <c r="AF234" i="93" s="1"/>
  <c r="AD208" i="93" a="1"/>
  <c r="AD208" i="93" s="1"/>
  <c r="AD160" i="93" a="1"/>
  <c r="AD160" i="93" s="1"/>
  <c r="AE187" i="93" a="1"/>
  <c r="AE187" i="93" s="1"/>
  <c r="AF187" i="93" s="1" a="1"/>
  <c r="AF187" i="93" s="1"/>
  <c r="AE106" i="93" a="1"/>
  <c r="AE106" i="93" s="1"/>
  <c r="AF106" i="93" s="1" a="1"/>
  <c r="AF106" i="93" s="1"/>
  <c r="AD58" i="93" a="1"/>
  <c r="AD58" i="93" s="1"/>
  <c r="AD42" i="93" a="1"/>
  <c r="AD42" i="93" s="1"/>
  <c r="AD114" i="93" a="1"/>
  <c r="AD114" i="93" s="1"/>
  <c r="AE114" i="93" a="1"/>
  <c r="AE114" i="93" s="1"/>
  <c r="AF114" i="93" s="1" a="1"/>
  <c r="AF114" i="93" s="1"/>
  <c r="AD64" i="93" a="1"/>
  <c r="AD64" i="93" s="1"/>
  <c r="AE64" i="93" a="1"/>
  <c r="AE64" i="93" s="1"/>
  <c r="AF64" i="93" s="1" a="1"/>
  <c r="AF64" i="93" s="1"/>
  <c r="AE115" i="93" a="1"/>
  <c r="AE115" i="93" s="1"/>
  <c r="AF115" i="93" s="1" a="1"/>
  <c r="AF115" i="93" s="1"/>
  <c r="AD259" i="93" a="1"/>
  <c r="AD259" i="93" s="1"/>
  <c r="AD67" i="93" a="1"/>
  <c r="AD67" i="93" s="1"/>
  <c r="AD16" i="93" a="1"/>
  <c r="AD16" i="93" s="1"/>
  <c r="AD258" i="93" a="1"/>
  <c r="AD258" i="93" s="1"/>
  <c r="AE327" i="93" a="1"/>
  <c r="AE327" i="93" s="1"/>
  <c r="AF327" i="93" s="1" a="1"/>
  <c r="AF327" i="93" s="1"/>
  <c r="AE39" i="93" a="1"/>
  <c r="AE39" i="93" s="1"/>
  <c r="AF39" i="93" s="1" a="1"/>
  <c r="AF39" i="93" s="1"/>
  <c r="W278" i="97" l="1" a="1"/>
  <c r="W278" i="97" s="1"/>
  <c r="X278" i="97" s="1"/>
  <c r="W6" i="97" a="1"/>
  <c r="W6" i="97" s="1"/>
  <c r="X6" i="97" s="1"/>
  <c r="W54" i="97" a="1"/>
  <c r="W54" i="97" s="1"/>
  <c r="X54" i="97" s="1"/>
  <c r="W51" i="97" a="1"/>
  <c r="W51" i="97" s="1"/>
  <c r="X51" i="97" s="1"/>
  <c r="W42" i="97" a="1"/>
  <c r="W42" i="97" s="1"/>
  <c r="X42" i="97" s="1"/>
  <c r="W262" i="97" a="1"/>
  <c r="W262" i="97" s="1"/>
  <c r="X262" i="97" s="1"/>
  <c r="W286" i="97" a="1"/>
  <c r="W286" i="97" s="1"/>
  <c r="X286" i="97" s="1"/>
  <c r="W279" i="97" a="1"/>
  <c r="W279" i="97" s="1"/>
  <c r="X279" i="97" s="1"/>
  <c r="W26" i="97" a="1"/>
  <c r="W26" i="97" s="1"/>
  <c r="X26" i="97" s="1"/>
  <c r="W33" i="97" a="1"/>
  <c r="W33" i="97" s="1"/>
  <c r="X33" i="97" s="1"/>
  <c r="W336" i="97" a="1"/>
  <c r="W336" i="97" s="1"/>
  <c r="X336" i="97" s="1"/>
  <c r="W64" i="97" a="1"/>
  <c r="W64" i="97" s="1"/>
  <c r="X64" i="97" s="1"/>
  <c r="W112" i="97" a="1"/>
  <c r="W112" i="97" s="1"/>
  <c r="X112" i="97" s="1"/>
  <c r="W159" i="97" a="1"/>
  <c r="W159" i="97" s="1"/>
  <c r="X159" i="97" s="1"/>
  <c r="W134" i="97" a="1"/>
  <c r="W134" i="97" s="1"/>
  <c r="X134" i="97" s="1"/>
  <c r="W32" i="97" a="1"/>
  <c r="W32" i="97" s="1"/>
  <c r="X32" i="97" s="1"/>
  <c r="W135" i="97" a="1"/>
  <c r="W135" i="97" s="1"/>
  <c r="X135" i="97" s="1"/>
  <c r="W276" i="97" a="1"/>
  <c r="W276" i="97" s="1"/>
  <c r="X276" i="97" s="1"/>
  <c r="W220" i="97" a="1"/>
  <c r="W220" i="97" s="1"/>
  <c r="X220" i="97" s="1"/>
  <c r="W205" i="97" a="1"/>
  <c r="W205" i="97" s="1"/>
  <c r="X205" i="97" s="1"/>
  <c r="W96" i="97" a="1"/>
  <c r="W96" i="97" s="1"/>
  <c r="X96" i="97" s="1"/>
  <c r="W227" i="97" a="1"/>
  <c r="W227" i="97" s="1"/>
  <c r="X227" i="97" s="1"/>
  <c r="W312" i="97" a="1"/>
  <c r="W312" i="97" s="1"/>
  <c r="X312" i="97" s="1"/>
  <c r="W202" i="97" a="1"/>
  <c r="W202" i="97" s="1"/>
  <c r="X202" i="97" s="1"/>
  <c r="W126" i="97" a="1"/>
  <c r="W126" i="97" s="1"/>
  <c r="X126" i="97" s="1"/>
  <c r="W177" i="97" a="1"/>
  <c r="W177" i="97" s="1"/>
  <c r="X177" i="97" s="1"/>
  <c r="W187" i="97" a="1"/>
  <c r="W187" i="97" s="1"/>
  <c r="X187" i="97" s="1"/>
  <c r="W70" i="97" a="1"/>
  <c r="W70" i="97" s="1"/>
  <c r="X70" i="97" s="1"/>
  <c r="W122" i="97" a="1"/>
  <c r="W122" i="97" s="1"/>
  <c r="X122" i="97" s="1"/>
  <c r="W275" i="97" a="1"/>
  <c r="W275" i="97" s="1"/>
  <c r="X275" i="97" s="1"/>
  <c r="W65" i="97" a="1"/>
  <c r="W65" i="97" s="1"/>
  <c r="X65" i="97" s="1"/>
  <c r="W138" i="97" a="1"/>
  <c r="W138" i="97" s="1"/>
  <c r="X138" i="97" s="1"/>
  <c r="W228" i="97" a="1"/>
  <c r="W228" i="97" s="1"/>
  <c r="X228" i="97" s="1"/>
  <c r="W155" i="97" a="1"/>
  <c r="W155" i="97" s="1"/>
  <c r="X155" i="97" s="1"/>
  <c r="W88" i="97" a="1"/>
  <c r="W88" i="97" s="1"/>
  <c r="X88" i="97" s="1"/>
  <c r="W310" i="97" a="1"/>
  <c r="W310" i="97" s="1"/>
  <c r="X310" i="97" s="1"/>
  <c r="W229" i="97" a="1"/>
  <c r="W229" i="97" s="1"/>
  <c r="X229" i="97" s="1"/>
  <c r="W174" i="97" a="1"/>
  <c r="W174" i="97" s="1"/>
  <c r="X174" i="97" s="1"/>
  <c r="W231" i="97" a="1"/>
  <c r="W231" i="97" s="1"/>
  <c r="X231" i="97" s="1"/>
  <c r="W332" i="97" a="1"/>
  <c r="W332" i="97" s="1"/>
  <c r="X332" i="97" s="1"/>
  <c r="W105" i="97" a="1"/>
  <c r="W105" i="97" s="1"/>
  <c r="X105" i="97" s="1"/>
  <c r="W317" i="97" a="1"/>
  <c r="W317" i="97" s="1"/>
  <c r="X317" i="97" s="1"/>
  <c r="W318" i="97" a="1"/>
  <c r="W318" i="97" s="1"/>
  <c r="X318" i="97" s="1"/>
  <c r="W179" i="97" a="1"/>
  <c r="W179" i="97" s="1"/>
  <c r="X179" i="97" s="1"/>
  <c r="W149" i="97" a="1"/>
  <c r="W149" i="97" s="1"/>
  <c r="X149" i="97" s="1"/>
  <c r="W103" i="97" a="1"/>
  <c r="W103" i="97" s="1"/>
  <c r="X103" i="97" s="1"/>
  <c r="W298" i="97" a="1"/>
  <c r="W298" i="97" s="1"/>
  <c r="X298" i="97" s="1"/>
  <c r="W91" i="97" a="1"/>
  <c r="W91" i="97" s="1"/>
  <c r="X91" i="97" s="1"/>
  <c r="W234" i="97" a="1"/>
  <c r="W234" i="97" s="1"/>
  <c r="X234" i="97" s="1"/>
  <c r="W94" i="97" a="1"/>
  <c r="W94" i="97" s="1"/>
  <c r="X94" i="97" s="1"/>
  <c r="W190" i="97" a="1"/>
  <c r="W190" i="97" s="1"/>
  <c r="X190" i="97" s="1"/>
  <c r="W21" i="97" a="1"/>
  <c r="W21" i="97" s="1"/>
  <c r="X21" i="97" s="1"/>
  <c r="W12" i="97" a="1"/>
  <c r="W12" i="97" s="1"/>
  <c r="X12" i="97" s="1"/>
  <c r="W290" i="97" a="1"/>
  <c r="W290" i="97" s="1"/>
  <c r="X290" i="97" s="1"/>
  <c r="W136" i="97" a="1"/>
  <c r="W136" i="97" s="1"/>
  <c r="X136" i="97" s="1"/>
  <c r="W254" i="97" a="1"/>
  <c r="W254" i="97" s="1"/>
  <c r="X254" i="97" s="1"/>
  <c r="W158" i="97" a="1"/>
  <c r="W158" i="97" s="1"/>
  <c r="X158" i="97" s="1"/>
  <c r="W10" i="97" a="1"/>
  <c r="W10" i="97" s="1"/>
  <c r="X10" i="97" s="1"/>
  <c r="W168" i="97" a="1"/>
  <c r="W168" i="97" s="1"/>
  <c r="X168" i="97" s="1"/>
  <c r="W263" i="97" a="1"/>
  <c r="W263" i="97" s="1"/>
  <c r="X263" i="97" s="1"/>
  <c r="W101" i="97" a="1"/>
  <c r="W101" i="97" s="1"/>
  <c r="X101" i="97" s="1"/>
  <c r="W170" i="97" a="1"/>
  <c r="W170" i="97" s="1"/>
  <c r="X170" i="97" s="1"/>
  <c r="W222" i="97" a="1"/>
  <c r="W222" i="97" s="1"/>
  <c r="X222" i="97" s="1"/>
  <c r="W288" i="97" a="1"/>
  <c r="W288" i="97" s="1"/>
  <c r="X288" i="97" s="1"/>
  <c r="W57" i="97" a="1"/>
  <c r="W57" i="97" s="1"/>
  <c r="X57" i="97" s="1"/>
  <c r="W74" i="97" a="1"/>
  <c r="W74" i="97" s="1"/>
  <c r="X74" i="97" s="1"/>
  <c r="W173" i="97" a="1"/>
  <c r="W173" i="97" s="1"/>
  <c r="X173" i="97" s="1"/>
  <c r="W271" i="97" a="1"/>
  <c r="W271" i="97" s="1"/>
  <c r="X271" i="97" s="1"/>
  <c r="W320" i="97" a="1"/>
  <c r="W320" i="97" s="1"/>
  <c r="X320" i="97" s="1"/>
  <c r="W247" i="97" a="1"/>
  <c r="W247" i="97" s="1"/>
  <c r="X247" i="97" s="1"/>
  <c r="W208" i="97" a="1"/>
  <c r="W208" i="97" s="1"/>
  <c r="X208" i="97" s="1"/>
  <c r="W213" i="97" a="1"/>
  <c r="W213" i="97" s="1"/>
  <c r="X213" i="97" s="1"/>
  <c r="W100" i="97" a="1"/>
  <c r="W100" i="97" s="1"/>
  <c r="X100" i="97" s="1"/>
  <c r="W183" i="97" a="1"/>
  <c r="W183" i="97" s="1"/>
  <c r="X183" i="97" s="1"/>
  <c r="W267" i="97" a="1"/>
  <c r="W267" i="97" s="1"/>
  <c r="X267" i="97" s="1"/>
  <c r="W25" i="97" a="1"/>
  <c r="W25" i="97" s="1"/>
  <c r="X25" i="97" s="1"/>
  <c r="W321" i="97" a="1"/>
  <c r="W321" i="97" s="1"/>
  <c r="X321" i="97" s="1"/>
  <c r="W144" i="97" a="1"/>
  <c r="W144" i="97" s="1"/>
  <c r="X144" i="97" s="1"/>
  <c r="W97" i="97" a="1"/>
  <c r="W97" i="97" s="1"/>
  <c r="X97" i="97" s="1"/>
  <c r="W207" i="97" a="1"/>
  <c r="W207" i="97" s="1"/>
  <c r="X207" i="97" s="1"/>
  <c r="W62" i="97" a="1"/>
  <c r="W62" i="97" s="1"/>
  <c r="X62" i="97" s="1"/>
  <c r="W327" i="97" a="1"/>
  <c r="W327" i="97" s="1"/>
  <c r="X327" i="97" s="1"/>
  <c r="W41" i="97" a="1"/>
  <c r="W41" i="97" s="1"/>
  <c r="X41" i="97" s="1"/>
  <c r="W39" i="97" a="1"/>
  <c r="W39" i="97" s="1"/>
  <c r="X39" i="97" s="1"/>
  <c r="W245" i="97" a="1"/>
  <c r="W245" i="97" s="1"/>
  <c r="X245" i="97" s="1"/>
  <c r="AH282" i="93"/>
  <c r="AH26" i="93"/>
  <c r="W132" i="97" a="1"/>
  <c r="W132" i="97" s="1"/>
  <c r="X132" i="97" s="1"/>
  <c r="Z151" i="97" a="1"/>
  <c r="Z151" i="97" s="1"/>
  <c r="P136" i="96" a="1"/>
  <c r="P136" i="96" s="1"/>
  <c r="Z222" i="97" a="1"/>
  <c r="Z222" i="97" s="1"/>
  <c r="P221" i="96" a="1"/>
  <c r="P221" i="96" s="1"/>
  <c r="Z71" i="97" a="1"/>
  <c r="Z71" i="97" s="1"/>
  <c r="P314" i="96" a="1"/>
  <c r="P314" i="96" s="1"/>
  <c r="Z70" i="97" a="1"/>
  <c r="Z70" i="97" s="1"/>
  <c r="P253" i="96" a="1"/>
  <c r="P253" i="96" s="1"/>
  <c r="Z289" i="97" a="1"/>
  <c r="Z289" i="97" s="1"/>
  <c r="P294" i="96" a="1"/>
  <c r="P294" i="96" s="1"/>
  <c r="Z319" i="97" a="1"/>
  <c r="Z319" i="97" s="1"/>
  <c r="P250" i="96" a="1"/>
  <c r="P250" i="96" s="1"/>
  <c r="Z188" i="97" a="1"/>
  <c r="Z188" i="97" s="1"/>
  <c r="P183" i="96" a="1"/>
  <c r="P183" i="96" s="1"/>
  <c r="Z69" i="97" a="1"/>
  <c r="Z69" i="97" s="1"/>
  <c r="P248" i="96" a="1"/>
  <c r="P248" i="96" s="1"/>
  <c r="Z300" i="97" a="1"/>
  <c r="Z300" i="97" s="1"/>
  <c r="P305" i="96" a="1"/>
  <c r="P305" i="96" s="1"/>
  <c r="Z226" i="97" a="1"/>
  <c r="Z226" i="97" s="1"/>
  <c r="P226" i="96" a="1"/>
  <c r="P226" i="96" s="1"/>
  <c r="Z153" i="97" a="1"/>
  <c r="Z153" i="97" s="1"/>
  <c r="P138" i="96" a="1"/>
  <c r="P138" i="96" s="1"/>
  <c r="Z285" i="97" a="1"/>
  <c r="Z285" i="97" s="1"/>
  <c r="P290" i="96" a="1"/>
  <c r="P290" i="96" s="1"/>
  <c r="Z316" i="97" a="1"/>
  <c r="Z316" i="97" s="1"/>
  <c r="P323" i="96" a="1"/>
  <c r="P323" i="96" s="1"/>
  <c r="Z305" i="97" a="1"/>
  <c r="Z305" i="97" s="1"/>
  <c r="P310" i="96" a="1"/>
  <c r="P310" i="96" s="1"/>
  <c r="Z166" i="97" a="1"/>
  <c r="Z166" i="97" s="1"/>
  <c r="P152" i="96" a="1"/>
  <c r="P152" i="96" s="1"/>
  <c r="Z288" i="97" a="1"/>
  <c r="Z288" i="97" s="1"/>
  <c r="P293" i="96" a="1"/>
  <c r="P293" i="96" s="1"/>
  <c r="Z182" i="97" a="1"/>
  <c r="Z182" i="97" s="1"/>
  <c r="P175" i="96" a="1"/>
  <c r="P175" i="96" s="1"/>
  <c r="Z85" i="97" a="1"/>
  <c r="Z85" i="97" s="1"/>
  <c r="P24" i="96" a="1"/>
  <c r="P24" i="96" s="1"/>
  <c r="Z80" i="97" a="1"/>
  <c r="Z80" i="97" s="1"/>
  <c r="P17" i="96" a="1"/>
  <c r="P17" i="96" s="1"/>
  <c r="Z247" i="97" a="1"/>
  <c r="Z247" i="97" s="1"/>
  <c r="P192" i="96" a="1"/>
  <c r="P192" i="96" s="1"/>
  <c r="Z207" i="97" a="1"/>
  <c r="Z207" i="97" s="1"/>
  <c r="P205" i="96" a="1"/>
  <c r="P205" i="96" s="1"/>
  <c r="Z175" i="97" a="1"/>
  <c r="Z175" i="97" s="1"/>
  <c r="P167" i="96" a="1"/>
  <c r="P167" i="96" s="1"/>
  <c r="Z172" i="97" a="1"/>
  <c r="Z172" i="97" s="1"/>
  <c r="P162" i="96" a="1"/>
  <c r="P162" i="96" s="1"/>
  <c r="Z215" i="97" a="1"/>
  <c r="Z215" i="97" s="1"/>
  <c r="P214" i="96" a="1"/>
  <c r="P214" i="96" s="1"/>
  <c r="Z94" i="97" a="1"/>
  <c r="Z94" i="97" s="1"/>
  <c r="P41" i="96" a="1"/>
  <c r="P41" i="96" s="1"/>
  <c r="Z30" i="97" a="1"/>
  <c r="Z30" i="97" s="1"/>
  <c r="P31" i="96" a="1"/>
  <c r="P31" i="96" s="1"/>
  <c r="Z144" i="97" a="1"/>
  <c r="Z144" i="97" s="1"/>
  <c r="P126" i="96" a="1"/>
  <c r="P126" i="96" s="1"/>
  <c r="Z72" i="97" a="1"/>
  <c r="Z72" i="97" s="1"/>
  <c r="P315" i="96" a="1"/>
  <c r="P315" i="96" s="1"/>
  <c r="Z124" i="97" a="1"/>
  <c r="Z124" i="97" s="1"/>
  <c r="P90" i="96" a="1"/>
  <c r="P90" i="96" s="1"/>
  <c r="Z125" i="97" a="1"/>
  <c r="Z125" i="97" s="1"/>
  <c r="P91" i="96" a="1"/>
  <c r="P91" i="96" s="1"/>
  <c r="Z199" i="97" a="1"/>
  <c r="Z199" i="97" s="1"/>
  <c r="P197" i="96" a="1"/>
  <c r="P197" i="96" s="1"/>
  <c r="Z269" i="97" a="1"/>
  <c r="Z269" i="97" s="1"/>
  <c r="P274" i="96" a="1"/>
  <c r="P274" i="96" s="1"/>
  <c r="Z49" i="97" a="1"/>
  <c r="Z49" i="97" s="1"/>
  <c r="P318" i="96" a="1"/>
  <c r="P318" i="96" s="1"/>
  <c r="Z254" i="97" a="1"/>
  <c r="Z254" i="97" s="1"/>
  <c r="P258" i="96" a="1"/>
  <c r="P258" i="96" s="1"/>
  <c r="Z40" i="97" a="1"/>
  <c r="Z40" i="97" s="1"/>
  <c r="P95" i="96" a="1"/>
  <c r="P95" i="96" s="1"/>
  <c r="Z61" i="97" a="1"/>
  <c r="Z61" i="97" s="1"/>
  <c r="P165" i="96" a="1"/>
  <c r="P165" i="96" s="1"/>
  <c r="Z237" i="97" a="1"/>
  <c r="Z237" i="97" s="1"/>
  <c r="P238" i="96" a="1"/>
  <c r="P238" i="96" s="1"/>
  <c r="Z278" i="97" a="1"/>
  <c r="Z278" i="97" s="1"/>
  <c r="P283" i="96" a="1"/>
  <c r="P283" i="96" s="1"/>
  <c r="Z83" i="97" a="1"/>
  <c r="Z83" i="97" s="1"/>
  <c r="P21" i="96" a="1"/>
  <c r="P21" i="96" s="1"/>
  <c r="Z323" i="97" a="1"/>
  <c r="Z323" i="97" s="1"/>
  <c r="P327" i="96" a="1"/>
  <c r="P327" i="96" s="1"/>
  <c r="Z309" i="97" a="1"/>
  <c r="Z309" i="97" s="1"/>
  <c r="P316" i="96" a="1"/>
  <c r="P316" i="96" s="1"/>
  <c r="Z22" i="97" a="1"/>
  <c r="Z22" i="97" s="1"/>
  <c r="P58" i="96" a="1"/>
  <c r="P58" i="96" s="1"/>
  <c r="Z25" i="97" a="1"/>
  <c r="Z25" i="97" s="1"/>
  <c r="P63" i="96" a="1"/>
  <c r="P63" i="96" s="1"/>
  <c r="Z34" i="97" a="1"/>
  <c r="Z34" i="97" s="1"/>
  <c r="P69" i="96" a="1"/>
  <c r="P69" i="96" s="1"/>
  <c r="Z143" i="97" a="1"/>
  <c r="Z143" i="97" s="1"/>
  <c r="P125" i="96" a="1"/>
  <c r="P125" i="96" s="1"/>
  <c r="Z79" i="97" a="1"/>
  <c r="Z79" i="97" s="1"/>
  <c r="P16" i="96" a="1"/>
  <c r="P16" i="96" s="1"/>
  <c r="Z93" i="97" a="1"/>
  <c r="Z93" i="97" s="1"/>
  <c r="P40" i="96" a="1"/>
  <c r="P40" i="96" s="1"/>
  <c r="Z127" i="97" a="1"/>
  <c r="Z127" i="97" s="1"/>
  <c r="P96" i="96" a="1"/>
  <c r="P96" i="96" s="1"/>
  <c r="Z321" i="97" a="1"/>
  <c r="Z321" i="97" s="1"/>
  <c r="P328" i="96" a="1"/>
  <c r="P328" i="96" s="1"/>
  <c r="Z66" i="97" a="1"/>
  <c r="Z66" i="97" s="1"/>
  <c r="P210" i="96" a="1"/>
  <c r="P210" i="96" s="1"/>
  <c r="Z157" i="97" a="1"/>
  <c r="Z157" i="97" s="1"/>
  <c r="P142" i="96" a="1"/>
  <c r="P142" i="96" s="1"/>
  <c r="Z126" i="97" a="1"/>
  <c r="Z126" i="97" s="1"/>
  <c r="P93" i="96" a="1"/>
  <c r="P93" i="96" s="1"/>
  <c r="Z192" i="97" a="1"/>
  <c r="Z192" i="97" s="1"/>
  <c r="P187" i="96" a="1"/>
  <c r="P187" i="96" s="1"/>
  <c r="Z290" i="97" a="1"/>
  <c r="Z290" i="97" s="1"/>
  <c r="P295" i="96" a="1"/>
  <c r="P295" i="96" s="1"/>
  <c r="Z297" i="97" a="1"/>
  <c r="Z297" i="97" s="1"/>
  <c r="P302" i="96" a="1"/>
  <c r="P302" i="96" s="1"/>
  <c r="Z137" i="97" a="1"/>
  <c r="Z137" i="97" s="1"/>
  <c r="P112" i="96" a="1"/>
  <c r="P112" i="96" s="1"/>
  <c r="Z230" i="97" a="1"/>
  <c r="Z230" i="97" s="1"/>
  <c r="P230" i="96" a="1"/>
  <c r="P230" i="96" s="1"/>
  <c r="Z132" i="97" a="1"/>
  <c r="Z132" i="97" s="1"/>
  <c r="P106" i="96" a="1"/>
  <c r="P106" i="96" s="1"/>
  <c r="Z78" i="97" a="1"/>
  <c r="Z78" i="97" s="1"/>
  <c r="P15" i="96" a="1"/>
  <c r="P15" i="96" s="1"/>
  <c r="Z11" i="97" a="1"/>
  <c r="Z11" i="97" s="1"/>
  <c r="P23" i="96" a="1"/>
  <c r="P23" i="96" s="1"/>
  <c r="Z139" i="97" a="1"/>
  <c r="Z139" i="97" s="1"/>
  <c r="P117" i="96" a="1"/>
  <c r="P117" i="96" s="1"/>
  <c r="Z38" i="97" a="1"/>
  <c r="Z38" i="97" s="1"/>
  <c r="P189" i="96" a="1"/>
  <c r="P189" i="96" s="1"/>
  <c r="Z324" i="97" a="1"/>
  <c r="Z324" i="97" s="1"/>
  <c r="P331" i="96" a="1"/>
  <c r="P331" i="96" s="1"/>
  <c r="Z320" i="97" a="1"/>
  <c r="Z320" i="97" s="1"/>
  <c r="P251" i="96" a="1"/>
  <c r="P251" i="96" s="1"/>
  <c r="Z190" i="97" a="1"/>
  <c r="Z190" i="97" s="1"/>
  <c r="P185" i="96" a="1"/>
  <c r="P185" i="96" s="1"/>
  <c r="Z208" i="97" a="1"/>
  <c r="Z208" i="97" s="1"/>
  <c r="P206" i="96" a="1"/>
  <c r="P206" i="96" s="1"/>
  <c r="Z233" i="97" a="1"/>
  <c r="Z233" i="97" s="1"/>
  <c r="P234" i="96" a="1"/>
  <c r="P234" i="96" s="1"/>
  <c r="Z274" i="97" a="1"/>
  <c r="Z274" i="97" s="1"/>
  <c r="P279" i="96" a="1"/>
  <c r="P279" i="96" s="1"/>
  <c r="Z236" i="97" a="1"/>
  <c r="Z236" i="97" s="1"/>
  <c r="P237" i="96" a="1"/>
  <c r="P237" i="96" s="1"/>
  <c r="Z242" i="97" a="1"/>
  <c r="Z242" i="97" s="1"/>
  <c r="P118" i="96" a="1"/>
  <c r="P118" i="96" s="1"/>
  <c r="Z211" i="97" a="1"/>
  <c r="Z211" i="97" s="1"/>
  <c r="P209" i="96" a="1"/>
  <c r="P209" i="96" s="1"/>
  <c r="Z256" i="97" a="1"/>
  <c r="Z256" i="97" s="1"/>
  <c r="P68" i="96" a="1"/>
  <c r="P68" i="96" s="1"/>
  <c r="Z57" i="97" a="1"/>
  <c r="Z57" i="97" s="1"/>
  <c r="P143" i="96" a="1"/>
  <c r="P143" i="96" s="1"/>
  <c r="Z332" i="97" a="1"/>
  <c r="Z332" i="97" s="1"/>
  <c r="P166" i="96" a="1"/>
  <c r="P166" i="96" s="1"/>
  <c r="Z280" i="97" a="1"/>
  <c r="Z280" i="97" s="1"/>
  <c r="P285" i="96" a="1"/>
  <c r="P285" i="96" s="1"/>
  <c r="Z35" i="97" a="1"/>
  <c r="Z35" i="97" s="1"/>
  <c r="P70" i="96" a="1"/>
  <c r="P70" i="96" s="1"/>
  <c r="Z12" i="97" a="1"/>
  <c r="Z12" i="97" s="1"/>
  <c r="P29" i="96" a="1"/>
  <c r="P29" i="96" s="1"/>
  <c r="Z145" i="97" a="1"/>
  <c r="Z145" i="97" s="1"/>
  <c r="P127" i="96" a="1"/>
  <c r="P127" i="96" s="1"/>
  <c r="Z138" i="97" a="1"/>
  <c r="Z138" i="97" s="1"/>
  <c r="P116" i="96" a="1"/>
  <c r="P116" i="96" s="1"/>
  <c r="Z27" i="97" a="1"/>
  <c r="Z27" i="97" s="1"/>
  <c r="P66" i="96" a="1"/>
  <c r="P66" i="96" s="1"/>
  <c r="Z194" i="97" a="1"/>
  <c r="Z194" i="97" s="1"/>
  <c r="P190" i="96" a="1"/>
  <c r="P190" i="96" s="1"/>
  <c r="Z39" i="97" a="1"/>
  <c r="Z39" i="97" s="1"/>
  <c r="P77" i="96" a="1"/>
  <c r="P77" i="96" s="1"/>
  <c r="Z131" i="97" a="1"/>
  <c r="Z131" i="97" s="1"/>
  <c r="P101" i="96" a="1"/>
  <c r="P101" i="96" s="1"/>
  <c r="Z152" i="97" a="1"/>
  <c r="Z152" i="97" s="1"/>
  <c r="P137" i="96" a="1"/>
  <c r="P137" i="96" s="1"/>
  <c r="Z301" i="97" a="1"/>
  <c r="Z301" i="97" s="1"/>
  <c r="P306" i="96" a="1"/>
  <c r="P306" i="96" s="1"/>
  <c r="Z311" i="97" a="1"/>
  <c r="Z311" i="97" s="1"/>
  <c r="P119" i="96" a="1"/>
  <c r="P119" i="96" s="1"/>
  <c r="Z281" i="97" a="1"/>
  <c r="Z281" i="97" s="1"/>
  <c r="P286" i="96" a="1"/>
  <c r="P286" i="96" s="1"/>
  <c r="Z163" i="97" a="1"/>
  <c r="Z163" i="97" s="1"/>
  <c r="P149" i="96" a="1"/>
  <c r="P149" i="96" s="1"/>
  <c r="Z333" i="97" a="1"/>
  <c r="Z333" i="97" s="1"/>
  <c r="P173" i="96" a="1"/>
  <c r="P173" i="96" s="1"/>
  <c r="Z189" i="97" a="1"/>
  <c r="Z189" i="97" s="1"/>
  <c r="P184" i="96" a="1"/>
  <c r="P184" i="96" s="1"/>
  <c r="Z8" i="97" a="1"/>
  <c r="Z8" i="97" s="1"/>
  <c r="P8" i="96" a="1"/>
  <c r="P8" i="96" s="1"/>
  <c r="Z123" i="97" a="1"/>
  <c r="Z123" i="97" s="1"/>
  <c r="P89" i="96" a="1"/>
  <c r="P89" i="96" s="1"/>
  <c r="Z87" i="97" a="1"/>
  <c r="Z87" i="97" s="1"/>
  <c r="P26" i="96" a="1"/>
  <c r="P26" i="96" s="1"/>
  <c r="Z120" i="97" a="1"/>
  <c r="Z120" i="97" s="1"/>
  <c r="P86" i="96" a="1"/>
  <c r="P86" i="96" s="1"/>
  <c r="Z67" i="97" a="1"/>
  <c r="Z67" i="97" s="1"/>
  <c r="P231" i="96" a="1"/>
  <c r="P231" i="96" s="1"/>
  <c r="Z224" i="97" a="1"/>
  <c r="Z224" i="97" s="1"/>
  <c r="P224" i="96" a="1"/>
  <c r="P224" i="96" s="1"/>
  <c r="Z243" i="97" a="1"/>
  <c r="Z243" i="97" s="1"/>
  <c r="P245" i="96" a="1"/>
  <c r="P245" i="96" s="1"/>
  <c r="Z313" i="97" a="1"/>
  <c r="Z313" i="97" s="1"/>
  <c r="P320" i="96" a="1"/>
  <c r="P320" i="96" s="1"/>
  <c r="Z9" i="97" a="1"/>
  <c r="Z9" i="97" s="1"/>
  <c r="P9" i="96" a="1"/>
  <c r="P9" i="96" s="1"/>
  <c r="Z314" i="97" a="1"/>
  <c r="Z314" i="97" s="1"/>
  <c r="P321" i="96" a="1"/>
  <c r="P321" i="96" s="1"/>
  <c r="Z20" i="97" a="1"/>
  <c r="Z20" i="97" s="1"/>
  <c r="P46" i="96" a="1"/>
  <c r="P46" i="96" s="1"/>
  <c r="Z239" i="97" a="1"/>
  <c r="Z239" i="97" s="1"/>
  <c r="P115" i="96" a="1"/>
  <c r="P115" i="96" s="1"/>
  <c r="Z202" i="97" a="1"/>
  <c r="Z202" i="97" s="1"/>
  <c r="P200" i="96" a="1"/>
  <c r="P200" i="96" s="1"/>
  <c r="Z165" i="97" a="1"/>
  <c r="Z165" i="97" s="1"/>
  <c r="P151" i="96" a="1"/>
  <c r="P151" i="96" s="1"/>
  <c r="Z2" i="97" a="1"/>
  <c r="Z2" i="97" s="1"/>
  <c r="P74" i="96" a="1"/>
  <c r="P74" i="96" s="1"/>
  <c r="Z50" i="97" a="1"/>
  <c r="Z50" i="97" s="1"/>
  <c r="P319" i="96" a="1"/>
  <c r="P319" i="96" s="1"/>
  <c r="Z241" i="97" a="1"/>
  <c r="Z241" i="97" s="1"/>
  <c r="P243" i="96" a="1"/>
  <c r="P243" i="96" s="1"/>
  <c r="Z238" i="97" a="1"/>
  <c r="Z238" i="97" s="1"/>
  <c r="P240" i="96" a="1"/>
  <c r="P240" i="96" s="1"/>
  <c r="Z128" i="97" a="1"/>
  <c r="Z128" i="97" s="1"/>
  <c r="P98" i="96" a="1"/>
  <c r="P98" i="96" s="1"/>
  <c r="Z328" i="97" a="1"/>
  <c r="Z328" i="97" s="1"/>
  <c r="P335" i="96" a="1"/>
  <c r="P335" i="96" s="1"/>
  <c r="Z84" i="97" a="1"/>
  <c r="Z84" i="97" s="1"/>
  <c r="P22" i="96" a="1"/>
  <c r="P22" i="96" s="1"/>
  <c r="Z217" i="97" a="1"/>
  <c r="Z217" i="97" s="1"/>
  <c r="P216" i="96" a="1"/>
  <c r="P216" i="96" s="1"/>
  <c r="Z117" i="97" a="1"/>
  <c r="Z117" i="97" s="1"/>
  <c r="P83" i="96" a="1"/>
  <c r="P83" i="96" s="1"/>
  <c r="Z96" i="97" a="1"/>
  <c r="Z96" i="97" s="1"/>
  <c r="P43" i="96" a="1"/>
  <c r="P43" i="96" s="1"/>
  <c r="Z227" i="97" a="1"/>
  <c r="Z227" i="97" s="1"/>
  <c r="P227" i="96" a="1"/>
  <c r="P227" i="96" s="1"/>
  <c r="Z174" i="97" a="1"/>
  <c r="Z174" i="97" s="1"/>
  <c r="P164" i="96" a="1"/>
  <c r="P164" i="96" s="1"/>
  <c r="Z259" i="97" a="1"/>
  <c r="Z259" i="97" s="1"/>
  <c r="P264" i="96" a="1"/>
  <c r="P264" i="96" s="1"/>
  <c r="Z142" i="97" a="1"/>
  <c r="Z142" i="97" s="1"/>
  <c r="P122" i="96" a="1"/>
  <c r="P122" i="96" s="1"/>
  <c r="Z73" i="97" a="1"/>
  <c r="Z73" i="97" s="1"/>
  <c r="P10" i="96" a="1"/>
  <c r="P10" i="96" s="1"/>
  <c r="Z232" i="97" a="1"/>
  <c r="Z232" i="97" s="1"/>
  <c r="P233" i="96" a="1"/>
  <c r="P233" i="96" s="1"/>
  <c r="Z283" i="97" a="1"/>
  <c r="Z283" i="97" s="1"/>
  <c r="P288" i="96" a="1"/>
  <c r="P288" i="96" s="1"/>
  <c r="Z160" i="97" a="1"/>
  <c r="Z160" i="97" s="1"/>
  <c r="P146" i="96" a="1"/>
  <c r="P146" i="96" s="1"/>
  <c r="Z296" i="97" a="1"/>
  <c r="Z296" i="97" s="1"/>
  <c r="P301" i="96" a="1"/>
  <c r="P301" i="96" s="1"/>
  <c r="Z282" i="97" a="1"/>
  <c r="Z282" i="97" s="1"/>
  <c r="P287" i="96" a="1"/>
  <c r="P287" i="96" s="1"/>
  <c r="Z147" i="97" a="1"/>
  <c r="Z147" i="97" s="1"/>
  <c r="P130" i="96" a="1"/>
  <c r="P130" i="96" s="1"/>
  <c r="Z293" i="97" a="1"/>
  <c r="Z293" i="97" s="1"/>
  <c r="P298" i="96" a="1"/>
  <c r="P298" i="96" s="1"/>
  <c r="Z92" i="97" a="1"/>
  <c r="Z92" i="97" s="1"/>
  <c r="P39" i="96" a="1"/>
  <c r="P39" i="96" s="1"/>
  <c r="Z255" i="97" a="1"/>
  <c r="Z255" i="97" s="1"/>
  <c r="P259" i="96" a="1"/>
  <c r="P259" i="96" s="1"/>
  <c r="Z51" i="97" a="1"/>
  <c r="Z51" i="97" s="1"/>
  <c r="P325" i="96" a="1"/>
  <c r="P325" i="96" s="1"/>
  <c r="Z16" i="97" a="1"/>
  <c r="Z16" i="97" s="1"/>
  <c r="P322" i="96" a="1"/>
  <c r="P322" i="96" s="1"/>
  <c r="Z116" i="97" a="1"/>
  <c r="Z116" i="97" s="1"/>
  <c r="P82" i="96" a="1"/>
  <c r="P82" i="96" s="1"/>
  <c r="Z64" i="97" a="1"/>
  <c r="Z64" i="97" s="1"/>
  <c r="P330" i="96" a="1"/>
  <c r="P330" i="96" s="1"/>
  <c r="Z60" i="97" a="1"/>
  <c r="Z60" i="97" s="1"/>
  <c r="P159" i="96" a="1"/>
  <c r="P159" i="96" s="1"/>
  <c r="Z257" i="97" a="1"/>
  <c r="Z257" i="97" s="1"/>
  <c r="P261" i="96" a="1"/>
  <c r="P261" i="96" s="1"/>
  <c r="Z264" i="97" a="1"/>
  <c r="Z264" i="97" s="1"/>
  <c r="P269" i="96" a="1"/>
  <c r="P269" i="96" s="1"/>
  <c r="Z307" i="97" a="1"/>
  <c r="Z307" i="97" s="1"/>
  <c r="P312" i="96" a="1"/>
  <c r="P312" i="96" s="1"/>
  <c r="Z178" i="97" a="1"/>
  <c r="Z178" i="97" s="1"/>
  <c r="P170" i="96" a="1"/>
  <c r="P170" i="96" s="1"/>
  <c r="Z253" i="97" a="1"/>
  <c r="Z253" i="97" s="1"/>
  <c r="P257" i="96" a="1"/>
  <c r="P257" i="96" s="1"/>
  <c r="Z111" i="97" a="1"/>
  <c r="Z111" i="97" s="1"/>
  <c r="P65" i="96" a="1"/>
  <c r="P65" i="96" s="1"/>
  <c r="Z329" i="97" a="1"/>
  <c r="Z329" i="97" s="1"/>
  <c r="P336" i="96" a="1"/>
  <c r="P336" i="96" s="1"/>
  <c r="Z219" i="97" a="1"/>
  <c r="Z219" i="97" s="1"/>
  <c r="P218" i="96" a="1"/>
  <c r="P218" i="96" s="1"/>
  <c r="Z31" i="97" a="1"/>
  <c r="Z31" i="97" s="1"/>
  <c r="P34" i="96" a="1"/>
  <c r="P34" i="96" s="1"/>
  <c r="Z19" i="97" a="1"/>
  <c r="Z19" i="97" s="1"/>
  <c r="P71" i="96" a="1"/>
  <c r="P71" i="96" s="1"/>
  <c r="Z173" i="97" a="1"/>
  <c r="Z173" i="97" s="1"/>
  <c r="P163" i="96" a="1"/>
  <c r="P163" i="96" s="1"/>
  <c r="Z262" i="97" a="1"/>
  <c r="Z262" i="97" s="1"/>
  <c r="P267" i="96" a="1"/>
  <c r="P267" i="96" s="1"/>
  <c r="Z240" i="97" a="1"/>
  <c r="Z240" i="97" s="1"/>
  <c r="P242" i="96" a="1"/>
  <c r="P242" i="96" s="1"/>
  <c r="Z15" i="97" a="1"/>
  <c r="Z15" i="97" s="1"/>
  <c r="P33" i="96" a="1"/>
  <c r="P33" i="96" s="1"/>
  <c r="Z58" i="97" a="1"/>
  <c r="Z58" i="97" s="1"/>
  <c r="P154" i="96" a="1"/>
  <c r="P154" i="96" s="1"/>
  <c r="Z191" i="97" a="1"/>
  <c r="Z191" i="97" s="1"/>
  <c r="P186" i="96" a="1"/>
  <c r="P186" i="96" s="1"/>
  <c r="Z322" i="97" a="1"/>
  <c r="Z322" i="97" s="1"/>
  <c r="P255" i="96" a="1"/>
  <c r="P255" i="96" s="1"/>
  <c r="Z330" i="97" a="1"/>
  <c r="Z330" i="97" s="1"/>
  <c r="P94" i="96" a="1"/>
  <c r="P94" i="96" s="1"/>
  <c r="Z302" i="97" a="1"/>
  <c r="Z302" i="97" s="1"/>
  <c r="P307" i="96" a="1"/>
  <c r="P307" i="96" s="1"/>
  <c r="Z261" i="97" a="1"/>
  <c r="Z261" i="97" s="1"/>
  <c r="P266" i="96" a="1"/>
  <c r="P266" i="96" s="1"/>
  <c r="Z63" i="97" a="1"/>
  <c r="Z63" i="97" s="1"/>
  <c r="P329" i="96" a="1"/>
  <c r="P329" i="96" s="1"/>
  <c r="Z48" i="97" a="1"/>
  <c r="Z48" i="97" s="1"/>
  <c r="P114" i="96" a="1"/>
  <c r="P114" i="96" s="1"/>
  <c r="Z150" i="97" a="1"/>
  <c r="Z150" i="97" s="1"/>
  <c r="P135" i="96" a="1"/>
  <c r="P135" i="96" s="1"/>
  <c r="Z336" i="97" a="1"/>
  <c r="Z336" i="97" s="1"/>
  <c r="P262" i="96" a="1"/>
  <c r="P262" i="96" s="1"/>
  <c r="Z214" i="97" a="1"/>
  <c r="Z214" i="97" s="1"/>
  <c r="P213" i="96" a="1"/>
  <c r="P213" i="96" s="1"/>
  <c r="Z105" i="97" a="1"/>
  <c r="Z105" i="97" s="1"/>
  <c r="P53" i="96" a="1"/>
  <c r="P53" i="96" s="1"/>
  <c r="W304" i="97" a="1"/>
  <c r="W304" i="97" s="1"/>
  <c r="X304" i="97" s="1"/>
  <c r="W281" i="97" a="1"/>
  <c r="W281" i="97" s="1"/>
  <c r="X281" i="97" s="1"/>
  <c r="W156" i="97" a="1"/>
  <c r="W156" i="97" s="1"/>
  <c r="X156" i="97" s="1"/>
  <c r="W242" i="97" a="1"/>
  <c r="W242" i="97" s="1"/>
  <c r="X242" i="97" s="1"/>
  <c r="W31" i="97" a="1"/>
  <c r="W31" i="97" s="1"/>
  <c r="X31" i="97" s="1"/>
  <c r="W307" i="97" a="1"/>
  <c r="W307" i="97" s="1"/>
  <c r="X307" i="97" s="1"/>
  <c r="W261" i="97" a="1"/>
  <c r="W261" i="97" s="1"/>
  <c r="X261" i="97" s="1"/>
  <c r="W139" i="97" a="1"/>
  <c r="W139" i="97" s="1"/>
  <c r="X139" i="97" s="1"/>
  <c r="W128" i="97" a="1"/>
  <c r="W128" i="97" s="1"/>
  <c r="X128" i="97" s="1"/>
  <c r="W95" i="97" a="1"/>
  <c r="W95" i="97" s="1"/>
  <c r="X95" i="97" s="1"/>
  <c r="W236" i="97" a="1"/>
  <c r="W236" i="97" s="1"/>
  <c r="X236" i="97" s="1"/>
  <c r="W102" i="97" a="1"/>
  <c r="W102" i="97" s="1"/>
  <c r="X102" i="97" s="1"/>
  <c r="W188" i="97" a="1"/>
  <c r="W188" i="97" s="1"/>
  <c r="X188" i="97" s="1"/>
  <c r="W2" i="97" a="1"/>
  <c r="W2" i="97" s="1"/>
  <c r="X2" i="97" s="1"/>
  <c r="W71" i="97" a="1"/>
  <c r="W71" i="97" s="1"/>
  <c r="X71" i="97" s="1"/>
  <c r="W334" i="97" a="1"/>
  <c r="W334" i="97" s="1"/>
  <c r="X334" i="97" s="1"/>
  <c r="W116" i="97" a="1"/>
  <c r="W116" i="97" s="1"/>
  <c r="X116" i="97" s="1"/>
  <c r="W214" i="97" a="1"/>
  <c r="W214" i="97" s="1"/>
  <c r="X214" i="97" s="1"/>
  <c r="W46" i="97" a="1"/>
  <c r="W46" i="97" s="1"/>
  <c r="X46" i="97" s="1"/>
  <c r="W280" i="97" a="1"/>
  <c r="W280" i="97" s="1"/>
  <c r="X280" i="97" s="1"/>
  <c r="W157" i="97" a="1"/>
  <c r="W157" i="97" s="1"/>
  <c r="X157" i="97" s="1"/>
  <c r="W175" i="97" a="1"/>
  <c r="W175" i="97" s="1"/>
  <c r="X175" i="97" s="1"/>
  <c r="W99" i="97" a="1"/>
  <c r="W99" i="97" s="1"/>
  <c r="X99" i="97" s="1"/>
  <c r="W274" i="97" a="1"/>
  <c r="W274" i="97" s="1"/>
  <c r="X274" i="97" s="1"/>
  <c r="W87" i="97" a="1"/>
  <c r="W87" i="97" s="1"/>
  <c r="X87" i="97" s="1"/>
  <c r="W330" i="97" a="1"/>
  <c r="W330" i="97" s="1"/>
  <c r="X330" i="97" s="1"/>
  <c r="W73" i="97" a="1"/>
  <c r="W73" i="97" s="1"/>
  <c r="X73" i="97" s="1"/>
  <c r="W311" i="97" a="1"/>
  <c r="W311" i="97" s="1"/>
  <c r="X311" i="97" s="1"/>
  <c r="W142" i="97" a="1"/>
  <c r="W142" i="97" s="1"/>
  <c r="X142" i="97" s="1"/>
  <c r="W92" i="97" a="1"/>
  <c r="W92" i="97" s="1"/>
  <c r="X92" i="97" s="1"/>
  <c r="W219" i="97" a="1"/>
  <c r="W219" i="97" s="1"/>
  <c r="X219" i="97" s="1"/>
  <c r="W216" i="97" a="1"/>
  <c r="W216" i="97" s="1"/>
  <c r="X216" i="97" s="1"/>
  <c r="W38" i="97" a="1"/>
  <c r="W38" i="97" s="1"/>
  <c r="X38" i="97" s="1"/>
  <c r="W150" i="97" a="1"/>
  <c r="W150" i="97" s="1"/>
  <c r="X150" i="97" s="1"/>
  <c r="W68" i="97" a="1"/>
  <c r="W68" i="97" s="1"/>
  <c r="X68" i="97" s="1"/>
  <c r="W282" i="97" a="1"/>
  <c r="W282" i="97" s="1"/>
  <c r="X282" i="97" s="1"/>
  <c r="W147" i="97" a="1"/>
  <c r="W147" i="97" s="1"/>
  <c r="X147" i="97" s="1"/>
  <c r="W16" i="97" a="1"/>
  <c r="W16" i="97" s="1"/>
  <c r="X16" i="97" s="1"/>
  <c r="W291" i="97" a="1"/>
  <c r="W291" i="97" s="1"/>
  <c r="X291" i="97" s="1"/>
  <c r="W172" i="97" a="1"/>
  <c r="W172" i="97" s="1"/>
  <c r="X172" i="97" s="1"/>
  <c r="W233" i="97" a="1"/>
  <c r="W233" i="97" s="1"/>
  <c r="X233" i="97" s="1"/>
  <c r="W305" i="97" a="1"/>
  <c r="W305" i="97" s="1"/>
  <c r="X305" i="97" s="1"/>
  <c r="W215" i="97" a="1"/>
  <c r="W215" i="97" s="1"/>
  <c r="X215" i="97" s="1"/>
  <c r="W209" i="97" a="1"/>
  <c r="W209" i="97" s="1"/>
  <c r="X209" i="97" s="1"/>
  <c r="W83" i="97" a="1"/>
  <c r="W83" i="97" s="1"/>
  <c r="X83" i="97" s="1"/>
  <c r="W27" i="97" a="1"/>
  <c r="W27" i="97" s="1"/>
  <c r="X27" i="97" s="1"/>
  <c r="W301" i="97" a="1"/>
  <c r="W301" i="97" s="1"/>
  <c r="X301" i="97" s="1"/>
  <c r="W124" i="97" a="1"/>
  <c r="W124" i="97" s="1"/>
  <c r="X124" i="97" s="1"/>
  <c r="W40" i="97" a="1"/>
  <c r="W40" i="97" s="1"/>
  <c r="X40" i="97" s="1"/>
  <c r="W258" i="97" a="1"/>
  <c r="W258" i="97" s="1"/>
  <c r="X258" i="97" s="1"/>
  <c r="W11" i="97" a="1"/>
  <c r="W11" i="97" s="1"/>
  <c r="X11" i="97" s="1"/>
  <c r="W296" i="97" a="1"/>
  <c r="W296" i="97" s="1"/>
  <c r="X296" i="97" s="1"/>
  <c r="W160" i="97" a="1"/>
  <c r="W160" i="97" s="1"/>
  <c r="X160" i="97" s="1"/>
  <c r="W58" i="97" a="1"/>
  <c r="W58" i="97" s="1"/>
  <c r="X58" i="97" s="1"/>
  <c r="W194" i="97" a="1"/>
  <c r="W194" i="97" s="1"/>
  <c r="X194" i="97" s="1"/>
  <c r="W277" i="97" a="1"/>
  <c r="W277" i="97" s="1"/>
  <c r="X277" i="97" s="1"/>
  <c r="W19" i="97" a="1"/>
  <c r="W19" i="97" s="1"/>
  <c r="X19" i="97" s="1"/>
  <c r="W178" i="97" a="1"/>
  <c r="W178" i="97" s="1"/>
  <c r="X178" i="97" s="1"/>
  <c r="W285" i="97" a="1"/>
  <c r="W285" i="97" s="1"/>
  <c r="X285" i="97" s="1"/>
  <c r="W313" i="97" a="1"/>
  <c r="W313" i="97" s="1"/>
  <c r="X313" i="97" s="1"/>
  <c r="W217" i="97" a="1"/>
  <c r="W217" i="97" s="1"/>
  <c r="X217" i="97" s="1"/>
  <c r="W204" i="97" a="1"/>
  <c r="W204" i="97" s="1"/>
  <c r="X204" i="97" s="1"/>
  <c r="W283" i="97" a="1"/>
  <c r="W283" i="97" s="1"/>
  <c r="X283" i="97" s="1"/>
  <c r="W60" i="97" a="1"/>
  <c r="W60" i="97" s="1"/>
  <c r="X60" i="97" s="1"/>
  <c r="W269" i="97" a="1"/>
  <c r="W269" i="97" s="1"/>
  <c r="X269" i="97" s="1"/>
  <c r="W238" i="97" a="1"/>
  <c r="W238" i="97" s="1"/>
  <c r="X238" i="97" s="1"/>
  <c r="W22" i="97" a="1"/>
  <c r="W22" i="97" s="1"/>
  <c r="X22" i="97" s="1"/>
  <c r="W195" i="97" a="1"/>
  <c r="W195" i="97" s="1"/>
  <c r="X195" i="97" s="1"/>
  <c r="W121" i="97" a="1"/>
  <c r="W121" i="97" s="1"/>
  <c r="X121" i="97" s="1"/>
  <c r="W226" i="97" a="1"/>
  <c r="W226" i="97" s="1"/>
  <c r="X226" i="97" s="1"/>
  <c r="W306" i="97" a="1"/>
  <c r="W306" i="97" s="1"/>
  <c r="X306" i="97" s="1"/>
  <c r="W240" i="97" a="1"/>
  <c r="W240" i="97" s="1"/>
  <c r="X240" i="97" s="1"/>
  <c r="W319" i="97" a="1"/>
  <c r="W319" i="97" s="1"/>
  <c r="X319" i="97" s="1"/>
  <c r="W259" i="97" a="1"/>
  <c r="W259" i="97" s="1"/>
  <c r="X259" i="97" s="1"/>
  <c r="W153" i="97" a="1"/>
  <c r="W153" i="97" s="1"/>
  <c r="X153" i="97" s="1"/>
  <c r="W14" i="97" a="1"/>
  <c r="W14" i="97" s="1"/>
  <c r="X14" i="97" s="1"/>
  <c r="AD209" i="93" a="1"/>
  <c r="AD209" i="93" s="1"/>
  <c r="AE329" i="93" a="1"/>
  <c r="AE329" i="93" s="1"/>
  <c r="AF329" i="93" s="1" a="1"/>
  <c r="AF329" i="93" s="1"/>
  <c r="AE192" i="93" a="1"/>
  <c r="AE192" i="93" s="1"/>
  <c r="AF192" i="93" s="1" a="1"/>
  <c r="AF192" i="93" s="1"/>
  <c r="AE196" i="93" a="1"/>
  <c r="AE196" i="93" s="1"/>
  <c r="AF196" i="93" s="1" a="1"/>
  <c r="AF196" i="93" s="1"/>
  <c r="AD100" i="93" a="1"/>
  <c r="AD100" i="93" s="1"/>
  <c r="AE324" i="93" a="1"/>
  <c r="AE324" i="93" s="1"/>
  <c r="AF324" i="93" s="1" a="1"/>
  <c r="AF324" i="93" s="1"/>
  <c r="AO21" i="93"/>
  <c r="AU142" i="27" s="1"/>
  <c r="AH21" i="93"/>
  <c r="AE65" i="93" a="1"/>
  <c r="AE65" i="93" s="1"/>
  <c r="AF65" i="93" s="1" a="1"/>
  <c r="AF65" i="93" s="1"/>
  <c r="AE84" i="93" a="1"/>
  <c r="AE84" i="93" s="1"/>
  <c r="AF84" i="93" s="1" a="1"/>
  <c r="AF84" i="93" s="1"/>
  <c r="AE164" i="93" a="1"/>
  <c r="AE164" i="93" s="1"/>
  <c r="AF164" i="93" s="1" a="1"/>
  <c r="AF164" i="93" s="1"/>
  <c r="AE132" i="93" a="1"/>
  <c r="AE132" i="93" s="1"/>
  <c r="AF132" i="93" s="1" a="1"/>
  <c r="AF132" i="93" s="1"/>
  <c r="AH45" i="93"/>
  <c r="AD233" i="93" a="1"/>
  <c r="AD233" i="93" s="1"/>
  <c r="AE281" i="93" a="1"/>
  <c r="AE281" i="93" s="1"/>
  <c r="AF281" i="93" s="1" a="1"/>
  <c r="AF281" i="93" s="1"/>
  <c r="AE260" i="93" a="1"/>
  <c r="AE260" i="93" s="1"/>
  <c r="AF260" i="93" s="1" a="1"/>
  <c r="AF260" i="93" s="1"/>
  <c r="AH31" i="93"/>
  <c r="AE89" i="93" a="1"/>
  <c r="AE89" i="93" s="1"/>
  <c r="AF89" i="93" s="1" a="1"/>
  <c r="AF89" i="93" s="1"/>
  <c r="AD96" i="93" a="1"/>
  <c r="AD96" i="93" s="1"/>
  <c r="AH271" i="93"/>
  <c r="AH50" i="93"/>
  <c r="AH246" i="93"/>
  <c r="AH126" i="93"/>
  <c r="AH270" i="93"/>
  <c r="AH178" i="93"/>
  <c r="AH250" i="93"/>
  <c r="AH213" i="93"/>
  <c r="AD24" i="93" a="1"/>
  <c r="AD24" i="93" s="1"/>
  <c r="AH10" i="93"/>
  <c r="AE124" i="93" a="1"/>
  <c r="AE124" i="93" s="1"/>
  <c r="AF124" i="93" s="1" a="1"/>
  <c r="AF124" i="93" s="1"/>
  <c r="AD41" i="93" a="1"/>
  <c r="AD41" i="93" s="1"/>
  <c r="AE113" i="93" a="1"/>
  <c r="AE113" i="93" s="1"/>
  <c r="AF113" i="93" s="1" a="1"/>
  <c r="AF113" i="93" s="1"/>
  <c r="AH74" i="93"/>
  <c r="AE145" i="93" a="1"/>
  <c r="AE145" i="93" s="1"/>
  <c r="AF145" i="93" s="1" a="1"/>
  <c r="AF145" i="93" s="1"/>
  <c r="AE300" i="93" a="1"/>
  <c r="AE300" i="93" s="1"/>
  <c r="AF300" i="93" s="1" a="1"/>
  <c r="AF300" i="93" s="1"/>
  <c r="AD119" i="93" a="1"/>
  <c r="AD119" i="93" s="1"/>
  <c r="AH247" i="93"/>
  <c r="AD236" i="93" a="1"/>
  <c r="AD236" i="93" s="1"/>
  <c r="AH306" i="93"/>
  <c r="AH54" i="93"/>
  <c r="AH174" i="93"/>
  <c r="AE144" i="93" a="1"/>
  <c r="AE144" i="93" s="1"/>
  <c r="AF144" i="93" s="1" a="1"/>
  <c r="AF144" i="93" s="1"/>
  <c r="AD240" i="93" a="1"/>
  <c r="AD240" i="93" s="1"/>
  <c r="AH309" i="93"/>
  <c r="AH55" i="93"/>
  <c r="AD20" i="93" a="1"/>
  <c r="AD20" i="93" s="1"/>
  <c r="AD48" i="93" a="1"/>
  <c r="AD48" i="93" s="1"/>
  <c r="AH141" i="93"/>
  <c r="AH167" i="93"/>
  <c r="AH34" i="93"/>
  <c r="AE264" i="93" a="1"/>
  <c r="AE264" i="93" s="1"/>
  <c r="AF264" i="93" s="1" a="1"/>
  <c r="AF264" i="93" s="1"/>
  <c r="AH130" i="93"/>
  <c r="AH223" i="93"/>
  <c r="AE290" i="93" a="1"/>
  <c r="AE290" i="93" s="1"/>
  <c r="AF290" i="93" s="1" a="1"/>
  <c r="AF290" i="93" s="1"/>
  <c r="AE47" i="93" a="1"/>
  <c r="AE47" i="93" s="1"/>
  <c r="AF47" i="93" s="1" a="1"/>
  <c r="AF47" i="93" s="1"/>
  <c r="AH106" i="93"/>
  <c r="AH191" i="93"/>
  <c r="AH127" i="93"/>
  <c r="AE143" i="93" a="1"/>
  <c r="AE143" i="93" s="1"/>
  <c r="AF143" i="93" s="1" a="1"/>
  <c r="AF143" i="93" s="1"/>
  <c r="AO336" i="93"/>
  <c r="AU338" i="27" s="1"/>
  <c r="AD288" i="93" a="1"/>
  <c r="AD288" i="93" s="1"/>
  <c r="AH58" i="93"/>
  <c r="AE216" i="93" a="1"/>
  <c r="AE216" i="93" s="1"/>
  <c r="AF216" i="93" s="1" a="1"/>
  <c r="AF216" i="93" s="1"/>
  <c r="AH72" i="93"/>
  <c r="AH198" i="93"/>
  <c r="AD121" i="93" a="1"/>
  <c r="AD121" i="93" s="1"/>
  <c r="AH71" i="93"/>
  <c r="AD95" i="93" a="1"/>
  <c r="AD95" i="93" s="1"/>
  <c r="AH168" i="93"/>
  <c r="AH95" i="93"/>
  <c r="AH154" i="93"/>
  <c r="AH199" i="93"/>
  <c r="AH23" i="93"/>
  <c r="AH69" i="93"/>
  <c r="AH165" i="93"/>
  <c r="AH102" i="93"/>
  <c r="AH237" i="93"/>
  <c r="AH150" i="93"/>
  <c r="AH222" i="93"/>
  <c r="AH295" i="93"/>
  <c r="AH47" i="93"/>
  <c r="AH202" i="93"/>
  <c r="AH261" i="93"/>
  <c r="AH48" i="93"/>
  <c r="AH285" i="93"/>
  <c r="AH175" i="93"/>
  <c r="AH226" i="93"/>
  <c r="AE338" i="93" a="1"/>
  <c r="AE338" i="93" s="1"/>
  <c r="AF338" i="93" s="1" a="1"/>
  <c r="AF338" i="93" s="1"/>
  <c r="AD12" i="93" a="1"/>
  <c r="AD12" i="93" s="1"/>
  <c r="AD44" i="93" a="1"/>
  <c r="AD44" i="93" s="1"/>
  <c r="AH192" i="93"/>
  <c r="AE242" i="93" a="1"/>
  <c r="AE242" i="93" s="1"/>
  <c r="AF242" i="93" s="1" a="1"/>
  <c r="AF242" i="93" s="1"/>
  <c r="AE228" i="93" a="1"/>
  <c r="AE228" i="93" s="1"/>
  <c r="AF228" i="93" s="1" a="1"/>
  <c r="AF228" i="93" s="1"/>
  <c r="AD17" i="93" a="1"/>
  <c r="AD17" i="93" s="1"/>
  <c r="AE72" i="93" a="1"/>
  <c r="AE72" i="93" s="1"/>
  <c r="AF72" i="93" s="1" a="1"/>
  <c r="AF72" i="93" s="1"/>
  <c r="AH288" i="93"/>
  <c r="AH144" i="93"/>
  <c r="AO311" i="93"/>
  <c r="AU99" i="27" s="1"/>
  <c r="AH151" i="93"/>
  <c r="AH93" i="93"/>
  <c r="AD168" i="93" a="1"/>
  <c r="AD168" i="93" s="1"/>
  <c r="AD23" i="93" a="1"/>
  <c r="AD23" i="93" s="1"/>
  <c r="AD266" i="93" a="1"/>
  <c r="AD266" i="93" s="1"/>
  <c r="AH103" i="93"/>
  <c r="AH315" i="93"/>
  <c r="AH189" i="93"/>
  <c r="AD284" i="93" a="1"/>
  <c r="AD284" i="93" s="1"/>
  <c r="AD188" i="93" a="1"/>
  <c r="AD188" i="93" s="1"/>
  <c r="AE335" i="93" a="1"/>
  <c r="AE335" i="93" s="1"/>
  <c r="AF335" i="93" s="1" a="1"/>
  <c r="AF335" i="93" s="1"/>
  <c r="AO193" i="93"/>
  <c r="AU140" i="27" s="1"/>
  <c r="AD332" i="93" a="1"/>
  <c r="AD332" i="93" s="1"/>
  <c r="AH79" i="93"/>
  <c r="AH180" i="93"/>
  <c r="AH240" i="93"/>
  <c r="AO49" i="93"/>
  <c r="AU139" i="27" s="1"/>
  <c r="AH276" i="93"/>
  <c r="AO335" i="93"/>
  <c r="AU123" i="27" s="1"/>
  <c r="AD193" i="93" a="1"/>
  <c r="AD193" i="93" s="1"/>
  <c r="AH117" i="93"/>
  <c r="AH143" i="93"/>
  <c r="AD73" i="93" a="1"/>
  <c r="AD73" i="93" s="1"/>
  <c r="AH239" i="93"/>
  <c r="AH277" i="93"/>
  <c r="AE97" i="93" a="1"/>
  <c r="AE97" i="93" s="1"/>
  <c r="AF97" i="93" s="1" a="1"/>
  <c r="AF97" i="93" s="1"/>
  <c r="AH319" i="93"/>
  <c r="AH49" i="93"/>
  <c r="AH121" i="93"/>
  <c r="AE185" i="93" a="1"/>
  <c r="AE185" i="93" s="1"/>
  <c r="AF185" i="93" s="1" a="1"/>
  <c r="AF185" i="93" s="1"/>
  <c r="AH137" i="93"/>
  <c r="AH119" i="93"/>
  <c r="AH263" i="93"/>
  <c r="AH215" i="93"/>
  <c r="AH96" i="93"/>
  <c r="AO217" i="93"/>
  <c r="AU56" i="27" s="1"/>
  <c r="AH24" i="93"/>
  <c r="AH120" i="93"/>
  <c r="AH89" i="93"/>
  <c r="AH312" i="93"/>
  <c r="AH233" i="93"/>
  <c r="AH216" i="93"/>
  <c r="AH209" i="93"/>
  <c r="AO265" i="93"/>
  <c r="AU310" i="27" s="1"/>
  <c r="AH264" i="93"/>
  <c r="AH228" i="93"/>
  <c r="AE314" i="93" a="1"/>
  <c r="AE314" i="93" s="1"/>
  <c r="AF314" i="93" s="1" a="1"/>
  <c r="AF314" i="93" s="1"/>
  <c r="AH188" i="93"/>
  <c r="AH311" i="93"/>
  <c r="AE120" i="93" a="1"/>
  <c r="AE120" i="93" s="1"/>
  <c r="AF120" i="93" s="1" a="1"/>
  <c r="AF120" i="93" s="1"/>
  <c r="AE36" i="93" a="1"/>
  <c r="AE36" i="93" s="1"/>
  <c r="AF36" i="93" s="1" a="1"/>
  <c r="AF36" i="93" s="1"/>
  <c r="AE244" i="93" a="1"/>
  <c r="AE244" i="93" s="1"/>
  <c r="AF244" i="93" s="1" a="1"/>
  <c r="AF244" i="93" s="1"/>
  <c r="AE52" i="93" a="1"/>
  <c r="AE52" i="93" s="1"/>
  <c r="AF52" i="93" s="1" a="1"/>
  <c r="AF52" i="93" s="1"/>
  <c r="AD180" i="93" a="1"/>
  <c r="AD180" i="93" s="1"/>
  <c r="AD287" i="93" a="1"/>
  <c r="AD287" i="93" s="1"/>
  <c r="AE212" i="93" a="1"/>
  <c r="AE212" i="93" s="1"/>
  <c r="AF212" i="93" s="1" a="1"/>
  <c r="AF212" i="93" s="1"/>
  <c r="AE250" i="93" a="1"/>
  <c r="AE250" i="93" s="1"/>
  <c r="AF250" i="93" s="1" a="1"/>
  <c r="AF250" i="93" s="1"/>
  <c r="AD204" i="93" a="1"/>
  <c r="AD204" i="93" s="1"/>
  <c r="AD337" i="93" a="1"/>
  <c r="AD337" i="93" s="1"/>
  <c r="AE289" i="93" a="1"/>
  <c r="AE289" i="93" s="1"/>
  <c r="AF289" i="93" s="1" a="1"/>
  <c r="AF289" i="93" s="1"/>
  <c r="AH65" i="93"/>
  <c r="AE298" i="93" a="1"/>
  <c r="AE298" i="93" s="1"/>
  <c r="AF298" i="93" s="1" a="1"/>
  <c r="AF298" i="93" s="1"/>
  <c r="AH255" i="93"/>
  <c r="AH287" i="93"/>
  <c r="AH113" i="93"/>
  <c r="AE137" i="93" a="1"/>
  <c r="AE137" i="93" s="1"/>
  <c r="AF137" i="93" s="1" a="1"/>
  <c r="AF137" i="93" s="1"/>
  <c r="AH294" i="93"/>
  <c r="AH97" i="93"/>
  <c r="AD108" i="93" a="1"/>
  <c r="AD108" i="93" s="1"/>
  <c r="AH17" i="93"/>
  <c r="AE292" i="93" a="1"/>
  <c r="AE292" i="93" s="1"/>
  <c r="AF292" i="93" s="1" a="1"/>
  <c r="AF292" i="93" s="1"/>
  <c r="AH41" i="93"/>
  <c r="AO241" i="93"/>
  <c r="AU129" i="27" s="1"/>
  <c r="AH12" i="93"/>
  <c r="AH164" i="93"/>
  <c r="AH299" i="93"/>
  <c r="AH304" i="93"/>
  <c r="AH73" i="93"/>
  <c r="AE148" i="93" a="1"/>
  <c r="AE148" i="93" s="1"/>
  <c r="AF148" i="93" s="1" a="1"/>
  <c r="AF148" i="93" s="1"/>
  <c r="AH301" i="93"/>
  <c r="AH161" i="93"/>
  <c r="AH185" i="93"/>
  <c r="AH204" i="93"/>
  <c r="AD156" i="93" a="1"/>
  <c r="AD156" i="93" s="1"/>
  <c r="AO313" i="93"/>
  <c r="AU336" i="27" s="1"/>
  <c r="AE60" i="93" a="1"/>
  <c r="AE60" i="93" s="1"/>
  <c r="AF60" i="93" s="1" a="1"/>
  <c r="AF60" i="93" s="1"/>
  <c r="AH321" i="93"/>
  <c r="AH257" i="93"/>
  <c r="AD316" i="93" a="1"/>
  <c r="AD316" i="93" s="1"/>
  <c r="AE276" i="93" a="1"/>
  <c r="AE276" i="93" s="1"/>
  <c r="AF276" i="93" s="1" a="1"/>
  <c r="AF276" i="93" s="1"/>
  <c r="AH217" i="93"/>
  <c r="AH279" i="93"/>
  <c r="AH68" i="93"/>
  <c r="AH36" i="93"/>
  <c r="AH328" i="93"/>
  <c r="AH284" i="93"/>
  <c r="AH193" i="93"/>
  <c r="AH20" i="93"/>
  <c r="AH132" i="93"/>
  <c r="AE172" i="93" a="1"/>
  <c r="AE172" i="93" s="1"/>
  <c r="AF172" i="93" s="1" a="1"/>
  <c r="AF172" i="93" s="1"/>
  <c r="AH25" i="93"/>
  <c r="AH156" i="93"/>
  <c r="AH327" i="93"/>
  <c r="AH260" i="93"/>
  <c r="AH140" i="93"/>
  <c r="AO284" i="93"/>
  <c r="AU321" i="27" s="1"/>
  <c r="AH275" i="93"/>
  <c r="AH145" i="93"/>
  <c r="AH330" i="93"/>
  <c r="AO204" i="93"/>
  <c r="AU153" i="27" s="1"/>
  <c r="AE76" i="93" a="1"/>
  <c r="AE76" i="93" s="1"/>
  <c r="AF76" i="93" s="1" a="1"/>
  <c r="AF76" i="93" s="1"/>
  <c r="AE322" i="93" a="1"/>
  <c r="AE322" i="93" s="1"/>
  <c r="AF322" i="93" s="1" a="1"/>
  <c r="AF322" i="93" s="1"/>
  <c r="AE220" i="93" a="1"/>
  <c r="AE220" i="93" s="1"/>
  <c r="AF220" i="93" s="1" a="1"/>
  <c r="AF220" i="93" s="1"/>
  <c r="AE28" i="93" a="1"/>
  <c r="AE28" i="93" s="1"/>
  <c r="AF28" i="93" s="1" a="1"/>
  <c r="AF28" i="93" s="1"/>
  <c r="AH84" i="93"/>
  <c r="AH116" i="93"/>
  <c r="AH92" i="93"/>
  <c r="AH281" i="93"/>
  <c r="AH333" i="93"/>
  <c r="AH335" i="93"/>
  <c r="AH60" i="93"/>
  <c r="AH212" i="93"/>
  <c r="AH44" i="93"/>
  <c r="AH313" i="93"/>
  <c r="AH305" i="93"/>
  <c r="AH302" i="93"/>
  <c r="AH108" i="93"/>
  <c r="AH289" i="93"/>
  <c r="AH308" i="93"/>
  <c r="AH236" i="93"/>
  <c r="AH331" i="93"/>
  <c r="AH252" i="93"/>
  <c r="AH297" i="93"/>
  <c r="AH241" i="93"/>
  <c r="AH300" i="93"/>
  <c r="AH265" i="93"/>
  <c r="AH318" i="93"/>
  <c r="AH336" i="93"/>
  <c r="AH337" i="93"/>
  <c r="AH332" i="93"/>
  <c r="AH194" i="93"/>
  <c r="AH323" i="93"/>
  <c r="AH169" i="93"/>
  <c r="AH324" i="93"/>
  <c r="AE265" i="93" a="1"/>
  <c r="AE265" i="93" s="1"/>
  <c r="AF265" i="93" s="1" a="1"/>
  <c r="AF265" i="93" s="1"/>
  <c r="AH278" i="93"/>
  <c r="AH303" i="93"/>
  <c r="AH329" i="93"/>
  <c r="AH124" i="93"/>
  <c r="AH290" i="93"/>
  <c r="AE274" i="93" a="1"/>
  <c r="AE274" i="93" s="1"/>
  <c r="AF274" i="93" s="1" a="1"/>
  <c r="AF274" i="93" s="1"/>
  <c r="AD268" i="93" a="1"/>
  <c r="AD268" i="93" s="1"/>
  <c r="AH325" i="93"/>
  <c r="AH316" i="93"/>
  <c r="AH314" i="93"/>
  <c r="AH322" i="93"/>
  <c r="AH28" i="93"/>
  <c r="AH100" i="93"/>
  <c r="AH148" i="93"/>
  <c r="AH172" i="93"/>
  <c r="AH220" i="93"/>
  <c r="AH218" i="93"/>
  <c r="AH338" i="93"/>
  <c r="AH298" i="93"/>
  <c r="AH334" i="93"/>
  <c r="AH268" i="93"/>
  <c r="AH326" i="93"/>
  <c r="AH292" i="93"/>
  <c r="AH196" i="93"/>
  <c r="AO298" i="93"/>
  <c r="AU329" i="27" s="1"/>
  <c r="AH266" i="93"/>
  <c r="AO274" i="93"/>
  <c r="AU314" i="27" s="1"/>
  <c r="AH274" i="93"/>
  <c r="AO196" i="93"/>
  <c r="AU290" i="27" s="1"/>
  <c r="AH76" i="93"/>
  <c r="AH242" i="93"/>
  <c r="AH244" i="93"/>
  <c r="AO52" i="93"/>
  <c r="AU243" i="27" s="1"/>
  <c r="AH52" i="93"/>
  <c r="Q204" i="27"/>
  <c r="N6" i="97" s="1" a="1"/>
  <c r="N6" i="97" s="1"/>
  <c r="Q232" i="27"/>
  <c r="N7" i="97" s="1" a="1"/>
  <c r="N7" i="97" s="1"/>
  <c r="Q222" i="27"/>
  <c r="N8" i="97" s="1" a="1"/>
  <c r="N8" i="97" s="1"/>
  <c r="Q231" i="27"/>
  <c r="N9" i="97" s="1" a="1"/>
  <c r="N9" i="97" s="1"/>
  <c r="Q36" i="27"/>
  <c r="N73" i="97" s="1" a="1"/>
  <c r="N73" i="97" s="1"/>
  <c r="Q124" i="27"/>
  <c r="N74" i="97" s="1" a="1"/>
  <c r="N74" i="97" s="1"/>
  <c r="Q105" i="27"/>
  <c r="N75" i="97" s="1" a="1"/>
  <c r="N75" i="97" s="1"/>
  <c r="Q233" i="27"/>
  <c r="N76" i="97" s="1" a="1"/>
  <c r="N76" i="97" s="1"/>
  <c r="Q135" i="27"/>
  <c r="N77" i="97" s="1" a="1"/>
  <c r="N77" i="97" s="1"/>
  <c r="Q161" i="27"/>
  <c r="N78" i="97" s="1" a="1"/>
  <c r="N78" i="97" s="1"/>
  <c r="Q165" i="27"/>
  <c r="N79" i="97" s="1" a="1"/>
  <c r="N79" i="97" s="1"/>
  <c r="Q24" i="27"/>
  <c r="N80" i="97" s="1" a="1"/>
  <c r="N80" i="97" s="1"/>
  <c r="Q166" i="27"/>
  <c r="N81" i="97" s="1" a="1"/>
  <c r="N81" i="97" s="1"/>
  <c r="Q142" i="27"/>
  <c r="N196" i="97" s="1" a="1"/>
  <c r="N196" i="97" s="1"/>
  <c r="Q234" i="27"/>
  <c r="N82" i="97" s="1" a="1"/>
  <c r="N82" i="97" s="1"/>
  <c r="Q118" i="27"/>
  <c r="N83" i="97" s="1" a="1"/>
  <c r="N83" i="97" s="1"/>
  <c r="Q83" i="27"/>
  <c r="N84" i="97" s="1" a="1"/>
  <c r="N84" i="97" s="1"/>
  <c r="Q112" i="27"/>
  <c r="N11" i="97" s="1" a="1"/>
  <c r="N11" i="97" s="1"/>
  <c r="Q79" i="27"/>
  <c r="N85" i="97" s="1" a="1"/>
  <c r="N85" i="97" s="1"/>
  <c r="Q235" i="27"/>
  <c r="N86" i="97" s="1" a="1"/>
  <c r="N86" i="97" s="1"/>
  <c r="Q216" i="27"/>
  <c r="N87" i="97" s="1" a="1"/>
  <c r="N87" i="97" s="1"/>
  <c r="Q10" i="27"/>
  <c r="N88" i="97" s="1" a="1"/>
  <c r="N88" i="97" s="1"/>
  <c r="Q34" i="27"/>
  <c r="N89" i="97" s="1" a="1"/>
  <c r="N89" i="97" s="1"/>
  <c r="Q215" i="27"/>
  <c r="N12" i="97" s="1" a="1"/>
  <c r="N12" i="97" s="1"/>
  <c r="Q141" i="27"/>
  <c r="N90" i="97" s="1" a="1"/>
  <c r="N90" i="97" s="1"/>
  <c r="Q70" i="27"/>
  <c r="N30" i="97" s="1" a="1"/>
  <c r="N30" i="97" s="1"/>
  <c r="Q73" i="27"/>
  <c r="N10" i="97" s="1" a="1"/>
  <c r="N10" i="97" s="1"/>
  <c r="Q134" i="27"/>
  <c r="N15" i="97" s="1" a="1"/>
  <c r="N15" i="97" s="1"/>
  <c r="Q64" i="27"/>
  <c r="N31" i="97" s="1" a="1"/>
  <c r="N31" i="97" s="1"/>
  <c r="Q126" i="27"/>
  <c r="N32" i="97" s="1" a="1"/>
  <c r="N32" i="97" s="1"/>
  <c r="Q108" i="27"/>
  <c r="N33" i="97" s="1" a="1"/>
  <c r="N33" i="97" s="1"/>
  <c r="Q21" i="27"/>
  <c r="N18" i="97" s="1" a="1"/>
  <c r="N18" i="97" s="1"/>
  <c r="Q236" i="27"/>
  <c r="N91" i="97" s="1" a="1"/>
  <c r="N91" i="97" s="1"/>
  <c r="Q237" i="27"/>
  <c r="N92" i="97" s="1" a="1"/>
  <c r="N92" i="97" s="1"/>
  <c r="Q238" i="27"/>
  <c r="N93" i="97" s="1" a="1"/>
  <c r="N93" i="97" s="1"/>
  <c r="Q156" i="27"/>
  <c r="N94" i="97" s="1" a="1"/>
  <c r="N94" i="97" s="1"/>
  <c r="Q239" i="27"/>
  <c r="N95" i="97" s="1" a="1"/>
  <c r="N95" i="97" s="1"/>
  <c r="Q240" i="27"/>
  <c r="N96" i="97" s="1" a="1"/>
  <c r="N96" i="97" s="1"/>
  <c r="Q241" i="27"/>
  <c r="N97" i="97" s="1" a="1"/>
  <c r="N97" i="97" s="1"/>
  <c r="Q65" i="27"/>
  <c r="N98" i="97" s="1" a="1"/>
  <c r="N98" i="97" s="1"/>
  <c r="Q167" i="27"/>
  <c r="N20" i="97" s="1" a="1"/>
  <c r="N20" i="97" s="1"/>
  <c r="Q139" i="27"/>
  <c r="N99" i="97" s="1" a="1"/>
  <c r="N99" i="97" s="1"/>
  <c r="Q242" i="27"/>
  <c r="N100" i="97" s="1" a="1"/>
  <c r="N100" i="97" s="1"/>
  <c r="Q137" i="27"/>
  <c r="N101" i="97" s="1" a="1"/>
  <c r="N101" i="97" s="1"/>
  <c r="Q243" i="27"/>
  <c r="N102" i="97" s="1" a="1"/>
  <c r="N102" i="97" s="1"/>
  <c r="Q244" i="27"/>
  <c r="N103" i="97" s="1" a="1"/>
  <c r="N103" i="97" s="1"/>
  <c r="Q189" i="27"/>
  <c r="N104" i="97" s="1" a="1"/>
  <c r="N104" i="97" s="1"/>
  <c r="Q245" i="27"/>
  <c r="N105" i="97" s="1" a="1"/>
  <c r="N105" i="97" s="1"/>
  <c r="Q246" i="27"/>
  <c r="N106" i="97" s="1" a="1"/>
  <c r="N106" i="97" s="1"/>
  <c r="Q221" i="27"/>
  <c r="N107" i="97" s="1" a="1"/>
  <c r="N107" i="97" s="1"/>
  <c r="Q247" i="27"/>
  <c r="N108" i="97" s="1" a="1"/>
  <c r="N108" i="97" s="1"/>
  <c r="Q76" i="27"/>
  <c r="N21" i="97" s="1" a="1"/>
  <c r="N21" i="97" s="1"/>
  <c r="Q248" i="27"/>
  <c r="N22" i="97" s="1" a="1"/>
  <c r="N22" i="97" s="1"/>
  <c r="Q19" i="27"/>
  <c r="N109" i="97" s="1" a="1"/>
  <c r="N109" i="97" s="1"/>
  <c r="Q249" i="27"/>
  <c r="N23" i="97" s="1" a="1"/>
  <c r="N23" i="97" s="1"/>
  <c r="Q250" i="27"/>
  <c r="N24" i="97" s="1" a="1"/>
  <c r="N24" i="97" s="1"/>
  <c r="Q251" i="27"/>
  <c r="N110" i="97" s="1" a="1"/>
  <c r="N110" i="97" s="1"/>
  <c r="Q144" i="27"/>
  <c r="N25" i="97" s="1" a="1"/>
  <c r="N25" i="97" s="1"/>
  <c r="Q252" i="27"/>
  <c r="N26" i="97" s="1" a="1"/>
  <c r="N26" i="97" s="1"/>
  <c r="Q113" i="27"/>
  <c r="N111" i="97" s="1" a="1"/>
  <c r="N111" i="97" s="1"/>
  <c r="Q253" i="27"/>
  <c r="N27" i="97" s="1" a="1"/>
  <c r="N27" i="97" s="1"/>
  <c r="Q178" i="27"/>
  <c r="N28" i="97" s="1" a="1"/>
  <c r="N28" i="97" s="1"/>
  <c r="Q8" i="27"/>
  <c r="N256" i="97" s="1" a="1"/>
  <c r="N256" i="97" s="1"/>
  <c r="Q57" i="27"/>
  <c r="N34" i="97" s="1" a="1"/>
  <c r="N34" i="97" s="1"/>
  <c r="Q125" i="27"/>
  <c r="N35" i="97" s="1" a="1"/>
  <c r="N35" i="97" s="1"/>
  <c r="Q94" i="27"/>
  <c r="N19" i="97" s="1" a="1"/>
  <c r="N19" i="97" s="1"/>
  <c r="Q11" i="27"/>
  <c r="N266" i="97" s="1" a="1"/>
  <c r="N266" i="97" s="1"/>
  <c r="Q50" i="27"/>
  <c r="N29" i="97" s="1" a="1"/>
  <c r="N29" i="97" s="1"/>
  <c r="Q81" i="27"/>
  <c r="N2" i="97" s="1" a="1"/>
  <c r="N2" i="97" s="1"/>
  <c r="Q147" i="27"/>
  <c r="N36" i="97" s="1" a="1"/>
  <c r="N36" i="97" s="1"/>
  <c r="Q61" i="27"/>
  <c r="N37" i="97" s="1" a="1"/>
  <c r="N37" i="97" s="1"/>
  <c r="Q119" i="27"/>
  <c r="N39" i="97" s="1" a="1"/>
  <c r="N39" i="97" s="1"/>
  <c r="Q145" i="27"/>
  <c r="N112" i="97" s="1" a="1"/>
  <c r="N112" i="97" s="1"/>
  <c r="Q254" i="27"/>
  <c r="N113" i="97" s="1" a="1"/>
  <c r="N113" i="97" s="1"/>
  <c r="Q37" i="27"/>
  <c r="N114" i="97" s="1" a="1"/>
  <c r="N114" i="97" s="1"/>
  <c r="Q255" i="27"/>
  <c r="N115" i="97" s="1" a="1"/>
  <c r="N115" i="97" s="1"/>
  <c r="Q256" i="27"/>
  <c r="N116" i="97" s="1" a="1"/>
  <c r="N116" i="97" s="1"/>
  <c r="Q85" i="27"/>
  <c r="N117" i="97" s="1" a="1"/>
  <c r="N117" i="97" s="1"/>
  <c r="Q257" i="27"/>
  <c r="N118" i="97" s="1" a="1"/>
  <c r="N118" i="97" s="1"/>
  <c r="Q33" i="27"/>
  <c r="N119" i="97" s="1" a="1"/>
  <c r="N119" i="97" s="1"/>
  <c r="Q258" i="27"/>
  <c r="N120" i="97" s="1" a="1"/>
  <c r="N120" i="97" s="1"/>
  <c r="Q259" i="27"/>
  <c r="N121" i="97" s="1" a="1"/>
  <c r="N121" i="97" s="1"/>
  <c r="Q260" i="27"/>
  <c r="N122" i="97" s="1" a="1"/>
  <c r="N122" i="97" s="1"/>
  <c r="Q261" i="27"/>
  <c r="N123" i="97" s="1" a="1"/>
  <c r="N123" i="97" s="1"/>
  <c r="Q262" i="27"/>
  <c r="N124" i="97" s="1" a="1"/>
  <c r="N124" i="97" s="1"/>
  <c r="Q263" i="27"/>
  <c r="N125" i="97" s="1" a="1"/>
  <c r="N125" i="97" s="1"/>
  <c r="Q6" i="27"/>
  <c r="N198" i="97" s="1" a="1"/>
  <c r="N198" i="97" s="1"/>
  <c r="Q264" i="27"/>
  <c r="N126" i="97" s="1" a="1"/>
  <c r="N126" i="97" s="1"/>
  <c r="Q265" i="27"/>
  <c r="N330" i="97" s="1" a="1"/>
  <c r="N330" i="97" s="1"/>
  <c r="Q266" i="27"/>
  <c r="N40" i="97" s="1" a="1"/>
  <c r="N40" i="97" s="1"/>
  <c r="Q267" i="27"/>
  <c r="N127" i="97" s="1" a="1"/>
  <c r="N127" i="97" s="1"/>
  <c r="Q268" i="27"/>
  <c r="N41" i="97" s="1" a="1"/>
  <c r="N41" i="97" s="1"/>
  <c r="Q269" i="27"/>
  <c r="N128" i="97" s="1" a="1"/>
  <c r="N128" i="97" s="1"/>
  <c r="Q195" i="27"/>
  <c r="N129" i="97" s="1" a="1"/>
  <c r="N129" i="97" s="1"/>
  <c r="Q47" i="27"/>
  <c r="N130" i="97" s="1" a="1"/>
  <c r="N130" i="97" s="1"/>
  <c r="Q270" i="27"/>
  <c r="N131" i="97" s="1" a="1"/>
  <c r="N131" i="97" s="1"/>
  <c r="Q95" i="27"/>
  <c r="N3" i="97" s="1" a="1"/>
  <c r="N3" i="97" s="1"/>
  <c r="Q121" i="27"/>
  <c r="N42" i="97" s="1" a="1"/>
  <c r="N42" i="97" s="1"/>
  <c r="Q226" i="27"/>
  <c r="N13" i="97" s="1" a="1"/>
  <c r="N13" i="97" s="1"/>
  <c r="Q54" i="27"/>
  <c r="N295" i="97" s="1" a="1"/>
  <c r="N295" i="97" s="1"/>
  <c r="Q185" i="27"/>
  <c r="N132" i="97" s="1" a="1"/>
  <c r="N132" i="97" s="1"/>
  <c r="Q200" i="27"/>
  <c r="N133" i="97" s="1" a="1"/>
  <c r="N133" i="97" s="1"/>
  <c r="Q169" i="27"/>
  <c r="N134" i="97" s="1" a="1"/>
  <c r="N134" i="97" s="1"/>
  <c r="Q225" i="27"/>
  <c r="N135" i="97" s="1" a="1"/>
  <c r="N135" i="97" s="1"/>
  <c r="Q17" i="27"/>
  <c r="N136" i="97" s="1" a="1"/>
  <c r="N136" i="97" s="1"/>
  <c r="Q87" i="27"/>
  <c r="N46" i="97" s="1" a="1"/>
  <c r="N46" i="97" s="1"/>
  <c r="Q187" i="27"/>
  <c r="N137" i="97" s="1" a="1"/>
  <c r="N137" i="97" s="1"/>
  <c r="Q210" i="27"/>
  <c r="N47" i="97" s="1" a="1"/>
  <c r="N47" i="97" s="1"/>
  <c r="Q80" i="27"/>
  <c r="N48" i="97" s="1" a="1"/>
  <c r="N48" i="97" s="1"/>
  <c r="Q146" i="27"/>
  <c r="N239" i="97" s="1" a="1"/>
  <c r="N239" i="97" s="1"/>
  <c r="Q223" i="27"/>
  <c r="N138" i="97" s="1" a="1"/>
  <c r="N138" i="97" s="1"/>
  <c r="Q86" i="27"/>
  <c r="N139" i="97" s="1" a="1"/>
  <c r="N139" i="97" s="1"/>
  <c r="Q162" i="27"/>
  <c r="N242" i="97" s="1" a="1"/>
  <c r="N242" i="97" s="1"/>
  <c r="Q27" i="27"/>
  <c r="N311" i="97" s="1" a="1"/>
  <c r="N311" i="97" s="1"/>
  <c r="Q159" i="27"/>
  <c r="N140" i="97" s="1" a="1"/>
  <c r="N140" i="97" s="1"/>
  <c r="Q230" i="27"/>
  <c r="N141" i="97" s="1" a="1"/>
  <c r="N141" i="97" s="1"/>
  <c r="Q201" i="27"/>
  <c r="N142" i="97" s="1" a="1"/>
  <c r="N142" i="97" s="1"/>
  <c r="Q190" i="27"/>
  <c r="N52" i="97" s="1" a="1"/>
  <c r="N52" i="97" s="1"/>
  <c r="Q213" i="27"/>
  <c r="N53" i="97" s="1" a="1"/>
  <c r="N53" i="97" s="1"/>
  <c r="Q157" i="27"/>
  <c r="N143" i="97" s="1" a="1"/>
  <c r="N143" i="97" s="1"/>
  <c r="Q228" i="27"/>
  <c r="N144" i="97" s="1" a="1"/>
  <c r="N144" i="97" s="1"/>
  <c r="Q229" i="27"/>
  <c r="N145" i="97" s="1" a="1"/>
  <c r="N145" i="97" s="1"/>
  <c r="Q180" i="27"/>
  <c r="N54" i="97" s="1" a="1"/>
  <c r="N54" i="97" s="1"/>
  <c r="Q211" i="27"/>
  <c r="N146" i="97" s="1" a="1"/>
  <c r="N146" i="97" s="1"/>
  <c r="Q154" i="27"/>
  <c r="N147" i="97" s="1" a="1"/>
  <c r="N147" i="97" s="1"/>
  <c r="Q176" i="27"/>
  <c r="N148" i="97" s="1" a="1"/>
  <c r="N148" i="97" s="1"/>
  <c r="Q196" i="27"/>
  <c r="N149" i="97" s="1" a="1"/>
  <c r="N149" i="97" s="1"/>
  <c r="Q197" i="27"/>
  <c r="N55" i="97" s="1" a="1"/>
  <c r="N55" i="97" s="1"/>
  <c r="Q202" i="27"/>
  <c r="N56" i="97" s="1" a="1"/>
  <c r="N56" i="97" s="1"/>
  <c r="Q51" i="27"/>
  <c r="N150" i="97" s="1" a="1"/>
  <c r="N150" i="97" s="1"/>
  <c r="Q155" i="27"/>
  <c r="N151" i="97" s="1" a="1"/>
  <c r="N151" i="97" s="1"/>
  <c r="Q271" i="27"/>
  <c r="N152" i="97" s="1" a="1"/>
  <c r="N152" i="97" s="1"/>
  <c r="Q39" i="27"/>
  <c r="N153" i="97" s="1" a="1"/>
  <c r="N153" i="97" s="1"/>
  <c r="Q82" i="27"/>
  <c r="N154" i="97" s="1" a="1"/>
  <c r="N154" i="97" s="1"/>
  <c r="Q272" i="27"/>
  <c r="N155" i="97" s="1" a="1"/>
  <c r="N155" i="97" s="1"/>
  <c r="Q127" i="27"/>
  <c r="N156" i="97" s="1" a="1"/>
  <c r="N156" i="97" s="1"/>
  <c r="Q46" i="27"/>
  <c r="N157" i="97" s="1" a="1"/>
  <c r="N157" i="97" s="1"/>
  <c r="Q209" i="27"/>
  <c r="N57" i="97" s="1" a="1"/>
  <c r="N57" i="97" s="1"/>
  <c r="Q218" i="27"/>
  <c r="N158" i="97" s="1" a="1"/>
  <c r="N158" i="97" s="1"/>
  <c r="Q78" i="27"/>
  <c r="N159" i="97" s="1" a="1"/>
  <c r="N159" i="97" s="1"/>
  <c r="Q128" i="27"/>
  <c r="N160" i="97" s="1" a="1"/>
  <c r="N160" i="97" s="1"/>
  <c r="Q116" i="27"/>
  <c r="N161" i="97" s="1" a="1"/>
  <c r="N161" i="97" s="1"/>
  <c r="Q7" i="27"/>
  <c r="N162" i="97" s="1" a="1"/>
  <c r="N162" i="97" s="1"/>
  <c r="Q63" i="27"/>
  <c r="N163" i="97" s="1" a="1"/>
  <c r="N163" i="97" s="1"/>
  <c r="Q48" i="27"/>
  <c r="N164" i="97" s="1" a="1"/>
  <c r="N164" i="97" s="1"/>
  <c r="Q273" i="27"/>
  <c r="N165" i="97" s="1" a="1"/>
  <c r="N165" i="97" s="1"/>
  <c r="Q274" i="27"/>
  <c r="N166" i="97" s="1" a="1"/>
  <c r="N166" i="97" s="1"/>
  <c r="Q32" i="27"/>
  <c r="N167" i="97" s="1" a="1"/>
  <c r="N167" i="97" s="1"/>
  <c r="Q88" i="27"/>
  <c r="N58" i="97" s="1" a="1"/>
  <c r="N58" i="97" s="1"/>
  <c r="Q44" i="27"/>
  <c r="N168" i="97" s="1" a="1"/>
  <c r="N168" i="97" s="1"/>
  <c r="Q275" i="27"/>
  <c r="N169" i="97" s="1" a="1"/>
  <c r="N169" i="97" s="1"/>
  <c r="Q130" i="27"/>
  <c r="N59" i="97" s="1" a="1"/>
  <c r="N59" i="97" s="1"/>
  <c r="Q276" i="27"/>
  <c r="N170" i="97" s="1" a="1"/>
  <c r="N170" i="97" s="1"/>
  <c r="Q277" i="27"/>
  <c r="N60" i="97" s="1" a="1"/>
  <c r="N60" i="97" s="1"/>
  <c r="Q278" i="27"/>
  <c r="N331" i="97" s="1" a="1"/>
  <c r="N331" i="97" s="1"/>
  <c r="Q279" i="27"/>
  <c r="N171" i="97" s="1" a="1"/>
  <c r="N171" i="97" s="1"/>
  <c r="Q280" i="27"/>
  <c r="N172" i="97" s="1" a="1"/>
  <c r="N172" i="97" s="1"/>
  <c r="Q281" i="27"/>
  <c r="N173" i="97" s="1" a="1"/>
  <c r="N173" i="97" s="1"/>
  <c r="Q282" i="27"/>
  <c r="N174" i="97" s="1" a="1"/>
  <c r="N174" i="97" s="1"/>
  <c r="Q283" i="27"/>
  <c r="N61" i="97" s="1" a="1"/>
  <c r="N61" i="97" s="1"/>
  <c r="Q26" i="27"/>
  <c r="N332" i="97" s="1" a="1"/>
  <c r="N332" i="97" s="1"/>
  <c r="Q284" i="27"/>
  <c r="N175" i="97" s="1" a="1"/>
  <c r="N175" i="97" s="1"/>
  <c r="Q285" i="27"/>
  <c r="N176" i="97" s="1" a="1"/>
  <c r="N176" i="97" s="1"/>
  <c r="Q286" i="27"/>
  <c r="N177" i="97" s="1" a="1"/>
  <c r="N177" i="97" s="1"/>
  <c r="Q287" i="27"/>
  <c r="N178" i="97" s="1" a="1"/>
  <c r="N178" i="97" s="1"/>
  <c r="Q143" i="27"/>
  <c r="N179" i="97" s="1" a="1"/>
  <c r="N179" i="97" s="1"/>
  <c r="Q203" i="27"/>
  <c r="N180" i="97" s="1" a="1"/>
  <c r="N180" i="97" s="1"/>
  <c r="Q288" i="27"/>
  <c r="N333" i="97" s="1" a="1"/>
  <c r="N333" i="97" s="1"/>
  <c r="Q104" i="27"/>
  <c r="N181" i="97" s="1" a="1"/>
  <c r="N181" i="97" s="1"/>
  <c r="Q138" i="27"/>
  <c r="N182" i="97" s="1" a="1"/>
  <c r="N182" i="97" s="1"/>
  <c r="Q148" i="27"/>
  <c r="N183" i="97" s="1" a="1"/>
  <c r="N183" i="97" s="1"/>
  <c r="Q224" i="27"/>
  <c r="N184" i="97" s="1" a="1"/>
  <c r="N184" i="97" s="1"/>
  <c r="Q66" i="27"/>
  <c r="N14" i="97" s="1" a="1"/>
  <c r="N14" i="97" s="1"/>
  <c r="Q170" i="27"/>
  <c r="N185" i="97" s="1" a="1"/>
  <c r="N185" i="97" s="1"/>
  <c r="Q23" i="27"/>
  <c r="N186" i="97" s="1" a="1"/>
  <c r="N186" i="97" s="1"/>
  <c r="Q93" i="27"/>
  <c r="N312" i="97" s="1" a="1"/>
  <c r="N312" i="97" s="1"/>
  <c r="Q150" i="27"/>
  <c r="N187" i="97" s="1" a="1"/>
  <c r="N187" i="97" s="1"/>
  <c r="Q110" i="27"/>
  <c r="N188" i="97" s="1" a="1"/>
  <c r="N188" i="97" s="1"/>
  <c r="Q91" i="27"/>
  <c r="N189" i="97" s="1" a="1"/>
  <c r="N189" i="97" s="1"/>
  <c r="Q52" i="27"/>
  <c r="N190" i="97" s="1" a="1"/>
  <c r="N190" i="97" s="1"/>
  <c r="Q101" i="27"/>
  <c r="N191" i="97" s="1" a="1"/>
  <c r="N191" i="97" s="1"/>
  <c r="Q16" i="27"/>
  <c r="N192" i="97" s="1" a="1"/>
  <c r="N192" i="97" s="1"/>
  <c r="Q40" i="27"/>
  <c r="N193" i="97" s="1" a="1"/>
  <c r="N193" i="97" s="1"/>
  <c r="Q35" i="27"/>
  <c r="N38" i="97" s="1" a="1"/>
  <c r="N38" i="97" s="1"/>
  <c r="Q289" i="27"/>
  <c r="N194" i="97" s="1" a="1"/>
  <c r="N194" i="97" s="1"/>
  <c r="Q140" i="27"/>
  <c r="N195" i="97" s="1" a="1"/>
  <c r="N195" i="97" s="1"/>
  <c r="Q41" i="27"/>
  <c r="N247" i="97" s="1" a="1"/>
  <c r="N247" i="97" s="1"/>
  <c r="Q151" i="27"/>
  <c r="N65" i="97" s="1" a="1"/>
  <c r="N65" i="97" s="1"/>
  <c r="Q290" i="27"/>
  <c r="N334" i="97" s="1" a="1"/>
  <c r="N334" i="97" s="1"/>
  <c r="Q122" i="27"/>
  <c r="N197" i="97" s="1" a="1"/>
  <c r="N197" i="97" s="1"/>
  <c r="Q9" i="27"/>
  <c r="N315" i="97" s="1" a="1"/>
  <c r="N315" i="97" s="1"/>
  <c r="Q43" i="27"/>
  <c r="N199" i="97" s="1" a="1"/>
  <c r="N199" i="97" s="1"/>
  <c r="Q291" i="27"/>
  <c r="N200" i="97" s="1" a="1"/>
  <c r="N200" i="97" s="1"/>
  <c r="Q152" i="27"/>
  <c r="N201" i="97" s="1" a="1"/>
  <c r="N201" i="97" s="1"/>
  <c r="Q175" i="27"/>
  <c r="N202" i="97" s="1" a="1"/>
  <c r="N202" i="97" s="1"/>
  <c r="Q74" i="27"/>
  <c r="N203" i="97" s="1" a="1"/>
  <c r="N203" i="97" s="1"/>
  <c r="Q153" i="27"/>
  <c r="N204" i="97" s="1" a="1"/>
  <c r="N204" i="97" s="1"/>
  <c r="Q149" i="27"/>
  <c r="N205" i="97" s="1" a="1"/>
  <c r="N205" i="97" s="1"/>
  <c r="Q90" i="27"/>
  <c r="N206" i="97" s="1" a="1"/>
  <c r="N206" i="97" s="1"/>
  <c r="Q96" i="27"/>
  <c r="N207" i="97" s="1" a="1"/>
  <c r="N207" i="97" s="1"/>
  <c r="Q12" i="27"/>
  <c r="N208" i="97" s="1" a="1"/>
  <c r="N208" i="97" s="1"/>
  <c r="Q69" i="27"/>
  <c r="N209" i="97" s="1" a="1"/>
  <c r="N209" i="97" s="1"/>
  <c r="Q171" i="27"/>
  <c r="N210" i="97" s="1" a="1"/>
  <c r="N210" i="97" s="1"/>
  <c r="Q186" i="27"/>
  <c r="N211" i="97" s="1" a="1"/>
  <c r="N211" i="97" s="1"/>
  <c r="Q174" i="27"/>
  <c r="N66" i="97" s="1" a="1"/>
  <c r="N66" i="97" s="1"/>
  <c r="Q198" i="27"/>
  <c r="N212" i="97" s="1" a="1"/>
  <c r="N212" i="97" s="1"/>
  <c r="Q292" i="27"/>
  <c r="N213" i="97" s="1" a="1"/>
  <c r="N213" i="97" s="1"/>
  <c r="Q131" i="27"/>
  <c r="N214" i="97" s="1" a="1"/>
  <c r="N214" i="97" s="1"/>
  <c r="Q53" i="27"/>
  <c r="N215" i="97" s="1" a="1"/>
  <c r="N215" i="97" s="1"/>
  <c r="Q56" i="27"/>
  <c r="N216" i="97" s="1" a="1"/>
  <c r="N216" i="97" s="1"/>
  <c r="Q293" i="27"/>
  <c r="N217" i="97" s="1" a="1"/>
  <c r="N217" i="97" s="1"/>
  <c r="Q294" i="27"/>
  <c r="N218" i="97" s="1" a="1"/>
  <c r="N218" i="97" s="1"/>
  <c r="Q295" i="27"/>
  <c r="N219" i="97" s="1" a="1"/>
  <c r="N219" i="97" s="1"/>
  <c r="Q296" i="27"/>
  <c r="N220" i="97" s="1" a="1"/>
  <c r="N220" i="97" s="1"/>
  <c r="Q177" i="27"/>
  <c r="N221" i="97" s="1" a="1"/>
  <c r="N221" i="97" s="1"/>
  <c r="Q92" i="27"/>
  <c r="N222" i="97" s="1" a="1"/>
  <c r="N222" i="97" s="1"/>
  <c r="Q219" i="27"/>
  <c r="N335" i="97" s="1" a="1"/>
  <c r="N335" i="97" s="1"/>
  <c r="Q297" i="27"/>
  <c r="N223" i="97" s="1" a="1"/>
  <c r="N223" i="97" s="1"/>
  <c r="Q31" i="27"/>
  <c r="N224" i="97" s="1" a="1"/>
  <c r="N224" i="97" s="1"/>
  <c r="Q77" i="27"/>
  <c r="N225" i="97" s="1" a="1"/>
  <c r="N225" i="97" s="1"/>
  <c r="Q298" i="27"/>
  <c r="N226" i="97" s="1" a="1"/>
  <c r="N226" i="97" s="1"/>
  <c r="Q299" i="27"/>
  <c r="N227" i="97" s="1" a="1"/>
  <c r="N227" i="97" s="1"/>
  <c r="Q183" i="27"/>
  <c r="N228" i="97" s="1" a="1"/>
  <c r="N228" i="97" s="1"/>
  <c r="Q98" i="27"/>
  <c r="N229" i="97" s="1" a="1"/>
  <c r="N229" i="97" s="1"/>
  <c r="Q30" i="27"/>
  <c r="N230" i="97" s="1" a="1"/>
  <c r="N230" i="97" s="1"/>
  <c r="Q300" i="27"/>
  <c r="N67" i="97" s="1" a="1"/>
  <c r="N67" i="97" s="1"/>
  <c r="Q301" i="27"/>
  <c r="N231" i="97" s="1" a="1"/>
  <c r="N231" i="97" s="1"/>
  <c r="Q302" i="27"/>
  <c r="N232" i="97" s="1" a="1"/>
  <c r="N232" i="97" s="1"/>
  <c r="Q207" i="27"/>
  <c r="N233" i="97" s="1" a="1"/>
  <c r="N233" i="97" s="1"/>
  <c r="Q303" i="27"/>
  <c r="N234" i="97" s="1" a="1"/>
  <c r="N234" i="97" s="1"/>
  <c r="Q71" i="27"/>
  <c r="N235" i="97" s="1" a="1"/>
  <c r="N235" i="97" s="1"/>
  <c r="Q182" i="27"/>
  <c r="N236" i="97" s="1" a="1"/>
  <c r="N236" i="97" s="1"/>
  <c r="Q304" i="27"/>
  <c r="N237" i="97" s="1" a="1"/>
  <c r="N237" i="97" s="1"/>
  <c r="Q129" i="27"/>
  <c r="N68" i="97" s="1" a="1"/>
  <c r="N68" i="97" s="1"/>
  <c r="Q160" i="27"/>
  <c r="N238" i="97" s="1" a="1"/>
  <c r="N238" i="97" s="1"/>
  <c r="Q25" i="27"/>
  <c r="N318" i="97" s="1" a="1"/>
  <c r="N318" i="97" s="1"/>
  <c r="Q194" i="27"/>
  <c r="N240" i="97" s="1" a="1"/>
  <c r="N240" i="97" s="1"/>
  <c r="Q179" i="27"/>
  <c r="N241" i="97" s="1" a="1"/>
  <c r="N241" i="97" s="1"/>
  <c r="Q103" i="27"/>
  <c r="N43" i="97" s="1" a="1"/>
  <c r="N43" i="97" s="1"/>
  <c r="Q227" i="27"/>
  <c r="N243" i="97" s="1" a="1"/>
  <c r="N243" i="97" s="1"/>
  <c r="Q192" i="27"/>
  <c r="N244" i="97" s="1" a="1"/>
  <c r="N244" i="97" s="1"/>
  <c r="Q220" i="27"/>
  <c r="N245" i="97" s="1" a="1"/>
  <c r="N245" i="97" s="1"/>
  <c r="Q107" i="27"/>
  <c r="N69" i="97" s="1" a="1"/>
  <c r="N69" i="97" s="1"/>
  <c r="Q100" i="27"/>
  <c r="N246" i="97" s="1" a="1"/>
  <c r="N246" i="97" s="1"/>
  <c r="Q18" i="27"/>
  <c r="N319" i="97" s="1" a="1"/>
  <c r="N319" i="97" s="1"/>
  <c r="Q89" i="27"/>
  <c r="N320" i="97" s="1" a="1"/>
  <c r="N320" i="97" s="1"/>
  <c r="Q305" i="27"/>
  <c r="N249" i="97" s="1" a="1"/>
  <c r="N249" i="97" s="1"/>
  <c r="Q306" i="27"/>
  <c r="N70" i="97" s="1" a="1"/>
  <c r="N70" i="97" s="1"/>
  <c r="Q97" i="27"/>
  <c r="N250" i="97" s="1" a="1"/>
  <c r="N250" i="97" s="1"/>
  <c r="Q62" i="27"/>
  <c r="N322" i="97" s="1" a="1"/>
  <c r="N322" i="97" s="1"/>
  <c r="Q307" i="27"/>
  <c r="N252" i="97" s="1" a="1"/>
  <c r="N252" i="97" s="1"/>
  <c r="Q308" i="27"/>
  <c r="N253" i="97" s="1" a="1"/>
  <c r="N253" i="97" s="1"/>
  <c r="Q132" i="27"/>
  <c r="N254" i="97" s="1" a="1"/>
  <c r="N254" i="97" s="1"/>
  <c r="Q309" i="27"/>
  <c r="N255" i="97" s="1" a="1"/>
  <c r="N255" i="97" s="1"/>
  <c r="Q111" i="27"/>
  <c r="N44" i="97" s="1" a="1"/>
  <c r="N44" i="97" s="1"/>
  <c r="Q133" i="27"/>
  <c r="N257" i="97" s="1" a="1"/>
  <c r="N257" i="97" s="1"/>
  <c r="Q120" i="27"/>
  <c r="N336" i="97" s="1" a="1"/>
  <c r="N336" i="97" s="1"/>
  <c r="Q310" i="27"/>
  <c r="N258" i="97" s="1" a="1"/>
  <c r="N258" i="97" s="1"/>
  <c r="Q311" i="27"/>
  <c r="N259" i="97" s="1" a="1"/>
  <c r="N259" i="97" s="1"/>
  <c r="Q72" i="27"/>
  <c r="N260" i="97" s="1" a="1"/>
  <c r="N260" i="97" s="1"/>
  <c r="Q168" i="27"/>
  <c r="N261" i="97" s="1" a="1"/>
  <c r="N261" i="97" s="1"/>
  <c r="Q191" i="27"/>
  <c r="N262" i="97" s="1" a="1"/>
  <c r="N262" i="97" s="1"/>
  <c r="Q312" i="27"/>
  <c r="N263" i="97" s="1" a="1"/>
  <c r="N263" i="97" s="1"/>
  <c r="Q313" i="27"/>
  <c r="N264" i="97" s="1" a="1"/>
  <c r="N264" i="97" s="1"/>
  <c r="Q158" i="27"/>
  <c r="N265" i="97" s="1" a="1"/>
  <c r="N265" i="97" s="1"/>
  <c r="Q75" i="27"/>
  <c r="N45" i="97" s="1" a="1"/>
  <c r="N45" i="97" s="1"/>
  <c r="Q314" i="27"/>
  <c r="N267" i="97" s="1" a="1"/>
  <c r="N267" i="97" s="1"/>
  <c r="Q212" i="27"/>
  <c r="N268" i="97" s="1" a="1"/>
  <c r="N268" i="97" s="1"/>
  <c r="Q22" i="27"/>
  <c r="N269" i="97" s="1" a="1"/>
  <c r="N269" i="97" s="1"/>
  <c r="Q315" i="27"/>
  <c r="N270" i="97" s="1" a="1"/>
  <c r="N270" i="97" s="1"/>
  <c r="Q316" i="27"/>
  <c r="N271" i="97" s="1" a="1"/>
  <c r="N271" i="97" s="1"/>
  <c r="Q317" i="27"/>
  <c r="N272" i="97" s="1" a="1"/>
  <c r="N272" i="97" s="1"/>
  <c r="Q117" i="27"/>
  <c r="N273" i="97" s="1" a="1"/>
  <c r="N273" i="97" s="1"/>
  <c r="Q318" i="27"/>
  <c r="N274" i="97" s="1" a="1"/>
  <c r="N274" i="97" s="1"/>
  <c r="Q319" i="27"/>
  <c r="N275" i="97" s="1" a="1"/>
  <c r="N275" i="97" s="1"/>
  <c r="Q320" i="27"/>
  <c r="N276" i="97" s="1" a="1"/>
  <c r="N276" i="97" s="1"/>
  <c r="Q321" i="27"/>
  <c r="N277" i="97" s="1" a="1"/>
  <c r="N277" i="97" s="1"/>
  <c r="Q217" i="27"/>
  <c r="N278" i="97" s="1" a="1"/>
  <c r="N278" i="97" s="1"/>
  <c r="Q322" i="27"/>
  <c r="N279" i="97" s="1" a="1"/>
  <c r="N279" i="97" s="1"/>
  <c r="Q164" i="27"/>
  <c r="N280" i="97" s="1" a="1"/>
  <c r="N280" i="97" s="1"/>
  <c r="Q172" i="27"/>
  <c r="N281" i="97" s="1" a="1"/>
  <c r="N281" i="97" s="1"/>
  <c r="Q323" i="27"/>
  <c r="N282" i="97" s="1" a="1"/>
  <c r="N282" i="97" s="1"/>
  <c r="Q324" i="27"/>
  <c r="N283" i="97" s="1" a="1"/>
  <c r="N283" i="97" s="1"/>
  <c r="Q208" i="27"/>
  <c r="N284" i="97" s="1" a="1"/>
  <c r="N284" i="97" s="1"/>
  <c r="Q325" i="27"/>
  <c r="N285" i="97" s="1" a="1"/>
  <c r="N285" i="97" s="1"/>
  <c r="Q326" i="27"/>
  <c r="N286" i="97" s="1" a="1"/>
  <c r="N286" i="97" s="1"/>
  <c r="Q206" i="27"/>
  <c r="N287" i="97" s="1" a="1"/>
  <c r="N287" i="97" s="1"/>
  <c r="Q327" i="27"/>
  <c r="N288" i="97" s="1" a="1"/>
  <c r="N288" i="97" s="1"/>
  <c r="Q328" i="27"/>
  <c r="N289" i="97" s="1" a="1"/>
  <c r="N289" i="97" s="1"/>
  <c r="Q193" i="27"/>
  <c r="N290" i="97" s="1" a="1"/>
  <c r="N290" i="97" s="1"/>
  <c r="Q329" i="27"/>
  <c r="N291" i="97" s="1" a="1"/>
  <c r="N291" i="97" s="1"/>
  <c r="Q163" i="27"/>
  <c r="N292" i="97" s="1" a="1"/>
  <c r="N292" i="97" s="1"/>
  <c r="Q106" i="27"/>
  <c r="N293" i="97" s="1" a="1"/>
  <c r="N293" i="97" s="1"/>
  <c r="Q330" i="27"/>
  <c r="N294" i="97" s="1" a="1"/>
  <c r="N294" i="97" s="1"/>
  <c r="Q42" i="27"/>
  <c r="N248" i="97" s="1" a="1"/>
  <c r="N248" i="97" s="1"/>
  <c r="Q331" i="27"/>
  <c r="N296" i="97" s="1" a="1"/>
  <c r="N296" i="97" s="1"/>
  <c r="Q332" i="27"/>
  <c r="N297" i="97" s="1" a="1"/>
  <c r="N297" i="97" s="1"/>
  <c r="Q84" i="27"/>
  <c r="N298" i="97" s="1" a="1"/>
  <c r="N298" i="97" s="1"/>
  <c r="Q333" i="27"/>
  <c r="N299" i="97" s="1" a="1"/>
  <c r="N299" i="97" s="1"/>
  <c r="Q102" i="27"/>
  <c r="N300" i="97" s="1" a="1"/>
  <c r="N300" i="97" s="1"/>
  <c r="Q181" i="27"/>
  <c r="N301" i="97" s="1" a="1"/>
  <c r="N301" i="97" s="1"/>
  <c r="Q214" i="27"/>
  <c r="N302" i="97" s="1" a="1"/>
  <c r="N302" i="97" s="1"/>
  <c r="Q334" i="27"/>
  <c r="N303" i="97" s="1" a="1"/>
  <c r="N303" i="97" s="1"/>
  <c r="Q99" i="27"/>
  <c r="N304" i="97" s="1" a="1"/>
  <c r="N304" i="97" s="1"/>
  <c r="Q335" i="27"/>
  <c r="N305" i="97" s="1" a="1"/>
  <c r="N305" i="97" s="1"/>
  <c r="Q336" i="27"/>
  <c r="N306" i="97" s="1" a="1"/>
  <c r="N306" i="97" s="1"/>
  <c r="Q188" i="27"/>
  <c r="N307" i="97" s="1" a="1"/>
  <c r="N307" i="97" s="1"/>
  <c r="Q173" i="27"/>
  <c r="N308" i="97" s="1" a="1"/>
  <c r="N308" i="97" s="1"/>
  <c r="Q337" i="27"/>
  <c r="N71" i="97" s="1" a="1"/>
  <c r="N71" i="97" s="1"/>
  <c r="Q205" i="27"/>
  <c r="N72" i="97" s="1" a="1"/>
  <c r="N72" i="97" s="1"/>
  <c r="Q38" i="27"/>
  <c r="N309" i="97" s="1" a="1"/>
  <c r="N309" i="97" s="1"/>
  <c r="Q15" i="27"/>
  <c r="N310" i="97" s="1" a="1"/>
  <c r="N310" i="97" s="1"/>
  <c r="Q114" i="27"/>
  <c r="N49" i="97" s="1" a="1"/>
  <c r="N49" i="97" s="1"/>
  <c r="Q45" i="27"/>
  <c r="N50" i="97" s="1" a="1"/>
  <c r="N50" i="97" s="1"/>
  <c r="Q136" i="27"/>
  <c r="N313" i="97" s="1" a="1"/>
  <c r="N313" i="97" s="1"/>
  <c r="Q29" i="27"/>
  <c r="N314" i="97" s="1" a="1"/>
  <c r="N314" i="97" s="1"/>
  <c r="Q115" i="27"/>
  <c r="N16" i="97" s="1" a="1"/>
  <c r="N16" i="97" s="1"/>
  <c r="Q55" i="27"/>
  <c r="N316" i="97" s="1" a="1"/>
  <c r="N316" i="97" s="1"/>
  <c r="Q28" i="27"/>
  <c r="N317" i="97" s="1" a="1"/>
  <c r="N317" i="97" s="1"/>
  <c r="Q49" i="27"/>
  <c r="N51" i="97" s="1" a="1"/>
  <c r="N51" i="97" s="1"/>
  <c r="Q20" i="27"/>
  <c r="N62" i="97" s="1" a="1"/>
  <c r="N62" i="97" s="1"/>
  <c r="Q5" i="27"/>
  <c r="N323" i="97" s="1" a="1"/>
  <c r="N323" i="97" s="1"/>
  <c r="Q68" i="27"/>
  <c r="N321" i="97" s="1" a="1"/>
  <c r="N321" i="97" s="1"/>
  <c r="Q58" i="27"/>
  <c r="N63" i="97" s="1" a="1"/>
  <c r="N63" i="97" s="1"/>
  <c r="Q59" i="27"/>
  <c r="N64" i="97" s="1" a="1"/>
  <c r="N64" i="97" s="1"/>
  <c r="Q13" i="27"/>
  <c r="N324" i="97" s="1" a="1"/>
  <c r="N324" i="97" s="1"/>
  <c r="Q67" i="27"/>
  <c r="N325" i="97" s="1" a="1"/>
  <c r="N325" i="97" s="1"/>
  <c r="Q123" i="27"/>
  <c r="N326" i="97" s="1" a="1"/>
  <c r="N326" i="97" s="1"/>
  <c r="Q338" i="27"/>
  <c r="N327" i="97" s="1" a="1"/>
  <c r="N327" i="97" s="1"/>
  <c r="Q109" i="27"/>
  <c r="N328" i="97" s="1" a="1"/>
  <c r="N328" i="97" s="1"/>
  <c r="Q14" i="27"/>
  <c r="N329" i="97" s="1" a="1"/>
  <c r="N329" i="97" s="1"/>
  <c r="R204" i="27"/>
  <c r="O6" i="97" s="1" a="1"/>
  <c r="O6" i="97" s="1"/>
  <c r="R232" i="27"/>
  <c r="O7" i="97" s="1" a="1"/>
  <c r="O7" i="97" s="1"/>
  <c r="R222" i="27"/>
  <c r="O8" i="97" s="1" a="1"/>
  <c r="O8" i="97" s="1"/>
  <c r="R231" i="27"/>
  <c r="O9" i="97" s="1" a="1"/>
  <c r="O9" i="97" s="1"/>
  <c r="R36" i="27"/>
  <c r="O73" i="97" s="1" a="1"/>
  <c r="O73" i="97" s="1"/>
  <c r="R124" i="27"/>
  <c r="O74" i="97" s="1" a="1"/>
  <c r="O74" i="97" s="1"/>
  <c r="R105" i="27"/>
  <c r="O75" i="97" s="1" a="1"/>
  <c r="O75" i="97" s="1"/>
  <c r="R233" i="27"/>
  <c r="O76" i="97" s="1" a="1"/>
  <c r="O76" i="97" s="1"/>
  <c r="R135" i="27"/>
  <c r="O77" i="97" s="1" a="1"/>
  <c r="O77" i="97" s="1"/>
  <c r="R161" i="27"/>
  <c r="O78" i="97" s="1" a="1"/>
  <c r="O78" i="97" s="1"/>
  <c r="R165" i="27"/>
  <c r="O79" i="97" s="1" a="1"/>
  <c r="O79" i="97" s="1"/>
  <c r="R24" i="27"/>
  <c r="O80" i="97" s="1" a="1"/>
  <c r="O80" i="97" s="1"/>
  <c r="R166" i="27"/>
  <c r="O81" i="97" s="1" a="1"/>
  <c r="O81" i="97" s="1"/>
  <c r="R142" i="27"/>
  <c r="O196" i="97" s="1" a="1"/>
  <c r="O196" i="97" s="1"/>
  <c r="R234" i="27"/>
  <c r="O82" i="97" s="1" a="1"/>
  <c r="O82" i="97" s="1"/>
  <c r="R118" i="27"/>
  <c r="O83" i="97" s="1" a="1"/>
  <c r="O83" i="97" s="1"/>
  <c r="R83" i="27"/>
  <c r="O84" i="97" s="1" a="1"/>
  <c r="O84" i="97" s="1"/>
  <c r="R112" i="27"/>
  <c r="O11" i="97" s="1" a="1"/>
  <c r="O11" i="97" s="1"/>
  <c r="R79" i="27"/>
  <c r="O85" i="97" s="1" a="1"/>
  <c r="O85" i="97" s="1"/>
  <c r="R235" i="27"/>
  <c r="O86" i="97" s="1" a="1"/>
  <c r="O86" i="97" s="1"/>
  <c r="R216" i="27"/>
  <c r="O87" i="97" s="1" a="1"/>
  <c r="O87" i="97" s="1"/>
  <c r="R10" i="27"/>
  <c r="O88" i="97" s="1" a="1"/>
  <c r="O88" i="97" s="1"/>
  <c r="R34" i="27"/>
  <c r="O89" i="97" s="1" a="1"/>
  <c r="O89" i="97" s="1"/>
  <c r="R215" i="27"/>
  <c r="O12" i="97" s="1" a="1"/>
  <c r="O12" i="97" s="1"/>
  <c r="R141" i="27"/>
  <c r="O90" i="97" s="1" a="1"/>
  <c r="O90" i="97" s="1"/>
  <c r="R70" i="27"/>
  <c r="O30" i="97" s="1" a="1"/>
  <c r="O30" i="97" s="1"/>
  <c r="R73" i="27"/>
  <c r="O10" i="97" s="1" a="1"/>
  <c r="O10" i="97" s="1"/>
  <c r="R134" i="27"/>
  <c r="O15" i="97" s="1" a="1"/>
  <c r="O15" i="97" s="1"/>
  <c r="R64" i="27"/>
  <c r="O31" i="97" s="1" a="1"/>
  <c r="O31" i="97" s="1"/>
  <c r="R126" i="27"/>
  <c r="O32" i="97" s="1" a="1"/>
  <c r="O32" i="97" s="1"/>
  <c r="R108" i="27"/>
  <c r="O33" i="97" s="1" a="1"/>
  <c r="O33" i="97" s="1"/>
  <c r="R21" i="27"/>
  <c r="O18" i="97" s="1" a="1"/>
  <c r="O18" i="97" s="1"/>
  <c r="R236" i="27"/>
  <c r="O91" i="97" s="1" a="1"/>
  <c r="O91" i="97" s="1"/>
  <c r="R237" i="27"/>
  <c r="O92" i="97" s="1" a="1"/>
  <c r="O92" i="97" s="1"/>
  <c r="R238" i="27"/>
  <c r="O93" i="97" s="1" a="1"/>
  <c r="O93" i="97" s="1"/>
  <c r="R156" i="27"/>
  <c r="O94" i="97" s="1" a="1"/>
  <c r="O94" i="97" s="1"/>
  <c r="R239" i="27"/>
  <c r="O95" i="97" s="1" a="1"/>
  <c r="O95" i="97" s="1"/>
  <c r="R240" i="27"/>
  <c r="O96" i="97" s="1" a="1"/>
  <c r="O96" i="97" s="1"/>
  <c r="R241" i="27"/>
  <c r="O97" i="97" s="1" a="1"/>
  <c r="O97" i="97" s="1"/>
  <c r="R65" i="27"/>
  <c r="O98" i="97" s="1" a="1"/>
  <c r="O98" i="97" s="1"/>
  <c r="R167" i="27"/>
  <c r="O20" i="97" s="1" a="1"/>
  <c r="O20" i="97" s="1"/>
  <c r="R139" i="27"/>
  <c r="O99" i="97" s="1" a="1"/>
  <c r="O99" i="97" s="1"/>
  <c r="R242" i="27"/>
  <c r="O100" i="97" s="1" a="1"/>
  <c r="O100" i="97" s="1"/>
  <c r="R137" i="27"/>
  <c r="O101" i="97" s="1" a="1"/>
  <c r="O101" i="97" s="1"/>
  <c r="R243" i="27"/>
  <c r="O102" i="97" s="1" a="1"/>
  <c r="O102" i="97" s="1"/>
  <c r="R244" i="27"/>
  <c r="O103" i="97" s="1" a="1"/>
  <c r="O103" i="97" s="1"/>
  <c r="R189" i="27"/>
  <c r="O104" i="97" s="1" a="1"/>
  <c r="O104" i="97" s="1"/>
  <c r="R245" i="27"/>
  <c r="O105" i="97" s="1" a="1"/>
  <c r="O105" i="97" s="1"/>
  <c r="R246" i="27"/>
  <c r="O106" i="97" s="1" a="1"/>
  <c r="O106" i="97" s="1"/>
  <c r="R221" i="27"/>
  <c r="O107" i="97" s="1" a="1"/>
  <c r="O107" i="97" s="1"/>
  <c r="R247" i="27"/>
  <c r="O108" i="97" s="1" a="1"/>
  <c r="O108" i="97" s="1"/>
  <c r="R76" i="27"/>
  <c r="O21" i="97" s="1" a="1"/>
  <c r="O21" i="97" s="1"/>
  <c r="R248" i="27"/>
  <c r="O22" i="97" s="1" a="1"/>
  <c r="O22" i="97" s="1"/>
  <c r="R19" i="27"/>
  <c r="O109" i="97" s="1" a="1"/>
  <c r="O109" i="97" s="1"/>
  <c r="R249" i="27"/>
  <c r="O23" i="97" s="1" a="1"/>
  <c r="O23" i="97" s="1"/>
  <c r="R250" i="27"/>
  <c r="O24" i="97" s="1" a="1"/>
  <c r="O24" i="97" s="1"/>
  <c r="R251" i="27"/>
  <c r="O110" i="97" s="1" a="1"/>
  <c r="O110" i="97" s="1"/>
  <c r="R144" i="27"/>
  <c r="O25" i="97" s="1" a="1"/>
  <c r="O25" i="97" s="1"/>
  <c r="R252" i="27"/>
  <c r="O26" i="97" s="1" a="1"/>
  <c r="O26" i="97" s="1"/>
  <c r="R113" i="27"/>
  <c r="O111" i="97" s="1" a="1"/>
  <c r="O111" i="97" s="1"/>
  <c r="R253" i="27"/>
  <c r="O27" i="97" s="1" a="1"/>
  <c r="O27" i="97" s="1"/>
  <c r="R178" i="27"/>
  <c r="O28" i="97" s="1" a="1"/>
  <c r="O28" i="97" s="1"/>
  <c r="R8" i="27"/>
  <c r="O256" i="97" s="1" a="1"/>
  <c r="O256" i="97" s="1"/>
  <c r="R57" i="27"/>
  <c r="O34" i="97" s="1" a="1"/>
  <c r="O34" i="97" s="1"/>
  <c r="R125" i="27"/>
  <c r="O35" i="97" s="1" a="1"/>
  <c r="O35" i="97" s="1"/>
  <c r="R94" i="27"/>
  <c r="O19" i="97" s="1" a="1"/>
  <c r="O19" i="97" s="1"/>
  <c r="R11" i="27"/>
  <c r="O266" i="97" s="1" a="1"/>
  <c r="O266" i="97" s="1"/>
  <c r="R50" i="27"/>
  <c r="O29" i="97" s="1" a="1"/>
  <c r="O29" i="97" s="1"/>
  <c r="R81" i="27"/>
  <c r="O2" i="97" s="1" a="1"/>
  <c r="O2" i="97" s="1"/>
  <c r="R147" i="27"/>
  <c r="O36" i="97" s="1" a="1"/>
  <c r="O36" i="97" s="1"/>
  <c r="R61" i="27"/>
  <c r="O37" i="97" s="1" a="1"/>
  <c r="O37" i="97" s="1"/>
  <c r="R119" i="27"/>
  <c r="O39" i="97" s="1" a="1"/>
  <c r="O39" i="97" s="1"/>
  <c r="R145" i="27"/>
  <c r="O112" i="97" s="1" a="1"/>
  <c r="O112" i="97" s="1"/>
  <c r="R254" i="27"/>
  <c r="O113" i="97" s="1" a="1"/>
  <c r="O113" i="97" s="1"/>
  <c r="R37" i="27"/>
  <c r="O114" i="97" s="1" a="1"/>
  <c r="O114" i="97" s="1"/>
  <c r="R255" i="27"/>
  <c r="O115" i="97" s="1" a="1"/>
  <c r="O115" i="97" s="1"/>
  <c r="R256" i="27"/>
  <c r="O116" i="97" s="1" a="1"/>
  <c r="O116" i="97" s="1"/>
  <c r="R85" i="27"/>
  <c r="O117" i="97" s="1" a="1"/>
  <c r="O117" i="97" s="1"/>
  <c r="R257" i="27"/>
  <c r="O118" i="97" s="1" a="1"/>
  <c r="O118" i="97" s="1"/>
  <c r="R33" i="27"/>
  <c r="O119" i="97" s="1" a="1"/>
  <c r="O119" i="97" s="1"/>
  <c r="R258" i="27"/>
  <c r="O120" i="97" s="1" a="1"/>
  <c r="O120" i="97" s="1"/>
  <c r="R259" i="27"/>
  <c r="O121" i="97" s="1" a="1"/>
  <c r="O121" i="97" s="1"/>
  <c r="R260" i="27"/>
  <c r="O122" i="97" s="1" a="1"/>
  <c r="O122" i="97" s="1"/>
  <c r="R261" i="27"/>
  <c r="O123" i="97" s="1" a="1"/>
  <c r="O123" i="97" s="1"/>
  <c r="R262" i="27"/>
  <c r="O124" i="97" s="1" a="1"/>
  <c r="O124" i="97" s="1"/>
  <c r="R263" i="27"/>
  <c r="O125" i="97" s="1" a="1"/>
  <c r="O125" i="97" s="1"/>
  <c r="R6" i="27"/>
  <c r="O198" i="97" s="1" a="1"/>
  <c r="O198" i="97" s="1"/>
  <c r="R264" i="27"/>
  <c r="O126" i="97" s="1" a="1"/>
  <c r="O126" i="97" s="1"/>
  <c r="R265" i="27"/>
  <c r="O330" i="97" s="1" a="1"/>
  <c r="O330" i="97" s="1"/>
  <c r="R266" i="27"/>
  <c r="O40" i="97" s="1" a="1"/>
  <c r="O40" i="97" s="1"/>
  <c r="R267" i="27"/>
  <c r="O127" i="97" s="1" a="1"/>
  <c r="O127" i="97" s="1"/>
  <c r="R268" i="27"/>
  <c r="O41" i="97" s="1" a="1"/>
  <c r="O41" i="97" s="1"/>
  <c r="R269" i="27"/>
  <c r="O128" i="97" s="1" a="1"/>
  <c r="O128" i="97" s="1"/>
  <c r="R195" i="27"/>
  <c r="O129" i="97" s="1" a="1"/>
  <c r="O129" i="97" s="1"/>
  <c r="R47" i="27"/>
  <c r="O130" i="97" s="1" a="1"/>
  <c r="O130" i="97" s="1"/>
  <c r="R270" i="27"/>
  <c r="O131" i="97" s="1" a="1"/>
  <c r="O131" i="97" s="1"/>
  <c r="R95" i="27"/>
  <c r="O3" i="97" s="1" a="1"/>
  <c r="O3" i="97" s="1"/>
  <c r="R121" i="27"/>
  <c r="O42" i="97" s="1" a="1"/>
  <c r="O42" i="97" s="1"/>
  <c r="R226" i="27"/>
  <c r="O13" i="97" s="1" a="1"/>
  <c r="O13" i="97" s="1"/>
  <c r="R54" i="27"/>
  <c r="O295" i="97" s="1" a="1"/>
  <c r="O295" i="97" s="1"/>
  <c r="R185" i="27"/>
  <c r="O132" i="97" s="1" a="1"/>
  <c r="O132" i="97" s="1"/>
  <c r="R200" i="27"/>
  <c r="O133" i="97" s="1" a="1"/>
  <c r="O133" i="97" s="1"/>
  <c r="R169" i="27"/>
  <c r="O134" i="97" s="1" a="1"/>
  <c r="O134" i="97" s="1"/>
  <c r="R225" i="27"/>
  <c r="O135" i="97" s="1" a="1"/>
  <c r="O135" i="97" s="1"/>
  <c r="R17" i="27"/>
  <c r="O136" i="97" s="1" a="1"/>
  <c r="O136" i="97" s="1"/>
  <c r="R87" i="27"/>
  <c r="O46" i="97" s="1" a="1"/>
  <c r="O46" i="97" s="1"/>
  <c r="R187" i="27"/>
  <c r="O137" i="97" s="1" a="1"/>
  <c r="O137" i="97" s="1"/>
  <c r="R210" i="27"/>
  <c r="O47" i="97" s="1" a="1"/>
  <c r="O47" i="97" s="1"/>
  <c r="R80" i="27"/>
  <c r="O48" i="97" s="1" a="1"/>
  <c r="O48" i="97" s="1"/>
  <c r="R146" i="27"/>
  <c r="O239" i="97" s="1" a="1"/>
  <c r="O239" i="97" s="1"/>
  <c r="R223" i="27"/>
  <c r="O138" i="97" s="1" a="1"/>
  <c r="O138" i="97" s="1"/>
  <c r="R86" i="27"/>
  <c r="O139" i="97" s="1" a="1"/>
  <c r="O139" i="97" s="1"/>
  <c r="R162" i="27"/>
  <c r="O242" i="97" s="1" a="1"/>
  <c r="O242" i="97" s="1"/>
  <c r="R27" i="27"/>
  <c r="O311" i="97" s="1" a="1"/>
  <c r="O311" i="97" s="1"/>
  <c r="R159" i="27"/>
  <c r="O140" i="97" s="1" a="1"/>
  <c r="O140" i="97" s="1"/>
  <c r="R230" i="27"/>
  <c r="O141" i="97" s="1" a="1"/>
  <c r="O141" i="97" s="1"/>
  <c r="R201" i="27"/>
  <c r="O142" i="97" s="1" a="1"/>
  <c r="O142" i="97" s="1"/>
  <c r="R190" i="27"/>
  <c r="O52" i="97" s="1" a="1"/>
  <c r="O52" i="97" s="1"/>
  <c r="R213" i="27"/>
  <c r="O53" i="97" s="1" a="1"/>
  <c r="O53" i="97" s="1"/>
  <c r="R157" i="27"/>
  <c r="O143" i="97" s="1" a="1"/>
  <c r="O143" i="97" s="1"/>
  <c r="R228" i="27"/>
  <c r="O144" i="97" s="1" a="1"/>
  <c r="O144" i="97" s="1"/>
  <c r="R229" i="27"/>
  <c r="O145" i="97" s="1" a="1"/>
  <c r="O145" i="97" s="1"/>
  <c r="R180" i="27"/>
  <c r="O54" i="97" s="1" a="1"/>
  <c r="O54" i="97" s="1"/>
  <c r="R211" i="27"/>
  <c r="O146" i="97" s="1" a="1"/>
  <c r="O146" i="97" s="1"/>
  <c r="R154" i="27"/>
  <c r="O147" i="97" s="1" a="1"/>
  <c r="O147" i="97" s="1"/>
  <c r="R176" i="27"/>
  <c r="O148" i="97" s="1" a="1"/>
  <c r="O148" i="97" s="1"/>
  <c r="R196" i="27"/>
  <c r="O149" i="97" s="1" a="1"/>
  <c r="O149" i="97" s="1"/>
  <c r="R197" i="27"/>
  <c r="O55" i="97" s="1" a="1"/>
  <c r="O55" i="97" s="1"/>
  <c r="R202" i="27"/>
  <c r="O56" i="97" s="1" a="1"/>
  <c r="O56" i="97" s="1"/>
  <c r="R51" i="27"/>
  <c r="O150" i="97" s="1" a="1"/>
  <c r="O150" i="97" s="1"/>
  <c r="R155" i="27"/>
  <c r="O151" i="97" s="1" a="1"/>
  <c r="O151" i="97" s="1"/>
  <c r="R271" i="27"/>
  <c r="O152" i="97" s="1" a="1"/>
  <c r="O152" i="97" s="1"/>
  <c r="R39" i="27"/>
  <c r="O153" i="97" s="1" a="1"/>
  <c r="O153" i="97" s="1"/>
  <c r="R82" i="27"/>
  <c r="O154" i="97" s="1" a="1"/>
  <c r="O154" i="97" s="1"/>
  <c r="R272" i="27"/>
  <c r="O155" i="97" s="1" a="1"/>
  <c r="O155" i="97" s="1"/>
  <c r="R127" i="27"/>
  <c r="O156" i="97" s="1" a="1"/>
  <c r="O156" i="97" s="1"/>
  <c r="R46" i="27"/>
  <c r="O157" i="97" s="1" a="1"/>
  <c r="O157" i="97" s="1"/>
  <c r="R209" i="27"/>
  <c r="O57" i="97" s="1" a="1"/>
  <c r="O57" i="97" s="1"/>
  <c r="R218" i="27"/>
  <c r="O158" i="97" s="1" a="1"/>
  <c r="O158" i="97" s="1"/>
  <c r="R78" i="27"/>
  <c r="O159" i="97" s="1" a="1"/>
  <c r="O159" i="97" s="1"/>
  <c r="R128" i="27"/>
  <c r="O160" i="97" s="1" a="1"/>
  <c r="O160" i="97" s="1"/>
  <c r="R116" i="27"/>
  <c r="O161" i="97" s="1" a="1"/>
  <c r="O161" i="97" s="1"/>
  <c r="R7" i="27"/>
  <c r="O162" i="97" s="1" a="1"/>
  <c r="O162" i="97" s="1"/>
  <c r="R63" i="27"/>
  <c r="O163" i="97" s="1" a="1"/>
  <c r="O163" i="97" s="1"/>
  <c r="R48" i="27"/>
  <c r="O164" i="97" s="1" a="1"/>
  <c r="O164" i="97" s="1"/>
  <c r="R273" i="27"/>
  <c r="O165" i="97" s="1" a="1"/>
  <c r="O165" i="97" s="1"/>
  <c r="R274" i="27"/>
  <c r="O166" i="97" s="1" a="1"/>
  <c r="O166" i="97" s="1"/>
  <c r="R32" i="27"/>
  <c r="O167" i="97" s="1" a="1"/>
  <c r="O167" i="97" s="1"/>
  <c r="R88" i="27"/>
  <c r="O58" i="97" s="1" a="1"/>
  <c r="O58" i="97" s="1"/>
  <c r="R44" i="27"/>
  <c r="O168" i="97" s="1" a="1"/>
  <c r="O168" i="97" s="1"/>
  <c r="R275" i="27"/>
  <c r="O169" i="97" s="1" a="1"/>
  <c r="O169" i="97" s="1"/>
  <c r="R130" i="27"/>
  <c r="O59" i="97" s="1" a="1"/>
  <c r="O59" i="97" s="1"/>
  <c r="R276" i="27"/>
  <c r="O170" i="97" s="1" a="1"/>
  <c r="O170" i="97" s="1"/>
  <c r="R277" i="27"/>
  <c r="O60" i="97" s="1" a="1"/>
  <c r="O60" i="97" s="1"/>
  <c r="R278" i="27"/>
  <c r="O331" i="97" s="1" a="1"/>
  <c r="O331" i="97" s="1"/>
  <c r="R279" i="27"/>
  <c r="O171" i="97" s="1" a="1"/>
  <c r="O171" i="97" s="1"/>
  <c r="R280" i="27"/>
  <c r="O172" i="97" s="1" a="1"/>
  <c r="O172" i="97" s="1"/>
  <c r="R281" i="27"/>
  <c r="O173" i="97" s="1" a="1"/>
  <c r="O173" i="97" s="1"/>
  <c r="R282" i="27"/>
  <c r="O174" i="97" s="1" a="1"/>
  <c r="O174" i="97" s="1"/>
  <c r="R283" i="27"/>
  <c r="O61" i="97" s="1" a="1"/>
  <c r="O61" i="97" s="1"/>
  <c r="R26" i="27"/>
  <c r="O332" i="97" s="1" a="1"/>
  <c r="O332" i="97" s="1"/>
  <c r="R284" i="27"/>
  <c r="O175" i="97" s="1" a="1"/>
  <c r="O175" i="97" s="1"/>
  <c r="R285" i="27"/>
  <c r="O176" i="97" s="1" a="1"/>
  <c r="O176" i="97" s="1"/>
  <c r="R286" i="27"/>
  <c r="O177" i="97" s="1" a="1"/>
  <c r="O177" i="97" s="1"/>
  <c r="R287" i="27"/>
  <c r="O178" i="97" s="1" a="1"/>
  <c r="O178" i="97" s="1"/>
  <c r="R143" i="27"/>
  <c r="O179" i="97" s="1" a="1"/>
  <c r="O179" i="97" s="1"/>
  <c r="R203" i="27"/>
  <c r="O180" i="97" s="1" a="1"/>
  <c r="O180" i="97" s="1"/>
  <c r="R288" i="27"/>
  <c r="O333" i="97" s="1" a="1"/>
  <c r="O333" i="97" s="1"/>
  <c r="R104" i="27"/>
  <c r="O181" i="97" s="1" a="1"/>
  <c r="O181" i="97" s="1"/>
  <c r="R138" i="27"/>
  <c r="O182" i="97" s="1" a="1"/>
  <c r="O182" i="97" s="1"/>
  <c r="R148" i="27"/>
  <c r="O183" i="97" s="1" a="1"/>
  <c r="O183" i="97" s="1"/>
  <c r="R224" i="27"/>
  <c r="O184" i="97" s="1" a="1"/>
  <c r="O184" i="97" s="1"/>
  <c r="R66" i="27"/>
  <c r="O14" i="97" s="1" a="1"/>
  <c r="O14" i="97" s="1"/>
  <c r="R170" i="27"/>
  <c r="O185" i="97" s="1" a="1"/>
  <c r="O185" i="97" s="1"/>
  <c r="R23" i="27"/>
  <c r="O186" i="97" s="1" a="1"/>
  <c r="O186" i="97" s="1"/>
  <c r="R93" i="27"/>
  <c r="O312" i="97" s="1" a="1"/>
  <c r="O312" i="97" s="1"/>
  <c r="R150" i="27"/>
  <c r="O187" i="97" s="1" a="1"/>
  <c r="O187" i="97" s="1"/>
  <c r="R110" i="27"/>
  <c r="O188" i="97" s="1" a="1"/>
  <c r="O188" i="97" s="1"/>
  <c r="R91" i="27"/>
  <c r="O189" i="97" s="1" a="1"/>
  <c r="O189" i="97" s="1"/>
  <c r="R52" i="27"/>
  <c r="O190" i="97" s="1" a="1"/>
  <c r="O190" i="97" s="1"/>
  <c r="R101" i="27"/>
  <c r="O191" i="97" s="1" a="1"/>
  <c r="O191" i="97" s="1"/>
  <c r="R16" i="27"/>
  <c r="O192" i="97" s="1" a="1"/>
  <c r="O192" i="97" s="1"/>
  <c r="R40" i="27"/>
  <c r="O193" i="97" s="1" a="1"/>
  <c r="O193" i="97" s="1"/>
  <c r="R35" i="27"/>
  <c r="O38" i="97" s="1" a="1"/>
  <c r="O38" i="97" s="1"/>
  <c r="R289" i="27"/>
  <c r="O194" i="97" s="1" a="1"/>
  <c r="O194" i="97" s="1"/>
  <c r="R140" i="27"/>
  <c r="O195" i="97" s="1" a="1"/>
  <c r="O195" i="97" s="1"/>
  <c r="R41" i="27"/>
  <c r="O247" i="97" s="1" a="1"/>
  <c r="O247" i="97" s="1"/>
  <c r="R151" i="27"/>
  <c r="O65" i="97" s="1" a="1"/>
  <c r="O65" i="97" s="1"/>
  <c r="R290" i="27"/>
  <c r="O334" i="97" s="1" a="1"/>
  <c r="O334" i="97" s="1"/>
  <c r="R122" i="27"/>
  <c r="O197" i="97" s="1" a="1"/>
  <c r="O197" i="97" s="1"/>
  <c r="R9" i="27"/>
  <c r="O315" i="97" s="1" a="1"/>
  <c r="O315" i="97" s="1"/>
  <c r="R43" i="27"/>
  <c r="O199" i="97" s="1" a="1"/>
  <c r="O199" i="97" s="1"/>
  <c r="R291" i="27"/>
  <c r="O200" i="97" s="1" a="1"/>
  <c r="O200" i="97" s="1"/>
  <c r="R152" i="27"/>
  <c r="O201" i="97" s="1" a="1"/>
  <c r="O201" i="97" s="1"/>
  <c r="R175" i="27"/>
  <c r="O202" i="97" s="1" a="1"/>
  <c r="O202" i="97" s="1"/>
  <c r="R74" i="27"/>
  <c r="O203" i="97" s="1" a="1"/>
  <c r="O203" i="97" s="1"/>
  <c r="R153" i="27"/>
  <c r="O204" i="97" s="1" a="1"/>
  <c r="O204" i="97" s="1"/>
  <c r="R149" i="27"/>
  <c r="O205" i="97" s="1" a="1"/>
  <c r="O205" i="97" s="1"/>
  <c r="R90" i="27"/>
  <c r="O206" i="97" s="1" a="1"/>
  <c r="O206" i="97" s="1"/>
  <c r="R96" i="27"/>
  <c r="O207" i="97" s="1" a="1"/>
  <c r="O207" i="97" s="1"/>
  <c r="R12" i="27"/>
  <c r="O208" i="97" s="1" a="1"/>
  <c r="O208" i="97" s="1"/>
  <c r="R69" i="27"/>
  <c r="O209" i="97" s="1" a="1"/>
  <c r="O209" i="97" s="1"/>
  <c r="R171" i="27"/>
  <c r="O210" i="97" s="1" a="1"/>
  <c r="O210" i="97" s="1"/>
  <c r="R186" i="27"/>
  <c r="O211" i="97" s="1" a="1"/>
  <c r="O211" i="97" s="1"/>
  <c r="R174" i="27"/>
  <c r="O66" i="97" s="1" a="1"/>
  <c r="O66" i="97" s="1"/>
  <c r="R198" i="27"/>
  <c r="O212" i="97" s="1" a="1"/>
  <c r="O212" i="97" s="1"/>
  <c r="R292" i="27"/>
  <c r="O213" i="97" s="1" a="1"/>
  <c r="O213" i="97" s="1"/>
  <c r="R131" i="27"/>
  <c r="O214" i="97" s="1" a="1"/>
  <c r="O214" i="97" s="1"/>
  <c r="R53" i="27"/>
  <c r="O215" i="97" s="1" a="1"/>
  <c r="O215" i="97" s="1"/>
  <c r="R56" i="27"/>
  <c r="O216" i="97" s="1" a="1"/>
  <c r="O216" i="97" s="1"/>
  <c r="R293" i="27"/>
  <c r="O217" i="97" s="1" a="1"/>
  <c r="O217" i="97" s="1"/>
  <c r="R294" i="27"/>
  <c r="O218" i="97" s="1" a="1"/>
  <c r="O218" i="97" s="1"/>
  <c r="R295" i="27"/>
  <c r="O219" i="97" s="1" a="1"/>
  <c r="O219" i="97" s="1"/>
  <c r="R296" i="27"/>
  <c r="O220" i="97" s="1" a="1"/>
  <c r="O220" i="97" s="1"/>
  <c r="R177" i="27"/>
  <c r="O221" i="97" s="1" a="1"/>
  <c r="O221" i="97" s="1"/>
  <c r="R92" i="27"/>
  <c r="O222" i="97" s="1" a="1"/>
  <c r="O222" i="97" s="1"/>
  <c r="R219" i="27"/>
  <c r="O335" i="97" s="1" a="1"/>
  <c r="O335" i="97" s="1"/>
  <c r="R297" i="27"/>
  <c r="O223" i="97" s="1" a="1"/>
  <c r="O223" i="97" s="1"/>
  <c r="R31" i="27"/>
  <c r="O224" i="97" s="1" a="1"/>
  <c r="O224" i="97" s="1"/>
  <c r="R77" i="27"/>
  <c r="O225" i="97" s="1" a="1"/>
  <c r="O225" i="97" s="1"/>
  <c r="R298" i="27"/>
  <c r="O226" i="97" s="1" a="1"/>
  <c r="O226" i="97" s="1"/>
  <c r="R299" i="27"/>
  <c r="O227" i="97" s="1" a="1"/>
  <c r="O227" i="97" s="1"/>
  <c r="R183" i="27"/>
  <c r="O228" i="97" s="1" a="1"/>
  <c r="O228" i="97" s="1"/>
  <c r="R98" i="27"/>
  <c r="O229" i="97" s="1" a="1"/>
  <c r="O229" i="97" s="1"/>
  <c r="R30" i="27"/>
  <c r="O230" i="97" s="1" a="1"/>
  <c r="O230" i="97" s="1"/>
  <c r="R300" i="27"/>
  <c r="O67" i="97" s="1" a="1"/>
  <c r="O67" i="97" s="1"/>
  <c r="R301" i="27"/>
  <c r="O231" i="97" s="1" a="1"/>
  <c r="O231" i="97" s="1"/>
  <c r="R302" i="27"/>
  <c r="O232" i="97" s="1" a="1"/>
  <c r="O232" i="97" s="1"/>
  <c r="R207" i="27"/>
  <c r="O233" i="97" s="1" a="1"/>
  <c r="O233" i="97" s="1"/>
  <c r="R303" i="27"/>
  <c r="O234" i="97" s="1" a="1"/>
  <c r="O234" i="97" s="1"/>
  <c r="R71" i="27"/>
  <c r="O235" i="97" s="1" a="1"/>
  <c r="O235" i="97" s="1"/>
  <c r="R182" i="27"/>
  <c r="O236" i="97" s="1" a="1"/>
  <c r="O236" i="97" s="1"/>
  <c r="R304" i="27"/>
  <c r="O237" i="97" s="1" a="1"/>
  <c r="O237" i="97" s="1"/>
  <c r="R129" i="27"/>
  <c r="O68" i="97" s="1" a="1"/>
  <c r="O68" i="97" s="1"/>
  <c r="R160" i="27"/>
  <c r="O238" i="97" s="1" a="1"/>
  <c r="O238" i="97" s="1"/>
  <c r="R25" i="27"/>
  <c r="O318" i="97" s="1" a="1"/>
  <c r="O318" i="97" s="1"/>
  <c r="R194" i="27"/>
  <c r="O240" i="97" s="1" a="1"/>
  <c r="O240" i="97" s="1"/>
  <c r="R179" i="27"/>
  <c r="O241" i="97" s="1" a="1"/>
  <c r="O241" i="97" s="1"/>
  <c r="R103" i="27"/>
  <c r="O43" i="97" s="1" a="1"/>
  <c r="O43" i="97" s="1"/>
  <c r="R227" i="27"/>
  <c r="O243" i="97" s="1" a="1"/>
  <c r="O243" i="97" s="1"/>
  <c r="R192" i="27"/>
  <c r="O244" i="97" s="1" a="1"/>
  <c r="O244" i="97" s="1"/>
  <c r="R220" i="27"/>
  <c r="O245" i="97" s="1" a="1"/>
  <c r="O245" i="97" s="1"/>
  <c r="R107" i="27"/>
  <c r="O69" i="97" s="1" a="1"/>
  <c r="O69" i="97" s="1"/>
  <c r="R100" i="27"/>
  <c r="O246" i="97" s="1" a="1"/>
  <c r="O246" i="97" s="1"/>
  <c r="R18" i="27"/>
  <c r="O319" i="97" s="1" a="1"/>
  <c r="O319" i="97" s="1"/>
  <c r="R89" i="27"/>
  <c r="O320" i="97" s="1" a="1"/>
  <c r="O320" i="97" s="1"/>
  <c r="R305" i="27"/>
  <c r="O249" i="97" s="1" a="1"/>
  <c r="O249" i="97" s="1"/>
  <c r="R306" i="27"/>
  <c r="O70" i="97" s="1" a="1"/>
  <c r="O70" i="97" s="1"/>
  <c r="R97" i="27"/>
  <c r="O250" i="97" s="1" a="1"/>
  <c r="O250" i="97" s="1"/>
  <c r="R62" i="27"/>
  <c r="O322" i="97" s="1" a="1"/>
  <c r="O322" i="97" s="1"/>
  <c r="R307" i="27"/>
  <c r="O252" i="97" s="1" a="1"/>
  <c r="O252" i="97" s="1"/>
  <c r="R308" i="27"/>
  <c r="O253" i="97" s="1" a="1"/>
  <c r="O253" i="97" s="1"/>
  <c r="R132" i="27"/>
  <c r="O254" i="97" s="1" a="1"/>
  <c r="O254" i="97" s="1"/>
  <c r="R309" i="27"/>
  <c r="O255" i="97" s="1" a="1"/>
  <c r="O255" i="97" s="1"/>
  <c r="R111" i="27"/>
  <c r="O44" i="97" s="1" a="1"/>
  <c r="O44" i="97" s="1"/>
  <c r="R133" i="27"/>
  <c r="O257" i="97" s="1" a="1"/>
  <c r="O257" i="97" s="1"/>
  <c r="R120" i="27"/>
  <c r="O336" i="97" s="1" a="1"/>
  <c r="O336" i="97" s="1"/>
  <c r="R310" i="27"/>
  <c r="O258" i="97" s="1" a="1"/>
  <c r="O258" i="97" s="1"/>
  <c r="R311" i="27"/>
  <c r="O259" i="97" s="1" a="1"/>
  <c r="O259" i="97" s="1"/>
  <c r="R72" i="27"/>
  <c r="O260" i="97" s="1" a="1"/>
  <c r="O260" i="97" s="1"/>
  <c r="R168" i="27"/>
  <c r="O261" i="97" s="1" a="1"/>
  <c r="O261" i="97" s="1"/>
  <c r="R191" i="27"/>
  <c r="O262" i="97" s="1" a="1"/>
  <c r="O262" i="97" s="1"/>
  <c r="R312" i="27"/>
  <c r="O263" i="97" s="1" a="1"/>
  <c r="O263" i="97" s="1"/>
  <c r="R313" i="27"/>
  <c r="O264" i="97" s="1" a="1"/>
  <c r="O264" i="97" s="1"/>
  <c r="R158" i="27"/>
  <c r="O265" i="97" s="1" a="1"/>
  <c r="O265" i="97" s="1"/>
  <c r="R75" i="27"/>
  <c r="O45" i="97" s="1" a="1"/>
  <c r="O45" i="97" s="1"/>
  <c r="R314" i="27"/>
  <c r="O267" i="97" s="1" a="1"/>
  <c r="O267" i="97" s="1"/>
  <c r="R212" i="27"/>
  <c r="O268" i="97" s="1" a="1"/>
  <c r="O268" i="97" s="1"/>
  <c r="R22" i="27"/>
  <c r="O269" i="97" s="1" a="1"/>
  <c r="O269" i="97" s="1"/>
  <c r="R315" i="27"/>
  <c r="O270" i="97" s="1" a="1"/>
  <c r="O270" i="97" s="1"/>
  <c r="R316" i="27"/>
  <c r="O271" i="97" s="1" a="1"/>
  <c r="O271" i="97" s="1"/>
  <c r="R317" i="27"/>
  <c r="O272" i="97" s="1" a="1"/>
  <c r="O272" i="97" s="1"/>
  <c r="R117" i="27"/>
  <c r="O273" i="97" s="1" a="1"/>
  <c r="O273" i="97" s="1"/>
  <c r="R318" i="27"/>
  <c r="O274" i="97" s="1" a="1"/>
  <c r="O274" i="97" s="1"/>
  <c r="R319" i="27"/>
  <c r="O275" i="97" s="1" a="1"/>
  <c r="O275" i="97" s="1"/>
  <c r="R320" i="27"/>
  <c r="O276" i="97" s="1" a="1"/>
  <c r="O276" i="97" s="1"/>
  <c r="R321" i="27"/>
  <c r="O277" i="97" s="1" a="1"/>
  <c r="O277" i="97" s="1"/>
  <c r="R217" i="27"/>
  <c r="O278" i="97" s="1" a="1"/>
  <c r="O278" i="97" s="1"/>
  <c r="R322" i="27"/>
  <c r="O279" i="97" s="1" a="1"/>
  <c r="O279" i="97" s="1"/>
  <c r="R164" i="27"/>
  <c r="O280" i="97" s="1" a="1"/>
  <c r="O280" i="97" s="1"/>
  <c r="R172" i="27"/>
  <c r="O281" i="97" s="1" a="1"/>
  <c r="O281" i="97" s="1"/>
  <c r="R323" i="27"/>
  <c r="O282" i="97" s="1" a="1"/>
  <c r="O282" i="97" s="1"/>
  <c r="R324" i="27"/>
  <c r="O283" i="97" s="1" a="1"/>
  <c r="O283" i="97" s="1"/>
  <c r="R208" i="27"/>
  <c r="O284" i="97" s="1" a="1"/>
  <c r="O284" i="97" s="1"/>
  <c r="R325" i="27"/>
  <c r="O285" i="97" s="1" a="1"/>
  <c r="O285" i="97" s="1"/>
  <c r="R326" i="27"/>
  <c r="O286" i="97" s="1" a="1"/>
  <c r="O286" i="97" s="1"/>
  <c r="R206" i="27"/>
  <c r="O287" i="97" s="1" a="1"/>
  <c r="O287" i="97" s="1"/>
  <c r="R327" i="27"/>
  <c r="O288" i="97" s="1" a="1"/>
  <c r="O288" i="97" s="1"/>
  <c r="R328" i="27"/>
  <c r="O289" i="97" s="1" a="1"/>
  <c r="O289" i="97" s="1"/>
  <c r="R193" i="27"/>
  <c r="O290" i="97" s="1" a="1"/>
  <c r="O290" i="97" s="1"/>
  <c r="R329" i="27"/>
  <c r="O291" i="97" s="1" a="1"/>
  <c r="O291" i="97" s="1"/>
  <c r="R163" i="27"/>
  <c r="O292" i="97" s="1" a="1"/>
  <c r="O292" i="97" s="1"/>
  <c r="R106" i="27"/>
  <c r="O293" i="97" s="1" a="1"/>
  <c r="O293" i="97" s="1"/>
  <c r="R330" i="27"/>
  <c r="O294" i="97" s="1" a="1"/>
  <c r="O294" i="97" s="1"/>
  <c r="R42" i="27"/>
  <c r="O248" i="97" s="1" a="1"/>
  <c r="O248" i="97" s="1"/>
  <c r="R331" i="27"/>
  <c r="O296" i="97" s="1" a="1"/>
  <c r="O296" i="97" s="1"/>
  <c r="R332" i="27"/>
  <c r="O297" i="97" s="1" a="1"/>
  <c r="O297" i="97" s="1"/>
  <c r="R84" i="27"/>
  <c r="O298" i="97" s="1" a="1"/>
  <c r="O298" i="97" s="1"/>
  <c r="R333" i="27"/>
  <c r="O299" i="97" s="1" a="1"/>
  <c r="O299" i="97" s="1"/>
  <c r="R102" i="27"/>
  <c r="O300" i="97" s="1" a="1"/>
  <c r="O300" i="97" s="1"/>
  <c r="R181" i="27"/>
  <c r="O301" i="97" s="1" a="1"/>
  <c r="O301" i="97" s="1"/>
  <c r="R214" i="27"/>
  <c r="O302" i="97" s="1" a="1"/>
  <c r="O302" i="97" s="1"/>
  <c r="R334" i="27"/>
  <c r="O303" i="97" s="1" a="1"/>
  <c r="O303" i="97" s="1"/>
  <c r="R99" i="27"/>
  <c r="O304" i="97" s="1" a="1"/>
  <c r="O304" i="97" s="1"/>
  <c r="R335" i="27"/>
  <c r="O305" i="97" s="1" a="1"/>
  <c r="O305" i="97" s="1"/>
  <c r="R336" i="27"/>
  <c r="O306" i="97" s="1" a="1"/>
  <c r="O306" i="97" s="1"/>
  <c r="R188" i="27"/>
  <c r="O307" i="97" s="1" a="1"/>
  <c r="O307" i="97" s="1"/>
  <c r="R173" i="27"/>
  <c r="O308" i="97" s="1" a="1"/>
  <c r="O308" i="97" s="1"/>
  <c r="R337" i="27"/>
  <c r="O71" i="97" s="1" a="1"/>
  <c r="O71" i="97" s="1"/>
  <c r="R205" i="27"/>
  <c r="O72" i="97" s="1" a="1"/>
  <c r="O72" i="97" s="1"/>
  <c r="R38" i="27"/>
  <c r="O309" i="97" s="1" a="1"/>
  <c r="O309" i="97" s="1"/>
  <c r="R15" i="27"/>
  <c r="O310" i="97" s="1" a="1"/>
  <c r="O310" i="97" s="1"/>
  <c r="R114" i="27"/>
  <c r="O49" i="97" s="1" a="1"/>
  <c r="O49" i="97" s="1"/>
  <c r="R45" i="27"/>
  <c r="O50" i="97" s="1" a="1"/>
  <c r="O50" i="97" s="1"/>
  <c r="R136" i="27"/>
  <c r="O313" i="97" s="1" a="1"/>
  <c r="O313" i="97" s="1"/>
  <c r="R29" i="27"/>
  <c r="O314" i="97" s="1" a="1"/>
  <c r="O314" i="97" s="1"/>
  <c r="R115" i="27"/>
  <c r="O16" i="97" s="1" a="1"/>
  <c r="O16" i="97" s="1"/>
  <c r="R55" i="27"/>
  <c r="O316" i="97" s="1" a="1"/>
  <c r="O316" i="97" s="1"/>
  <c r="R28" i="27"/>
  <c r="O317" i="97" s="1" a="1"/>
  <c r="O317" i="97" s="1"/>
  <c r="R49" i="27"/>
  <c r="O51" i="97" s="1" a="1"/>
  <c r="O51" i="97" s="1"/>
  <c r="R20" i="27"/>
  <c r="O62" i="97" s="1" a="1"/>
  <c r="O62" i="97" s="1"/>
  <c r="R5" i="27"/>
  <c r="O323" i="97" s="1" a="1"/>
  <c r="O323" i="97" s="1"/>
  <c r="R68" i="27"/>
  <c r="O321" i="97" s="1" a="1"/>
  <c r="O321" i="97" s="1"/>
  <c r="R58" i="27"/>
  <c r="O63" i="97" s="1" a="1"/>
  <c r="O63" i="97" s="1"/>
  <c r="R59" i="27"/>
  <c r="O64" i="97" s="1" a="1"/>
  <c r="O64" i="97" s="1"/>
  <c r="R13" i="27"/>
  <c r="O324" i="97" s="1" a="1"/>
  <c r="O324" i="97" s="1"/>
  <c r="R67" i="27"/>
  <c r="O325" i="97" s="1" a="1"/>
  <c r="O325" i="97" s="1"/>
  <c r="R123" i="27"/>
  <c r="O326" i="97" s="1" a="1"/>
  <c r="O326" i="97" s="1"/>
  <c r="R338" i="27"/>
  <c r="O327" i="97" s="1" a="1"/>
  <c r="O327" i="97" s="1"/>
  <c r="R109" i="27"/>
  <c r="O328" i="97" s="1" a="1"/>
  <c r="O328" i="97" s="1"/>
  <c r="R14" i="27"/>
  <c r="O329" i="97" s="1" a="1"/>
  <c r="O329" i="97" s="1"/>
  <c r="T204" i="27"/>
  <c r="Q6" i="97" s="1" a="1"/>
  <c r="Q6" i="97" s="1"/>
  <c r="T232" i="27"/>
  <c r="Q7" i="97" s="1" a="1"/>
  <c r="Q7" i="97" s="1"/>
  <c r="T222" i="27"/>
  <c r="Q8" i="97" s="1" a="1"/>
  <c r="Q8" i="97" s="1"/>
  <c r="T231" i="27"/>
  <c r="Q9" i="97" s="1" a="1"/>
  <c r="Q9" i="97" s="1"/>
  <c r="T36" i="27"/>
  <c r="Q73" i="97" s="1" a="1"/>
  <c r="Q73" i="97" s="1"/>
  <c r="T124" i="27"/>
  <c r="Q74" i="97" s="1" a="1"/>
  <c r="Q74" i="97" s="1"/>
  <c r="T105" i="27"/>
  <c r="Q75" i="97" s="1" a="1"/>
  <c r="Q75" i="97" s="1"/>
  <c r="T233" i="27"/>
  <c r="Q76" i="97" s="1" a="1"/>
  <c r="Q76" i="97" s="1"/>
  <c r="T135" i="27"/>
  <c r="Q77" i="97" s="1" a="1"/>
  <c r="Q77" i="97" s="1"/>
  <c r="T161" i="27"/>
  <c r="Q78" i="97" s="1" a="1"/>
  <c r="Q78" i="97" s="1"/>
  <c r="T165" i="27"/>
  <c r="Q79" i="97" s="1" a="1"/>
  <c r="Q79" i="97" s="1"/>
  <c r="T24" i="27"/>
  <c r="Q80" i="97" s="1" a="1"/>
  <c r="Q80" i="97" s="1"/>
  <c r="T166" i="27"/>
  <c r="Q81" i="97" s="1" a="1"/>
  <c r="Q81" i="97" s="1"/>
  <c r="T142" i="27"/>
  <c r="Q196" i="97" s="1" a="1"/>
  <c r="Q196" i="97" s="1"/>
  <c r="T234" i="27"/>
  <c r="Q82" i="97" s="1" a="1"/>
  <c r="Q82" i="97" s="1"/>
  <c r="T118" i="27"/>
  <c r="Q83" i="97" s="1" a="1"/>
  <c r="Q83" i="97" s="1"/>
  <c r="T83" i="27"/>
  <c r="Q84" i="97" s="1" a="1"/>
  <c r="Q84" i="97" s="1"/>
  <c r="T112" i="27"/>
  <c r="Q11" i="97" s="1" a="1"/>
  <c r="Q11" i="97" s="1"/>
  <c r="T79" i="27"/>
  <c r="Q85" i="97" s="1" a="1"/>
  <c r="Q85" i="97" s="1"/>
  <c r="T235" i="27"/>
  <c r="Q86" i="97" s="1" a="1"/>
  <c r="Q86" i="97" s="1"/>
  <c r="T216" i="27"/>
  <c r="Q87" i="97" s="1" a="1"/>
  <c r="Q87" i="97" s="1"/>
  <c r="T10" i="27"/>
  <c r="Q88" i="97" s="1" a="1"/>
  <c r="Q88" i="97" s="1"/>
  <c r="T34" i="27"/>
  <c r="Q89" i="97" s="1" a="1"/>
  <c r="Q89" i="97" s="1"/>
  <c r="T215" i="27"/>
  <c r="Q12" i="97" s="1" a="1"/>
  <c r="Q12" i="97" s="1"/>
  <c r="T141" i="27"/>
  <c r="Q90" i="97" s="1" a="1"/>
  <c r="Q90" i="97" s="1"/>
  <c r="T70" i="27"/>
  <c r="Q30" i="97" s="1" a="1"/>
  <c r="Q30" i="97" s="1"/>
  <c r="T73" i="27"/>
  <c r="Q10" i="97" s="1" a="1"/>
  <c r="Q10" i="97" s="1"/>
  <c r="T134" i="27"/>
  <c r="Q15" i="97" s="1" a="1"/>
  <c r="Q15" i="97" s="1"/>
  <c r="T64" i="27"/>
  <c r="Q31" i="97" s="1" a="1"/>
  <c r="Q31" i="97" s="1"/>
  <c r="T126" i="27"/>
  <c r="Q32" i="97" s="1" a="1"/>
  <c r="Q32" i="97" s="1"/>
  <c r="T108" i="27"/>
  <c r="Q33" i="97" s="1" a="1"/>
  <c r="Q33" i="97" s="1"/>
  <c r="T21" i="27"/>
  <c r="Q18" i="97" s="1" a="1"/>
  <c r="Q18" i="97" s="1"/>
  <c r="T236" i="27"/>
  <c r="Q91" i="97" s="1" a="1"/>
  <c r="Q91" i="97" s="1"/>
  <c r="T237" i="27"/>
  <c r="Q92" i="97" s="1" a="1"/>
  <c r="Q92" i="97" s="1"/>
  <c r="T238" i="27"/>
  <c r="Q93" i="97" s="1" a="1"/>
  <c r="Q93" i="97" s="1"/>
  <c r="T156" i="27"/>
  <c r="Q94" i="97" s="1" a="1"/>
  <c r="Q94" i="97" s="1"/>
  <c r="T239" i="27"/>
  <c r="Q95" i="97" s="1" a="1"/>
  <c r="Q95" i="97" s="1"/>
  <c r="T240" i="27"/>
  <c r="Q96" i="97" s="1" a="1"/>
  <c r="Q96" i="97" s="1"/>
  <c r="T241" i="27"/>
  <c r="Q97" i="97" s="1" a="1"/>
  <c r="Q97" i="97" s="1"/>
  <c r="T65" i="27"/>
  <c r="Q98" i="97" s="1" a="1"/>
  <c r="Q98" i="97" s="1"/>
  <c r="T167" i="27"/>
  <c r="Q20" i="97" s="1" a="1"/>
  <c r="Q20" i="97" s="1"/>
  <c r="T139" i="27"/>
  <c r="Q99" i="97" s="1" a="1"/>
  <c r="Q99" i="97" s="1"/>
  <c r="T242" i="27"/>
  <c r="Q100" i="97" s="1" a="1"/>
  <c r="Q100" i="97" s="1"/>
  <c r="T137" i="27"/>
  <c r="Q101" i="97" s="1" a="1"/>
  <c r="Q101" i="97" s="1"/>
  <c r="T243" i="27"/>
  <c r="Q102" i="97" s="1" a="1"/>
  <c r="Q102" i="97" s="1"/>
  <c r="T244" i="27"/>
  <c r="Q103" i="97" s="1" a="1"/>
  <c r="Q103" i="97" s="1"/>
  <c r="T189" i="27"/>
  <c r="Q104" i="97" s="1" a="1"/>
  <c r="Q104" i="97" s="1"/>
  <c r="T245" i="27"/>
  <c r="Q105" i="97" s="1" a="1"/>
  <c r="Q105" i="97" s="1"/>
  <c r="T246" i="27"/>
  <c r="Q106" i="97" s="1" a="1"/>
  <c r="Q106" i="97" s="1"/>
  <c r="T221" i="27"/>
  <c r="Q107" i="97" s="1" a="1"/>
  <c r="Q107" i="97" s="1"/>
  <c r="T247" i="27"/>
  <c r="Q108" i="97" s="1" a="1"/>
  <c r="Q108" i="97" s="1"/>
  <c r="T76" i="27"/>
  <c r="Q21" i="97" s="1" a="1"/>
  <c r="Q21" i="97" s="1"/>
  <c r="T248" i="27"/>
  <c r="Q22" i="97" s="1" a="1"/>
  <c r="Q22" i="97" s="1"/>
  <c r="T19" i="27"/>
  <c r="Q109" i="97" s="1" a="1"/>
  <c r="Q109" i="97" s="1"/>
  <c r="T249" i="27"/>
  <c r="Q23" i="97" s="1" a="1"/>
  <c r="Q23" i="97" s="1"/>
  <c r="T250" i="27"/>
  <c r="Q24" i="97" s="1" a="1"/>
  <c r="Q24" i="97" s="1"/>
  <c r="T251" i="27"/>
  <c r="Q110" i="97" s="1" a="1"/>
  <c r="Q110" i="97" s="1"/>
  <c r="T144" i="27"/>
  <c r="Q25" i="97" s="1" a="1"/>
  <c r="Q25" i="97" s="1"/>
  <c r="T252" i="27"/>
  <c r="Q26" i="97" s="1" a="1"/>
  <c r="Q26" i="97" s="1"/>
  <c r="T113" i="27"/>
  <c r="Q111" i="97" s="1" a="1"/>
  <c r="Q111" i="97" s="1"/>
  <c r="T253" i="27"/>
  <c r="Q27" i="97" s="1" a="1"/>
  <c r="Q27" i="97" s="1"/>
  <c r="T178" i="27"/>
  <c r="Q28" i="97" s="1" a="1"/>
  <c r="Q28" i="97" s="1"/>
  <c r="T8" i="27"/>
  <c r="Q256" i="97" s="1" a="1"/>
  <c r="Q256" i="97" s="1"/>
  <c r="T57" i="27"/>
  <c r="Q34" i="97" s="1" a="1"/>
  <c r="Q34" i="97" s="1"/>
  <c r="T125" i="27"/>
  <c r="Q35" i="97" s="1" a="1"/>
  <c r="Q35" i="97" s="1"/>
  <c r="T94" i="27"/>
  <c r="Q19" i="97" s="1" a="1"/>
  <c r="Q19" i="97" s="1"/>
  <c r="T11" i="27"/>
  <c r="Q266" i="97" s="1" a="1"/>
  <c r="Q266" i="97" s="1"/>
  <c r="T50" i="27"/>
  <c r="Q29" i="97" s="1" a="1"/>
  <c r="Q29" i="97" s="1"/>
  <c r="T81" i="27"/>
  <c r="Q2" i="97" s="1" a="1"/>
  <c r="Q2" i="97" s="1"/>
  <c r="T147" i="27"/>
  <c r="Q36" i="97" s="1" a="1"/>
  <c r="Q36" i="97" s="1"/>
  <c r="T61" i="27"/>
  <c r="Q37" i="97" s="1" a="1"/>
  <c r="Q37" i="97" s="1"/>
  <c r="T119" i="27"/>
  <c r="Q39" i="97" s="1" a="1"/>
  <c r="Q39" i="97" s="1"/>
  <c r="T145" i="27"/>
  <c r="Q112" i="97" s="1" a="1"/>
  <c r="Q112" i="97" s="1"/>
  <c r="T254" i="27"/>
  <c r="Q113" i="97" s="1" a="1"/>
  <c r="Q113" i="97" s="1"/>
  <c r="T37" i="27"/>
  <c r="Q114" i="97" s="1" a="1"/>
  <c r="Q114" i="97" s="1"/>
  <c r="T255" i="27"/>
  <c r="Q115" i="97" s="1" a="1"/>
  <c r="Q115" i="97" s="1"/>
  <c r="T256" i="27"/>
  <c r="Q116" i="97" s="1" a="1"/>
  <c r="Q116" i="97" s="1"/>
  <c r="T85" i="27"/>
  <c r="Q117" i="97" s="1" a="1"/>
  <c r="Q117" i="97" s="1"/>
  <c r="T257" i="27"/>
  <c r="Q118" i="97" s="1" a="1"/>
  <c r="Q118" i="97" s="1"/>
  <c r="T33" i="27"/>
  <c r="Q119" i="97" s="1" a="1"/>
  <c r="Q119" i="97" s="1"/>
  <c r="T258" i="27"/>
  <c r="Q120" i="97" s="1" a="1"/>
  <c r="Q120" i="97" s="1"/>
  <c r="T259" i="27"/>
  <c r="Q121" i="97" s="1" a="1"/>
  <c r="Q121" i="97" s="1"/>
  <c r="T260" i="27"/>
  <c r="Q122" i="97" s="1" a="1"/>
  <c r="Q122" i="97" s="1"/>
  <c r="T261" i="27"/>
  <c r="Q123" i="97" s="1" a="1"/>
  <c r="Q123" i="97" s="1"/>
  <c r="T262" i="27"/>
  <c r="Q124" i="97" s="1" a="1"/>
  <c r="Q124" i="97" s="1"/>
  <c r="T263" i="27"/>
  <c r="Q125" i="97" s="1" a="1"/>
  <c r="Q125" i="97" s="1"/>
  <c r="T6" i="27"/>
  <c r="Q198" i="97" s="1" a="1"/>
  <c r="Q198" i="97" s="1"/>
  <c r="T264" i="27"/>
  <c r="Q126" i="97" s="1" a="1"/>
  <c r="Q126" i="97" s="1"/>
  <c r="T265" i="27"/>
  <c r="Q330" i="97" s="1" a="1"/>
  <c r="Q330" i="97" s="1"/>
  <c r="T266" i="27"/>
  <c r="Q40" i="97" s="1" a="1"/>
  <c r="Q40" i="97" s="1"/>
  <c r="T267" i="27"/>
  <c r="Q127" i="97" s="1" a="1"/>
  <c r="Q127" i="97" s="1"/>
  <c r="T268" i="27"/>
  <c r="Q41" i="97" s="1" a="1"/>
  <c r="Q41" i="97" s="1"/>
  <c r="T269" i="27"/>
  <c r="Q128" i="97" s="1" a="1"/>
  <c r="Q128" i="97" s="1"/>
  <c r="T195" i="27"/>
  <c r="Q129" i="97" s="1" a="1"/>
  <c r="Q129" i="97" s="1"/>
  <c r="T47" i="27"/>
  <c r="Q130" i="97" s="1" a="1"/>
  <c r="Q130" i="97" s="1"/>
  <c r="T270" i="27"/>
  <c r="Q131" i="97" s="1" a="1"/>
  <c r="Q131" i="97" s="1"/>
  <c r="T95" i="27"/>
  <c r="Q3" i="97" s="1" a="1"/>
  <c r="Q3" i="97" s="1"/>
  <c r="T121" i="27"/>
  <c r="Q42" i="97" s="1" a="1"/>
  <c r="Q42" i="97" s="1"/>
  <c r="T226" i="27"/>
  <c r="Q13" i="97" s="1" a="1"/>
  <c r="Q13" i="97" s="1"/>
  <c r="T54" i="27"/>
  <c r="Q295" i="97" s="1" a="1"/>
  <c r="Q295" i="97" s="1"/>
  <c r="T185" i="27"/>
  <c r="Q132" i="97" s="1" a="1"/>
  <c r="Q132" i="97" s="1"/>
  <c r="T200" i="27"/>
  <c r="Q133" i="97" s="1" a="1"/>
  <c r="Q133" i="97" s="1"/>
  <c r="T169" i="27"/>
  <c r="Q134" i="97" s="1" a="1"/>
  <c r="Q134" i="97" s="1"/>
  <c r="T225" i="27"/>
  <c r="Q135" i="97" s="1" a="1"/>
  <c r="Q135" i="97" s="1"/>
  <c r="T17" i="27"/>
  <c r="Q136" i="97" s="1" a="1"/>
  <c r="Q136" i="97" s="1"/>
  <c r="T87" i="27"/>
  <c r="Q46" i="97" s="1" a="1"/>
  <c r="Q46" i="97" s="1"/>
  <c r="T187" i="27"/>
  <c r="Q137" i="97" s="1" a="1"/>
  <c r="Q137" i="97" s="1"/>
  <c r="T210" i="27"/>
  <c r="Q47" i="97" s="1" a="1"/>
  <c r="Q47" i="97" s="1"/>
  <c r="T80" i="27"/>
  <c r="Q48" i="97" s="1" a="1"/>
  <c r="Q48" i="97" s="1"/>
  <c r="T146" i="27"/>
  <c r="Q239" i="97" s="1" a="1"/>
  <c r="Q239" i="97" s="1"/>
  <c r="T223" i="27"/>
  <c r="Q138" i="97" s="1" a="1"/>
  <c r="Q138" i="97" s="1"/>
  <c r="T86" i="27"/>
  <c r="Q139" i="97" s="1" a="1"/>
  <c r="Q139" i="97" s="1"/>
  <c r="T162" i="27"/>
  <c r="Q242" i="97" s="1" a="1"/>
  <c r="Q242" i="97" s="1"/>
  <c r="T27" i="27"/>
  <c r="Q311" i="97" s="1" a="1"/>
  <c r="Q311" i="97" s="1"/>
  <c r="T159" i="27"/>
  <c r="Q140" i="97" s="1" a="1"/>
  <c r="Q140" i="97" s="1"/>
  <c r="T230" i="27"/>
  <c r="Q141" i="97" s="1" a="1"/>
  <c r="Q141" i="97" s="1"/>
  <c r="T201" i="27"/>
  <c r="Q142" i="97" s="1" a="1"/>
  <c r="Q142" i="97" s="1"/>
  <c r="T190" i="27"/>
  <c r="Q52" i="97" s="1" a="1"/>
  <c r="Q52" i="97" s="1"/>
  <c r="T213" i="27"/>
  <c r="Q53" i="97" s="1" a="1"/>
  <c r="Q53" i="97" s="1"/>
  <c r="T157" i="27"/>
  <c r="Q143" i="97" s="1" a="1"/>
  <c r="Q143" i="97" s="1"/>
  <c r="T228" i="27"/>
  <c r="Q144" i="97" s="1" a="1"/>
  <c r="Q144" i="97" s="1"/>
  <c r="T229" i="27"/>
  <c r="Q145" i="97" s="1" a="1"/>
  <c r="Q145" i="97" s="1"/>
  <c r="T180" i="27"/>
  <c r="Q54" i="97" s="1" a="1"/>
  <c r="Q54" i="97" s="1"/>
  <c r="T211" i="27"/>
  <c r="Q146" i="97" s="1" a="1"/>
  <c r="Q146" i="97" s="1"/>
  <c r="T154" i="27"/>
  <c r="Q147" i="97" s="1" a="1"/>
  <c r="Q147" i="97" s="1"/>
  <c r="T176" i="27"/>
  <c r="Q148" i="97" s="1" a="1"/>
  <c r="Q148" i="97" s="1"/>
  <c r="T196" i="27"/>
  <c r="Q149" i="97" s="1" a="1"/>
  <c r="Q149" i="97" s="1"/>
  <c r="T197" i="27"/>
  <c r="Q55" i="97" s="1" a="1"/>
  <c r="Q55" i="97" s="1"/>
  <c r="T202" i="27"/>
  <c r="Q56" i="97" s="1" a="1"/>
  <c r="Q56" i="97" s="1"/>
  <c r="T51" i="27"/>
  <c r="Q150" i="97" s="1" a="1"/>
  <c r="Q150" i="97" s="1"/>
  <c r="T155" i="27"/>
  <c r="Q151" i="97" s="1" a="1"/>
  <c r="Q151" i="97" s="1"/>
  <c r="T271" i="27"/>
  <c r="Q152" i="97" s="1" a="1"/>
  <c r="Q152" i="97" s="1"/>
  <c r="T39" i="27"/>
  <c r="Q153" i="97" s="1" a="1"/>
  <c r="Q153" i="97" s="1"/>
  <c r="T82" i="27"/>
  <c r="Q154" i="97" s="1" a="1"/>
  <c r="Q154" i="97" s="1"/>
  <c r="T272" i="27"/>
  <c r="Q155" i="97" s="1" a="1"/>
  <c r="Q155" i="97" s="1"/>
  <c r="T127" i="27"/>
  <c r="Q156" i="97" s="1" a="1"/>
  <c r="Q156" i="97" s="1"/>
  <c r="T46" i="27"/>
  <c r="Q157" i="97" s="1" a="1"/>
  <c r="Q157" i="97" s="1"/>
  <c r="T209" i="27"/>
  <c r="Q57" i="97" s="1" a="1"/>
  <c r="Q57" i="97" s="1"/>
  <c r="T218" i="27"/>
  <c r="Q158" i="97" s="1" a="1"/>
  <c r="Q158" i="97" s="1"/>
  <c r="T78" i="27"/>
  <c r="Q159" i="97" s="1" a="1"/>
  <c r="Q159" i="97" s="1"/>
  <c r="T128" i="27"/>
  <c r="Q160" i="97" s="1" a="1"/>
  <c r="Q160" i="97" s="1"/>
  <c r="T116" i="27"/>
  <c r="Q161" i="97" s="1" a="1"/>
  <c r="Q161" i="97" s="1"/>
  <c r="T7" i="27"/>
  <c r="Q162" i="97" s="1" a="1"/>
  <c r="Q162" i="97" s="1"/>
  <c r="T63" i="27"/>
  <c r="Q163" i="97" s="1" a="1"/>
  <c r="Q163" i="97" s="1"/>
  <c r="T48" i="27"/>
  <c r="Q164" i="97" s="1" a="1"/>
  <c r="Q164" i="97" s="1"/>
  <c r="T273" i="27"/>
  <c r="Q165" i="97" s="1" a="1"/>
  <c r="Q165" i="97" s="1"/>
  <c r="T274" i="27"/>
  <c r="Q166" i="97" s="1" a="1"/>
  <c r="Q166" i="97" s="1"/>
  <c r="T32" i="27"/>
  <c r="Q167" i="97" s="1" a="1"/>
  <c r="Q167" i="97" s="1"/>
  <c r="T88" i="27"/>
  <c r="Q58" i="97" s="1" a="1"/>
  <c r="Q58" i="97" s="1"/>
  <c r="T44" i="27"/>
  <c r="Q168" i="97" s="1" a="1"/>
  <c r="Q168" i="97" s="1"/>
  <c r="T275" i="27"/>
  <c r="Q169" i="97" s="1" a="1"/>
  <c r="Q169" i="97" s="1"/>
  <c r="T130" i="27"/>
  <c r="Q59" i="97" s="1" a="1"/>
  <c r="Q59" i="97" s="1"/>
  <c r="T276" i="27"/>
  <c r="Q170" i="97" s="1" a="1"/>
  <c r="Q170" i="97" s="1"/>
  <c r="T277" i="27"/>
  <c r="Q60" i="97" s="1" a="1"/>
  <c r="Q60" i="97" s="1"/>
  <c r="T278" i="27"/>
  <c r="Q331" i="97" s="1" a="1"/>
  <c r="Q331" i="97" s="1"/>
  <c r="T279" i="27"/>
  <c r="Q171" i="97" s="1" a="1"/>
  <c r="Q171" i="97" s="1"/>
  <c r="T280" i="27"/>
  <c r="Q172" i="97" s="1" a="1"/>
  <c r="Q172" i="97" s="1"/>
  <c r="T281" i="27"/>
  <c r="Q173" i="97" s="1" a="1"/>
  <c r="Q173" i="97" s="1"/>
  <c r="T282" i="27"/>
  <c r="Q174" i="97" s="1" a="1"/>
  <c r="Q174" i="97" s="1"/>
  <c r="T283" i="27"/>
  <c r="Q61" i="97" s="1" a="1"/>
  <c r="Q61" i="97" s="1"/>
  <c r="T26" i="27"/>
  <c r="Q332" i="97" s="1" a="1"/>
  <c r="Q332" i="97" s="1"/>
  <c r="T284" i="27"/>
  <c r="Q175" i="97" s="1" a="1"/>
  <c r="Q175" i="97" s="1"/>
  <c r="T285" i="27"/>
  <c r="Q176" i="97" s="1" a="1"/>
  <c r="Q176" i="97" s="1"/>
  <c r="T286" i="27"/>
  <c r="Q177" i="97" s="1" a="1"/>
  <c r="Q177" i="97" s="1"/>
  <c r="T287" i="27"/>
  <c r="Q178" i="97" s="1" a="1"/>
  <c r="Q178" i="97" s="1"/>
  <c r="T143" i="27"/>
  <c r="Q179" i="97" s="1" a="1"/>
  <c r="Q179" i="97" s="1"/>
  <c r="T203" i="27"/>
  <c r="Q180" i="97" s="1" a="1"/>
  <c r="Q180" i="97" s="1"/>
  <c r="T288" i="27"/>
  <c r="Q333" i="97" s="1" a="1"/>
  <c r="Q333" i="97" s="1"/>
  <c r="T104" i="27"/>
  <c r="Q181" i="97" s="1" a="1"/>
  <c r="Q181" i="97" s="1"/>
  <c r="T138" i="27"/>
  <c r="Q182" i="97" s="1" a="1"/>
  <c r="Q182" i="97" s="1"/>
  <c r="T148" i="27"/>
  <c r="Q183" i="97" s="1" a="1"/>
  <c r="Q183" i="97" s="1"/>
  <c r="T224" i="27"/>
  <c r="Q184" i="97" s="1" a="1"/>
  <c r="Q184" i="97" s="1"/>
  <c r="T66" i="27"/>
  <c r="Q14" i="97" s="1" a="1"/>
  <c r="Q14" i="97" s="1"/>
  <c r="T170" i="27"/>
  <c r="Q185" i="97" s="1" a="1"/>
  <c r="Q185" i="97" s="1"/>
  <c r="T23" i="27"/>
  <c r="Q186" i="97" s="1" a="1"/>
  <c r="Q186" i="97" s="1"/>
  <c r="T93" i="27"/>
  <c r="Q312" i="97" s="1" a="1"/>
  <c r="Q312" i="97" s="1"/>
  <c r="T150" i="27"/>
  <c r="Q187" i="97" s="1" a="1"/>
  <c r="Q187" i="97" s="1"/>
  <c r="T110" i="27"/>
  <c r="Q188" i="97" s="1" a="1"/>
  <c r="Q188" i="97" s="1"/>
  <c r="T91" i="27"/>
  <c r="Q189" i="97" s="1" a="1"/>
  <c r="Q189" i="97" s="1"/>
  <c r="T52" i="27"/>
  <c r="Q190" i="97" s="1" a="1"/>
  <c r="Q190" i="97" s="1"/>
  <c r="T101" i="27"/>
  <c r="Q191" i="97" s="1" a="1"/>
  <c r="Q191" i="97" s="1"/>
  <c r="T16" i="27"/>
  <c r="Q192" i="97" s="1" a="1"/>
  <c r="Q192" i="97" s="1"/>
  <c r="T40" i="27"/>
  <c r="Q193" i="97" s="1" a="1"/>
  <c r="Q193" i="97" s="1"/>
  <c r="T35" i="27"/>
  <c r="Q38" i="97" s="1" a="1"/>
  <c r="Q38" i="97" s="1"/>
  <c r="T289" i="27"/>
  <c r="Q194" i="97" s="1" a="1"/>
  <c r="Q194" i="97" s="1"/>
  <c r="T140" i="27"/>
  <c r="Q195" i="97" s="1" a="1"/>
  <c r="Q195" i="97" s="1"/>
  <c r="T41" i="27"/>
  <c r="Q247" i="97" s="1" a="1"/>
  <c r="Q247" i="97" s="1"/>
  <c r="T151" i="27"/>
  <c r="Q65" i="97" s="1" a="1"/>
  <c r="Q65" i="97" s="1"/>
  <c r="T290" i="27"/>
  <c r="Q334" i="97" s="1" a="1"/>
  <c r="Q334" i="97" s="1"/>
  <c r="T122" i="27"/>
  <c r="Q197" i="97" s="1" a="1"/>
  <c r="Q197" i="97" s="1"/>
  <c r="T9" i="27"/>
  <c r="Q315" i="97" s="1" a="1"/>
  <c r="Q315" i="97" s="1"/>
  <c r="T43" i="27"/>
  <c r="Q199" i="97" s="1" a="1"/>
  <c r="Q199" i="97" s="1"/>
  <c r="T291" i="27"/>
  <c r="Q200" i="97" s="1" a="1"/>
  <c r="Q200" i="97" s="1"/>
  <c r="T152" i="27"/>
  <c r="Q201" i="97" s="1" a="1"/>
  <c r="Q201" i="97" s="1"/>
  <c r="T175" i="27"/>
  <c r="Q202" i="97" s="1" a="1"/>
  <c r="Q202" i="97" s="1"/>
  <c r="T74" i="27"/>
  <c r="Q203" i="97" s="1" a="1"/>
  <c r="Q203" i="97" s="1"/>
  <c r="T153" i="27"/>
  <c r="Q204" i="97" s="1" a="1"/>
  <c r="Q204" i="97" s="1"/>
  <c r="T149" i="27"/>
  <c r="Q205" i="97" s="1" a="1"/>
  <c r="Q205" i="97" s="1"/>
  <c r="T90" i="27"/>
  <c r="Q206" i="97" s="1" a="1"/>
  <c r="Q206" i="97" s="1"/>
  <c r="T96" i="27"/>
  <c r="Q207" i="97" s="1" a="1"/>
  <c r="Q207" i="97" s="1"/>
  <c r="T12" i="27"/>
  <c r="Q208" i="97" s="1" a="1"/>
  <c r="Q208" i="97" s="1"/>
  <c r="T69" i="27"/>
  <c r="Q209" i="97" s="1" a="1"/>
  <c r="Q209" i="97" s="1"/>
  <c r="T171" i="27"/>
  <c r="Q210" i="97" s="1" a="1"/>
  <c r="Q210" i="97" s="1"/>
  <c r="T186" i="27"/>
  <c r="Q211" i="97" s="1" a="1"/>
  <c r="Q211" i="97" s="1"/>
  <c r="T174" i="27"/>
  <c r="Q66" i="97" s="1" a="1"/>
  <c r="Q66" i="97" s="1"/>
  <c r="T198" i="27"/>
  <c r="Q212" i="97" s="1" a="1"/>
  <c r="Q212" i="97" s="1"/>
  <c r="T292" i="27"/>
  <c r="Q213" i="97" s="1" a="1"/>
  <c r="Q213" i="97" s="1"/>
  <c r="T131" i="27"/>
  <c r="Q214" i="97" s="1" a="1"/>
  <c r="Q214" i="97" s="1"/>
  <c r="T53" i="27"/>
  <c r="Q215" i="97" s="1" a="1"/>
  <c r="Q215" i="97" s="1"/>
  <c r="T56" i="27"/>
  <c r="Q216" i="97" s="1" a="1"/>
  <c r="Q216" i="97" s="1"/>
  <c r="T293" i="27"/>
  <c r="Q217" i="97" s="1" a="1"/>
  <c r="Q217" i="97" s="1"/>
  <c r="T294" i="27"/>
  <c r="Q218" i="97" s="1" a="1"/>
  <c r="Q218" i="97" s="1"/>
  <c r="T295" i="27"/>
  <c r="Q219" i="97" s="1" a="1"/>
  <c r="Q219" i="97" s="1"/>
  <c r="T296" i="27"/>
  <c r="Q220" i="97" s="1" a="1"/>
  <c r="Q220" i="97" s="1"/>
  <c r="T177" i="27"/>
  <c r="Q221" i="97" s="1" a="1"/>
  <c r="Q221" i="97" s="1"/>
  <c r="T92" i="27"/>
  <c r="Q222" i="97" s="1" a="1"/>
  <c r="Q222" i="97" s="1"/>
  <c r="T219" i="27"/>
  <c r="Q335" i="97" s="1" a="1"/>
  <c r="Q335" i="97" s="1"/>
  <c r="T297" i="27"/>
  <c r="Q223" i="97" s="1" a="1"/>
  <c r="Q223" i="97" s="1"/>
  <c r="T31" i="27"/>
  <c r="Q224" i="97" s="1" a="1"/>
  <c r="Q224" i="97" s="1"/>
  <c r="T77" i="27"/>
  <c r="Q225" i="97" s="1" a="1"/>
  <c r="Q225" i="97" s="1"/>
  <c r="T298" i="27"/>
  <c r="Q226" i="97" s="1" a="1"/>
  <c r="Q226" i="97" s="1"/>
  <c r="T299" i="27"/>
  <c r="Q227" i="97" s="1" a="1"/>
  <c r="Q227" i="97" s="1"/>
  <c r="T183" i="27"/>
  <c r="Q228" i="97" s="1" a="1"/>
  <c r="Q228" i="97" s="1"/>
  <c r="T98" i="27"/>
  <c r="Q229" i="97" s="1" a="1"/>
  <c r="Q229" i="97" s="1"/>
  <c r="T30" i="27"/>
  <c r="Q230" i="97" s="1" a="1"/>
  <c r="Q230" i="97" s="1"/>
  <c r="T300" i="27"/>
  <c r="Q67" i="97" s="1" a="1"/>
  <c r="Q67" i="97" s="1"/>
  <c r="T301" i="27"/>
  <c r="Q231" i="97" s="1" a="1"/>
  <c r="Q231" i="97" s="1"/>
  <c r="T302" i="27"/>
  <c r="Q232" i="97" s="1" a="1"/>
  <c r="Q232" i="97" s="1"/>
  <c r="T207" i="27"/>
  <c r="Q233" i="97" s="1" a="1"/>
  <c r="Q233" i="97" s="1"/>
  <c r="T303" i="27"/>
  <c r="Q234" i="97" s="1" a="1"/>
  <c r="Q234" i="97" s="1"/>
  <c r="T71" i="27"/>
  <c r="Q235" i="97" s="1" a="1"/>
  <c r="Q235" i="97" s="1"/>
  <c r="T182" i="27"/>
  <c r="Q236" i="97" s="1" a="1"/>
  <c r="Q236" i="97" s="1"/>
  <c r="T304" i="27"/>
  <c r="Q237" i="97" s="1" a="1"/>
  <c r="Q237" i="97" s="1"/>
  <c r="T129" i="27"/>
  <c r="Q68" i="97" s="1" a="1"/>
  <c r="Q68" i="97" s="1"/>
  <c r="T160" i="27"/>
  <c r="Q238" i="97" s="1" a="1"/>
  <c r="Q238" i="97" s="1"/>
  <c r="T25" i="27"/>
  <c r="Q318" i="97" s="1" a="1"/>
  <c r="Q318" i="97" s="1"/>
  <c r="T194" i="27"/>
  <c r="Q240" i="97" s="1" a="1"/>
  <c r="Q240" i="97" s="1"/>
  <c r="T179" i="27"/>
  <c r="Q241" i="97" s="1" a="1"/>
  <c r="Q241" i="97" s="1"/>
  <c r="T103" i="27"/>
  <c r="Q43" i="97" s="1" a="1"/>
  <c r="Q43" i="97" s="1"/>
  <c r="T227" i="27"/>
  <c r="Q243" i="97" s="1" a="1"/>
  <c r="Q243" i="97" s="1"/>
  <c r="T192" i="27"/>
  <c r="Q244" i="97" s="1" a="1"/>
  <c r="Q244" i="97" s="1"/>
  <c r="T220" i="27"/>
  <c r="Q245" i="97" s="1" a="1"/>
  <c r="Q245" i="97" s="1"/>
  <c r="T107" i="27"/>
  <c r="Q69" i="97" s="1" a="1"/>
  <c r="Q69" i="97" s="1"/>
  <c r="T100" i="27"/>
  <c r="Q246" i="97" s="1" a="1"/>
  <c r="Q246" i="97" s="1"/>
  <c r="T18" i="27"/>
  <c r="Q319" i="97" s="1" a="1"/>
  <c r="Q319" i="97" s="1"/>
  <c r="T89" i="27"/>
  <c r="Q320" i="97" s="1" a="1"/>
  <c r="Q320" i="97" s="1"/>
  <c r="T305" i="27"/>
  <c r="Q249" i="97" s="1" a="1"/>
  <c r="Q249" i="97" s="1"/>
  <c r="T306" i="27"/>
  <c r="Q70" i="97" s="1" a="1"/>
  <c r="Q70" i="97" s="1"/>
  <c r="T97" i="27"/>
  <c r="Q250" i="97" s="1" a="1"/>
  <c r="Q250" i="97" s="1"/>
  <c r="T62" i="27"/>
  <c r="Q322" i="97" s="1" a="1"/>
  <c r="Q322" i="97" s="1"/>
  <c r="T307" i="27"/>
  <c r="Q252" i="97" s="1" a="1"/>
  <c r="Q252" i="97" s="1"/>
  <c r="T308" i="27"/>
  <c r="Q253" i="97" s="1" a="1"/>
  <c r="Q253" i="97" s="1"/>
  <c r="T132" i="27"/>
  <c r="Q254" i="97" s="1" a="1"/>
  <c r="Q254" i="97" s="1"/>
  <c r="T309" i="27"/>
  <c r="Q255" i="97" s="1" a="1"/>
  <c r="Q255" i="97" s="1"/>
  <c r="T111" i="27"/>
  <c r="Q44" i="97" s="1" a="1"/>
  <c r="Q44" i="97" s="1"/>
  <c r="T133" i="27"/>
  <c r="Q257" i="97" s="1" a="1"/>
  <c r="Q257" i="97" s="1"/>
  <c r="T120" i="27"/>
  <c r="Q336" i="97" s="1" a="1"/>
  <c r="Q336" i="97" s="1"/>
  <c r="T310" i="27"/>
  <c r="Q258" i="97" s="1" a="1"/>
  <c r="Q258" i="97" s="1"/>
  <c r="T311" i="27"/>
  <c r="Q259" i="97" s="1" a="1"/>
  <c r="Q259" i="97" s="1"/>
  <c r="T72" i="27"/>
  <c r="Q260" i="97" s="1" a="1"/>
  <c r="Q260" i="97" s="1"/>
  <c r="T168" i="27"/>
  <c r="Q261" i="97" s="1" a="1"/>
  <c r="Q261" i="97" s="1"/>
  <c r="T191" i="27"/>
  <c r="Q262" i="97" s="1" a="1"/>
  <c r="Q262" i="97" s="1"/>
  <c r="T312" i="27"/>
  <c r="Q263" i="97" s="1" a="1"/>
  <c r="Q263" i="97" s="1"/>
  <c r="T313" i="27"/>
  <c r="Q264" i="97" s="1" a="1"/>
  <c r="Q264" i="97" s="1"/>
  <c r="T158" i="27"/>
  <c r="Q265" i="97" s="1" a="1"/>
  <c r="Q265" i="97" s="1"/>
  <c r="T75" i="27"/>
  <c r="Q45" i="97" s="1" a="1"/>
  <c r="Q45" i="97" s="1"/>
  <c r="T314" i="27"/>
  <c r="Q267" i="97" s="1" a="1"/>
  <c r="Q267" i="97" s="1"/>
  <c r="T212" i="27"/>
  <c r="Q268" i="97" s="1" a="1"/>
  <c r="Q268" i="97" s="1"/>
  <c r="T22" i="27"/>
  <c r="Q269" i="97" s="1" a="1"/>
  <c r="Q269" i="97" s="1"/>
  <c r="T315" i="27"/>
  <c r="Q270" i="97" s="1" a="1"/>
  <c r="Q270" i="97" s="1"/>
  <c r="T316" i="27"/>
  <c r="Q271" i="97" s="1" a="1"/>
  <c r="Q271" i="97" s="1"/>
  <c r="T317" i="27"/>
  <c r="Q272" i="97" s="1" a="1"/>
  <c r="Q272" i="97" s="1"/>
  <c r="T117" i="27"/>
  <c r="Q273" i="97" s="1" a="1"/>
  <c r="Q273" i="97" s="1"/>
  <c r="T318" i="27"/>
  <c r="Q274" i="97" s="1" a="1"/>
  <c r="Q274" i="97" s="1"/>
  <c r="T319" i="27"/>
  <c r="Q275" i="97" s="1" a="1"/>
  <c r="Q275" i="97" s="1"/>
  <c r="T320" i="27"/>
  <c r="Q276" i="97" s="1" a="1"/>
  <c r="Q276" i="97" s="1"/>
  <c r="T321" i="27"/>
  <c r="Q277" i="97" s="1" a="1"/>
  <c r="Q277" i="97" s="1"/>
  <c r="T217" i="27"/>
  <c r="Q278" i="97" s="1" a="1"/>
  <c r="Q278" i="97" s="1"/>
  <c r="T322" i="27"/>
  <c r="Q279" i="97" s="1" a="1"/>
  <c r="Q279" i="97" s="1"/>
  <c r="T164" i="27"/>
  <c r="Q280" i="97" s="1" a="1"/>
  <c r="Q280" i="97" s="1"/>
  <c r="T172" i="27"/>
  <c r="Q281" i="97" s="1" a="1"/>
  <c r="Q281" i="97" s="1"/>
  <c r="T323" i="27"/>
  <c r="Q282" i="97" s="1" a="1"/>
  <c r="Q282" i="97" s="1"/>
  <c r="T324" i="27"/>
  <c r="Q283" i="97" s="1" a="1"/>
  <c r="Q283" i="97" s="1"/>
  <c r="T208" i="27"/>
  <c r="Q284" i="97" s="1" a="1"/>
  <c r="Q284" i="97" s="1"/>
  <c r="T325" i="27"/>
  <c r="Q285" i="97" s="1" a="1"/>
  <c r="Q285" i="97" s="1"/>
  <c r="T326" i="27"/>
  <c r="Q286" i="97" s="1" a="1"/>
  <c r="Q286" i="97" s="1"/>
  <c r="T206" i="27"/>
  <c r="Q287" i="97" s="1" a="1"/>
  <c r="Q287" i="97" s="1"/>
  <c r="T327" i="27"/>
  <c r="Q288" i="97" s="1" a="1"/>
  <c r="Q288" i="97" s="1"/>
  <c r="T328" i="27"/>
  <c r="Q289" i="97" s="1" a="1"/>
  <c r="Q289" i="97" s="1"/>
  <c r="T193" i="27"/>
  <c r="Q290" i="97" s="1" a="1"/>
  <c r="Q290" i="97" s="1"/>
  <c r="T329" i="27"/>
  <c r="Q291" i="97" s="1" a="1"/>
  <c r="Q291" i="97" s="1"/>
  <c r="T163" i="27"/>
  <c r="Q292" i="97" s="1" a="1"/>
  <c r="Q292" i="97" s="1"/>
  <c r="T106" i="27"/>
  <c r="Q293" i="97" s="1" a="1"/>
  <c r="Q293" i="97" s="1"/>
  <c r="T330" i="27"/>
  <c r="Q294" i="97" s="1" a="1"/>
  <c r="Q294" i="97" s="1"/>
  <c r="T42" i="27"/>
  <c r="Q248" i="97" s="1" a="1"/>
  <c r="Q248" i="97" s="1"/>
  <c r="T331" i="27"/>
  <c r="Q296" i="97" s="1" a="1"/>
  <c r="Q296" i="97" s="1"/>
  <c r="T332" i="27"/>
  <c r="Q297" i="97" s="1" a="1"/>
  <c r="Q297" i="97" s="1"/>
  <c r="T84" i="27"/>
  <c r="Q298" i="97" s="1" a="1"/>
  <c r="Q298" i="97" s="1"/>
  <c r="T333" i="27"/>
  <c r="Q299" i="97" s="1" a="1"/>
  <c r="Q299" i="97" s="1"/>
  <c r="T102" i="27"/>
  <c r="Q300" i="97" s="1" a="1"/>
  <c r="Q300" i="97" s="1"/>
  <c r="T181" i="27"/>
  <c r="Q301" i="97" s="1" a="1"/>
  <c r="Q301" i="97" s="1"/>
  <c r="T214" i="27"/>
  <c r="Q302" i="97" s="1" a="1"/>
  <c r="Q302" i="97" s="1"/>
  <c r="T334" i="27"/>
  <c r="Q303" i="97" s="1" a="1"/>
  <c r="Q303" i="97" s="1"/>
  <c r="T99" i="27"/>
  <c r="Q304" i="97" s="1" a="1"/>
  <c r="Q304" i="97" s="1"/>
  <c r="T335" i="27"/>
  <c r="Q305" i="97" s="1" a="1"/>
  <c r="Q305" i="97" s="1"/>
  <c r="T336" i="27"/>
  <c r="Q306" i="97" s="1" a="1"/>
  <c r="Q306" i="97" s="1"/>
  <c r="T188" i="27"/>
  <c r="Q307" i="97" s="1" a="1"/>
  <c r="Q307" i="97" s="1"/>
  <c r="T173" i="27"/>
  <c r="Q308" i="97" s="1" a="1"/>
  <c r="Q308" i="97" s="1"/>
  <c r="T337" i="27"/>
  <c r="Q71" i="97" s="1" a="1"/>
  <c r="Q71" i="97" s="1"/>
  <c r="T205" i="27"/>
  <c r="Q72" i="97" s="1" a="1"/>
  <c r="Q72" i="97" s="1"/>
  <c r="T38" i="27"/>
  <c r="Q309" i="97" s="1" a="1"/>
  <c r="Q309" i="97" s="1"/>
  <c r="T15" i="27"/>
  <c r="Q310" i="97" s="1" a="1"/>
  <c r="Q310" i="97" s="1"/>
  <c r="T114" i="27"/>
  <c r="Q49" i="97" s="1" a="1"/>
  <c r="Q49" i="97" s="1"/>
  <c r="T45" i="27"/>
  <c r="Q50" i="97" s="1" a="1"/>
  <c r="Q50" i="97" s="1"/>
  <c r="T136" i="27"/>
  <c r="Q313" i="97" s="1" a="1"/>
  <c r="Q313" i="97" s="1"/>
  <c r="T29" i="27"/>
  <c r="Q314" i="97" s="1" a="1"/>
  <c r="Q314" i="97" s="1"/>
  <c r="T115" i="27"/>
  <c r="Q16" i="97" s="1" a="1"/>
  <c r="Q16" i="97" s="1"/>
  <c r="T55" i="27"/>
  <c r="Q316" i="97" s="1" a="1"/>
  <c r="Q316" i="97" s="1"/>
  <c r="T28" i="27"/>
  <c r="Q317" i="97" s="1" a="1"/>
  <c r="Q317" i="97" s="1"/>
  <c r="T49" i="27"/>
  <c r="Q51" i="97" s="1" a="1"/>
  <c r="Q51" i="97" s="1"/>
  <c r="T20" i="27"/>
  <c r="Q62" i="97" s="1" a="1"/>
  <c r="Q62" i="97" s="1"/>
  <c r="T5" i="27"/>
  <c r="Q323" i="97" s="1" a="1"/>
  <c r="Q323" i="97" s="1"/>
  <c r="T68" i="27"/>
  <c r="Q321" i="97" s="1" a="1"/>
  <c r="Q321" i="97" s="1"/>
  <c r="T58" i="27"/>
  <c r="Q63" i="97" s="1" a="1"/>
  <c r="Q63" i="97" s="1"/>
  <c r="T59" i="27"/>
  <c r="Q64" i="97" s="1" a="1"/>
  <c r="Q64" i="97" s="1"/>
  <c r="T13" i="27"/>
  <c r="Q324" i="97" s="1" a="1"/>
  <c r="Q324" i="97" s="1"/>
  <c r="T67" i="27"/>
  <c r="Q325" i="97" s="1" a="1"/>
  <c r="Q325" i="97" s="1"/>
  <c r="T123" i="27"/>
  <c r="Q326" i="97" s="1" a="1"/>
  <c r="Q326" i="97" s="1"/>
  <c r="T338" i="27"/>
  <c r="Q327" i="97" s="1" a="1"/>
  <c r="Q327" i="97" s="1"/>
  <c r="T109" i="27"/>
  <c r="Q328" i="97" s="1" a="1"/>
  <c r="Q328" i="97" s="1"/>
  <c r="T14" i="27"/>
  <c r="Q329" i="97" s="1" a="1"/>
  <c r="Q329" i="97" s="1"/>
  <c r="U204" i="27"/>
  <c r="R6" i="97" s="1" a="1"/>
  <c r="R6" i="97" s="1"/>
  <c r="U232" i="27"/>
  <c r="R7" i="97" s="1" a="1"/>
  <c r="R7" i="97" s="1"/>
  <c r="U222" i="27"/>
  <c r="R8" i="97" s="1" a="1"/>
  <c r="R8" i="97" s="1"/>
  <c r="U231" i="27"/>
  <c r="R9" i="97" s="1" a="1"/>
  <c r="R9" i="97" s="1"/>
  <c r="U36" i="27"/>
  <c r="R73" i="97" s="1" a="1"/>
  <c r="R73" i="97" s="1"/>
  <c r="U124" i="27"/>
  <c r="R74" i="97" s="1" a="1"/>
  <c r="R74" i="97" s="1"/>
  <c r="U105" i="27"/>
  <c r="R75" i="97" s="1" a="1"/>
  <c r="R75" i="97" s="1"/>
  <c r="U233" i="27"/>
  <c r="R76" i="97" s="1" a="1"/>
  <c r="R76" i="97" s="1"/>
  <c r="U135" i="27"/>
  <c r="R77" i="97" s="1" a="1"/>
  <c r="R77" i="97" s="1"/>
  <c r="U161" i="27"/>
  <c r="R78" i="97" s="1" a="1"/>
  <c r="R78" i="97" s="1"/>
  <c r="U165" i="27"/>
  <c r="R79" i="97" s="1" a="1"/>
  <c r="R79" i="97" s="1"/>
  <c r="U24" i="27"/>
  <c r="R80" i="97" s="1" a="1"/>
  <c r="R80" i="97" s="1"/>
  <c r="U166" i="27"/>
  <c r="R81" i="97" s="1" a="1"/>
  <c r="R81" i="97" s="1"/>
  <c r="U142" i="27"/>
  <c r="R196" i="97" s="1" a="1"/>
  <c r="R196" i="97" s="1"/>
  <c r="U234" i="27"/>
  <c r="R82" i="97" s="1" a="1"/>
  <c r="R82" i="97" s="1"/>
  <c r="U118" i="27"/>
  <c r="R83" i="97" s="1" a="1"/>
  <c r="R83" i="97" s="1"/>
  <c r="U83" i="27"/>
  <c r="R84" i="97" s="1" a="1"/>
  <c r="R84" i="97" s="1"/>
  <c r="U112" i="27"/>
  <c r="R11" i="97" s="1" a="1"/>
  <c r="R11" i="97" s="1"/>
  <c r="U79" i="27"/>
  <c r="R85" i="97" s="1" a="1"/>
  <c r="R85" i="97" s="1"/>
  <c r="U235" i="27"/>
  <c r="R86" i="97" s="1" a="1"/>
  <c r="R86" i="97" s="1"/>
  <c r="U216" i="27"/>
  <c r="R87" i="97" s="1" a="1"/>
  <c r="R87" i="97" s="1"/>
  <c r="U10" i="27"/>
  <c r="R88" i="97" s="1" a="1"/>
  <c r="R88" i="97" s="1"/>
  <c r="U34" i="27"/>
  <c r="R89" i="97" s="1" a="1"/>
  <c r="R89" i="97" s="1"/>
  <c r="U215" i="27"/>
  <c r="R12" i="97" s="1" a="1"/>
  <c r="R12" i="97" s="1"/>
  <c r="U141" i="27"/>
  <c r="R90" i="97" s="1" a="1"/>
  <c r="R90" i="97" s="1"/>
  <c r="U70" i="27"/>
  <c r="R30" i="97" s="1" a="1"/>
  <c r="R30" i="97" s="1"/>
  <c r="U73" i="27"/>
  <c r="R10" i="97" s="1" a="1"/>
  <c r="R10" i="97" s="1"/>
  <c r="U134" i="27"/>
  <c r="R15" i="97" s="1" a="1"/>
  <c r="R15" i="97" s="1"/>
  <c r="U64" i="27"/>
  <c r="R31" i="97" s="1" a="1"/>
  <c r="R31" i="97" s="1"/>
  <c r="U126" i="27"/>
  <c r="R32" i="97" s="1" a="1"/>
  <c r="R32" i="97" s="1"/>
  <c r="U108" i="27"/>
  <c r="R33" i="97" s="1" a="1"/>
  <c r="R33" i="97" s="1"/>
  <c r="U21" i="27"/>
  <c r="R18" i="97" s="1" a="1"/>
  <c r="R18" i="97" s="1"/>
  <c r="U236" i="27"/>
  <c r="R91" i="97" s="1" a="1"/>
  <c r="R91" i="97" s="1"/>
  <c r="U237" i="27"/>
  <c r="R92" i="97" s="1" a="1"/>
  <c r="R92" i="97" s="1"/>
  <c r="U238" i="27"/>
  <c r="R93" i="97" s="1" a="1"/>
  <c r="R93" i="97" s="1"/>
  <c r="U156" i="27"/>
  <c r="R94" i="97" s="1" a="1"/>
  <c r="R94" i="97" s="1"/>
  <c r="U239" i="27"/>
  <c r="R95" i="97" s="1" a="1"/>
  <c r="R95" i="97" s="1"/>
  <c r="U240" i="27"/>
  <c r="R96" i="97" s="1" a="1"/>
  <c r="R96" i="97" s="1"/>
  <c r="U241" i="27"/>
  <c r="R97" i="97" s="1" a="1"/>
  <c r="R97" i="97" s="1"/>
  <c r="U65" i="27"/>
  <c r="R98" i="97" s="1" a="1"/>
  <c r="R98" i="97" s="1"/>
  <c r="U167" i="27"/>
  <c r="R20" i="97" s="1" a="1"/>
  <c r="R20" i="97" s="1"/>
  <c r="U139" i="27"/>
  <c r="R99" i="97" s="1" a="1"/>
  <c r="R99" i="97" s="1"/>
  <c r="U242" i="27"/>
  <c r="R100" i="97" s="1" a="1"/>
  <c r="R100" i="97" s="1"/>
  <c r="U137" i="27"/>
  <c r="R101" i="97" s="1" a="1"/>
  <c r="R101" i="97" s="1"/>
  <c r="U243" i="27"/>
  <c r="R102" i="97" s="1" a="1"/>
  <c r="R102" i="97" s="1"/>
  <c r="U244" i="27"/>
  <c r="R103" i="97" s="1" a="1"/>
  <c r="R103" i="97" s="1"/>
  <c r="U189" i="27"/>
  <c r="R104" i="97" s="1" a="1"/>
  <c r="R104" i="97" s="1"/>
  <c r="U245" i="27"/>
  <c r="R105" i="97" s="1" a="1"/>
  <c r="R105" i="97" s="1"/>
  <c r="U246" i="27"/>
  <c r="R106" i="97" s="1" a="1"/>
  <c r="R106" i="97" s="1"/>
  <c r="U221" i="27"/>
  <c r="R107" i="97" s="1" a="1"/>
  <c r="R107" i="97" s="1"/>
  <c r="U247" i="27"/>
  <c r="R108" i="97" s="1" a="1"/>
  <c r="R108" i="97" s="1"/>
  <c r="U76" i="27"/>
  <c r="R21" i="97" s="1" a="1"/>
  <c r="R21" i="97" s="1"/>
  <c r="U248" i="27"/>
  <c r="R22" i="97" s="1" a="1"/>
  <c r="R22" i="97" s="1"/>
  <c r="U19" i="27"/>
  <c r="R109" i="97" s="1" a="1"/>
  <c r="R109" i="97" s="1"/>
  <c r="U249" i="27"/>
  <c r="R23" i="97" s="1" a="1"/>
  <c r="R23" i="97" s="1"/>
  <c r="U250" i="27"/>
  <c r="R24" i="97" s="1" a="1"/>
  <c r="R24" i="97" s="1"/>
  <c r="U251" i="27"/>
  <c r="R110" i="97" s="1" a="1"/>
  <c r="R110" i="97" s="1"/>
  <c r="U144" i="27"/>
  <c r="R25" i="97" s="1" a="1"/>
  <c r="R25" i="97" s="1"/>
  <c r="U252" i="27"/>
  <c r="R26" i="97" s="1" a="1"/>
  <c r="R26" i="97" s="1"/>
  <c r="U113" i="27"/>
  <c r="R111" i="97" s="1" a="1"/>
  <c r="R111" i="97" s="1"/>
  <c r="U253" i="27"/>
  <c r="R27" i="97" s="1" a="1"/>
  <c r="R27" i="97" s="1"/>
  <c r="U178" i="27"/>
  <c r="R28" i="97" s="1" a="1"/>
  <c r="R28" i="97" s="1"/>
  <c r="U8" i="27"/>
  <c r="R256" i="97" s="1" a="1"/>
  <c r="R256" i="97" s="1"/>
  <c r="U57" i="27"/>
  <c r="R34" i="97" s="1" a="1"/>
  <c r="R34" i="97" s="1"/>
  <c r="U125" i="27"/>
  <c r="R35" i="97" s="1" a="1"/>
  <c r="R35" i="97" s="1"/>
  <c r="U94" i="27"/>
  <c r="R19" i="97" s="1" a="1"/>
  <c r="R19" i="97" s="1"/>
  <c r="U11" i="27"/>
  <c r="R266" i="97" s="1" a="1"/>
  <c r="R266" i="97" s="1"/>
  <c r="U50" i="27"/>
  <c r="R29" i="97" s="1" a="1"/>
  <c r="R29" i="97" s="1"/>
  <c r="U81" i="27"/>
  <c r="R2" i="97" s="1" a="1"/>
  <c r="R2" i="97" s="1"/>
  <c r="U147" i="27"/>
  <c r="R36" i="97" s="1" a="1"/>
  <c r="R36" i="97" s="1"/>
  <c r="U61" i="27"/>
  <c r="R37" i="97" s="1" a="1"/>
  <c r="R37" i="97" s="1"/>
  <c r="U119" i="27"/>
  <c r="R39" i="97" s="1" a="1"/>
  <c r="R39" i="97" s="1"/>
  <c r="U145" i="27"/>
  <c r="R112" i="97" s="1" a="1"/>
  <c r="R112" i="97" s="1"/>
  <c r="U254" i="27"/>
  <c r="R113" i="97" s="1" a="1"/>
  <c r="R113" i="97" s="1"/>
  <c r="U37" i="27"/>
  <c r="R114" i="97" s="1" a="1"/>
  <c r="R114" i="97" s="1"/>
  <c r="U255" i="27"/>
  <c r="R115" i="97" s="1" a="1"/>
  <c r="R115" i="97" s="1"/>
  <c r="U256" i="27"/>
  <c r="R116" i="97" s="1" a="1"/>
  <c r="R116" i="97" s="1"/>
  <c r="U85" i="27"/>
  <c r="R117" i="97" s="1" a="1"/>
  <c r="R117" i="97" s="1"/>
  <c r="U257" i="27"/>
  <c r="R118" i="97" s="1" a="1"/>
  <c r="R118" i="97" s="1"/>
  <c r="U33" i="27"/>
  <c r="R119" i="97" s="1" a="1"/>
  <c r="R119" i="97" s="1"/>
  <c r="U258" i="27"/>
  <c r="R120" i="97" s="1" a="1"/>
  <c r="R120" i="97" s="1"/>
  <c r="U259" i="27"/>
  <c r="R121" i="97" s="1" a="1"/>
  <c r="R121" i="97" s="1"/>
  <c r="U260" i="27"/>
  <c r="R122" i="97" s="1" a="1"/>
  <c r="R122" i="97" s="1"/>
  <c r="U261" i="27"/>
  <c r="R123" i="97" s="1" a="1"/>
  <c r="R123" i="97" s="1"/>
  <c r="U262" i="27"/>
  <c r="R124" i="97" s="1" a="1"/>
  <c r="R124" i="97" s="1"/>
  <c r="U263" i="27"/>
  <c r="R125" i="97" s="1" a="1"/>
  <c r="R125" i="97" s="1"/>
  <c r="U6" i="27"/>
  <c r="R198" i="97" s="1" a="1"/>
  <c r="R198" i="97" s="1"/>
  <c r="U264" i="27"/>
  <c r="R126" i="97" s="1" a="1"/>
  <c r="R126" i="97" s="1"/>
  <c r="U265" i="27"/>
  <c r="R330" i="97" s="1" a="1"/>
  <c r="R330" i="97" s="1"/>
  <c r="U266" i="27"/>
  <c r="R40" i="97" s="1" a="1"/>
  <c r="R40" i="97" s="1"/>
  <c r="U267" i="27"/>
  <c r="R127" i="97" s="1" a="1"/>
  <c r="R127" i="97" s="1"/>
  <c r="U268" i="27"/>
  <c r="R41" i="97" s="1" a="1"/>
  <c r="R41" i="97" s="1"/>
  <c r="U269" i="27"/>
  <c r="R128" i="97" s="1" a="1"/>
  <c r="R128" i="97" s="1"/>
  <c r="U195" i="27"/>
  <c r="R129" i="97" s="1" a="1"/>
  <c r="R129" i="97" s="1"/>
  <c r="U47" i="27"/>
  <c r="R130" i="97" s="1" a="1"/>
  <c r="R130" i="97" s="1"/>
  <c r="U270" i="27"/>
  <c r="R131" i="97" s="1" a="1"/>
  <c r="R131" i="97" s="1"/>
  <c r="U95" i="27"/>
  <c r="R3" i="97" s="1" a="1"/>
  <c r="R3" i="97" s="1"/>
  <c r="U121" i="27"/>
  <c r="R42" i="97" s="1" a="1"/>
  <c r="R42" i="97" s="1"/>
  <c r="U226" i="27"/>
  <c r="R13" i="97" s="1" a="1"/>
  <c r="R13" i="97" s="1"/>
  <c r="U54" i="27"/>
  <c r="R295" i="97" s="1" a="1"/>
  <c r="R295" i="97" s="1"/>
  <c r="U185" i="27"/>
  <c r="R132" i="97" s="1" a="1"/>
  <c r="R132" i="97" s="1"/>
  <c r="U200" i="27"/>
  <c r="R133" i="97" s="1" a="1"/>
  <c r="R133" i="97" s="1"/>
  <c r="U169" i="27"/>
  <c r="R134" i="97" s="1" a="1"/>
  <c r="R134" i="97" s="1"/>
  <c r="U225" i="27"/>
  <c r="R135" i="97" s="1" a="1"/>
  <c r="R135" i="97" s="1"/>
  <c r="U17" i="27"/>
  <c r="R136" i="97" s="1" a="1"/>
  <c r="R136" i="97" s="1"/>
  <c r="U87" i="27"/>
  <c r="R46" i="97" s="1" a="1"/>
  <c r="R46" i="97" s="1"/>
  <c r="U187" i="27"/>
  <c r="R137" i="97" s="1" a="1"/>
  <c r="R137" i="97" s="1"/>
  <c r="U210" i="27"/>
  <c r="R47" i="97" s="1" a="1"/>
  <c r="R47" i="97" s="1"/>
  <c r="U80" i="27"/>
  <c r="R48" i="97" s="1" a="1"/>
  <c r="R48" i="97" s="1"/>
  <c r="U146" i="27"/>
  <c r="R239" i="97" s="1" a="1"/>
  <c r="R239" i="97" s="1"/>
  <c r="U223" i="27"/>
  <c r="R138" i="97" s="1" a="1"/>
  <c r="R138" i="97" s="1"/>
  <c r="U86" i="27"/>
  <c r="R139" i="97" s="1" a="1"/>
  <c r="R139" i="97" s="1"/>
  <c r="U162" i="27"/>
  <c r="R242" i="97" s="1" a="1"/>
  <c r="R242" i="97" s="1"/>
  <c r="U27" i="27"/>
  <c r="R311" i="97" s="1" a="1"/>
  <c r="R311" i="97" s="1"/>
  <c r="U159" i="27"/>
  <c r="R140" i="97" s="1" a="1"/>
  <c r="R140" i="97" s="1"/>
  <c r="U230" i="27"/>
  <c r="R141" i="97" s="1" a="1"/>
  <c r="R141" i="97" s="1"/>
  <c r="U201" i="27"/>
  <c r="R142" i="97" s="1" a="1"/>
  <c r="R142" i="97" s="1"/>
  <c r="U190" i="27"/>
  <c r="R52" i="97" s="1" a="1"/>
  <c r="R52" i="97" s="1"/>
  <c r="U213" i="27"/>
  <c r="R53" i="97" s="1" a="1"/>
  <c r="R53" i="97" s="1"/>
  <c r="U157" i="27"/>
  <c r="R143" i="97" s="1" a="1"/>
  <c r="R143" i="97" s="1"/>
  <c r="U228" i="27"/>
  <c r="R144" i="97" s="1" a="1"/>
  <c r="R144" i="97" s="1"/>
  <c r="U229" i="27"/>
  <c r="R145" i="97" s="1" a="1"/>
  <c r="R145" i="97" s="1"/>
  <c r="U180" i="27"/>
  <c r="R54" i="97" s="1" a="1"/>
  <c r="R54" i="97" s="1"/>
  <c r="U211" i="27"/>
  <c r="R146" i="97" s="1" a="1"/>
  <c r="R146" i="97" s="1"/>
  <c r="U154" i="27"/>
  <c r="R147" i="97" s="1" a="1"/>
  <c r="R147" i="97" s="1"/>
  <c r="U176" i="27"/>
  <c r="R148" i="97" s="1" a="1"/>
  <c r="R148" i="97" s="1"/>
  <c r="U196" i="27"/>
  <c r="R149" i="97" s="1" a="1"/>
  <c r="R149" i="97" s="1"/>
  <c r="U197" i="27"/>
  <c r="R55" i="97" s="1" a="1"/>
  <c r="R55" i="97" s="1"/>
  <c r="U202" i="27"/>
  <c r="R56" i="97" s="1" a="1"/>
  <c r="R56" i="97" s="1"/>
  <c r="U51" i="27"/>
  <c r="R150" i="97" s="1" a="1"/>
  <c r="R150" i="97" s="1"/>
  <c r="U155" i="27"/>
  <c r="R151" i="97" s="1" a="1"/>
  <c r="R151" i="97" s="1"/>
  <c r="U271" i="27"/>
  <c r="R152" i="97" s="1" a="1"/>
  <c r="R152" i="97" s="1"/>
  <c r="U39" i="27"/>
  <c r="R153" i="97" s="1" a="1"/>
  <c r="R153" i="97" s="1"/>
  <c r="U82" i="27"/>
  <c r="R154" i="97" s="1" a="1"/>
  <c r="R154" i="97" s="1"/>
  <c r="U272" i="27"/>
  <c r="R155" i="97" s="1" a="1"/>
  <c r="R155" i="97" s="1"/>
  <c r="U127" i="27"/>
  <c r="R156" i="97" s="1" a="1"/>
  <c r="R156" i="97" s="1"/>
  <c r="U46" i="27"/>
  <c r="R157" i="97" s="1" a="1"/>
  <c r="R157" i="97" s="1"/>
  <c r="U209" i="27"/>
  <c r="R57" i="97" s="1" a="1"/>
  <c r="R57" i="97" s="1"/>
  <c r="U218" i="27"/>
  <c r="R158" i="97" s="1" a="1"/>
  <c r="R158" i="97" s="1"/>
  <c r="U78" i="27"/>
  <c r="R159" i="97" s="1" a="1"/>
  <c r="R159" i="97" s="1"/>
  <c r="U128" i="27"/>
  <c r="R160" i="97" s="1" a="1"/>
  <c r="R160" i="97" s="1"/>
  <c r="U116" i="27"/>
  <c r="R161" i="97" s="1" a="1"/>
  <c r="R161" i="97" s="1"/>
  <c r="U7" i="27"/>
  <c r="R162" i="97" s="1" a="1"/>
  <c r="R162" i="97" s="1"/>
  <c r="U63" i="27"/>
  <c r="R163" i="97" s="1" a="1"/>
  <c r="R163" i="97" s="1"/>
  <c r="U48" i="27"/>
  <c r="R164" i="97" s="1" a="1"/>
  <c r="R164" i="97" s="1"/>
  <c r="U273" i="27"/>
  <c r="R165" i="97" s="1" a="1"/>
  <c r="R165" i="97" s="1"/>
  <c r="U274" i="27"/>
  <c r="R166" i="97" s="1" a="1"/>
  <c r="R166" i="97" s="1"/>
  <c r="U32" i="27"/>
  <c r="R167" i="97" s="1" a="1"/>
  <c r="R167" i="97" s="1"/>
  <c r="U88" i="27"/>
  <c r="R58" i="97" s="1" a="1"/>
  <c r="R58" i="97" s="1"/>
  <c r="U44" i="27"/>
  <c r="R168" i="97" s="1" a="1"/>
  <c r="R168" i="97" s="1"/>
  <c r="U275" i="27"/>
  <c r="R169" i="97" s="1" a="1"/>
  <c r="R169" i="97" s="1"/>
  <c r="U130" i="27"/>
  <c r="R59" i="97" s="1" a="1"/>
  <c r="R59" i="97" s="1"/>
  <c r="U276" i="27"/>
  <c r="R170" i="97" s="1" a="1"/>
  <c r="R170" i="97" s="1"/>
  <c r="U277" i="27"/>
  <c r="R60" i="97" s="1" a="1"/>
  <c r="R60" i="97" s="1"/>
  <c r="U278" i="27"/>
  <c r="R331" i="97" s="1" a="1"/>
  <c r="R331" i="97" s="1"/>
  <c r="U279" i="27"/>
  <c r="R171" i="97" s="1" a="1"/>
  <c r="R171" i="97" s="1"/>
  <c r="U280" i="27"/>
  <c r="R172" i="97" s="1" a="1"/>
  <c r="R172" i="97" s="1"/>
  <c r="U281" i="27"/>
  <c r="R173" i="97" s="1" a="1"/>
  <c r="R173" i="97" s="1"/>
  <c r="U282" i="27"/>
  <c r="R174" i="97" s="1" a="1"/>
  <c r="R174" i="97" s="1"/>
  <c r="U283" i="27"/>
  <c r="R61" i="97" s="1" a="1"/>
  <c r="R61" i="97" s="1"/>
  <c r="U26" i="27"/>
  <c r="R332" i="97" s="1" a="1"/>
  <c r="R332" i="97" s="1"/>
  <c r="U284" i="27"/>
  <c r="R175" i="97" s="1" a="1"/>
  <c r="R175" i="97" s="1"/>
  <c r="U285" i="27"/>
  <c r="R176" i="97" s="1" a="1"/>
  <c r="R176" i="97" s="1"/>
  <c r="U286" i="27"/>
  <c r="R177" i="97" s="1" a="1"/>
  <c r="R177" i="97" s="1"/>
  <c r="U287" i="27"/>
  <c r="R178" i="97" s="1" a="1"/>
  <c r="R178" i="97" s="1"/>
  <c r="U143" i="27"/>
  <c r="R179" i="97" s="1" a="1"/>
  <c r="R179" i="97" s="1"/>
  <c r="U203" i="27"/>
  <c r="R180" i="97" s="1" a="1"/>
  <c r="R180" i="97" s="1"/>
  <c r="U288" i="27"/>
  <c r="R333" i="97" s="1" a="1"/>
  <c r="R333" i="97" s="1"/>
  <c r="U104" i="27"/>
  <c r="R181" i="97" s="1" a="1"/>
  <c r="R181" i="97" s="1"/>
  <c r="U138" i="27"/>
  <c r="R182" i="97" s="1" a="1"/>
  <c r="R182" i="97" s="1"/>
  <c r="U148" i="27"/>
  <c r="R183" i="97" s="1" a="1"/>
  <c r="R183" i="97" s="1"/>
  <c r="U224" i="27"/>
  <c r="R184" i="97" s="1" a="1"/>
  <c r="R184" i="97" s="1"/>
  <c r="U66" i="27"/>
  <c r="R14" i="97" s="1" a="1"/>
  <c r="R14" i="97" s="1"/>
  <c r="U170" i="27"/>
  <c r="R185" i="97" s="1" a="1"/>
  <c r="R185" i="97" s="1"/>
  <c r="U23" i="27"/>
  <c r="R186" i="97" s="1" a="1"/>
  <c r="R186" i="97" s="1"/>
  <c r="U93" i="27"/>
  <c r="R312" i="97" s="1" a="1"/>
  <c r="R312" i="97" s="1"/>
  <c r="U150" i="27"/>
  <c r="R187" i="97" s="1" a="1"/>
  <c r="R187" i="97" s="1"/>
  <c r="U110" i="27"/>
  <c r="R188" i="97" s="1" a="1"/>
  <c r="R188" i="97" s="1"/>
  <c r="U91" i="27"/>
  <c r="R189" i="97" s="1" a="1"/>
  <c r="R189" i="97" s="1"/>
  <c r="U52" i="27"/>
  <c r="R190" i="97" s="1" a="1"/>
  <c r="R190" i="97" s="1"/>
  <c r="U101" i="27"/>
  <c r="R191" i="97" s="1" a="1"/>
  <c r="R191" i="97" s="1"/>
  <c r="U16" i="27"/>
  <c r="R192" i="97" s="1" a="1"/>
  <c r="R192" i="97" s="1"/>
  <c r="U40" i="27"/>
  <c r="R193" i="97" s="1" a="1"/>
  <c r="R193" i="97" s="1"/>
  <c r="U35" i="27"/>
  <c r="R38" i="97" s="1" a="1"/>
  <c r="R38" i="97" s="1"/>
  <c r="U289" i="27"/>
  <c r="R194" i="97" s="1" a="1"/>
  <c r="R194" i="97" s="1"/>
  <c r="U140" i="27"/>
  <c r="R195" i="97" s="1" a="1"/>
  <c r="R195" i="97" s="1"/>
  <c r="U41" i="27"/>
  <c r="R247" i="97" s="1" a="1"/>
  <c r="R247" i="97" s="1"/>
  <c r="U151" i="27"/>
  <c r="R65" i="97" s="1" a="1"/>
  <c r="R65" i="97" s="1"/>
  <c r="U290" i="27"/>
  <c r="R334" i="97" s="1" a="1"/>
  <c r="R334" i="97" s="1"/>
  <c r="U122" i="27"/>
  <c r="R197" i="97" s="1" a="1"/>
  <c r="R197" i="97" s="1"/>
  <c r="U9" i="27"/>
  <c r="R315" i="97" s="1" a="1"/>
  <c r="R315" i="97" s="1"/>
  <c r="U43" i="27"/>
  <c r="R199" i="97" s="1" a="1"/>
  <c r="R199" i="97" s="1"/>
  <c r="U291" i="27"/>
  <c r="R200" i="97" s="1" a="1"/>
  <c r="R200" i="97" s="1"/>
  <c r="U152" i="27"/>
  <c r="R201" i="97" s="1" a="1"/>
  <c r="R201" i="97" s="1"/>
  <c r="U175" i="27"/>
  <c r="R202" i="97" s="1" a="1"/>
  <c r="R202" i="97" s="1"/>
  <c r="U74" i="27"/>
  <c r="R203" i="97" s="1" a="1"/>
  <c r="R203" i="97" s="1"/>
  <c r="U153" i="27"/>
  <c r="R204" i="97" s="1" a="1"/>
  <c r="R204" i="97" s="1"/>
  <c r="U149" i="27"/>
  <c r="R205" i="97" s="1" a="1"/>
  <c r="R205" i="97" s="1"/>
  <c r="U90" i="27"/>
  <c r="R206" i="97" s="1" a="1"/>
  <c r="R206" i="97" s="1"/>
  <c r="U96" i="27"/>
  <c r="R207" i="97" s="1" a="1"/>
  <c r="R207" i="97" s="1"/>
  <c r="U12" i="27"/>
  <c r="R208" i="97" s="1" a="1"/>
  <c r="R208" i="97" s="1"/>
  <c r="U69" i="27"/>
  <c r="R209" i="97" s="1" a="1"/>
  <c r="R209" i="97" s="1"/>
  <c r="U171" i="27"/>
  <c r="R210" i="97" s="1" a="1"/>
  <c r="R210" i="97" s="1"/>
  <c r="U186" i="27"/>
  <c r="R211" i="97" s="1" a="1"/>
  <c r="R211" i="97" s="1"/>
  <c r="U174" i="27"/>
  <c r="R66" i="97" s="1" a="1"/>
  <c r="R66" i="97" s="1"/>
  <c r="U198" i="27"/>
  <c r="R212" i="97" s="1" a="1"/>
  <c r="R212" i="97" s="1"/>
  <c r="U292" i="27"/>
  <c r="R213" i="97" s="1" a="1"/>
  <c r="R213" i="97" s="1"/>
  <c r="U131" i="27"/>
  <c r="R214" i="97" s="1" a="1"/>
  <c r="R214" i="97" s="1"/>
  <c r="U53" i="27"/>
  <c r="R215" i="97" s="1" a="1"/>
  <c r="R215" i="97" s="1"/>
  <c r="U56" i="27"/>
  <c r="R216" i="97" s="1" a="1"/>
  <c r="R216" i="97" s="1"/>
  <c r="U293" i="27"/>
  <c r="R217" i="97" s="1" a="1"/>
  <c r="R217" i="97" s="1"/>
  <c r="U294" i="27"/>
  <c r="R218" i="97" s="1" a="1"/>
  <c r="R218" i="97" s="1"/>
  <c r="U295" i="27"/>
  <c r="R219" i="97" s="1" a="1"/>
  <c r="R219" i="97" s="1"/>
  <c r="U296" i="27"/>
  <c r="R220" i="97" s="1" a="1"/>
  <c r="R220" i="97" s="1"/>
  <c r="U177" i="27"/>
  <c r="R221" i="97" s="1" a="1"/>
  <c r="R221" i="97" s="1"/>
  <c r="U92" i="27"/>
  <c r="R222" i="97" s="1" a="1"/>
  <c r="R222" i="97" s="1"/>
  <c r="U219" i="27"/>
  <c r="R335" i="97" s="1" a="1"/>
  <c r="R335" i="97" s="1"/>
  <c r="U297" i="27"/>
  <c r="R223" i="97" s="1" a="1"/>
  <c r="R223" i="97" s="1"/>
  <c r="U31" i="27"/>
  <c r="R224" i="97" s="1" a="1"/>
  <c r="R224" i="97" s="1"/>
  <c r="U77" i="27"/>
  <c r="R225" i="97" s="1" a="1"/>
  <c r="R225" i="97" s="1"/>
  <c r="U298" i="27"/>
  <c r="R226" i="97" s="1" a="1"/>
  <c r="R226" i="97" s="1"/>
  <c r="U299" i="27"/>
  <c r="R227" i="97" s="1" a="1"/>
  <c r="R227" i="97" s="1"/>
  <c r="U183" i="27"/>
  <c r="R228" i="97" s="1" a="1"/>
  <c r="R228" i="97" s="1"/>
  <c r="U98" i="27"/>
  <c r="R229" i="97" s="1" a="1"/>
  <c r="R229" i="97" s="1"/>
  <c r="U30" i="27"/>
  <c r="R230" i="97" s="1" a="1"/>
  <c r="R230" i="97" s="1"/>
  <c r="U300" i="27"/>
  <c r="R67" i="97" s="1" a="1"/>
  <c r="R67" i="97" s="1"/>
  <c r="U301" i="27"/>
  <c r="R231" i="97" s="1" a="1"/>
  <c r="R231" i="97" s="1"/>
  <c r="U302" i="27"/>
  <c r="R232" i="97" s="1" a="1"/>
  <c r="R232" i="97" s="1"/>
  <c r="U207" i="27"/>
  <c r="R233" i="97" s="1" a="1"/>
  <c r="R233" i="97" s="1"/>
  <c r="U303" i="27"/>
  <c r="R234" i="97" s="1" a="1"/>
  <c r="R234" i="97" s="1"/>
  <c r="U71" i="27"/>
  <c r="R235" i="97" s="1" a="1"/>
  <c r="R235" i="97" s="1"/>
  <c r="U182" i="27"/>
  <c r="R236" i="97" s="1" a="1"/>
  <c r="R236" i="97" s="1"/>
  <c r="U304" i="27"/>
  <c r="R237" i="97" s="1" a="1"/>
  <c r="R237" i="97" s="1"/>
  <c r="U129" i="27"/>
  <c r="R68" i="97" s="1" a="1"/>
  <c r="R68" i="97" s="1"/>
  <c r="U160" i="27"/>
  <c r="R238" i="97" s="1" a="1"/>
  <c r="R238" i="97" s="1"/>
  <c r="U25" i="27"/>
  <c r="R318" i="97" s="1" a="1"/>
  <c r="R318" i="97" s="1"/>
  <c r="U194" i="27"/>
  <c r="R240" i="97" s="1" a="1"/>
  <c r="R240" i="97" s="1"/>
  <c r="U179" i="27"/>
  <c r="R241" i="97" s="1" a="1"/>
  <c r="R241" i="97" s="1"/>
  <c r="U103" i="27"/>
  <c r="R43" i="97" s="1" a="1"/>
  <c r="R43" i="97" s="1"/>
  <c r="U227" i="27"/>
  <c r="R243" i="97" s="1" a="1"/>
  <c r="R243" i="97" s="1"/>
  <c r="U192" i="27"/>
  <c r="R244" i="97" s="1" a="1"/>
  <c r="R244" i="97" s="1"/>
  <c r="U220" i="27"/>
  <c r="R245" i="97" s="1" a="1"/>
  <c r="R245" i="97" s="1"/>
  <c r="U107" i="27"/>
  <c r="R69" i="97" s="1" a="1"/>
  <c r="R69" i="97" s="1"/>
  <c r="U100" i="27"/>
  <c r="R246" i="97" s="1" a="1"/>
  <c r="R246" i="97" s="1"/>
  <c r="U18" i="27"/>
  <c r="R319" i="97" s="1" a="1"/>
  <c r="R319" i="97" s="1"/>
  <c r="U89" i="27"/>
  <c r="R320" i="97" s="1" a="1"/>
  <c r="R320" i="97" s="1"/>
  <c r="U305" i="27"/>
  <c r="R249" i="97" s="1" a="1"/>
  <c r="R249" i="97" s="1"/>
  <c r="U306" i="27"/>
  <c r="R70" i="97" s="1" a="1"/>
  <c r="R70" i="97" s="1"/>
  <c r="U97" i="27"/>
  <c r="R250" i="97" s="1" a="1"/>
  <c r="R250" i="97" s="1"/>
  <c r="U62" i="27"/>
  <c r="R322" i="97" s="1" a="1"/>
  <c r="R322" i="97" s="1"/>
  <c r="U307" i="27"/>
  <c r="R252" i="97" s="1" a="1"/>
  <c r="R252" i="97" s="1"/>
  <c r="U308" i="27"/>
  <c r="R253" i="97" s="1" a="1"/>
  <c r="R253" i="97" s="1"/>
  <c r="U132" i="27"/>
  <c r="R254" i="97" s="1" a="1"/>
  <c r="R254" i="97" s="1"/>
  <c r="U309" i="27"/>
  <c r="R255" i="97" s="1" a="1"/>
  <c r="R255" i="97" s="1"/>
  <c r="U111" i="27"/>
  <c r="R44" i="97" s="1" a="1"/>
  <c r="R44" i="97" s="1"/>
  <c r="U133" i="27"/>
  <c r="R257" i="97" s="1" a="1"/>
  <c r="R257" i="97" s="1"/>
  <c r="U120" i="27"/>
  <c r="R336" i="97" s="1" a="1"/>
  <c r="R336" i="97" s="1"/>
  <c r="U310" i="27"/>
  <c r="R258" i="97" s="1" a="1"/>
  <c r="R258" i="97" s="1"/>
  <c r="U311" i="27"/>
  <c r="R259" i="97" s="1" a="1"/>
  <c r="R259" i="97" s="1"/>
  <c r="U72" i="27"/>
  <c r="R260" i="97" s="1" a="1"/>
  <c r="R260" i="97" s="1"/>
  <c r="U168" i="27"/>
  <c r="R261" i="97" s="1" a="1"/>
  <c r="R261" i="97" s="1"/>
  <c r="U191" i="27"/>
  <c r="R262" i="97" s="1" a="1"/>
  <c r="R262" i="97" s="1"/>
  <c r="U312" i="27"/>
  <c r="R263" i="97" s="1" a="1"/>
  <c r="R263" i="97" s="1"/>
  <c r="U313" i="27"/>
  <c r="R264" i="97" s="1" a="1"/>
  <c r="R264" i="97" s="1"/>
  <c r="U158" i="27"/>
  <c r="R265" i="97" s="1" a="1"/>
  <c r="R265" i="97" s="1"/>
  <c r="U75" i="27"/>
  <c r="R45" i="97" s="1" a="1"/>
  <c r="R45" i="97" s="1"/>
  <c r="U314" i="27"/>
  <c r="R267" i="97" s="1" a="1"/>
  <c r="R267" i="97" s="1"/>
  <c r="U212" i="27"/>
  <c r="R268" i="97" s="1" a="1"/>
  <c r="R268" i="97" s="1"/>
  <c r="U22" i="27"/>
  <c r="R269" i="97" s="1" a="1"/>
  <c r="R269" i="97" s="1"/>
  <c r="U315" i="27"/>
  <c r="R270" i="97" s="1" a="1"/>
  <c r="R270" i="97" s="1"/>
  <c r="U316" i="27"/>
  <c r="R271" i="97" s="1" a="1"/>
  <c r="R271" i="97" s="1"/>
  <c r="U317" i="27"/>
  <c r="R272" i="97" s="1" a="1"/>
  <c r="R272" i="97" s="1"/>
  <c r="U117" i="27"/>
  <c r="R273" i="97" s="1" a="1"/>
  <c r="R273" i="97" s="1"/>
  <c r="U318" i="27"/>
  <c r="R274" i="97" s="1" a="1"/>
  <c r="R274" i="97" s="1"/>
  <c r="U319" i="27"/>
  <c r="R275" i="97" s="1" a="1"/>
  <c r="R275" i="97" s="1"/>
  <c r="U320" i="27"/>
  <c r="R276" i="97" s="1" a="1"/>
  <c r="R276" i="97" s="1"/>
  <c r="U321" i="27"/>
  <c r="R277" i="97" s="1" a="1"/>
  <c r="R277" i="97" s="1"/>
  <c r="U217" i="27"/>
  <c r="R278" i="97" s="1" a="1"/>
  <c r="R278" i="97" s="1"/>
  <c r="U322" i="27"/>
  <c r="R279" i="97" s="1" a="1"/>
  <c r="R279" i="97" s="1"/>
  <c r="U164" i="27"/>
  <c r="R280" i="97" s="1" a="1"/>
  <c r="R280" i="97" s="1"/>
  <c r="U172" i="27"/>
  <c r="R281" i="97" s="1" a="1"/>
  <c r="R281" i="97" s="1"/>
  <c r="U323" i="27"/>
  <c r="R282" i="97" s="1" a="1"/>
  <c r="R282" i="97" s="1"/>
  <c r="U324" i="27"/>
  <c r="R283" i="97" s="1" a="1"/>
  <c r="R283" i="97" s="1"/>
  <c r="U208" i="27"/>
  <c r="R284" i="97" s="1" a="1"/>
  <c r="R284" i="97" s="1"/>
  <c r="U325" i="27"/>
  <c r="R285" i="97" s="1" a="1"/>
  <c r="R285" i="97" s="1"/>
  <c r="U326" i="27"/>
  <c r="R286" i="97" s="1" a="1"/>
  <c r="R286" i="97" s="1"/>
  <c r="U206" i="27"/>
  <c r="R287" i="97" s="1" a="1"/>
  <c r="R287" i="97" s="1"/>
  <c r="U327" i="27"/>
  <c r="R288" i="97" s="1" a="1"/>
  <c r="R288" i="97" s="1"/>
  <c r="U328" i="27"/>
  <c r="R289" i="97" s="1" a="1"/>
  <c r="R289" i="97" s="1"/>
  <c r="U193" i="27"/>
  <c r="R290" i="97" s="1" a="1"/>
  <c r="R290" i="97" s="1"/>
  <c r="U329" i="27"/>
  <c r="R291" i="97" s="1" a="1"/>
  <c r="R291" i="97" s="1"/>
  <c r="U163" i="27"/>
  <c r="R292" i="97" s="1" a="1"/>
  <c r="R292" i="97" s="1"/>
  <c r="U106" i="27"/>
  <c r="R293" i="97" s="1" a="1"/>
  <c r="R293" i="97" s="1"/>
  <c r="U330" i="27"/>
  <c r="R294" i="97" s="1" a="1"/>
  <c r="R294" i="97" s="1"/>
  <c r="U42" i="27"/>
  <c r="R248" i="97" s="1" a="1"/>
  <c r="R248" i="97" s="1"/>
  <c r="U331" i="27"/>
  <c r="R296" i="97" s="1" a="1"/>
  <c r="R296" i="97" s="1"/>
  <c r="U332" i="27"/>
  <c r="R297" i="97" s="1" a="1"/>
  <c r="R297" i="97" s="1"/>
  <c r="U84" i="27"/>
  <c r="R298" i="97" s="1" a="1"/>
  <c r="R298" i="97" s="1"/>
  <c r="U333" i="27"/>
  <c r="R299" i="97" s="1" a="1"/>
  <c r="R299" i="97" s="1"/>
  <c r="U102" i="27"/>
  <c r="R300" i="97" s="1" a="1"/>
  <c r="R300" i="97" s="1"/>
  <c r="U181" i="27"/>
  <c r="R301" i="97" s="1" a="1"/>
  <c r="R301" i="97" s="1"/>
  <c r="U214" i="27"/>
  <c r="R302" i="97" s="1" a="1"/>
  <c r="R302" i="97" s="1"/>
  <c r="U334" i="27"/>
  <c r="R303" i="97" s="1" a="1"/>
  <c r="R303" i="97" s="1"/>
  <c r="U99" i="27"/>
  <c r="R304" i="97" s="1" a="1"/>
  <c r="R304" i="97" s="1"/>
  <c r="U335" i="27"/>
  <c r="R305" i="97" s="1" a="1"/>
  <c r="R305" i="97" s="1"/>
  <c r="U336" i="27"/>
  <c r="R306" i="97" s="1" a="1"/>
  <c r="R306" i="97" s="1"/>
  <c r="U188" i="27"/>
  <c r="R307" i="97" s="1" a="1"/>
  <c r="R307" i="97" s="1"/>
  <c r="U173" i="27"/>
  <c r="R308" i="97" s="1" a="1"/>
  <c r="R308" i="97" s="1"/>
  <c r="U337" i="27"/>
  <c r="R71" i="97" s="1" a="1"/>
  <c r="R71" i="97" s="1"/>
  <c r="U205" i="27"/>
  <c r="R72" i="97" s="1" a="1"/>
  <c r="R72" i="97" s="1"/>
  <c r="U38" i="27"/>
  <c r="R309" i="97" s="1" a="1"/>
  <c r="R309" i="97" s="1"/>
  <c r="U15" i="27"/>
  <c r="R310" i="97" s="1" a="1"/>
  <c r="R310" i="97" s="1"/>
  <c r="U114" i="27"/>
  <c r="R49" i="97" s="1" a="1"/>
  <c r="R49" i="97" s="1"/>
  <c r="U45" i="27"/>
  <c r="R50" i="97" s="1" a="1"/>
  <c r="R50" i="97" s="1"/>
  <c r="U136" i="27"/>
  <c r="R313" i="97" s="1" a="1"/>
  <c r="R313" i="97" s="1"/>
  <c r="U29" i="27"/>
  <c r="R314" i="97" s="1" a="1"/>
  <c r="R314" i="97" s="1"/>
  <c r="U115" i="27"/>
  <c r="R16" i="97" s="1" a="1"/>
  <c r="R16" i="97" s="1"/>
  <c r="U55" i="27"/>
  <c r="R316" i="97" s="1" a="1"/>
  <c r="R316" i="97" s="1"/>
  <c r="U28" i="27"/>
  <c r="R317" i="97" s="1" a="1"/>
  <c r="R317" i="97" s="1"/>
  <c r="U49" i="27"/>
  <c r="R51" i="97" s="1" a="1"/>
  <c r="R51" i="97" s="1"/>
  <c r="U20" i="27"/>
  <c r="R62" i="97" s="1" a="1"/>
  <c r="R62" i="97" s="1"/>
  <c r="U5" i="27"/>
  <c r="R323" i="97" s="1" a="1"/>
  <c r="R323" i="97" s="1"/>
  <c r="U68" i="27"/>
  <c r="R321" i="97" s="1" a="1"/>
  <c r="R321" i="97" s="1"/>
  <c r="U58" i="27"/>
  <c r="R63" i="97" s="1" a="1"/>
  <c r="R63" i="97" s="1"/>
  <c r="U59" i="27"/>
  <c r="R64" i="97" s="1" a="1"/>
  <c r="R64" i="97" s="1"/>
  <c r="U13" i="27"/>
  <c r="R324" i="97" s="1" a="1"/>
  <c r="R324" i="97" s="1"/>
  <c r="U67" i="27"/>
  <c r="R325" i="97" s="1" a="1"/>
  <c r="R325" i="97" s="1"/>
  <c r="U123" i="27"/>
  <c r="R326" i="97" s="1" a="1"/>
  <c r="R326" i="97" s="1"/>
  <c r="U338" i="27"/>
  <c r="R327" i="97" s="1" a="1"/>
  <c r="R327" i="97" s="1"/>
  <c r="U109" i="27"/>
  <c r="R328" i="97" s="1" a="1"/>
  <c r="R328" i="97" s="1"/>
  <c r="U14" i="27"/>
  <c r="R329" i="97" s="1" a="1"/>
  <c r="R329" i="97" s="1"/>
  <c r="V204" i="27"/>
  <c r="S6" i="97" s="1" a="1"/>
  <c r="S6" i="97" s="1"/>
  <c r="V232" i="27"/>
  <c r="S7" i="97" s="1" a="1"/>
  <c r="S7" i="97" s="1"/>
  <c r="V222" i="27"/>
  <c r="S8" i="97" s="1" a="1"/>
  <c r="S8" i="97" s="1"/>
  <c r="V231" i="27"/>
  <c r="S9" i="97" s="1" a="1"/>
  <c r="S9" i="97" s="1"/>
  <c r="V36" i="27"/>
  <c r="S73" i="97" s="1" a="1"/>
  <c r="S73" i="97" s="1"/>
  <c r="V124" i="27"/>
  <c r="S74" i="97" s="1" a="1"/>
  <c r="S74" i="97" s="1"/>
  <c r="V105" i="27"/>
  <c r="S75" i="97" s="1" a="1"/>
  <c r="S75" i="97" s="1"/>
  <c r="V233" i="27"/>
  <c r="S76" i="97" s="1" a="1"/>
  <c r="S76" i="97" s="1"/>
  <c r="V135" i="27"/>
  <c r="S77" i="97" s="1" a="1"/>
  <c r="S77" i="97" s="1"/>
  <c r="V161" i="27"/>
  <c r="S78" i="97" s="1" a="1"/>
  <c r="S78" i="97" s="1"/>
  <c r="V165" i="27"/>
  <c r="S79" i="97" s="1" a="1"/>
  <c r="S79" i="97" s="1"/>
  <c r="V24" i="27"/>
  <c r="S80" i="97" s="1" a="1"/>
  <c r="S80" i="97" s="1"/>
  <c r="V166" i="27"/>
  <c r="S81" i="97" s="1" a="1"/>
  <c r="S81" i="97" s="1"/>
  <c r="V142" i="27"/>
  <c r="S196" i="97" s="1" a="1"/>
  <c r="S196" i="97" s="1"/>
  <c r="V234" i="27"/>
  <c r="S82" i="97" s="1" a="1"/>
  <c r="S82" i="97" s="1"/>
  <c r="V118" i="27"/>
  <c r="S83" i="97" s="1" a="1"/>
  <c r="S83" i="97" s="1"/>
  <c r="V83" i="27"/>
  <c r="S84" i="97" s="1" a="1"/>
  <c r="S84" i="97" s="1"/>
  <c r="V112" i="27"/>
  <c r="S11" i="97" s="1" a="1"/>
  <c r="S11" i="97" s="1"/>
  <c r="V79" i="27"/>
  <c r="S85" i="97" s="1" a="1"/>
  <c r="S85" i="97" s="1"/>
  <c r="V235" i="27"/>
  <c r="S86" i="97" s="1" a="1"/>
  <c r="S86" i="97" s="1"/>
  <c r="V216" i="27"/>
  <c r="S87" i="97" s="1" a="1"/>
  <c r="S87" i="97" s="1"/>
  <c r="V10" i="27"/>
  <c r="S88" i="97" s="1" a="1"/>
  <c r="S88" i="97" s="1"/>
  <c r="V34" i="27"/>
  <c r="S89" i="97" s="1" a="1"/>
  <c r="S89" i="97" s="1"/>
  <c r="V215" i="27"/>
  <c r="S12" i="97" s="1" a="1"/>
  <c r="S12" i="97" s="1"/>
  <c r="V141" i="27"/>
  <c r="S90" i="97" s="1" a="1"/>
  <c r="S90" i="97" s="1"/>
  <c r="V70" i="27"/>
  <c r="S30" i="97" s="1" a="1"/>
  <c r="S30" i="97" s="1"/>
  <c r="V73" i="27"/>
  <c r="S10" i="97" s="1" a="1"/>
  <c r="S10" i="97" s="1"/>
  <c r="V134" i="27"/>
  <c r="S15" i="97" s="1" a="1"/>
  <c r="S15" i="97" s="1"/>
  <c r="V64" i="27"/>
  <c r="S31" i="97" s="1" a="1"/>
  <c r="S31" i="97" s="1"/>
  <c r="V126" i="27"/>
  <c r="S32" i="97" s="1" a="1"/>
  <c r="S32" i="97" s="1"/>
  <c r="V108" i="27"/>
  <c r="S33" i="97" s="1" a="1"/>
  <c r="S33" i="97" s="1"/>
  <c r="V21" i="27"/>
  <c r="S18" i="97" s="1" a="1"/>
  <c r="S18" i="97" s="1"/>
  <c r="V236" i="27"/>
  <c r="S91" i="97" s="1" a="1"/>
  <c r="S91" i="97" s="1"/>
  <c r="V237" i="27"/>
  <c r="S92" i="97" s="1" a="1"/>
  <c r="S92" i="97" s="1"/>
  <c r="V238" i="27"/>
  <c r="S93" i="97" s="1" a="1"/>
  <c r="S93" i="97" s="1"/>
  <c r="V156" i="27"/>
  <c r="S94" i="97" s="1" a="1"/>
  <c r="S94" i="97" s="1"/>
  <c r="V239" i="27"/>
  <c r="S95" i="97" s="1" a="1"/>
  <c r="S95" i="97" s="1"/>
  <c r="V240" i="27"/>
  <c r="S96" i="97" s="1" a="1"/>
  <c r="S96" i="97" s="1"/>
  <c r="V241" i="27"/>
  <c r="S97" i="97" s="1" a="1"/>
  <c r="S97" i="97" s="1"/>
  <c r="V65" i="27"/>
  <c r="S98" i="97" s="1" a="1"/>
  <c r="S98" i="97" s="1"/>
  <c r="V167" i="27"/>
  <c r="S20" i="97" s="1" a="1"/>
  <c r="S20" i="97" s="1"/>
  <c r="V139" i="27"/>
  <c r="S99" i="97" s="1" a="1"/>
  <c r="S99" i="97" s="1"/>
  <c r="V242" i="27"/>
  <c r="S100" i="97" s="1" a="1"/>
  <c r="S100" i="97" s="1"/>
  <c r="V137" i="27"/>
  <c r="S101" i="97" s="1" a="1"/>
  <c r="S101" i="97" s="1"/>
  <c r="V243" i="27"/>
  <c r="S102" i="97" s="1" a="1"/>
  <c r="S102" i="97" s="1"/>
  <c r="V244" i="27"/>
  <c r="S103" i="97" s="1" a="1"/>
  <c r="S103" i="97" s="1"/>
  <c r="V189" i="27"/>
  <c r="S104" i="97" s="1" a="1"/>
  <c r="S104" i="97" s="1"/>
  <c r="V245" i="27"/>
  <c r="S105" i="97" s="1" a="1"/>
  <c r="S105" i="97" s="1"/>
  <c r="V246" i="27"/>
  <c r="S106" i="97" s="1" a="1"/>
  <c r="S106" i="97" s="1"/>
  <c r="V221" i="27"/>
  <c r="S107" i="97" s="1" a="1"/>
  <c r="S107" i="97" s="1"/>
  <c r="V247" i="27"/>
  <c r="S108" i="97" s="1" a="1"/>
  <c r="S108" i="97" s="1"/>
  <c r="V76" i="27"/>
  <c r="S21" i="97" s="1" a="1"/>
  <c r="S21" i="97" s="1"/>
  <c r="V248" i="27"/>
  <c r="S22" i="97" s="1" a="1"/>
  <c r="S22" i="97" s="1"/>
  <c r="V19" i="27"/>
  <c r="S109" i="97" s="1" a="1"/>
  <c r="S109" i="97" s="1"/>
  <c r="V249" i="27"/>
  <c r="S23" i="97" s="1" a="1"/>
  <c r="S23" i="97" s="1"/>
  <c r="V250" i="27"/>
  <c r="S24" i="97" s="1" a="1"/>
  <c r="S24" i="97" s="1"/>
  <c r="V251" i="27"/>
  <c r="S110" i="97" s="1" a="1"/>
  <c r="S110" i="97" s="1"/>
  <c r="V144" i="27"/>
  <c r="S25" i="97" s="1" a="1"/>
  <c r="S25" i="97" s="1"/>
  <c r="V252" i="27"/>
  <c r="S26" i="97" s="1" a="1"/>
  <c r="S26" i="97" s="1"/>
  <c r="V113" i="27"/>
  <c r="S111" i="97" s="1" a="1"/>
  <c r="S111" i="97" s="1"/>
  <c r="V253" i="27"/>
  <c r="S27" i="97" s="1" a="1"/>
  <c r="S27" i="97" s="1"/>
  <c r="V178" i="27"/>
  <c r="S28" i="97" s="1" a="1"/>
  <c r="S28" i="97" s="1"/>
  <c r="V8" i="27"/>
  <c r="S256" i="97" s="1" a="1"/>
  <c r="S256" i="97" s="1"/>
  <c r="V57" i="27"/>
  <c r="S34" i="97" s="1" a="1"/>
  <c r="S34" i="97" s="1"/>
  <c r="V125" i="27"/>
  <c r="S35" i="97" s="1" a="1"/>
  <c r="S35" i="97" s="1"/>
  <c r="V94" i="27"/>
  <c r="S19" i="97" s="1" a="1"/>
  <c r="S19" i="97" s="1"/>
  <c r="V11" i="27"/>
  <c r="S266" i="97" s="1" a="1"/>
  <c r="S266" i="97" s="1"/>
  <c r="V50" i="27"/>
  <c r="S29" i="97" s="1" a="1"/>
  <c r="S29" i="97" s="1"/>
  <c r="V81" i="27"/>
  <c r="S2" i="97" s="1" a="1"/>
  <c r="S2" i="97" s="1"/>
  <c r="V147" i="27"/>
  <c r="S36" i="97" s="1" a="1"/>
  <c r="S36" i="97" s="1"/>
  <c r="V61" i="27"/>
  <c r="S37" i="97" s="1" a="1"/>
  <c r="S37" i="97" s="1"/>
  <c r="V119" i="27"/>
  <c r="S39" i="97" s="1" a="1"/>
  <c r="S39" i="97" s="1"/>
  <c r="V145" i="27"/>
  <c r="S112" i="97" s="1" a="1"/>
  <c r="S112" i="97" s="1"/>
  <c r="V254" i="27"/>
  <c r="S113" i="97" s="1" a="1"/>
  <c r="S113" i="97" s="1"/>
  <c r="V37" i="27"/>
  <c r="S114" i="97" s="1" a="1"/>
  <c r="S114" i="97" s="1"/>
  <c r="V255" i="27"/>
  <c r="S115" i="97" s="1" a="1"/>
  <c r="S115" i="97" s="1"/>
  <c r="V256" i="27"/>
  <c r="S116" i="97" s="1" a="1"/>
  <c r="S116" i="97" s="1"/>
  <c r="V85" i="27"/>
  <c r="S117" i="97" s="1" a="1"/>
  <c r="S117" i="97" s="1"/>
  <c r="V257" i="27"/>
  <c r="S118" i="97" s="1" a="1"/>
  <c r="S118" i="97" s="1"/>
  <c r="V33" i="27"/>
  <c r="S119" i="97" s="1" a="1"/>
  <c r="S119" i="97" s="1"/>
  <c r="V258" i="27"/>
  <c r="S120" i="97" s="1" a="1"/>
  <c r="S120" i="97" s="1"/>
  <c r="V259" i="27"/>
  <c r="S121" i="97" s="1" a="1"/>
  <c r="S121" i="97" s="1"/>
  <c r="V260" i="27"/>
  <c r="S122" i="97" s="1" a="1"/>
  <c r="S122" i="97" s="1"/>
  <c r="V261" i="27"/>
  <c r="S123" i="97" s="1" a="1"/>
  <c r="S123" i="97" s="1"/>
  <c r="V262" i="27"/>
  <c r="S124" i="97" s="1" a="1"/>
  <c r="S124" i="97" s="1"/>
  <c r="V263" i="27"/>
  <c r="S125" i="97" s="1" a="1"/>
  <c r="S125" i="97" s="1"/>
  <c r="V6" i="27"/>
  <c r="S198" i="97" s="1" a="1"/>
  <c r="S198" i="97" s="1"/>
  <c r="V264" i="27"/>
  <c r="S126" i="97" s="1" a="1"/>
  <c r="S126" i="97" s="1"/>
  <c r="V265" i="27"/>
  <c r="S330" i="97" s="1" a="1"/>
  <c r="S330" i="97" s="1"/>
  <c r="V266" i="27"/>
  <c r="S40" i="97" s="1" a="1"/>
  <c r="S40" i="97" s="1"/>
  <c r="V267" i="27"/>
  <c r="S127" i="97" s="1" a="1"/>
  <c r="S127" i="97" s="1"/>
  <c r="V268" i="27"/>
  <c r="S41" i="97" s="1" a="1"/>
  <c r="S41" i="97" s="1"/>
  <c r="V269" i="27"/>
  <c r="S128" i="97" s="1" a="1"/>
  <c r="S128" i="97" s="1"/>
  <c r="V195" i="27"/>
  <c r="S129" i="97" s="1" a="1"/>
  <c r="S129" i="97" s="1"/>
  <c r="V47" i="27"/>
  <c r="S130" i="97" s="1" a="1"/>
  <c r="S130" i="97" s="1"/>
  <c r="V270" i="27"/>
  <c r="S131" i="97" s="1" a="1"/>
  <c r="S131" i="97" s="1"/>
  <c r="V95" i="27"/>
  <c r="S3" i="97" s="1" a="1"/>
  <c r="S3" i="97" s="1"/>
  <c r="V121" i="27"/>
  <c r="S42" i="97" s="1" a="1"/>
  <c r="S42" i="97" s="1"/>
  <c r="V226" i="27"/>
  <c r="S13" i="97" s="1" a="1"/>
  <c r="S13" i="97" s="1"/>
  <c r="V54" i="27"/>
  <c r="S295" i="97" s="1" a="1"/>
  <c r="S295" i="97" s="1"/>
  <c r="V185" i="27"/>
  <c r="S132" i="97" s="1" a="1"/>
  <c r="S132" i="97" s="1"/>
  <c r="V200" i="27"/>
  <c r="S133" i="97" s="1" a="1"/>
  <c r="S133" i="97" s="1"/>
  <c r="V169" i="27"/>
  <c r="S134" i="97" s="1" a="1"/>
  <c r="S134" i="97" s="1"/>
  <c r="V225" i="27"/>
  <c r="S135" i="97" s="1" a="1"/>
  <c r="S135" i="97" s="1"/>
  <c r="V17" i="27"/>
  <c r="S136" i="97" s="1" a="1"/>
  <c r="S136" i="97" s="1"/>
  <c r="V87" i="27"/>
  <c r="S46" i="97" s="1" a="1"/>
  <c r="S46" i="97" s="1"/>
  <c r="V187" i="27"/>
  <c r="S137" i="97" s="1" a="1"/>
  <c r="S137" i="97" s="1"/>
  <c r="V210" i="27"/>
  <c r="S47" i="97" s="1" a="1"/>
  <c r="S47" i="97" s="1"/>
  <c r="V80" i="27"/>
  <c r="S48" i="97" s="1" a="1"/>
  <c r="S48" i="97" s="1"/>
  <c r="V146" i="27"/>
  <c r="S239" i="97" s="1" a="1"/>
  <c r="S239" i="97" s="1"/>
  <c r="V223" i="27"/>
  <c r="S138" i="97" s="1" a="1"/>
  <c r="S138" i="97" s="1"/>
  <c r="V86" i="27"/>
  <c r="S139" i="97" s="1" a="1"/>
  <c r="S139" i="97" s="1"/>
  <c r="V162" i="27"/>
  <c r="S242" i="97" s="1" a="1"/>
  <c r="S242" i="97" s="1"/>
  <c r="V27" i="27"/>
  <c r="S311" i="97" s="1" a="1"/>
  <c r="S311" i="97" s="1"/>
  <c r="V159" i="27"/>
  <c r="S140" i="97" s="1" a="1"/>
  <c r="S140" i="97" s="1"/>
  <c r="V230" i="27"/>
  <c r="S141" i="97" s="1" a="1"/>
  <c r="S141" i="97" s="1"/>
  <c r="V201" i="27"/>
  <c r="S142" i="97" s="1" a="1"/>
  <c r="S142" i="97" s="1"/>
  <c r="V190" i="27"/>
  <c r="S52" i="97" s="1" a="1"/>
  <c r="S52" i="97" s="1"/>
  <c r="V213" i="27"/>
  <c r="S53" i="97" s="1" a="1"/>
  <c r="S53" i="97" s="1"/>
  <c r="V157" i="27"/>
  <c r="S143" i="97" s="1" a="1"/>
  <c r="S143" i="97" s="1"/>
  <c r="V228" i="27"/>
  <c r="S144" i="97" s="1" a="1"/>
  <c r="S144" i="97" s="1"/>
  <c r="V229" i="27"/>
  <c r="S145" i="97" s="1" a="1"/>
  <c r="S145" i="97" s="1"/>
  <c r="V180" i="27"/>
  <c r="S54" i="97" s="1" a="1"/>
  <c r="S54" i="97" s="1"/>
  <c r="V211" i="27"/>
  <c r="S146" i="97" s="1" a="1"/>
  <c r="S146" i="97" s="1"/>
  <c r="V154" i="27"/>
  <c r="S147" i="97" s="1" a="1"/>
  <c r="S147" i="97" s="1"/>
  <c r="V176" i="27"/>
  <c r="S148" i="97" s="1" a="1"/>
  <c r="S148" i="97" s="1"/>
  <c r="V196" i="27"/>
  <c r="S149" i="97" s="1" a="1"/>
  <c r="S149" i="97" s="1"/>
  <c r="V197" i="27"/>
  <c r="S55" i="97" s="1" a="1"/>
  <c r="S55" i="97" s="1"/>
  <c r="V202" i="27"/>
  <c r="S56" i="97" s="1" a="1"/>
  <c r="S56" i="97" s="1"/>
  <c r="V51" i="27"/>
  <c r="S150" i="97" s="1" a="1"/>
  <c r="S150" i="97" s="1"/>
  <c r="V155" i="27"/>
  <c r="S151" i="97" s="1" a="1"/>
  <c r="S151" i="97" s="1"/>
  <c r="V271" i="27"/>
  <c r="S152" i="97" s="1" a="1"/>
  <c r="S152" i="97" s="1"/>
  <c r="V39" i="27"/>
  <c r="S153" i="97" s="1" a="1"/>
  <c r="S153" i="97" s="1"/>
  <c r="V82" i="27"/>
  <c r="S154" i="97" s="1" a="1"/>
  <c r="S154" i="97" s="1"/>
  <c r="V272" i="27"/>
  <c r="S155" i="97" s="1" a="1"/>
  <c r="S155" i="97" s="1"/>
  <c r="V127" i="27"/>
  <c r="S156" i="97" s="1" a="1"/>
  <c r="S156" i="97" s="1"/>
  <c r="V46" i="27"/>
  <c r="S157" i="97" s="1" a="1"/>
  <c r="S157" i="97" s="1"/>
  <c r="V209" i="27"/>
  <c r="S57" i="97" s="1" a="1"/>
  <c r="S57" i="97" s="1"/>
  <c r="V218" i="27"/>
  <c r="S158" i="97" s="1" a="1"/>
  <c r="S158" i="97" s="1"/>
  <c r="V78" i="27"/>
  <c r="S159" i="97" s="1" a="1"/>
  <c r="S159" i="97" s="1"/>
  <c r="V128" i="27"/>
  <c r="S160" i="97" s="1" a="1"/>
  <c r="S160" i="97" s="1"/>
  <c r="V116" i="27"/>
  <c r="S161" i="97" s="1" a="1"/>
  <c r="S161" i="97" s="1"/>
  <c r="V7" i="27"/>
  <c r="S162" i="97" s="1" a="1"/>
  <c r="S162" i="97" s="1"/>
  <c r="V63" i="27"/>
  <c r="S163" i="97" s="1" a="1"/>
  <c r="S163" i="97" s="1"/>
  <c r="V48" i="27"/>
  <c r="S164" i="97" s="1" a="1"/>
  <c r="S164" i="97" s="1"/>
  <c r="V273" i="27"/>
  <c r="S165" i="97" s="1" a="1"/>
  <c r="S165" i="97" s="1"/>
  <c r="V274" i="27"/>
  <c r="S166" i="97" s="1" a="1"/>
  <c r="S166" i="97" s="1"/>
  <c r="V32" i="27"/>
  <c r="S167" i="97" s="1" a="1"/>
  <c r="S167" i="97" s="1"/>
  <c r="V88" i="27"/>
  <c r="S58" i="97" s="1" a="1"/>
  <c r="S58" i="97" s="1"/>
  <c r="V44" i="27"/>
  <c r="S168" i="97" s="1" a="1"/>
  <c r="S168" i="97" s="1"/>
  <c r="V275" i="27"/>
  <c r="S169" i="97" s="1" a="1"/>
  <c r="S169" i="97" s="1"/>
  <c r="V130" i="27"/>
  <c r="S59" i="97" s="1" a="1"/>
  <c r="S59" i="97" s="1"/>
  <c r="V276" i="27"/>
  <c r="S170" i="97" s="1" a="1"/>
  <c r="S170" i="97" s="1"/>
  <c r="V277" i="27"/>
  <c r="S60" i="97" s="1" a="1"/>
  <c r="S60" i="97" s="1"/>
  <c r="V278" i="27"/>
  <c r="S331" i="97" s="1" a="1"/>
  <c r="S331" i="97" s="1"/>
  <c r="V279" i="27"/>
  <c r="S171" i="97" s="1" a="1"/>
  <c r="S171" i="97" s="1"/>
  <c r="V280" i="27"/>
  <c r="S172" i="97" s="1" a="1"/>
  <c r="S172" i="97" s="1"/>
  <c r="V281" i="27"/>
  <c r="S173" i="97" s="1" a="1"/>
  <c r="S173" i="97" s="1"/>
  <c r="V282" i="27"/>
  <c r="S174" i="97" s="1" a="1"/>
  <c r="S174" i="97" s="1"/>
  <c r="V283" i="27"/>
  <c r="S61" i="97" s="1" a="1"/>
  <c r="S61" i="97" s="1"/>
  <c r="V26" i="27"/>
  <c r="S332" i="97" s="1" a="1"/>
  <c r="S332" i="97" s="1"/>
  <c r="V284" i="27"/>
  <c r="S175" i="97" s="1" a="1"/>
  <c r="S175" i="97" s="1"/>
  <c r="V285" i="27"/>
  <c r="S176" i="97" s="1" a="1"/>
  <c r="S176" i="97" s="1"/>
  <c r="V286" i="27"/>
  <c r="S177" i="97" s="1" a="1"/>
  <c r="S177" i="97" s="1"/>
  <c r="V287" i="27"/>
  <c r="S178" i="97" s="1" a="1"/>
  <c r="S178" i="97" s="1"/>
  <c r="V143" i="27"/>
  <c r="S179" i="97" s="1" a="1"/>
  <c r="S179" i="97" s="1"/>
  <c r="V203" i="27"/>
  <c r="S180" i="97" s="1" a="1"/>
  <c r="S180" i="97" s="1"/>
  <c r="V288" i="27"/>
  <c r="S333" i="97" s="1" a="1"/>
  <c r="S333" i="97" s="1"/>
  <c r="V104" i="27"/>
  <c r="S181" i="97" s="1" a="1"/>
  <c r="S181" i="97" s="1"/>
  <c r="V138" i="27"/>
  <c r="S182" i="97" s="1" a="1"/>
  <c r="S182" i="97" s="1"/>
  <c r="V148" i="27"/>
  <c r="S183" i="97" s="1" a="1"/>
  <c r="S183" i="97" s="1"/>
  <c r="V224" i="27"/>
  <c r="S184" i="97" s="1" a="1"/>
  <c r="S184" i="97" s="1"/>
  <c r="V66" i="27"/>
  <c r="S14" i="97" s="1" a="1"/>
  <c r="S14" i="97" s="1"/>
  <c r="V170" i="27"/>
  <c r="S185" i="97" s="1" a="1"/>
  <c r="S185" i="97" s="1"/>
  <c r="V23" i="27"/>
  <c r="S186" i="97" s="1" a="1"/>
  <c r="S186" i="97" s="1"/>
  <c r="V93" i="27"/>
  <c r="S312" i="97" s="1" a="1"/>
  <c r="S312" i="97" s="1"/>
  <c r="V150" i="27"/>
  <c r="S187" i="97" s="1" a="1"/>
  <c r="S187" i="97" s="1"/>
  <c r="V110" i="27"/>
  <c r="S188" i="97" s="1" a="1"/>
  <c r="S188" i="97" s="1"/>
  <c r="V91" i="27"/>
  <c r="S189" i="97" s="1" a="1"/>
  <c r="S189" i="97" s="1"/>
  <c r="V52" i="27"/>
  <c r="S190" i="97" s="1" a="1"/>
  <c r="S190" i="97" s="1"/>
  <c r="V101" i="27"/>
  <c r="S191" i="97" s="1" a="1"/>
  <c r="S191" i="97" s="1"/>
  <c r="V16" i="27"/>
  <c r="S192" i="97" s="1" a="1"/>
  <c r="S192" i="97" s="1"/>
  <c r="V40" i="27"/>
  <c r="S193" i="97" s="1" a="1"/>
  <c r="S193" i="97" s="1"/>
  <c r="V35" i="27"/>
  <c r="S38" i="97" s="1" a="1"/>
  <c r="S38" i="97" s="1"/>
  <c r="V289" i="27"/>
  <c r="S194" i="97" s="1" a="1"/>
  <c r="S194" i="97" s="1"/>
  <c r="V140" i="27"/>
  <c r="S195" i="97" s="1" a="1"/>
  <c r="S195" i="97" s="1"/>
  <c r="V41" i="27"/>
  <c r="S247" i="97" s="1" a="1"/>
  <c r="S247" i="97" s="1"/>
  <c r="V151" i="27"/>
  <c r="S65" i="97" s="1" a="1"/>
  <c r="S65" i="97" s="1"/>
  <c r="V290" i="27"/>
  <c r="S334" i="97" s="1" a="1"/>
  <c r="S334" i="97" s="1"/>
  <c r="V122" i="27"/>
  <c r="S197" i="97" s="1" a="1"/>
  <c r="S197" i="97" s="1"/>
  <c r="V9" i="27"/>
  <c r="S315" i="97" s="1" a="1"/>
  <c r="S315" i="97" s="1"/>
  <c r="V43" i="27"/>
  <c r="S199" i="97" s="1" a="1"/>
  <c r="S199" i="97" s="1"/>
  <c r="V291" i="27"/>
  <c r="S200" i="97" s="1" a="1"/>
  <c r="S200" i="97" s="1"/>
  <c r="V152" i="27"/>
  <c r="S201" i="97" s="1" a="1"/>
  <c r="S201" i="97" s="1"/>
  <c r="V175" i="27"/>
  <c r="S202" i="97" s="1" a="1"/>
  <c r="S202" i="97" s="1"/>
  <c r="V74" i="27"/>
  <c r="S203" i="97" s="1" a="1"/>
  <c r="S203" i="97" s="1"/>
  <c r="V153" i="27"/>
  <c r="S204" i="97" s="1" a="1"/>
  <c r="S204" i="97" s="1"/>
  <c r="V149" i="27"/>
  <c r="S205" i="97" s="1" a="1"/>
  <c r="S205" i="97" s="1"/>
  <c r="V90" i="27"/>
  <c r="S206" i="97" s="1" a="1"/>
  <c r="S206" i="97" s="1"/>
  <c r="V96" i="27"/>
  <c r="S207" i="97" s="1" a="1"/>
  <c r="S207" i="97" s="1"/>
  <c r="V12" i="27"/>
  <c r="S208" i="97" s="1" a="1"/>
  <c r="S208" i="97" s="1"/>
  <c r="V69" i="27"/>
  <c r="S209" i="97" s="1" a="1"/>
  <c r="S209" i="97" s="1"/>
  <c r="V171" i="27"/>
  <c r="S210" i="97" s="1" a="1"/>
  <c r="S210" i="97" s="1"/>
  <c r="V186" i="27"/>
  <c r="S211" i="97" s="1" a="1"/>
  <c r="S211" i="97" s="1"/>
  <c r="V174" i="27"/>
  <c r="S66" i="97" s="1" a="1"/>
  <c r="S66" i="97" s="1"/>
  <c r="V198" i="27"/>
  <c r="S212" i="97" s="1" a="1"/>
  <c r="S212" i="97" s="1"/>
  <c r="V292" i="27"/>
  <c r="S213" i="97" s="1" a="1"/>
  <c r="S213" i="97" s="1"/>
  <c r="V131" i="27"/>
  <c r="S214" i="97" s="1" a="1"/>
  <c r="S214" i="97" s="1"/>
  <c r="V53" i="27"/>
  <c r="S215" i="97" s="1" a="1"/>
  <c r="S215" i="97" s="1"/>
  <c r="V56" i="27"/>
  <c r="S216" i="97" s="1" a="1"/>
  <c r="S216" i="97" s="1"/>
  <c r="V293" i="27"/>
  <c r="S217" i="97" s="1" a="1"/>
  <c r="S217" i="97" s="1"/>
  <c r="V294" i="27"/>
  <c r="S218" i="97" s="1" a="1"/>
  <c r="S218" i="97" s="1"/>
  <c r="V295" i="27"/>
  <c r="S219" i="97" s="1" a="1"/>
  <c r="S219" i="97" s="1"/>
  <c r="V296" i="27"/>
  <c r="S220" i="97" s="1" a="1"/>
  <c r="S220" i="97" s="1"/>
  <c r="V177" i="27"/>
  <c r="S221" i="97" s="1" a="1"/>
  <c r="S221" i="97" s="1"/>
  <c r="V92" i="27"/>
  <c r="S222" i="97" s="1" a="1"/>
  <c r="S222" i="97" s="1"/>
  <c r="V219" i="27"/>
  <c r="S335" i="97" s="1" a="1"/>
  <c r="S335" i="97" s="1"/>
  <c r="V297" i="27"/>
  <c r="S223" i="97" s="1" a="1"/>
  <c r="S223" i="97" s="1"/>
  <c r="V31" i="27"/>
  <c r="S224" i="97" s="1" a="1"/>
  <c r="S224" i="97" s="1"/>
  <c r="V77" i="27"/>
  <c r="S225" i="97" s="1" a="1"/>
  <c r="S225" i="97" s="1"/>
  <c r="V298" i="27"/>
  <c r="S226" i="97" s="1" a="1"/>
  <c r="S226" i="97" s="1"/>
  <c r="V299" i="27"/>
  <c r="S227" i="97" s="1" a="1"/>
  <c r="S227" i="97" s="1"/>
  <c r="V183" i="27"/>
  <c r="S228" i="97" s="1" a="1"/>
  <c r="S228" i="97" s="1"/>
  <c r="V98" i="27"/>
  <c r="S229" i="97" s="1" a="1"/>
  <c r="S229" i="97" s="1"/>
  <c r="V30" i="27"/>
  <c r="S230" i="97" s="1" a="1"/>
  <c r="S230" i="97" s="1"/>
  <c r="V300" i="27"/>
  <c r="S67" i="97" s="1" a="1"/>
  <c r="S67" i="97" s="1"/>
  <c r="V301" i="27"/>
  <c r="S231" i="97" s="1" a="1"/>
  <c r="S231" i="97" s="1"/>
  <c r="V302" i="27"/>
  <c r="S232" i="97" s="1" a="1"/>
  <c r="S232" i="97" s="1"/>
  <c r="V207" i="27"/>
  <c r="S233" i="97" s="1" a="1"/>
  <c r="S233" i="97" s="1"/>
  <c r="V303" i="27"/>
  <c r="S234" i="97" s="1" a="1"/>
  <c r="S234" i="97" s="1"/>
  <c r="V71" i="27"/>
  <c r="S235" i="97" s="1" a="1"/>
  <c r="S235" i="97" s="1"/>
  <c r="V182" i="27"/>
  <c r="S236" i="97" s="1" a="1"/>
  <c r="S236" i="97" s="1"/>
  <c r="V304" i="27"/>
  <c r="S237" i="97" s="1" a="1"/>
  <c r="S237" i="97" s="1"/>
  <c r="V129" i="27"/>
  <c r="S68" i="97" s="1" a="1"/>
  <c r="S68" i="97" s="1"/>
  <c r="V160" i="27"/>
  <c r="S238" i="97" s="1" a="1"/>
  <c r="S238" i="97" s="1"/>
  <c r="V25" i="27"/>
  <c r="S318" i="97" s="1" a="1"/>
  <c r="S318" i="97" s="1"/>
  <c r="V194" i="27"/>
  <c r="S240" i="97" s="1" a="1"/>
  <c r="S240" i="97" s="1"/>
  <c r="V179" i="27"/>
  <c r="S241" i="97" s="1" a="1"/>
  <c r="S241" i="97" s="1"/>
  <c r="V103" i="27"/>
  <c r="S43" i="97" s="1" a="1"/>
  <c r="S43" i="97" s="1"/>
  <c r="V227" i="27"/>
  <c r="S243" i="97" s="1" a="1"/>
  <c r="S243" i="97" s="1"/>
  <c r="V192" i="27"/>
  <c r="S244" i="97" s="1" a="1"/>
  <c r="S244" i="97" s="1"/>
  <c r="V220" i="27"/>
  <c r="S245" i="97" s="1" a="1"/>
  <c r="S245" i="97" s="1"/>
  <c r="V107" i="27"/>
  <c r="S69" i="97" s="1" a="1"/>
  <c r="S69" i="97" s="1"/>
  <c r="V100" i="27"/>
  <c r="S246" i="97" s="1" a="1"/>
  <c r="S246" i="97" s="1"/>
  <c r="V18" i="27"/>
  <c r="S319" i="97" s="1" a="1"/>
  <c r="S319" i="97" s="1"/>
  <c r="V89" i="27"/>
  <c r="S320" i="97" s="1" a="1"/>
  <c r="S320" i="97" s="1"/>
  <c r="V305" i="27"/>
  <c r="S249" i="97" s="1" a="1"/>
  <c r="S249" i="97" s="1"/>
  <c r="V306" i="27"/>
  <c r="S70" i="97" s="1" a="1"/>
  <c r="S70" i="97" s="1"/>
  <c r="V97" i="27"/>
  <c r="S250" i="97" s="1" a="1"/>
  <c r="S250" i="97" s="1"/>
  <c r="V62" i="27"/>
  <c r="S322" i="97" s="1" a="1"/>
  <c r="S322" i="97" s="1"/>
  <c r="V307" i="27"/>
  <c r="S252" i="97" s="1" a="1"/>
  <c r="S252" i="97" s="1"/>
  <c r="V308" i="27"/>
  <c r="S253" i="97" s="1" a="1"/>
  <c r="S253" i="97" s="1"/>
  <c r="V132" i="27"/>
  <c r="S254" i="97" s="1" a="1"/>
  <c r="S254" i="97" s="1"/>
  <c r="V309" i="27"/>
  <c r="S255" i="97" s="1" a="1"/>
  <c r="S255" i="97" s="1"/>
  <c r="V111" i="27"/>
  <c r="S44" i="97" s="1" a="1"/>
  <c r="S44" i="97" s="1"/>
  <c r="V133" i="27"/>
  <c r="S257" i="97" s="1" a="1"/>
  <c r="S257" i="97" s="1"/>
  <c r="V120" i="27"/>
  <c r="S336" i="97" s="1" a="1"/>
  <c r="S336" i="97" s="1"/>
  <c r="V310" i="27"/>
  <c r="S258" i="97" s="1" a="1"/>
  <c r="S258" i="97" s="1"/>
  <c r="V311" i="27"/>
  <c r="S259" i="97" s="1" a="1"/>
  <c r="S259" i="97" s="1"/>
  <c r="V72" i="27"/>
  <c r="S260" i="97" s="1" a="1"/>
  <c r="S260" i="97" s="1"/>
  <c r="V168" i="27"/>
  <c r="S261" i="97" s="1" a="1"/>
  <c r="S261" i="97" s="1"/>
  <c r="V191" i="27"/>
  <c r="S262" i="97" s="1" a="1"/>
  <c r="S262" i="97" s="1"/>
  <c r="V312" i="27"/>
  <c r="S263" i="97" s="1" a="1"/>
  <c r="S263" i="97" s="1"/>
  <c r="V313" i="27"/>
  <c r="S264" i="97" s="1" a="1"/>
  <c r="S264" i="97" s="1"/>
  <c r="V158" i="27"/>
  <c r="S265" i="97" s="1" a="1"/>
  <c r="S265" i="97" s="1"/>
  <c r="V75" i="27"/>
  <c r="S45" i="97" s="1" a="1"/>
  <c r="S45" i="97" s="1"/>
  <c r="V314" i="27"/>
  <c r="S267" i="97" s="1" a="1"/>
  <c r="S267" i="97" s="1"/>
  <c r="V212" i="27"/>
  <c r="S268" i="97" s="1" a="1"/>
  <c r="S268" i="97" s="1"/>
  <c r="V22" i="27"/>
  <c r="S269" i="97" s="1" a="1"/>
  <c r="S269" i="97" s="1"/>
  <c r="V315" i="27"/>
  <c r="S270" i="97" s="1" a="1"/>
  <c r="S270" i="97" s="1"/>
  <c r="V316" i="27"/>
  <c r="S271" i="97" s="1" a="1"/>
  <c r="S271" i="97" s="1"/>
  <c r="V317" i="27"/>
  <c r="S272" i="97" s="1" a="1"/>
  <c r="S272" i="97" s="1"/>
  <c r="V117" i="27"/>
  <c r="S273" i="97" s="1" a="1"/>
  <c r="S273" i="97" s="1"/>
  <c r="V318" i="27"/>
  <c r="S274" i="97" s="1" a="1"/>
  <c r="S274" i="97" s="1"/>
  <c r="V319" i="27"/>
  <c r="S275" i="97" s="1" a="1"/>
  <c r="S275" i="97" s="1"/>
  <c r="V320" i="27"/>
  <c r="S276" i="97" s="1" a="1"/>
  <c r="S276" i="97" s="1"/>
  <c r="V321" i="27"/>
  <c r="S277" i="97" s="1" a="1"/>
  <c r="S277" i="97" s="1"/>
  <c r="V217" i="27"/>
  <c r="S278" i="97" s="1" a="1"/>
  <c r="S278" i="97" s="1"/>
  <c r="V322" i="27"/>
  <c r="S279" i="97" s="1" a="1"/>
  <c r="S279" i="97" s="1"/>
  <c r="V164" i="27"/>
  <c r="S280" i="97" s="1" a="1"/>
  <c r="S280" i="97" s="1"/>
  <c r="V172" i="27"/>
  <c r="S281" i="97" s="1" a="1"/>
  <c r="S281" i="97" s="1"/>
  <c r="V323" i="27"/>
  <c r="S282" i="97" s="1" a="1"/>
  <c r="S282" i="97" s="1"/>
  <c r="V324" i="27"/>
  <c r="S283" i="97" s="1" a="1"/>
  <c r="S283" i="97" s="1"/>
  <c r="V208" i="27"/>
  <c r="S284" i="97" s="1" a="1"/>
  <c r="S284" i="97" s="1"/>
  <c r="V325" i="27"/>
  <c r="S285" i="97" s="1" a="1"/>
  <c r="S285" i="97" s="1"/>
  <c r="V326" i="27"/>
  <c r="S286" i="97" s="1" a="1"/>
  <c r="S286" i="97" s="1"/>
  <c r="V206" i="27"/>
  <c r="S287" i="97" s="1" a="1"/>
  <c r="S287" i="97" s="1"/>
  <c r="V327" i="27"/>
  <c r="S288" i="97" s="1" a="1"/>
  <c r="S288" i="97" s="1"/>
  <c r="V328" i="27"/>
  <c r="S289" i="97" s="1" a="1"/>
  <c r="S289" i="97" s="1"/>
  <c r="V193" i="27"/>
  <c r="S290" i="97" s="1" a="1"/>
  <c r="S290" i="97" s="1"/>
  <c r="V329" i="27"/>
  <c r="S291" i="97" s="1" a="1"/>
  <c r="S291" i="97" s="1"/>
  <c r="V163" i="27"/>
  <c r="S292" i="97" s="1" a="1"/>
  <c r="S292" i="97" s="1"/>
  <c r="V106" i="27"/>
  <c r="S293" i="97" s="1" a="1"/>
  <c r="S293" i="97" s="1"/>
  <c r="V330" i="27"/>
  <c r="S294" i="97" s="1" a="1"/>
  <c r="S294" i="97" s="1"/>
  <c r="V42" i="27"/>
  <c r="S248" i="97" s="1" a="1"/>
  <c r="S248" i="97" s="1"/>
  <c r="V331" i="27"/>
  <c r="S296" i="97" s="1" a="1"/>
  <c r="S296" i="97" s="1"/>
  <c r="V332" i="27"/>
  <c r="S297" i="97" s="1" a="1"/>
  <c r="S297" i="97" s="1"/>
  <c r="V84" i="27"/>
  <c r="S298" i="97" s="1" a="1"/>
  <c r="S298" i="97" s="1"/>
  <c r="V333" i="27"/>
  <c r="S299" i="97" s="1" a="1"/>
  <c r="S299" i="97" s="1"/>
  <c r="V102" i="27"/>
  <c r="S300" i="97" s="1" a="1"/>
  <c r="S300" i="97" s="1"/>
  <c r="V181" i="27"/>
  <c r="S301" i="97" s="1" a="1"/>
  <c r="S301" i="97" s="1"/>
  <c r="V214" i="27"/>
  <c r="S302" i="97" s="1" a="1"/>
  <c r="S302" i="97" s="1"/>
  <c r="V334" i="27"/>
  <c r="S303" i="97" s="1" a="1"/>
  <c r="S303" i="97" s="1"/>
  <c r="V99" i="27"/>
  <c r="S304" i="97" s="1" a="1"/>
  <c r="S304" i="97" s="1"/>
  <c r="V335" i="27"/>
  <c r="S305" i="97" s="1" a="1"/>
  <c r="S305" i="97" s="1"/>
  <c r="V336" i="27"/>
  <c r="S306" i="97" s="1" a="1"/>
  <c r="S306" i="97" s="1"/>
  <c r="V188" i="27"/>
  <c r="S307" i="97" s="1" a="1"/>
  <c r="S307" i="97" s="1"/>
  <c r="V173" i="27"/>
  <c r="S308" i="97" s="1" a="1"/>
  <c r="S308" i="97" s="1"/>
  <c r="V337" i="27"/>
  <c r="S71" i="97" s="1" a="1"/>
  <c r="S71" i="97" s="1"/>
  <c r="V205" i="27"/>
  <c r="S72" i="97" s="1" a="1"/>
  <c r="S72" i="97" s="1"/>
  <c r="V38" i="27"/>
  <c r="S309" i="97" s="1" a="1"/>
  <c r="S309" i="97" s="1"/>
  <c r="V15" i="27"/>
  <c r="S310" i="97" s="1" a="1"/>
  <c r="S310" i="97" s="1"/>
  <c r="V114" i="27"/>
  <c r="S49" i="97" s="1" a="1"/>
  <c r="S49" i="97" s="1"/>
  <c r="V45" i="27"/>
  <c r="S50" i="97" s="1" a="1"/>
  <c r="S50" i="97" s="1"/>
  <c r="V136" i="27"/>
  <c r="S313" i="97" s="1" a="1"/>
  <c r="S313" i="97" s="1"/>
  <c r="V29" i="27"/>
  <c r="S314" i="97" s="1" a="1"/>
  <c r="S314" i="97" s="1"/>
  <c r="V115" i="27"/>
  <c r="S16" i="97" s="1" a="1"/>
  <c r="S16" i="97" s="1"/>
  <c r="V55" i="27"/>
  <c r="S316" i="97" s="1" a="1"/>
  <c r="S316" i="97" s="1"/>
  <c r="V28" i="27"/>
  <c r="S317" i="97" s="1" a="1"/>
  <c r="S317" i="97" s="1"/>
  <c r="V49" i="27"/>
  <c r="S51" i="97" s="1" a="1"/>
  <c r="S51" i="97" s="1"/>
  <c r="V20" i="27"/>
  <c r="S62" i="97" s="1" a="1"/>
  <c r="S62" i="97" s="1"/>
  <c r="V5" i="27"/>
  <c r="S323" i="97" s="1" a="1"/>
  <c r="S323" i="97" s="1"/>
  <c r="V68" i="27"/>
  <c r="S321" i="97" s="1" a="1"/>
  <c r="S321" i="97" s="1"/>
  <c r="V58" i="27"/>
  <c r="S63" i="97" s="1" a="1"/>
  <c r="S63" i="97" s="1"/>
  <c r="V59" i="27"/>
  <c r="S64" i="97" s="1" a="1"/>
  <c r="S64" i="97" s="1"/>
  <c r="V13" i="27"/>
  <c r="S324" i="97" s="1" a="1"/>
  <c r="S324" i="97" s="1"/>
  <c r="V67" i="27"/>
  <c r="S325" i="97" s="1" a="1"/>
  <c r="S325" i="97" s="1"/>
  <c r="V123" i="27"/>
  <c r="S326" i="97" s="1" a="1"/>
  <c r="S326" i="97" s="1"/>
  <c r="V338" i="27"/>
  <c r="S327" i="97" s="1" a="1"/>
  <c r="S327" i="97" s="1"/>
  <c r="V109" i="27"/>
  <c r="S328" i="97" s="1" a="1"/>
  <c r="S328" i="97" s="1"/>
  <c r="V14" i="27"/>
  <c r="S329" i="97" s="1" a="1"/>
  <c r="S329" i="97" s="1"/>
  <c r="W204" i="27"/>
  <c r="T6" i="97" s="1" a="1"/>
  <c r="T6" i="97" s="1"/>
  <c r="W232" i="27"/>
  <c r="T7" i="97" s="1" a="1"/>
  <c r="T7" i="97" s="1"/>
  <c r="W222" i="27"/>
  <c r="T8" i="97" s="1" a="1"/>
  <c r="T8" i="97" s="1"/>
  <c r="W231" i="27"/>
  <c r="T9" i="97" s="1" a="1"/>
  <c r="T9" i="97" s="1"/>
  <c r="W36" i="27"/>
  <c r="T73" i="97" s="1" a="1"/>
  <c r="T73" i="97" s="1"/>
  <c r="W124" i="27"/>
  <c r="T74" i="97" s="1" a="1"/>
  <c r="T74" i="97" s="1"/>
  <c r="W105" i="27"/>
  <c r="T75" i="97" s="1" a="1"/>
  <c r="T75" i="97" s="1"/>
  <c r="W233" i="27"/>
  <c r="T76" i="97" s="1" a="1"/>
  <c r="T76" i="97" s="1"/>
  <c r="W135" i="27"/>
  <c r="T77" i="97" s="1" a="1"/>
  <c r="T77" i="97" s="1"/>
  <c r="W161" i="27"/>
  <c r="T78" i="97" s="1" a="1"/>
  <c r="T78" i="97" s="1"/>
  <c r="W165" i="27"/>
  <c r="T79" i="97" s="1" a="1"/>
  <c r="T79" i="97" s="1"/>
  <c r="W24" i="27"/>
  <c r="T80" i="97" s="1" a="1"/>
  <c r="T80" i="97" s="1"/>
  <c r="W166" i="27"/>
  <c r="T81" i="97" s="1" a="1"/>
  <c r="T81" i="97" s="1"/>
  <c r="W142" i="27"/>
  <c r="T196" i="97" s="1" a="1"/>
  <c r="T196" i="97" s="1"/>
  <c r="W234" i="27"/>
  <c r="T82" i="97" s="1" a="1"/>
  <c r="T82" i="97" s="1"/>
  <c r="W118" i="27"/>
  <c r="T83" i="97" s="1" a="1"/>
  <c r="T83" i="97" s="1"/>
  <c r="W83" i="27"/>
  <c r="T84" i="97" s="1" a="1"/>
  <c r="T84" i="97" s="1"/>
  <c r="W112" i="27"/>
  <c r="T11" i="97" s="1" a="1"/>
  <c r="T11" i="97" s="1"/>
  <c r="W79" i="27"/>
  <c r="T85" i="97" s="1" a="1"/>
  <c r="T85" i="97" s="1"/>
  <c r="W235" i="27"/>
  <c r="T86" i="97" s="1" a="1"/>
  <c r="T86" i="97" s="1"/>
  <c r="W216" i="27"/>
  <c r="T87" i="97" s="1" a="1"/>
  <c r="T87" i="97" s="1"/>
  <c r="W10" i="27"/>
  <c r="T88" i="97" s="1" a="1"/>
  <c r="T88" i="97" s="1"/>
  <c r="W34" i="27"/>
  <c r="T89" i="97" s="1" a="1"/>
  <c r="T89" i="97" s="1"/>
  <c r="W215" i="27"/>
  <c r="T12" i="97" s="1" a="1"/>
  <c r="T12" i="97" s="1"/>
  <c r="W141" i="27"/>
  <c r="T90" i="97" s="1" a="1"/>
  <c r="T90" i="97" s="1"/>
  <c r="W70" i="27"/>
  <c r="T30" i="97" s="1" a="1"/>
  <c r="T30" i="97" s="1"/>
  <c r="W73" i="27"/>
  <c r="T10" i="97" s="1" a="1"/>
  <c r="T10" i="97" s="1"/>
  <c r="W134" i="27"/>
  <c r="T15" i="97" s="1" a="1"/>
  <c r="T15" i="97" s="1"/>
  <c r="W64" i="27"/>
  <c r="T31" i="97" s="1" a="1"/>
  <c r="T31" i="97" s="1"/>
  <c r="W126" i="27"/>
  <c r="T32" i="97" s="1" a="1"/>
  <c r="T32" i="97" s="1"/>
  <c r="W108" i="27"/>
  <c r="T33" i="97" s="1" a="1"/>
  <c r="T33" i="97" s="1"/>
  <c r="W21" i="27"/>
  <c r="T18" i="97" s="1" a="1"/>
  <c r="T18" i="97" s="1"/>
  <c r="W236" i="27"/>
  <c r="T91" i="97" s="1" a="1"/>
  <c r="T91" i="97" s="1"/>
  <c r="W237" i="27"/>
  <c r="T92" i="97" s="1" a="1"/>
  <c r="T92" i="97" s="1"/>
  <c r="W238" i="27"/>
  <c r="T93" i="97" s="1" a="1"/>
  <c r="T93" i="97" s="1"/>
  <c r="W156" i="27"/>
  <c r="T94" i="97" s="1" a="1"/>
  <c r="T94" i="97" s="1"/>
  <c r="W239" i="27"/>
  <c r="T95" i="97" s="1" a="1"/>
  <c r="T95" i="97" s="1"/>
  <c r="W240" i="27"/>
  <c r="T96" i="97" s="1" a="1"/>
  <c r="T96" i="97" s="1"/>
  <c r="W241" i="27"/>
  <c r="T97" i="97" s="1" a="1"/>
  <c r="T97" i="97" s="1"/>
  <c r="W65" i="27"/>
  <c r="T98" i="97" s="1" a="1"/>
  <c r="T98" i="97" s="1"/>
  <c r="W167" i="27"/>
  <c r="T20" i="97" s="1" a="1"/>
  <c r="T20" i="97" s="1"/>
  <c r="W139" i="27"/>
  <c r="T99" i="97" s="1" a="1"/>
  <c r="T99" i="97" s="1"/>
  <c r="W242" i="27"/>
  <c r="T100" i="97" s="1" a="1"/>
  <c r="T100" i="97" s="1"/>
  <c r="W137" i="27"/>
  <c r="T101" i="97" s="1" a="1"/>
  <c r="T101" i="97" s="1"/>
  <c r="W243" i="27"/>
  <c r="T102" i="97" s="1" a="1"/>
  <c r="T102" i="97" s="1"/>
  <c r="W244" i="27"/>
  <c r="T103" i="97" s="1" a="1"/>
  <c r="T103" i="97" s="1"/>
  <c r="W189" i="27"/>
  <c r="T104" i="97" s="1" a="1"/>
  <c r="T104" i="97" s="1"/>
  <c r="W245" i="27"/>
  <c r="T105" i="97" s="1" a="1"/>
  <c r="T105" i="97" s="1"/>
  <c r="W246" i="27"/>
  <c r="T106" i="97" s="1" a="1"/>
  <c r="T106" i="97" s="1"/>
  <c r="W221" i="27"/>
  <c r="T107" i="97" s="1" a="1"/>
  <c r="T107" i="97" s="1"/>
  <c r="W247" i="27"/>
  <c r="T108" i="97" s="1" a="1"/>
  <c r="T108" i="97" s="1"/>
  <c r="W76" i="27"/>
  <c r="T21" i="97" s="1" a="1"/>
  <c r="T21" i="97" s="1"/>
  <c r="W248" i="27"/>
  <c r="T22" i="97" s="1" a="1"/>
  <c r="T22" i="97" s="1"/>
  <c r="W19" i="27"/>
  <c r="T109" i="97" s="1" a="1"/>
  <c r="T109" i="97" s="1"/>
  <c r="W249" i="27"/>
  <c r="T23" i="97" s="1" a="1"/>
  <c r="T23" i="97" s="1"/>
  <c r="W250" i="27"/>
  <c r="T24" i="97" s="1" a="1"/>
  <c r="T24" i="97" s="1"/>
  <c r="W251" i="27"/>
  <c r="T110" i="97" s="1" a="1"/>
  <c r="T110" i="97" s="1"/>
  <c r="W144" i="27"/>
  <c r="T25" i="97" s="1" a="1"/>
  <c r="T25" i="97" s="1"/>
  <c r="W252" i="27"/>
  <c r="T26" i="97" s="1" a="1"/>
  <c r="T26" i="97" s="1"/>
  <c r="W113" i="27"/>
  <c r="T111" i="97" s="1" a="1"/>
  <c r="T111" i="97" s="1"/>
  <c r="W253" i="27"/>
  <c r="T27" i="97" s="1" a="1"/>
  <c r="T27" i="97" s="1"/>
  <c r="W178" i="27"/>
  <c r="T28" i="97" s="1" a="1"/>
  <c r="T28" i="97" s="1"/>
  <c r="W8" i="27"/>
  <c r="T256" i="97" s="1" a="1"/>
  <c r="T256" i="97" s="1"/>
  <c r="W57" i="27"/>
  <c r="T34" i="97" s="1" a="1"/>
  <c r="T34" i="97" s="1"/>
  <c r="W125" i="27"/>
  <c r="T35" i="97" s="1" a="1"/>
  <c r="T35" i="97" s="1"/>
  <c r="W94" i="27"/>
  <c r="T19" i="97" s="1" a="1"/>
  <c r="T19" i="97" s="1"/>
  <c r="W11" i="27"/>
  <c r="T266" i="97" s="1" a="1"/>
  <c r="T266" i="97" s="1"/>
  <c r="W50" i="27"/>
  <c r="T29" i="97" s="1" a="1"/>
  <c r="T29" i="97" s="1"/>
  <c r="W81" i="27"/>
  <c r="T2" i="97" s="1" a="1"/>
  <c r="T2" i="97" s="1"/>
  <c r="W147" i="27"/>
  <c r="T36" i="97" s="1" a="1"/>
  <c r="T36" i="97" s="1"/>
  <c r="W61" i="27"/>
  <c r="T37" i="97" s="1" a="1"/>
  <c r="T37" i="97" s="1"/>
  <c r="W119" i="27"/>
  <c r="T39" i="97" s="1" a="1"/>
  <c r="T39" i="97" s="1"/>
  <c r="W145" i="27"/>
  <c r="T112" i="97" s="1" a="1"/>
  <c r="T112" i="97" s="1"/>
  <c r="W254" i="27"/>
  <c r="T113" i="97" s="1" a="1"/>
  <c r="T113" i="97" s="1"/>
  <c r="W37" i="27"/>
  <c r="T114" i="97" s="1" a="1"/>
  <c r="T114" i="97" s="1"/>
  <c r="W255" i="27"/>
  <c r="T115" i="97" s="1" a="1"/>
  <c r="T115" i="97" s="1"/>
  <c r="W256" i="27"/>
  <c r="T116" i="97" s="1" a="1"/>
  <c r="T116" i="97" s="1"/>
  <c r="W85" i="27"/>
  <c r="T117" i="97" s="1" a="1"/>
  <c r="T117" i="97" s="1"/>
  <c r="W257" i="27"/>
  <c r="T118" i="97" s="1" a="1"/>
  <c r="T118" i="97" s="1"/>
  <c r="W33" i="27"/>
  <c r="T119" i="97" s="1" a="1"/>
  <c r="T119" i="97" s="1"/>
  <c r="W258" i="27"/>
  <c r="T120" i="97" s="1" a="1"/>
  <c r="T120" i="97" s="1"/>
  <c r="W259" i="27"/>
  <c r="T121" i="97" s="1" a="1"/>
  <c r="T121" i="97" s="1"/>
  <c r="W260" i="27"/>
  <c r="T122" i="97" s="1" a="1"/>
  <c r="T122" i="97" s="1"/>
  <c r="W261" i="27"/>
  <c r="T123" i="97" s="1" a="1"/>
  <c r="T123" i="97" s="1"/>
  <c r="W262" i="27"/>
  <c r="T124" i="97" s="1" a="1"/>
  <c r="T124" i="97" s="1"/>
  <c r="W263" i="27"/>
  <c r="T125" i="97" s="1" a="1"/>
  <c r="T125" i="97" s="1"/>
  <c r="W6" i="27"/>
  <c r="T198" i="97" s="1" a="1"/>
  <c r="T198" i="97" s="1"/>
  <c r="W264" i="27"/>
  <c r="T126" i="97" s="1" a="1"/>
  <c r="T126" i="97" s="1"/>
  <c r="W265" i="27"/>
  <c r="T330" i="97" s="1" a="1"/>
  <c r="T330" i="97" s="1"/>
  <c r="W266" i="27"/>
  <c r="T40" i="97" s="1" a="1"/>
  <c r="T40" i="97" s="1"/>
  <c r="W267" i="27"/>
  <c r="T127" i="97" s="1" a="1"/>
  <c r="T127" i="97" s="1"/>
  <c r="W268" i="27"/>
  <c r="T41" i="97" s="1" a="1"/>
  <c r="T41" i="97" s="1"/>
  <c r="W269" i="27"/>
  <c r="T128" i="97" s="1" a="1"/>
  <c r="T128" i="97" s="1"/>
  <c r="W195" i="27"/>
  <c r="T129" i="97" s="1" a="1"/>
  <c r="T129" i="97" s="1"/>
  <c r="W47" i="27"/>
  <c r="T130" i="97" s="1" a="1"/>
  <c r="T130" i="97" s="1"/>
  <c r="W270" i="27"/>
  <c r="T131" i="97" s="1" a="1"/>
  <c r="T131" i="97" s="1"/>
  <c r="W95" i="27"/>
  <c r="T3" i="97" s="1" a="1"/>
  <c r="T3" i="97" s="1"/>
  <c r="W121" i="27"/>
  <c r="T42" i="97" s="1" a="1"/>
  <c r="T42" i="97" s="1"/>
  <c r="W226" i="27"/>
  <c r="T13" i="97" s="1" a="1"/>
  <c r="T13" i="97" s="1"/>
  <c r="W54" i="27"/>
  <c r="T295" i="97" s="1" a="1"/>
  <c r="T295" i="97" s="1"/>
  <c r="W185" i="27"/>
  <c r="T132" i="97" s="1" a="1"/>
  <c r="T132" i="97" s="1"/>
  <c r="W200" i="27"/>
  <c r="T133" i="97" s="1" a="1"/>
  <c r="T133" i="97" s="1"/>
  <c r="W169" i="27"/>
  <c r="T134" i="97" s="1" a="1"/>
  <c r="T134" i="97" s="1"/>
  <c r="W225" i="27"/>
  <c r="T135" i="97" s="1" a="1"/>
  <c r="T135" i="97" s="1"/>
  <c r="W17" i="27"/>
  <c r="T136" i="97" s="1" a="1"/>
  <c r="T136" i="97" s="1"/>
  <c r="W87" i="27"/>
  <c r="T46" i="97" s="1" a="1"/>
  <c r="T46" i="97" s="1"/>
  <c r="W187" i="27"/>
  <c r="T137" i="97" s="1" a="1"/>
  <c r="T137" i="97" s="1"/>
  <c r="W210" i="27"/>
  <c r="T47" i="97" s="1" a="1"/>
  <c r="T47" i="97" s="1"/>
  <c r="W80" i="27"/>
  <c r="T48" i="97" s="1" a="1"/>
  <c r="T48" i="97" s="1"/>
  <c r="W146" i="27"/>
  <c r="T239" i="97" s="1" a="1"/>
  <c r="T239" i="97" s="1"/>
  <c r="W223" i="27"/>
  <c r="T138" i="97" s="1" a="1"/>
  <c r="T138" i="97" s="1"/>
  <c r="W86" i="27"/>
  <c r="T139" i="97" s="1" a="1"/>
  <c r="T139" i="97" s="1"/>
  <c r="W162" i="27"/>
  <c r="T242" i="97" s="1" a="1"/>
  <c r="T242" i="97" s="1"/>
  <c r="W27" i="27"/>
  <c r="T311" i="97" s="1" a="1"/>
  <c r="T311" i="97" s="1"/>
  <c r="W159" i="27"/>
  <c r="T140" i="97" s="1" a="1"/>
  <c r="T140" i="97" s="1"/>
  <c r="W230" i="27"/>
  <c r="T141" i="97" s="1" a="1"/>
  <c r="T141" i="97" s="1"/>
  <c r="W201" i="27"/>
  <c r="T142" i="97" s="1" a="1"/>
  <c r="T142" i="97" s="1"/>
  <c r="W190" i="27"/>
  <c r="T52" i="97" s="1" a="1"/>
  <c r="T52" i="97" s="1"/>
  <c r="W213" i="27"/>
  <c r="T53" i="97" s="1" a="1"/>
  <c r="T53" i="97" s="1"/>
  <c r="W157" i="27"/>
  <c r="T143" i="97" s="1" a="1"/>
  <c r="T143" i="97" s="1"/>
  <c r="W228" i="27"/>
  <c r="T144" i="97" s="1" a="1"/>
  <c r="T144" i="97" s="1"/>
  <c r="W229" i="27"/>
  <c r="T145" i="97" s="1" a="1"/>
  <c r="T145" i="97" s="1"/>
  <c r="W180" i="27"/>
  <c r="T54" i="97" s="1" a="1"/>
  <c r="T54" i="97" s="1"/>
  <c r="W211" i="27"/>
  <c r="T146" i="97" s="1" a="1"/>
  <c r="T146" i="97" s="1"/>
  <c r="W154" i="27"/>
  <c r="T147" i="97" s="1" a="1"/>
  <c r="T147" i="97" s="1"/>
  <c r="W176" i="27"/>
  <c r="T148" i="97" s="1" a="1"/>
  <c r="T148" i="97" s="1"/>
  <c r="W196" i="27"/>
  <c r="T149" i="97" s="1" a="1"/>
  <c r="T149" i="97" s="1"/>
  <c r="W197" i="27"/>
  <c r="T55" i="97" s="1" a="1"/>
  <c r="T55" i="97" s="1"/>
  <c r="W202" i="27"/>
  <c r="T56" i="97" s="1" a="1"/>
  <c r="T56" i="97" s="1"/>
  <c r="W51" i="27"/>
  <c r="T150" i="97" s="1" a="1"/>
  <c r="T150" i="97" s="1"/>
  <c r="W155" i="27"/>
  <c r="T151" i="97" s="1" a="1"/>
  <c r="T151" i="97" s="1"/>
  <c r="W271" i="27"/>
  <c r="T152" i="97" s="1" a="1"/>
  <c r="T152" i="97" s="1"/>
  <c r="W39" i="27"/>
  <c r="T153" i="97" s="1" a="1"/>
  <c r="T153" i="97" s="1"/>
  <c r="W82" i="27"/>
  <c r="T154" i="97" s="1" a="1"/>
  <c r="T154" i="97" s="1"/>
  <c r="W272" i="27"/>
  <c r="T155" i="97" s="1" a="1"/>
  <c r="T155" i="97" s="1"/>
  <c r="W127" i="27"/>
  <c r="T156" i="97" s="1" a="1"/>
  <c r="T156" i="97" s="1"/>
  <c r="W46" i="27"/>
  <c r="T157" i="97" s="1" a="1"/>
  <c r="T157" i="97" s="1"/>
  <c r="W209" i="27"/>
  <c r="T57" i="97" s="1" a="1"/>
  <c r="T57" i="97" s="1"/>
  <c r="W218" i="27"/>
  <c r="T158" i="97" s="1" a="1"/>
  <c r="T158" i="97" s="1"/>
  <c r="W78" i="27"/>
  <c r="T159" i="97" s="1" a="1"/>
  <c r="T159" i="97" s="1"/>
  <c r="W128" i="27"/>
  <c r="T160" i="97" s="1" a="1"/>
  <c r="T160" i="97" s="1"/>
  <c r="W116" i="27"/>
  <c r="T161" i="97" s="1" a="1"/>
  <c r="T161" i="97" s="1"/>
  <c r="W7" i="27"/>
  <c r="T162" i="97" s="1" a="1"/>
  <c r="T162" i="97" s="1"/>
  <c r="W63" i="27"/>
  <c r="T163" i="97" s="1" a="1"/>
  <c r="T163" i="97" s="1"/>
  <c r="W48" i="27"/>
  <c r="T164" i="97" s="1" a="1"/>
  <c r="T164" i="97" s="1"/>
  <c r="W273" i="27"/>
  <c r="T165" i="97" s="1" a="1"/>
  <c r="T165" i="97" s="1"/>
  <c r="W274" i="27"/>
  <c r="T166" i="97" s="1" a="1"/>
  <c r="T166" i="97" s="1"/>
  <c r="W32" i="27"/>
  <c r="T167" i="97" s="1" a="1"/>
  <c r="T167" i="97" s="1"/>
  <c r="W88" i="27"/>
  <c r="T58" i="97" s="1" a="1"/>
  <c r="T58" i="97" s="1"/>
  <c r="W44" i="27"/>
  <c r="T168" i="97" s="1" a="1"/>
  <c r="T168" i="97" s="1"/>
  <c r="W275" i="27"/>
  <c r="T169" i="97" s="1" a="1"/>
  <c r="T169" i="97" s="1"/>
  <c r="W130" i="27"/>
  <c r="T59" i="97" s="1" a="1"/>
  <c r="T59" i="97" s="1"/>
  <c r="W276" i="27"/>
  <c r="T170" i="97" s="1" a="1"/>
  <c r="T170" i="97" s="1"/>
  <c r="W277" i="27"/>
  <c r="T60" i="97" s="1" a="1"/>
  <c r="T60" i="97" s="1"/>
  <c r="W278" i="27"/>
  <c r="T331" i="97" s="1" a="1"/>
  <c r="T331" i="97" s="1"/>
  <c r="W279" i="27"/>
  <c r="T171" i="97" s="1" a="1"/>
  <c r="T171" i="97" s="1"/>
  <c r="W280" i="27"/>
  <c r="T172" i="97" s="1" a="1"/>
  <c r="T172" i="97" s="1"/>
  <c r="W281" i="27"/>
  <c r="T173" i="97" s="1" a="1"/>
  <c r="T173" i="97" s="1"/>
  <c r="W282" i="27"/>
  <c r="T174" i="97" s="1" a="1"/>
  <c r="T174" i="97" s="1"/>
  <c r="W283" i="27"/>
  <c r="T61" i="97" s="1" a="1"/>
  <c r="T61" i="97" s="1"/>
  <c r="W26" i="27"/>
  <c r="T332" i="97" s="1" a="1"/>
  <c r="T332" i="97" s="1"/>
  <c r="W284" i="27"/>
  <c r="T175" i="97" s="1" a="1"/>
  <c r="T175" i="97" s="1"/>
  <c r="W285" i="27"/>
  <c r="T176" i="97" s="1" a="1"/>
  <c r="T176" i="97" s="1"/>
  <c r="W286" i="27"/>
  <c r="T177" i="97" s="1" a="1"/>
  <c r="T177" i="97" s="1"/>
  <c r="W287" i="27"/>
  <c r="T178" i="97" s="1" a="1"/>
  <c r="T178" i="97" s="1"/>
  <c r="W143" i="27"/>
  <c r="T179" i="97" s="1" a="1"/>
  <c r="T179" i="97" s="1"/>
  <c r="W203" i="27"/>
  <c r="T180" i="97" s="1" a="1"/>
  <c r="T180" i="97" s="1"/>
  <c r="W288" i="27"/>
  <c r="T333" i="97" s="1" a="1"/>
  <c r="T333" i="97" s="1"/>
  <c r="W104" i="27"/>
  <c r="T181" i="97" s="1" a="1"/>
  <c r="T181" i="97" s="1"/>
  <c r="W138" i="27"/>
  <c r="T182" i="97" s="1" a="1"/>
  <c r="T182" i="97" s="1"/>
  <c r="W148" i="27"/>
  <c r="T183" i="97" s="1" a="1"/>
  <c r="T183" i="97" s="1"/>
  <c r="W224" i="27"/>
  <c r="T184" i="97" s="1" a="1"/>
  <c r="T184" i="97" s="1"/>
  <c r="W66" i="27"/>
  <c r="T14" i="97" s="1" a="1"/>
  <c r="T14" i="97" s="1"/>
  <c r="W170" i="27"/>
  <c r="T185" i="97" s="1" a="1"/>
  <c r="T185" i="97" s="1"/>
  <c r="W23" i="27"/>
  <c r="T186" i="97" s="1" a="1"/>
  <c r="T186" i="97" s="1"/>
  <c r="W93" i="27"/>
  <c r="T312" i="97" s="1" a="1"/>
  <c r="T312" i="97" s="1"/>
  <c r="W150" i="27"/>
  <c r="T187" i="97" s="1" a="1"/>
  <c r="T187" i="97" s="1"/>
  <c r="W110" i="27"/>
  <c r="T188" i="97" s="1" a="1"/>
  <c r="T188" i="97" s="1"/>
  <c r="W91" i="27"/>
  <c r="T189" i="97" s="1" a="1"/>
  <c r="T189" i="97" s="1"/>
  <c r="W52" i="27"/>
  <c r="T190" i="97" s="1" a="1"/>
  <c r="T190" i="97" s="1"/>
  <c r="W101" i="27"/>
  <c r="T191" i="97" s="1" a="1"/>
  <c r="T191" i="97" s="1"/>
  <c r="W16" i="27"/>
  <c r="T192" i="97" s="1" a="1"/>
  <c r="T192" i="97" s="1"/>
  <c r="W40" i="27"/>
  <c r="T193" i="97" s="1" a="1"/>
  <c r="T193" i="97" s="1"/>
  <c r="W35" i="27"/>
  <c r="T38" i="97" s="1" a="1"/>
  <c r="T38" i="97" s="1"/>
  <c r="W289" i="27"/>
  <c r="T194" i="97" s="1" a="1"/>
  <c r="T194" i="97" s="1"/>
  <c r="W140" i="27"/>
  <c r="T195" i="97" s="1" a="1"/>
  <c r="T195" i="97" s="1"/>
  <c r="W41" i="27"/>
  <c r="T247" i="97" s="1" a="1"/>
  <c r="T247" i="97" s="1"/>
  <c r="W151" i="27"/>
  <c r="T65" i="97" s="1" a="1"/>
  <c r="T65" i="97" s="1"/>
  <c r="W290" i="27"/>
  <c r="T334" i="97" s="1" a="1"/>
  <c r="T334" i="97" s="1"/>
  <c r="W122" i="27"/>
  <c r="T197" i="97" s="1" a="1"/>
  <c r="T197" i="97" s="1"/>
  <c r="W9" i="27"/>
  <c r="T315" i="97" s="1" a="1"/>
  <c r="T315" i="97" s="1"/>
  <c r="W43" i="27"/>
  <c r="T199" i="97" s="1" a="1"/>
  <c r="T199" i="97" s="1"/>
  <c r="W291" i="27"/>
  <c r="T200" i="97" s="1" a="1"/>
  <c r="T200" i="97" s="1"/>
  <c r="W152" i="27"/>
  <c r="T201" i="97" s="1" a="1"/>
  <c r="T201" i="97" s="1"/>
  <c r="W175" i="27"/>
  <c r="T202" i="97" s="1" a="1"/>
  <c r="T202" i="97" s="1"/>
  <c r="W74" i="27"/>
  <c r="T203" i="97" s="1" a="1"/>
  <c r="T203" i="97" s="1"/>
  <c r="W153" i="27"/>
  <c r="T204" i="97" s="1" a="1"/>
  <c r="T204" i="97" s="1"/>
  <c r="W149" i="27"/>
  <c r="T205" i="97" s="1" a="1"/>
  <c r="T205" i="97" s="1"/>
  <c r="W90" i="27"/>
  <c r="T206" i="97" s="1" a="1"/>
  <c r="T206" i="97" s="1"/>
  <c r="W96" i="27"/>
  <c r="T207" i="97" s="1" a="1"/>
  <c r="T207" i="97" s="1"/>
  <c r="W12" i="27"/>
  <c r="T208" i="97" s="1" a="1"/>
  <c r="T208" i="97" s="1"/>
  <c r="W69" i="27"/>
  <c r="T209" i="97" s="1" a="1"/>
  <c r="T209" i="97" s="1"/>
  <c r="W171" i="27"/>
  <c r="T210" i="97" s="1" a="1"/>
  <c r="T210" i="97" s="1"/>
  <c r="W186" i="27"/>
  <c r="T211" i="97" s="1" a="1"/>
  <c r="T211" i="97" s="1"/>
  <c r="W174" i="27"/>
  <c r="T66" i="97" s="1" a="1"/>
  <c r="T66" i="97" s="1"/>
  <c r="W198" i="27"/>
  <c r="T212" i="97" s="1" a="1"/>
  <c r="T212" i="97" s="1"/>
  <c r="W292" i="27"/>
  <c r="T213" i="97" s="1" a="1"/>
  <c r="T213" i="97" s="1"/>
  <c r="W131" i="27"/>
  <c r="T214" i="97" s="1" a="1"/>
  <c r="T214" i="97" s="1"/>
  <c r="W53" i="27"/>
  <c r="T215" i="97" s="1" a="1"/>
  <c r="T215" i="97" s="1"/>
  <c r="W56" i="27"/>
  <c r="T216" i="97" s="1" a="1"/>
  <c r="T216" i="97" s="1"/>
  <c r="W293" i="27"/>
  <c r="T217" i="97" s="1" a="1"/>
  <c r="T217" i="97" s="1"/>
  <c r="W294" i="27"/>
  <c r="T218" i="97" s="1" a="1"/>
  <c r="T218" i="97" s="1"/>
  <c r="W295" i="27"/>
  <c r="T219" i="97" s="1" a="1"/>
  <c r="T219" i="97" s="1"/>
  <c r="W296" i="27"/>
  <c r="T220" i="97" s="1" a="1"/>
  <c r="T220" i="97" s="1"/>
  <c r="W177" i="27"/>
  <c r="T221" i="97" s="1" a="1"/>
  <c r="T221" i="97" s="1"/>
  <c r="W92" i="27"/>
  <c r="T222" i="97" s="1" a="1"/>
  <c r="T222" i="97" s="1"/>
  <c r="W219" i="27"/>
  <c r="T335" i="97" s="1" a="1"/>
  <c r="T335" i="97" s="1"/>
  <c r="W297" i="27"/>
  <c r="T223" i="97" s="1" a="1"/>
  <c r="T223" i="97" s="1"/>
  <c r="W31" i="27"/>
  <c r="T224" i="97" s="1" a="1"/>
  <c r="T224" i="97" s="1"/>
  <c r="W77" i="27"/>
  <c r="T225" i="97" s="1" a="1"/>
  <c r="T225" i="97" s="1"/>
  <c r="W298" i="27"/>
  <c r="T226" i="97" s="1" a="1"/>
  <c r="T226" i="97" s="1"/>
  <c r="W299" i="27"/>
  <c r="T227" i="97" s="1" a="1"/>
  <c r="T227" i="97" s="1"/>
  <c r="W183" i="27"/>
  <c r="T228" i="97" s="1" a="1"/>
  <c r="T228" i="97" s="1"/>
  <c r="W98" i="27"/>
  <c r="T229" i="97" s="1" a="1"/>
  <c r="T229" i="97" s="1"/>
  <c r="W30" i="27"/>
  <c r="T230" i="97" s="1" a="1"/>
  <c r="T230" i="97" s="1"/>
  <c r="W300" i="27"/>
  <c r="T67" i="97" s="1" a="1"/>
  <c r="T67" i="97" s="1"/>
  <c r="W301" i="27"/>
  <c r="T231" i="97" s="1" a="1"/>
  <c r="T231" i="97" s="1"/>
  <c r="W302" i="27"/>
  <c r="T232" i="97" s="1" a="1"/>
  <c r="T232" i="97" s="1"/>
  <c r="W207" i="27"/>
  <c r="T233" i="97" s="1" a="1"/>
  <c r="T233" i="97" s="1"/>
  <c r="W303" i="27"/>
  <c r="T234" i="97" s="1" a="1"/>
  <c r="T234" i="97" s="1"/>
  <c r="W71" i="27"/>
  <c r="T235" i="97" s="1" a="1"/>
  <c r="T235" i="97" s="1"/>
  <c r="W182" i="27"/>
  <c r="T236" i="97" s="1" a="1"/>
  <c r="T236" i="97" s="1"/>
  <c r="W304" i="27"/>
  <c r="T237" i="97" s="1" a="1"/>
  <c r="T237" i="97" s="1"/>
  <c r="W129" i="27"/>
  <c r="T68" i="97" s="1" a="1"/>
  <c r="T68" i="97" s="1"/>
  <c r="W160" i="27"/>
  <c r="T238" i="97" s="1" a="1"/>
  <c r="T238" i="97" s="1"/>
  <c r="W25" i="27"/>
  <c r="T318" i="97" s="1" a="1"/>
  <c r="T318" i="97" s="1"/>
  <c r="W194" i="27"/>
  <c r="T240" i="97" s="1" a="1"/>
  <c r="T240" i="97" s="1"/>
  <c r="W179" i="27"/>
  <c r="T241" i="97" s="1" a="1"/>
  <c r="T241" i="97" s="1"/>
  <c r="W103" i="27"/>
  <c r="T43" i="97" s="1" a="1"/>
  <c r="T43" i="97" s="1"/>
  <c r="W227" i="27"/>
  <c r="T243" i="97" s="1" a="1"/>
  <c r="T243" i="97" s="1"/>
  <c r="W192" i="27"/>
  <c r="T244" i="97" s="1" a="1"/>
  <c r="T244" i="97" s="1"/>
  <c r="W220" i="27"/>
  <c r="T245" i="97" s="1" a="1"/>
  <c r="T245" i="97" s="1"/>
  <c r="W107" i="27"/>
  <c r="T69" i="97" s="1" a="1"/>
  <c r="T69" i="97" s="1"/>
  <c r="W100" i="27"/>
  <c r="T246" i="97" s="1" a="1"/>
  <c r="T246" i="97" s="1"/>
  <c r="W18" i="27"/>
  <c r="T319" i="97" s="1" a="1"/>
  <c r="T319" i="97" s="1"/>
  <c r="W89" i="27"/>
  <c r="T320" i="97" s="1" a="1"/>
  <c r="T320" i="97" s="1"/>
  <c r="W305" i="27"/>
  <c r="T249" i="97" s="1" a="1"/>
  <c r="T249" i="97" s="1"/>
  <c r="W306" i="27"/>
  <c r="T70" i="97" s="1" a="1"/>
  <c r="T70" i="97" s="1"/>
  <c r="W97" i="27"/>
  <c r="T250" i="97" s="1" a="1"/>
  <c r="T250" i="97" s="1"/>
  <c r="W62" i="27"/>
  <c r="T322" i="97" s="1" a="1"/>
  <c r="T322" i="97" s="1"/>
  <c r="W307" i="27"/>
  <c r="T252" i="97" s="1" a="1"/>
  <c r="T252" i="97" s="1"/>
  <c r="W308" i="27"/>
  <c r="T253" i="97" s="1" a="1"/>
  <c r="T253" i="97" s="1"/>
  <c r="W132" i="27"/>
  <c r="T254" i="97" s="1" a="1"/>
  <c r="T254" i="97" s="1"/>
  <c r="W309" i="27"/>
  <c r="T255" i="97" s="1" a="1"/>
  <c r="T255" i="97" s="1"/>
  <c r="W111" i="27"/>
  <c r="T44" i="97" s="1" a="1"/>
  <c r="T44" i="97" s="1"/>
  <c r="W133" i="27"/>
  <c r="T257" i="97" s="1" a="1"/>
  <c r="T257" i="97" s="1"/>
  <c r="W120" i="27"/>
  <c r="T336" i="97" s="1" a="1"/>
  <c r="T336" i="97" s="1"/>
  <c r="W310" i="27"/>
  <c r="T258" i="97" s="1" a="1"/>
  <c r="T258" i="97" s="1"/>
  <c r="W311" i="27"/>
  <c r="T259" i="97" s="1" a="1"/>
  <c r="T259" i="97" s="1"/>
  <c r="W72" i="27"/>
  <c r="T260" i="97" s="1" a="1"/>
  <c r="T260" i="97" s="1"/>
  <c r="W168" i="27"/>
  <c r="T261" i="97" s="1" a="1"/>
  <c r="T261" i="97" s="1"/>
  <c r="W191" i="27"/>
  <c r="T262" i="97" s="1" a="1"/>
  <c r="T262" i="97" s="1"/>
  <c r="W312" i="27"/>
  <c r="T263" i="97" s="1" a="1"/>
  <c r="T263" i="97" s="1"/>
  <c r="W313" i="27"/>
  <c r="T264" i="97" s="1" a="1"/>
  <c r="T264" i="97" s="1"/>
  <c r="W158" i="27"/>
  <c r="T265" i="97" s="1" a="1"/>
  <c r="T265" i="97" s="1"/>
  <c r="W75" i="27"/>
  <c r="T45" i="97" s="1" a="1"/>
  <c r="T45" i="97" s="1"/>
  <c r="W314" i="27"/>
  <c r="T267" i="97" s="1" a="1"/>
  <c r="T267" i="97" s="1"/>
  <c r="W212" i="27"/>
  <c r="T268" i="97" s="1" a="1"/>
  <c r="T268" i="97" s="1"/>
  <c r="W22" i="27"/>
  <c r="T269" i="97" s="1" a="1"/>
  <c r="T269" i="97" s="1"/>
  <c r="W315" i="27"/>
  <c r="T270" i="97" s="1" a="1"/>
  <c r="T270" i="97" s="1"/>
  <c r="W316" i="27"/>
  <c r="T271" i="97" s="1" a="1"/>
  <c r="T271" i="97" s="1"/>
  <c r="W317" i="27"/>
  <c r="T272" i="97" s="1" a="1"/>
  <c r="T272" i="97" s="1"/>
  <c r="W117" i="27"/>
  <c r="T273" i="97" s="1" a="1"/>
  <c r="T273" i="97" s="1"/>
  <c r="W318" i="27"/>
  <c r="T274" i="97" s="1" a="1"/>
  <c r="T274" i="97" s="1"/>
  <c r="W319" i="27"/>
  <c r="T275" i="97" s="1" a="1"/>
  <c r="T275" i="97" s="1"/>
  <c r="W320" i="27"/>
  <c r="T276" i="97" s="1" a="1"/>
  <c r="T276" i="97" s="1"/>
  <c r="W321" i="27"/>
  <c r="T277" i="97" s="1" a="1"/>
  <c r="T277" i="97" s="1"/>
  <c r="W217" i="27"/>
  <c r="T278" i="97" s="1" a="1"/>
  <c r="T278" i="97" s="1"/>
  <c r="W322" i="27"/>
  <c r="T279" i="97" s="1" a="1"/>
  <c r="T279" i="97" s="1"/>
  <c r="W164" i="27"/>
  <c r="T280" i="97" s="1" a="1"/>
  <c r="T280" i="97" s="1"/>
  <c r="W172" i="27"/>
  <c r="T281" i="97" s="1" a="1"/>
  <c r="T281" i="97" s="1"/>
  <c r="W323" i="27"/>
  <c r="T282" i="97" s="1" a="1"/>
  <c r="T282" i="97" s="1"/>
  <c r="W324" i="27"/>
  <c r="T283" i="97" s="1" a="1"/>
  <c r="T283" i="97" s="1"/>
  <c r="W208" i="27"/>
  <c r="T284" i="97" s="1" a="1"/>
  <c r="T284" i="97" s="1"/>
  <c r="W325" i="27"/>
  <c r="T285" i="97" s="1" a="1"/>
  <c r="T285" i="97" s="1"/>
  <c r="W326" i="27"/>
  <c r="T286" i="97" s="1" a="1"/>
  <c r="T286" i="97" s="1"/>
  <c r="W206" i="27"/>
  <c r="T287" i="97" s="1" a="1"/>
  <c r="T287" i="97" s="1"/>
  <c r="W327" i="27"/>
  <c r="T288" i="97" s="1" a="1"/>
  <c r="T288" i="97" s="1"/>
  <c r="W328" i="27"/>
  <c r="T289" i="97" s="1" a="1"/>
  <c r="T289" i="97" s="1"/>
  <c r="W193" i="27"/>
  <c r="T290" i="97" s="1" a="1"/>
  <c r="T290" i="97" s="1"/>
  <c r="W329" i="27"/>
  <c r="T291" i="97" s="1" a="1"/>
  <c r="T291" i="97" s="1"/>
  <c r="W163" i="27"/>
  <c r="T292" i="97" s="1" a="1"/>
  <c r="T292" i="97" s="1"/>
  <c r="W106" i="27"/>
  <c r="T293" i="97" s="1" a="1"/>
  <c r="T293" i="97" s="1"/>
  <c r="W330" i="27"/>
  <c r="T294" i="97" s="1" a="1"/>
  <c r="T294" i="97" s="1"/>
  <c r="W42" i="27"/>
  <c r="T248" i="97" s="1" a="1"/>
  <c r="T248" i="97" s="1"/>
  <c r="W331" i="27"/>
  <c r="T296" i="97" s="1" a="1"/>
  <c r="T296" i="97" s="1"/>
  <c r="W332" i="27"/>
  <c r="T297" i="97" s="1" a="1"/>
  <c r="T297" i="97" s="1"/>
  <c r="W84" i="27"/>
  <c r="T298" i="97" s="1" a="1"/>
  <c r="T298" i="97" s="1"/>
  <c r="W333" i="27"/>
  <c r="T299" i="97" s="1" a="1"/>
  <c r="T299" i="97" s="1"/>
  <c r="W102" i="27"/>
  <c r="T300" i="97" s="1" a="1"/>
  <c r="T300" i="97" s="1"/>
  <c r="W181" i="27"/>
  <c r="T301" i="97" s="1" a="1"/>
  <c r="T301" i="97" s="1"/>
  <c r="W214" i="27"/>
  <c r="T302" i="97" s="1" a="1"/>
  <c r="T302" i="97" s="1"/>
  <c r="W334" i="27"/>
  <c r="T303" i="97" s="1" a="1"/>
  <c r="T303" i="97" s="1"/>
  <c r="W99" i="27"/>
  <c r="T304" i="97" s="1" a="1"/>
  <c r="T304" i="97" s="1"/>
  <c r="W335" i="27"/>
  <c r="T305" i="97" s="1" a="1"/>
  <c r="T305" i="97" s="1"/>
  <c r="W336" i="27"/>
  <c r="T306" i="97" s="1" a="1"/>
  <c r="T306" i="97" s="1"/>
  <c r="W188" i="27"/>
  <c r="T307" i="97" s="1" a="1"/>
  <c r="T307" i="97" s="1"/>
  <c r="W173" i="27"/>
  <c r="T308" i="97" s="1" a="1"/>
  <c r="T308" i="97" s="1"/>
  <c r="W337" i="27"/>
  <c r="T71" i="97" s="1" a="1"/>
  <c r="T71" i="97" s="1"/>
  <c r="W205" i="27"/>
  <c r="T72" i="97" s="1" a="1"/>
  <c r="T72" i="97" s="1"/>
  <c r="W38" i="27"/>
  <c r="T309" i="97" s="1" a="1"/>
  <c r="T309" i="97" s="1"/>
  <c r="W15" i="27"/>
  <c r="T310" i="97" s="1" a="1"/>
  <c r="T310" i="97" s="1"/>
  <c r="W114" i="27"/>
  <c r="T49" i="97" s="1" a="1"/>
  <c r="T49" i="97" s="1"/>
  <c r="W45" i="27"/>
  <c r="T50" i="97" s="1" a="1"/>
  <c r="T50" i="97" s="1"/>
  <c r="W136" i="27"/>
  <c r="T313" i="97" s="1" a="1"/>
  <c r="T313" i="97" s="1"/>
  <c r="W29" i="27"/>
  <c r="T314" i="97" s="1" a="1"/>
  <c r="T314" i="97" s="1"/>
  <c r="W115" i="27"/>
  <c r="T16" i="97" s="1" a="1"/>
  <c r="T16" i="97" s="1"/>
  <c r="W55" i="27"/>
  <c r="T316" i="97" s="1" a="1"/>
  <c r="T316" i="97" s="1"/>
  <c r="W28" i="27"/>
  <c r="T317" i="97" s="1" a="1"/>
  <c r="T317" i="97" s="1"/>
  <c r="W49" i="27"/>
  <c r="T51" i="97" s="1" a="1"/>
  <c r="T51" i="97" s="1"/>
  <c r="W20" i="27"/>
  <c r="T62" i="97" s="1" a="1"/>
  <c r="T62" i="97" s="1"/>
  <c r="W5" i="27"/>
  <c r="T323" i="97" s="1" a="1"/>
  <c r="T323" i="97" s="1"/>
  <c r="W68" i="27"/>
  <c r="T321" i="97" s="1" a="1"/>
  <c r="T321" i="97" s="1"/>
  <c r="W58" i="27"/>
  <c r="T63" i="97" s="1" a="1"/>
  <c r="T63" i="97" s="1"/>
  <c r="W59" i="27"/>
  <c r="T64" i="97" s="1" a="1"/>
  <c r="T64" i="97" s="1"/>
  <c r="W13" i="27"/>
  <c r="T324" i="97" s="1" a="1"/>
  <c r="T324" i="97" s="1"/>
  <c r="W67" i="27"/>
  <c r="T325" i="97" s="1" a="1"/>
  <c r="T325" i="97" s="1"/>
  <c r="W123" i="27"/>
  <c r="T326" i="97" s="1" a="1"/>
  <c r="T326" i="97" s="1"/>
  <c r="W338" i="27"/>
  <c r="T327" i="97" s="1" a="1"/>
  <c r="T327" i="97" s="1"/>
  <c r="W109" i="27"/>
  <c r="T328" i="97" s="1" a="1"/>
  <c r="T328" i="97" s="1"/>
  <c r="W14" i="27"/>
  <c r="T329" i="97" s="1" a="1"/>
  <c r="T329" i="97" s="1"/>
  <c r="X204" i="27"/>
  <c r="U6" i="97" s="1" a="1"/>
  <c r="U6" i="97" s="1"/>
  <c r="X232" i="27"/>
  <c r="U7" i="97" s="1" a="1"/>
  <c r="U7" i="97" s="1"/>
  <c r="X222" i="27"/>
  <c r="U8" i="97" s="1" a="1"/>
  <c r="U8" i="97" s="1"/>
  <c r="X231" i="27"/>
  <c r="U9" i="97" s="1" a="1"/>
  <c r="U9" i="97" s="1"/>
  <c r="X36" i="27"/>
  <c r="U73" i="97" s="1" a="1"/>
  <c r="U73" i="97" s="1"/>
  <c r="X124" i="27"/>
  <c r="U74" i="97" s="1" a="1"/>
  <c r="U74" i="97" s="1"/>
  <c r="X105" i="27"/>
  <c r="U75" i="97" s="1" a="1"/>
  <c r="U75" i="97" s="1"/>
  <c r="X233" i="27"/>
  <c r="U76" i="97" s="1" a="1"/>
  <c r="U76" i="97" s="1"/>
  <c r="X135" i="27"/>
  <c r="U77" i="97" s="1" a="1"/>
  <c r="U77" i="97" s="1"/>
  <c r="X161" i="27"/>
  <c r="U78" i="97" s="1" a="1"/>
  <c r="U78" i="97" s="1"/>
  <c r="X165" i="27"/>
  <c r="U79" i="97" s="1" a="1"/>
  <c r="U79" i="97" s="1"/>
  <c r="X24" i="27"/>
  <c r="U80" i="97" s="1" a="1"/>
  <c r="U80" i="97" s="1"/>
  <c r="X166" i="27"/>
  <c r="U81" i="97" s="1" a="1"/>
  <c r="U81" i="97" s="1"/>
  <c r="X142" i="27"/>
  <c r="U196" i="97" s="1" a="1"/>
  <c r="U196" i="97" s="1"/>
  <c r="X234" i="27"/>
  <c r="U82" i="97" s="1" a="1"/>
  <c r="U82" i="97" s="1"/>
  <c r="X118" i="27"/>
  <c r="U83" i="97" s="1" a="1"/>
  <c r="U83" i="97" s="1"/>
  <c r="X83" i="27"/>
  <c r="U84" i="97" s="1" a="1"/>
  <c r="U84" i="97" s="1"/>
  <c r="X112" i="27"/>
  <c r="U11" i="97" s="1" a="1"/>
  <c r="U11" i="97" s="1"/>
  <c r="X79" i="27"/>
  <c r="U85" i="97" s="1" a="1"/>
  <c r="U85" i="97" s="1"/>
  <c r="X235" i="27"/>
  <c r="U86" i="97" s="1" a="1"/>
  <c r="U86" i="97" s="1"/>
  <c r="X216" i="27"/>
  <c r="U87" i="97" s="1" a="1"/>
  <c r="U87" i="97" s="1"/>
  <c r="X10" i="27"/>
  <c r="U88" i="97" s="1" a="1"/>
  <c r="U88" i="97" s="1"/>
  <c r="X34" i="27"/>
  <c r="U89" i="97" s="1" a="1"/>
  <c r="U89" i="97" s="1"/>
  <c r="X215" i="27"/>
  <c r="U12" i="97" s="1" a="1"/>
  <c r="U12" i="97" s="1"/>
  <c r="X141" i="27"/>
  <c r="U90" i="97" s="1" a="1"/>
  <c r="U90" i="97" s="1"/>
  <c r="X70" i="27"/>
  <c r="U30" i="97" s="1" a="1"/>
  <c r="U30" i="97" s="1"/>
  <c r="X73" i="27"/>
  <c r="U10" i="97" s="1" a="1"/>
  <c r="U10" i="97" s="1"/>
  <c r="X134" i="27"/>
  <c r="U15" i="97" s="1" a="1"/>
  <c r="U15" i="97" s="1"/>
  <c r="X64" i="27"/>
  <c r="U31" i="97" s="1" a="1"/>
  <c r="U31" i="97" s="1"/>
  <c r="X126" i="27"/>
  <c r="U32" i="97" s="1" a="1"/>
  <c r="U32" i="97" s="1"/>
  <c r="X108" i="27"/>
  <c r="U33" i="97" s="1" a="1"/>
  <c r="U33" i="97" s="1"/>
  <c r="X21" i="27"/>
  <c r="U18" i="97" s="1" a="1"/>
  <c r="U18" i="97" s="1"/>
  <c r="X236" i="27"/>
  <c r="U91" i="97" s="1" a="1"/>
  <c r="U91" i="97" s="1"/>
  <c r="X237" i="27"/>
  <c r="U92" i="97" s="1" a="1"/>
  <c r="U92" i="97" s="1"/>
  <c r="X238" i="27"/>
  <c r="U93" i="97" s="1" a="1"/>
  <c r="U93" i="97" s="1"/>
  <c r="X156" i="27"/>
  <c r="U94" i="97" s="1" a="1"/>
  <c r="U94" i="97" s="1"/>
  <c r="X239" i="27"/>
  <c r="U95" i="97" s="1" a="1"/>
  <c r="U95" i="97" s="1"/>
  <c r="X240" i="27"/>
  <c r="U96" i="97" s="1" a="1"/>
  <c r="U96" i="97" s="1"/>
  <c r="X241" i="27"/>
  <c r="U97" i="97" s="1" a="1"/>
  <c r="U97" i="97" s="1"/>
  <c r="X65" i="27"/>
  <c r="U98" i="97" s="1" a="1"/>
  <c r="U98" i="97" s="1"/>
  <c r="X167" i="27"/>
  <c r="U20" i="97" s="1" a="1"/>
  <c r="U20" i="97" s="1"/>
  <c r="X139" i="27"/>
  <c r="U99" i="97" s="1" a="1"/>
  <c r="U99" i="97" s="1"/>
  <c r="X242" i="27"/>
  <c r="U100" i="97" s="1" a="1"/>
  <c r="U100" i="97" s="1"/>
  <c r="X137" i="27"/>
  <c r="U101" i="97" s="1" a="1"/>
  <c r="U101" i="97" s="1"/>
  <c r="X243" i="27"/>
  <c r="U102" i="97" s="1" a="1"/>
  <c r="U102" i="97" s="1"/>
  <c r="X244" i="27"/>
  <c r="U103" i="97" s="1" a="1"/>
  <c r="U103" i="97" s="1"/>
  <c r="X189" i="27"/>
  <c r="U104" i="97" s="1" a="1"/>
  <c r="U104" i="97" s="1"/>
  <c r="X245" i="27"/>
  <c r="U105" i="97" s="1" a="1"/>
  <c r="U105" i="97" s="1"/>
  <c r="X246" i="27"/>
  <c r="U106" i="97" s="1" a="1"/>
  <c r="U106" i="97" s="1"/>
  <c r="X221" i="27"/>
  <c r="U107" i="97" s="1" a="1"/>
  <c r="U107" i="97" s="1"/>
  <c r="X247" i="27"/>
  <c r="U108" i="97" s="1" a="1"/>
  <c r="U108" i="97" s="1"/>
  <c r="X76" i="27"/>
  <c r="U21" i="97" s="1" a="1"/>
  <c r="U21" i="97" s="1"/>
  <c r="X248" i="27"/>
  <c r="U22" i="97" s="1" a="1"/>
  <c r="U22" i="97" s="1"/>
  <c r="X19" i="27"/>
  <c r="U109" i="97" s="1" a="1"/>
  <c r="U109" i="97" s="1"/>
  <c r="X249" i="27"/>
  <c r="U23" i="97" s="1" a="1"/>
  <c r="U23" i="97" s="1"/>
  <c r="X250" i="27"/>
  <c r="U24" i="97" s="1" a="1"/>
  <c r="U24" i="97" s="1"/>
  <c r="X251" i="27"/>
  <c r="U110" i="97" s="1" a="1"/>
  <c r="U110" i="97" s="1"/>
  <c r="X144" i="27"/>
  <c r="U25" i="97" s="1" a="1"/>
  <c r="U25" i="97" s="1"/>
  <c r="X252" i="27"/>
  <c r="U26" i="97" s="1" a="1"/>
  <c r="U26" i="97" s="1"/>
  <c r="X113" i="27"/>
  <c r="U111" i="97" s="1" a="1"/>
  <c r="U111" i="97" s="1"/>
  <c r="X253" i="27"/>
  <c r="U27" i="97" s="1" a="1"/>
  <c r="U27" i="97" s="1"/>
  <c r="X178" i="27"/>
  <c r="U28" i="97" s="1" a="1"/>
  <c r="U28" i="97" s="1"/>
  <c r="X8" i="27"/>
  <c r="U256" i="97" s="1" a="1"/>
  <c r="U256" i="97" s="1"/>
  <c r="X57" i="27"/>
  <c r="U34" i="97" s="1" a="1"/>
  <c r="U34" i="97" s="1"/>
  <c r="X125" i="27"/>
  <c r="U35" i="97" s="1" a="1"/>
  <c r="U35" i="97" s="1"/>
  <c r="X94" i="27"/>
  <c r="U19" i="97" s="1" a="1"/>
  <c r="U19" i="97" s="1"/>
  <c r="X11" i="27"/>
  <c r="U266" i="97" s="1" a="1"/>
  <c r="U266" i="97" s="1"/>
  <c r="X50" i="27"/>
  <c r="U29" i="97" s="1" a="1"/>
  <c r="U29" i="97" s="1"/>
  <c r="X81" i="27"/>
  <c r="U2" i="97" s="1" a="1"/>
  <c r="U2" i="97" s="1"/>
  <c r="X147" i="27"/>
  <c r="U36" i="97" s="1" a="1"/>
  <c r="U36" i="97" s="1"/>
  <c r="X61" i="27"/>
  <c r="U37" i="97" s="1" a="1"/>
  <c r="U37" i="97" s="1"/>
  <c r="X119" i="27"/>
  <c r="U39" i="97" s="1" a="1"/>
  <c r="U39" i="97" s="1"/>
  <c r="X145" i="27"/>
  <c r="U112" i="97" s="1" a="1"/>
  <c r="U112" i="97" s="1"/>
  <c r="X254" i="27"/>
  <c r="U113" i="97" s="1" a="1"/>
  <c r="U113" i="97" s="1"/>
  <c r="X37" i="27"/>
  <c r="U114" i="97" s="1" a="1"/>
  <c r="U114" i="97" s="1"/>
  <c r="X255" i="27"/>
  <c r="U115" i="97" s="1" a="1"/>
  <c r="U115" i="97" s="1"/>
  <c r="X256" i="27"/>
  <c r="U116" i="97" s="1" a="1"/>
  <c r="U116" i="97" s="1"/>
  <c r="X85" i="27"/>
  <c r="U117" i="97" s="1" a="1"/>
  <c r="U117" i="97" s="1"/>
  <c r="X257" i="27"/>
  <c r="U118" i="97" s="1" a="1"/>
  <c r="U118" i="97" s="1"/>
  <c r="X33" i="27"/>
  <c r="U119" i="97" s="1" a="1"/>
  <c r="U119" i="97" s="1"/>
  <c r="X258" i="27"/>
  <c r="U120" i="97" s="1" a="1"/>
  <c r="U120" i="97" s="1"/>
  <c r="X259" i="27"/>
  <c r="U121" i="97" s="1" a="1"/>
  <c r="U121" i="97" s="1"/>
  <c r="X260" i="27"/>
  <c r="U122" i="97" s="1" a="1"/>
  <c r="U122" i="97" s="1"/>
  <c r="X261" i="27"/>
  <c r="U123" i="97" s="1" a="1"/>
  <c r="U123" i="97" s="1"/>
  <c r="X262" i="27"/>
  <c r="U124" i="97" s="1" a="1"/>
  <c r="U124" i="97" s="1"/>
  <c r="X263" i="27"/>
  <c r="U125" i="97" s="1" a="1"/>
  <c r="U125" i="97" s="1"/>
  <c r="X6" i="27"/>
  <c r="U198" i="97" s="1" a="1"/>
  <c r="U198" i="97" s="1"/>
  <c r="X264" i="27"/>
  <c r="U126" i="97" s="1" a="1"/>
  <c r="U126" i="97" s="1"/>
  <c r="X265" i="27"/>
  <c r="U330" i="97" s="1" a="1"/>
  <c r="U330" i="97" s="1"/>
  <c r="X266" i="27"/>
  <c r="U40" i="97" s="1" a="1"/>
  <c r="U40" i="97" s="1"/>
  <c r="X267" i="27"/>
  <c r="U127" i="97" s="1" a="1"/>
  <c r="U127" i="97" s="1"/>
  <c r="X268" i="27"/>
  <c r="U41" i="97" s="1" a="1"/>
  <c r="U41" i="97" s="1"/>
  <c r="X269" i="27"/>
  <c r="U128" i="97" s="1" a="1"/>
  <c r="U128" i="97" s="1"/>
  <c r="X195" i="27"/>
  <c r="U129" i="97" s="1" a="1"/>
  <c r="U129" i="97" s="1"/>
  <c r="X47" i="27"/>
  <c r="U130" i="97" s="1" a="1"/>
  <c r="U130" i="97" s="1"/>
  <c r="X270" i="27"/>
  <c r="U131" i="97" s="1" a="1"/>
  <c r="U131" i="97" s="1"/>
  <c r="X95" i="27"/>
  <c r="U3" i="97" s="1" a="1"/>
  <c r="U3" i="97" s="1"/>
  <c r="X121" i="27"/>
  <c r="U42" i="97" s="1" a="1"/>
  <c r="U42" i="97" s="1"/>
  <c r="X226" i="27"/>
  <c r="U13" i="97" s="1" a="1"/>
  <c r="U13" i="97" s="1"/>
  <c r="X54" i="27"/>
  <c r="U295" i="97" s="1" a="1"/>
  <c r="U295" i="97" s="1"/>
  <c r="X185" i="27"/>
  <c r="U132" i="97" s="1" a="1"/>
  <c r="U132" i="97" s="1"/>
  <c r="X200" i="27"/>
  <c r="U133" i="97" s="1" a="1"/>
  <c r="U133" i="97" s="1"/>
  <c r="X169" i="27"/>
  <c r="U134" i="97" s="1" a="1"/>
  <c r="U134" i="97" s="1"/>
  <c r="X225" i="27"/>
  <c r="U135" i="97" s="1" a="1"/>
  <c r="U135" i="97" s="1"/>
  <c r="X17" i="27"/>
  <c r="U136" i="97" s="1" a="1"/>
  <c r="U136" i="97" s="1"/>
  <c r="X87" i="27"/>
  <c r="U46" i="97" s="1" a="1"/>
  <c r="U46" i="97" s="1"/>
  <c r="X187" i="27"/>
  <c r="U137" i="97" s="1" a="1"/>
  <c r="U137" i="97" s="1"/>
  <c r="X210" i="27"/>
  <c r="U47" i="97" s="1" a="1"/>
  <c r="U47" i="97" s="1"/>
  <c r="X80" i="27"/>
  <c r="U48" i="97" s="1" a="1"/>
  <c r="U48" i="97" s="1"/>
  <c r="X146" i="27"/>
  <c r="U239" i="97" s="1" a="1"/>
  <c r="U239" i="97" s="1"/>
  <c r="X223" i="27"/>
  <c r="U138" i="97" s="1" a="1"/>
  <c r="U138" i="97" s="1"/>
  <c r="X86" i="27"/>
  <c r="U139" i="97" s="1" a="1"/>
  <c r="U139" i="97" s="1"/>
  <c r="X162" i="27"/>
  <c r="U242" i="97" s="1" a="1"/>
  <c r="U242" i="97" s="1"/>
  <c r="X27" i="27"/>
  <c r="U311" i="97" s="1" a="1"/>
  <c r="U311" i="97" s="1"/>
  <c r="X159" i="27"/>
  <c r="U140" i="97" s="1" a="1"/>
  <c r="U140" i="97" s="1"/>
  <c r="X230" i="27"/>
  <c r="U141" i="97" s="1" a="1"/>
  <c r="U141" i="97" s="1"/>
  <c r="X201" i="27"/>
  <c r="U142" i="97" s="1" a="1"/>
  <c r="U142" i="97" s="1"/>
  <c r="X190" i="27"/>
  <c r="U52" i="97" s="1" a="1"/>
  <c r="U52" i="97" s="1"/>
  <c r="X213" i="27"/>
  <c r="U53" i="97" s="1" a="1"/>
  <c r="U53" i="97" s="1"/>
  <c r="X157" i="27"/>
  <c r="U143" i="97" s="1" a="1"/>
  <c r="U143" i="97" s="1"/>
  <c r="X228" i="27"/>
  <c r="U144" i="97" s="1" a="1"/>
  <c r="U144" i="97" s="1"/>
  <c r="X229" i="27"/>
  <c r="U145" i="97" s="1" a="1"/>
  <c r="U145" i="97" s="1"/>
  <c r="X180" i="27"/>
  <c r="U54" i="97" s="1" a="1"/>
  <c r="U54" i="97" s="1"/>
  <c r="X211" i="27"/>
  <c r="U146" i="97" s="1" a="1"/>
  <c r="U146" i="97" s="1"/>
  <c r="X154" i="27"/>
  <c r="U147" i="97" s="1" a="1"/>
  <c r="U147" i="97" s="1"/>
  <c r="X176" i="27"/>
  <c r="U148" i="97" s="1" a="1"/>
  <c r="U148" i="97" s="1"/>
  <c r="X196" i="27"/>
  <c r="U149" i="97" s="1" a="1"/>
  <c r="U149" i="97" s="1"/>
  <c r="X197" i="27"/>
  <c r="U55" i="97" s="1" a="1"/>
  <c r="U55" i="97" s="1"/>
  <c r="X202" i="27"/>
  <c r="U56" i="97" s="1" a="1"/>
  <c r="U56" i="97" s="1"/>
  <c r="X51" i="27"/>
  <c r="U150" i="97" s="1" a="1"/>
  <c r="U150" i="97" s="1"/>
  <c r="X155" i="27"/>
  <c r="U151" i="97" s="1" a="1"/>
  <c r="U151" i="97" s="1"/>
  <c r="X271" i="27"/>
  <c r="U152" i="97" s="1" a="1"/>
  <c r="U152" i="97" s="1"/>
  <c r="X39" i="27"/>
  <c r="U153" i="97" s="1" a="1"/>
  <c r="U153" i="97" s="1"/>
  <c r="X82" i="27"/>
  <c r="U154" i="97" s="1" a="1"/>
  <c r="U154" i="97" s="1"/>
  <c r="X272" i="27"/>
  <c r="U155" i="97" s="1" a="1"/>
  <c r="U155" i="97" s="1"/>
  <c r="X127" i="27"/>
  <c r="U156" i="97" s="1" a="1"/>
  <c r="U156" i="97" s="1"/>
  <c r="X46" i="27"/>
  <c r="U157" i="97" s="1" a="1"/>
  <c r="U157" i="97" s="1"/>
  <c r="X209" i="27"/>
  <c r="U57" i="97" s="1" a="1"/>
  <c r="U57" i="97" s="1"/>
  <c r="X218" i="27"/>
  <c r="U158" i="97" s="1" a="1"/>
  <c r="U158" i="97" s="1"/>
  <c r="X78" i="27"/>
  <c r="U159" i="97" s="1" a="1"/>
  <c r="U159" i="97" s="1"/>
  <c r="X128" i="27"/>
  <c r="U160" i="97" s="1" a="1"/>
  <c r="U160" i="97" s="1"/>
  <c r="X116" i="27"/>
  <c r="U161" i="97" s="1" a="1"/>
  <c r="U161" i="97" s="1"/>
  <c r="X7" i="27"/>
  <c r="U162" i="97" s="1" a="1"/>
  <c r="U162" i="97" s="1"/>
  <c r="X63" i="27"/>
  <c r="U163" i="97" s="1" a="1"/>
  <c r="U163" i="97" s="1"/>
  <c r="X48" i="27"/>
  <c r="U164" i="97" s="1" a="1"/>
  <c r="U164" i="97" s="1"/>
  <c r="X273" i="27"/>
  <c r="U165" i="97" s="1" a="1"/>
  <c r="U165" i="97" s="1"/>
  <c r="X274" i="27"/>
  <c r="U166" i="97" s="1" a="1"/>
  <c r="U166" i="97" s="1"/>
  <c r="X32" i="27"/>
  <c r="U167" i="97" s="1" a="1"/>
  <c r="U167" i="97" s="1"/>
  <c r="X88" i="27"/>
  <c r="U58" i="97" s="1" a="1"/>
  <c r="U58" i="97" s="1"/>
  <c r="X44" i="27"/>
  <c r="U168" i="97" s="1" a="1"/>
  <c r="U168" i="97" s="1"/>
  <c r="X275" i="27"/>
  <c r="U169" i="97" s="1" a="1"/>
  <c r="U169" i="97" s="1"/>
  <c r="X130" i="27"/>
  <c r="U59" i="97" s="1" a="1"/>
  <c r="U59" i="97" s="1"/>
  <c r="X276" i="27"/>
  <c r="U170" i="97" s="1" a="1"/>
  <c r="U170" i="97" s="1"/>
  <c r="X277" i="27"/>
  <c r="U60" i="97" s="1" a="1"/>
  <c r="U60" i="97" s="1"/>
  <c r="X278" i="27"/>
  <c r="U331" i="97" s="1" a="1"/>
  <c r="U331" i="97" s="1"/>
  <c r="X279" i="27"/>
  <c r="U171" i="97" s="1" a="1"/>
  <c r="U171" i="97" s="1"/>
  <c r="X280" i="27"/>
  <c r="U172" i="97" s="1" a="1"/>
  <c r="U172" i="97" s="1"/>
  <c r="X281" i="27"/>
  <c r="U173" i="97" s="1" a="1"/>
  <c r="U173" i="97" s="1"/>
  <c r="X282" i="27"/>
  <c r="U174" i="97" s="1" a="1"/>
  <c r="U174" i="97" s="1"/>
  <c r="X283" i="27"/>
  <c r="U61" i="97" s="1" a="1"/>
  <c r="U61" i="97" s="1"/>
  <c r="X26" i="27"/>
  <c r="U332" i="97" s="1" a="1"/>
  <c r="U332" i="97" s="1"/>
  <c r="X284" i="27"/>
  <c r="U175" i="97" s="1" a="1"/>
  <c r="U175" i="97" s="1"/>
  <c r="X285" i="27"/>
  <c r="U176" i="97" s="1" a="1"/>
  <c r="U176" i="97" s="1"/>
  <c r="X286" i="27"/>
  <c r="U177" i="97" s="1" a="1"/>
  <c r="U177" i="97" s="1"/>
  <c r="X287" i="27"/>
  <c r="U178" i="97" s="1" a="1"/>
  <c r="U178" i="97" s="1"/>
  <c r="X143" i="27"/>
  <c r="U179" i="97" s="1" a="1"/>
  <c r="U179" i="97" s="1"/>
  <c r="X203" i="27"/>
  <c r="U180" i="97" s="1" a="1"/>
  <c r="U180" i="97" s="1"/>
  <c r="X288" i="27"/>
  <c r="U333" i="97" s="1" a="1"/>
  <c r="U333" i="97" s="1"/>
  <c r="X104" i="27"/>
  <c r="U181" i="97" s="1" a="1"/>
  <c r="U181" i="97" s="1"/>
  <c r="X138" i="27"/>
  <c r="U182" i="97" s="1" a="1"/>
  <c r="U182" i="97" s="1"/>
  <c r="X148" i="27"/>
  <c r="U183" i="97" s="1" a="1"/>
  <c r="U183" i="97" s="1"/>
  <c r="X224" i="27"/>
  <c r="U184" i="97" s="1" a="1"/>
  <c r="U184" i="97" s="1"/>
  <c r="X66" i="27"/>
  <c r="U14" i="97" s="1" a="1"/>
  <c r="U14" i="97" s="1"/>
  <c r="X170" i="27"/>
  <c r="U185" i="97" s="1" a="1"/>
  <c r="U185" i="97" s="1"/>
  <c r="X23" i="27"/>
  <c r="U186" i="97" s="1" a="1"/>
  <c r="U186" i="97" s="1"/>
  <c r="X93" i="27"/>
  <c r="U312" i="97" s="1" a="1"/>
  <c r="U312" i="97" s="1"/>
  <c r="X150" i="27"/>
  <c r="U187" i="97" s="1" a="1"/>
  <c r="U187" i="97" s="1"/>
  <c r="X110" i="27"/>
  <c r="U188" i="97" s="1" a="1"/>
  <c r="U188" i="97" s="1"/>
  <c r="X91" i="27"/>
  <c r="U189" i="97" s="1" a="1"/>
  <c r="U189" i="97" s="1"/>
  <c r="X52" i="27"/>
  <c r="U190" i="97" s="1" a="1"/>
  <c r="U190" i="97" s="1"/>
  <c r="X101" i="27"/>
  <c r="U191" i="97" s="1" a="1"/>
  <c r="U191" i="97" s="1"/>
  <c r="X16" i="27"/>
  <c r="U192" i="97" s="1" a="1"/>
  <c r="U192" i="97" s="1"/>
  <c r="X40" i="27"/>
  <c r="U193" i="97" s="1" a="1"/>
  <c r="U193" i="97" s="1"/>
  <c r="X35" i="27"/>
  <c r="U38" i="97" s="1" a="1"/>
  <c r="U38" i="97" s="1"/>
  <c r="X289" i="27"/>
  <c r="U194" i="97" s="1" a="1"/>
  <c r="U194" i="97" s="1"/>
  <c r="X140" i="27"/>
  <c r="U195" i="97" s="1" a="1"/>
  <c r="U195" i="97" s="1"/>
  <c r="X41" i="27"/>
  <c r="U247" i="97" s="1" a="1"/>
  <c r="U247" i="97" s="1"/>
  <c r="X151" i="27"/>
  <c r="U65" i="97" s="1" a="1"/>
  <c r="U65" i="97" s="1"/>
  <c r="X290" i="27"/>
  <c r="U334" i="97" s="1" a="1"/>
  <c r="U334" i="97" s="1"/>
  <c r="X122" i="27"/>
  <c r="U197" i="97" s="1" a="1"/>
  <c r="U197" i="97" s="1"/>
  <c r="X9" i="27"/>
  <c r="U315" i="97" s="1" a="1"/>
  <c r="U315" i="97" s="1"/>
  <c r="X43" i="27"/>
  <c r="U199" i="97" s="1" a="1"/>
  <c r="U199" i="97" s="1"/>
  <c r="X291" i="27"/>
  <c r="U200" i="97" s="1" a="1"/>
  <c r="U200" i="97" s="1"/>
  <c r="X152" i="27"/>
  <c r="U201" i="97" s="1" a="1"/>
  <c r="U201" i="97" s="1"/>
  <c r="X175" i="27"/>
  <c r="U202" i="97" s="1" a="1"/>
  <c r="U202" i="97" s="1"/>
  <c r="X74" i="27"/>
  <c r="U203" i="97" s="1" a="1"/>
  <c r="U203" i="97" s="1"/>
  <c r="X153" i="27"/>
  <c r="U204" i="97" s="1" a="1"/>
  <c r="U204" i="97" s="1"/>
  <c r="X149" i="27"/>
  <c r="U205" i="97" s="1" a="1"/>
  <c r="U205" i="97" s="1"/>
  <c r="X90" i="27"/>
  <c r="U206" i="97" s="1" a="1"/>
  <c r="U206" i="97" s="1"/>
  <c r="X96" i="27"/>
  <c r="U207" i="97" s="1" a="1"/>
  <c r="U207" i="97" s="1"/>
  <c r="X12" i="27"/>
  <c r="U208" i="97" s="1" a="1"/>
  <c r="U208" i="97" s="1"/>
  <c r="X69" i="27"/>
  <c r="U209" i="97" s="1" a="1"/>
  <c r="U209" i="97" s="1"/>
  <c r="X171" i="27"/>
  <c r="U210" i="97" s="1" a="1"/>
  <c r="U210" i="97" s="1"/>
  <c r="X186" i="27"/>
  <c r="U211" i="97" s="1" a="1"/>
  <c r="U211" i="97" s="1"/>
  <c r="X174" i="27"/>
  <c r="U66" i="97" s="1" a="1"/>
  <c r="U66" i="97" s="1"/>
  <c r="X198" i="27"/>
  <c r="U212" i="97" s="1" a="1"/>
  <c r="U212" i="97" s="1"/>
  <c r="X292" i="27"/>
  <c r="U213" i="97" s="1" a="1"/>
  <c r="U213" i="97" s="1"/>
  <c r="X131" i="27"/>
  <c r="U214" i="97" s="1" a="1"/>
  <c r="U214" i="97" s="1"/>
  <c r="X53" i="27"/>
  <c r="U215" i="97" s="1" a="1"/>
  <c r="U215" i="97" s="1"/>
  <c r="X56" i="27"/>
  <c r="U216" i="97" s="1" a="1"/>
  <c r="U216" i="97" s="1"/>
  <c r="X293" i="27"/>
  <c r="U217" i="97" s="1" a="1"/>
  <c r="U217" i="97" s="1"/>
  <c r="X294" i="27"/>
  <c r="U218" i="97" s="1" a="1"/>
  <c r="U218" i="97" s="1"/>
  <c r="X295" i="27"/>
  <c r="U219" i="97" s="1" a="1"/>
  <c r="U219" i="97" s="1"/>
  <c r="X296" i="27"/>
  <c r="U220" i="97" s="1" a="1"/>
  <c r="U220" i="97" s="1"/>
  <c r="X177" i="27"/>
  <c r="U221" i="97" s="1" a="1"/>
  <c r="U221" i="97" s="1"/>
  <c r="X92" i="27"/>
  <c r="U222" i="97" s="1" a="1"/>
  <c r="U222" i="97" s="1"/>
  <c r="X219" i="27"/>
  <c r="U335" i="97" s="1" a="1"/>
  <c r="U335" i="97" s="1"/>
  <c r="X297" i="27"/>
  <c r="U223" i="97" s="1" a="1"/>
  <c r="U223" i="97" s="1"/>
  <c r="X31" i="27"/>
  <c r="U224" i="97" s="1" a="1"/>
  <c r="U224" i="97" s="1"/>
  <c r="X77" i="27"/>
  <c r="U225" i="97" s="1" a="1"/>
  <c r="U225" i="97" s="1"/>
  <c r="X298" i="27"/>
  <c r="U226" i="97" s="1" a="1"/>
  <c r="U226" i="97" s="1"/>
  <c r="X299" i="27"/>
  <c r="U227" i="97" s="1" a="1"/>
  <c r="U227" i="97" s="1"/>
  <c r="X183" i="27"/>
  <c r="U228" i="97" s="1" a="1"/>
  <c r="U228" i="97" s="1"/>
  <c r="X98" i="27"/>
  <c r="U229" i="97" s="1" a="1"/>
  <c r="U229" i="97" s="1"/>
  <c r="X30" i="27"/>
  <c r="U230" i="97" s="1" a="1"/>
  <c r="U230" i="97" s="1"/>
  <c r="X300" i="27"/>
  <c r="U67" i="97" s="1" a="1"/>
  <c r="U67" i="97" s="1"/>
  <c r="X301" i="27"/>
  <c r="U231" i="97" s="1" a="1"/>
  <c r="U231" i="97" s="1"/>
  <c r="X302" i="27"/>
  <c r="U232" i="97" s="1" a="1"/>
  <c r="U232" i="97" s="1"/>
  <c r="X207" i="27"/>
  <c r="U233" i="97" s="1" a="1"/>
  <c r="U233" i="97" s="1"/>
  <c r="X303" i="27"/>
  <c r="U234" i="97" s="1" a="1"/>
  <c r="U234" i="97" s="1"/>
  <c r="X71" i="27"/>
  <c r="U235" i="97" s="1" a="1"/>
  <c r="U235" i="97" s="1"/>
  <c r="X182" i="27"/>
  <c r="U236" i="97" s="1" a="1"/>
  <c r="U236" i="97" s="1"/>
  <c r="X304" i="27"/>
  <c r="U237" i="97" s="1" a="1"/>
  <c r="U237" i="97" s="1"/>
  <c r="X129" i="27"/>
  <c r="U68" i="97" s="1" a="1"/>
  <c r="U68" i="97" s="1"/>
  <c r="X160" i="27"/>
  <c r="U238" i="97" s="1" a="1"/>
  <c r="U238" i="97" s="1"/>
  <c r="X25" i="27"/>
  <c r="U318" i="97" s="1" a="1"/>
  <c r="U318" i="97" s="1"/>
  <c r="X194" i="27"/>
  <c r="U240" i="97" s="1" a="1"/>
  <c r="U240" i="97" s="1"/>
  <c r="X179" i="27"/>
  <c r="U241" i="97" s="1" a="1"/>
  <c r="U241" i="97" s="1"/>
  <c r="X103" i="27"/>
  <c r="U43" i="97" s="1" a="1"/>
  <c r="U43" i="97" s="1"/>
  <c r="X227" i="27"/>
  <c r="U243" i="97" s="1" a="1"/>
  <c r="U243" i="97" s="1"/>
  <c r="X192" i="27"/>
  <c r="U244" i="97" s="1" a="1"/>
  <c r="U244" i="97" s="1"/>
  <c r="X220" i="27"/>
  <c r="U245" i="97" s="1" a="1"/>
  <c r="U245" i="97" s="1"/>
  <c r="X107" i="27"/>
  <c r="U69" i="97" s="1" a="1"/>
  <c r="U69" i="97" s="1"/>
  <c r="X100" i="27"/>
  <c r="U246" i="97" s="1" a="1"/>
  <c r="U246" i="97" s="1"/>
  <c r="X18" i="27"/>
  <c r="U319" i="97" s="1" a="1"/>
  <c r="U319" i="97" s="1"/>
  <c r="X89" i="27"/>
  <c r="U320" i="97" s="1" a="1"/>
  <c r="U320" i="97" s="1"/>
  <c r="X305" i="27"/>
  <c r="U249" i="97" s="1" a="1"/>
  <c r="U249" i="97" s="1"/>
  <c r="X306" i="27"/>
  <c r="U70" i="97" s="1" a="1"/>
  <c r="U70" i="97" s="1"/>
  <c r="X97" i="27"/>
  <c r="U250" i="97" s="1" a="1"/>
  <c r="U250" i="97" s="1"/>
  <c r="X62" i="27"/>
  <c r="U322" i="97" s="1" a="1"/>
  <c r="U322" i="97" s="1"/>
  <c r="X307" i="27"/>
  <c r="U252" i="97" s="1" a="1"/>
  <c r="U252" i="97" s="1"/>
  <c r="X308" i="27"/>
  <c r="U253" i="97" s="1" a="1"/>
  <c r="U253" i="97" s="1"/>
  <c r="X132" i="27"/>
  <c r="U254" i="97" s="1" a="1"/>
  <c r="U254" i="97" s="1"/>
  <c r="X309" i="27"/>
  <c r="U255" i="97" s="1" a="1"/>
  <c r="U255" i="97" s="1"/>
  <c r="X111" i="27"/>
  <c r="U44" i="97" s="1" a="1"/>
  <c r="U44" i="97" s="1"/>
  <c r="X133" i="27"/>
  <c r="U257" i="97" s="1" a="1"/>
  <c r="U257" i="97" s="1"/>
  <c r="X120" i="27"/>
  <c r="U336" i="97" s="1" a="1"/>
  <c r="U336" i="97" s="1"/>
  <c r="X310" i="27"/>
  <c r="U258" i="97" s="1" a="1"/>
  <c r="U258" i="97" s="1"/>
  <c r="X311" i="27"/>
  <c r="U259" i="97" s="1" a="1"/>
  <c r="U259" i="97" s="1"/>
  <c r="X72" i="27"/>
  <c r="U260" i="97" s="1" a="1"/>
  <c r="U260" i="97" s="1"/>
  <c r="X168" i="27"/>
  <c r="U261" i="97" s="1" a="1"/>
  <c r="U261" i="97" s="1"/>
  <c r="X191" i="27"/>
  <c r="U262" i="97" s="1" a="1"/>
  <c r="U262" i="97" s="1"/>
  <c r="X312" i="27"/>
  <c r="U263" i="97" s="1" a="1"/>
  <c r="U263" i="97" s="1"/>
  <c r="X313" i="27"/>
  <c r="U264" i="97" s="1" a="1"/>
  <c r="U264" i="97" s="1"/>
  <c r="X158" i="27"/>
  <c r="U265" i="97" s="1" a="1"/>
  <c r="U265" i="97" s="1"/>
  <c r="X75" i="27"/>
  <c r="U45" i="97" s="1" a="1"/>
  <c r="U45" i="97" s="1"/>
  <c r="X314" i="27"/>
  <c r="U267" i="97" s="1" a="1"/>
  <c r="U267" i="97" s="1"/>
  <c r="X212" i="27"/>
  <c r="U268" i="97" s="1" a="1"/>
  <c r="U268" i="97" s="1"/>
  <c r="X22" i="27"/>
  <c r="U269" i="97" s="1" a="1"/>
  <c r="U269" i="97" s="1"/>
  <c r="X315" i="27"/>
  <c r="U270" i="97" s="1" a="1"/>
  <c r="U270" i="97" s="1"/>
  <c r="X316" i="27"/>
  <c r="U271" i="97" s="1" a="1"/>
  <c r="U271" i="97" s="1"/>
  <c r="X317" i="27"/>
  <c r="U272" i="97" s="1" a="1"/>
  <c r="U272" i="97" s="1"/>
  <c r="X117" i="27"/>
  <c r="U273" i="97" s="1" a="1"/>
  <c r="U273" i="97" s="1"/>
  <c r="X318" i="27"/>
  <c r="U274" i="97" s="1" a="1"/>
  <c r="U274" i="97" s="1"/>
  <c r="X319" i="27"/>
  <c r="U275" i="97" s="1" a="1"/>
  <c r="U275" i="97" s="1"/>
  <c r="X320" i="27"/>
  <c r="U276" i="97" s="1" a="1"/>
  <c r="U276" i="97" s="1"/>
  <c r="X321" i="27"/>
  <c r="U277" i="97" s="1" a="1"/>
  <c r="U277" i="97" s="1"/>
  <c r="X217" i="27"/>
  <c r="U278" i="97" s="1" a="1"/>
  <c r="U278" i="97" s="1"/>
  <c r="X322" i="27"/>
  <c r="U279" i="97" s="1" a="1"/>
  <c r="U279" i="97" s="1"/>
  <c r="X164" i="27"/>
  <c r="U280" i="97" s="1" a="1"/>
  <c r="U280" i="97" s="1"/>
  <c r="X172" i="27"/>
  <c r="U281" i="97" s="1" a="1"/>
  <c r="U281" i="97" s="1"/>
  <c r="X323" i="27"/>
  <c r="U282" i="97" s="1" a="1"/>
  <c r="U282" i="97" s="1"/>
  <c r="X324" i="27"/>
  <c r="U283" i="97" s="1" a="1"/>
  <c r="U283" i="97" s="1"/>
  <c r="X208" i="27"/>
  <c r="U284" i="97" s="1" a="1"/>
  <c r="U284" i="97" s="1"/>
  <c r="X325" i="27"/>
  <c r="U285" i="97" s="1" a="1"/>
  <c r="U285" i="97" s="1"/>
  <c r="X326" i="27"/>
  <c r="U286" i="97" s="1" a="1"/>
  <c r="U286" i="97" s="1"/>
  <c r="X206" i="27"/>
  <c r="U287" i="97" s="1" a="1"/>
  <c r="U287" i="97" s="1"/>
  <c r="X327" i="27"/>
  <c r="U288" i="97" s="1" a="1"/>
  <c r="U288" i="97" s="1"/>
  <c r="X328" i="27"/>
  <c r="U289" i="97" s="1" a="1"/>
  <c r="U289" i="97" s="1"/>
  <c r="X193" i="27"/>
  <c r="U290" i="97" s="1" a="1"/>
  <c r="U290" i="97" s="1"/>
  <c r="X329" i="27"/>
  <c r="U291" i="97" s="1" a="1"/>
  <c r="U291" i="97" s="1"/>
  <c r="X163" i="27"/>
  <c r="U292" i="97" s="1" a="1"/>
  <c r="U292" i="97" s="1"/>
  <c r="X106" i="27"/>
  <c r="U293" i="97" s="1" a="1"/>
  <c r="U293" i="97" s="1"/>
  <c r="X330" i="27"/>
  <c r="U294" i="97" s="1" a="1"/>
  <c r="U294" i="97" s="1"/>
  <c r="X42" i="27"/>
  <c r="U248" i="97" s="1" a="1"/>
  <c r="U248" i="97" s="1"/>
  <c r="X331" i="27"/>
  <c r="U296" i="97" s="1" a="1"/>
  <c r="U296" i="97" s="1"/>
  <c r="X332" i="27"/>
  <c r="U297" i="97" s="1" a="1"/>
  <c r="U297" i="97" s="1"/>
  <c r="X84" i="27"/>
  <c r="U298" i="97" s="1" a="1"/>
  <c r="U298" i="97" s="1"/>
  <c r="X333" i="27"/>
  <c r="U299" i="97" s="1" a="1"/>
  <c r="U299" i="97" s="1"/>
  <c r="X102" i="27"/>
  <c r="U300" i="97" s="1" a="1"/>
  <c r="U300" i="97" s="1"/>
  <c r="X181" i="27"/>
  <c r="U301" i="97" s="1" a="1"/>
  <c r="U301" i="97" s="1"/>
  <c r="X214" i="27"/>
  <c r="U302" i="97" s="1" a="1"/>
  <c r="U302" i="97" s="1"/>
  <c r="X334" i="27"/>
  <c r="U303" i="97" s="1" a="1"/>
  <c r="U303" i="97" s="1"/>
  <c r="X99" i="27"/>
  <c r="U304" i="97" s="1" a="1"/>
  <c r="U304" i="97" s="1"/>
  <c r="X335" i="27"/>
  <c r="U305" i="97" s="1" a="1"/>
  <c r="U305" i="97" s="1"/>
  <c r="X336" i="27"/>
  <c r="U306" i="97" s="1" a="1"/>
  <c r="U306" i="97" s="1"/>
  <c r="X188" i="27"/>
  <c r="U307" i="97" s="1" a="1"/>
  <c r="U307" i="97" s="1"/>
  <c r="X173" i="27"/>
  <c r="U308" i="97" s="1" a="1"/>
  <c r="U308" i="97" s="1"/>
  <c r="X337" i="27"/>
  <c r="U71" i="97" s="1" a="1"/>
  <c r="U71" i="97" s="1"/>
  <c r="X205" i="27"/>
  <c r="U72" i="97" s="1" a="1"/>
  <c r="U72" i="97" s="1"/>
  <c r="X38" i="27"/>
  <c r="U309" i="97" s="1" a="1"/>
  <c r="U309" i="97" s="1"/>
  <c r="X15" i="27"/>
  <c r="U310" i="97" s="1" a="1"/>
  <c r="U310" i="97" s="1"/>
  <c r="X114" i="27"/>
  <c r="U49" i="97" s="1" a="1"/>
  <c r="U49" i="97" s="1"/>
  <c r="X45" i="27"/>
  <c r="U50" i="97" s="1" a="1"/>
  <c r="U50" i="97" s="1"/>
  <c r="X136" i="27"/>
  <c r="U313" i="97" s="1" a="1"/>
  <c r="U313" i="97" s="1"/>
  <c r="X29" i="27"/>
  <c r="U314" i="97" s="1" a="1"/>
  <c r="U314" i="97" s="1"/>
  <c r="X115" i="27"/>
  <c r="U16" i="97" s="1" a="1"/>
  <c r="U16" i="97" s="1"/>
  <c r="X55" i="27"/>
  <c r="U316" i="97" s="1" a="1"/>
  <c r="U316" i="97" s="1"/>
  <c r="X28" i="27"/>
  <c r="U317" i="97" s="1" a="1"/>
  <c r="U317" i="97" s="1"/>
  <c r="X49" i="27"/>
  <c r="U51" i="97" s="1" a="1"/>
  <c r="U51" i="97" s="1"/>
  <c r="X20" i="27"/>
  <c r="U62" i="97" s="1" a="1"/>
  <c r="U62" i="97" s="1"/>
  <c r="X5" i="27"/>
  <c r="U323" i="97" s="1" a="1"/>
  <c r="U323" i="97" s="1"/>
  <c r="X68" i="27"/>
  <c r="U321" i="97" s="1" a="1"/>
  <c r="U321" i="97" s="1"/>
  <c r="X58" i="27"/>
  <c r="U63" i="97" s="1" a="1"/>
  <c r="U63" i="97" s="1"/>
  <c r="X59" i="27"/>
  <c r="U64" i="97" s="1" a="1"/>
  <c r="U64" i="97" s="1"/>
  <c r="X13" i="27"/>
  <c r="U324" i="97" s="1" a="1"/>
  <c r="U324" i="97" s="1"/>
  <c r="X67" i="27"/>
  <c r="U325" i="97" s="1" a="1"/>
  <c r="U325" i="97" s="1"/>
  <c r="X123" i="27"/>
  <c r="U326" i="97" s="1" a="1"/>
  <c r="U326" i="97" s="1"/>
  <c r="X338" i="27"/>
  <c r="U327" i="97" s="1" a="1"/>
  <c r="U327" i="97" s="1"/>
  <c r="X109" i="27"/>
  <c r="U328" i="97" s="1" a="1"/>
  <c r="U328" i="97" s="1"/>
  <c r="X14" i="27"/>
  <c r="U329" i="97" s="1" a="1"/>
  <c r="U329" i="97" s="1"/>
  <c r="Z102" i="97" l="1" a="1"/>
  <c r="Z102" i="97" s="1"/>
  <c r="P50" i="96" a="1"/>
  <c r="P50" i="96" s="1"/>
  <c r="Z277" i="97" a="1"/>
  <c r="Z277" i="97" s="1"/>
  <c r="P282" i="96" a="1"/>
  <c r="P282" i="96" s="1"/>
  <c r="Z327" i="97" a="1"/>
  <c r="Z327" i="97" s="1"/>
  <c r="P334" i="96" a="1"/>
  <c r="P334" i="96" s="1"/>
  <c r="Z334" i="97" a="1"/>
  <c r="Z334" i="97" s="1"/>
  <c r="P194" i="96" a="1"/>
  <c r="P194" i="96" s="1"/>
  <c r="Z196" i="97" a="1"/>
  <c r="Z196" i="97" s="1"/>
  <c r="P19" i="96" a="1"/>
  <c r="P19" i="96" s="1"/>
  <c r="Z267" i="97" a="1"/>
  <c r="Z267" i="97" s="1"/>
  <c r="P272" i="96" a="1"/>
  <c r="P272" i="96" s="1"/>
  <c r="Z291" i="97" a="1"/>
  <c r="Z291" i="97" s="1"/>
  <c r="P296" i="96" a="1"/>
  <c r="P296" i="96" s="1"/>
  <c r="Z68" i="97" a="1"/>
  <c r="Z68" i="97" s="1"/>
  <c r="P239" i="96" a="1"/>
  <c r="P239" i="96" s="1"/>
  <c r="Z304" i="97" a="1"/>
  <c r="Z304" i="97" s="1"/>
  <c r="P309" i="96" a="1"/>
  <c r="P309" i="96" s="1"/>
  <c r="Z258" i="97" a="1"/>
  <c r="Z258" i="97" s="1"/>
  <c r="P263" i="96" a="1"/>
  <c r="P263" i="96" s="1"/>
  <c r="Z326" i="97" a="1"/>
  <c r="Z326" i="97" s="1"/>
  <c r="P333" i="96" a="1"/>
  <c r="P333" i="96" s="1"/>
  <c r="Z99" i="97" a="1"/>
  <c r="Z99" i="97" s="1"/>
  <c r="P47" i="96" a="1"/>
  <c r="P47" i="96" s="1"/>
  <c r="Z204" i="97" a="1"/>
  <c r="Z204" i="97" s="1"/>
  <c r="P202" i="96" a="1"/>
  <c r="P202" i="96" s="1"/>
  <c r="Z306" i="97" a="1"/>
  <c r="Z306" i="97" s="1"/>
  <c r="P311" i="96" a="1"/>
  <c r="P311" i="96" s="1"/>
  <c r="Z216" i="97" a="1"/>
  <c r="Z216" i="97" s="1"/>
  <c r="P215" i="96" a="1"/>
  <c r="P215" i="96" s="1"/>
  <c r="Z195" i="97" a="1"/>
  <c r="Z195" i="97" s="1"/>
  <c r="P191" i="96" a="1"/>
  <c r="P191" i="96" s="1"/>
  <c r="A4" i="94"/>
  <c r="X39" i="93" l="1"/>
  <c r="Y293" i="93"/>
  <c r="X10" i="93"/>
  <c r="X45" i="93"/>
  <c r="X76" i="93"/>
  <c r="X108" i="93"/>
  <c r="X140" i="93"/>
  <c r="X170" i="93"/>
  <c r="X202" i="93"/>
  <c r="X232" i="93"/>
  <c r="X266" i="93"/>
  <c r="X299" i="93"/>
  <c r="X333" i="93"/>
  <c r="Y33" i="93"/>
  <c r="Y64" i="93"/>
  <c r="Y97" i="93"/>
  <c r="Y129" i="93"/>
  <c r="Y159" i="93"/>
  <c r="Y192" i="93"/>
  <c r="Y222" i="93"/>
  <c r="Y253" i="93"/>
  <c r="Y284" i="93"/>
  <c r="Y315" i="93"/>
  <c r="Z14" i="93"/>
  <c r="Z46" i="93"/>
  <c r="Z78" i="93"/>
  <c r="Z108" i="93"/>
  <c r="Z139" i="93"/>
  <c r="Z170" i="93"/>
  <c r="Z202" i="93"/>
  <c r="Z232" i="93"/>
  <c r="Z265" i="93"/>
  <c r="Z297" i="93"/>
  <c r="Z327" i="93"/>
  <c r="AA27" i="93"/>
  <c r="AA59" i="93"/>
  <c r="AA88" i="93"/>
  <c r="AA121" i="93"/>
  <c r="AA152" i="93"/>
  <c r="AA182" i="93"/>
  <c r="AA215" i="93"/>
  <c r="AA246" i="93"/>
  <c r="AA275" i="93"/>
  <c r="AA304" i="93"/>
  <c r="AA337" i="93"/>
  <c r="Z205" i="93"/>
  <c r="Y333" i="93"/>
  <c r="Z41" i="93"/>
  <c r="Z96" i="93"/>
  <c r="X161" i="93"/>
  <c r="X11" i="93"/>
  <c r="X46" i="93"/>
  <c r="X78" i="93"/>
  <c r="X109" i="93"/>
  <c r="X141" i="93"/>
  <c r="X171" i="93"/>
  <c r="X203" i="93"/>
  <c r="X235" i="93"/>
  <c r="X267" i="93"/>
  <c r="X300" i="93"/>
  <c r="X334" i="93"/>
  <c r="Y34" i="93"/>
  <c r="Y67" i="93"/>
  <c r="Y98" i="93"/>
  <c r="Y130" i="93"/>
  <c r="Y160" i="93"/>
  <c r="Y193" i="93"/>
  <c r="Y224" i="93"/>
  <c r="Y254" i="93"/>
  <c r="Y285" i="93"/>
  <c r="Y316" i="93"/>
  <c r="Z15" i="93"/>
  <c r="Z47" i="93"/>
  <c r="Z80" i="93"/>
  <c r="Z109" i="93"/>
  <c r="Z141" i="93"/>
  <c r="Z171" i="93"/>
  <c r="Z203" i="93"/>
  <c r="Z235" i="93"/>
  <c r="Z266" i="93"/>
  <c r="Z298" i="93"/>
  <c r="Z328" i="93"/>
  <c r="AA28" i="93"/>
  <c r="AA60" i="93"/>
  <c r="AA90" i="93"/>
  <c r="AA122" i="93"/>
  <c r="AA153" i="93"/>
  <c r="AA183" i="93"/>
  <c r="AA217" i="93"/>
  <c r="AA248" i="93"/>
  <c r="AA276" i="93"/>
  <c r="AA307" i="93"/>
  <c r="AA338" i="93"/>
  <c r="Z82" i="93"/>
  <c r="X94" i="93"/>
  <c r="AA262" i="93"/>
  <c r="Y42" i="93"/>
  <c r="Y162" i="93"/>
  <c r="X12" i="93"/>
  <c r="X47" i="93"/>
  <c r="X80" i="93"/>
  <c r="X110" i="93"/>
  <c r="X142" i="93"/>
  <c r="X172" i="93"/>
  <c r="X204" i="93"/>
  <c r="X237" i="93"/>
  <c r="X268" i="93"/>
  <c r="X301" i="93"/>
  <c r="X335" i="93"/>
  <c r="Y35" i="93"/>
  <c r="Y69" i="93"/>
  <c r="Y99" i="93"/>
  <c r="Y131" i="93"/>
  <c r="Y163" i="93"/>
  <c r="Y194" i="93"/>
  <c r="Y225" i="93"/>
  <c r="Y255" i="93"/>
  <c r="Y286" i="93"/>
  <c r="Y318" i="93"/>
  <c r="Z16" i="93"/>
  <c r="Z49" i="93"/>
  <c r="Z81" i="93"/>
  <c r="Z110" i="93"/>
  <c r="Z142" i="93"/>
  <c r="Z172" i="93"/>
  <c r="Z204" i="93"/>
  <c r="Z237" i="93"/>
  <c r="Z267" i="93"/>
  <c r="Z299" i="93"/>
  <c r="Z331" i="93"/>
  <c r="AA30" i="93"/>
  <c r="AA61" i="93"/>
  <c r="AA91" i="93"/>
  <c r="AA123" i="93"/>
  <c r="AA154" i="93"/>
  <c r="AA184" i="93"/>
  <c r="AA218" i="93"/>
  <c r="AA249" i="93"/>
  <c r="AA277" i="93"/>
  <c r="AA309" i="93"/>
  <c r="Z174" i="93"/>
  <c r="Y268" i="93"/>
  <c r="Z249" i="93"/>
  <c r="AA104" i="93"/>
  <c r="Y272" i="93"/>
  <c r="AA230" i="93"/>
  <c r="Z44" i="93"/>
  <c r="Z101" i="93"/>
  <c r="X164" i="93"/>
  <c r="X13" i="93"/>
  <c r="X49" i="93"/>
  <c r="X81" i="93"/>
  <c r="X111" i="93"/>
  <c r="X143" i="93"/>
  <c r="X174" i="93"/>
  <c r="X205" i="93"/>
  <c r="X238" i="93"/>
  <c r="X270" i="93"/>
  <c r="X302" i="93"/>
  <c r="X337" i="93"/>
  <c r="Y36" i="93"/>
  <c r="Y70" i="93"/>
  <c r="Y100" i="93"/>
  <c r="Y132" i="93"/>
  <c r="Y165" i="93"/>
  <c r="Y195" i="93"/>
  <c r="Y226" i="93"/>
  <c r="Y256" i="93"/>
  <c r="Y287" i="93"/>
  <c r="Y320" i="93"/>
  <c r="Z19" i="93"/>
  <c r="Z50" i="93"/>
  <c r="Z111" i="93"/>
  <c r="Z143" i="93"/>
  <c r="Z238" i="93"/>
  <c r="Z268" i="93"/>
  <c r="Z300" i="93"/>
  <c r="Z333" i="93"/>
  <c r="AA32" i="93"/>
  <c r="AA62" i="93"/>
  <c r="AA93" i="93"/>
  <c r="AA124" i="93"/>
  <c r="AA155" i="93"/>
  <c r="AA187" i="93"/>
  <c r="AA219" i="93"/>
  <c r="AA250" i="93"/>
  <c r="AA278" i="93"/>
  <c r="AA310" i="93"/>
  <c r="AA228" i="93"/>
  <c r="Y48" i="93"/>
  <c r="Z103" i="93"/>
  <c r="Y234" i="93"/>
  <c r="X14" i="93"/>
  <c r="X50" i="93"/>
  <c r="X82" i="93"/>
  <c r="X112" i="93"/>
  <c r="X145" i="93"/>
  <c r="X176" i="93"/>
  <c r="X206" i="93"/>
  <c r="X239" i="93"/>
  <c r="X272" i="93"/>
  <c r="X303" i="93"/>
  <c r="X338" i="93"/>
  <c r="Y37" i="93"/>
  <c r="Y71" i="93"/>
  <c r="Y102" i="93"/>
  <c r="Y133" i="93"/>
  <c r="Y166" i="93"/>
  <c r="Y196" i="93"/>
  <c r="Y227" i="93"/>
  <c r="Y259" i="93"/>
  <c r="Y289" i="93"/>
  <c r="Y321" i="93"/>
  <c r="Z21" i="93"/>
  <c r="Z51" i="93"/>
  <c r="Z83" i="93"/>
  <c r="Z112" i="93"/>
  <c r="Z145" i="93"/>
  <c r="Z176" i="93"/>
  <c r="Z206" i="93"/>
  <c r="Z239" i="93"/>
  <c r="Z270" i="93"/>
  <c r="Z301" i="93"/>
  <c r="Z334" i="93"/>
  <c r="AA33" i="93"/>
  <c r="AA63" i="93"/>
  <c r="AA94" i="93"/>
  <c r="AA126" i="93"/>
  <c r="AA156" i="93"/>
  <c r="AA189" i="93"/>
  <c r="AA220" i="93"/>
  <c r="AA251" i="93"/>
  <c r="AA279" i="93"/>
  <c r="AA311" i="93"/>
  <c r="Y167" i="93"/>
  <c r="AA157" i="93"/>
  <c r="AA280" i="93"/>
  <c r="Y143" i="93"/>
  <c r="Z123" i="93"/>
  <c r="Z311" i="93"/>
  <c r="AA198" i="93"/>
  <c r="Z156" i="93"/>
  <c r="X53" i="93"/>
  <c r="AA173" i="93"/>
  <c r="X305" i="93"/>
  <c r="X16" i="93"/>
  <c r="X51" i="93"/>
  <c r="X83" i="93"/>
  <c r="X115" i="93"/>
  <c r="X146" i="93"/>
  <c r="X177" i="93"/>
  <c r="X207" i="93"/>
  <c r="X241" i="93"/>
  <c r="X273" i="93"/>
  <c r="X304" i="93"/>
  <c r="Y8" i="93"/>
  <c r="Y38" i="93"/>
  <c r="Y73" i="93"/>
  <c r="Y104" i="93"/>
  <c r="Y134" i="93"/>
  <c r="Y198" i="93"/>
  <c r="Y228" i="93"/>
  <c r="Y261" i="93"/>
  <c r="Y290" i="93"/>
  <c r="Y322" i="93"/>
  <c r="Z22" i="93"/>
  <c r="Z52" i="93"/>
  <c r="Z84" i="93"/>
  <c r="Z115" i="93"/>
  <c r="Z146" i="93"/>
  <c r="Z177" i="93"/>
  <c r="Z207" i="93"/>
  <c r="Z241" i="93"/>
  <c r="Z272" i="93"/>
  <c r="Z302" i="93"/>
  <c r="Z335" i="93"/>
  <c r="AA34" i="93"/>
  <c r="AA64" i="93"/>
  <c r="AA95" i="93"/>
  <c r="AA128" i="93"/>
  <c r="AA190" i="93"/>
  <c r="AA222" i="93"/>
  <c r="AA252" i="93"/>
  <c r="AA313" i="93"/>
  <c r="AA289" i="93"/>
  <c r="Z55" i="93"/>
  <c r="X240" i="93"/>
  <c r="X19" i="93"/>
  <c r="X52" i="93"/>
  <c r="X84" i="93"/>
  <c r="X117" i="93"/>
  <c r="X147" i="93"/>
  <c r="X178" i="93"/>
  <c r="X208" i="93"/>
  <c r="X242" i="93"/>
  <c r="X274" i="93"/>
  <c r="X307" i="93"/>
  <c r="Y9" i="93"/>
  <c r="Y39" i="93"/>
  <c r="Y74" i="93"/>
  <c r="Y105" i="93"/>
  <c r="Y135" i="93"/>
  <c r="Y169" i="93"/>
  <c r="Y200" i="93"/>
  <c r="Y229" i="93"/>
  <c r="Y262" i="93"/>
  <c r="Y291" i="93"/>
  <c r="Y323" i="93"/>
  <c r="Z23" i="93"/>
  <c r="Z54" i="93"/>
  <c r="Z85" i="93"/>
  <c r="Z117" i="93"/>
  <c r="Z147" i="93"/>
  <c r="Z178" i="93"/>
  <c r="Z208" i="93"/>
  <c r="Z242" i="93"/>
  <c r="Z273" i="93"/>
  <c r="Z303" i="93"/>
  <c r="Z337" i="93"/>
  <c r="AA35" i="93"/>
  <c r="AA67" i="93"/>
  <c r="AA97" i="93"/>
  <c r="AA129" i="93"/>
  <c r="AA158" i="93"/>
  <c r="AA191" i="93"/>
  <c r="AA223" i="93"/>
  <c r="AA253" i="93"/>
  <c r="AA282" i="93"/>
  <c r="AA314" i="93"/>
  <c r="AA169" i="93"/>
  <c r="AA113" i="93"/>
  <c r="Z245" i="93"/>
  <c r="X21" i="93"/>
  <c r="X54" i="93"/>
  <c r="X85" i="93"/>
  <c r="X118" i="93"/>
  <c r="X148" i="93"/>
  <c r="X179" i="93"/>
  <c r="X211" i="93"/>
  <c r="X243" i="93"/>
  <c r="X275" i="93"/>
  <c r="X309" i="93"/>
  <c r="Y10" i="93"/>
  <c r="Y40" i="93"/>
  <c r="Y75" i="93"/>
  <c r="Y106" i="93"/>
  <c r="Y136" i="93"/>
  <c r="Y170" i="93"/>
  <c r="Y201" i="93"/>
  <c r="Y230" i="93"/>
  <c r="Y263" i="93"/>
  <c r="Y292" i="93"/>
  <c r="Y324" i="93"/>
  <c r="Z25" i="93"/>
  <c r="Z56" i="93"/>
  <c r="Z86" i="93"/>
  <c r="Z118" i="93"/>
  <c r="Z148" i="93"/>
  <c r="Z179" i="93"/>
  <c r="Z211" i="93"/>
  <c r="Z243" i="93"/>
  <c r="Z274" i="93"/>
  <c r="Z304" i="93"/>
  <c r="Z338" i="93"/>
  <c r="AA36" i="93"/>
  <c r="AA69" i="93"/>
  <c r="AA98" i="93"/>
  <c r="AA130" i="93"/>
  <c r="AA159" i="93"/>
  <c r="AA193" i="93"/>
  <c r="AA224" i="93"/>
  <c r="AA254" i="93"/>
  <c r="AA283" i="93"/>
  <c r="AA315" i="93"/>
  <c r="AA291" i="93"/>
  <c r="Y114" i="93"/>
  <c r="Z312" i="93"/>
  <c r="X22" i="93"/>
  <c r="X56" i="93"/>
  <c r="X86" i="93"/>
  <c r="X119" i="93"/>
  <c r="X150" i="93"/>
  <c r="X180" i="93"/>
  <c r="X212" i="93"/>
  <c r="X244" i="93"/>
  <c r="X276" i="93"/>
  <c r="X310" i="93"/>
  <c r="Y11" i="93"/>
  <c r="Y43" i="93"/>
  <c r="Y76" i="93"/>
  <c r="Y107" i="93"/>
  <c r="Y139" i="93"/>
  <c r="Y171" i="93"/>
  <c r="Y202" i="93"/>
  <c r="Y231" i="93"/>
  <c r="Y265" i="93"/>
  <c r="Y294" i="93"/>
  <c r="Y325" i="93"/>
  <c r="Z26" i="93"/>
  <c r="Z57" i="93"/>
  <c r="Z87" i="93"/>
  <c r="Z119" i="93"/>
  <c r="Z150" i="93"/>
  <c r="Z180" i="93"/>
  <c r="Z213" i="93"/>
  <c r="Z244" i="93"/>
  <c r="Z275" i="93"/>
  <c r="Z307" i="93"/>
  <c r="AA8" i="93"/>
  <c r="AA37" i="93"/>
  <c r="AA70" i="93"/>
  <c r="AA99" i="93"/>
  <c r="AA131" i="93"/>
  <c r="AA160" i="93"/>
  <c r="AA194" i="93"/>
  <c r="AA225" i="93"/>
  <c r="AA255" i="93"/>
  <c r="AA285" i="93"/>
  <c r="AA316" i="93"/>
  <c r="X28" i="93"/>
  <c r="Z116" i="93"/>
  <c r="X23" i="93"/>
  <c r="X57" i="93"/>
  <c r="X87" i="93"/>
  <c r="X121" i="93"/>
  <c r="X152" i="93"/>
  <c r="X181" i="93"/>
  <c r="X213" i="93"/>
  <c r="X246" i="93"/>
  <c r="X277" i="93"/>
  <c r="X311" i="93"/>
  <c r="Y12" i="93"/>
  <c r="Y45" i="93"/>
  <c r="Y77" i="93"/>
  <c r="Y108" i="93"/>
  <c r="Y141" i="93"/>
  <c r="Y172" i="93"/>
  <c r="Y203" i="93"/>
  <c r="Y232" i="93"/>
  <c r="Y266" i="93"/>
  <c r="Y296" i="93"/>
  <c r="Y326" i="93"/>
  <c r="Z27" i="93"/>
  <c r="Z58" i="93"/>
  <c r="Z88" i="93"/>
  <c r="Z121" i="93"/>
  <c r="Z152" i="93"/>
  <c r="Z181" i="93"/>
  <c r="Z214" i="93"/>
  <c r="Z246" i="93"/>
  <c r="Z276" i="93"/>
  <c r="Z309" i="93"/>
  <c r="AA9" i="93"/>
  <c r="AA38" i="93"/>
  <c r="AA71" i="93"/>
  <c r="AA100" i="93"/>
  <c r="AA132" i="93"/>
  <c r="AA163" i="93"/>
  <c r="AA195" i="93"/>
  <c r="AA226" i="93"/>
  <c r="AA256" i="93"/>
  <c r="AA286" i="93"/>
  <c r="AA318" i="93"/>
  <c r="AA120" i="93"/>
  <c r="X26" i="93"/>
  <c r="X59" i="93"/>
  <c r="X91" i="93"/>
  <c r="X154" i="93"/>
  <c r="X183" i="93"/>
  <c r="X215" i="93"/>
  <c r="X249" i="93"/>
  <c r="X314" i="93"/>
  <c r="Y47" i="93"/>
  <c r="Y110" i="93"/>
  <c r="Y237" i="93"/>
  <c r="Y328" i="93"/>
  <c r="Z154" i="93"/>
  <c r="Z278" i="93"/>
  <c r="AA73" i="93"/>
  <c r="Y112" i="93"/>
  <c r="Z126" i="93"/>
  <c r="AA75" i="93"/>
  <c r="Y63" i="93"/>
  <c r="Z186" i="93"/>
  <c r="Y317" i="93"/>
  <c r="X25" i="93"/>
  <c r="X58" i="93"/>
  <c r="X88" i="93"/>
  <c r="X122" i="93"/>
  <c r="X153" i="93"/>
  <c r="X182" i="93"/>
  <c r="X214" i="93"/>
  <c r="X248" i="93"/>
  <c r="X278" i="93"/>
  <c r="X313" i="93"/>
  <c r="Y13" i="93"/>
  <c r="Y46" i="93"/>
  <c r="Y78" i="93"/>
  <c r="Y109" i="93"/>
  <c r="Y142" i="93"/>
  <c r="Y174" i="93"/>
  <c r="Y204" i="93"/>
  <c r="Y235" i="93"/>
  <c r="Y267" i="93"/>
  <c r="Y297" i="93"/>
  <c r="Y327" i="93"/>
  <c r="Z28" i="93"/>
  <c r="Z59" i="93"/>
  <c r="Z89" i="93"/>
  <c r="Z122" i="93"/>
  <c r="Z153" i="93"/>
  <c r="Z182" i="93"/>
  <c r="Z215" i="93"/>
  <c r="Z248" i="93"/>
  <c r="Z277" i="93"/>
  <c r="Z310" i="93"/>
  <c r="AA10" i="93"/>
  <c r="AA39" i="93"/>
  <c r="AA72" i="93"/>
  <c r="AA102" i="93"/>
  <c r="AA133" i="93"/>
  <c r="AA165" i="93"/>
  <c r="AA196" i="93"/>
  <c r="AA227" i="93"/>
  <c r="AA258" i="93"/>
  <c r="AA287" i="93"/>
  <c r="AA320" i="93"/>
  <c r="Z65" i="93"/>
  <c r="Y258" i="93"/>
  <c r="X123" i="93"/>
  <c r="X279" i="93"/>
  <c r="Y14" i="93"/>
  <c r="Y80" i="93"/>
  <c r="Y176" i="93"/>
  <c r="Y298" i="93"/>
  <c r="Z91" i="93"/>
  <c r="Z217" i="93"/>
  <c r="AA11" i="93"/>
  <c r="AA166" i="93"/>
  <c r="Y239" i="93"/>
  <c r="AA45" i="93"/>
  <c r="Z66" i="93"/>
  <c r="Y125" i="93"/>
  <c r="X192" i="93"/>
  <c r="X27" i="93"/>
  <c r="X60" i="93"/>
  <c r="X93" i="93"/>
  <c r="X124" i="93"/>
  <c r="X155" i="93"/>
  <c r="X184" i="93"/>
  <c r="X217" i="93"/>
  <c r="X250" i="93"/>
  <c r="X280" i="93"/>
  <c r="X315" i="93"/>
  <c r="Y15" i="93"/>
  <c r="Y49" i="93"/>
  <c r="Y81" i="93"/>
  <c r="Y111" i="93"/>
  <c r="Y145" i="93"/>
  <c r="Y177" i="93"/>
  <c r="Y206" i="93"/>
  <c r="Y238" i="93"/>
  <c r="Y270" i="93"/>
  <c r="Y299" i="93"/>
  <c r="Y331" i="93"/>
  <c r="Z30" i="93"/>
  <c r="Z61" i="93"/>
  <c r="Z93" i="93"/>
  <c r="Z124" i="93"/>
  <c r="Z155" i="93"/>
  <c r="Z184" i="93"/>
  <c r="Z218" i="93"/>
  <c r="Z250" i="93"/>
  <c r="Z279" i="93"/>
  <c r="Z313" i="93"/>
  <c r="AA12" i="93"/>
  <c r="AA43" i="93"/>
  <c r="AA74" i="93"/>
  <c r="AA105" i="93"/>
  <c r="AA135" i="93"/>
  <c r="AA167" i="93"/>
  <c r="AA200" i="93"/>
  <c r="AA229" i="93"/>
  <c r="AA261" i="93"/>
  <c r="AA290" i="93"/>
  <c r="AA322" i="93"/>
  <c r="Z68" i="93"/>
  <c r="AA197" i="93"/>
  <c r="X327" i="93"/>
  <c r="X61" i="93"/>
  <c r="X126" i="93"/>
  <c r="X251" i="93"/>
  <c r="X283" i="93"/>
  <c r="X316" i="93"/>
  <c r="Y16" i="93"/>
  <c r="Y146" i="93"/>
  <c r="Y207" i="93"/>
  <c r="Z94" i="93"/>
  <c r="Z280" i="93"/>
  <c r="AA201" i="93"/>
  <c r="X70" i="93"/>
  <c r="Y264" i="93"/>
  <c r="X329" i="93"/>
  <c r="X30" i="93"/>
  <c r="X62" i="93"/>
  <c r="X95" i="93"/>
  <c r="X128" i="93"/>
  <c r="X157" i="93"/>
  <c r="X189" i="93"/>
  <c r="X219" i="93"/>
  <c r="X252" i="93"/>
  <c r="X285" i="93"/>
  <c r="X318" i="93"/>
  <c r="Y19" i="93"/>
  <c r="Y51" i="93"/>
  <c r="Y83" i="93"/>
  <c r="Y115" i="93"/>
  <c r="Y147" i="93"/>
  <c r="Y179" i="93"/>
  <c r="Y208" i="93"/>
  <c r="Y241" i="93"/>
  <c r="Y273" i="93"/>
  <c r="Y301" i="93"/>
  <c r="Y334" i="93"/>
  <c r="Z33" i="93"/>
  <c r="Z63" i="93"/>
  <c r="Z95" i="93"/>
  <c r="Z128" i="93"/>
  <c r="Z157" i="93"/>
  <c r="Z189" i="93"/>
  <c r="Z220" i="93"/>
  <c r="Z252" i="93"/>
  <c r="Z283" i="93"/>
  <c r="Z315" i="93"/>
  <c r="AA14" i="93"/>
  <c r="AA46" i="93"/>
  <c r="AA76" i="93"/>
  <c r="AA107" i="93"/>
  <c r="AA138" i="93"/>
  <c r="AA170" i="93"/>
  <c r="AA202" i="93"/>
  <c r="AA231" i="93"/>
  <c r="AA263" i="93"/>
  <c r="AA292" i="93"/>
  <c r="AA324" i="93"/>
  <c r="X218" i="93"/>
  <c r="X15" i="93"/>
  <c r="X135" i="93"/>
  <c r="Y269" i="93"/>
  <c r="X330" i="93"/>
  <c r="X32" i="93"/>
  <c r="X63" i="93"/>
  <c r="X97" i="93"/>
  <c r="X129" i="93"/>
  <c r="X158" i="93"/>
  <c r="X190" i="93"/>
  <c r="X220" i="93"/>
  <c r="X253" i="93"/>
  <c r="X287" i="93"/>
  <c r="X320" i="93"/>
  <c r="Y21" i="93"/>
  <c r="Y52" i="93"/>
  <c r="Y84" i="93"/>
  <c r="Y117" i="93"/>
  <c r="Y148" i="93"/>
  <c r="Y180" i="93"/>
  <c r="Y209" i="93"/>
  <c r="Y242" i="93"/>
  <c r="Y274" i="93"/>
  <c r="Y302" i="93"/>
  <c r="Y335" i="93"/>
  <c r="Z34" i="93"/>
  <c r="Z64" i="93"/>
  <c r="Z97" i="93"/>
  <c r="Z129" i="93"/>
  <c r="Z158" i="93"/>
  <c r="Z190" i="93"/>
  <c r="Z222" i="93"/>
  <c r="Z253" i="93"/>
  <c r="Z285" i="93"/>
  <c r="Z316" i="93"/>
  <c r="AA15" i="93"/>
  <c r="AA47" i="93"/>
  <c r="AA78" i="93"/>
  <c r="AA108" i="93"/>
  <c r="AA139" i="93"/>
  <c r="AA171" i="93"/>
  <c r="AA203" i="93"/>
  <c r="AA232" i="93"/>
  <c r="AA265" i="93"/>
  <c r="AA294" i="93"/>
  <c r="AA325" i="93"/>
  <c r="Z29" i="93"/>
  <c r="AA134" i="93"/>
  <c r="X187" i="93"/>
  <c r="AA323" i="93"/>
  <c r="Z17" i="93"/>
  <c r="X77" i="93"/>
  <c r="AA137" i="93"/>
  <c r="X332" i="93"/>
  <c r="X33" i="93"/>
  <c r="X64" i="93"/>
  <c r="X98" i="93"/>
  <c r="X130" i="93"/>
  <c r="X159" i="93"/>
  <c r="X191" i="93"/>
  <c r="X222" i="93"/>
  <c r="X254" i="93"/>
  <c r="X289" i="93"/>
  <c r="X321" i="93"/>
  <c r="Y22" i="93"/>
  <c r="Y54" i="93"/>
  <c r="Y85" i="93"/>
  <c r="Y118" i="93"/>
  <c r="Y150" i="93"/>
  <c r="Y181" i="93"/>
  <c r="Y211" i="93"/>
  <c r="Y243" i="93"/>
  <c r="Y275" i="93"/>
  <c r="Y303" i="93"/>
  <c r="Y337" i="93"/>
  <c r="Z35" i="93"/>
  <c r="Z67" i="93"/>
  <c r="Z98" i="93"/>
  <c r="Z130" i="93"/>
  <c r="Z159" i="93"/>
  <c r="Z191" i="93"/>
  <c r="Z224" i="93"/>
  <c r="Z254" i="93"/>
  <c r="Z286" i="93"/>
  <c r="Z318" i="93"/>
  <c r="AA16" i="93"/>
  <c r="AA49" i="93"/>
  <c r="AA80" i="93"/>
  <c r="AA109" i="93"/>
  <c r="AA141" i="93"/>
  <c r="AA172" i="93"/>
  <c r="AA204" i="93"/>
  <c r="AA235" i="93"/>
  <c r="AA266" i="93"/>
  <c r="AA296" i="93"/>
  <c r="AA326" i="93"/>
  <c r="Y50" i="93"/>
  <c r="Z32" i="93"/>
  <c r="Z219" i="93"/>
  <c r="AA136" i="93"/>
  <c r="Y18" i="93"/>
  <c r="Z79" i="93"/>
  <c r="AA336" i="93"/>
  <c r="X34" i="93"/>
  <c r="X65" i="93"/>
  <c r="X99" i="93"/>
  <c r="X131" i="93"/>
  <c r="X160" i="93"/>
  <c r="X193" i="93"/>
  <c r="X224" i="93"/>
  <c r="X255" i="93"/>
  <c r="X290" i="93"/>
  <c r="X322" i="93"/>
  <c r="Y23" i="93"/>
  <c r="Y56" i="93"/>
  <c r="Y86" i="93"/>
  <c r="Y119" i="93"/>
  <c r="Y152" i="93"/>
  <c r="Y182" i="93"/>
  <c r="Y213" i="93"/>
  <c r="Y244" i="93"/>
  <c r="Y276" i="93"/>
  <c r="Y304" i="93"/>
  <c r="Y338" i="93"/>
  <c r="Z36" i="93"/>
  <c r="Z69" i="93"/>
  <c r="Z99" i="93"/>
  <c r="Z131" i="93"/>
  <c r="Z160" i="93"/>
  <c r="Z193" i="93"/>
  <c r="Z225" i="93"/>
  <c r="Z255" i="93"/>
  <c r="Z287" i="93"/>
  <c r="Z320" i="93"/>
  <c r="AA18" i="93"/>
  <c r="AA50" i="93"/>
  <c r="AA81" i="93"/>
  <c r="AA110" i="93"/>
  <c r="AA142" i="93"/>
  <c r="AA174" i="93"/>
  <c r="AA205" i="93"/>
  <c r="AA237" i="93"/>
  <c r="AA267" i="93"/>
  <c r="AA297" i="93"/>
  <c r="AA327" i="93"/>
  <c r="Y82" i="93"/>
  <c r="Y300" i="93"/>
  <c r="Z187" i="93"/>
  <c r="Z314" i="93"/>
  <c r="Z140" i="93"/>
  <c r="X35" i="93"/>
  <c r="X67" i="93"/>
  <c r="X100" i="93"/>
  <c r="X132" i="93"/>
  <c r="X163" i="93"/>
  <c r="X194" i="93"/>
  <c r="X225" i="93"/>
  <c r="X256" i="93"/>
  <c r="X291" i="93"/>
  <c r="X323" i="93"/>
  <c r="Y25" i="93"/>
  <c r="Y57" i="93"/>
  <c r="Y87" i="93"/>
  <c r="Y121" i="93"/>
  <c r="Y153" i="93"/>
  <c r="Y183" i="93"/>
  <c r="Y214" i="93"/>
  <c r="Y246" i="93"/>
  <c r="Y277" i="93"/>
  <c r="Y307" i="93"/>
  <c r="Z8" i="93"/>
  <c r="Z37" i="93"/>
  <c r="Z70" i="93"/>
  <c r="Z100" i="93"/>
  <c r="Z132" i="93"/>
  <c r="Z163" i="93"/>
  <c r="Z194" i="93"/>
  <c r="Z226" i="93"/>
  <c r="Z256" i="93"/>
  <c r="Z289" i="93"/>
  <c r="Z321" i="93"/>
  <c r="AA19" i="93"/>
  <c r="AA51" i="93"/>
  <c r="AA82" i="93"/>
  <c r="AA111" i="93"/>
  <c r="AA143" i="93"/>
  <c r="AA176" i="93"/>
  <c r="AA206" i="93"/>
  <c r="AA238" i="93"/>
  <c r="AA268" i="93"/>
  <c r="AA298" i="93"/>
  <c r="AA328" i="93"/>
  <c r="Y205" i="93"/>
  <c r="Z183" i="93"/>
  <c r="AA40" i="93"/>
  <c r="AA259" i="93"/>
  <c r="Y178" i="93"/>
  <c r="AA13" i="93"/>
  <c r="Y24" i="93"/>
  <c r="X144" i="93"/>
  <c r="X281" i="93"/>
  <c r="X36" i="93"/>
  <c r="X69" i="93"/>
  <c r="X102" i="93"/>
  <c r="X133" i="93"/>
  <c r="X165" i="93"/>
  <c r="X195" i="93"/>
  <c r="X226" i="93"/>
  <c r="X259" i="93"/>
  <c r="X292" i="93"/>
  <c r="X324" i="93"/>
  <c r="Y26" i="93"/>
  <c r="Y58" i="93"/>
  <c r="Y88" i="93"/>
  <c r="Y122" i="93"/>
  <c r="Y154" i="93"/>
  <c r="Y184" i="93"/>
  <c r="Y215" i="93"/>
  <c r="Y248" i="93"/>
  <c r="Y278" i="93"/>
  <c r="Y309" i="93"/>
  <c r="Z9" i="93"/>
  <c r="Z38" i="93"/>
  <c r="Z71" i="93"/>
  <c r="Z102" i="93"/>
  <c r="Z133" i="93"/>
  <c r="Z164" i="93"/>
  <c r="Z195" i="93"/>
  <c r="Z227" i="93"/>
  <c r="Z258" i="93"/>
  <c r="Z290" i="93"/>
  <c r="Z322" i="93"/>
  <c r="AA21" i="93"/>
  <c r="AA52" i="93"/>
  <c r="AA83" i="93"/>
  <c r="AA112" i="93"/>
  <c r="AA145" i="93"/>
  <c r="AA177" i="93"/>
  <c r="AA207" i="93"/>
  <c r="AA239" i="93"/>
  <c r="AA269" i="93"/>
  <c r="AA299" i="93"/>
  <c r="AA330" i="93"/>
  <c r="Z60" i="93"/>
  <c r="AA321" i="93"/>
  <c r="Z62" i="93"/>
  <c r="X282" i="93"/>
  <c r="X37" i="93"/>
  <c r="X71" i="93"/>
  <c r="X104" i="93"/>
  <c r="X134" i="93"/>
  <c r="X166" i="93"/>
  <c r="X196" i="93"/>
  <c r="X227" i="93"/>
  <c r="X261" i="93"/>
  <c r="X294" i="93"/>
  <c r="X325" i="93"/>
  <c r="Y27" i="93"/>
  <c r="Y59" i="93"/>
  <c r="Y91" i="93"/>
  <c r="Y123" i="93"/>
  <c r="Y155" i="93"/>
  <c r="Y187" i="93"/>
  <c r="Y217" i="93"/>
  <c r="Y249" i="93"/>
  <c r="Y279" i="93"/>
  <c r="Y310" i="93"/>
  <c r="Z10" i="93"/>
  <c r="Z39" i="93"/>
  <c r="Z73" i="93"/>
  <c r="Z104" i="93"/>
  <c r="Z134" i="93"/>
  <c r="Z165" i="93"/>
  <c r="Z196" i="93"/>
  <c r="Z228" i="93"/>
  <c r="Z259" i="93"/>
  <c r="Z291" i="93"/>
  <c r="Z323" i="93"/>
  <c r="AA22" i="93"/>
  <c r="AA54" i="93"/>
  <c r="AA84" i="93"/>
  <c r="AA115" i="93"/>
  <c r="AA146" i="93"/>
  <c r="AA178" i="93"/>
  <c r="AA208" i="93"/>
  <c r="AA241" i="93"/>
  <c r="AA270" i="93"/>
  <c r="AA300" i="93"/>
  <c r="AA331" i="93"/>
  <c r="Z251" i="93"/>
  <c r="AA89" i="93"/>
  <c r="X38" i="93"/>
  <c r="X73" i="93"/>
  <c r="X105" i="93"/>
  <c r="X136" i="93"/>
  <c r="X167" i="93"/>
  <c r="X198" i="93"/>
  <c r="X228" i="93"/>
  <c r="X262" i="93"/>
  <c r="X296" i="93"/>
  <c r="X326" i="93"/>
  <c r="Y28" i="93"/>
  <c r="Y60" i="93"/>
  <c r="Y93" i="93"/>
  <c r="Y124" i="93"/>
  <c r="Y156" i="93"/>
  <c r="Y189" i="93"/>
  <c r="Y218" i="93"/>
  <c r="Y250" i="93"/>
  <c r="Y280" i="93"/>
  <c r="Y311" i="93"/>
  <c r="Z11" i="93"/>
  <c r="Z40" i="93"/>
  <c r="Z74" i="93"/>
  <c r="Z105" i="93"/>
  <c r="Z135" i="93"/>
  <c r="Z166" i="93"/>
  <c r="Z198" i="93"/>
  <c r="Z229" i="93"/>
  <c r="Z261" i="93"/>
  <c r="Z292" i="93"/>
  <c r="Z324" i="93"/>
  <c r="AA23" i="93"/>
  <c r="AA56" i="93"/>
  <c r="AA85" i="93"/>
  <c r="AA117" i="93"/>
  <c r="AA147" i="93"/>
  <c r="AA179" i="93"/>
  <c r="AA211" i="93"/>
  <c r="AA242" i="93"/>
  <c r="AA272" i="93"/>
  <c r="AA301" i="93"/>
  <c r="AA333" i="93"/>
  <c r="X156" i="93"/>
  <c r="Z31" i="93"/>
  <c r="Y90" i="93"/>
  <c r="Y149" i="93"/>
  <c r="X286" i="93"/>
  <c r="X8" i="93"/>
  <c r="X40" i="93"/>
  <c r="X74" i="93"/>
  <c r="X106" i="93"/>
  <c r="X137" i="93"/>
  <c r="X168" i="93"/>
  <c r="X200" i="93"/>
  <c r="X229" i="93"/>
  <c r="X263" i="93"/>
  <c r="X297" i="93"/>
  <c r="X328" i="93"/>
  <c r="Y30" i="93"/>
  <c r="Y61" i="93"/>
  <c r="Y94" i="93"/>
  <c r="Y126" i="93"/>
  <c r="Y157" i="93"/>
  <c r="Y190" i="93"/>
  <c r="Y219" i="93"/>
  <c r="Y251" i="93"/>
  <c r="Y281" i="93"/>
  <c r="Y313" i="93"/>
  <c r="Z12" i="93"/>
  <c r="Z43" i="93"/>
  <c r="Z75" i="93"/>
  <c r="Z106" i="93"/>
  <c r="Z136" i="93"/>
  <c r="Z167" i="93"/>
  <c r="Z200" i="93"/>
  <c r="Z230" i="93"/>
  <c r="Z262" i="93"/>
  <c r="Z294" i="93"/>
  <c r="Z325" i="93"/>
  <c r="AA25" i="93"/>
  <c r="AA57" i="93"/>
  <c r="AA86" i="93"/>
  <c r="AA118" i="93"/>
  <c r="AA148" i="93"/>
  <c r="AA180" i="93"/>
  <c r="AA213" i="93"/>
  <c r="AA243" i="93"/>
  <c r="AA273" i="93"/>
  <c r="AA302" i="93"/>
  <c r="AA334" i="93"/>
  <c r="Z92" i="93"/>
  <c r="X221" i="93"/>
  <c r="Z288" i="93"/>
  <c r="X9" i="93"/>
  <c r="X43" i="93"/>
  <c r="X75" i="93"/>
  <c r="X107" i="93"/>
  <c r="X139" i="93"/>
  <c r="X169" i="93"/>
  <c r="X201" i="93"/>
  <c r="X231" i="93"/>
  <c r="X265" i="93"/>
  <c r="X298" i="93"/>
  <c r="X331" i="93"/>
  <c r="Y32" i="93"/>
  <c r="Y62" i="93"/>
  <c r="Y95" i="93"/>
  <c r="Y128" i="93"/>
  <c r="Y158" i="93"/>
  <c r="Y191" i="93"/>
  <c r="Y220" i="93"/>
  <c r="Y252" i="93"/>
  <c r="Y283" i="93"/>
  <c r="Y314" i="93"/>
  <c r="Z13" i="93"/>
  <c r="Z45" i="93"/>
  <c r="Z76" i="93"/>
  <c r="Z107" i="93"/>
  <c r="Z138" i="93"/>
  <c r="Z169" i="93"/>
  <c r="Z201" i="93"/>
  <c r="Z231" i="93"/>
  <c r="Z263" i="93"/>
  <c r="Z296" i="93"/>
  <c r="Z326" i="93"/>
  <c r="AA26" i="93"/>
  <c r="AA58" i="93"/>
  <c r="AA87" i="93"/>
  <c r="AA119" i="93"/>
  <c r="AA150" i="93"/>
  <c r="AA181" i="93"/>
  <c r="AA214" i="93"/>
  <c r="AA244" i="93"/>
  <c r="AA274" i="93"/>
  <c r="AA303" i="93"/>
  <c r="AA335" i="93"/>
  <c r="AA106" i="93"/>
  <c r="Y306" i="93"/>
  <c r="AA149" i="93"/>
  <c r="Z120" i="93"/>
  <c r="AA247" i="93"/>
  <c r="Z137" i="93"/>
  <c r="Y116" i="93"/>
  <c r="X17" i="93"/>
  <c r="AA332" i="93"/>
  <c r="AA257" i="93"/>
  <c r="X260" i="93"/>
  <c r="X247" i="93"/>
  <c r="Y79" i="93"/>
  <c r="Z185" i="93"/>
  <c r="X186" i="93"/>
  <c r="AA77" i="93"/>
  <c r="X20" i="93"/>
  <c r="AA308" i="93"/>
  <c r="AA233" i="93"/>
  <c r="X185" i="93"/>
  <c r="X223" i="93"/>
  <c r="Y55" i="93"/>
  <c r="Z319" i="93"/>
  <c r="X89" i="93"/>
  <c r="X66" i="93"/>
  <c r="X234" i="93"/>
  <c r="Z197" i="93"/>
  <c r="X264" i="93"/>
  <c r="AA168" i="93"/>
  <c r="AA192" i="93"/>
  <c r="Z24" i="93"/>
  <c r="AA127" i="93"/>
  <c r="Y41" i="93"/>
  <c r="Y212" i="93"/>
  <c r="AA284" i="93"/>
  <c r="AA209" i="93"/>
  <c r="X199" i="93"/>
  <c r="Y31" i="93"/>
  <c r="Z295" i="93"/>
  <c r="X114" i="93"/>
  <c r="Y245" i="93"/>
  <c r="Z144" i="93"/>
  <c r="Y336" i="93"/>
  <c r="X230" i="93"/>
  <c r="Y68" i="93"/>
  <c r="AA260" i="93"/>
  <c r="AA185" i="93"/>
  <c r="X175" i="93"/>
  <c r="Z271" i="93"/>
  <c r="AA210" i="93"/>
  <c r="AA245" i="93"/>
  <c r="X173" i="93"/>
  <c r="Y312" i="93"/>
  <c r="Y120" i="93"/>
  <c r="AA295" i="93"/>
  <c r="Y137" i="93"/>
  <c r="AA236" i="93"/>
  <c r="AA161" i="93"/>
  <c r="X151" i="93"/>
  <c r="Z247" i="93"/>
  <c r="Z210" i="93"/>
  <c r="Z18" i="93"/>
  <c r="Z293" i="93"/>
  <c r="Y96" i="93"/>
  <c r="X68" i="93"/>
  <c r="AA212" i="93"/>
  <c r="AA65" i="93"/>
  <c r="X257" i="93"/>
  <c r="X127" i="93"/>
  <c r="Z223" i="93"/>
  <c r="Z90" i="93"/>
  <c r="X18" i="93"/>
  <c r="X269" i="93"/>
  <c r="X125" i="93"/>
  <c r="X293" i="93"/>
  <c r="Y288" i="93"/>
  <c r="X48" i="93"/>
  <c r="AA144" i="93"/>
  <c r="Z188" i="93"/>
  <c r="AA188" i="93"/>
  <c r="Y332" i="93"/>
  <c r="AA41" i="93"/>
  <c r="X103" i="93"/>
  <c r="Z199" i="93"/>
  <c r="X306" i="93"/>
  <c r="Y173" i="93"/>
  <c r="X149" i="93"/>
  <c r="Y72" i="93"/>
  <c r="AA164" i="93"/>
  <c r="AA17" i="93"/>
  <c r="X79" i="93"/>
  <c r="Z175" i="93"/>
  <c r="X258" i="93"/>
  <c r="X101" i="93"/>
  <c r="AA317" i="93"/>
  <c r="X24" i="93"/>
  <c r="Z48" i="93"/>
  <c r="AA79" i="93"/>
  <c r="AA199" i="93"/>
  <c r="Z113" i="93"/>
  <c r="AA140" i="93"/>
  <c r="Y257" i="93"/>
  <c r="X55" i="93"/>
  <c r="Z151" i="93"/>
  <c r="X319" i="93"/>
  <c r="AA162" i="93"/>
  <c r="X317" i="93"/>
  <c r="Z77" i="93"/>
  <c r="AA151" i="93"/>
  <c r="AA116" i="93"/>
  <c r="X284" i="93"/>
  <c r="X31" i="93"/>
  <c r="Z127" i="93"/>
  <c r="Z329" i="93"/>
  <c r="Y260" i="93"/>
  <c r="Z240" i="93"/>
  <c r="AA42" i="93"/>
  <c r="AA101" i="93"/>
  <c r="AA288" i="93"/>
  <c r="Z284" i="93"/>
  <c r="Z332" i="93"/>
  <c r="AA92" i="93"/>
  <c r="X188" i="93"/>
  <c r="Y44" i="93"/>
  <c r="AA68" i="93"/>
  <c r="X113" i="93"/>
  <c r="Y65" i="93"/>
  <c r="Z305" i="93"/>
  <c r="Y295" i="93"/>
  <c r="Z330" i="93"/>
  <c r="X138" i="93"/>
  <c r="Z168" i="93"/>
  <c r="AA48" i="93"/>
  <c r="AA96" i="93"/>
  <c r="Z209" i="93"/>
  <c r="Z257" i="93"/>
  <c r="X209" i="93"/>
  <c r="AA44" i="93"/>
  <c r="X312" i="93"/>
  <c r="Y161" i="93"/>
  <c r="Y151" i="93"/>
  <c r="Y186" i="93"/>
  <c r="Z282" i="93"/>
  <c r="AA53" i="93"/>
  <c r="X288" i="93"/>
  <c r="Y168" i="93"/>
  <c r="AA312" i="93"/>
  <c r="AA271" i="93"/>
  <c r="Z236" i="93"/>
  <c r="Y140" i="93"/>
  <c r="Y305" i="93"/>
  <c r="Z161" i="93"/>
  <c r="AA186" i="93"/>
  <c r="X336" i="93"/>
  <c r="Y66" i="93"/>
  <c r="Z162" i="93"/>
  <c r="X245" i="93"/>
  <c r="AA125" i="93"/>
  <c r="AA293" i="93"/>
  <c r="X72" i="93"/>
  <c r="AA216" i="93"/>
  <c r="Y240" i="93"/>
  <c r="AA20" i="93"/>
  <c r="Y330" i="93"/>
  <c r="Z42" i="93"/>
  <c r="Z53" i="93"/>
  <c r="AA24" i="93"/>
  <c r="X216" i="93"/>
  <c r="AA55" i="93"/>
  <c r="Y188" i="93"/>
  <c r="Y319" i="93"/>
  <c r="Y164" i="93"/>
  <c r="X210" i="93"/>
  <c r="Y138" i="93"/>
  <c r="Y101" i="93"/>
  <c r="Y144" i="93"/>
  <c r="Y20" i="93"/>
  <c r="Y92" i="93"/>
  <c r="X236" i="93"/>
  <c r="AA329" i="93"/>
  <c r="Z317" i="93"/>
  <c r="X29" i="93"/>
  <c r="AA175" i="93"/>
  <c r="Y113" i="93"/>
  <c r="Y185" i="93"/>
  <c r="Y271" i="93"/>
  <c r="Y210" i="93"/>
  <c r="Y236" i="93"/>
  <c r="Y233" i="93"/>
  <c r="Z221" i="93"/>
  <c r="Z216" i="93"/>
  <c r="Y216" i="93"/>
  <c r="X197" i="93"/>
  <c r="AA234" i="93"/>
  <c r="AA306" i="93"/>
  <c r="AA221" i="93"/>
  <c r="Z149" i="93"/>
  <c r="Z173" i="93"/>
  <c r="Y17" i="93"/>
  <c r="Y308" i="93"/>
  <c r="Y247" i="93"/>
  <c r="X162" i="93"/>
  <c r="Y53" i="93"/>
  <c r="AA240" i="93"/>
  <c r="Y199" i="93"/>
  <c r="X42" i="93"/>
  <c r="Z264" i="93"/>
  <c r="X308" i="93"/>
  <c r="AA114" i="93"/>
  <c r="Y282" i="93"/>
  <c r="Y197" i="93"/>
  <c r="Y221" i="93"/>
  <c r="AA29" i="93"/>
  <c r="AA103" i="93"/>
  <c r="Z308" i="93"/>
  <c r="X44" i="93"/>
  <c r="X116" i="93"/>
  <c r="Y223" i="93"/>
  <c r="Z192" i="93"/>
  <c r="Z233" i="93"/>
  <c r="X41" i="93"/>
  <c r="X90" i="93"/>
  <c r="AA264" i="93"/>
  <c r="Z260" i="93"/>
  <c r="Z20" i="93"/>
  <c r="Y175" i="93"/>
  <c r="X96" i="93"/>
  <c r="Z234" i="93"/>
  <c r="AA66" i="93"/>
  <c r="Z125" i="93"/>
  <c r="Z269" i="93"/>
  <c r="X120" i="93"/>
  <c r="AA319" i="93"/>
  <c r="AA305" i="93"/>
  <c r="X233" i="93"/>
  <c r="X295" i="93"/>
  <c r="Y127" i="93"/>
  <c r="Z114" i="93"/>
  <c r="Z306" i="93"/>
  <c r="Y29" i="93"/>
  <c r="Z336" i="93"/>
  <c r="Z72" i="93"/>
  <c r="AA31" i="93"/>
  <c r="Z212" i="93"/>
  <c r="Y89" i="93"/>
  <c r="Z281" i="93"/>
  <c r="X92" i="93"/>
  <c r="AA281" i="93"/>
  <c r="Y329" i="93"/>
  <c r="X271" i="93"/>
  <c r="Y103" i="93"/>
  <c r="L314" i="96" a="1"/>
  <c r="K37" i="96" a="1"/>
  <c r="G302" i="96" a="1"/>
  <c r="J147" i="96" a="1"/>
  <c r="M265" i="96" a="1"/>
  <c r="M243" i="96" a="1"/>
  <c r="J206" i="96" a="1"/>
  <c r="J26" i="96" a="1"/>
  <c r="I229" i="96" a="1"/>
  <c r="L118" i="96" a="1"/>
  <c r="G6" i="96" a="1"/>
  <c r="K33" i="96" a="1"/>
  <c r="E282" i="96" a="1"/>
  <c r="E126" i="96" a="1"/>
  <c r="I331" i="96" a="1"/>
  <c r="M233" i="96" a="1"/>
  <c r="E294" i="96" a="1"/>
  <c r="H313" i="96" a="1"/>
  <c r="E329" i="96" a="1"/>
  <c r="G182" i="96" a="1"/>
  <c r="G16" i="96" a="1"/>
  <c r="L284" i="96" a="1"/>
  <c r="K250" i="96" a="1"/>
  <c r="I204" i="96" a="1"/>
  <c r="I198" i="96" a="1"/>
  <c r="M296" i="96" a="1"/>
  <c r="F142" i="96" a="1"/>
  <c r="G107" i="96" a="1"/>
  <c r="G11" i="96" a="1"/>
  <c r="J55" i="96" a="1"/>
  <c r="H58" i="96" a="1"/>
  <c r="G269" i="96" a="1"/>
  <c r="I336" i="96" a="1"/>
  <c r="K11" i="96" a="1"/>
  <c r="L133" i="96" a="1"/>
  <c r="G5" i="96" a="1"/>
  <c r="J252" i="96" a="1"/>
  <c r="G309" i="96" a="1"/>
  <c r="E102" i="96" a="1"/>
  <c r="F332" i="96" a="1"/>
  <c r="L77" i="96" a="1"/>
  <c r="L305" i="96" a="1"/>
  <c r="G101" i="96" a="1"/>
  <c r="E8" i="96" a="1"/>
  <c r="E199" i="96" a="1"/>
  <c r="F120" i="96" a="1"/>
  <c r="G213" i="96" a="1"/>
  <c r="K298" i="96" a="1"/>
  <c r="E256" i="96" a="1"/>
  <c r="L269" i="96" a="1"/>
  <c r="M206" i="96" a="1"/>
  <c r="J327" i="96" a="1"/>
  <c r="I248" i="96" a="1"/>
  <c r="I127" i="96" a="1"/>
  <c r="K95" i="96" a="1"/>
  <c r="H330" i="96" a="1"/>
  <c r="L93" i="96" a="1"/>
  <c r="H233" i="96" a="1"/>
  <c r="G288" i="96" a="1"/>
  <c r="E262" i="96" a="1"/>
  <c r="E336" i="96" a="1"/>
  <c r="J163" i="96" a="1"/>
  <c r="L3" i="96" a="1"/>
  <c r="H116" i="96" a="1"/>
  <c r="L259" i="96" a="1"/>
  <c r="K103" i="96" a="1"/>
  <c r="E100" i="96" a="1"/>
  <c r="L63" i="96" a="1"/>
  <c r="K46" i="96" a="1"/>
  <c r="E290" i="96" a="1"/>
  <c r="M85" i="96" a="1"/>
  <c r="I182" i="96" a="1"/>
  <c r="M333" i="96" a="1"/>
  <c r="E72" i="96" a="1"/>
  <c r="K100" i="96" a="1"/>
  <c r="M195" i="96" a="1"/>
  <c r="J149" i="96" a="1"/>
  <c r="L210" i="96" a="1"/>
  <c r="M215" i="96" a="1"/>
  <c r="F198" i="96" a="1"/>
  <c r="H235" i="96" a="1"/>
  <c r="M154" i="96" a="1"/>
  <c r="L215" i="96" a="1"/>
  <c r="G140" i="96" a="1"/>
  <c r="I37" i="96" a="1"/>
  <c r="L291" i="96" a="1"/>
  <c r="M10" i="96" a="1"/>
  <c r="F154" i="96" a="1"/>
  <c r="F69" i="96" a="1"/>
  <c r="L300" i="96" a="1"/>
  <c r="H319" i="96" a="1"/>
  <c r="F129" i="96" a="1"/>
  <c r="H46" i="96" a="1"/>
  <c r="K327" i="96" a="1"/>
  <c r="K8" i="96" a="1"/>
  <c r="H118" i="96" a="1"/>
  <c r="F283" i="96" a="1"/>
  <c r="G221" i="96" a="1"/>
  <c r="I228" i="96" a="1"/>
  <c r="E9" i="96" a="1"/>
  <c r="M321" i="96" a="1"/>
  <c r="G318" i="96" a="1"/>
  <c r="L261" i="96" a="1"/>
  <c r="M52" i="96" a="1"/>
  <c r="L35" i="96" a="1"/>
  <c r="J133" i="96" a="1"/>
  <c r="F296" i="96" a="1"/>
  <c r="K110" i="96" a="1"/>
  <c r="J161" i="96" a="1"/>
  <c r="E23" i="96" a="1"/>
  <c r="L149" i="96" a="1"/>
  <c r="M307" i="96" a="1"/>
  <c r="M228" i="96" a="1"/>
  <c r="F10" i="96" a="1"/>
  <c r="E283" i="96" a="1"/>
  <c r="G143" i="96" a="1"/>
  <c r="K325" i="96" a="1"/>
  <c r="F326" i="96" a="1"/>
  <c r="G173" i="96" a="1"/>
  <c r="J117" i="96" a="1"/>
  <c r="F175" i="96" a="1"/>
  <c r="K167" i="96" a="1"/>
  <c r="H27" i="96" a="1"/>
  <c r="I122" i="96" a="1"/>
  <c r="H80" i="96" a="1"/>
  <c r="M275" i="96" a="1"/>
  <c r="I272" i="96" a="1"/>
  <c r="F299" i="96" a="1"/>
  <c r="J58" i="96" a="1"/>
  <c r="K35" i="96" a="1"/>
  <c r="L9" i="96" a="1"/>
  <c r="E327" i="96" a="1"/>
  <c r="I232" i="96" a="1"/>
  <c r="J223" i="96" a="1"/>
  <c r="E99" i="96" a="1"/>
  <c r="G96" i="96" a="1"/>
  <c r="J91" i="96" a="1"/>
  <c r="L53" i="96" a="1"/>
  <c r="E93" i="96" a="1"/>
  <c r="J92" i="96" a="1"/>
  <c r="E38" i="96" a="1"/>
  <c r="E212" i="96" a="1"/>
  <c r="H238" i="96" a="1"/>
  <c r="K86" i="96" a="1"/>
  <c r="M11" i="96" a="1"/>
  <c r="K292" i="96" a="1"/>
  <c r="E148" i="96" a="1"/>
  <c r="F162" i="96" a="1"/>
  <c r="G240" i="96" a="1"/>
  <c r="H21" i="96" a="1"/>
  <c r="J334" i="96" a="1"/>
  <c r="F193" i="96" a="1"/>
  <c r="M326" i="96" a="1"/>
  <c r="L265" i="96" a="1"/>
  <c r="F304" i="96" a="1"/>
  <c r="J175" i="96" a="1"/>
  <c r="M209" i="96" a="1"/>
  <c r="H28" i="96" a="1"/>
  <c r="G274" i="96" a="1"/>
  <c r="M54" i="96" a="1"/>
  <c r="M80" i="96" a="1"/>
  <c r="M318" i="96" a="1"/>
  <c r="E52" i="96" a="1"/>
  <c r="F287" i="96" a="1"/>
  <c r="I144" i="96" a="1"/>
  <c r="L190" i="96" a="1"/>
  <c r="I71" i="96" a="1"/>
  <c r="G278" i="96" a="1"/>
  <c r="K187" i="96" a="1"/>
  <c r="K75" i="96" a="1"/>
  <c r="K88" i="96" a="1"/>
  <c r="G40" i="96" a="1"/>
  <c r="H167" i="96" a="1"/>
  <c r="K207" i="96" a="1"/>
  <c r="E279" i="96" a="1"/>
  <c r="I274" i="96" a="1"/>
  <c r="M272" i="96" a="1"/>
  <c r="L256" i="96" a="1"/>
  <c r="L125" i="96" a="1"/>
  <c r="I98" i="96" a="1"/>
  <c r="J44" i="96" a="1"/>
  <c r="M115" i="96" a="1"/>
  <c r="K143" i="96" a="1"/>
  <c r="L107" i="96" a="1"/>
  <c r="K268" i="96" a="1"/>
  <c r="L88" i="96" a="1"/>
  <c r="K48" i="96" a="1"/>
  <c r="K239" i="96" a="1"/>
  <c r="H109" i="96" a="1"/>
  <c r="F268" i="96" a="1"/>
  <c r="H295" i="96" a="1"/>
  <c r="G184" i="96" a="1"/>
  <c r="E242" i="96" a="1"/>
  <c r="I215" i="96" a="1"/>
  <c r="H140" i="96" a="1"/>
  <c r="J72" i="96" a="1"/>
  <c r="I168" i="96" a="1"/>
  <c r="L167" i="96" a="1"/>
  <c r="K52" i="96" a="1"/>
  <c r="I235" i="96" a="1"/>
  <c r="J215" i="96" a="1"/>
  <c r="M130" i="96" a="1"/>
  <c r="E156" i="96" a="1"/>
  <c r="J205" i="96" a="1"/>
  <c r="M135" i="96" a="1"/>
  <c r="I6" i="96" a="1"/>
  <c r="H2" i="96" a="1"/>
  <c r="G201" i="96" a="1"/>
  <c r="M13" i="96" a="1"/>
  <c r="J61" i="96" a="1"/>
  <c r="E236" i="96" a="1"/>
  <c r="K16" i="96" a="1"/>
  <c r="G124" i="96" a="1"/>
  <c r="J63" i="96" a="1"/>
  <c r="J176" i="96" a="1"/>
  <c r="H217" i="96" a="1"/>
  <c r="M59" i="96" a="1"/>
  <c r="G260" i="96" a="1"/>
  <c r="G195" i="96" a="1"/>
  <c r="G43" i="96" a="1"/>
  <c r="I134" i="96" a="1"/>
  <c r="K15" i="96" a="1"/>
  <c r="I218" i="96" a="1"/>
  <c r="J247" i="96" a="1"/>
  <c r="E192" i="96" a="1"/>
  <c r="I117" i="96" a="1"/>
  <c r="F291" i="96" a="1"/>
  <c r="M335" i="96" a="1"/>
  <c r="K226" i="96" a="1"/>
  <c r="M267" i="96" a="1"/>
  <c r="H9" i="96" a="1"/>
  <c r="K80" i="96" a="1"/>
  <c r="G227" i="96" a="1"/>
  <c r="L41" i="96" a="1"/>
  <c r="F335" i="96" a="1"/>
  <c r="J278" i="96" a="1"/>
  <c r="J142" i="96" a="1"/>
  <c r="M12" i="96" a="1"/>
  <c r="L184" i="96" a="1"/>
  <c r="J204" i="96" a="1"/>
  <c r="H252" i="96" a="1"/>
  <c r="H263" i="96" a="1"/>
  <c r="E319" i="96" a="1"/>
  <c r="F280" i="96" a="1"/>
  <c r="K129" i="96" a="1"/>
  <c r="F72" i="96" a="1"/>
  <c r="J98" i="96" a="1"/>
  <c r="K255" i="96" a="1"/>
  <c r="L294" i="96" a="1"/>
  <c r="J329" i="96" a="1"/>
  <c r="E243" i="96" a="1"/>
  <c r="F263" i="96" a="1"/>
  <c r="J172" i="96" a="1"/>
  <c r="K57" i="96" a="1"/>
  <c r="H239" i="96" a="1"/>
  <c r="G250" i="96" a="1"/>
  <c r="E96" i="96" a="1"/>
  <c r="G94" i="96" a="1"/>
  <c r="L306" i="96" a="1"/>
  <c r="L200" i="96" a="1"/>
  <c r="K269" i="96" a="1"/>
  <c r="G300" i="96" a="1"/>
  <c r="K248" i="96" a="1"/>
  <c r="H280" i="96" a="1"/>
  <c r="G180" i="96" a="1"/>
  <c r="J130" i="96" a="1"/>
  <c r="M146" i="96" a="1"/>
  <c r="L74" i="96" a="1"/>
  <c r="K238" i="96" a="1"/>
  <c r="H293" i="96" a="1"/>
  <c r="F329" i="96" a="1"/>
  <c r="M55" i="96" a="1"/>
  <c r="H150" i="96" a="1"/>
  <c r="K264" i="96" a="1"/>
  <c r="G53" i="96" a="1"/>
  <c r="F284" i="96" a="1"/>
  <c r="L230" i="96" a="1"/>
  <c r="J108" i="96" a="1"/>
  <c r="F26" i="96" a="1"/>
  <c r="M27" i="96" a="1"/>
  <c r="H47" i="96" a="1"/>
  <c r="M199" i="96" a="1"/>
  <c r="G306" i="96" a="1"/>
  <c r="G85" i="96" a="1"/>
  <c r="I97" i="96" a="1"/>
  <c r="H294" i="96" a="1"/>
  <c r="F32" i="96" a="1"/>
  <c r="I312" i="96" a="1"/>
  <c r="I68" i="96" a="1"/>
  <c r="K300" i="96" a="1"/>
  <c r="H220" i="96" a="1"/>
  <c r="E10" i="96" a="1"/>
  <c r="F145" i="96" a="1"/>
  <c r="I192" i="96" a="1"/>
  <c r="I294" i="96" a="1"/>
  <c r="K111" i="96" a="1"/>
  <c r="L293" i="96" a="1"/>
  <c r="I137" i="96" a="1"/>
  <c r="H163" i="96" a="1"/>
  <c r="M41" i="96" a="1"/>
  <c r="G266" i="96" a="1"/>
  <c r="I321" i="96" a="1"/>
  <c r="I22" i="96" a="1"/>
  <c r="E272" i="96" a="1"/>
  <c r="K168" i="96" a="1"/>
  <c r="J165" i="96" a="1"/>
  <c r="J173" i="96" a="1"/>
  <c r="F222" i="96" a="1"/>
  <c r="J85" i="96" a="1"/>
  <c r="F282" i="96" a="1"/>
  <c r="F153" i="96" a="1"/>
  <c r="J214" i="96" a="1"/>
  <c r="I46" i="96" a="1"/>
  <c r="I130" i="96" a="1"/>
  <c r="L28" i="96" a="1"/>
  <c r="I141" i="96" a="1"/>
  <c r="E172" i="96" a="1"/>
  <c r="J105" i="96" a="1"/>
  <c r="F137" i="96" a="1"/>
  <c r="H68" i="96" a="1"/>
  <c r="H99" i="96" a="1"/>
  <c r="K336" i="96" a="1"/>
  <c r="M98" i="96" a="1"/>
  <c r="M47" i="96" a="1"/>
  <c r="L326" i="96" a="1"/>
  <c r="F82" i="96" a="1"/>
  <c r="I217" i="96" a="1"/>
  <c r="E171" i="96" a="1"/>
  <c r="L121" i="96" a="1"/>
  <c r="J254" i="96" a="1"/>
  <c r="H253" i="96" a="1"/>
  <c r="J221" i="96" a="1"/>
  <c r="H63" i="96" a="1"/>
  <c r="E249" i="96" a="1"/>
  <c r="L188" i="96" a="1"/>
  <c r="M231" i="96" a="1"/>
  <c r="J32" i="96" a="1"/>
  <c r="I317" i="96" a="1"/>
  <c r="G131" i="96" a="1"/>
  <c r="J137" i="96" a="1"/>
  <c r="L51" i="96" a="1"/>
  <c r="L70" i="96" a="1"/>
  <c r="I280" i="96" a="1"/>
  <c r="I184" i="96" a="1"/>
  <c r="M254" i="96" a="1"/>
  <c r="K225" i="96" a="1"/>
  <c r="E188" i="96" a="1"/>
  <c r="M70" i="96" a="1"/>
  <c r="F97" i="96" a="1"/>
  <c r="E60" i="96" a="1"/>
  <c r="H328" i="96" a="1"/>
  <c r="I316" i="96" a="1"/>
  <c r="J255" i="96" a="1"/>
  <c r="H121" i="96" a="1"/>
  <c r="J67" i="96" a="1"/>
  <c r="L330" i="96" a="1"/>
  <c r="H248" i="96" a="1"/>
  <c r="H37" i="96" a="1"/>
  <c r="I213" i="96" a="1"/>
  <c r="J292" i="96" a="1"/>
  <c r="H42" i="96" a="1"/>
  <c r="I167" i="96" a="1"/>
  <c r="F324" i="96" a="1"/>
  <c r="G267" i="96" a="1"/>
  <c r="M71" i="96" a="1"/>
  <c r="J302" i="96" a="1"/>
  <c r="H38" i="96" a="1"/>
  <c r="I41" i="96" a="1"/>
  <c r="I78" i="96" a="1"/>
  <c r="K158" i="96" a="1"/>
  <c r="F318" i="96" a="1"/>
  <c r="E246" i="96" a="1"/>
  <c r="M253" i="96" a="1"/>
  <c r="J220" i="96" a="1"/>
  <c r="G175" i="96" a="1"/>
  <c r="E223" i="96" a="1"/>
  <c r="F112" i="96" a="1"/>
  <c r="K236" i="96" a="1"/>
  <c r="K205" i="96" a="1"/>
  <c r="G264" i="96" a="1"/>
  <c r="K126" i="96" a="1"/>
  <c r="F59" i="96" a="1"/>
  <c r="I42" i="96" a="1"/>
  <c r="G95" i="96" a="1"/>
  <c r="I219" i="96" a="1"/>
  <c r="K18" i="96" a="1"/>
  <c r="F116" i="96" a="1"/>
  <c r="L335" i="96" a="1"/>
  <c r="J242" i="96" a="1"/>
  <c r="M133" i="96" a="1"/>
  <c r="E313" i="96" a="1"/>
  <c r="M328" i="96" a="1"/>
  <c r="H125" i="96" a="1"/>
  <c r="M147" i="96" a="1"/>
  <c r="I140" i="96" a="1"/>
  <c r="H334" i="96" a="1"/>
  <c r="L141" i="96" a="1"/>
  <c r="E281" i="96" a="1"/>
  <c r="J332" i="96" a="1"/>
  <c r="I116" i="96" a="1"/>
  <c r="L262" i="96" a="1"/>
  <c r="J17" i="96" a="1"/>
  <c r="G245" i="96" a="1"/>
  <c r="M311" i="96" a="1"/>
  <c r="K148" i="96" a="1"/>
  <c r="F183" i="96" a="1"/>
  <c r="G128" i="96" a="1"/>
  <c r="E254" i="96" a="1"/>
  <c r="F117" i="96" a="1"/>
  <c r="G105" i="96" a="1"/>
  <c r="I249" i="96" a="1"/>
  <c r="G48" i="96" a="1"/>
  <c r="I123" i="96" a="1"/>
  <c r="E269" i="96" a="1"/>
  <c r="M7" i="96" a="1"/>
  <c r="L331" i="96" a="1"/>
  <c r="H250" i="96" a="1"/>
  <c r="E106" i="96" a="1"/>
  <c r="E276" i="96" a="1"/>
  <c r="I220" i="96" a="1"/>
  <c r="E267" i="96" a="1"/>
  <c r="J158" i="96" a="1"/>
  <c r="I324" i="96" a="1"/>
  <c r="H181" i="96" a="1"/>
  <c r="K84" i="96" a="1"/>
  <c r="L79" i="96" a="1"/>
  <c r="M20" i="96" a="1"/>
  <c r="E232" i="96" a="1"/>
  <c r="F230" i="96" a="1"/>
  <c r="I20" i="96" a="1"/>
  <c r="J76" i="96" a="1"/>
  <c r="E157" i="96" a="1"/>
  <c r="K91" i="96" a="1"/>
  <c r="F300" i="96" a="1"/>
  <c r="K71" i="96" a="1"/>
  <c r="M164" i="96" a="1"/>
  <c r="K251" i="96" a="1"/>
  <c r="M123" i="96" a="1"/>
  <c r="E22" i="96" a="1"/>
  <c r="I259" i="96" a="1"/>
  <c r="L166" i="96" a="1"/>
  <c r="F235" i="96" a="1"/>
  <c r="I60" i="96" a="1"/>
  <c r="K326" i="96" a="1"/>
  <c r="M162" i="96" a="1"/>
  <c r="F213" i="96" a="1"/>
  <c r="G210" i="96" a="1"/>
  <c r="K286" i="96" a="1"/>
  <c r="M149" i="96" a="1"/>
  <c r="L329" i="96" a="1"/>
  <c r="E251" i="96" a="1"/>
  <c r="J88" i="96" a="1"/>
  <c r="E47" i="96" a="1"/>
  <c r="I119" i="96" a="1"/>
  <c r="L285" i="96" a="1"/>
  <c r="E7" i="96" a="1"/>
  <c r="E285" i="96" a="1"/>
  <c r="K209" i="96" a="1"/>
  <c r="L98" i="96" a="1"/>
  <c r="L13" i="96" a="1"/>
  <c r="G161" i="96" a="1"/>
  <c r="G236" i="96" a="1"/>
  <c r="M241" i="96" a="1"/>
  <c r="G293" i="96" a="1"/>
  <c r="K199" i="96" a="1"/>
  <c r="H49" i="96" a="1"/>
  <c r="F269" i="96" a="1"/>
  <c r="J333" i="96" a="1"/>
  <c r="F212" i="96" a="1"/>
  <c r="I17" i="96" a="1"/>
  <c r="J202" i="96" a="1"/>
  <c r="E28" i="96" a="1"/>
  <c r="H192" i="96" a="1"/>
  <c r="E120" i="96" a="1"/>
  <c r="I181" i="96" a="1"/>
  <c r="L105" i="96" a="1"/>
  <c r="F170" i="96" a="1"/>
  <c r="E74" i="96" a="1"/>
  <c r="E89" i="96" a="1"/>
  <c r="J303" i="96" a="1"/>
  <c r="L43" i="96" a="1"/>
  <c r="F134" i="96" a="1"/>
  <c r="M35" i="96" a="1"/>
  <c r="I106" i="96" a="1"/>
  <c r="K131" i="96" a="1"/>
  <c r="F253" i="96" a="1"/>
  <c r="M108" i="96" a="1"/>
  <c r="K73" i="96" a="1"/>
  <c r="E129" i="96" a="1"/>
  <c r="J233" i="96" a="1"/>
  <c r="H244" i="96" a="1"/>
  <c r="H104" i="96" a="1"/>
  <c r="H312" i="96" a="1"/>
  <c r="F177" i="96" a="1"/>
  <c r="G3" i="96" a="1"/>
  <c r="J150" i="96" a="1"/>
  <c r="F190" i="96" a="1"/>
  <c r="E216" i="96" a="1"/>
  <c r="M287" i="96" a="1"/>
  <c r="L15" i="96" a="1"/>
  <c r="L71" i="96" a="1"/>
  <c r="H209" i="96" a="1"/>
  <c r="K212" i="96" a="1"/>
  <c r="K283" i="96" a="1"/>
  <c r="J178" i="96" a="1"/>
  <c r="M290" i="96" a="1"/>
  <c r="E14" i="96" a="1"/>
  <c r="F331" i="96" a="1"/>
  <c r="K166" i="96" a="1"/>
  <c r="F48" i="96" a="1"/>
  <c r="F275" i="96" a="1"/>
  <c r="M163" i="96" a="1"/>
  <c r="L275" i="96" a="1"/>
  <c r="G74" i="96" a="1"/>
  <c r="J192" i="96" a="1"/>
  <c r="K233" i="96" a="1"/>
  <c r="G315" i="96" a="1"/>
  <c r="H283" i="96" a="1"/>
  <c r="H242" i="96" a="1"/>
  <c r="H10" i="96" a="1"/>
  <c r="E299" i="96" a="1"/>
  <c r="M229" i="96" a="1"/>
  <c r="K137" i="96" a="1"/>
  <c r="I210" i="96" a="1"/>
  <c r="M181" i="96" a="1"/>
  <c r="L283" i="96" a="1"/>
  <c r="H141" i="96" a="1"/>
  <c r="J248" i="96" a="1"/>
  <c r="J160" i="96" a="1"/>
  <c r="F92" i="96" a="1"/>
  <c r="I59" i="96" a="1"/>
  <c r="F95" i="96" a="1"/>
  <c r="G216" i="96" a="1"/>
  <c r="J195" i="96" a="1"/>
  <c r="H204" i="96" a="1"/>
  <c r="J286" i="96" a="1"/>
  <c r="M173" i="96" a="1"/>
  <c r="F320" i="96" a="1"/>
  <c r="G191" i="96" a="1"/>
  <c r="M72" i="96" a="1"/>
  <c r="I102" i="96" a="1"/>
  <c r="E75" i="96" a="1"/>
  <c r="E318" i="96" a="1"/>
  <c r="G92" i="96" a="1"/>
  <c r="M305" i="96" a="1"/>
  <c r="I155" i="96" a="1"/>
  <c r="I156" i="96" a="1"/>
  <c r="L128" i="96" a="1"/>
  <c r="H306" i="96" a="1"/>
  <c r="M191" i="96" a="1"/>
  <c r="H79" i="96" a="1"/>
  <c r="K157" i="96" a="1"/>
  <c r="I298" i="96" a="1"/>
  <c r="I193" i="96" a="1"/>
  <c r="J100" i="96" a="1"/>
  <c r="H66" i="96" a="1"/>
  <c r="F243" i="96" a="1"/>
  <c r="I26" i="96" a="1"/>
  <c r="H162" i="96" a="1"/>
  <c r="M242" i="96" a="1"/>
  <c r="G102" i="96" a="1"/>
  <c r="G238" i="96" a="1"/>
  <c r="H169" i="96" a="1"/>
  <c r="M281" i="96" a="1"/>
  <c r="M63" i="96" a="1"/>
  <c r="H40" i="96" a="1"/>
  <c r="J15" i="96" a="1"/>
  <c r="I288" i="96" a="1"/>
  <c r="I58" i="96" a="1"/>
  <c r="L312" i="96" a="1"/>
  <c r="L304" i="96" a="1"/>
  <c r="E260" i="96" a="1"/>
  <c r="F330" i="96" a="1"/>
  <c r="F152" i="96" a="1"/>
  <c r="L237" i="96" a="1"/>
  <c r="E91" i="96" a="1"/>
  <c r="F276" i="96" a="1"/>
  <c r="E86" i="96" a="1"/>
  <c r="E179" i="96" a="1"/>
  <c r="M188" i="96" a="1"/>
  <c r="H176" i="96" a="1"/>
  <c r="I171" i="96" a="1"/>
  <c r="G198" i="96" a="1"/>
  <c r="M148" i="96" a="1"/>
  <c r="J318" i="96" a="1"/>
  <c r="L136" i="96" a="1"/>
  <c r="I189" i="96" a="1"/>
  <c r="I269" i="96" a="1"/>
  <c r="E238" i="96" a="1"/>
  <c r="M60" i="96" a="1"/>
  <c r="G246" i="96" a="1"/>
  <c r="H332" i="96" a="1"/>
  <c r="K53" i="96" a="1"/>
  <c r="G304" i="96" a="1"/>
  <c r="K322" i="96" a="1"/>
  <c r="H331" i="96" a="1"/>
  <c r="I200" i="96" a="1"/>
  <c r="K150" i="96" a="1"/>
  <c r="M129" i="96" a="1"/>
  <c r="I35" i="96" a="1"/>
  <c r="J245" i="96" a="1"/>
  <c r="L252" i="96" a="1"/>
  <c r="H219" i="96" a="1"/>
  <c r="G177" i="96" a="1"/>
  <c r="M232" i="96" a="1"/>
  <c r="I3" i="96" a="1"/>
  <c r="J291" i="96" a="1"/>
  <c r="F225" i="96" a="1"/>
  <c r="F182" i="96" a="1"/>
  <c r="G65" i="96" a="1"/>
  <c r="H205" i="96" a="1"/>
  <c r="I196" i="96" a="1"/>
  <c r="L87" i="96" a="1"/>
  <c r="G200" i="96" a="1"/>
  <c r="H215" i="96" a="1"/>
  <c r="H14" i="96" a="1"/>
  <c r="I241" i="96" a="1"/>
  <c r="G84" i="96" a="1"/>
  <c r="I282" i="96" a="1"/>
  <c r="J79" i="96" a="1"/>
  <c r="F247" i="96" a="1"/>
  <c r="F163" i="96" a="1"/>
  <c r="E82" i="96" a="1"/>
  <c r="I86" i="96" a="1"/>
  <c r="F80" i="96" a="1"/>
  <c r="E53" i="96" a="1"/>
  <c r="L134" i="96" a="1"/>
  <c r="F30" i="96" a="1"/>
  <c r="K297" i="96" a="1"/>
  <c r="L20" i="96" a="1"/>
  <c r="L247" i="96" a="1"/>
  <c r="E169" i="96" a="1"/>
  <c r="L86" i="96" a="1"/>
  <c r="J308" i="96" a="1"/>
  <c r="H94" i="96" a="1"/>
  <c r="E149" i="96" a="1"/>
  <c r="E108" i="96" a="1"/>
  <c r="J102" i="96" a="1"/>
  <c r="K191" i="96" a="1"/>
  <c r="G283" i="96" a="1"/>
  <c r="H323" i="96" a="1"/>
  <c r="J228" i="96" a="1"/>
  <c r="I108" i="96" a="1"/>
  <c r="I330" i="96" a="1"/>
  <c r="J18" i="96" a="1"/>
  <c r="H22" i="96" a="1"/>
  <c r="J68" i="96" a="1"/>
  <c r="J141" i="96" a="1"/>
  <c r="H257" i="96" a="1"/>
  <c r="L317" i="96" a="1"/>
  <c r="E237" i="96" a="1"/>
  <c r="M74" i="96" a="1"/>
  <c r="I300" i="96" a="1"/>
  <c r="L205" i="96" a="1"/>
  <c r="I90" i="96" a="1"/>
  <c r="E161" i="96" a="1"/>
  <c r="G320" i="96" a="1"/>
  <c r="J62" i="96" a="1"/>
  <c r="H251" i="96" a="1"/>
  <c r="M240" i="96" a="1"/>
  <c r="F179" i="96" a="1"/>
  <c r="H106" i="96" a="1"/>
  <c r="H11" i="96" a="1"/>
  <c r="E312" i="96" a="1"/>
  <c r="E332" i="96" a="1"/>
  <c r="F314" i="96" a="1"/>
  <c r="I96" i="96" a="1"/>
  <c r="J52" i="96" a="1"/>
  <c r="G207" i="96" a="1"/>
  <c r="J250" i="96" a="1"/>
  <c r="J25" i="96" a="1"/>
  <c r="K173" i="96" a="1"/>
  <c r="L104" i="96" a="1"/>
  <c r="H72" i="96" a="1"/>
  <c r="I289" i="96" a="1"/>
  <c r="L323" i="96" a="1"/>
  <c r="F90" i="96" a="1"/>
  <c r="K81" i="96" a="1"/>
  <c r="K2" i="96" a="1"/>
  <c r="F25" i="96" a="1"/>
  <c r="G168" i="96" a="1"/>
  <c r="J104" i="96" a="1"/>
  <c r="I157" i="96" a="1"/>
  <c r="J138" i="96" a="1"/>
  <c r="F239" i="96" a="1"/>
  <c r="H302" i="96" a="1"/>
  <c r="F160" i="96" a="1"/>
  <c r="K161" i="96" a="1"/>
  <c r="I142" i="96" a="1"/>
  <c r="H309" i="96" a="1"/>
  <c r="G73" i="96" a="1"/>
  <c r="J200" i="96" a="1"/>
  <c r="J49" i="96" a="1"/>
  <c r="G52" i="96" a="1"/>
  <c r="E292" i="96" a="1"/>
  <c r="M31" i="96" a="1"/>
  <c r="G308" i="96" a="1"/>
  <c r="J239" i="96" a="1"/>
  <c r="L96" i="96" a="1"/>
  <c r="K308" i="96" a="1"/>
  <c r="L110" i="96" a="1"/>
  <c r="F184" i="96" a="1"/>
  <c r="F65" i="96" a="1"/>
  <c r="E85" i="96" a="1"/>
  <c r="J275" i="96" a="1"/>
  <c r="L199" i="96" a="1"/>
  <c r="E121" i="96" a="1"/>
  <c r="I296" i="96" a="1"/>
  <c r="E146" i="96" a="1"/>
  <c r="L78" i="96" a="1"/>
  <c r="I179" i="96" a="1"/>
  <c r="K281" i="96" a="1"/>
  <c r="M161" i="96" a="1"/>
  <c r="K115" i="96" a="1"/>
  <c r="I170" i="96" a="1"/>
  <c r="K247" i="96" a="1"/>
  <c r="F47" i="96" a="1"/>
  <c r="F84" i="96" a="1"/>
  <c r="J93" i="96" a="1"/>
  <c r="G56" i="96" a="1"/>
  <c r="G78" i="96" a="1"/>
  <c r="M315" i="96" a="1"/>
  <c r="H108" i="96" a="1"/>
  <c r="M204" i="96" a="1"/>
  <c r="L14" i="96" a="1"/>
  <c r="L153" i="96" a="1"/>
  <c r="K93" i="96" a="1"/>
  <c r="F260" i="96" a="1"/>
  <c r="I245" i="96" a="1"/>
  <c r="G317" i="96" a="1"/>
  <c r="E45" i="96" a="1"/>
  <c r="H172" i="96" a="1"/>
  <c r="L232" i="96" a="1"/>
  <c r="L231" i="96" a="1"/>
  <c r="M256" i="96" a="1"/>
  <c r="M104" i="96" a="1"/>
  <c r="M144" i="96" a="1"/>
  <c r="G258" i="96" a="1"/>
  <c r="F281" i="96" a="1"/>
  <c r="J75" i="96" a="1"/>
  <c r="M313" i="96" a="1"/>
  <c r="M322" i="96" a="1"/>
  <c r="I225" i="96" a="1"/>
  <c r="H71" i="96" a="1"/>
  <c r="E252" i="96" a="1"/>
  <c r="E15" i="96" a="1"/>
  <c r="I79" i="96" a="1"/>
  <c r="H85" i="96" a="1"/>
  <c r="M285" i="96" a="1"/>
  <c r="H198" i="96" a="1"/>
  <c r="J57" i="96" a="1"/>
  <c r="H298" i="96" a="1"/>
  <c r="K106" i="96" a="1"/>
  <c r="H95" i="96" a="1"/>
  <c r="G271" i="96" a="1"/>
  <c r="G148" i="96" a="1"/>
  <c r="M260" i="96" a="1"/>
  <c r="M230" i="96" a="1"/>
  <c r="J89" i="96" a="1"/>
  <c r="E18" i="96" a="1"/>
  <c r="E194" i="96" a="1"/>
  <c r="F156" i="96" a="1"/>
  <c r="J51" i="96" a="1"/>
  <c r="I255" i="96" a="1"/>
  <c r="H101" i="96" a="1"/>
  <c r="G160" i="96" a="1"/>
  <c r="M196" i="96" a="1"/>
  <c r="F164" i="96" a="1"/>
  <c r="J198" i="96" a="1"/>
  <c r="K22" i="96" a="1"/>
  <c r="J27" i="96" a="1"/>
  <c r="F298" i="96" a="1"/>
  <c r="I2" i="96" a="1"/>
  <c r="K25" i="96" a="1"/>
  <c r="E29" i="96" a="1"/>
  <c r="M150" i="96" a="1"/>
  <c r="J162" i="96" a="1"/>
  <c r="I268" i="96" a="1"/>
  <c r="M280" i="96" a="1"/>
  <c r="G123" i="96" a="1"/>
  <c r="G299" i="96" a="1"/>
  <c r="F37" i="96" a="1"/>
  <c r="G130" i="96" a="1"/>
  <c r="F209" i="96" a="1"/>
  <c r="I186" i="96" a="1"/>
  <c r="G82" i="96" a="1"/>
  <c r="F125" i="96" a="1"/>
  <c r="L197" i="96" a="1"/>
  <c r="H157" i="96" a="1"/>
  <c r="M17" i="96" a="1"/>
  <c r="K141" i="96" a="1"/>
  <c r="M46" i="96" a="1"/>
  <c r="J120" i="96" a="1"/>
  <c r="I234" i="96" a="1"/>
  <c r="L152" i="96" a="1"/>
  <c r="G311" i="96" a="1"/>
  <c r="K291" i="96" a="1"/>
  <c r="G141" i="96" a="1"/>
  <c r="G86" i="96" a="1"/>
  <c r="E141" i="96" a="1"/>
  <c r="G36" i="96" a="1"/>
  <c r="E196" i="96" a="1"/>
  <c r="F136" i="96" a="1"/>
  <c r="L216" i="96" a="1"/>
  <c r="G206" i="96" a="1"/>
  <c r="J304" i="96" a="1"/>
  <c r="G231" i="96" a="1"/>
  <c r="L55" i="96" a="1"/>
  <c r="G170" i="96" a="1"/>
  <c r="J110" i="96" a="1"/>
  <c r="E143" i="96" a="1"/>
  <c r="G313" i="96" a="1"/>
  <c r="E289" i="96" a="1"/>
  <c r="H264" i="96" a="1"/>
  <c r="J317" i="96" a="1"/>
  <c r="J60" i="96" a="1"/>
  <c r="E88" i="96" a="1"/>
  <c r="E137" i="96" a="1"/>
  <c r="F108" i="96" a="1"/>
  <c r="G69" i="96" a="1"/>
  <c r="H292" i="96" a="1"/>
  <c r="K105" i="96" a="1"/>
  <c r="H193" i="96" a="1"/>
  <c r="F114" i="96" a="1"/>
  <c r="J116" i="96" a="1"/>
  <c r="M257" i="96" a="1"/>
  <c r="J83" i="96" a="1"/>
  <c r="G30" i="96" a="1"/>
  <c r="K31" i="96" a="1"/>
  <c r="H197" i="96" a="1"/>
  <c r="I206" i="96" a="1"/>
  <c r="F204" i="96" a="1"/>
  <c r="G268" i="96" a="1"/>
  <c r="L189" i="96" a="1"/>
  <c r="F157" i="96" a="1"/>
  <c r="M300" i="96" a="1"/>
  <c r="M62" i="96" a="1"/>
  <c r="F144" i="96" a="1"/>
  <c r="M24" i="96" a="1"/>
  <c r="K135" i="96" a="1"/>
  <c r="J124" i="96" a="1"/>
  <c r="F54" i="96" a="1"/>
  <c r="H195" i="96" a="1"/>
  <c r="E104" i="96" a="1"/>
  <c r="K249" i="96" a="1"/>
  <c r="I18" i="96" a="1"/>
  <c r="G332" i="96" a="1"/>
  <c r="J300" i="96" a="1"/>
  <c r="F55" i="96" a="1"/>
  <c r="M205" i="96" a="1"/>
  <c r="G222" i="96" a="1"/>
  <c r="G103" i="96" a="1"/>
  <c r="K108" i="96" a="1"/>
  <c r="M49" i="96" a="1"/>
  <c r="E33" i="96" a="1"/>
  <c r="I91" i="96" a="1"/>
  <c r="J328" i="96" a="1"/>
  <c r="J157" i="96" a="1"/>
  <c r="K72" i="96" a="1"/>
  <c r="E326" i="96" a="1"/>
  <c r="J295" i="96" a="1"/>
  <c r="H59" i="96" a="1"/>
  <c r="I14" i="96" a="1"/>
  <c r="H130" i="96" a="1"/>
  <c r="H122" i="96" a="1"/>
  <c r="I159" i="96" a="1"/>
  <c r="K306" i="96" a="1"/>
  <c r="H76" i="96" a="1"/>
  <c r="E118" i="96" a="1"/>
  <c r="H160" i="96" a="1"/>
  <c r="E77" i="96" a="1"/>
  <c r="K89" i="96" a="1"/>
  <c r="L54" i="96" a="1"/>
  <c r="I307" i="96" a="1"/>
  <c r="E204" i="96" a="1"/>
  <c r="E111" i="96" a="1"/>
  <c r="L319" i="96" a="1"/>
  <c r="F4" i="96" a="1"/>
  <c r="G58" i="96" a="1"/>
  <c r="F60" i="96" a="1"/>
  <c r="F262" i="96" a="1"/>
  <c r="H117" i="96" a="1"/>
  <c r="F215" i="96" a="1"/>
  <c r="E280" i="96" a="1"/>
  <c r="I164" i="96" a="1"/>
  <c r="E2" i="96" a="1"/>
  <c r="F279" i="96" a="1"/>
  <c r="E333" i="96" a="1"/>
  <c r="I149" i="96" a="1"/>
  <c r="J325" i="96" a="1"/>
  <c r="F278" i="96" a="1"/>
  <c r="L182" i="96" a="1"/>
  <c r="F294" i="96" a="1"/>
  <c r="M166" i="96" a="1"/>
  <c r="G31" i="96" a="1"/>
  <c r="E248" i="96" a="1"/>
  <c r="H3" i="96" a="1"/>
  <c r="J256" i="96" a="1"/>
  <c r="L177" i="96" a="1"/>
  <c r="H206" i="96" a="1"/>
  <c r="K68" i="96" a="1"/>
  <c r="L243" i="96" a="1"/>
  <c r="G54" i="96" a="1"/>
  <c r="M331" i="96" a="1"/>
  <c r="M221" i="96" a="1"/>
  <c r="K171" i="96" a="1"/>
  <c r="L213" i="96" a="1"/>
  <c r="G157" i="96" a="1"/>
  <c r="F141" i="96" a="1"/>
  <c r="F128" i="96" a="1"/>
  <c r="J126" i="96" a="1"/>
  <c r="K127" i="96" a="1"/>
  <c r="K332" i="96" a="1"/>
  <c r="K229" i="96" a="1"/>
  <c r="L290" i="96" a="1"/>
  <c r="E80" i="96" a="1"/>
  <c r="H287" i="96" a="1"/>
  <c r="G139" i="96" a="1"/>
  <c r="E208" i="96" a="1"/>
  <c r="F73" i="96" a="1"/>
  <c r="L46" i="96" a="1"/>
  <c r="F71" i="96" a="1"/>
  <c r="L100" i="96" a="1"/>
  <c r="J2" i="96" a="1"/>
  <c r="F234" i="96" a="1"/>
  <c r="G276" i="96" a="1"/>
  <c r="L295" i="96" a="1"/>
  <c r="I306" i="96" a="1"/>
  <c r="J19" i="96" a="1"/>
  <c r="H271" i="96" a="1"/>
  <c r="K50" i="96" a="1"/>
  <c r="J96" i="96" a="1"/>
  <c r="K122" i="96" a="1"/>
  <c r="G75" i="96" a="1"/>
  <c r="G204" i="96" a="1"/>
  <c r="G270" i="96" a="1"/>
  <c r="J232" i="96" a="1"/>
  <c r="E302" i="96" a="1"/>
  <c r="M119" i="96" a="1"/>
  <c r="M252" i="96" a="1"/>
  <c r="G61" i="96" a="1"/>
  <c r="K114" i="96" a="1"/>
  <c r="E184" i="96" a="1"/>
  <c r="F306" i="96" a="1"/>
  <c r="J36" i="96" a="1"/>
  <c r="G21" i="96" a="1"/>
  <c r="K128" i="96" a="1"/>
  <c r="M131" i="96" a="1"/>
  <c r="E304" i="96" a="1"/>
  <c r="G325" i="96" a="1"/>
  <c r="F93" i="96" a="1"/>
  <c r="K55" i="96" a="1"/>
  <c r="H64" i="96" a="1"/>
  <c r="G282" i="96" a="1"/>
  <c r="H226" i="96" a="1"/>
  <c r="J182" i="96" a="1"/>
  <c r="G114" i="96" a="1"/>
  <c r="K147" i="96" a="1"/>
  <c r="K296" i="96" a="1"/>
  <c r="M291" i="96" a="1"/>
  <c r="F174" i="96" a="1"/>
  <c r="M295" i="96" a="1"/>
  <c r="M189" i="96" a="1"/>
  <c r="K318" i="96" a="1"/>
  <c r="J166" i="96" a="1"/>
  <c r="G312" i="96" a="1"/>
  <c r="I226" i="96" a="1"/>
  <c r="J330" i="96" a="1"/>
  <c r="J279" i="96" a="1"/>
  <c r="I36" i="96" a="1"/>
  <c r="H326" i="96" a="1"/>
  <c r="K223" i="96" a="1"/>
  <c r="I205" i="96" a="1"/>
  <c r="M84" i="96" a="1"/>
  <c r="M92" i="96" a="1"/>
  <c r="E264" i="96" a="1"/>
  <c r="E245" i="96" a="1"/>
  <c r="K257" i="96" a="1"/>
  <c r="K42" i="96" a="1"/>
  <c r="M124" i="96" a="1"/>
  <c r="H210" i="96" a="1"/>
  <c r="H236" i="96" a="1"/>
  <c r="M190" i="96" a="1"/>
  <c r="K107" i="96" a="1"/>
  <c r="K288" i="96" a="1"/>
  <c r="H24" i="96" a="1"/>
  <c r="M83" i="96" a="1"/>
  <c r="L22" i="96" a="1"/>
  <c r="I95" i="96" a="1"/>
  <c r="L313" i="96" a="1"/>
  <c r="J282" i="96" a="1"/>
  <c r="L37" i="96" a="1"/>
  <c r="M198" i="96" a="1"/>
  <c r="F122" i="96" a="1"/>
  <c r="H86" i="96" a="1"/>
  <c r="J306" i="96" a="1"/>
  <c r="L318" i="96" a="1"/>
  <c r="L97" i="96" a="1"/>
  <c r="L17" i="96" a="1"/>
  <c r="F161" i="96" a="1"/>
  <c r="G310" i="96" a="1"/>
  <c r="G136" i="96" a="1"/>
  <c r="K186" i="96" a="1"/>
  <c r="G217" i="96" a="1"/>
  <c r="M126" i="96" a="1"/>
  <c r="E284" i="96" a="1"/>
  <c r="L34" i="96" a="1"/>
  <c r="E231" i="96" a="1"/>
  <c r="H29" i="96" a="1"/>
  <c r="M116" i="96" a="1"/>
  <c r="H316" i="96" a="1"/>
  <c r="F201" i="96" a="1"/>
  <c r="J82" i="96" a="1"/>
  <c r="L225" i="96" a="1"/>
  <c r="I62" i="96" a="1"/>
  <c r="F67" i="96" a="1"/>
  <c r="F76" i="96" a="1"/>
  <c r="E95" i="96" a="1"/>
  <c r="J219" i="96" a="1"/>
  <c r="F85" i="96" a="1"/>
  <c r="I103" i="96" a="1"/>
  <c r="L62" i="96" a="1"/>
  <c r="I47" i="96" a="1"/>
  <c r="E94" i="96" a="1"/>
  <c r="M312" i="96" a="1"/>
  <c r="K63" i="96" a="1"/>
  <c r="G189" i="96" a="1"/>
  <c r="I276" i="96" a="1"/>
  <c r="J262" i="96" a="1"/>
  <c r="E54" i="96" a="1"/>
  <c r="L266" i="96" a="1"/>
  <c r="H224" i="96" a="1"/>
  <c r="G80" i="96" a="1"/>
  <c r="F78" i="96" a="1"/>
  <c r="E61" i="96" a="1"/>
  <c r="F257" i="96" a="1"/>
  <c r="K220" i="96" a="1"/>
  <c r="E160" i="96" a="1"/>
  <c r="E62" i="96" a="1"/>
  <c r="L301" i="96" a="1"/>
  <c r="J139" i="96" a="1"/>
  <c r="K145" i="96" a="1"/>
  <c r="E286" i="96" a="1"/>
  <c r="L168" i="96" a="1"/>
  <c r="F271" i="96" a="1"/>
  <c r="G109" i="96" a="1"/>
  <c r="G7" i="96" a="1"/>
  <c r="M203" i="96" a="1"/>
  <c r="K305" i="96" a="1"/>
  <c r="M142" i="96" a="1"/>
  <c r="F147" i="96" a="1"/>
  <c r="E287" i="96" a="1"/>
  <c r="E278" i="96" a="1"/>
  <c r="E6" i="96" a="1"/>
  <c r="K124" i="96" a="1"/>
  <c r="K197" i="96" a="1"/>
  <c r="K196" i="96" a="1"/>
  <c r="J335" i="96" a="1"/>
  <c r="F218" i="96" a="1"/>
  <c r="F238" i="96" a="1"/>
  <c r="H175" i="96" a="1"/>
  <c r="K133" i="96" a="1"/>
  <c r="F61" i="96" a="1"/>
  <c r="K184" i="96" a="1"/>
  <c r="K290" i="96" a="1"/>
  <c r="K144" i="96" a="1"/>
  <c r="L66" i="96" a="1"/>
  <c r="I201" i="96" a="1"/>
  <c r="I27" i="96" a="1"/>
  <c r="G111" i="96" a="1"/>
  <c r="H308" i="96" a="1"/>
  <c r="E67" i="96" a="1"/>
  <c r="G281" i="96" a="1"/>
  <c r="G106" i="96" a="1"/>
  <c r="I222" i="96" a="1"/>
  <c r="G326" i="96" a="1"/>
  <c r="K125" i="96" a="1"/>
  <c r="L245" i="96" a="1"/>
  <c r="H272" i="96" a="1"/>
  <c r="J326" i="96" a="1"/>
  <c r="K177" i="96" a="1"/>
  <c r="E315" i="96" a="1"/>
  <c r="J12" i="96" a="1"/>
  <c r="E198" i="96" a="1"/>
  <c r="J259" i="96" a="1"/>
  <c r="I190" i="96" a="1"/>
  <c r="I113" i="96" a="1"/>
  <c r="K4" i="96" a="1"/>
  <c r="F203" i="96" a="1"/>
  <c r="E215" i="96" a="1"/>
  <c r="G199" i="96" a="1"/>
  <c r="G39" i="96" a="1"/>
  <c r="H278" i="96" a="1"/>
  <c r="E325" i="96" a="1"/>
  <c r="L30" i="96" a="1"/>
  <c r="G32" i="96" a="1"/>
  <c r="K312" i="96" a="1"/>
  <c r="L60" i="96" a="1"/>
  <c r="K295" i="96" a="1"/>
  <c r="H300" i="96" a="1"/>
  <c r="F52" i="96" a="1"/>
  <c r="J208" i="96" a="1"/>
  <c r="M237" i="96" a="1"/>
  <c r="H30" i="96" a="1"/>
  <c r="L218" i="96" a="1"/>
  <c r="E133" i="96" a="1"/>
  <c r="G232" i="96" a="1"/>
  <c r="L255" i="96" a="1"/>
  <c r="E203" i="96" a="1"/>
  <c r="G251" i="96" a="1"/>
  <c r="H321" i="96" a="1"/>
  <c r="L4" i="96" a="1"/>
  <c r="K74" i="96" a="1"/>
  <c r="K47" i="96" a="1"/>
  <c r="E97" i="96" a="1"/>
  <c r="E144" i="96" a="1"/>
  <c r="I145" i="96" a="1"/>
  <c r="I273" i="96" a="1"/>
  <c r="H261" i="96" a="1"/>
  <c r="M239" i="96" a="1"/>
  <c r="L117" i="96" a="1"/>
  <c r="J99" i="96" a="1"/>
  <c r="F251" i="96" a="1"/>
  <c r="L302" i="96" a="1"/>
  <c r="L185" i="96" a="1"/>
  <c r="J86" i="96" a="1"/>
  <c r="J311" i="96" a="1"/>
  <c r="I52" i="96" a="1"/>
  <c r="F199" i="96" a="1"/>
  <c r="F15" i="96" a="1"/>
  <c r="G186" i="96" a="1"/>
  <c r="E147" i="96" a="1"/>
  <c r="M57" i="96" a="1"/>
  <c r="J97" i="96" a="1"/>
  <c r="J135" i="96" a="1"/>
  <c r="I54" i="96" a="1"/>
  <c r="G89" i="96" a="1"/>
  <c r="K27" i="96" a="1"/>
  <c r="E39" i="96" a="1"/>
  <c r="L171" i="96" a="1"/>
  <c r="J121" i="96" a="1"/>
  <c r="M32" i="96" a="1"/>
  <c r="G208" i="96" a="1"/>
  <c r="G242" i="96" a="1"/>
  <c r="H17" i="96" a="1"/>
  <c r="I29" i="96" a="1"/>
  <c r="F171" i="96" a="1"/>
  <c r="I315" i="96" a="1"/>
  <c r="M45" i="96" a="1"/>
  <c r="L163" i="96" a="1"/>
  <c r="G90" i="96" a="1"/>
  <c r="H336" i="96" a="1"/>
  <c r="G10" i="96" a="1"/>
  <c r="H307" i="96" a="1"/>
  <c r="M89" i="96" a="1"/>
  <c r="H324" i="96" a="1"/>
  <c r="E151" i="96" a="1"/>
  <c r="K41" i="96" a="1"/>
  <c r="H266" i="96" a="1"/>
  <c r="F252" i="96" a="1"/>
  <c r="E183" i="96" a="1"/>
  <c r="J171" i="96" a="1"/>
  <c r="K102" i="96" a="1"/>
  <c r="J234" i="96" a="1"/>
  <c r="I23" i="96" a="1"/>
  <c r="G209" i="96" a="1"/>
  <c r="F107" i="96" a="1"/>
  <c r="E132" i="96" a="1"/>
  <c r="M207" i="96" a="1"/>
  <c r="I207" i="96" a="1"/>
  <c r="F189" i="96" a="1"/>
  <c r="E205" i="96" a="1"/>
  <c r="G229" i="96" a="1"/>
  <c r="L33" i="96" a="1"/>
  <c r="H110" i="96" a="1"/>
  <c r="L112" i="96" a="1"/>
  <c r="E78" i="96" a="1"/>
  <c r="J269" i="96" a="1"/>
  <c r="K21" i="96" a="1"/>
  <c r="E87" i="96" a="1"/>
  <c r="M16" i="96" a="1"/>
  <c r="I151" i="96" a="1"/>
  <c r="M202" i="96" a="1"/>
  <c r="K163" i="96" a="1"/>
  <c r="F229" i="96" a="1"/>
  <c r="J290" i="96" a="1"/>
  <c r="G72" i="96" a="1"/>
  <c r="K64" i="96" a="1"/>
  <c r="G14" i="96" a="1"/>
  <c r="J244" i="96" a="1"/>
  <c r="K121" i="96" a="1"/>
  <c r="G286" i="96" a="1"/>
  <c r="G305" i="96" a="1"/>
  <c r="M58" i="96" a="1"/>
  <c r="K189" i="96" a="1"/>
  <c r="J4" i="96" a="1"/>
  <c r="I124" i="96" a="1"/>
  <c r="J64" i="96" a="1"/>
  <c r="I40" i="96" a="1"/>
  <c r="E233" i="96" a="1"/>
  <c r="E110" i="96" a="1"/>
  <c r="L174" i="96" a="1"/>
  <c r="K62" i="96" a="1"/>
  <c r="L236" i="96" a="1"/>
  <c r="H69" i="96" a="1"/>
  <c r="G307" i="96" a="1"/>
  <c r="G257" i="96" a="1"/>
  <c r="H314" i="96" a="1"/>
  <c r="H159" i="96" a="1"/>
  <c r="I263" i="96" a="1"/>
  <c r="E55" i="96" a="1"/>
  <c r="F158" i="96" a="1"/>
  <c r="K61" i="96" a="1"/>
  <c r="G142" i="96" a="1"/>
  <c r="L320" i="96" a="1"/>
  <c r="H16" i="96" a="1"/>
  <c r="G301" i="96" a="1"/>
  <c r="F209" i="96" l="1"/>
  <c r="H37" i="96"/>
  <c r="I298" i="96"/>
  <c r="E75" i="96"/>
  <c r="I282" i="96"/>
  <c r="K15" i="96"/>
  <c r="G56" i="96"/>
  <c r="G32" i="96"/>
  <c r="F125" i="96"/>
  <c r="L295" i="96"/>
  <c r="E216" i="96"/>
  <c r="I192" i="96"/>
  <c r="J220" i="96"/>
  <c r="J171" i="96"/>
  <c r="K68" i="96"/>
  <c r="M70" i="96"/>
  <c r="H160" i="96"/>
  <c r="F60" i="96"/>
  <c r="L53" i="96"/>
  <c r="K46" i="96"/>
  <c r="G175" i="96"/>
  <c r="F30" i="96"/>
  <c r="K93" i="96"/>
  <c r="E251" i="96"/>
  <c r="G217" i="96"/>
  <c r="H192" i="96"/>
  <c r="H328" i="96"/>
  <c r="K143" i="96"/>
  <c r="E23" i="96"/>
  <c r="J206" i="96"/>
  <c r="K187" i="96"/>
  <c r="E326" i="96"/>
  <c r="M229" i="96"/>
  <c r="F95" i="96"/>
  <c r="H94" i="96"/>
  <c r="I3" i="96"/>
  <c r="M146" i="96"/>
  <c r="H287" i="96"/>
  <c r="I272" i="96"/>
  <c r="I14" i="96"/>
  <c r="H157" i="96"/>
  <c r="J4" i="96"/>
  <c r="L218" i="96"/>
  <c r="F4" i="96"/>
  <c r="G124" i="96"/>
  <c r="K86" i="96"/>
  <c r="L247" i="96"/>
  <c r="F299" i="96"/>
  <c r="K177" i="96"/>
  <c r="G236" i="96"/>
  <c r="K150" i="96"/>
  <c r="M62" i="96"/>
  <c r="L33" i="96"/>
  <c r="I306" i="96"/>
  <c r="E262" i="96"/>
  <c r="M312" i="96"/>
  <c r="K166" i="96"/>
  <c r="J215" i="96"/>
  <c r="H264" i="96"/>
  <c r="K55" i="96"/>
  <c r="J255" i="96"/>
  <c r="H323" i="96"/>
  <c r="K168" i="96"/>
  <c r="M321" i="96"/>
  <c r="L60" i="96"/>
  <c r="J55" i="96"/>
  <c r="L141" i="96"/>
  <c r="H95" i="96"/>
  <c r="E260" i="96"/>
  <c r="F108" i="96"/>
  <c r="K223" i="96"/>
  <c r="J161" i="96"/>
  <c r="F37" i="96"/>
  <c r="I189" i="96"/>
  <c r="J198" i="96"/>
  <c r="J64" i="96"/>
  <c r="G238" i="96"/>
  <c r="F278" i="96"/>
  <c r="F175" i="96"/>
  <c r="I157" i="96"/>
  <c r="H122" i="96"/>
  <c r="I288" i="96"/>
  <c r="L66" i="96"/>
  <c r="I95" i="96"/>
  <c r="M164" i="96"/>
  <c r="E133" i="96"/>
  <c r="H331" i="96"/>
  <c r="I200" i="96"/>
  <c r="I229" i="96"/>
  <c r="J247" i="96"/>
  <c r="K205" i="96"/>
  <c r="H99" i="96"/>
  <c r="I62" i="96"/>
  <c r="I26" i="96"/>
  <c r="K249" i="96"/>
  <c r="E256" i="96"/>
  <c r="K327" i="96"/>
  <c r="G95" i="96"/>
  <c r="I151" i="96"/>
  <c r="H169" i="96"/>
  <c r="F92" i="96"/>
  <c r="I164" i="96"/>
  <c r="I249" i="96"/>
  <c r="E325" i="96"/>
  <c r="I289" i="96"/>
  <c r="G184" i="96"/>
  <c r="H334" i="96"/>
  <c r="M291" i="96"/>
  <c r="G274" i="96"/>
  <c r="H283" i="96"/>
  <c r="H307" i="96"/>
  <c r="J158" i="96"/>
  <c r="M173" i="96"/>
  <c r="F184" i="96"/>
  <c r="H244" i="96"/>
  <c r="E102" i="96"/>
  <c r="F15" i="96"/>
  <c r="L104" i="96"/>
  <c r="J219" i="96"/>
  <c r="F229" i="96"/>
  <c r="F314" i="96"/>
  <c r="I218" i="96"/>
  <c r="I232" i="96"/>
  <c r="J302" i="96"/>
  <c r="H125" i="96"/>
  <c r="M313" i="96"/>
  <c r="I269" i="96"/>
  <c r="G305" i="96"/>
  <c r="M46" i="96"/>
  <c r="I159" i="96"/>
  <c r="K207" i="96"/>
  <c r="L13" i="96"/>
  <c r="F304" i="96"/>
  <c r="J208" i="96"/>
  <c r="F230" i="96"/>
  <c r="I78" i="96"/>
  <c r="F107" i="96"/>
  <c r="E203" i="96"/>
  <c r="K269" i="96"/>
  <c r="E28" i="96"/>
  <c r="E252" i="96"/>
  <c r="F287" i="96"/>
  <c r="I207" i="96"/>
  <c r="F162" i="96"/>
  <c r="F326" i="96"/>
  <c r="K41" i="96"/>
  <c r="E151" i="96"/>
  <c r="K80" i="96"/>
  <c r="H313" i="96"/>
  <c r="I156" i="96"/>
  <c r="E276" i="96"/>
  <c r="M74" i="96"/>
  <c r="M83" i="96"/>
  <c r="L306" i="96"/>
  <c r="H193" i="96"/>
  <c r="E15" i="96"/>
  <c r="M272" i="96"/>
  <c r="H238" i="96"/>
  <c r="K122" i="96"/>
  <c r="K297" i="96"/>
  <c r="H336" i="96"/>
  <c r="L269" i="96"/>
  <c r="G208" i="96"/>
  <c r="E143" i="96"/>
  <c r="J311" i="96"/>
  <c r="L41" i="96"/>
  <c r="K300" i="96"/>
  <c r="M190" i="96"/>
  <c r="G318" i="96"/>
  <c r="J318" i="96"/>
  <c r="H261" i="96"/>
  <c r="F32" i="96"/>
  <c r="K42" i="96"/>
  <c r="G283" i="96"/>
  <c r="K125" i="96"/>
  <c r="F331" i="96"/>
  <c r="K197" i="96"/>
  <c r="H28" i="96"/>
  <c r="I241" i="96"/>
  <c r="E97" i="96"/>
  <c r="G258" i="96"/>
  <c r="J279" i="96"/>
  <c r="G142" i="96"/>
  <c r="F73" i="96"/>
  <c r="K18" i="96"/>
  <c r="E242" i="96"/>
  <c r="F332" i="96"/>
  <c r="L290" i="96"/>
  <c r="M241" i="96"/>
  <c r="L79" i="96"/>
  <c r="E278" i="96"/>
  <c r="J157" i="96"/>
  <c r="H10" i="96"/>
  <c r="F154" i="96"/>
  <c r="H293" i="96"/>
  <c r="H302" i="96"/>
  <c r="H197" i="96"/>
  <c r="G168" i="96"/>
  <c r="K144" i="96"/>
  <c r="E18" i="96"/>
  <c r="H76" i="96"/>
  <c r="M35" i="96"/>
  <c r="E302" i="96"/>
  <c r="K184" i="96"/>
  <c r="M161" i="96"/>
  <c r="I71" i="96"/>
  <c r="J88" i="96"/>
  <c r="G161" i="96"/>
  <c r="L118" i="96"/>
  <c r="J25" i="96"/>
  <c r="G61" i="96"/>
  <c r="K281" i="96"/>
  <c r="J178" i="96"/>
  <c r="L331" i="96"/>
  <c r="L302" i="96"/>
  <c r="F260" i="96"/>
  <c r="J233" i="96"/>
  <c r="H252" i="96"/>
  <c r="M326" i="96"/>
  <c r="E336" i="96"/>
  <c r="J83" i="96"/>
  <c r="G270" i="96"/>
  <c r="E223" i="96"/>
  <c r="M206" i="96"/>
  <c r="H271" i="96"/>
  <c r="L117" i="96"/>
  <c r="G3" i="96"/>
  <c r="J275" i="96"/>
  <c r="E329" i="96"/>
  <c r="F203" i="96"/>
  <c r="L318" i="96"/>
  <c r="G139" i="96"/>
  <c r="L317" i="96"/>
  <c r="M108" i="96"/>
  <c r="F222" i="96"/>
  <c r="L74" i="96"/>
  <c r="F152" i="96"/>
  <c r="I98" i="96"/>
  <c r="L3" i="96"/>
  <c r="J221" i="96"/>
  <c r="H9" i="96"/>
  <c r="K171" i="96"/>
  <c r="G313" i="96"/>
  <c r="I97" i="96"/>
  <c r="F276" i="96"/>
  <c r="L256" i="96"/>
  <c r="M335" i="96"/>
  <c r="M191" i="96"/>
  <c r="L136" i="96"/>
  <c r="K127" i="96"/>
  <c r="M98" i="96"/>
  <c r="G325" i="96"/>
  <c r="F160" i="96"/>
  <c r="L305" i="96"/>
  <c r="I225" i="96"/>
  <c r="E289" i="96"/>
  <c r="J138" i="96"/>
  <c r="G52" i="96"/>
  <c r="I190" i="96"/>
  <c r="F82" i="96"/>
  <c r="G74" i="96"/>
  <c r="G260" i="96"/>
  <c r="F144" i="96"/>
  <c r="I134" i="96"/>
  <c r="K121" i="96"/>
  <c r="K81" i="96"/>
  <c r="I46" i="96"/>
  <c r="E144" i="96"/>
  <c r="E120" i="96"/>
  <c r="G269" i="96"/>
  <c r="E248" i="96"/>
  <c r="G182" i="96"/>
  <c r="J303" i="96"/>
  <c r="L245" i="96"/>
  <c r="E208" i="96"/>
  <c r="J244" i="96"/>
  <c r="I141" i="96"/>
  <c r="M31" i="96"/>
  <c r="E72" i="96"/>
  <c r="K141" i="96"/>
  <c r="L252" i="96"/>
  <c r="J254" i="96"/>
  <c r="J52" i="96"/>
  <c r="G320" i="96"/>
  <c r="I321" i="96"/>
  <c r="G293" i="96"/>
  <c r="E47" i="96"/>
  <c r="L15" i="96"/>
  <c r="H72" i="96"/>
  <c r="L43" i="96"/>
  <c r="G229" i="96"/>
  <c r="E284" i="96"/>
  <c r="M240" i="96"/>
  <c r="J17" i="96"/>
  <c r="E22" i="96"/>
  <c r="I168" i="96"/>
  <c r="J141" i="96"/>
  <c r="H21" i="96"/>
  <c r="E10" i="96"/>
  <c r="M58" i="96"/>
  <c r="G6" i="96"/>
  <c r="M232" i="96"/>
  <c r="F282" i="96"/>
  <c r="I294" i="96"/>
  <c r="H330" i="96"/>
  <c r="F112" i="96"/>
  <c r="H101" i="96"/>
  <c r="F239" i="96"/>
  <c r="G306" i="96"/>
  <c r="J166" i="96"/>
  <c r="K163" i="96"/>
  <c r="J68" i="96"/>
  <c r="K91" i="96"/>
  <c r="I60" i="96"/>
  <c r="E86" i="96"/>
  <c r="K292" i="96"/>
  <c r="H68" i="96"/>
  <c r="G36" i="96"/>
  <c r="G231" i="96"/>
  <c r="K4" i="96"/>
  <c r="J175" i="96"/>
  <c r="H235" i="96"/>
  <c r="J202" i="96"/>
  <c r="M199" i="96"/>
  <c r="L314" i="96"/>
  <c r="E286" i="96"/>
  <c r="L78" i="96"/>
  <c r="J57" i="96"/>
  <c r="G69" i="96"/>
  <c r="K291" i="96"/>
  <c r="E205" i="96"/>
  <c r="I235" i="96"/>
  <c r="J173" i="96"/>
  <c r="F324" i="96"/>
  <c r="M203" i="96"/>
  <c r="I219" i="96"/>
  <c r="L63" i="96"/>
  <c r="H295" i="96"/>
  <c r="F296" i="96"/>
  <c r="L266" i="96"/>
  <c r="G84" i="96"/>
  <c r="G201" i="96"/>
  <c r="L77" i="96"/>
  <c r="L100" i="96"/>
  <c r="G72" i="96"/>
  <c r="E312" i="96"/>
  <c r="L71" i="96"/>
  <c r="J200" i="96"/>
  <c r="F238" i="96"/>
  <c r="I300" i="96"/>
  <c r="M150" i="96"/>
  <c r="E169" i="96"/>
  <c r="M123" i="96"/>
  <c r="G80" i="96"/>
  <c r="I58" i="96"/>
  <c r="E89" i="96"/>
  <c r="G53" i="96"/>
  <c r="F164" i="96"/>
  <c r="J137" i="96"/>
  <c r="E204" i="96"/>
  <c r="L166" i="96"/>
  <c r="G264" i="96"/>
  <c r="E292" i="96"/>
  <c r="M17" i="96"/>
  <c r="M209" i="96"/>
  <c r="F212" i="96"/>
  <c r="F84" i="96"/>
  <c r="J67" i="96"/>
  <c r="H163" i="96"/>
  <c r="K158" i="96"/>
  <c r="L171" i="96"/>
  <c r="F257" i="96"/>
  <c r="I312" i="96"/>
  <c r="L329" i="96"/>
  <c r="F122" i="96"/>
  <c r="J262" i="96"/>
  <c r="I186" i="96"/>
  <c r="H85" i="96"/>
  <c r="H162" i="96"/>
  <c r="H298" i="96"/>
  <c r="K286" i="96"/>
  <c r="H141" i="96"/>
  <c r="I259" i="96"/>
  <c r="L205" i="96"/>
  <c r="F97" i="96"/>
  <c r="M52" i="96"/>
  <c r="I276" i="96"/>
  <c r="I108" i="96"/>
  <c r="K47" i="96"/>
  <c r="M243" i="96"/>
  <c r="G281" i="96"/>
  <c r="L230" i="96"/>
  <c r="J295" i="96"/>
  <c r="J26" i="96"/>
  <c r="F235" i="96"/>
  <c r="G213" i="96"/>
  <c r="L231" i="96"/>
  <c r="E2" i="96"/>
  <c r="G136" i="96"/>
  <c r="M55" i="96"/>
  <c r="K110" i="96"/>
  <c r="H300" i="96"/>
  <c r="H29" i="96"/>
  <c r="G299" i="96"/>
  <c r="J252" i="96"/>
  <c r="K108" i="96"/>
  <c r="I68" i="96"/>
  <c r="M237" i="96"/>
  <c r="H80" i="96"/>
  <c r="K306" i="96"/>
  <c r="I170" i="96"/>
  <c r="G199" i="96"/>
  <c r="M260" i="96"/>
  <c r="E215" i="96"/>
  <c r="L168" i="96"/>
  <c r="K16" i="96"/>
  <c r="K238" i="96"/>
  <c r="K209" i="96"/>
  <c r="H314" i="96"/>
  <c r="G90" i="96"/>
  <c r="F320" i="96"/>
  <c r="I205" i="96"/>
  <c r="M233" i="96"/>
  <c r="J259" i="96"/>
  <c r="G326" i="96"/>
  <c r="M124" i="96"/>
  <c r="J121" i="96"/>
  <c r="M307" i="96"/>
  <c r="K129" i="96"/>
  <c r="G198" i="96"/>
  <c r="J329" i="96"/>
  <c r="E245" i="96"/>
  <c r="I23" i="96"/>
  <c r="H172" i="96"/>
  <c r="E249" i="96"/>
  <c r="E231" i="96"/>
  <c r="K8" i="96"/>
  <c r="F306" i="96"/>
  <c r="I124" i="96"/>
  <c r="G332" i="96"/>
  <c r="G301" i="96"/>
  <c r="K102" i="96"/>
  <c r="G222" i="96"/>
  <c r="E8" i="96"/>
  <c r="J223" i="96"/>
  <c r="E45" i="96"/>
  <c r="H181" i="96"/>
  <c r="G21" i="96"/>
  <c r="H86" i="96"/>
  <c r="K61" i="96"/>
  <c r="F284" i="96"/>
  <c r="I86" i="96"/>
  <c r="M20" i="96"/>
  <c r="J291" i="96"/>
  <c r="H195" i="96"/>
  <c r="K11" i="96"/>
  <c r="H38" i="96"/>
  <c r="M205" i="96"/>
  <c r="F275" i="96"/>
  <c r="K318" i="96"/>
  <c r="H58" i="96"/>
  <c r="H210" i="96"/>
  <c r="G200" i="96"/>
  <c r="M149" i="96"/>
  <c r="K133" i="96"/>
  <c r="F117" i="96"/>
  <c r="L285" i="96"/>
  <c r="F174" i="96"/>
  <c r="K212" i="96"/>
  <c r="M85" i="96"/>
  <c r="M215" i="96"/>
  <c r="J172" i="96"/>
  <c r="I123" i="96"/>
  <c r="L225" i="96"/>
  <c r="M296" i="96"/>
  <c r="I113" i="96"/>
  <c r="M290" i="96"/>
  <c r="J75" i="96"/>
  <c r="E184" i="96"/>
  <c r="K308" i="96"/>
  <c r="K255" i="96"/>
  <c r="E282" i="96"/>
  <c r="J93" i="96"/>
  <c r="J116" i="96"/>
  <c r="J332" i="96"/>
  <c r="G114" i="96"/>
  <c r="I280" i="96"/>
  <c r="K53" i="96"/>
  <c r="G30" i="96"/>
  <c r="E313" i="96"/>
  <c r="F93" i="96"/>
  <c r="E132" i="96"/>
  <c r="M188" i="96"/>
  <c r="J98" i="96"/>
  <c r="K131" i="96"/>
  <c r="I248" i="96"/>
  <c r="L46" i="96"/>
  <c r="F335" i="96"/>
  <c r="I226" i="96"/>
  <c r="M24" i="96"/>
  <c r="J139" i="96"/>
  <c r="K239" i="96"/>
  <c r="K73" i="96"/>
  <c r="K148" i="96"/>
  <c r="G40" i="96"/>
  <c r="H64" i="96"/>
  <c r="F163" i="96"/>
  <c r="L37" i="96"/>
  <c r="I117" i="96"/>
  <c r="L216" i="96"/>
  <c r="L20" i="96"/>
  <c r="H206" i="96"/>
  <c r="K233" i="96"/>
  <c r="H272" i="96"/>
  <c r="K325" i="96"/>
  <c r="K226" i="96"/>
  <c r="E106" i="96"/>
  <c r="M318" i="96"/>
  <c r="I196" i="96"/>
  <c r="F247" i="96"/>
  <c r="H217" i="96"/>
  <c r="I234" i="96"/>
  <c r="K236" i="96"/>
  <c r="J325" i="96"/>
  <c r="M195" i="96"/>
  <c r="J91" i="96"/>
  <c r="K257" i="96"/>
  <c r="G195" i="96"/>
  <c r="J96" i="96"/>
  <c r="M305" i="96"/>
  <c r="I204" i="96"/>
  <c r="G123" i="96"/>
  <c r="H205" i="96"/>
  <c r="I35" i="96"/>
  <c r="M135" i="96"/>
  <c r="I41" i="96"/>
  <c r="H248" i="96"/>
  <c r="M311" i="96"/>
  <c r="I140" i="96"/>
  <c r="H219" i="96"/>
  <c r="G58" i="96"/>
  <c r="J99" i="96"/>
  <c r="L4" i="96"/>
  <c r="E38" i="96"/>
  <c r="G246" i="96"/>
  <c r="K63" i="96"/>
  <c r="J163" i="96"/>
  <c r="K250" i="96"/>
  <c r="H140" i="96"/>
  <c r="I2" i="96"/>
  <c r="G130" i="96"/>
  <c r="E118" i="96"/>
  <c r="H233" i="96"/>
  <c r="L174" i="96"/>
  <c r="F251" i="96"/>
  <c r="L167" i="96"/>
  <c r="K229" i="96"/>
  <c r="J102" i="96"/>
  <c r="L128" i="96"/>
  <c r="L88" i="96"/>
  <c r="M60" i="96"/>
  <c r="J51" i="96"/>
  <c r="J32" i="96"/>
  <c r="E188" i="96"/>
  <c r="E299" i="96"/>
  <c r="G170" i="96"/>
  <c r="H312" i="96"/>
  <c r="L34" i="96"/>
  <c r="G140" i="96"/>
  <c r="G160" i="96"/>
  <c r="J234" i="96"/>
  <c r="F25" i="96"/>
  <c r="M119" i="96"/>
  <c r="E160" i="96"/>
  <c r="M202" i="96"/>
  <c r="K268" i="96"/>
  <c r="K72" i="96"/>
  <c r="G86" i="96"/>
  <c r="F78" i="96"/>
  <c r="F218" i="96"/>
  <c r="L121" i="96"/>
  <c r="I274" i="96"/>
  <c r="J250" i="96"/>
  <c r="E33" i="96"/>
  <c r="J61" i="96"/>
  <c r="G276" i="96"/>
  <c r="F193" i="96"/>
  <c r="J49" i="96"/>
  <c r="I268" i="96"/>
  <c r="K105" i="96"/>
  <c r="G271" i="96"/>
  <c r="E9" i="96"/>
  <c r="H257" i="96"/>
  <c r="M198" i="96"/>
  <c r="G89" i="96"/>
  <c r="L237" i="96"/>
  <c r="L70" i="96"/>
  <c r="K312" i="96"/>
  <c r="E267" i="96"/>
  <c r="I330" i="96"/>
  <c r="I42" i="96"/>
  <c r="E87" i="96"/>
  <c r="F137" i="96"/>
  <c r="G85" i="96"/>
  <c r="L300" i="96"/>
  <c r="M47" i="96"/>
  <c r="L190" i="96"/>
  <c r="H110" i="96"/>
  <c r="G109" i="96"/>
  <c r="H159" i="96"/>
  <c r="J306" i="96"/>
  <c r="F61" i="96"/>
  <c r="M253" i="96"/>
  <c r="E171" i="96"/>
  <c r="I130" i="96"/>
  <c r="K298" i="96"/>
  <c r="L197" i="96"/>
  <c r="G94" i="96"/>
  <c r="E61" i="96"/>
  <c r="L304" i="96"/>
  <c r="M207" i="96"/>
  <c r="K147" i="96"/>
  <c r="J62" i="96"/>
  <c r="F171" i="96"/>
  <c r="I316" i="96"/>
  <c r="M89" i="96"/>
  <c r="K106" i="96"/>
  <c r="K64" i="96"/>
  <c r="F190" i="96"/>
  <c r="F145" i="96"/>
  <c r="M32" i="96"/>
  <c r="E95" i="96"/>
  <c r="H11" i="96"/>
  <c r="H306" i="96"/>
  <c r="H130" i="96"/>
  <c r="L200" i="96"/>
  <c r="J204" i="96"/>
  <c r="M115" i="96"/>
  <c r="J269" i="96"/>
  <c r="F283" i="96"/>
  <c r="J105" i="96"/>
  <c r="M126" i="96"/>
  <c r="G309" i="96"/>
  <c r="M221" i="96"/>
  <c r="G11" i="96"/>
  <c r="I145" i="96"/>
  <c r="I17" i="96"/>
  <c r="E78" i="96"/>
  <c r="F161" i="96"/>
  <c r="L255" i="96"/>
  <c r="G102" i="96"/>
  <c r="F76" i="96"/>
  <c r="G31" i="96"/>
  <c r="L153" i="96"/>
  <c r="K186" i="96"/>
  <c r="M104" i="96"/>
  <c r="I52" i="96"/>
  <c r="J326" i="96"/>
  <c r="H27" i="96"/>
  <c r="G209" i="96"/>
  <c r="L313" i="96"/>
  <c r="I37" i="96"/>
  <c r="I20" i="96"/>
  <c r="F67" i="96"/>
  <c r="I167" i="96"/>
  <c r="J130" i="96"/>
  <c r="I137" i="96"/>
  <c r="M275" i="96"/>
  <c r="M11" i="96"/>
  <c r="E54" i="96"/>
  <c r="M285" i="96"/>
  <c r="E272" i="96"/>
  <c r="H239" i="96"/>
  <c r="E332" i="96"/>
  <c r="M45" i="96"/>
  <c r="I29" i="96"/>
  <c r="F263" i="96"/>
  <c r="H106" i="96"/>
  <c r="I307" i="96"/>
  <c r="M300" i="96"/>
  <c r="K288" i="96"/>
  <c r="L98" i="96"/>
  <c r="L35" i="96"/>
  <c r="E94" i="96"/>
  <c r="M144" i="96"/>
  <c r="L97" i="96"/>
  <c r="L283" i="96"/>
  <c r="E333" i="96"/>
  <c r="H16" i="96"/>
  <c r="K71" i="96"/>
  <c r="J142" i="96"/>
  <c r="F26" i="96"/>
  <c r="J328" i="96"/>
  <c r="J135" i="96"/>
  <c r="G232" i="96"/>
  <c r="I245" i="96"/>
  <c r="I184" i="96"/>
  <c r="E137" i="96"/>
  <c r="H292" i="96"/>
  <c r="K27" i="96"/>
  <c r="H150" i="96"/>
  <c r="M204" i="96"/>
  <c r="L243" i="96"/>
  <c r="L320" i="96"/>
  <c r="G186" i="96"/>
  <c r="J76" i="96"/>
  <c r="M10" i="96"/>
  <c r="G7" i="96"/>
  <c r="J228" i="96"/>
  <c r="H263" i="96"/>
  <c r="J15" i="96"/>
  <c r="E287" i="96"/>
  <c r="G312" i="96"/>
  <c r="F252" i="96"/>
  <c r="K247" i="96"/>
  <c r="H280" i="96"/>
  <c r="L182" i="96"/>
  <c r="L293" i="96"/>
  <c r="H108" i="96"/>
  <c r="J124" i="96"/>
  <c r="M7" i="96"/>
  <c r="H242" i="96"/>
  <c r="G307" i="96"/>
  <c r="E294" i="96"/>
  <c r="F243" i="96"/>
  <c r="E104" i="96"/>
  <c r="I296" i="96"/>
  <c r="J335" i="96"/>
  <c r="L189" i="96"/>
  <c r="I213" i="96"/>
  <c r="K248" i="96"/>
  <c r="G128" i="96"/>
  <c r="J19" i="96"/>
  <c r="J232" i="96"/>
  <c r="M322" i="96"/>
  <c r="M72" i="96"/>
  <c r="E280" i="96"/>
  <c r="G105" i="96"/>
  <c r="J330" i="96"/>
  <c r="M252" i="96"/>
  <c r="E77" i="96"/>
  <c r="H121" i="96"/>
  <c r="G268" i="96"/>
  <c r="J239" i="96"/>
  <c r="F177" i="96"/>
  <c r="F189" i="96"/>
  <c r="J286" i="96"/>
  <c r="L110" i="96"/>
  <c r="L213" i="96"/>
  <c r="L232" i="96"/>
  <c r="K103" i="96"/>
  <c r="L188" i="96"/>
  <c r="J60" i="96"/>
  <c r="F52" i="96"/>
  <c r="K137" i="96"/>
  <c r="E233" i="96"/>
  <c r="J242" i="96"/>
  <c r="J126" i="96"/>
  <c r="L125" i="96"/>
  <c r="E53" i="96"/>
  <c r="K128" i="96"/>
  <c r="E327" i="96"/>
  <c r="M328" i="96"/>
  <c r="M148" i="96"/>
  <c r="G103" i="96"/>
  <c r="L185" i="96"/>
  <c r="E199" i="96"/>
  <c r="M63" i="96"/>
  <c r="M228" i="96"/>
  <c r="J317" i="96"/>
  <c r="K75" i="96"/>
  <c r="F90" i="96"/>
  <c r="F330" i="96"/>
  <c r="I220" i="96"/>
  <c r="F134" i="96"/>
  <c r="H24" i="96"/>
  <c r="H167" i="96"/>
  <c r="G96" i="96"/>
  <c r="H309" i="96"/>
  <c r="L133" i="96"/>
  <c r="J100" i="96"/>
  <c r="M281" i="96"/>
  <c r="M54" i="96"/>
  <c r="I96" i="96"/>
  <c r="K336" i="96"/>
  <c r="K305" i="96"/>
  <c r="G75" i="96"/>
  <c r="L330" i="96"/>
  <c r="I47" i="96"/>
  <c r="E52" i="96"/>
  <c r="L312" i="96"/>
  <c r="H226" i="96"/>
  <c r="E7" i="96"/>
  <c r="H117" i="96"/>
  <c r="I193" i="96"/>
  <c r="E318" i="96"/>
  <c r="G240" i="96"/>
  <c r="J214" i="96"/>
  <c r="G266" i="96"/>
  <c r="J182" i="96"/>
  <c r="G173" i="96"/>
  <c r="E39" i="96"/>
  <c r="H3" i="96"/>
  <c r="I155" i="96"/>
  <c r="G315" i="96"/>
  <c r="L294" i="96"/>
  <c r="F170" i="96"/>
  <c r="E126" i="96"/>
  <c r="J195" i="96"/>
  <c r="M84" i="96"/>
  <c r="F262" i="96"/>
  <c r="E93" i="96"/>
  <c r="H22" i="96"/>
  <c r="E161" i="96"/>
  <c r="E80" i="96"/>
  <c r="H14" i="96"/>
  <c r="E212" i="96"/>
  <c r="L30" i="96"/>
  <c r="F147" i="96"/>
  <c r="E91" i="96"/>
  <c r="H176" i="96"/>
  <c r="K35" i="96"/>
  <c r="K84" i="96"/>
  <c r="G216" i="96"/>
  <c r="E149" i="96"/>
  <c r="H47" i="96"/>
  <c r="H220" i="96"/>
  <c r="E157" i="96"/>
  <c r="J104" i="96"/>
  <c r="I91" i="96"/>
  <c r="M130" i="96"/>
  <c r="K114" i="96"/>
  <c r="E183" i="96"/>
  <c r="K191" i="96"/>
  <c r="E82" i="96"/>
  <c r="F269" i="96"/>
  <c r="J89" i="96"/>
  <c r="G257" i="96"/>
  <c r="J58" i="96"/>
  <c r="K173" i="96"/>
  <c r="L177" i="96"/>
  <c r="K296" i="96"/>
  <c r="G278" i="96"/>
  <c r="G204" i="96"/>
  <c r="L87" i="96"/>
  <c r="L326" i="96"/>
  <c r="K283" i="96"/>
  <c r="H118" i="96"/>
  <c r="L265" i="96"/>
  <c r="G16" i="96"/>
  <c r="G267" i="96"/>
  <c r="J149" i="96"/>
  <c r="I198" i="96"/>
  <c r="M257" i="96"/>
  <c r="F85" i="96"/>
  <c r="I116" i="96"/>
  <c r="E237" i="96"/>
  <c r="G107" i="96"/>
  <c r="J97" i="96"/>
  <c r="H332" i="96"/>
  <c r="F213" i="96"/>
  <c r="G111" i="96"/>
  <c r="F253" i="96"/>
  <c r="F128" i="96"/>
  <c r="H294" i="96"/>
  <c r="I206" i="96"/>
  <c r="I217" i="96"/>
  <c r="F129" i="96"/>
  <c r="K74" i="96"/>
  <c r="F182" i="96"/>
  <c r="K48" i="96"/>
  <c r="L28" i="96"/>
  <c r="E55" i="96"/>
  <c r="F291" i="96"/>
  <c r="J108" i="96"/>
  <c r="J18" i="96"/>
  <c r="E269" i="96"/>
  <c r="E319" i="96"/>
  <c r="E172" i="96"/>
  <c r="J27" i="96"/>
  <c r="M242" i="96"/>
  <c r="J147" i="96"/>
  <c r="E62" i="96"/>
  <c r="L275" i="96"/>
  <c r="M59" i="96"/>
  <c r="I27" i="96"/>
  <c r="F153" i="96"/>
  <c r="K157" i="96"/>
  <c r="F179" i="96"/>
  <c r="E111" i="96"/>
  <c r="E196" i="96"/>
  <c r="M333" i="96"/>
  <c r="J245" i="96"/>
  <c r="L163" i="96"/>
  <c r="I263" i="96"/>
  <c r="G189" i="96"/>
  <c r="K322" i="96"/>
  <c r="K111" i="96"/>
  <c r="I18" i="96"/>
  <c r="M287" i="96"/>
  <c r="L262" i="96"/>
  <c r="J72" i="96"/>
  <c r="I222" i="96"/>
  <c r="M315" i="96"/>
  <c r="J290" i="96"/>
  <c r="L210" i="96"/>
  <c r="I59" i="96"/>
  <c r="L323" i="96"/>
  <c r="G14" i="96"/>
  <c r="K95" i="96"/>
  <c r="H321" i="96"/>
  <c r="I255" i="96"/>
  <c r="J117" i="96"/>
  <c r="G78" i="96"/>
  <c r="G157" i="96"/>
  <c r="J304" i="96"/>
  <c r="F69" i="96"/>
  <c r="G251" i="96"/>
  <c r="L22" i="96"/>
  <c r="F158" i="96"/>
  <c r="H326" i="96"/>
  <c r="G311" i="96"/>
  <c r="H266" i="96"/>
  <c r="H175" i="96"/>
  <c r="I127" i="96"/>
  <c r="J282" i="96"/>
  <c r="K295" i="96"/>
  <c r="G148" i="96"/>
  <c r="H224" i="96"/>
  <c r="J248" i="96"/>
  <c r="G288" i="96"/>
  <c r="F268" i="96"/>
  <c r="J165" i="96"/>
  <c r="F199" i="96"/>
  <c r="I228" i="96"/>
  <c r="E198" i="96"/>
  <c r="H2" i="96"/>
  <c r="I79" i="96"/>
  <c r="E315" i="96"/>
  <c r="G48" i="96"/>
  <c r="E146" i="96"/>
  <c r="I102" i="96"/>
  <c r="H198" i="96"/>
  <c r="H319" i="96"/>
  <c r="E264" i="96"/>
  <c r="E29" i="96"/>
  <c r="J150" i="96"/>
  <c r="L261" i="96"/>
  <c r="G106" i="96"/>
  <c r="K225" i="96"/>
  <c r="K251" i="96"/>
  <c r="E100" i="96"/>
  <c r="E85" i="96"/>
  <c r="J133" i="96"/>
  <c r="K21" i="96"/>
  <c r="G221" i="96"/>
  <c r="G131" i="96"/>
  <c r="J44" i="96"/>
  <c r="G300" i="96"/>
  <c r="G317" i="96"/>
  <c r="I201" i="96"/>
  <c r="F116" i="96"/>
  <c r="J256" i="96"/>
  <c r="G73" i="96"/>
  <c r="H308" i="96"/>
  <c r="M295" i="96"/>
  <c r="F201" i="96"/>
  <c r="K290" i="96"/>
  <c r="M142" i="96"/>
  <c r="K135" i="96"/>
  <c r="I54" i="96"/>
  <c r="F329" i="96"/>
  <c r="F55" i="96"/>
  <c r="J36" i="96"/>
  <c r="F279" i="96"/>
  <c r="M239" i="96"/>
  <c r="L291" i="96"/>
  <c r="E74" i="96"/>
  <c r="K264" i="96"/>
  <c r="E96" i="96"/>
  <c r="H278" i="96"/>
  <c r="K189" i="96"/>
  <c r="F198" i="96"/>
  <c r="K115" i="96"/>
  <c r="I324" i="96"/>
  <c r="F48" i="96"/>
  <c r="J110" i="96"/>
  <c r="J300" i="96"/>
  <c r="J333" i="96"/>
  <c r="F47" i="96"/>
  <c r="G250" i="96"/>
  <c r="E121" i="96"/>
  <c r="I22" i="96"/>
  <c r="K57" i="96"/>
  <c r="K62" i="96"/>
  <c r="K196" i="96"/>
  <c r="E290" i="96"/>
  <c r="F65" i="96"/>
  <c r="H46" i="96"/>
  <c r="E304" i="96"/>
  <c r="E110" i="96"/>
  <c r="E283" i="96"/>
  <c r="L259" i="96"/>
  <c r="G206" i="96"/>
  <c r="L199" i="96"/>
  <c r="E6" i="96"/>
  <c r="F72" i="96"/>
  <c r="H209" i="96"/>
  <c r="E281" i="96"/>
  <c r="M256" i="96"/>
  <c r="I90" i="96"/>
  <c r="H30" i="96"/>
  <c r="G210" i="96"/>
  <c r="L149" i="96"/>
  <c r="L184" i="96"/>
  <c r="M12" i="96"/>
  <c r="I142" i="96"/>
  <c r="G310" i="96"/>
  <c r="F300" i="96"/>
  <c r="F183" i="96"/>
  <c r="H116" i="96"/>
  <c r="H63" i="96"/>
  <c r="F114" i="96"/>
  <c r="J327" i="96"/>
  <c r="M49" i="96"/>
  <c r="H253" i="96"/>
  <c r="M71" i="96"/>
  <c r="E156" i="96"/>
  <c r="M265" i="96"/>
  <c r="H71" i="96"/>
  <c r="I273" i="96"/>
  <c r="M331" i="96"/>
  <c r="L14" i="96"/>
  <c r="G54" i="96"/>
  <c r="L105" i="96"/>
  <c r="I122" i="96"/>
  <c r="F204" i="96"/>
  <c r="K161" i="96"/>
  <c r="G101" i="96"/>
  <c r="J79" i="96"/>
  <c r="I106" i="96"/>
  <c r="F136" i="96"/>
  <c r="F141" i="96"/>
  <c r="F120" i="96"/>
  <c r="M166" i="96"/>
  <c r="G180" i="96"/>
  <c r="H251" i="96"/>
  <c r="F294" i="96"/>
  <c r="H49" i="96"/>
  <c r="I181" i="96"/>
  <c r="I336" i="96"/>
  <c r="G65" i="96"/>
  <c r="E192" i="96"/>
  <c r="J120" i="96"/>
  <c r="J86" i="96"/>
  <c r="E141" i="96"/>
  <c r="M147" i="96"/>
  <c r="G5" i="96"/>
  <c r="H42" i="96"/>
  <c r="F157" i="96"/>
  <c r="J292" i="96"/>
  <c r="G282" i="96"/>
  <c r="K199" i="96"/>
  <c r="I119" i="96"/>
  <c r="L284" i="96"/>
  <c r="J176" i="96"/>
  <c r="J205" i="96"/>
  <c r="E243" i="96"/>
  <c r="K145" i="96"/>
  <c r="F225" i="96"/>
  <c r="E67" i="96"/>
  <c r="M254" i="96"/>
  <c r="E285" i="96"/>
  <c r="L54" i="96"/>
  <c r="K124" i="96"/>
  <c r="M154" i="96"/>
  <c r="K89" i="96"/>
  <c r="M162" i="96"/>
  <c r="M27" i="96"/>
  <c r="L152" i="96"/>
  <c r="K33" i="96"/>
  <c r="E238" i="96"/>
  <c r="M129" i="96"/>
  <c r="F298" i="96"/>
  <c r="I40" i="96"/>
  <c r="J63" i="96"/>
  <c r="E232" i="96"/>
  <c r="M41" i="96"/>
  <c r="I331" i="96"/>
  <c r="M181" i="96"/>
  <c r="E88" i="96"/>
  <c r="L236" i="96"/>
  <c r="I210" i="96"/>
  <c r="G302" i="96"/>
  <c r="G308" i="96"/>
  <c r="K326" i="96"/>
  <c r="E179" i="96"/>
  <c r="L107" i="96"/>
  <c r="I215" i="96"/>
  <c r="M231" i="96"/>
  <c r="F80" i="96"/>
  <c r="L319" i="96"/>
  <c r="J85" i="96"/>
  <c r="G191" i="96"/>
  <c r="E194" i="96"/>
  <c r="I171" i="96"/>
  <c r="H40" i="96"/>
  <c r="J2" i="96"/>
  <c r="F54" i="96"/>
  <c r="I6" i="96"/>
  <c r="K37" i="96"/>
  <c r="F156" i="96"/>
  <c r="H215" i="96"/>
  <c r="F280" i="96"/>
  <c r="G286" i="96"/>
  <c r="E14" i="96"/>
  <c r="E236" i="96"/>
  <c r="H66" i="96"/>
  <c r="L86" i="96"/>
  <c r="E254" i="96"/>
  <c r="K25" i="96"/>
  <c r="F142" i="96"/>
  <c r="M189" i="96"/>
  <c r="K31" i="96"/>
  <c r="E279" i="96"/>
  <c r="F215" i="96"/>
  <c r="K126" i="96"/>
  <c r="F281" i="96"/>
  <c r="L96" i="96"/>
  <c r="G304" i="96"/>
  <c r="H324" i="96"/>
  <c r="E148" i="96"/>
  <c r="K22" i="96"/>
  <c r="E129" i="96"/>
  <c r="H204" i="96"/>
  <c r="F318" i="96"/>
  <c r="I36" i="96"/>
  <c r="M133" i="96"/>
  <c r="F71" i="96"/>
  <c r="H109" i="96"/>
  <c r="I149" i="96"/>
  <c r="M267" i="96"/>
  <c r="H104" i="96"/>
  <c r="J82" i="96"/>
  <c r="J160" i="96"/>
  <c r="L9" i="96"/>
  <c r="G82" i="96"/>
  <c r="E147" i="96"/>
  <c r="K88" i="96"/>
  <c r="J278" i="96"/>
  <c r="I315" i="96"/>
  <c r="F271" i="96"/>
  <c r="M131" i="96"/>
  <c r="E99" i="96"/>
  <c r="G43" i="96"/>
  <c r="L134" i="96"/>
  <c r="J192" i="96"/>
  <c r="E60" i="96"/>
  <c r="H250" i="96"/>
  <c r="M80" i="96"/>
  <c r="M230" i="96"/>
  <c r="L335" i="96"/>
  <c r="K220" i="96"/>
  <c r="G177" i="96"/>
  <c r="K100" i="96"/>
  <c r="M280" i="96"/>
  <c r="L301" i="96"/>
  <c r="H59" i="96"/>
  <c r="K50" i="96"/>
  <c r="G92" i="96"/>
  <c r="J12" i="96"/>
  <c r="I317" i="96"/>
  <c r="I179" i="96"/>
  <c r="K52" i="96"/>
  <c r="L51" i="96"/>
  <c r="G245" i="96"/>
  <c r="G143" i="96"/>
  <c r="I144" i="96"/>
  <c r="I103" i="96"/>
  <c r="J92" i="96"/>
  <c r="M92" i="96"/>
  <c r="H69" i="96"/>
  <c r="M16" i="96"/>
  <c r="M196" i="96"/>
  <c r="L93" i="96"/>
  <c r="G242" i="96"/>
  <c r="H79" i="96"/>
  <c r="L62" i="96"/>
  <c r="K332" i="96"/>
  <c r="H316" i="96"/>
  <c r="E108" i="96"/>
  <c r="L112" i="96"/>
  <c r="L55" i="96"/>
  <c r="J308" i="96"/>
  <c r="K2" i="96"/>
  <c r="M116" i="96"/>
  <c r="G141" i="96"/>
  <c r="M57" i="96"/>
  <c r="F59" i="96"/>
  <c r="G207" i="96"/>
  <c r="G39" i="96"/>
  <c r="M163" i="96"/>
  <c r="L17" i="96"/>
  <c r="G10" i="96"/>
  <c r="M13" i="96"/>
  <c r="L215" i="96"/>
  <c r="F234" i="96"/>
  <c r="K107" i="96"/>
  <c r="J334" i="96"/>
  <c r="F10" i="96"/>
  <c r="I182" i="96"/>
  <c r="H236" i="96"/>
  <c r="K167" i="96"/>
  <c r="G227" i="96"/>
  <c r="H17" i="96"/>
  <c r="J162" i="96"/>
  <c r="E246" i="96"/>
  <c r="AJ210" i="93"/>
  <c r="AJ44" i="93"/>
  <c r="AI44" i="93" a="1"/>
  <c r="AI44" i="93" s="1"/>
  <c r="AI113" i="93" a="1"/>
  <c r="AI113" i="93" s="1"/>
  <c r="AJ113" i="93"/>
  <c r="AI42" i="93" a="1"/>
  <c r="AI42" i="93" s="1"/>
  <c r="AJ42" i="93"/>
  <c r="AI117" i="93" a="1"/>
  <c r="AI117" i="93" s="1"/>
  <c r="AJ117" i="93"/>
  <c r="AI225" i="93" a="1"/>
  <c r="AI225" i="93" s="1"/>
  <c r="AJ225" i="93"/>
  <c r="AI331" i="93" a="1"/>
  <c r="AI331" i="93" s="1"/>
  <c r="AJ331" i="93"/>
  <c r="AI327" i="93" a="1"/>
  <c r="AI327" i="93" s="1"/>
  <c r="AJ327" i="93"/>
  <c r="AI97" i="93" a="1"/>
  <c r="AI97" i="93" s="1"/>
  <c r="AJ97" i="93"/>
  <c r="AI241" i="93" a="1"/>
  <c r="AI241" i="93" s="1"/>
  <c r="AJ241" i="93"/>
  <c r="AJ303" i="93"/>
  <c r="AI303" i="93" a="1"/>
  <c r="AI303" i="93" s="1"/>
  <c r="AI274" i="93" a="1"/>
  <c r="AI274" i="93" s="1"/>
  <c r="AJ274" i="93"/>
  <c r="AI166" i="93" a="1"/>
  <c r="AI166" i="93" s="1"/>
  <c r="AJ166" i="93"/>
  <c r="AI301" i="93" a="1"/>
  <c r="AI301" i="93" s="1"/>
  <c r="AJ301" i="93"/>
  <c r="AJ75" i="93"/>
  <c r="AI75" i="93" a="1"/>
  <c r="AI75" i="93" s="1"/>
  <c r="AJ184" i="93"/>
  <c r="AI184" i="93" a="1"/>
  <c r="AI184" i="93" s="1"/>
  <c r="AI292" i="93" a="1"/>
  <c r="AI292" i="93" s="1"/>
  <c r="AJ292" i="93"/>
  <c r="AJ200" i="93"/>
  <c r="AI200" i="93" a="1"/>
  <c r="AI200" i="93" s="1"/>
  <c r="AJ290" i="93"/>
  <c r="AI290" i="93" a="1"/>
  <c r="AI290" i="93" s="1"/>
  <c r="AI54" i="93" a="1"/>
  <c r="AI54" i="93" s="1"/>
  <c r="AJ54" i="93"/>
  <c r="AI175" i="93" a="1"/>
  <c r="AI175" i="93" s="1"/>
  <c r="AJ175" i="93"/>
  <c r="AJ202" i="93"/>
  <c r="AI202" i="93" a="1"/>
  <c r="AI202" i="93" s="1"/>
  <c r="AJ238" i="93"/>
  <c r="AI238" i="93" a="1"/>
  <c r="AI238" i="93" s="1"/>
  <c r="AI100" i="93" a="1"/>
  <c r="AI100" i="93" s="1"/>
  <c r="AJ100" i="93"/>
  <c r="AJ309" i="93"/>
  <c r="AI309" i="93" a="1"/>
  <c r="AI309" i="93" s="1"/>
  <c r="AI325" i="93" a="1"/>
  <c r="AI325" i="93" s="1"/>
  <c r="AJ325" i="93"/>
  <c r="AI101" i="93" a="1"/>
  <c r="AI101" i="93" s="1"/>
  <c r="AJ101" i="93"/>
  <c r="AI114" i="93" a="1"/>
  <c r="AI114" i="93" s="1"/>
  <c r="AJ114" i="93"/>
  <c r="AJ251" i="93"/>
  <c r="AI251" i="93" a="1"/>
  <c r="AI251" i="93" s="1"/>
  <c r="AI247" i="93" a="1"/>
  <c r="AI247" i="93" s="1"/>
  <c r="AJ247" i="93"/>
  <c r="AI77" i="93" a="1"/>
  <c r="AI77" i="93" s="1"/>
  <c r="AJ77" i="93"/>
  <c r="AI326" i="93" a="1"/>
  <c r="AI326" i="93" s="1"/>
  <c r="AJ326" i="93"/>
  <c r="AJ158" i="93"/>
  <c r="AI158" i="93" a="1"/>
  <c r="AI158" i="93" s="1"/>
  <c r="AJ147" i="93"/>
  <c r="AI147" i="93" a="1"/>
  <c r="AI147" i="93" s="1"/>
  <c r="AJ35" i="93"/>
  <c r="AI35" i="93" a="1"/>
  <c r="AI35" i="93" s="1"/>
  <c r="AI143" i="93" a="1"/>
  <c r="AI143" i="93" s="1"/>
  <c r="AJ143" i="93"/>
  <c r="AI150" i="93" a="1"/>
  <c r="AI150" i="93" s="1"/>
  <c r="AJ150" i="93"/>
  <c r="AJ145" i="93"/>
  <c r="AI145" i="93" a="1"/>
  <c r="AI145" i="93" s="1"/>
  <c r="AJ127" i="93"/>
  <c r="AI127" i="93" a="1"/>
  <c r="AI127" i="93" s="1"/>
  <c r="AI214" i="93" a="1"/>
  <c r="AI214" i="93" s="1"/>
  <c r="AJ214" i="93"/>
  <c r="AI211" i="93" a="1"/>
  <c r="AI211" i="93" s="1"/>
  <c r="AJ211" i="93"/>
  <c r="AJ183" i="93"/>
  <c r="AI183" i="93" a="1"/>
  <c r="AI183" i="93" s="1"/>
  <c r="AI278" i="93" a="1"/>
  <c r="AI278" i="93" s="1"/>
  <c r="AJ278" i="93"/>
  <c r="AI50" i="93" a="1"/>
  <c r="AI50" i="93" s="1"/>
  <c r="AJ50" i="93"/>
  <c r="AI26" i="93" a="1"/>
  <c r="AI26" i="93" s="1"/>
  <c r="AJ26" i="93"/>
  <c r="AJ85" i="93"/>
  <c r="AI85" i="93" a="1"/>
  <c r="AI85" i="93" s="1"/>
  <c r="AJ161" i="93"/>
  <c r="AI161" i="93" a="1"/>
  <c r="AI161" i="93" s="1"/>
  <c r="AI116" i="93" a="1"/>
  <c r="AI116" i="93" s="1"/>
  <c r="AJ116" i="93"/>
  <c r="AJ323" i="93"/>
  <c r="AI323" i="93" a="1"/>
  <c r="AI323" i="93" s="1"/>
  <c r="AJ168" i="93"/>
  <c r="AI168" i="93" a="1"/>
  <c r="AI168" i="93" s="1"/>
  <c r="AI229" i="93" a="1"/>
  <c r="AI229" i="93" s="1"/>
  <c r="AJ229" i="93"/>
  <c r="AJ72" i="93"/>
  <c r="AI72" i="93" a="1"/>
  <c r="AI72" i="93" s="1"/>
  <c r="AI90" i="93" a="1"/>
  <c r="AI90" i="93" s="1"/>
  <c r="AJ90" i="93"/>
  <c r="AJ144" i="93"/>
  <c r="AI144" i="93" a="1"/>
  <c r="AI144" i="93" s="1"/>
  <c r="AI121" i="93" a="1"/>
  <c r="AI121" i="93" s="1"/>
  <c r="AJ121" i="93"/>
  <c r="AJ87" i="93"/>
  <c r="AI87" i="93" a="1"/>
  <c r="AI87" i="93" s="1"/>
  <c r="AJ335" i="93"/>
  <c r="AI335" i="93" a="1"/>
  <c r="AI335" i="93" s="1"/>
  <c r="AI279" i="93" a="1"/>
  <c r="AI279" i="93" s="1"/>
  <c r="AJ279" i="93"/>
  <c r="AI109" i="93" a="1"/>
  <c r="AI109" i="93" s="1"/>
  <c r="AJ109" i="93"/>
  <c r="AI107" i="93" a="1"/>
  <c r="AI107" i="93" s="1"/>
  <c r="AJ107" i="93"/>
  <c r="AI177" i="93" a="1"/>
  <c r="AI177" i="93" s="1"/>
  <c r="AJ177" i="93"/>
  <c r="AJ188" i="93"/>
  <c r="AI188" i="93" a="1"/>
  <c r="AI188" i="93" s="1"/>
  <c r="AI172" i="93" a="1"/>
  <c r="AI172" i="93" s="1"/>
  <c r="AJ172" i="93"/>
  <c r="AJ243" i="93"/>
  <c r="AI243" i="93" a="1"/>
  <c r="AI243" i="93" s="1"/>
  <c r="AI174" i="93" a="1"/>
  <c r="AI174" i="93" s="1"/>
  <c r="AJ174" i="93"/>
  <c r="AI11" i="93" a="1"/>
  <c r="AI11" i="93" s="1"/>
  <c r="AJ11" i="93"/>
  <c r="AJ47" i="93"/>
  <c r="AI47" i="93" a="1"/>
  <c r="AI47" i="93" s="1"/>
  <c r="AI124" i="93" a="1"/>
  <c r="AI124" i="93" s="1"/>
  <c r="AJ124" i="93"/>
  <c r="AJ332" i="93"/>
  <c r="AI332" i="93" a="1"/>
  <c r="AI332" i="93" s="1"/>
  <c r="AI287" i="93" a="1"/>
  <c r="AI287" i="93" s="1"/>
  <c r="AJ287" i="93"/>
  <c r="AI264" i="93" a="1"/>
  <c r="AI264" i="93" s="1"/>
  <c r="AJ264" i="93"/>
  <c r="AJ245" i="93"/>
  <c r="AI245" i="93" a="1"/>
  <c r="AI245" i="93" s="1"/>
  <c r="AJ78" i="93"/>
  <c r="AI78" i="93" a="1"/>
  <c r="AI78" i="93" s="1"/>
  <c r="AJ28" i="93"/>
  <c r="AI28" i="93" a="1"/>
  <c r="AI28" i="93" s="1"/>
  <c r="AJ298" i="93"/>
  <c r="AI298" i="93" a="1"/>
  <c r="AI298" i="93" s="1"/>
  <c r="AJ209" i="93"/>
  <c r="AI209" i="93" a="1"/>
  <c r="AI209" i="93" s="1"/>
  <c r="AJ70" i="93"/>
  <c r="AI70" i="93" a="1"/>
  <c r="AI70" i="93" s="1"/>
  <c r="AJ67" i="93"/>
  <c r="AI67" i="93" a="1"/>
  <c r="AI67" i="93" s="1"/>
  <c r="AI13" i="93" a="1"/>
  <c r="AI13" i="93" s="1"/>
  <c r="AJ13" i="93"/>
  <c r="AJ142" i="93"/>
  <c r="AI142" i="93" a="1"/>
  <c r="AI142" i="93" s="1"/>
  <c r="AI139" i="93" a="1"/>
  <c r="AI139" i="93" s="1"/>
  <c r="AJ139" i="93"/>
  <c r="AI61" i="93" a="1"/>
  <c r="AI61" i="93" s="1"/>
  <c r="AJ61" i="93"/>
  <c r="AJ204" i="93"/>
  <c r="AI204" i="93" a="1"/>
  <c r="AI204" i="93" s="1"/>
  <c r="AI286" i="93" a="1"/>
  <c r="AI286" i="93" s="1"/>
  <c r="AJ286" i="93"/>
  <c r="AI9" i="93" a="1"/>
  <c r="AI9" i="93" s="1"/>
  <c r="AJ9" i="93"/>
  <c r="AJ83" i="93"/>
  <c r="AI83" i="93" a="1"/>
  <c r="AI83" i="93" s="1"/>
  <c r="AJ89" i="93"/>
  <c r="AI89" i="93" a="1"/>
  <c r="AI89" i="93" s="1"/>
  <c r="AJ285" i="93"/>
  <c r="AI285" i="93" a="1"/>
  <c r="AI285" i="93" s="1"/>
  <c r="AJ91" i="93"/>
  <c r="AI91" i="93" a="1"/>
  <c r="AI91" i="93" s="1"/>
  <c r="AI53" i="93" a="1"/>
  <c r="AI53" i="93" s="1"/>
  <c r="AJ53" i="93"/>
  <c r="AJ137" i="93"/>
  <c r="AI137" i="93" a="1"/>
  <c r="AI137" i="93" s="1"/>
  <c r="AJ39" i="93"/>
  <c r="AI39" i="93" a="1"/>
  <c r="AI39" i="93" s="1"/>
  <c r="AJ261" i="93"/>
  <c r="AI261" i="93" a="1"/>
  <c r="AI261" i="93" s="1"/>
  <c r="AJ33" i="93"/>
  <c r="AI33" i="93" a="1"/>
  <c r="AI33" i="93" s="1"/>
  <c r="AJ27" i="93"/>
  <c r="AI27" i="93" a="1"/>
  <c r="AI27" i="93" s="1"/>
  <c r="AI105" i="93" a="1"/>
  <c r="AI105" i="93" s="1"/>
  <c r="AJ105" i="93"/>
  <c r="AJ99" i="93"/>
  <c r="AI99" i="93" a="1"/>
  <c r="AI99" i="93" s="1"/>
  <c r="AI169" i="93" a="1"/>
  <c r="AI169" i="93" s="1"/>
  <c r="AJ169" i="93"/>
  <c r="AJ236" i="93"/>
  <c r="AI236" i="93" a="1"/>
  <c r="AI236" i="93" s="1"/>
  <c r="AJ302" i="93"/>
  <c r="AI302" i="93" a="1"/>
  <c r="AI302" i="93" s="1"/>
  <c r="AJ45" i="93"/>
  <c r="AI45" i="93" a="1"/>
  <c r="AI45" i="93" s="1"/>
  <c r="AJ92" i="93"/>
  <c r="AI92" i="93" a="1"/>
  <c r="AI92" i="93" s="1"/>
  <c r="AJ266" i="93"/>
  <c r="AI266" i="93" a="1"/>
  <c r="AI266" i="93" s="1"/>
  <c r="AJ218" i="93"/>
  <c r="AI218" i="93" a="1"/>
  <c r="AI218" i="93" s="1"/>
  <c r="AJ79" i="93"/>
  <c r="AI79" i="93" a="1"/>
  <c r="AI79" i="93" s="1"/>
  <c r="AI288" i="93" a="1"/>
  <c r="AI288" i="93" s="1"/>
  <c r="AJ288" i="93"/>
  <c r="AJ317" i="93"/>
  <c r="AI338" i="93" a="1"/>
  <c r="AI338" i="93" s="1"/>
  <c r="AJ338" i="93"/>
  <c r="AJ226" i="93"/>
  <c r="AI226" i="93" a="1"/>
  <c r="AI226" i="93" s="1"/>
  <c r="AJ80" i="93"/>
  <c r="AI80" i="93" a="1"/>
  <c r="AI80" i="93" s="1"/>
  <c r="AJ60" i="93"/>
  <c r="AI60" i="93" a="1"/>
  <c r="AI60" i="93" s="1"/>
  <c r="AJ58" i="93"/>
  <c r="AI58" i="93" a="1"/>
  <c r="AI58" i="93" s="1"/>
  <c r="AI322" i="93" a="1"/>
  <c r="AI322" i="93" s="1"/>
  <c r="AJ322" i="93"/>
  <c r="AI252" i="93" a="1"/>
  <c r="AI252" i="93" s="1"/>
  <c r="AJ252" i="93"/>
  <c r="AJ133" i="93"/>
  <c r="AI133" i="93" a="1"/>
  <c r="AI133" i="93" s="1"/>
  <c r="AI233" i="93" a="1"/>
  <c r="AI233" i="93" s="1"/>
  <c r="AJ233" i="93"/>
  <c r="AI295" i="93" a="1"/>
  <c r="AI295" i="93" s="1"/>
  <c r="AJ295" i="93"/>
  <c r="AI102" i="93" a="1"/>
  <c r="AI102" i="93" s="1"/>
  <c r="AJ102" i="93"/>
  <c r="AJ19" i="93"/>
  <c r="AI19" i="93" a="1"/>
  <c r="AI19" i="93" s="1"/>
  <c r="AJ112" i="93"/>
  <c r="AI112" i="93" a="1"/>
  <c r="AI112" i="93" s="1"/>
  <c r="AJ125" i="93"/>
  <c r="AI125" i="93" a="1"/>
  <c r="AI125" i="93" s="1"/>
  <c r="AJ181" i="93"/>
  <c r="AI181" i="93" a="1"/>
  <c r="AI181" i="93" s="1"/>
  <c r="AI318" i="93" a="1"/>
  <c r="AI318" i="93" s="1"/>
  <c r="AJ318" i="93"/>
  <c r="AJ282" i="93"/>
  <c r="AI282" i="93" a="1"/>
  <c r="AI282" i="93" s="1"/>
  <c r="AJ305" i="93"/>
  <c r="AI305" i="93" a="1"/>
  <c r="AI305" i="93" s="1"/>
  <c r="AI329" i="93" a="1"/>
  <c r="AI329" i="93" s="1"/>
  <c r="AJ329" i="93"/>
  <c r="AJ217" i="93"/>
  <c r="AI217" i="93" a="1"/>
  <c r="AI217" i="93" s="1"/>
  <c r="AJ300" i="93"/>
  <c r="AI300" i="93" a="1"/>
  <c r="AI300" i="93" s="1"/>
  <c r="AJ187" i="93"/>
  <c r="AI187" i="93" a="1"/>
  <c r="AI187" i="93" s="1"/>
  <c r="AI20" i="93" a="1"/>
  <c r="AI20" i="93" s="1"/>
  <c r="AJ20" i="93"/>
  <c r="AI333" i="93" a="1"/>
  <c r="AI333" i="93" s="1"/>
  <c r="AJ333" i="93"/>
  <c r="AJ271" i="93"/>
  <c r="AI271" i="93" a="1"/>
  <c r="AI271" i="93" s="1"/>
  <c r="AI25" i="93" a="1"/>
  <c r="AI25" i="93" s="1"/>
  <c r="AJ25" i="93"/>
  <c r="AI22" i="93" a="1"/>
  <c r="AI22" i="93" s="1"/>
  <c r="AJ22" i="93"/>
  <c r="AI283" i="93" a="1"/>
  <c r="AI283" i="93" s="1"/>
  <c r="AJ283" i="93"/>
  <c r="AI95" i="93" a="1"/>
  <c r="AI95" i="93" s="1"/>
  <c r="AJ95" i="93"/>
  <c r="AJ104" i="93"/>
  <c r="AI104" i="93" a="1"/>
  <c r="AI104" i="93" s="1"/>
  <c r="AI224" i="93" a="1"/>
  <c r="AI224" i="93" s="1"/>
  <c r="AJ224" i="93"/>
  <c r="AJ253" i="93"/>
  <c r="AI253" i="93" a="1"/>
  <c r="AI253" i="93" s="1"/>
  <c r="AI270" i="93" a="1"/>
  <c r="AI270" i="93" s="1"/>
  <c r="AJ270" i="93"/>
  <c r="AJ15" i="93"/>
  <c r="AI15" i="93" a="1"/>
  <c r="AI15" i="93" s="1"/>
  <c r="AI48" i="93" a="1"/>
  <c r="AI48" i="93" s="1"/>
  <c r="AJ48" i="93"/>
  <c r="AI120" i="93" a="1"/>
  <c r="AI120" i="93" s="1"/>
  <c r="AJ120" i="93"/>
  <c r="AI265" i="93" a="1"/>
  <c r="AI265" i="93" s="1"/>
  <c r="AJ265" i="93"/>
  <c r="AI23" i="93" a="1"/>
  <c r="AI23" i="93" s="1"/>
  <c r="AJ23" i="93"/>
  <c r="AI155" i="93" a="1"/>
  <c r="AI155" i="93" s="1"/>
  <c r="AJ155" i="93"/>
  <c r="AI294" i="93" a="1"/>
  <c r="AI294" i="93" s="1"/>
  <c r="AJ294" i="93"/>
  <c r="AI206" i="93" a="1"/>
  <c r="AI206" i="93" s="1"/>
  <c r="AJ206" i="93"/>
  <c r="AJ199" i="93"/>
  <c r="AI199" i="93" a="1"/>
  <c r="AI199" i="93" s="1"/>
  <c r="AI320" i="93" a="1"/>
  <c r="AI320" i="93" s="1"/>
  <c r="AJ320" i="93"/>
  <c r="AI324" i="93" a="1"/>
  <c r="AI324" i="93" s="1"/>
  <c r="AJ324" i="93"/>
  <c r="AI246" i="93" a="1"/>
  <c r="AI246" i="93" s="1"/>
  <c r="AJ246" i="93"/>
  <c r="AI52" i="93" a="1"/>
  <c r="AI52" i="93" s="1"/>
  <c r="AJ52" i="93"/>
  <c r="AI307" i="93" a="1"/>
  <c r="AI307" i="93" s="1"/>
  <c r="AJ307" i="93"/>
  <c r="AJ191" i="93"/>
  <c r="AI191" i="93" a="1"/>
  <c r="AI191" i="93" s="1"/>
  <c r="AI249" i="93" a="1"/>
  <c r="AI249" i="93" s="1"/>
  <c r="AJ249" i="93"/>
  <c r="AJ129" i="93"/>
  <c r="AI129" i="93" a="1"/>
  <c r="AI129" i="93" s="1"/>
  <c r="AJ66" i="93"/>
  <c r="AI66" i="93" a="1"/>
  <c r="AI66" i="93" s="1"/>
  <c r="AJ135" i="93"/>
  <c r="AI135" i="93" a="1"/>
  <c r="AI135" i="93" s="1"/>
  <c r="AJ312" i="93"/>
  <c r="AI312" i="93" a="1"/>
  <c r="AI312" i="93" s="1"/>
  <c r="AJ228" i="93"/>
  <c r="AI228" i="93" a="1"/>
  <c r="AI228" i="93" s="1"/>
  <c r="AI115" i="93" a="1"/>
  <c r="AI115" i="93" s="1"/>
  <c r="AJ115" i="93"/>
  <c r="AI256" i="93" a="1"/>
  <c r="AI256" i="93" s="1"/>
  <c r="AJ256" i="93"/>
  <c r="AI128" i="93" a="1"/>
  <c r="AI128" i="93" s="1"/>
  <c r="AJ128" i="93"/>
  <c r="AI260" i="93" a="1"/>
  <c r="AI260" i="93" s="1"/>
  <c r="AJ260" i="93"/>
  <c r="AI257" i="93" a="1"/>
  <c r="AI257" i="93" s="1"/>
  <c r="AJ257" i="93"/>
  <c r="AJ250" i="93"/>
  <c r="AI250" i="93" a="1"/>
  <c r="AI250" i="93" s="1"/>
  <c r="AJ208" i="93"/>
  <c r="AI208" i="93" a="1"/>
  <c r="AI208" i="93" s="1"/>
  <c r="AJ16" i="93"/>
  <c r="AI16" i="93" a="1"/>
  <c r="AI16" i="93" s="1"/>
  <c r="AJ268" i="93"/>
  <c r="AI268" i="93" a="1"/>
  <c r="AI268" i="93" s="1"/>
  <c r="AI131" i="93" a="1"/>
  <c r="AI131" i="93" s="1"/>
  <c r="AJ131" i="93"/>
  <c r="AI32" i="93" a="1"/>
  <c r="AI32" i="93" s="1"/>
  <c r="AJ32" i="93"/>
  <c r="AI73" i="93" a="1"/>
  <c r="AI73" i="93" s="1"/>
  <c r="AJ73" i="93"/>
  <c r="AI179" i="93" a="1"/>
  <c r="AI179" i="93" s="1"/>
  <c r="AJ179" i="93"/>
  <c r="AJ64" i="93"/>
  <c r="AI64" i="93" a="1"/>
  <c r="AI64" i="93" s="1"/>
  <c r="AI195" i="93" a="1"/>
  <c r="AI195" i="93" s="1"/>
  <c r="AJ195" i="93"/>
  <c r="AI63" i="93" a="1"/>
  <c r="AI63" i="93" s="1"/>
  <c r="AJ63" i="93"/>
  <c r="AI281" i="93" a="1"/>
  <c r="AI281" i="93" s="1"/>
  <c r="AJ281" i="93"/>
  <c r="AJ330" i="93"/>
  <c r="AI330" i="93" a="1"/>
  <c r="AI330" i="93" s="1"/>
  <c r="AJ269" i="93"/>
  <c r="AI269" i="93" a="1"/>
  <c r="AI269" i="93" s="1"/>
  <c r="AI190" i="93" a="1"/>
  <c r="AI190" i="93" s="1"/>
  <c r="AJ190" i="93"/>
  <c r="AJ74" i="93"/>
  <c r="AI74" i="93" a="1"/>
  <c r="AI74" i="93" s="1"/>
  <c r="AI222" i="93" a="1"/>
  <c r="AI222" i="93" s="1"/>
  <c r="AJ222" i="93"/>
  <c r="AI319" i="93" a="1"/>
  <c r="AI319" i="93" s="1"/>
  <c r="AJ319" i="93"/>
  <c r="AJ171" i="93"/>
  <c r="AI171" i="93" a="1"/>
  <c r="AI171" i="93" s="1"/>
  <c r="AI308" i="93" a="1"/>
  <c r="AI308" i="93" s="1"/>
  <c r="AJ308" i="93"/>
  <c r="AI232" i="93" a="1"/>
  <c r="AI232" i="93" s="1"/>
  <c r="AJ232" i="93"/>
  <c r="AI103" i="93" a="1"/>
  <c r="AI103" i="93" s="1"/>
  <c r="AJ103" i="93"/>
  <c r="AJ220" i="93"/>
  <c r="AI220" i="93" a="1"/>
  <c r="AI220" i="93" s="1"/>
  <c r="AI293" i="93" a="1"/>
  <c r="AI293" i="93" s="1"/>
  <c r="AJ293" i="93"/>
  <c r="AI240" i="93" a="1"/>
  <c r="AI240" i="93" s="1"/>
  <c r="AJ240" i="93"/>
  <c r="AI24" i="93" a="1"/>
  <c r="AI24" i="93" s="1"/>
  <c r="AJ24" i="93"/>
  <c r="AI258" i="93" a="1"/>
  <c r="AI258" i="93" s="1"/>
  <c r="AJ258" i="93"/>
  <c r="AJ157" i="93"/>
  <c r="AI157" i="93" a="1"/>
  <c r="AI157" i="93" s="1"/>
  <c r="AI36" i="93" a="1"/>
  <c r="AI36" i="93" s="1"/>
  <c r="AJ36" i="93"/>
  <c r="AJ182" i="93"/>
  <c r="AI182" i="93" a="1"/>
  <c r="AI182" i="93" s="1"/>
  <c r="AI328" i="93" a="1"/>
  <c r="AI328" i="93" s="1"/>
  <c r="AJ328" i="93"/>
  <c r="AI14" i="93" a="1"/>
  <c r="AI14" i="93" s="1"/>
  <c r="AJ14" i="93"/>
  <c r="AJ119" i="93"/>
  <c r="AI119" i="93" a="1"/>
  <c r="AI119" i="93" s="1"/>
  <c r="AI136" i="93" a="1"/>
  <c r="AI136" i="93" s="1"/>
  <c r="AJ136" i="93"/>
  <c r="AJ316" i="93"/>
  <c r="AI316" i="93" a="1"/>
  <c r="AI316" i="93" s="1"/>
  <c r="AI310" i="93" a="1"/>
  <c r="AI310" i="93" s="1"/>
  <c r="AJ310" i="93"/>
  <c r="AJ194" i="93"/>
  <c r="AI194" i="93" a="1"/>
  <c r="AI194" i="93" s="1"/>
  <c r="AI18" i="93" a="1"/>
  <c r="AI18" i="93" s="1"/>
  <c r="AJ18" i="93"/>
  <c r="AI197" i="93" a="1"/>
  <c r="AI197" i="93" s="1"/>
  <c r="AJ118" i="93"/>
  <c r="AI118" i="93" a="1"/>
  <c r="AI118" i="93" s="1"/>
  <c r="AI178" i="93" a="1"/>
  <c r="AI178" i="93" s="1"/>
  <c r="AJ178" i="93"/>
  <c r="AJ153" i="93"/>
  <c r="AI153" i="93" a="1"/>
  <c r="AI153" i="93" s="1"/>
  <c r="AI291" i="93" a="1"/>
  <c r="AI291" i="93" s="1"/>
  <c r="AJ291" i="93"/>
  <c r="AI98" i="93" a="1"/>
  <c r="AI98" i="93" s="1"/>
  <c r="AJ98" i="93"/>
  <c r="AI176" i="93" a="1"/>
  <c r="AI176" i="93" s="1"/>
  <c r="AJ176" i="93"/>
  <c r="AI277" i="93" a="1"/>
  <c r="AI277" i="93" s="1"/>
  <c r="AJ277" i="93"/>
  <c r="AI314" i="93" a="1"/>
  <c r="AI314" i="93" s="1"/>
  <c r="AJ314" i="93"/>
  <c r="AJ273" i="93"/>
  <c r="AI273" i="93" a="1"/>
  <c r="AI273" i="93" s="1"/>
  <c r="AI160" i="93" a="1"/>
  <c r="AI160" i="93" s="1"/>
  <c r="AJ160" i="93"/>
  <c r="AI164" i="93" a="1"/>
  <c r="AI164" i="93" s="1"/>
  <c r="AJ164" i="93"/>
  <c r="AJ212" i="93"/>
  <c r="AI212" i="93" a="1"/>
  <c r="AI212" i="93" s="1"/>
  <c r="AJ304" i="93"/>
  <c r="AI304" i="93" a="1"/>
  <c r="AI304" i="93" s="1"/>
  <c r="AJ76" i="93"/>
  <c r="AI76" i="93" a="1"/>
  <c r="AI76" i="93" s="1"/>
  <c r="AI210" i="93" a="1"/>
  <c r="AI210" i="93" s="1"/>
  <c r="AJ110" i="93"/>
  <c r="AI110" i="93" a="1"/>
  <c r="AI110" i="93" s="1"/>
  <c r="AJ254" i="93"/>
  <c r="AI254" i="93" a="1"/>
  <c r="AI254" i="93" s="1"/>
  <c r="AI8" i="93" a="1"/>
  <c r="AI8" i="93" s="1"/>
  <c r="AJ8" i="93"/>
  <c r="AJ57" i="93"/>
  <c r="AI57" i="93" a="1"/>
  <c r="AI57" i="93" s="1"/>
  <c r="AJ242" i="93"/>
  <c r="AI242" i="93" a="1"/>
  <c r="AI242" i="93" s="1"/>
  <c r="AJ275" i="93"/>
  <c r="AI275" i="93" a="1"/>
  <c r="AI275" i="93" s="1"/>
  <c r="AJ237" i="93"/>
  <c r="AI237" i="93" a="1"/>
  <c r="AI237" i="93" s="1"/>
  <c r="AI123" i="93" a="1"/>
  <c r="AI123" i="93" s="1"/>
  <c r="AJ123" i="93"/>
  <c r="AI65" i="93" a="1"/>
  <c r="AI65" i="93" s="1"/>
  <c r="AJ65" i="93"/>
  <c r="AJ198" i="93"/>
  <c r="AI198" i="93" a="1"/>
  <c r="AI198" i="93" s="1"/>
  <c r="AI317" i="93" a="1"/>
  <c r="AI317" i="93" s="1"/>
  <c r="AJ17" i="93"/>
  <c r="AI17" i="93" a="1"/>
  <c r="AI17" i="93" s="1"/>
  <c r="AJ186" i="93"/>
  <c r="AI267" i="93" a="1"/>
  <c r="AI267" i="93" s="1"/>
  <c r="AJ267" i="93"/>
  <c r="AJ38" i="93"/>
  <c r="AI38" i="93" a="1"/>
  <c r="AI38" i="93" s="1"/>
  <c r="AI71" i="93" a="1"/>
  <c r="AI71" i="93" s="1"/>
  <c r="AJ71" i="93"/>
  <c r="AJ219" i="93"/>
  <c r="AI219" i="93" a="1"/>
  <c r="AI219" i="93" s="1"/>
  <c r="AJ21" i="93"/>
  <c r="AI21" i="93" a="1"/>
  <c r="AI21" i="93" s="1"/>
  <c r="AI56" i="93" a="1"/>
  <c r="AI56" i="93" s="1"/>
  <c r="AJ56" i="93"/>
  <c r="AJ203" i="93"/>
  <c r="AI203" i="93" a="1"/>
  <c r="AI203" i="93" s="1"/>
  <c r="AI213" i="93" a="1"/>
  <c r="AI213" i="93" s="1"/>
  <c r="AJ213" i="93"/>
  <c r="AI239" i="93" a="1"/>
  <c r="AI239" i="93" s="1"/>
  <c r="AJ239" i="93"/>
  <c r="AJ196" i="93"/>
  <c r="AI196" i="93" a="1"/>
  <c r="AI196" i="93" s="1"/>
  <c r="AI82" i="93" a="1"/>
  <c r="AI82" i="93" s="1"/>
  <c r="AJ82" i="93"/>
  <c r="AJ255" i="93"/>
  <c r="AI255" i="93" a="1"/>
  <c r="AI255" i="93" s="1"/>
  <c r="AJ68" i="93"/>
  <c r="AI68" i="93" a="1"/>
  <c r="AI68" i="93" s="1"/>
  <c r="AJ55" i="93"/>
  <c r="AI55" i="93" a="1"/>
  <c r="AI55" i="93" s="1"/>
  <c r="AJ149" i="93"/>
  <c r="AI149" i="93" a="1"/>
  <c r="AI149" i="93" s="1"/>
  <c r="AJ234" i="93"/>
  <c r="AI234" i="93" a="1"/>
  <c r="AI234" i="93" s="1"/>
  <c r="AI231" i="93" a="1"/>
  <c r="AI231" i="93" s="1"/>
  <c r="AJ231" i="93"/>
  <c r="AI284" i="93" a="1"/>
  <c r="AI284" i="93" s="1"/>
  <c r="AJ284" i="93"/>
  <c r="AI337" i="93" a="1"/>
  <c r="AI337" i="93" s="1"/>
  <c r="AJ337" i="93"/>
  <c r="AJ86" i="93"/>
  <c r="AI86" i="93" a="1"/>
  <c r="AI86" i="93" s="1"/>
  <c r="AJ34" i="93"/>
  <c r="AI34" i="93" a="1"/>
  <c r="AI34" i="93" s="1"/>
  <c r="AI180" i="93" a="1"/>
  <c r="AI180" i="93" s="1"/>
  <c r="AJ180" i="93"/>
  <c r="AI313" i="93" a="1"/>
  <c r="AI313" i="93" s="1"/>
  <c r="AJ313" i="93"/>
  <c r="AJ321" i="93"/>
  <c r="AI321" i="93" a="1"/>
  <c r="AI321" i="93" s="1"/>
  <c r="AI167" i="93" a="1"/>
  <c r="AI167" i="93" s="1"/>
  <c r="AJ167" i="93"/>
  <c r="AI201" i="93" a="1"/>
  <c r="AI201" i="93" s="1"/>
  <c r="AJ201" i="93"/>
  <c r="AJ141" i="93"/>
  <c r="AI141" i="93" a="1"/>
  <c r="AI141" i="93" s="1"/>
  <c r="AI163" i="93" a="1"/>
  <c r="AI163" i="93" s="1"/>
  <c r="AJ163" i="93"/>
  <c r="AJ43" i="93"/>
  <c r="AI43" i="93" a="1"/>
  <c r="AI43" i="93" s="1"/>
  <c r="AJ336" i="93"/>
  <c r="AI336" i="93" a="1"/>
  <c r="AI336" i="93" s="1"/>
  <c r="AI193" i="93" a="1"/>
  <c r="AI193" i="93" s="1"/>
  <c r="AJ193" i="93"/>
  <c r="AI216" i="93" a="1"/>
  <c r="AI216" i="93" s="1"/>
  <c r="AJ216" i="93"/>
  <c r="AJ299" i="93"/>
  <c r="AI299" i="93" a="1"/>
  <c r="AI299" i="93" s="1"/>
  <c r="AJ59" i="93"/>
  <c r="AI59" i="93" a="1"/>
  <c r="AI59" i="93" s="1"/>
  <c r="AJ146" i="93"/>
  <c r="AI146" i="93" a="1"/>
  <c r="AI146" i="93" s="1"/>
  <c r="AI106" i="93" a="1"/>
  <c r="AI106" i="93" s="1"/>
  <c r="AJ106" i="93"/>
  <c r="AI248" i="93" a="1"/>
  <c r="AI248" i="93" s="1"/>
  <c r="AJ248" i="93"/>
  <c r="AI280" i="93" a="1"/>
  <c r="AI280" i="93" s="1"/>
  <c r="AJ280" i="93"/>
  <c r="AJ289" i="93"/>
  <c r="AI289" i="93" a="1"/>
  <c r="AI289" i="93" s="1"/>
  <c r="AI132" i="93" a="1"/>
  <c r="AI132" i="93" s="1"/>
  <c r="AJ132" i="93"/>
  <c r="AJ165" i="93"/>
  <c r="AI165" i="93" a="1"/>
  <c r="AI165" i="93" s="1"/>
  <c r="AJ126" i="93"/>
  <c r="AI126" i="93" a="1"/>
  <c r="AI126" i="93" s="1"/>
  <c r="AJ111" i="93"/>
  <c r="AI111" i="93" a="1"/>
  <c r="AI111" i="93" s="1"/>
  <c r="AI235" i="93" a="1"/>
  <c r="AI235" i="93" s="1"/>
  <c r="AJ235" i="93"/>
  <c r="AI96" i="93" a="1"/>
  <c r="AI96" i="93" s="1"/>
  <c r="AJ96" i="93"/>
  <c r="AJ197" i="93"/>
  <c r="AI221" i="93" a="1"/>
  <c r="AI221" i="93" s="1"/>
  <c r="AJ221" i="93"/>
  <c r="AI215" i="93" a="1"/>
  <c r="AI215" i="93" s="1"/>
  <c r="AJ215" i="93"/>
  <c r="AJ159" i="93"/>
  <c r="AI159" i="93" a="1"/>
  <c r="AI159" i="93" s="1"/>
  <c r="AJ148" i="93"/>
  <c r="AI148" i="93" a="1"/>
  <c r="AI148" i="93" s="1"/>
  <c r="AJ263" i="93"/>
  <c r="AI263" i="93" a="1"/>
  <c r="AI263" i="93" s="1"/>
  <c r="AI272" i="93" a="1"/>
  <c r="AI272" i="93" s="1"/>
  <c r="AJ272" i="93"/>
  <c r="AJ108" i="93"/>
  <c r="AI108" i="93" a="1"/>
  <c r="AI108" i="93" s="1"/>
  <c r="AI185" i="93" a="1"/>
  <c r="AI185" i="93" s="1"/>
  <c r="AJ185" i="93"/>
  <c r="AJ244" i="93"/>
  <c r="AI244" i="93" a="1"/>
  <c r="AI244" i="93" s="1"/>
  <c r="AI93" i="93" a="1"/>
  <c r="AI93" i="93" s="1"/>
  <c r="AJ93" i="93"/>
  <c r="AJ130" i="93"/>
  <c r="AI130" i="93" a="1"/>
  <c r="AI130" i="93" s="1"/>
  <c r="AJ84" i="93"/>
  <c r="AI84" i="93" a="1"/>
  <c r="AI84" i="93" s="1"/>
  <c r="AI223" i="93" a="1"/>
  <c r="AI223" i="93" s="1"/>
  <c r="AJ223" i="93"/>
  <c r="AJ37" i="93"/>
  <c r="AI37" i="93" a="1"/>
  <c r="AI37" i="93" s="1"/>
  <c r="AJ162" i="93"/>
  <c r="AI162" i="93" a="1"/>
  <c r="AI162" i="93" s="1"/>
  <c r="AJ140" i="93"/>
  <c r="AI140" i="93" a="1"/>
  <c r="AI140" i="93" s="1"/>
  <c r="AI122" i="93" a="1"/>
  <c r="AI122" i="93" s="1"/>
  <c r="AJ122" i="93"/>
  <c r="AI227" i="93" a="1"/>
  <c r="AI227" i="93" s="1"/>
  <c r="AJ227" i="93"/>
  <c r="AJ334" i="93"/>
  <c r="AI334" i="93" a="1"/>
  <c r="AI334" i="93" s="1"/>
  <c r="AI207" i="93" a="1"/>
  <c r="AI207" i="93" s="1"/>
  <c r="AJ207" i="93"/>
  <c r="AI69" i="93" a="1"/>
  <c r="AI69" i="93" s="1"/>
  <c r="AJ69" i="93"/>
  <c r="AJ205" i="93"/>
  <c r="AI205" i="93" a="1"/>
  <c r="AI205" i="93" s="1"/>
  <c r="AI51" i="93" a="1"/>
  <c r="AI51" i="93" s="1"/>
  <c r="AJ51" i="93"/>
  <c r="AJ88" i="93"/>
  <c r="AI88" i="93" a="1"/>
  <c r="AI88" i="93" s="1"/>
  <c r="AI46" i="93" a="1"/>
  <c r="AI46" i="93" s="1"/>
  <c r="AJ46" i="93"/>
  <c r="AI152" i="93" a="1"/>
  <c r="AI152" i="93" s="1"/>
  <c r="AJ152" i="93"/>
  <c r="AJ151" i="93"/>
  <c r="AI151" i="93" a="1"/>
  <c r="AI151" i="93" s="1"/>
  <c r="AI154" i="93" a="1"/>
  <c r="AI154" i="93" s="1"/>
  <c r="AJ154" i="93"/>
  <c r="AI262" i="93" a="1"/>
  <c r="AI262" i="93" s="1"/>
  <c r="AJ262" i="93"/>
  <c r="AJ173" i="93"/>
  <c r="AI173" i="93" a="1"/>
  <c r="AI173" i="93" s="1"/>
  <c r="AJ41" i="93"/>
  <c r="AI41" i="93" a="1"/>
  <c r="AI41" i="93" s="1"/>
  <c r="AI81" i="93" a="1"/>
  <c r="AI81" i="93" s="1"/>
  <c r="AJ81" i="93"/>
  <c r="AI29" i="93" a="1"/>
  <c r="AI29" i="93" s="1"/>
  <c r="AJ29" i="93"/>
  <c r="AJ189" i="93"/>
  <c r="AI189" i="93" a="1"/>
  <c r="AI189" i="93" s="1"/>
  <c r="AJ297" i="93"/>
  <c r="AI297" i="93" a="1"/>
  <c r="AI297" i="93" s="1"/>
  <c r="AI138" i="93" a="1"/>
  <c r="AI138" i="93" s="1"/>
  <c r="AJ138" i="93"/>
  <c r="AI30" i="93" a="1"/>
  <c r="AI30" i="93" s="1"/>
  <c r="AJ30" i="93"/>
  <c r="AI62" i="93" a="1"/>
  <c r="AI62" i="93" s="1"/>
  <c r="AJ62" i="93"/>
  <c r="AI170" i="93" a="1"/>
  <c r="AI170" i="93" s="1"/>
  <c r="AJ170" i="93"/>
  <c r="AI12" i="93" a="1"/>
  <c r="AI12" i="93" s="1"/>
  <c r="AJ12" i="93"/>
  <c r="AJ315" i="93"/>
  <c r="AI315" i="93" a="1"/>
  <c r="AI315" i="93" s="1"/>
  <c r="AJ49" i="93"/>
  <c r="AI49" i="93" a="1"/>
  <c r="AI49" i="93" s="1"/>
  <c r="AI296" i="93" a="1"/>
  <c r="AI296" i="93" s="1"/>
  <c r="AJ296" i="93"/>
  <c r="AI94" i="93" a="1"/>
  <c r="AI94" i="93" s="1"/>
  <c r="AJ94" i="93"/>
  <c r="AJ192" i="93"/>
  <c r="AI192" i="93" a="1"/>
  <c r="AI192" i="93" s="1"/>
  <c r="AI186" i="93" a="1"/>
  <c r="AI186" i="93" s="1"/>
  <c r="AJ31" i="93"/>
  <c r="AI31" i="93" a="1"/>
  <c r="AI31" i="93" s="1"/>
  <c r="AJ40" i="93"/>
  <c r="AI40" i="93" a="1"/>
  <c r="AI40" i="93" s="1"/>
  <c r="AJ156" i="93"/>
  <c r="AI156" i="93" a="1"/>
  <c r="AI156" i="93" s="1"/>
  <c r="AJ259" i="93"/>
  <c r="AI259" i="93" a="1"/>
  <c r="AI259" i="93" s="1"/>
  <c r="AI134" i="93" a="1"/>
  <c r="AI134" i="93" s="1"/>
  <c r="AJ134" i="93"/>
  <c r="AI306" i="93" a="1"/>
  <c r="AI306" i="93" s="1"/>
  <c r="AJ306" i="93"/>
  <c r="AI276" i="93" a="1"/>
  <c r="AI276" i="93" s="1"/>
  <c r="AJ276" i="93"/>
  <c r="AJ10" i="93"/>
  <c r="AI10" i="93" a="1"/>
  <c r="AI10" i="93" s="1"/>
  <c r="AJ311" i="93"/>
  <c r="AI311" i="93" a="1"/>
  <c r="AI311" i="93" s="1"/>
  <c r="AJ230" i="93"/>
  <c r="AI230" i="93" a="1"/>
  <c r="AI230" i="93" s="1"/>
  <c r="V103" i="92"/>
  <c r="U110" i="92"/>
  <c r="U74" i="92"/>
  <c r="U247" i="92"/>
  <c r="X188" i="92"/>
  <c r="U136" i="92"/>
  <c r="V187" i="92"/>
  <c r="U185" i="92"/>
  <c r="V89" i="92"/>
  <c r="U217" i="92"/>
  <c r="U337" i="92"/>
  <c r="U338" i="92"/>
  <c r="V202" i="92"/>
  <c r="U193" i="92"/>
  <c r="U111" i="92"/>
  <c r="V114" i="92"/>
  <c r="U84" i="92"/>
  <c r="Z290" i="92"/>
  <c r="X158" i="92"/>
  <c r="Z182" i="92"/>
  <c r="Z56" i="92"/>
  <c r="Z38" i="92"/>
  <c r="Z28" i="92"/>
  <c r="Z323" i="92"/>
  <c r="Y152" i="92"/>
  <c r="X16" i="92"/>
  <c r="Z202" i="92"/>
  <c r="X132" i="92"/>
  <c r="Z331" i="92"/>
  <c r="Y18" i="92"/>
  <c r="Z230" i="92"/>
  <c r="X51" i="92"/>
  <c r="Z9" i="92"/>
  <c r="U198" i="92"/>
  <c r="Y73" i="92"/>
  <c r="Y307" i="92"/>
  <c r="X184" i="92"/>
  <c r="Y248" i="92"/>
  <c r="X45" i="92"/>
  <c r="Y182" i="92"/>
  <c r="Z255" i="92"/>
  <c r="U105" i="92"/>
  <c r="Y128" i="92"/>
  <c r="Z225" i="92"/>
  <c r="Y324" i="92"/>
  <c r="Z219" i="92"/>
  <c r="Y316" i="92"/>
  <c r="Z326" i="92"/>
  <c r="V77" i="92"/>
  <c r="X39" i="92"/>
  <c r="Y303" i="92"/>
  <c r="X105" i="92"/>
  <c r="X180" i="92"/>
  <c r="X63" i="92"/>
  <c r="Z217" i="92"/>
  <c r="X24" i="92"/>
  <c r="X94" i="92"/>
  <c r="Z286" i="92"/>
  <c r="X129" i="92"/>
  <c r="U97" i="92"/>
  <c r="Y65" i="92"/>
  <c r="Y38" i="92"/>
  <c r="Y12" i="92"/>
  <c r="V313" i="92"/>
  <c r="X313" i="92"/>
  <c r="V265" i="92"/>
  <c r="X283" i="92"/>
  <c r="V231" i="92"/>
  <c r="Y180" i="92"/>
  <c r="U307" i="92"/>
  <c r="Z148" i="92"/>
  <c r="X84" i="92"/>
  <c r="Z191" i="92"/>
  <c r="V233" i="92"/>
  <c r="Z139" i="92"/>
  <c r="X160" i="92"/>
  <c r="V320" i="92"/>
  <c r="X19" i="92"/>
  <c r="V273" i="92"/>
  <c r="X319" i="92"/>
  <c r="Z150" i="92"/>
  <c r="U159" i="92"/>
  <c r="Y36" i="92"/>
  <c r="Z137" i="92"/>
  <c r="V169" i="92"/>
  <c r="V200" i="92"/>
  <c r="X227" i="92"/>
  <c r="V124" i="92"/>
  <c r="Y105" i="92"/>
  <c r="U38" i="92"/>
  <c r="X257" i="92"/>
  <c r="U148" i="92"/>
  <c r="V88" i="92"/>
  <c r="U83" i="92"/>
  <c r="U41" i="92"/>
  <c r="Y271" i="92"/>
  <c r="V43" i="92"/>
  <c r="V127" i="92"/>
  <c r="U299" i="92"/>
  <c r="U327" i="92"/>
  <c r="U106" i="92"/>
  <c r="V158" i="92"/>
  <c r="U250" i="92"/>
  <c r="Z260" i="92"/>
  <c r="Z227" i="92"/>
  <c r="Y107" i="92"/>
  <c r="Y149" i="92"/>
  <c r="Z12" i="92"/>
  <c r="Z166" i="92"/>
  <c r="X73" i="92"/>
  <c r="Z258" i="92"/>
  <c r="X146" i="92"/>
  <c r="Z330" i="92"/>
  <c r="Z200" i="92"/>
  <c r="Z93" i="92"/>
  <c r="V252" i="92"/>
  <c r="Y76" i="92"/>
  <c r="Z221" i="92"/>
  <c r="X23" i="92"/>
  <c r="Z312" i="92"/>
  <c r="X296" i="92"/>
  <c r="Y46" i="92"/>
  <c r="Y47" i="92"/>
  <c r="Y145" i="92"/>
  <c r="X311" i="92"/>
  <c r="Z146" i="92"/>
  <c r="Y179" i="92"/>
  <c r="X248" i="92"/>
  <c r="Z115" i="92"/>
  <c r="Y123" i="92"/>
  <c r="Z109" i="92"/>
  <c r="Y116" i="92"/>
  <c r="Z216" i="92"/>
  <c r="Y311" i="92"/>
  <c r="Z325" i="92"/>
  <c r="V76" i="92"/>
  <c r="Y171" i="92"/>
  <c r="V214" i="92"/>
  <c r="X27" i="92"/>
  <c r="V193" i="92"/>
  <c r="Z117" i="92"/>
  <c r="Z186" i="92"/>
  <c r="V278" i="92"/>
  <c r="X291" i="92"/>
  <c r="V241" i="92"/>
  <c r="X261" i="92"/>
  <c r="V201" i="92"/>
  <c r="X230" i="92"/>
  <c r="V167" i="92"/>
  <c r="X200" i="92"/>
  <c r="V125" i="92"/>
  <c r="X171" i="92"/>
  <c r="V93" i="92"/>
  <c r="Y80" i="92"/>
  <c r="V42" i="92"/>
  <c r="Y302" i="92"/>
  <c r="Z299" i="92"/>
  <c r="V314" i="92"/>
  <c r="V258" i="92"/>
  <c r="X162" i="92"/>
  <c r="Z265" i="92"/>
  <c r="Y239" i="92"/>
  <c r="Z236" i="92"/>
  <c r="Z55" i="92"/>
  <c r="Z98" i="92"/>
  <c r="Z233" i="92"/>
  <c r="Y124" i="92"/>
  <c r="Z143" i="92"/>
  <c r="X70" i="92"/>
  <c r="Z211" i="92"/>
  <c r="X15" i="92"/>
  <c r="V317" i="92"/>
  <c r="V164" i="92"/>
  <c r="X198" i="92"/>
  <c r="X140" i="92"/>
  <c r="V199" i="92"/>
  <c r="U62" i="92"/>
  <c r="U112" i="92"/>
  <c r="U162" i="92"/>
  <c r="U144" i="92"/>
  <c r="Y151" i="92"/>
  <c r="Z223" i="92"/>
  <c r="U230" i="92"/>
  <c r="U37" i="92"/>
  <c r="U98" i="92"/>
  <c r="V300" i="92"/>
  <c r="U157" i="92"/>
  <c r="V86" i="92"/>
  <c r="X17" i="92"/>
  <c r="U12" i="92"/>
  <c r="U325" i="92"/>
  <c r="Y225" i="92"/>
  <c r="X77" i="92"/>
  <c r="Z130" i="92"/>
  <c r="Z99" i="92"/>
  <c r="V335" i="92"/>
  <c r="X165" i="92"/>
  <c r="Y291" i="92"/>
  <c r="Y281" i="92"/>
  <c r="Z85" i="92"/>
  <c r="Z207" i="92"/>
  <c r="Z281" i="92"/>
  <c r="Z165" i="92"/>
  <c r="Z52" i="92"/>
  <c r="V110" i="92"/>
  <c r="X326" i="92"/>
  <c r="Z184" i="92"/>
  <c r="Z278" i="92"/>
  <c r="X192" i="92"/>
  <c r="X277" i="92"/>
  <c r="V315" i="92"/>
  <c r="Y297" i="92"/>
  <c r="X328" i="92"/>
  <c r="Y93" i="92"/>
  <c r="X258" i="92"/>
  <c r="Z119" i="92"/>
  <c r="Y131" i="92"/>
  <c r="X193" i="92"/>
  <c r="Z88" i="92"/>
  <c r="Y75" i="92"/>
  <c r="Z82" i="92"/>
  <c r="Y67" i="92"/>
  <c r="Z189" i="92"/>
  <c r="Y257" i="92"/>
  <c r="Z298" i="92"/>
  <c r="U336" i="92"/>
  <c r="Y139" i="92"/>
  <c r="V150" i="92"/>
  <c r="V142" i="92"/>
  <c r="Z92" i="92"/>
  <c r="Z161" i="92"/>
  <c r="V242" i="92"/>
  <c r="X263" i="92"/>
  <c r="V204" i="92"/>
  <c r="X231" i="92"/>
  <c r="V168" i="92"/>
  <c r="X203" i="92"/>
  <c r="V129" i="92"/>
  <c r="X172" i="92"/>
  <c r="V94" i="92"/>
  <c r="X144" i="92"/>
  <c r="V53" i="92"/>
  <c r="Y54" i="92"/>
  <c r="Y13" i="92"/>
  <c r="V51" i="92"/>
  <c r="Y216" i="92"/>
  <c r="V305" i="92"/>
  <c r="U304" i="92"/>
  <c r="U34" i="92"/>
  <c r="U60" i="92"/>
  <c r="X269" i="92"/>
  <c r="Y169" i="92"/>
  <c r="V186" i="92"/>
  <c r="U86" i="92"/>
  <c r="U252" i="92"/>
  <c r="V18" i="92"/>
  <c r="U186" i="92"/>
  <c r="U315" i="92"/>
  <c r="X271" i="92"/>
  <c r="Y199" i="92"/>
  <c r="U28" i="92"/>
  <c r="U232" i="92"/>
  <c r="V219" i="92"/>
  <c r="U188" i="92"/>
  <c r="V332" i="92"/>
  <c r="X185" i="92"/>
  <c r="Z214" i="92"/>
  <c r="Z313" i="92"/>
  <c r="Y70" i="92"/>
  <c r="X337" i="92"/>
  <c r="X300" i="92"/>
  <c r="Y170" i="92"/>
  <c r="V183" i="92"/>
  <c r="Z155" i="92"/>
  <c r="Y235" i="92"/>
  <c r="V293" i="92"/>
  <c r="Z232" i="92"/>
  <c r="Z129" i="92"/>
  <c r="Z16" i="92"/>
  <c r="U239" i="92"/>
  <c r="X225" i="92"/>
  <c r="Z152" i="92"/>
  <c r="Z246" i="92"/>
  <c r="X101" i="92"/>
  <c r="X189" i="92"/>
  <c r="V165" i="92"/>
  <c r="Y207" i="92"/>
  <c r="X270" i="92"/>
  <c r="Y45" i="92"/>
  <c r="V318" i="92"/>
  <c r="X197" i="92"/>
  <c r="Z91" i="92"/>
  <c r="Y78" i="92"/>
  <c r="X138" i="92"/>
  <c r="Z59" i="92"/>
  <c r="Y23" i="92"/>
  <c r="Z53" i="92"/>
  <c r="Y16" i="92"/>
  <c r="Z162" i="92"/>
  <c r="Y211" i="92"/>
  <c r="Z270" i="92"/>
  <c r="U169" i="92"/>
  <c r="Y102" i="92"/>
  <c r="V105" i="92"/>
  <c r="V83" i="92"/>
  <c r="Z67" i="92"/>
  <c r="Y326" i="92"/>
  <c r="Z136" i="92"/>
  <c r="V206" i="92"/>
  <c r="X234" i="92"/>
  <c r="V170" i="92"/>
  <c r="X204" i="92"/>
  <c r="V131" i="92"/>
  <c r="X176" i="92"/>
  <c r="V97" i="92"/>
  <c r="X145" i="92"/>
  <c r="V54" i="92"/>
  <c r="X117" i="92"/>
  <c r="V21" i="92"/>
  <c r="Y29" i="92"/>
  <c r="V338" i="92"/>
  <c r="V19" i="92"/>
  <c r="Y198" i="92"/>
  <c r="Z276" i="92"/>
  <c r="Z97" i="92"/>
  <c r="Y147" i="92"/>
  <c r="V254" i="92"/>
  <c r="U206" i="92"/>
  <c r="Y20" i="92"/>
  <c r="Z254" i="92"/>
  <c r="Y193" i="92"/>
  <c r="X304" i="92"/>
  <c r="U147" i="92"/>
  <c r="U72" i="92"/>
  <c r="V280" i="92"/>
  <c r="X236" i="92"/>
  <c r="Z247" i="92"/>
  <c r="U244" i="92"/>
  <c r="Y127" i="92"/>
  <c r="U127" i="92"/>
  <c r="V184" i="92"/>
  <c r="V115" i="92"/>
  <c r="U183" i="92"/>
  <c r="U265" i="92"/>
  <c r="U260" i="92"/>
  <c r="V147" i="92"/>
  <c r="V175" i="92"/>
  <c r="X68" i="92"/>
  <c r="Z14" i="92"/>
  <c r="Y196" i="92"/>
  <c r="Z112" i="92"/>
  <c r="Z181" i="92"/>
  <c r="U215" i="92"/>
  <c r="X74" i="92"/>
  <c r="X8" i="92"/>
  <c r="X303" i="92"/>
  <c r="U10" i="92"/>
  <c r="Z102" i="92"/>
  <c r="Y51" i="92"/>
  <c r="U272" i="92"/>
  <c r="Z180" i="92"/>
  <c r="Z96" i="92"/>
  <c r="V270" i="92"/>
  <c r="X130" i="92"/>
  <c r="Z118" i="92"/>
  <c r="Z210" i="92"/>
  <c r="X90" i="92"/>
  <c r="V12" i="92"/>
  <c r="Y120" i="92"/>
  <c r="X216" i="92"/>
  <c r="X323" i="92"/>
  <c r="V224" i="92"/>
  <c r="X147" i="92"/>
  <c r="Z64" i="92"/>
  <c r="Y30" i="92"/>
  <c r="X81" i="92"/>
  <c r="Z30" i="92"/>
  <c r="X302" i="92"/>
  <c r="Z25" i="92"/>
  <c r="X293" i="92"/>
  <c r="Z134" i="92"/>
  <c r="Y157" i="92"/>
  <c r="Z243" i="92"/>
  <c r="U44" i="92"/>
  <c r="Y304" i="92"/>
  <c r="Y71" i="92"/>
  <c r="V48" i="92"/>
  <c r="V39" i="92"/>
  <c r="Y327" i="92"/>
  <c r="Z41" i="92"/>
  <c r="Y294" i="92"/>
  <c r="Z111" i="92"/>
  <c r="V171" i="92"/>
  <c r="X206" i="92"/>
  <c r="V133" i="92"/>
  <c r="X177" i="92"/>
  <c r="V99" i="92"/>
  <c r="X148" i="92"/>
  <c r="V59" i="92"/>
  <c r="X118" i="92"/>
  <c r="V22" i="92"/>
  <c r="X86" i="92"/>
  <c r="U297" i="92"/>
  <c r="X336" i="92"/>
  <c r="V303" i="92"/>
  <c r="Z90" i="92"/>
  <c r="X72" i="92"/>
  <c r="X88" i="92"/>
  <c r="V272" i="92"/>
  <c r="X260" i="92"/>
  <c r="V128" i="92"/>
  <c r="Z287" i="92"/>
  <c r="Y27" i="92"/>
  <c r="X102" i="92"/>
  <c r="V196" i="92"/>
  <c r="U16" i="92"/>
  <c r="V154" i="92"/>
  <c r="Z124" i="92"/>
  <c r="U283" i="92"/>
  <c r="X67" i="92"/>
  <c r="Y49" i="92"/>
  <c r="Y231" i="92"/>
  <c r="Z244" i="92"/>
  <c r="V257" i="92"/>
  <c r="Z142" i="92"/>
  <c r="X320" i="92"/>
  <c r="U76" i="92"/>
  <c r="V234" i="92"/>
  <c r="U145" i="92"/>
  <c r="V319" i="92"/>
  <c r="U182" i="92"/>
  <c r="U160" i="92"/>
  <c r="U13" i="92"/>
  <c r="U17" i="92"/>
  <c r="V34" i="92"/>
  <c r="V181" i="92"/>
  <c r="U31" i="92"/>
  <c r="U173" i="92"/>
  <c r="Y175" i="92"/>
  <c r="V87" i="92"/>
  <c r="V322" i="92"/>
  <c r="Y318" i="92"/>
  <c r="Z49" i="92"/>
  <c r="Z293" i="92"/>
  <c r="V336" i="92"/>
  <c r="V203" i="92"/>
  <c r="V155" i="92"/>
  <c r="X106" i="92"/>
  <c r="Z308" i="92"/>
  <c r="Z47" i="92"/>
  <c r="X167" i="92"/>
  <c r="Z335" i="92"/>
  <c r="Z128" i="92"/>
  <c r="Z57" i="92"/>
  <c r="V120" i="92"/>
  <c r="Y270" i="92"/>
  <c r="X42" i="92"/>
  <c r="Z81" i="92"/>
  <c r="V221" i="92"/>
  <c r="Z178" i="92"/>
  <c r="U81" i="92"/>
  <c r="Y42" i="92"/>
  <c r="X159" i="92"/>
  <c r="X268" i="92"/>
  <c r="V135" i="92"/>
  <c r="X85" i="92"/>
  <c r="Z35" i="92"/>
  <c r="X306" i="92"/>
  <c r="X26" i="92"/>
  <c r="X243" i="92"/>
  <c r="X235" i="92"/>
  <c r="Z107" i="92"/>
  <c r="Y111" i="92"/>
  <c r="Z215" i="92"/>
  <c r="Y310" i="92"/>
  <c r="U174" i="92"/>
  <c r="Y273" i="92"/>
  <c r="Y39" i="92"/>
  <c r="U321" i="92"/>
  <c r="Y332" i="92"/>
  <c r="U294" i="92"/>
  <c r="Y296" i="92"/>
  <c r="Z15" i="92"/>
  <c r="Y260" i="92"/>
  <c r="Y322" i="92"/>
  <c r="Z86" i="92"/>
  <c r="V134" i="92"/>
  <c r="X179" i="92"/>
  <c r="V101" i="92"/>
  <c r="X149" i="92"/>
  <c r="V60" i="92"/>
  <c r="X121" i="92"/>
  <c r="V25" i="92"/>
  <c r="X87" i="92"/>
  <c r="U298" i="92"/>
  <c r="X60" i="92"/>
  <c r="U240" i="92"/>
  <c r="X309" i="92"/>
  <c r="V261" i="92"/>
  <c r="U134" i="92"/>
  <c r="X123" i="92"/>
  <c r="V8" i="92"/>
  <c r="X54" i="92"/>
  <c r="U53" i="92"/>
  <c r="Z315" i="92"/>
  <c r="Z272" i="92"/>
  <c r="X288" i="92"/>
  <c r="U219" i="92"/>
  <c r="V284" i="92"/>
  <c r="Z307" i="92"/>
  <c r="Z33" i="92"/>
  <c r="U47" i="92"/>
  <c r="V248" i="92"/>
  <c r="X259" i="92"/>
  <c r="U203" i="92"/>
  <c r="U195" i="92"/>
  <c r="X305" i="92"/>
  <c r="U59" i="92"/>
  <c r="X212" i="92"/>
  <c r="V304" i="92"/>
  <c r="X284" i="92"/>
  <c r="U208" i="92"/>
  <c r="U36" i="92"/>
  <c r="U302" i="92"/>
  <c r="U175" i="92"/>
  <c r="U236" i="92"/>
  <c r="Y31" i="92"/>
  <c r="U251" i="92"/>
  <c r="Z212" i="92"/>
  <c r="X50" i="92"/>
  <c r="X78" i="92"/>
  <c r="Z224" i="92"/>
  <c r="Z275" i="92"/>
  <c r="Z268" i="92"/>
  <c r="Y222" i="92"/>
  <c r="Z259" i="92"/>
  <c r="Z285" i="92"/>
  <c r="Z74" i="92"/>
  <c r="Z19" i="92"/>
  <c r="U274" i="92"/>
  <c r="Y181" i="92"/>
  <c r="Z44" i="92"/>
  <c r="V69" i="92"/>
  <c r="Z144" i="92"/>
  <c r="Z305" i="92"/>
  <c r="X273" i="92"/>
  <c r="X104" i="92"/>
  <c r="X210" i="92"/>
  <c r="V56" i="92"/>
  <c r="X35" i="92"/>
  <c r="X251" i="92"/>
  <c r="X191" i="92"/>
  <c r="X181" i="92"/>
  <c r="Z80" i="92"/>
  <c r="Y57" i="92"/>
  <c r="Z188" i="92"/>
  <c r="Y256" i="92"/>
  <c r="U102" i="92"/>
  <c r="Y241" i="92"/>
  <c r="V323" i="92"/>
  <c r="X334" i="92"/>
  <c r="U226" i="92"/>
  <c r="Y300" i="92"/>
  <c r="U213" i="92"/>
  <c r="Y261" i="92"/>
  <c r="Y226" i="92"/>
  <c r="V296" i="92"/>
  <c r="Y289" i="92"/>
  <c r="Z60" i="92"/>
  <c r="Y320" i="92"/>
  <c r="V102" i="92"/>
  <c r="X152" i="92"/>
  <c r="V62" i="92"/>
  <c r="X122" i="92"/>
  <c r="V26" i="92"/>
  <c r="X91" i="92"/>
  <c r="U310" i="92"/>
  <c r="X61" i="92"/>
  <c r="U241" i="92"/>
  <c r="Y333" i="92"/>
  <c r="X33" i="92"/>
  <c r="U190" i="92"/>
  <c r="X278" i="92"/>
  <c r="V228" i="92"/>
  <c r="U218" i="92"/>
  <c r="Y293" i="92"/>
  <c r="Z192" i="92"/>
  <c r="X253" i="92"/>
  <c r="X199" i="92"/>
  <c r="Y321" i="92"/>
  <c r="Z158" i="92"/>
  <c r="Z201" i="92"/>
  <c r="X52" i="92"/>
  <c r="V160" i="92"/>
  <c r="V207" i="92"/>
  <c r="U225" i="92"/>
  <c r="X126" i="92"/>
  <c r="Z173" i="92"/>
  <c r="V276" i="92"/>
  <c r="U324" i="92"/>
  <c r="U124" i="92"/>
  <c r="V116" i="92"/>
  <c r="U243" i="92"/>
  <c r="V330" i="92"/>
  <c r="U267" i="92"/>
  <c r="V139" i="92"/>
  <c r="U107" i="92"/>
  <c r="V91" i="92"/>
  <c r="V212" i="92"/>
  <c r="U179" i="92"/>
  <c r="V295" i="92"/>
  <c r="V209" i="92"/>
  <c r="X20" i="92"/>
  <c r="U259" i="92"/>
  <c r="V162" i="92"/>
  <c r="Z75" i="92"/>
  <c r="Z253" i="92"/>
  <c r="Z226" i="92"/>
  <c r="Z145" i="92"/>
  <c r="Z203" i="92"/>
  <c r="Z193" i="92"/>
  <c r="X244" i="92"/>
  <c r="V243" i="92"/>
  <c r="Z208" i="92"/>
  <c r="Z237" i="92"/>
  <c r="Z18" i="92"/>
  <c r="U9" i="92"/>
  <c r="Y100" i="92"/>
  <c r="U167" i="92"/>
  <c r="Z108" i="92"/>
  <c r="V334" i="92"/>
  <c r="Y306" i="92"/>
  <c r="Z274" i="92"/>
  <c r="X183" i="92"/>
  <c r="X49" i="92"/>
  <c r="X157" i="92"/>
  <c r="U279" i="92"/>
  <c r="X194" i="92"/>
  <c r="X133" i="92"/>
  <c r="X125" i="92"/>
  <c r="Z51" i="92"/>
  <c r="Y11" i="92"/>
  <c r="Z160" i="92"/>
  <c r="Y210" i="92"/>
  <c r="U19" i="92"/>
  <c r="Y204" i="92"/>
  <c r="V260" i="92"/>
  <c r="X298" i="92"/>
  <c r="U152" i="92"/>
  <c r="Y268" i="92"/>
  <c r="Y329" i="92"/>
  <c r="U129" i="92"/>
  <c r="Y227" i="92"/>
  <c r="V297" i="92"/>
  <c r="Y194" i="92"/>
  <c r="V244" i="92"/>
  <c r="Y253" i="92"/>
  <c r="Z34" i="92"/>
  <c r="Y285" i="92"/>
  <c r="V63" i="92"/>
  <c r="X124" i="92"/>
  <c r="V29" i="92"/>
  <c r="X93" i="92"/>
  <c r="U311" i="92"/>
  <c r="X64" i="92"/>
  <c r="U249" i="92"/>
  <c r="Y334" i="92"/>
  <c r="X34" i="92"/>
  <c r="U191" i="92"/>
  <c r="Y308" i="92"/>
  <c r="U132" i="92"/>
  <c r="X250" i="92"/>
  <c r="V192" i="92"/>
  <c r="V148" i="92"/>
  <c r="V46" i="92"/>
  <c r="Y267" i="92"/>
  <c r="X25" i="92"/>
  <c r="Z103" i="92"/>
  <c r="V288" i="92"/>
  <c r="Y245" i="92"/>
  <c r="Y15" i="92"/>
  <c r="U172" i="92"/>
  <c r="U275" i="92"/>
  <c r="Y98" i="92"/>
  <c r="Y176" i="92"/>
  <c r="V239" i="92"/>
  <c r="V271" i="92"/>
  <c r="V40" i="92"/>
  <c r="U55" i="92"/>
  <c r="U291" i="92"/>
  <c r="V136" i="92"/>
  <c r="U163" i="92"/>
  <c r="U268" i="92"/>
  <c r="X332" i="92"/>
  <c r="Z271" i="92"/>
  <c r="U73" i="92"/>
  <c r="U181" i="92"/>
  <c r="U11" i="92"/>
  <c r="U295" i="92"/>
  <c r="U301" i="92"/>
  <c r="U123" i="92"/>
  <c r="Y146" i="92"/>
  <c r="Z123" i="92"/>
  <c r="Z87" i="92"/>
  <c r="Y81" i="92"/>
  <c r="Z66" i="92"/>
  <c r="Z122" i="92"/>
  <c r="Z114" i="92"/>
  <c r="Y186" i="92"/>
  <c r="U119" i="92"/>
  <c r="Z156" i="92"/>
  <c r="Y242" i="92"/>
  <c r="U320" i="92"/>
  <c r="Z183" i="92"/>
  <c r="Z329" i="92"/>
  <c r="Y14" i="92"/>
  <c r="Y254" i="92"/>
  <c r="Y335" i="92"/>
  <c r="Z72" i="92"/>
  <c r="V180" i="92"/>
  <c r="Y218" i="92"/>
  <c r="V325" i="92"/>
  <c r="Z239" i="92"/>
  <c r="X80" i="92"/>
  <c r="X98" i="92"/>
  <c r="U141" i="92"/>
  <c r="X142" i="92"/>
  <c r="X79" i="92"/>
  <c r="X71" i="92"/>
  <c r="Z23" i="92"/>
  <c r="X282" i="92"/>
  <c r="Z133" i="92"/>
  <c r="Y156" i="92"/>
  <c r="Y172" i="92"/>
  <c r="V216" i="92"/>
  <c r="X262" i="92"/>
  <c r="U67" i="92"/>
  <c r="Y232" i="92"/>
  <c r="V312" i="92"/>
  <c r="Y298" i="92"/>
  <c r="U57" i="92"/>
  <c r="Y195" i="92"/>
  <c r="V246" i="92"/>
  <c r="Y160" i="92"/>
  <c r="V190" i="92"/>
  <c r="Y221" i="92"/>
  <c r="V291" i="92"/>
  <c r="Z8" i="92"/>
  <c r="Y251" i="92"/>
  <c r="V321" i="92"/>
  <c r="V30" i="92"/>
  <c r="X95" i="92"/>
  <c r="U313" i="92"/>
  <c r="X66" i="92"/>
  <c r="U261" i="92"/>
  <c r="Y337" i="92"/>
  <c r="X37" i="92"/>
  <c r="U200" i="92"/>
  <c r="Y309" i="92"/>
  <c r="U135" i="92"/>
  <c r="Y283" i="92"/>
  <c r="U78" i="92"/>
  <c r="X222" i="92"/>
  <c r="V153" i="92"/>
  <c r="U271" i="92"/>
  <c r="Z197" i="92"/>
  <c r="U332" i="92"/>
  <c r="Y143" i="92"/>
  <c r="V316" i="92"/>
  <c r="Z127" i="92"/>
  <c r="Z40" i="92"/>
  <c r="X289" i="92"/>
  <c r="V106" i="92"/>
  <c r="U18" i="92"/>
  <c r="U100" i="92"/>
  <c r="V188" i="92"/>
  <c r="U220" i="92"/>
  <c r="U306" i="92"/>
  <c r="U280" i="92"/>
  <c r="V159" i="92"/>
  <c r="U278" i="92"/>
  <c r="X127" i="92"/>
  <c r="U314" i="92"/>
  <c r="V259" i="92"/>
  <c r="U229" i="92"/>
  <c r="X295" i="92"/>
  <c r="U253" i="92"/>
  <c r="U75" i="92"/>
  <c r="V211" i="92"/>
  <c r="X161" i="92"/>
  <c r="U290" i="92"/>
  <c r="Z327" i="92"/>
  <c r="V285" i="92"/>
  <c r="Z42" i="92"/>
  <c r="Z29" i="92"/>
  <c r="Y264" i="92"/>
  <c r="V52" i="92"/>
  <c r="X202" i="92"/>
  <c r="Z318" i="92"/>
  <c r="Z104" i="92"/>
  <c r="Y53" i="92"/>
  <c r="Z338" i="92"/>
  <c r="Z132" i="92"/>
  <c r="Z296" i="92"/>
  <c r="X242" i="92"/>
  <c r="Y173" i="92"/>
  <c r="V227" i="92"/>
  <c r="Y249" i="92"/>
  <c r="Z37" i="92"/>
  <c r="V20" i="92"/>
  <c r="Y135" i="92"/>
  <c r="V166" i="92"/>
  <c r="Z206" i="92"/>
  <c r="X47" i="92"/>
  <c r="X82" i="92"/>
  <c r="X22" i="92"/>
  <c r="X9" i="92"/>
  <c r="X229" i="92"/>
  <c r="Z106" i="92"/>
  <c r="Y110" i="92"/>
  <c r="Y141" i="92"/>
  <c r="V152" i="92"/>
  <c r="X220" i="92"/>
  <c r="U65" i="92"/>
  <c r="Y200" i="92"/>
  <c r="V253" i="92"/>
  <c r="Y266" i="92"/>
  <c r="Y161" i="92"/>
  <c r="V191" i="92"/>
  <c r="Y125" i="92"/>
  <c r="V137" i="92"/>
  <c r="Y189" i="92"/>
  <c r="V236" i="92"/>
  <c r="Y219" i="92"/>
  <c r="V289" i="92"/>
  <c r="V287" i="92"/>
  <c r="U318" i="92"/>
  <c r="X69" i="92"/>
  <c r="U263" i="92"/>
  <c r="Y338" i="92"/>
  <c r="X38" i="92"/>
  <c r="U201" i="92"/>
  <c r="Y312" i="92"/>
  <c r="X10" i="92"/>
  <c r="U139" i="92"/>
  <c r="Y284" i="92"/>
  <c r="U80" i="92"/>
  <c r="Y258" i="92"/>
  <c r="U24" i="92"/>
  <c r="X195" i="92"/>
  <c r="V121" i="92"/>
  <c r="V301" i="92"/>
  <c r="Y35" i="92"/>
  <c r="Z195" i="92"/>
  <c r="Z261" i="92"/>
  <c r="U133" i="92"/>
  <c r="Y217" i="92"/>
  <c r="U189" i="92"/>
  <c r="X92" i="92"/>
  <c r="U199" i="92"/>
  <c r="Z218" i="92"/>
  <c r="Z240" i="92"/>
  <c r="Z125" i="92"/>
  <c r="Y167" i="92"/>
  <c r="Y203" i="92"/>
  <c r="V329" i="92"/>
  <c r="V266" i="92"/>
  <c r="V326" i="92"/>
  <c r="Y79" i="92"/>
  <c r="U61" i="92"/>
  <c r="U113" i="92"/>
  <c r="U155" i="92"/>
  <c r="U184" i="92"/>
  <c r="U125" i="92"/>
  <c r="X89" i="92"/>
  <c r="X41" i="92"/>
  <c r="X113" i="92"/>
  <c r="U77" i="92"/>
  <c r="X44" i="92"/>
  <c r="U221" i="92"/>
  <c r="Z69" i="92"/>
  <c r="Y118" i="92"/>
  <c r="Z304" i="92"/>
  <c r="X297" i="92"/>
  <c r="Z322" i="92"/>
  <c r="Z269" i="92"/>
  <c r="Z48" i="92"/>
  <c r="X178" i="92"/>
  <c r="Z289" i="92"/>
  <c r="Z77" i="92"/>
  <c r="Z263" i="92"/>
  <c r="X155" i="92"/>
  <c r="Y86" i="92"/>
  <c r="V73" i="92"/>
  <c r="Y164" i="92"/>
  <c r="V218" i="92"/>
  <c r="U117" i="92"/>
  <c r="Y48" i="92"/>
  <c r="V13" i="92"/>
  <c r="Z172" i="92"/>
  <c r="Y292" i="92"/>
  <c r="X28" i="92"/>
  <c r="X170" i="92"/>
  <c r="Z78" i="92"/>
  <c r="Y56" i="92"/>
  <c r="Y104" i="92"/>
  <c r="V108" i="92"/>
  <c r="X186" i="92"/>
  <c r="Y168" i="92"/>
  <c r="V198" i="92"/>
  <c r="Y229" i="92"/>
  <c r="V308" i="92"/>
  <c r="Y126" i="92"/>
  <c r="V141" i="92"/>
  <c r="Y94" i="92"/>
  <c r="V78" i="92"/>
  <c r="Y153" i="92"/>
  <c r="V182" i="92"/>
  <c r="Y185" i="92"/>
  <c r="V229" i="92"/>
  <c r="V245" i="92"/>
  <c r="U264" i="92"/>
  <c r="X40" i="92"/>
  <c r="U204" i="92"/>
  <c r="Y313" i="92"/>
  <c r="X11" i="92"/>
  <c r="U140" i="92"/>
  <c r="Y287" i="92"/>
  <c r="U87" i="92"/>
  <c r="Y259" i="92"/>
  <c r="U25" i="92"/>
  <c r="Y233" i="92"/>
  <c r="Z61" i="92"/>
  <c r="X168" i="92"/>
  <c r="V81" i="92"/>
  <c r="X280" i="92"/>
  <c r="Y331" i="92"/>
  <c r="Y40" i="92"/>
  <c r="V151" i="92"/>
  <c r="V117" i="92"/>
  <c r="Z170" i="92"/>
  <c r="Z319" i="92"/>
  <c r="V156" i="92"/>
  <c r="V163" i="92"/>
  <c r="X114" i="92"/>
  <c r="U171" i="92"/>
  <c r="X151" i="92"/>
  <c r="U49" i="92"/>
  <c r="X308" i="92"/>
  <c r="U101" i="92"/>
  <c r="U289" i="92"/>
  <c r="V307" i="92"/>
  <c r="V178" i="92"/>
  <c r="V331" i="92"/>
  <c r="V256" i="92"/>
  <c r="U331" i="92"/>
  <c r="V298" i="92"/>
  <c r="Z140" i="92"/>
  <c r="Z168" i="92"/>
  <c r="Z334" i="92"/>
  <c r="Y243" i="92"/>
  <c r="Z179" i="92"/>
  <c r="Z248" i="92"/>
  <c r="U303" i="92"/>
  <c r="Z220" i="92"/>
  <c r="Z238" i="92"/>
  <c r="Z24" i="92"/>
  <c r="Z231" i="92"/>
  <c r="X53" i="92"/>
  <c r="X333" i="92"/>
  <c r="U209" i="92"/>
  <c r="Y74" i="92"/>
  <c r="V61" i="92"/>
  <c r="Z310" i="92"/>
  <c r="X290" i="92"/>
  <c r="U82" i="92"/>
  <c r="Z138" i="92"/>
  <c r="Y244" i="92"/>
  <c r="V290" i="92"/>
  <c r="X120" i="92"/>
  <c r="Z50" i="92"/>
  <c r="Y10" i="92"/>
  <c r="Y72" i="92"/>
  <c r="V49" i="92"/>
  <c r="X150" i="92"/>
  <c r="Y132" i="92"/>
  <c r="V145" i="92"/>
  <c r="Y197" i="92"/>
  <c r="V249" i="92"/>
  <c r="Y95" i="92"/>
  <c r="V80" i="92"/>
  <c r="Y60" i="92"/>
  <c r="V33" i="92"/>
  <c r="Y121" i="92"/>
  <c r="V126" i="92"/>
  <c r="Y150" i="92"/>
  <c r="V177" i="92"/>
  <c r="V215" i="92"/>
  <c r="U207" i="92"/>
  <c r="Y315" i="92"/>
  <c r="X13" i="92"/>
  <c r="U142" i="92"/>
  <c r="Y288" i="92"/>
  <c r="U91" i="92"/>
  <c r="Y262" i="92"/>
  <c r="U33" i="92"/>
  <c r="Y234" i="92"/>
  <c r="Y208" i="92"/>
  <c r="Z36" i="92"/>
  <c r="X141" i="92"/>
  <c r="V50" i="92"/>
  <c r="Z241" i="92"/>
  <c r="Z320" i="92"/>
  <c r="Y272" i="92"/>
  <c r="Y155" i="92"/>
  <c r="Y223" i="92"/>
  <c r="Y224" i="92"/>
  <c r="X317" i="92"/>
  <c r="U245" i="92"/>
  <c r="X233" i="92"/>
  <c r="U42" i="92"/>
  <c r="Z79" i="92"/>
  <c r="U88" i="92"/>
  <c r="U330" i="92"/>
  <c r="V38" i="92"/>
  <c r="U223" i="92"/>
  <c r="U50" i="92"/>
  <c r="U131" i="92"/>
  <c r="U122" i="92"/>
  <c r="V226" i="92"/>
  <c r="U323" i="92"/>
  <c r="V250" i="92"/>
  <c r="V235" i="92"/>
  <c r="Z20" i="92"/>
  <c r="Z73" i="92"/>
  <c r="X56" i="92"/>
  <c r="Z46" i="92"/>
  <c r="V146" i="92"/>
  <c r="Z171" i="92"/>
  <c r="Z314" i="92"/>
  <c r="Z169" i="92"/>
  <c r="Z187" i="92"/>
  <c r="Z196" i="92"/>
  <c r="X237" i="92"/>
  <c r="Z321" i="92"/>
  <c r="X321" i="92"/>
  <c r="U166" i="92"/>
  <c r="Z277" i="92"/>
  <c r="X190" i="92"/>
  <c r="Z101" i="92"/>
  <c r="V311" i="92"/>
  <c r="Y192" i="92"/>
  <c r="V294" i="92"/>
  <c r="V213" i="92"/>
  <c r="X59" i="92"/>
  <c r="Z22" i="92"/>
  <c r="X279" i="92"/>
  <c r="Y41" i="92"/>
  <c r="U334" i="92"/>
  <c r="X108" i="92"/>
  <c r="Y99" i="92"/>
  <c r="V96" i="92"/>
  <c r="Y166" i="92"/>
  <c r="V194" i="92"/>
  <c r="Y61" i="92"/>
  <c r="V36" i="92"/>
  <c r="Y25" i="92"/>
  <c r="U285" i="92"/>
  <c r="Y89" i="92"/>
  <c r="V74" i="92"/>
  <c r="Y119" i="92"/>
  <c r="V122" i="92"/>
  <c r="V174" i="92"/>
  <c r="U143" i="92"/>
  <c r="Y290" i="92"/>
  <c r="U93" i="92"/>
  <c r="Y263" i="92"/>
  <c r="U43" i="92"/>
  <c r="Y237" i="92"/>
  <c r="Y209" i="92"/>
  <c r="Y183" i="92"/>
  <c r="Z11" i="92"/>
  <c r="X110" i="92"/>
  <c r="V15" i="92"/>
  <c r="X315" i="92"/>
  <c r="V195" i="92"/>
  <c r="Z63" i="92"/>
  <c r="X254" i="92"/>
  <c r="V16" i="92"/>
  <c r="V65" i="92"/>
  <c r="V306" i="92"/>
  <c r="U228" i="92"/>
  <c r="X55" i="92"/>
  <c r="X31" i="92"/>
  <c r="U316" i="92"/>
  <c r="U292" i="92"/>
  <c r="V85" i="92"/>
  <c r="U308" i="92"/>
  <c r="U293" i="92"/>
  <c r="U266" i="92"/>
  <c r="U178" i="92"/>
  <c r="V138" i="92"/>
  <c r="X214" i="92"/>
  <c r="Z283" i="92"/>
  <c r="Y24" i="92"/>
  <c r="Z234" i="92"/>
  <c r="Z324" i="92"/>
  <c r="Z89" i="92"/>
  <c r="Z235" i="92"/>
  <c r="Z116" i="92"/>
  <c r="Y274" i="92"/>
  <c r="V28" i="92"/>
  <c r="Z135" i="92"/>
  <c r="Z159" i="92"/>
  <c r="X134" i="92"/>
  <c r="Z288" i="92"/>
  <c r="X224" i="92"/>
  <c r="Y148" i="92"/>
  <c r="Z245" i="92"/>
  <c r="X96" i="92"/>
  <c r="Z68" i="92"/>
  <c r="V157" i="92"/>
  <c r="V327" i="92"/>
  <c r="Y144" i="92"/>
  <c r="V220" i="92"/>
  <c r="V118" i="92"/>
  <c r="X228" i="92"/>
  <c r="X335" i="92"/>
  <c r="U231" i="92"/>
  <c r="X75" i="92"/>
  <c r="Y68" i="92"/>
  <c r="V45" i="92"/>
  <c r="Y129" i="92"/>
  <c r="V143" i="92"/>
  <c r="Y26" i="92"/>
  <c r="U286" i="92"/>
  <c r="X324" i="92"/>
  <c r="U210" i="92"/>
  <c r="Y52" i="92"/>
  <c r="V23" i="92"/>
  <c r="Y85" i="92"/>
  <c r="V72" i="92"/>
  <c r="V140" i="92"/>
  <c r="U94" i="92"/>
  <c r="Y265" i="92"/>
  <c r="U45" i="92"/>
  <c r="Y238" i="92"/>
  <c r="Y212" i="92"/>
  <c r="Y184" i="92"/>
  <c r="Y158" i="92"/>
  <c r="X83" i="92"/>
  <c r="U287" i="92"/>
  <c r="U14" i="92"/>
  <c r="X196" i="92"/>
  <c r="U54" i="92"/>
  <c r="X116" i="92"/>
  <c r="Y250" i="92"/>
  <c r="V161" i="92"/>
  <c r="V84" i="92"/>
  <c r="X307" i="92"/>
  <c r="V282" i="92"/>
  <c r="V112" i="92"/>
  <c r="U329" i="92"/>
  <c r="V208" i="92"/>
  <c r="V58" i="92"/>
  <c r="V269" i="92"/>
  <c r="V66" i="92"/>
  <c r="V279" i="92"/>
  <c r="V90" i="92"/>
  <c r="U187" i="92"/>
  <c r="U99" i="92"/>
  <c r="V95" i="92"/>
  <c r="Z13" i="92"/>
  <c r="Z205" i="92"/>
  <c r="Z332" i="92"/>
  <c r="Z110" i="92"/>
  <c r="Z204" i="92"/>
  <c r="Y114" i="92"/>
  <c r="Y314" i="92"/>
  <c r="Y286" i="92"/>
  <c r="Z10" i="92"/>
  <c r="Z163" i="92"/>
  <c r="Z65" i="92"/>
  <c r="Y91" i="92"/>
  <c r="Z297" i="92"/>
  <c r="Z84" i="92"/>
  <c r="Z126" i="92"/>
  <c r="X48" i="92"/>
  <c r="Z256" i="92"/>
  <c r="X128" i="92"/>
  <c r="Y64" i="92"/>
  <c r="Z209" i="92"/>
  <c r="Z27" i="92"/>
  <c r="V9" i="92"/>
  <c r="V230" i="92"/>
  <c r="Y92" i="92"/>
  <c r="V123" i="92"/>
  <c r="V32" i="92"/>
  <c r="X169" i="92"/>
  <c r="X299" i="92"/>
  <c r="U154" i="92"/>
  <c r="X36" i="92"/>
  <c r="Y32" i="92"/>
  <c r="U309" i="92"/>
  <c r="Y97" i="92"/>
  <c r="V92" i="92"/>
  <c r="X325" i="92"/>
  <c r="U212" i="92"/>
  <c r="X286" i="92"/>
  <c r="U120" i="92"/>
  <c r="Y21" i="92"/>
  <c r="U281" i="92"/>
  <c r="Y50" i="92"/>
  <c r="V17" i="92"/>
  <c r="V107" i="92"/>
  <c r="U46" i="92"/>
  <c r="Y240" i="92"/>
  <c r="Y213" i="92"/>
  <c r="Y187" i="92"/>
  <c r="Y159" i="92"/>
  <c r="Y133" i="92"/>
  <c r="X57" i="92"/>
  <c r="U237" i="92"/>
  <c r="V55" i="92"/>
  <c r="Y317" i="92"/>
  <c r="V299" i="92"/>
  <c r="V205" i="92"/>
  <c r="U234" i="92"/>
  <c r="V210" i="92"/>
  <c r="Y247" i="92"/>
  <c r="U216" i="92"/>
  <c r="V67" i="92"/>
  <c r="U227" i="92"/>
  <c r="V232" i="92"/>
  <c r="U235" i="92"/>
  <c r="X175" i="92"/>
  <c r="U27" i="92"/>
  <c r="U255" i="92"/>
  <c r="U51" i="92"/>
  <c r="U242" i="92"/>
  <c r="Z21" i="92"/>
  <c r="Z157" i="92"/>
  <c r="Z70" i="92"/>
  <c r="Z62" i="92"/>
  <c r="Y69" i="92"/>
  <c r="X112" i="92"/>
  <c r="Y22" i="92"/>
  <c r="X331" i="92"/>
  <c r="Z76" i="92"/>
  <c r="X218" i="92"/>
  <c r="Z249" i="92"/>
  <c r="Z26" i="92"/>
  <c r="Y174" i="92"/>
  <c r="Z94" i="92"/>
  <c r="V262" i="92"/>
  <c r="Y269" i="92"/>
  <c r="Z222" i="92"/>
  <c r="X32" i="92"/>
  <c r="X301" i="92"/>
  <c r="Z177" i="92"/>
  <c r="U71" i="92"/>
  <c r="V149" i="92"/>
  <c r="V324" i="92"/>
  <c r="Y44" i="92"/>
  <c r="V47" i="92"/>
  <c r="U246" i="92"/>
  <c r="V286" i="92"/>
  <c r="V263" i="92"/>
  <c r="X119" i="92"/>
  <c r="X264" i="92"/>
  <c r="U68" i="92"/>
  <c r="X330" i="92"/>
  <c r="U222" i="92"/>
  <c r="Y66" i="92"/>
  <c r="V41" i="92"/>
  <c r="X287" i="92"/>
  <c r="U126" i="92"/>
  <c r="X245" i="92"/>
  <c r="U48" i="92"/>
  <c r="X318" i="92"/>
  <c r="U192" i="92"/>
  <c r="Y19" i="92"/>
  <c r="U276" i="92"/>
  <c r="V70" i="92"/>
  <c r="Y215" i="92"/>
  <c r="Y188" i="92"/>
  <c r="Y162" i="92"/>
  <c r="Y134" i="92"/>
  <c r="Y108" i="92"/>
  <c r="Y330" i="92"/>
  <c r="X29" i="92"/>
  <c r="U176" i="92"/>
  <c r="X103" i="92"/>
  <c r="Z228" i="92"/>
  <c r="U26" i="92"/>
  <c r="Z174" i="92"/>
  <c r="Y142" i="92"/>
  <c r="Z167" i="92"/>
  <c r="X226" i="92"/>
  <c r="Y319" i="92"/>
  <c r="U151" i="92"/>
  <c r="V64" i="92"/>
  <c r="V247" i="92"/>
  <c r="U254" i="92"/>
  <c r="U109" i="92"/>
  <c r="U161" i="92"/>
  <c r="U305" i="92"/>
  <c r="Z31" i="92"/>
  <c r="U170" i="92"/>
  <c r="V302" i="92"/>
  <c r="U194" i="92"/>
  <c r="V328" i="92"/>
  <c r="V31" i="92"/>
  <c r="U149" i="92"/>
  <c r="U70" i="92"/>
  <c r="V275" i="92"/>
  <c r="X21" i="92"/>
  <c r="X12" i="92"/>
  <c r="Z198" i="92"/>
  <c r="X310" i="92"/>
  <c r="Z54" i="92"/>
  <c r="V111" i="92"/>
  <c r="Y177" i="92"/>
  <c r="Z185" i="92"/>
  <c r="X207" i="92"/>
  <c r="Z141" i="92"/>
  <c r="Y301" i="92"/>
  <c r="V75" i="92"/>
  <c r="V68" i="92"/>
  <c r="V225" i="92"/>
  <c r="X322" i="92"/>
  <c r="U270" i="92"/>
  <c r="V292" i="92"/>
  <c r="U96" i="92"/>
  <c r="V197" i="92"/>
  <c r="V176" i="92"/>
  <c r="X58" i="92"/>
  <c r="X221" i="92"/>
  <c r="X294" i="92"/>
  <c r="U138" i="92"/>
  <c r="Y28" i="92"/>
  <c r="U296" i="92"/>
  <c r="X246" i="92"/>
  <c r="U56" i="92"/>
  <c r="X211" i="92"/>
  <c r="X276" i="92"/>
  <c r="U116" i="92"/>
  <c r="X314" i="92"/>
  <c r="U177" i="92"/>
  <c r="V35" i="92"/>
  <c r="Y190" i="92"/>
  <c r="Y163" i="92"/>
  <c r="Y137" i="92"/>
  <c r="Y109" i="92"/>
  <c r="Y83" i="92"/>
  <c r="Y305" i="92"/>
  <c r="U128" i="92"/>
  <c r="U115" i="92"/>
  <c r="X256" i="92"/>
  <c r="X316" i="92"/>
  <c r="Y82" i="92"/>
  <c r="X30" i="92"/>
  <c r="U156" i="92"/>
  <c r="X115" i="92"/>
  <c r="X329" i="92"/>
  <c r="U90" i="92"/>
  <c r="X223" i="92"/>
  <c r="U288" i="92"/>
  <c r="U52" i="92"/>
  <c r="V281" i="92"/>
  <c r="V82" i="92"/>
  <c r="Y295" i="92"/>
  <c r="U197" i="92"/>
  <c r="U317" i="92"/>
  <c r="V98" i="92"/>
  <c r="U312" i="92"/>
  <c r="Z264" i="92"/>
  <c r="X266" i="92"/>
  <c r="Y323" i="92"/>
  <c r="Z303" i="92"/>
  <c r="U15" i="92"/>
  <c r="V237" i="92"/>
  <c r="V185" i="92"/>
  <c r="Y252" i="92"/>
  <c r="Z147" i="92"/>
  <c r="X107" i="92"/>
  <c r="Z17" i="92"/>
  <c r="U262" i="92"/>
  <c r="Y96" i="92"/>
  <c r="Z153" i="92"/>
  <c r="X111" i="92"/>
  <c r="Z105" i="92"/>
  <c r="V333" i="92"/>
  <c r="Y214" i="92"/>
  <c r="U335" i="92"/>
  <c r="U284" i="92"/>
  <c r="V144" i="92"/>
  <c r="X267" i="92"/>
  <c r="U118" i="92"/>
  <c r="V217" i="92"/>
  <c r="Y328" i="92"/>
  <c r="Z333" i="92"/>
  <c r="V113" i="92"/>
  <c r="V100" i="92"/>
  <c r="X187" i="92"/>
  <c r="X252" i="92"/>
  <c r="U63" i="92"/>
  <c r="X327" i="92"/>
  <c r="U214" i="92"/>
  <c r="X213" i="92"/>
  <c r="Z317" i="92"/>
  <c r="X173" i="92"/>
  <c r="X241" i="92"/>
  <c r="U30" i="92"/>
  <c r="X274" i="92"/>
  <c r="U104" i="92"/>
  <c r="U333" i="92"/>
  <c r="Y165" i="92"/>
  <c r="Y138" i="92"/>
  <c r="Y112" i="92"/>
  <c r="Y84" i="92"/>
  <c r="Y58" i="92"/>
  <c r="Y280" i="92"/>
  <c r="U69" i="92"/>
  <c r="V179" i="92"/>
  <c r="Z58" i="92"/>
  <c r="Y220" i="92"/>
  <c r="Y276" i="92"/>
  <c r="Y279" i="92"/>
  <c r="Y130" i="92"/>
  <c r="U300" i="92"/>
  <c r="U40" i="92"/>
  <c r="U158" i="92"/>
  <c r="U258" i="92"/>
  <c r="U114" i="92"/>
  <c r="U233" i="92"/>
  <c r="U89" i="92"/>
  <c r="Y103" i="92"/>
  <c r="U180" i="92"/>
  <c r="U269" i="92"/>
  <c r="U205" i="92"/>
  <c r="U121" i="92"/>
  <c r="Z175" i="92"/>
  <c r="U256" i="92"/>
  <c r="U277" i="92"/>
  <c r="U322" i="92"/>
  <c r="U165" i="92"/>
  <c r="Z154" i="92"/>
  <c r="Z280" i="92"/>
  <c r="X43" i="92"/>
  <c r="Y117" i="92"/>
  <c r="Z176" i="92"/>
  <c r="Z284" i="92"/>
  <c r="Z273" i="92"/>
  <c r="Z266" i="92"/>
  <c r="X272" i="92"/>
  <c r="Y277" i="92"/>
  <c r="V109" i="92"/>
  <c r="Z95" i="92"/>
  <c r="Y275" i="92"/>
  <c r="Z328" i="92"/>
  <c r="X338" i="92"/>
  <c r="V240" i="92"/>
  <c r="Z120" i="92"/>
  <c r="Y325" i="92"/>
  <c r="X14" i="92"/>
  <c r="Z71" i="92"/>
  <c r="V173" i="92"/>
  <c r="Y122" i="92"/>
  <c r="U168" i="92"/>
  <c r="U164" i="92"/>
  <c r="V57" i="92"/>
  <c r="X208" i="92"/>
  <c r="Y336" i="92"/>
  <c r="Z337" i="92"/>
  <c r="V119" i="92"/>
  <c r="Y278" i="92"/>
  <c r="Z306" i="92"/>
  <c r="V24" i="92"/>
  <c r="V11" i="92"/>
  <c r="X153" i="92"/>
  <c r="X217" i="92"/>
  <c r="X292" i="92"/>
  <c r="U130" i="92"/>
  <c r="X174" i="92"/>
  <c r="Z292" i="92"/>
  <c r="X135" i="92"/>
  <c r="X205" i="92"/>
  <c r="U23" i="92"/>
  <c r="X239" i="92"/>
  <c r="U22" i="92"/>
  <c r="U273" i="92"/>
  <c r="Y140" i="92"/>
  <c r="Y113" i="92"/>
  <c r="Y87" i="92"/>
  <c r="Y59" i="92"/>
  <c r="Y33" i="92"/>
  <c r="Y255" i="92"/>
  <c r="U21" i="92"/>
  <c r="V79" i="92"/>
  <c r="Z295" i="92"/>
  <c r="Z300" i="92"/>
  <c r="Y136" i="92"/>
  <c r="V337" i="92"/>
  <c r="X285" i="92"/>
  <c r="X209" i="92"/>
  <c r="Y202" i="92"/>
  <c r="V238" i="92"/>
  <c r="U103" i="92"/>
  <c r="U79" i="92"/>
  <c r="X281" i="92"/>
  <c r="U35" i="92"/>
  <c r="V277" i="92"/>
  <c r="X247" i="92"/>
  <c r="U326" i="92"/>
  <c r="V251" i="92"/>
  <c r="U257" i="92"/>
  <c r="U39" i="92"/>
  <c r="V283" i="92"/>
  <c r="V10" i="92"/>
  <c r="V27" i="92"/>
  <c r="V130" i="92"/>
  <c r="X137" i="92"/>
  <c r="V268" i="92"/>
  <c r="Z302" i="92"/>
  <c r="Z149" i="92"/>
  <c r="Z229" i="92"/>
  <c r="Z43" i="92"/>
  <c r="Z213" i="92"/>
  <c r="Z194" i="92"/>
  <c r="Z190" i="92"/>
  <c r="Y206" i="92"/>
  <c r="Y101" i="92"/>
  <c r="Z301" i="92"/>
  <c r="Z39" i="92"/>
  <c r="Y201" i="92"/>
  <c r="V267" i="92"/>
  <c r="Y191" i="92"/>
  <c r="Z294" i="92"/>
  <c r="X240" i="92"/>
  <c r="V104" i="92"/>
  <c r="Z83" i="92"/>
  <c r="V222" i="92"/>
  <c r="Y246" i="92"/>
  <c r="Z32" i="92"/>
  <c r="V14" i="92"/>
  <c r="Y43" i="92"/>
  <c r="U32" i="92"/>
  <c r="U8" i="92"/>
  <c r="U282" i="92"/>
  <c r="X156" i="92"/>
  <c r="Y282" i="92"/>
  <c r="Z309" i="92"/>
  <c r="V44" i="92"/>
  <c r="Y228" i="92"/>
  <c r="Z279" i="92"/>
  <c r="U238" i="92"/>
  <c r="U202" i="92"/>
  <c r="V255" i="92"/>
  <c r="X109" i="92"/>
  <c r="X182" i="92"/>
  <c r="X249" i="92"/>
  <c r="U58" i="92"/>
  <c r="X136" i="92"/>
  <c r="Z267" i="92"/>
  <c r="X99" i="92"/>
  <c r="X166" i="92"/>
  <c r="Z336" i="92"/>
  <c r="X201" i="92"/>
  <c r="X46" i="92"/>
  <c r="U211" i="92"/>
  <c r="Y115" i="92"/>
  <c r="Y88" i="92"/>
  <c r="Y62" i="92"/>
  <c r="Y34" i="92"/>
  <c r="Y8" i="92"/>
  <c r="V309" i="92"/>
  <c r="Y230" i="92"/>
  <c r="U20" i="92"/>
  <c r="U146" i="92"/>
  <c r="Z251" i="92"/>
  <c r="V189" i="92"/>
  <c r="Y77" i="92"/>
  <c r="X139" i="92"/>
  <c r="Z199" i="92"/>
  <c r="X219" i="92"/>
  <c r="Z164" i="92"/>
  <c r="X255" i="92"/>
  <c r="Y55" i="92"/>
  <c r="U319" i="92"/>
  <c r="X164" i="92"/>
  <c r="U196" i="92"/>
  <c r="Z151" i="92"/>
  <c r="U64" i="92"/>
  <c r="V223" i="92"/>
  <c r="U108" i="92"/>
  <c r="U328" i="92"/>
  <c r="V37" i="92"/>
  <c r="X65" i="92"/>
  <c r="U85" i="92"/>
  <c r="U29" i="92"/>
  <c r="V274" i="92"/>
  <c r="Z291" i="92"/>
  <c r="Z257" i="92"/>
  <c r="X265" i="92"/>
  <c r="Z100" i="92"/>
  <c r="Z316" i="92"/>
  <c r="Z131" i="92"/>
  <c r="Z121" i="92"/>
  <c r="Z113" i="92"/>
  <c r="V132" i="92"/>
  <c r="X238" i="92"/>
  <c r="X232" i="92"/>
  <c r="Z250" i="92"/>
  <c r="Y17" i="92"/>
  <c r="U137" i="92"/>
  <c r="Y106" i="92"/>
  <c r="Z262" i="92"/>
  <c r="X154" i="92"/>
  <c r="U224" i="92"/>
  <c r="Z45" i="92"/>
  <c r="V71" i="92"/>
  <c r="Y154" i="92"/>
  <c r="U95" i="92"/>
  <c r="X275" i="92"/>
  <c r="Y299" i="92"/>
  <c r="U150" i="92"/>
  <c r="X97" i="92"/>
  <c r="Y236" i="92"/>
  <c r="Z282" i="92"/>
  <c r="U248" i="92"/>
  <c r="Y178" i="92"/>
  <c r="Z252" i="92"/>
  <c r="U92" i="92"/>
  <c r="U66" i="92"/>
  <c r="V172" i="92"/>
  <c r="X76" i="92"/>
  <c r="X143" i="92"/>
  <c r="X215" i="92"/>
  <c r="X100" i="92"/>
  <c r="Z242" i="92"/>
  <c r="X62" i="92"/>
  <c r="X131" i="92"/>
  <c r="Z311" i="92"/>
  <c r="X163" i="92"/>
  <c r="X18" i="92"/>
  <c r="U153" i="92"/>
  <c r="Y90" i="92"/>
  <c r="Y63" i="92"/>
  <c r="Y37" i="92"/>
  <c r="Y9" i="92"/>
  <c r="V310" i="92"/>
  <c r="X312" i="92"/>
  <c r="V264" i="92"/>
  <c r="Y205" i="92"/>
  <c r="AA4" i="93"/>
  <c r="AA5" i="93"/>
  <c r="AA6" i="93"/>
  <c r="AA7" i="93"/>
  <c r="G241" i="96" a="1"/>
  <c r="L146" i="96" a="1"/>
  <c r="J34" i="96" a="1"/>
  <c r="H83" i="96" a="1"/>
  <c r="G336" i="96" a="1"/>
  <c r="J217" i="96" a="1"/>
  <c r="L297" i="96" a="1"/>
  <c r="K87" i="96" a="1"/>
  <c r="H119" i="96" a="1"/>
  <c r="K323" i="96" a="1"/>
  <c r="H325" i="96" a="1"/>
  <c r="H246" i="96" a="1"/>
  <c r="L322" i="96" a="1"/>
  <c r="M288" i="96" a="1"/>
  <c r="G166" i="96" a="1"/>
  <c r="F255" i="96" a="1"/>
  <c r="I126" i="96" a="1"/>
  <c r="F51" i="96" a="1"/>
  <c r="K99" i="96" a="1"/>
  <c r="K256" i="96" a="1"/>
  <c r="L224" i="96" a="1"/>
  <c r="M261" i="96" a="1"/>
  <c r="H258" i="96" a="1"/>
  <c r="J236" i="96" a="1"/>
  <c r="H281" i="96" a="1"/>
  <c r="E240" i="96" a="1"/>
  <c r="H143" i="96" a="1"/>
  <c r="J156" i="96" a="1"/>
  <c r="H149" i="96" a="1"/>
  <c r="J167" i="96" a="1"/>
  <c r="I109" i="96" a="1"/>
  <c r="K164" i="96" a="1"/>
  <c r="L101" i="96" a="1"/>
  <c r="M277" i="96" a="1"/>
  <c r="E306" i="96" a="1"/>
  <c r="I246" i="96" a="1"/>
  <c r="L21" i="96" a="1"/>
  <c r="G41" i="96" a="1"/>
  <c r="H247" i="96" a="1"/>
  <c r="F3" i="96" a="1"/>
  <c r="I69" i="96" a="1"/>
  <c r="G284" i="96" a="1"/>
  <c r="I4" i="96" a="1"/>
  <c r="G215" i="96" a="1"/>
  <c r="J30" i="96" a="1"/>
  <c r="J268" i="96" a="1"/>
  <c r="L327" i="96" a="1"/>
  <c r="K278" i="96" a="1"/>
  <c r="G153" i="96" a="1"/>
  <c r="G135" i="96" a="1"/>
  <c r="M69" i="96" a="1"/>
  <c r="I87" i="96" a="1"/>
  <c r="I326" i="96" a="1"/>
  <c r="I262" i="96" a="1"/>
  <c r="F86" i="96" a="1"/>
  <c r="G239" i="96" a="1"/>
  <c r="J260" i="96" a="1"/>
  <c r="E226" i="96" a="1"/>
  <c r="L196" i="96" a="1"/>
  <c r="J87" i="96" a="1"/>
  <c r="H52" i="96" a="1"/>
  <c r="H182" i="96" a="1"/>
  <c r="G289" i="96" a="1"/>
  <c r="M48" i="96" a="1"/>
  <c r="M225" i="96" a="1"/>
  <c r="I212" i="96" a="1"/>
  <c r="J136" i="96" a="1"/>
  <c r="G296" i="96" a="1"/>
  <c r="L260" i="96" a="1"/>
  <c r="M192" i="96" a="1"/>
  <c r="H25" i="96" a="1"/>
  <c r="M235" i="96" a="1"/>
  <c r="L325" i="96" a="1"/>
  <c r="J127" i="96" a="1"/>
  <c r="M274" i="96" a="1"/>
  <c r="G316" i="96" a="1"/>
  <c r="E168" i="96" a="1"/>
  <c r="K276" i="96" a="1"/>
  <c r="L221" i="96" a="1"/>
  <c r="J284" i="96" a="1"/>
  <c r="E155" i="96" a="1"/>
  <c r="E300" i="96" a="1"/>
  <c r="J320" i="96" a="1"/>
  <c r="J66" i="96" a="1"/>
  <c r="I34" i="96" a="1"/>
  <c r="E222" i="96" a="1"/>
  <c r="K224" i="96" a="1"/>
  <c r="L316" i="96" a="1"/>
  <c r="H301" i="96" a="1"/>
  <c r="H26" i="96" a="1"/>
  <c r="H6" i="96" a="1"/>
  <c r="I121" i="96" a="1"/>
  <c r="I261" i="96" a="1"/>
  <c r="I277" i="96" a="1"/>
  <c r="M314" i="96" a="1"/>
  <c r="G50" i="96" a="1"/>
  <c r="G235" i="96" a="1"/>
  <c r="K12" i="96" a="1"/>
  <c r="K23" i="96" a="1"/>
  <c r="J159" i="96" a="1"/>
  <c r="M8" i="96" a="1"/>
  <c r="F336" i="96" a="1"/>
  <c r="I264" i="96" a="1"/>
  <c r="G249" i="96" a="1"/>
  <c r="J324" i="96" a="1"/>
  <c r="M306" i="96" a="1"/>
  <c r="F139" i="96" a="1"/>
  <c r="K178" i="96" a="1"/>
  <c r="H115" i="96" a="1"/>
  <c r="E187" i="96" a="1"/>
  <c r="G151" i="96" a="1"/>
  <c r="J230" i="96" a="1"/>
  <c r="J216" i="96" a="1"/>
  <c r="M182" i="96" a="1"/>
  <c r="E202" i="96" a="1"/>
  <c r="G294" i="96" a="1"/>
  <c r="E277" i="96" a="1"/>
  <c r="E310" i="96" a="1"/>
  <c r="F22" i="96" a="1"/>
  <c r="L154" i="96" a="1"/>
  <c r="F233" i="96" a="1"/>
  <c r="I211" i="96" a="1"/>
  <c r="J65" i="96" a="1"/>
  <c r="M3" i="96" a="1"/>
  <c r="H4" i="96" a="1"/>
  <c r="J310" i="96" a="1"/>
  <c r="H137" i="96" a="1"/>
  <c r="M208" i="96" a="1"/>
  <c r="E130" i="96" a="1"/>
  <c r="G117" i="96" a="1"/>
  <c r="I89" i="96" a="1"/>
  <c r="G178" i="96" a="1"/>
  <c r="H184" i="96" a="1"/>
  <c r="F113" i="96" a="1"/>
  <c r="H256" i="96" a="1"/>
  <c r="K44" i="96" a="1"/>
  <c r="F176" i="96" a="1"/>
  <c r="F197" i="96" a="1"/>
  <c r="H73" i="96" a="1"/>
  <c r="F53" i="96" a="1"/>
  <c r="K293" i="96" a="1"/>
  <c r="J132" i="96" a="1"/>
  <c r="M56" i="96" a="1"/>
  <c r="J109" i="96" a="1"/>
  <c r="J153" i="96" a="1"/>
  <c r="M125" i="96" a="1"/>
  <c r="G60" i="96" a="1"/>
  <c r="J20" i="96" a="1"/>
  <c r="K149" i="96" a="1"/>
  <c r="E13" i="96" a="1"/>
  <c r="J265" i="96" a="1"/>
  <c r="H91" i="96" a="1"/>
  <c r="G319" i="96" a="1"/>
  <c r="F127" i="96" a="1"/>
  <c r="H53" i="96" a="1"/>
  <c r="F315" i="96" a="1"/>
  <c r="F264" i="96" a="1"/>
  <c r="I271" i="96" a="1"/>
  <c r="G262" i="96" a="1"/>
  <c r="I238" i="96" a="1"/>
  <c r="L161" i="96" a="1"/>
  <c r="I216" i="96" a="1"/>
  <c r="M134" i="96" a="1"/>
  <c r="G279" i="96" a="1"/>
  <c r="J316" i="96" a="1"/>
  <c r="M34" i="96" a="1"/>
  <c r="L274" i="96" a="1"/>
  <c r="L68" i="96" a="1"/>
  <c r="M283" i="96" a="1"/>
  <c r="L192" i="96" a="1"/>
  <c r="J276" i="96" a="1"/>
  <c r="M193" i="96" a="1"/>
  <c r="E250" i="96" a="1"/>
  <c r="K315" i="96" a="1"/>
  <c r="H44" i="96" a="1"/>
  <c r="L273" i="96" a="1"/>
  <c r="H240" i="96" a="1"/>
  <c r="K54" i="96" a="1"/>
  <c r="G244" i="96" a="1"/>
  <c r="J323" i="96" a="1"/>
  <c r="H289" i="96" a="1"/>
  <c r="J45" i="96" a="1"/>
  <c r="F70" i="96" a="1"/>
  <c r="H201" i="96" a="1"/>
  <c r="F316" i="96" a="1"/>
  <c r="E261" i="96" a="1"/>
  <c r="K82" i="96" a="1"/>
  <c r="M327" i="96" a="1"/>
  <c r="I319" i="96" a="1"/>
  <c r="I165" i="96" a="1"/>
  <c r="I81" i="96" a="1"/>
  <c r="L240" i="96" a="1"/>
  <c r="L32" i="96" a="1"/>
  <c r="M212" i="96" a="1"/>
  <c r="L8" i="96" a="1"/>
  <c r="G88" i="96" a="1"/>
  <c r="J107" i="96" a="1"/>
  <c r="E145" i="96" a="1"/>
  <c r="M91" i="96" a="1"/>
  <c r="H5" i="96" a="1"/>
  <c r="M180" i="96" a="1"/>
  <c r="M25" i="96" a="1"/>
  <c r="J74" i="96" a="1"/>
  <c r="E21" i="96" a="1"/>
  <c r="I105" i="96" a="1"/>
  <c r="I94" i="96" a="1"/>
  <c r="M65" i="96" a="1"/>
  <c r="M21" i="96" a="1"/>
  <c r="M140" i="96" a="1"/>
  <c r="H55" i="96" a="1"/>
  <c r="K302" i="96" a="1"/>
  <c r="J38" i="96" a="1"/>
  <c r="L249" i="96" a="1"/>
  <c r="E26" i="96" a="1"/>
  <c r="E158" i="96" a="1"/>
  <c r="L2" i="96" a="1"/>
  <c r="H262" i="96" a="1"/>
  <c r="J47" i="96" a="1"/>
  <c r="L137" i="96" a="1"/>
  <c r="K183" i="96" a="1"/>
  <c r="K156" i="96" a="1"/>
  <c r="H327" i="96" a="1"/>
  <c r="M87" i="96" a="1"/>
  <c r="K232" i="96" a="1"/>
  <c r="E217" i="96" a="1"/>
  <c r="K90" i="96" a="1"/>
  <c r="F35" i="96" a="1"/>
  <c r="K280" i="96" a="1"/>
  <c r="L173" i="96" a="1"/>
  <c r="G113" i="96" a="1"/>
  <c r="F2" i="96" a="1"/>
  <c r="J39" i="96" a="1"/>
  <c r="I236" i="96" a="1"/>
  <c r="M151" i="96" a="1"/>
  <c r="K165" i="96" a="1"/>
  <c r="M251" i="96" a="1"/>
  <c r="K40" i="96" a="1"/>
  <c r="I55" i="96" a="1"/>
  <c r="E84" i="96" a="1"/>
  <c r="I75" i="96" a="1"/>
  <c r="M90" i="96" a="1"/>
  <c r="J312" i="96" a="1"/>
  <c r="H243" i="96" a="1"/>
  <c r="H98" i="96" a="1"/>
  <c r="L175" i="96" a="1"/>
  <c r="J197" i="96" a="1"/>
  <c r="I114" i="96" a="1"/>
  <c r="E201" i="96" a="1"/>
  <c r="H322" i="96" a="1"/>
  <c r="F327" i="96" a="1"/>
  <c r="M14" i="96" a="1"/>
  <c r="K193" i="96" a="1"/>
  <c r="I203" i="96" a="1"/>
  <c r="I314" i="96" a="1"/>
  <c r="E330" i="96" a="1"/>
  <c r="E70" i="96" a="1"/>
  <c r="I237" i="96" a="1"/>
  <c r="H107" i="96" a="1"/>
  <c r="I303" i="96" a="1"/>
  <c r="I265" i="96" a="1"/>
  <c r="M330" i="96" a="1"/>
  <c r="L187" i="96" a="1"/>
  <c r="J270" i="96" a="1"/>
  <c r="H318" i="96" a="1"/>
  <c r="H231" i="96" a="1"/>
  <c r="F31" i="96" a="1"/>
  <c r="I283" i="96" a="1"/>
  <c r="J179" i="96" a="1"/>
  <c r="L229" i="96" a="1"/>
  <c r="L67" i="96" a="1"/>
  <c r="F308" i="96" a="1"/>
  <c r="G22" i="96" a="1"/>
  <c r="G81" i="96" a="1"/>
  <c r="L156" i="96" a="1"/>
  <c r="J187" i="96" a="1"/>
  <c r="H13" i="96" a="1"/>
  <c r="K117" i="96" a="1"/>
  <c r="J261" i="96" a="1"/>
  <c r="J54" i="96" a="1"/>
  <c r="M227" i="96" a="1"/>
  <c r="K202" i="96" a="1"/>
  <c r="K219" i="96" a="1"/>
  <c r="M263" i="96" a="1"/>
  <c r="I84" i="96" a="1"/>
  <c r="E76" i="96" a="1"/>
  <c r="I30" i="96" a="1"/>
  <c r="M247" i="96" a="1"/>
  <c r="M113" i="96" a="1"/>
  <c r="G57" i="96" a="1"/>
  <c r="L127" i="96" a="1"/>
  <c r="L124" i="96" a="1"/>
  <c r="J90" i="96" a="1"/>
  <c r="G179" i="96" a="1"/>
  <c r="J190" i="96" a="1"/>
  <c r="M51" i="96" a="1"/>
  <c r="G63" i="96" a="1"/>
  <c r="M264" i="96" a="1"/>
  <c r="H203" i="96" a="1"/>
  <c r="E35" i="96" a="1"/>
  <c r="L272" i="96" a="1"/>
  <c r="F334" i="96" a="1"/>
  <c r="L49" i="96" a="1"/>
  <c r="H39" i="96" a="1"/>
  <c r="M105" i="96" a="1"/>
  <c r="K29" i="96" a="1"/>
  <c r="I311" i="96" a="1"/>
  <c r="K195" i="96" a="1"/>
  <c r="L195" i="96" a="1"/>
  <c r="L147" i="96" a="1"/>
  <c r="J122" i="96" a="1"/>
  <c r="L250" i="96" a="1"/>
  <c r="M67" i="96" a="1"/>
  <c r="E138" i="96" a="1"/>
  <c r="F38" i="96" a="1"/>
  <c r="L91" i="96" a="1"/>
  <c r="K170" i="96" a="1"/>
  <c r="L315" i="96" a="1"/>
  <c r="G154" i="96" a="1"/>
  <c r="E298" i="96" a="1"/>
  <c r="K244" i="96" a="1"/>
  <c r="I251" i="96" a="1"/>
  <c r="I258" i="96" a="1"/>
  <c r="J243" i="96" a="1"/>
  <c r="E83" i="96" a="1"/>
  <c r="F312" i="96" a="1"/>
  <c r="L120" i="96" a="1"/>
  <c r="E165" i="96" a="1"/>
  <c r="G292" i="96" a="1"/>
  <c r="M137" i="96" a="1"/>
  <c r="H161" i="96" a="1"/>
  <c r="G228" i="96" a="1"/>
  <c r="G138" i="96" a="1"/>
  <c r="L142" i="96" a="1"/>
  <c r="M121" i="96" a="1"/>
  <c r="I293" i="96" a="1"/>
  <c r="E37" i="96" a="1"/>
  <c r="G224" i="96" a="1"/>
  <c r="I92" i="96" a="1"/>
  <c r="M201" i="96" a="1"/>
  <c r="H275" i="96" a="1"/>
  <c r="H310" i="96" a="1"/>
  <c r="L89" i="96" a="1"/>
  <c r="G76" i="96" a="1"/>
  <c r="K252" i="96" a="1"/>
  <c r="M216" i="96" a="1"/>
  <c r="H241" i="96" a="1"/>
  <c r="K69" i="96" a="1"/>
  <c r="I85" i="96" a="1"/>
  <c r="G256" i="96" a="1"/>
  <c r="L59" i="96" a="1"/>
  <c r="H50" i="96" a="1"/>
  <c r="L7" i="96" a="1"/>
  <c r="L99" i="96" a="1"/>
  <c r="E257" i="96" a="1"/>
  <c r="F313" i="96" a="1"/>
  <c r="E114" i="96" a="1"/>
  <c r="I290" i="96" a="1"/>
  <c r="F7" i="96" a="1"/>
  <c r="F100" i="96" a="1"/>
  <c r="M128" i="96" a="1"/>
  <c r="I38" i="96" a="1"/>
  <c r="L209" i="96" a="1"/>
  <c r="E259" i="96" a="1"/>
  <c r="F146" i="96" a="1"/>
  <c r="I61" i="96" a="1"/>
  <c r="H267" i="96" a="1"/>
  <c r="M158" i="96" a="1"/>
  <c r="G321" i="96" a="1"/>
  <c r="M219" i="96" a="1"/>
  <c r="L333" i="96" a="1"/>
  <c r="H299" i="96" a="1"/>
  <c r="G329" i="96" a="1"/>
  <c r="K246" i="96" a="1"/>
  <c r="I233" i="96" a="1"/>
  <c r="I28" i="96" a="1"/>
  <c r="K59" i="96" a="1"/>
  <c r="K215" i="96" a="1"/>
  <c r="J321" i="96" a="1"/>
  <c r="H48" i="96" a="1"/>
  <c r="F6" i="96" a="1"/>
  <c r="L263" i="96" a="1"/>
  <c r="L287" i="96" a="1"/>
  <c r="F109" i="96" a="1"/>
  <c r="L276" i="96" a="1"/>
  <c r="F311" i="96" a="1"/>
  <c r="K159" i="96" a="1"/>
  <c r="M53" i="96" a="1"/>
  <c r="I64" i="96" a="1"/>
  <c r="L246" i="96" a="1"/>
  <c r="M160" i="96" a="1"/>
  <c r="M332" i="96" a="1"/>
  <c r="I148" i="96" a="1"/>
  <c r="G205" i="96" a="1"/>
  <c r="G132" i="96" a="1"/>
  <c r="G62" i="96" a="1"/>
  <c r="H74" i="96" a="1"/>
  <c r="K210" i="96" a="1"/>
  <c r="I138" i="96" a="1"/>
  <c r="H23" i="96" a="1"/>
  <c r="F121" i="96" a="1"/>
  <c r="K230" i="96" a="1"/>
  <c r="L148" i="96" a="1"/>
  <c r="G247" i="96" a="1"/>
  <c r="F277" i="96" a="1"/>
  <c r="M238" i="96" a="1"/>
  <c r="F143" i="96" a="1"/>
  <c r="M234" i="96" a="1"/>
  <c r="H228" i="96" a="1"/>
  <c r="E195" i="96" a="1"/>
  <c r="E293" i="96" a="1"/>
  <c r="H303" i="96" a="1"/>
  <c r="G333" i="96" a="1"/>
  <c r="K218" i="96" a="1"/>
  <c r="J3" i="96" a="1"/>
  <c r="H77" i="96" a="1"/>
  <c r="F74" i="96" a="1"/>
  <c r="M176" i="96" a="1"/>
  <c r="L286" i="96" a="1"/>
  <c r="G68" i="96" a="1"/>
  <c r="M186" i="96" a="1"/>
  <c r="E221" i="96" a="1"/>
  <c r="L109" i="96" a="1"/>
  <c r="K270" i="96" a="1"/>
  <c r="E224" i="96" a="1"/>
  <c r="G255" i="96" a="1"/>
  <c r="F188" i="96" a="1"/>
  <c r="K263" i="96" a="1"/>
  <c r="H164" i="96" a="1"/>
  <c r="F17" i="96" a="1"/>
  <c r="J207" i="96" a="1"/>
  <c r="F27" i="96" a="1"/>
  <c r="F231" i="96" a="1"/>
  <c r="F102" i="96" a="1"/>
  <c r="M73" i="96" a="1"/>
  <c r="M40" i="96" a="1"/>
  <c r="K98" i="96" a="1"/>
  <c r="H90" i="96" a="1"/>
  <c r="F310" i="96" a="1"/>
  <c r="K174" i="96" a="1"/>
  <c r="K152" i="96" a="1"/>
  <c r="L144" i="96" a="1"/>
  <c r="F49" i="96" a="1"/>
  <c r="H273" i="96" a="1"/>
  <c r="L69" i="96" a="1"/>
  <c r="G328" i="96" a="1"/>
  <c r="F293" i="96" a="1"/>
  <c r="L115" i="96" a="1"/>
  <c r="J7" i="96" a="1"/>
  <c r="H131" i="96" a="1"/>
  <c r="M170" i="96" a="1"/>
  <c r="E41" i="96" a="1"/>
  <c r="G47" i="96" a="1"/>
  <c r="I153" i="96" a="1"/>
  <c r="J184" i="96" a="1"/>
  <c r="L48" i="96" a="1"/>
  <c r="L39" i="96" a="1"/>
  <c r="I7" i="96" a="1"/>
  <c r="K294" i="96" a="1"/>
  <c r="M224" i="96" a="1"/>
  <c r="K279" i="96" a="1"/>
  <c r="F221" i="96" a="1"/>
  <c r="M96" i="96" a="1"/>
  <c r="E44" i="96" a="1"/>
  <c r="K132" i="96" a="1"/>
  <c r="H36" i="96" a="1"/>
  <c r="F99" i="96" a="1"/>
  <c r="J280" i="96" a="1"/>
  <c r="G23" i="96" a="1"/>
  <c r="E177" i="96" a="1"/>
  <c r="E46" i="96" a="1"/>
  <c r="I43" i="96" a="1"/>
  <c r="F119" i="96" a="1"/>
  <c r="I309" i="96" a="1"/>
  <c r="F104" i="96" a="1"/>
  <c r="I287" i="96" a="1"/>
  <c r="I278" i="96" a="1"/>
  <c r="K20" i="96" a="1"/>
  <c r="H15" i="96" a="1"/>
  <c r="I152" i="96" a="1"/>
  <c r="K272" i="96" a="1"/>
  <c r="I291" i="96" a="1"/>
  <c r="K316" i="96" a="1"/>
  <c r="H102" i="96" a="1"/>
  <c r="G27" i="96" a="1"/>
  <c r="L191" i="96" a="1"/>
  <c r="M269" i="96" a="1"/>
  <c r="H178" i="96" a="1"/>
  <c r="E116" i="96" a="1"/>
  <c r="K309" i="96" a="1"/>
  <c r="F292" i="96" a="1"/>
  <c r="G167" i="96" a="1"/>
  <c r="M50" i="96" a="1"/>
  <c r="L116" i="96" a="1"/>
  <c r="E273" i="96" a="1"/>
  <c r="E288" i="96" a="1"/>
  <c r="J77" i="96" a="1"/>
  <c r="L328" i="96" a="1"/>
  <c r="J81" i="96" a="1"/>
  <c r="J235" i="96" a="1"/>
  <c r="L45" i="96" a="1"/>
  <c r="G129" i="96" a="1"/>
  <c r="L251" i="96" a="1"/>
  <c r="K235" i="96" a="1"/>
  <c r="H78" i="96" a="1"/>
  <c r="L12" i="96" a="1"/>
  <c r="I322" i="96" a="1"/>
  <c r="E301" i="96" a="1"/>
  <c r="K79" i="96" a="1"/>
  <c r="M37" i="96" a="1"/>
  <c r="I158" i="96" a="1"/>
  <c r="M334" i="96" a="1"/>
  <c r="K175" i="96" a="1"/>
  <c r="G147" i="96" a="1"/>
  <c r="H237" i="96" a="1"/>
  <c r="L170" i="96" a="1"/>
  <c r="G79" i="96" a="1"/>
  <c r="G330" i="96" a="1"/>
  <c r="F5" i="96" a="1"/>
  <c r="I132" i="96" a="1"/>
  <c r="H305" i="96" a="1"/>
  <c r="M284" i="96" a="1"/>
  <c r="G248" i="96" a="1"/>
  <c r="F42" i="96" a="1"/>
  <c r="F41" i="96" a="1"/>
  <c r="G25" i="96" a="1"/>
  <c r="F261" i="96" a="1"/>
  <c r="J16" i="96" a="1"/>
  <c r="I120" i="96" a="1"/>
  <c r="G20" i="96" a="1"/>
  <c r="E131" i="96" a="1"/>
  <c r="K153" i="96" a="1"/>
  <c r="J6" i="96" a="1"/>
  <c r="F248" i="96" a="1"/>
  <c r="I99" i="96" a="1"/>
  <c r="F18" i="96" a="1"/>
  <c r="G4" i="96" a="1"/>
  <c r="E64" i="96" a="1"/>
  <c r="K32" i="96" a="1"/>
  <c r="E324" i="96" a="1"/>
  <c r="J266" i="96" a="1"/>
  <c r="K301" i="96" a="1"/>
  <c r="F256" i="96" a="1"/>
  <c r="E4" i="96" a="1"/>
  <c r="H216" i="96" a="1"/>
  <c r="M270" i="96" a="1"/>
  <c r="J281" i="96" a="1"/>
  <c r="G137" i="96" a="1"/>
  <c r="F56" i="96" a="1"/>
  <c r="I10" i="96" a="1"/>
  <c r="I101" i="96" a="1"/>
  <c r="M81" i="96" a="1"/>
  <c r="E103" i="96" a="1"/>
  <c r="J84" i="96" a="1"/>
  <c r="G188" i="96" a="1"/>
  <c r="H126" i="96" a="1"/>
  <c r="K261" i="96" a="1"/>
  <c r="I128" i="96" a="1"/>
  <c r="I163" i="96" a="1"/>
  <c r="L44" i="96" a="1"/>
  <c r="H57" i="96" a="1"/>
  <c r="F166" i="96" a="1"/>
  <c r="H155" i="96" a="1"/>
  <c r="J296" i="96" a="1"/>
  <c r="H34" i="96" a="1"/>
  <c r="G83" i="96" a="1"/>
  <c r="E311" i="96" a="1"/>
  <c r="L308" i="96" a="1"/>
  <c r="J277" i="96" a="1"/>
  <c r="H168" i="96" a="1"/>
  <c r="L160" i="96" a="1"/>
  <c r="E36" i="96" a="1"/>
  <c r="K78" i="96" a="1"/>
  <c r="F131" i="96" a="1"/>
  <c r="J305" i="96" a="1"/>
  <c r="H177" i="96" a="1"/>
  <c r="G12" i="96" a="1"/>
  <c r="H62" i="96" a="1"/>
  <c r="K56" i="96" a="1"/>
  <c r="K214" i="96" a="1"/>
  <c r="H335" i="96" a="1"/>
  <c r="H187" i="96" a="1"/>
  <c r="M258" i="96" a="1"/>
  <c r="J23" i="96" a="1"/>
  <c r="G15" i="96" a="1"/>
  <c r="E127" i="96" a="1"/>
  <c r="L212" i="96" a="1"/>
  <c r="M86" i="96" a="1"/>
  <c r="L296" i="96" a="1"/>
  <c r="M266" i="96" a="1"/>
  <c r="G17" i="96" a="1"/>
  <c r="G253" i="96" a="1"/>
  <c r="K285" i="96" a="1"/>
  <c r="I313" i="96" a="1"/>
  <c r="H265" i="96" a="1"/>
  <c r="L61" i="96" a="1"/>
  <c r="L57" i="96" a="1"/>
  <c r="E296" i="96" a="1"/>
  <c r="E19" i="96" a="1"/>
  <c r="E185" i="96" a="1"/>
  <c r="H124" i="96" a="1"/>
  <c r="G122" i="96" a="1"/>
  <c r="J46" i="96" a="1"/>
  <c r="I8" i="96" a="1"/>
  <c r="H186" i="96" a="1"/>
  <c r="G49" i="96" a="1"/>
  <c r="K70" i="96" a="1"/>
  <c r="L220" i="96" a="1"/>
  <c r="I292" i="96" a="1"/>
  <c r="M33" i="96" a="1"/>
  <c r="K185" i="96" a="1"/>
  <c r="F101" i="96" a="1"/>
  <c r="E234" i="96" a="1"/>
  <c r="J155" i="96" a="1"/>
  <c r="L135" i="96" a="1"/>
  <c r="J319" i="96" a="1"/>
  <c r="F258" i="96" a="1"/>
  <c r="I53" i="96" a="1"/>
  <c r="E170" i="96" a="1"/>
  <c r="J224" i="96" a="1"/>
  <c r="J258" i="96" a="1"/>
  <c r="H290" i="96" a="1"/>
  <c r="E335" i="96" a="1"/>
  <c r="I70" i="96" a="1"/>
  <c r="L307" i="96" a="1"/>
  <c r="F237" i="96" a="1"/>
  <c r="M95" i="96" a="1"/>
  <c r="M9" i="96" a="1"/>
  <c r="L222" i="96" a="1"/>
  <c r="M139" i="96" a="1"/>
  <c r="L72" i="96" a="1"/>
  <c r="E190" i="96" a="1"/>
  <c r="E206" i="96" a="1"/>
  <c r="E109" i="96" a="1"/>
  <c r="F303" i="96" a="1"/>
  <c r="F206" i="96" a="1"/>
  <c r="J95" i="96" a="1"/>
  <c r="H45" i="96" a="1"/>
  <c r="G155" i="96" a="1"/>
  <c r="E139" i="96" a="1"/>
  <c r="M28" i="96" a="1"/>
  <c r="G181" i="96" a="1"/>
  <c r="M97" i="96" a="1"/>
  <c r="L16" i="96" a="1"/>
  <c r="K142" i="96" a="1"/>
  <c r="F132" i="96" a="1"/>
  <c r="L303" i="96" a="1"/>
  <c r="K24" i="96" a="1"/>
  <c r="E166" i="96" a="1"/>
  <c r="K19" i="96" a="1"/>
  <c r="L85" i="96" a="1"/>
  <c r="L258" i="96" a="1"/>
  <c r="I208" i="96" a="1"/>
  <c r="H7" i="96" a="1"/>
  <c r="K282" i="96" a="1"/>
  <c r="H211" i="96" a="1"/>
  <c r="M66" i="96" a="1"/>
  <c r="F36" i="96" a="1"/>
  <c r="I178" i="96" a="1"/>
  <c r="J314" i="96" a="1"/>
  <c r="F165" i="96" a="1"/>
  <c r="M172" i="96" a="1"/>
  <c r="L248" i="96" a="1"/>
  <c r="J48" i="96" a="1"/>
  <c r="F138" i="96" a="1"/>
  <c r="F39" i="96" a="1"/>
  <c r="M30" i="96" a="1"/>
  <c r="L227" i="96" a="1"/>
  <c r="J146" i="96" a="1"/>
  <c r="I154" i="96" a="1"/>
  <c r="F286" i="96" a="1"/>
  <c r="I267" i="96" a="1"/>
  <c r="L102" i="96" a="1"/>
  <c r="J37" i="96" a="1"/>
  <c r="K334" i="96" a="1"/>
  <c r="L180" i="96" a="1"/>
  <c r="J24" i="96" a="1"/>
  <c r="K36" i="96" a="1"/>
  <c r="I301" i="96" a="1"/>
  <c r="I48" i="96" a="1"/>
  <c r="M276" i="96" a="1"/>
  <c r="H269" i="96" a="1"/>
  <c r="G252" i="96" a="1"/>
  <c r="G44" i="96" a="1"/>
  <c r="I169" i="96" a="1"/>
  <c r="E153" i="96" a="1"/>
  <c r="K77" i="96" a="1"/>
  <c r="H291" i="96" a="1"/>
  <c r="M268" i="96" a="1"/>
  <c r="M301" i="96" a="1"/>
  <c r="G8" i="96" a="1"/>
  <c r="F186" i="96" a="1"/>
  <c r="K97" i="96" a="1"/>
  <c r="M141" i="96" a="1"/>
  <c r="J69" i="96" a="1"/>
  <c r="F123" i="96" a="1"/>
  <c r="L111" i="96" a="1"/>
  <c r="I323" i="96" a="1"/>
  <c r="K136" i="96" a="1"/>
  <c r="J257" i="96" a="1"/>
  <c r="G70" i="96" a="1"/>
  <c r="M324" i="96" a="1"/>
  <c r="K190" i="96" a="1"/>
  <c r="I12" i="96" a="1"/>
  <c r="G214" i="96" a="1"/>
  <c r="G150" i="96" a="1"/>
  <c r="G273" i="96" a="1"/>
  <c r="M64" i="96" a="1"/>
  <c r="M303" i="96" a="1"/>
  <c r="F295" i="96" a="1"/>
  <c r="G144" i="96" a="1"/>
  <c r="I5" i="96" a="1"/>
  <c r="F227" i="96" a="1"/>
  <c r="E107" i="96" a="1"/>
  <c r="L234" i="96" a="1"/>
  <c r="H260" i="96" a="1"/>
  <c r="J186" i="96" a="1"/>
  <c r="L29" i="96" a="1"/>
  <c r="M175" i="96" a="1"/>
  <c r="H188" i="96" a="1"/>
  <c r="L257" i="96" a="1"/>
  <c r="K319" i="96" a="1"/>
  <c r="K7" i="96" a="1"/>
  <c r="M15" i="96" a="1"/>
  <c r="K228" i="96" a="1"/>
  <c r="J94" i="96" a="1"/>
  <c r="H20" i="96" a="1"/>
  <c r="G108" i="96" a="1"/>
  <c r="H158" i="96" a="1"/>
  <c r="J56" i="96" a="1"/>
  <c r="J169" i="96" a="1"/>
  <c r="E101" i="96" a="1"/>
  <c r="L288" i="96" a="1"/>
  <c r="H274" i="96" a="1"/>
  <c r="F232" i="96" a="1"/>
  <c r="J237" i="96" a="1"/>
  <c r="H84" i="96" a="1"/>
  <c r="H268" i="96" a="1"/>
  <c r="L40" i="96" a="1"/>
  <c r="K138" i="96" a="1"/>
  <c r="K266" i="96" a="1"/>
  <c r="L25" i="96" a="1"/>
  <c r="L47" i="96" a="1"/>
  <c r="M236" i="96" a="1"/>
  <c r="J196" i="96" a="1"/>
  <c r="H174" i="96" a="1"/>
  <c r="G277" i="96" a="1"/>
  <c r="J218" i="96" a="1"/>
  <c r="H223" i="96" a="1"/>
  <c r="J180" i="96" a="1"/>
  <c r="K92" i="96" a="1"/>
  <c r="E209" i="96" a="1"/>
  <c r="J293" i="96" a="1"/>
  <c r="H51" i="96" a="1"/>
  <c r="K260" i="96" a="1"/>
  <c r="J188" i="96" a="1"/>
  <c r="J111" i="96" a="1"/>
  <c r="E43" i="96" a="1"/>
  <c r="G324" i="96" a="1"/>
  <c r="E265" i="96" a="1"/>
  <c r="L169" i="96" a="1"/>
  <c r="L239" i="96" a="1"/>
  <c r="E49" i="96" a="1"/>
  <c r="G265" i="96" a="1"/>
  <c r="M36" i="96" a="1"/>
  <c r="K330" i="96" a="1"/>
  <c r="E258" i="96" a="1"/>
  <c r="F290" i="96" a="1"/>
  <c r="E220" i="96" a="1"/>
  <c r="F94" i="96" a="1"/>
  <c r="G121" i="96" a="1"/>
  <c r="E48" i="96" a="1"/>
  <c r="L126" i="96" a="1"/>
  <c r="F297" i="96" a="1"/>
  <c r="F40" i="96" a="1"/>
  <c r="I305" i="96" a="1"/>
  <c r="M165" i="96" a="1"/>
  <c r="J249" i="96" a="1"/>
  <c r="H311" i="96" a="1"/>
  <c r="K227" i="96" a="1"/>
  <c r="K151" i="96" a="1"/>
  <c r="L311" i="96" a="1"/>
  <c r="K289" i="96" a="1"/>
  <c r="L56" i="96" a="1"/>
  <c r="L309" i="96" a="1"/>
  <c r="G9" i="96" a="1"/>
  <c r="J285" i="96" a="1"/>
  <c r="F148" i="96" a="1"/>
  <c r="H333" i="96" a="1"/>
  <c r="I63" i="96" a="1"/>
  <c r="H202" i="96" a="1"/>
  <c r="H33" i="96" a="1"/>
  <c r="L181" i="96" a="1"/>
  <c r="G303" i="96" a="1"/>
  <c r="M143" i="96" a="1"/>
  <c r="K43" i="96" a="1"/>
  <c r="L241" i="96" a="1"/>
  <c r="G233" i="96" a="1"/>
  <c r="K333" i="96" a="1"/>
  <c r="G112" i="96" a="1"/>
  <c r="K13" i="96" a="1"/>
  <c r="F58" i="96" a="1"/>
  <c r="F319" i="96" a="1"/>
  <c r="F325" i="96" a="1"/>
  <c r="E322" i="96" a="1"/>
  <c r="I135" i="96" a="1"/>
  <c r="M117" i="96" a="1"/>
  <c r="E316" i="96" a="1"/>
  <c r="K123" i="96" a="1"/>
  <c r="G162" i="96" a="1"/>
  <c r="I67" i="96" a="1"/>
  <c r="G99" i="96" a="1"/>
  <c r="L235" i="96" a="1"/>
  <c r="E51" i="96" a="1"/>
  <c r="L278" i="96" a="1"/>
  <c r="M100" i="96" a="1"/>
  <c r="L155" i="96" a="1"/>
  <c r="M302" i="96" a="1"/>
  <c r="G145" i="96" a="1"/>
  <c r="L23" i="96" a="1"/>
  <c r="E255" i="96" a="1"/>
  <c r="J251" i="96" a="1"/>
  <c r="J211" i="96" a="1"/>
  <c r="M106" i="96" a="1"/>
  <c r="F185" i="96" a="1"/>
  <c r="F57" i="96" a="1"/>
  <c r="I257" i="96" a="1"/>
  <c r="L143" i="96" a="1"/>
  <c r="I32" i="96" a="1"/>
  <c r="K311" i="96" a="1"/>
  <c r="I100" i="96" a="1"/>
  <c r="K310" i="96" a="1"/>
  <c r="E68" i="96" a="1"/>
  <c r="J21" i="96" a="1"/>
  <c r="E230" i="96" a="1"/>
  <c r="E69" i="96" a="1"/>
  <c r="E105" i="96" a="1"/>
  <c r="K258" i="96" a="1"/>
  <c r="I253" i="96" a="1"/>
  <c r="E317" i="96" a="1"/>
  <c r="J42" i="96" a="1"/>
  <c r="F43" i="96" a="1"/>
  <c r="M336" i="96" a="1"/>
  <c r="J144" i="96" a="1"/>
  <c r="I325" i="96" a="1"/>
  <c r="M77" i="96" a="1"/>
  <c r="F140" i="96" a="1"/>
  <c r="M174" i="96" a="1"/>
  <c r="J143" i="96" a="1"/>
  <c r="I209" i="96" a="1"/>
  <c r="J267" i="96" a="1"/>
  <c r="I44" i="96" a="1"/>
  <c r="L113" i="96" a="1"/>
  <c r="L27" i="96" a="1"/>
  <c r="M79" i="96" a="1"/>
  <c r="H105" i="96" a="1"/>
  <c r="L254" i="96" a="1"/>
  <c r="G134" i="96" a="1"/>
  <c r="G93" i="96" a="1"/>
  <c r="F83" i="96" a="1"/>
  <c r="E320" i="96" a="1"/>
  <c r="K329" i="96" a="1"/>
  <c r="F191" i="96" a="1"/>
  <c r="G211" i="96" a="1"/>
  <c r="I131" i="96" a="1"/>
  <c r="K221" i="96" a="1"/>
  <c r="K216" i="96" a="1"/>
  <c r="M218" i="96" a="1"/>
  <c r="F226" i="96" a="1"/>
  <c r="G152" i="96" a="1"/>
  <c r="J140" i="96" a="1"/>
  <c r="E235" i="96" a="1"/>
  <c r="L321" i="96" a="1"/>
  <c r="L172" i="96" a="1"/>
  <c r="F302" i="96" a="1"/>
  <c r="L289" i="96" a="1"/>
  <c r="G176" i="96" a="1"/>
  <c r="J78" i="96" a="1"/>
  <c r="K28" i="96" a="1"/>
  <c r="F167" i="96" a="1"/>
  <c r="I180" i="96" a="1"/>
  <c r="L75" i="96" a="1"/>
  <c r="M262" i="96" a="1"/>
  <c r="I285" i="96" a="1"/>
  <c r="H315" i="96" a="1"/>
  <c r="M294" i="96" a="1"/>
  <c r="L242" i="96" a="1"/>
  <c r="K66" i="96" a="1"/>
  <c r="M185" i="96" a="1"/>
  <c r="H139" i="96" a="1"/>
  <c r="M329" i="96" a="1"/>
  <c r="L194" i="96" a="1"/>
  <c r="H166" i="96" a="1"/>
  <c r="I173" i="96" a="1"/>
  <c r="F202" i="96" a="1"/>
  <c r="E5" i="96" a="1"/>
  <c r="J183" i="96" a="1"/>
  <c r="M138" i="96" a="1"/>
  <c r="M320" i="96" a="1"/>
  <c r="I333" i="96" a="1"/>
  <c r="G29" i="96" a="1"/>
  <c r="M317" i="96" a="1"/>
  <c r="F187" i="96" a="1"/>
  <c r="M217" i="96" a="1"/>
  <c r="F98" i="96" a="1"/>
  <c r="M39" i="96" a="1"/>
  <c r="F236" i="96" a="1"/>
  <c r="I335" i="96" a="1"/>
  <c r="K17" i="96" a="1"/>
  <c r="H103" i="96" a="1"/>
  <c r="M184" i="96" a="1"/>
  <c r="K49" i="96" a="1"/>
  <c r="F44" i="96" a="1"/>
  <c r="H229" i="96" a="1"/>
  <c r="M122" i="96" a="1"/>
  <c r="H61" i="96" a="1"/>
  <c r="L65" i="96" a="1"/>
  <c r="G51" i="96" a="1"/>
  <c r="M19" i="96" a="1"/>
  <c r="L84" i="96" a="1"/>
  <c r="K182" i="96" a="1"/>
  <c r="G146" i="96" a="1"/>
  <c r="J189" i="96" a="1"/>
  <c r="J194" i="96" a="1"/>
  <c r="L26" i="96" a="1"/>
  <c r="G259" i="96" a="1"/>
  <c r="F12" i="96" a="1"/>
  <c r="F274" i="96" a="1"/>
  <c r="J298" i="96" a="1"/>
  <c r="H179" i="96" a="1"/>
  <c r="E308" i="96" a="1"/>
  <c r="F151" i="96" a="1"/>
  <c r="L277" i="96" a="1"/>
  <c r="L179" i="96" a="1"/>
  <c r="M278" i="96" a="1"/>
  <c r="E305" i="96" a="1"/>
  <c r="L206" i="96" a="1"/>
  <c r="F273" i="96" a="1"/>
  <c r="E271" i="96" a="1"/>
  <c r="M152" i="96" a="1"/>
  <c r="F207" i="96" a="1"/>
  <c r="J43" i="96" a="1"/>
  <c r="I308" i="96" a="1"/>
  <c r="M200" i="96" a="1"/>
  <c r="K113" i="96" a="1"/>
  <c r="L24" i="96" a="1"/>
  <c r="H173" i="96" a="1"/>
  <c r="G159" i="96" a="1"/>
  <c r="M286" i="96" a="1"/>
  <c r="G13" i="96" a="1"/>
  <c r="F105" i="96" a="1"/>
  <c r="L80" i="96" a="1"/>
  <c r="H185" i="96" a="1"/>
  <c r="G91" i="96" a="1"/>
  <c r="E20" i="96" a="1"/>
  <c r="L158" i="96" a="1"/>
  <c r="I242" i="96" a="1"/>
  <c r="L226" i="96" a="1"/>
  <c r="J336" i="96" a="1"/>
  <c r="H129" i="96" a="1"/>
  <c r="F288" i="96" a="1"/>
  <c r="K58" i="96" a="1"/>
  <c r="G290" i="96" a="1"/>
  <c r="E98" i="96" a="1"/>
  <c r="K26" i="96" a="1"/>
  <c r="H297" i="96" a="1"/>
  <c r="J28" i="96" a="1"/>
  <c r="F168" i="96" a="1"/>
  <c r="F66" i="96" a="1"/>
  <c r="L52" i="96" a="1"/>
  <c r="I11" i="96" a="1"/>
  <c r="G275" i="96" a="1"/>
  <c r="F219" i="96" a="1"/>
  <c r="I13" i="96" a="1"/>
  <c r="K222" i="96" a="1"/>
  <c r="L270" i="96" a="1"/>
  <c r="M183" i="96" a="1"/>
  <c r="H65" i="96" a="1"/>
  <c r="G196" i="96" a="1"/>
  <c r="H113" i="96" a="1"/>
  <c r="K262" i="96" a="1"/>
  <c r="F265" i="96" a="1"/>
  <c r="K160" i="96" a="1"/>
  <c r="F75" i="96" a="1"/>
  <c r="F33" i="96" a="1"/>
  <c r="F178" i="96" a="1"/>
  <c r="G35" i="96" a="1"/>
  <c r="G169" i="96" a="1"/>
  <c r="F126" i="96" a="1"/>
  <c r="M114" i="96" a="1"/>
  <c r="L282" i="96" a="1"/>
  <c r="E247" i="96" a="1"/>
  <c r="G295" i="96" a="1"/>
  <c r="F301" i="96" a="1"/>
  <c r="J229" i="96" a="1"/>
  <c r="K265" i="96" a="1"/>
  <c r="K155" i="96" a="1"/>
  <c r="K180" i="96" a="1"/>
  <c r="H207" i="96" a="1"/>
  <c r="L50" i="96" a="1"/>
  <c r="H112" i="96" a="1"/>
  <c r="L11" i="96" a="1"/>
  <c r="K10" i="96" a="1"/>
  <c r="K274" i="96" a="1"/>
  <c r="E173" i="96" a="1"/>
  <c r="H165" i="96" a="1"/>
  <c r="H200" i="96" a="1"/>
  <c r="F110" i="96" a="1"/>
  <c r="L92" i="96" a="1"/>
  <c r="H138" i="96" a="1"/>
  <c r="K130" i="96" a="1"/>
  <c r="F124" i="96" a="1"/>
  <c r="J191" i="96" a="1"/>
  <c r="H134" i="96" a="1"/>
  <c r="J14" i="96" a="1"/>
  <c r="E40" i="96" a="1"/>
  <c r="I284" i="96" a="1"/>
  <c r="L253" i="96" a="1"/>
  <c r="F8" i="96" a="1"/>
  <c r="E16" i="96" a="1"/>
  <c r="I250" i="96" a="1"/>
  <c r="G67" i="96" a="1"/>
  <c r="K139" i="96" a="1"/>
  <c r="H93" i="96" a="1"/>
  <c r="E31" i="96" a="1"/>
  <c r="G164" i="96" a="1"/>
  <c r="I107" i="96" a="1"/>
  <c r="L82" i="96" a="1"/>
  <c r="M157" i="96" a="1"/>
  <c r="G55" i="96" a="1"/>
  <c r="M244" i="96" a="1"/>
  <c r="I302" i="96" a="1"/>
  <c r="G34" i="96" a="1"/>
  <c r="I45" i="96" a="1"/>
  <c r="J170" i="96" a="1"/>
  <c r="M213" i="96" a="1"/>
  <c r="K65" i="96" a="1"/>
  <c r="M111" i="96" a="1"/>
  <c r="K192" i="96" a="1"/>
  <c r="E268" i="96" a="1"/>
  <c r="K331" i="96" a="1"/>
  <c r="H254" i="96" a="1"/>
  <c r="F195" i="96" a="1"/>
  <c r="L244" i="96" a="1"/>
  <c r="E30" i="96" a="1"/>
  <c r="G118" i="96" a="1"/>
  <c r="K119" i="96" a="1"/>
  <c r="F333" i="96" a="1"/>
  <c r="I66" i="96" a="1"/>
  <c r="G185" i="96" a="1"/>
  <c r="L217" i="96" a="1"/>
  <c r="K213" i="96" a="1"/>
  <c r="H218" i="96" a="1"/>
  <c r="H89" i="96" a="1"/>
  <c r="L334" i="96" a="1"/>
  <c r="I161" i="96" a="1"/>
  <c r="G64" i="96" a="1"/>
  <c r="M323" i="96" a="1"/>
  <c r="L310" i="96" a="1"/>
  <c r="L164" i="96" a="1"/>
  <c r="F246" i="96" a="1"/>
  <c r="J246" i="96" a="1"/>
  <c r="J201" i="96" a="1"/>
  <c r="M26" i="96" a="1"/>
  <c r="M226" i="96" a="1"/>
  <c r="J263" i="96" a="1"/>
  <c r="J271" i="96" a="1"/>
  <c r="L201" i="96" a="1"/>
  <c r="G287" i="96" a="1"/>
  <c r="G125" i="96" a="1"/>
  <c r="M18" i="96" a="1"/>
  <c r="J29" i="96" a="1"/>
  <c r="F150" i="96" a="1"/>
  <c r="G133" i="96" a="1"/>
  <c r="F19" i="96" a="1"/>
  <c r="G331" i="96" a="1"/>
  <c r="L31" i="96" a="1"/>
  <c r="G37" i="96" a="1"/>
  <c r="E56" i="96" a="1"/>
  <c r="L162" i="96" a="1"/>
  <c r="M177" i="96" a="1"/>
  <c r="F87" i="96" a="1"/>
  <c r="I239" i="96" a="1"/>
  <c r="E32" i="96" a="1"/>
  <c r="G126" i="96" a="1"/>
  <c r="I244" i="96" a="1"/>
  <c r="J101" i="96" a="1"/>
  <c r="M42" i="96" a="1"/>
  <c r="L94" i="96" a="1"/>
  <c r="E81" i="96" a="1"/>
  <c r="I202" i="96" a="1"/>
  <c r="L151" i="96" a="1"/>
  <c r="J185" i="96" a="1"/>
  <c r="F62" i="96" a="1"/>
  <c r="G298" i="96" a="1"/>
  <c r="K3" i="96" a="1"/>
  <c r="E309" i="96" a="1"/>
  <c r="K101" i="96" a="1"/>
  <c r="H304" i="96" a="1"/>
  <c r="H60" i="96" a="1"/>
  <c r="J289" i="96" a="1"/>
  <c r="H127" i="96" a="1"/>
  <c r="K172" i="96" a="1"/>
  <c r="J22" i="96" a="1"/>
  <c r="E207" i="96" a="1"/>
  <c r="K243" i="96" a="1"/>
  <c r="F244" i="96" a="1"/>
  <c r="G193" i="96" a="1"/>
  <c r="I160" i="96" a="1"/>
  <c r="E275" i="96" a="1"/>
  <c r="I147" i="96" a="1"/>
  <c r="M220" i="96" a="1"/>
  <c r="I310" i="96" a="1"/>
  <c r="J41" i="96" a="1"/>
  <c r="F307" i="96" a="1"/>
  <c r="M112" i="96" a="1"/>
  <c r="M109" i="96" a="1"/>
  <c r="L76" i="96" a="1"/>
  <c r="H145" i="96" a="1"/>
  <c r="E136" i="96" a="1"/>
  <c r="K204" i="96" a="1"/>
  <c r="G234" i="96" a="1"/>
  <c r="F89" i="96" a="1"/>
  <c r="J134" i="96" a="1"/>
  <c r="K206" i="96" a="1"/>
  <c r="E182" i="96" a="1"/>
  <c r="E227" i="96" a="1"/>
  <c r="L211" i="96" a="1"/>
  <c r="K198" i="96" a="1"/>
  <c r="M29" i="96" a="1"/>
  <c r="G77" i="96" a="1"/>
  <c r="J152" i="96" a="1"/>
  <c r="H221" i="96" a="1"/>
  <c r="M310" i="96" a="1"/>
  <c r="E307" i="96" a="1"/>
  <c r="K275" i="96" a="1"/>
  <c r="F272" i="96" a="1"/>
  <c r="I73" i="96" a="1"/>
  <c r="F270" i="96" a="1"/>
  <c r="K109" i="96" a="1"/>
  <c r="I252" i="96" a="1"/>
  <c r="H270" i="96" a="1"/>
  <c r="H222" i="96" a="1"/>
  <c r="I136" i="96" a="1"/>
  <c r="K335" i="96" a="1"/>
  <c r="E211" i="96" a="1"/>
  <c r="H183" i="96" a="1"/>
  <c r="G120" i="96" a="1"/>
  <c r="L228" i="96" a="1"/>
  <c r="I174" i="96" a="1"/>
  <c r="L145" i="96" a="1"/>
  <c r="H234" i="96" a="1"/>
  <c r="F285" i="96" a="1"/>
  <c r="I260" i="96" a="1"/>
  <c r="I80" i="96" a="1"/>
  <c r="J213" i="96" a="1"/>
  <c r="K39" i="96" a="1"/>
  <c r="G119" i="96" a="1"/>
  <c r="E213" i="96" a="1"/>
  <c r="G33" i="96" a="1"/>
  <c r="G190" i="96" a="1"/>
  <c r="M153" i="96" a="1"/>
  <c r="K112" i="96" a="1"/>
  <c r="G116" i="96" a="1"/>
  <c r="L332" i="96" a="1"/>
  <c r="J181" i="96" a="1"/>
  <c r="G87" i="96" a="1"/>
  <c r="F14" i="96" a="1"/>
  <c r="I76" i="96" a="1"/>
  <c r="K154" i="96" a="1"/>
  <c r="F111" i="96" a="1"/>
  <c r="H194" i="96" a="1"/>
  <c r="K179" i="96" a="1"/>
  <c r="I150" i="96" a="1"/>
  <c r="F68" i="96" a="1"/>
  <c r="E124" i="96" a="1"/>
  <c r="H156" i="96" a="1"/>
  <c r="L198" i="96" a="1"/>
  <c r="H259" i="96" a="1"/>
  <c r="I57" i="96" a="1"/>
  <c r="F172" i="96" a="1"/>
  <c r="M132" i="96" a="1"/>
  <c r="L298" i="96" a="1"/>
  <c r="F16" i="96" a="1"/>
  <c r="J154" i="96" a="1"/>
  <c r="E176" i="96" a="1"/>
  <c r="F133" i="96" a="1"/>
  <c r="E59" i="96" a="1"/>
  <c r="J123" i="96" a="1"/>
  <c r="H88" i="96" a="1"/>
  <c r="L10" i="96" a="1"/>
  <c r="L130" i="96" a="1"/>
  <c r="F240" i="96" a="1"/>
  <c r="F34" i="96" a="1"/>
  <c r="L178" i="96" a="1"/>
  <c r="G19" i="96" a="1"/>
  <c r="E193" i="96" a="1"/>
  <c r="L139" i="96" a="1"/>
  <c r="E167" i="96" a="1"/>
  <c r="K307" i="96" a="1"/>
  <c r="H92" i="96" a="1"/>
  <c r="K6" i="96" a="1"/>
  <c r="J274" i="96" a="1"/>
  <c r="L138" i="96" a="1"/>
  <c r="K140" i="96" a="1"/>
  <c r="E112" i="96" a="1"/>
  <c r="K324" i="96" a="1"/>
  <c r="K208" i="96" a="1"/>
  <c r="H111" i="96" a="1"/>
  <c r="G110" i="96" a="1"/>
  <c r="I72" i="96" a="1"/>
  <c r="L279" i="96" a="1"/>
  <c r="J164" i="96" a="1"/>
  <c r="H146" i="96" a="1"/>
  <c r="E214" i="96" a="1"/>
  <c r="M222" i="96" a="1"/>
  <c r="I19" i="96" a="1"/>
  <c r="K38" i="96" a="1"/>
  <c r="F91" i="96" a="1"/>
  <c r="H128" i="96" a="1"/>
  <c r="I162" i="96" a="1"/>
  <c r="F28" i="96" a="1"/>
  <c r="L324" i="96" a="1"/>
  <c r="G280" i="96" a="1"/>
  <c r="I51" i="96" a="1"/>
  <c r="L268" i="96" a="1"/>
  <c r="I227" i="96" a="1"/>
  <c r="E125" i="96" a="1"/>
  <c r="K287" i="96" a="1"/>
  <c r="L165" i="96" a="1"/>
  <c r="J10" i="96" a="1"/>
  <c r="F208" i="96" a="1"/>
  <c r="J294" i="96" a="1"/>
  <c r="F210" i="96" a="1"/>
  <c r="G174" i="96" a="1"/>
  <c r="K237" i="96" a="1"/>
  <c r="I143" i="96" a="1"/>
  <c r="I320" i="96" a="1"/>
  <c r="J80" i="96" a="1"/>
  <c r="J288" i="96" a="1"/>
  <c r="G28" i="96" a="1"/>
  <c r="J9" i="96" a="1"/>
  <c r="H87" i="96" a="1"/>
  <c r="K271" i="96" a="1"/>
  <c r="I279" i="96" a="1"/>
  <c r="I74" i="96" a="1"/>
  <c r="E314" i="96" a="1"/>
  <c r="I243" i="96" a="1"/>
  <c r="J203" i="96" a="1"/>
  <c r="L238" i="96" a="1"/>
  <c r="K217" i="96" a="1"/>
  <c r="H132" i="96" a="1"/>
  <c r="E241" i="96" a="1"/>
  <c r="I125" i="96" a="1"/>
  <c r="L202" i="96" a="1"/>
  <c r="G149" i="96" a="1"/>
  <c r="J322" i="96" a="1"/>
  <c r="I214" i="96" a="1"/>
  <c r="J148" i="96" a="1"/>
  <c r="M197" i="96" a="1"/>
  <c r="F63" i="96" a="1"/>
  <c r="G97" i="96" a="1"/>
  <c r="I112" i="96" a="1"/>
  <c r="M5" i="96" a="1"/>
  <c r="I9" i="96" a="1"/>
  <c r="L281" i="96" a="1"/>
  <c r="H285" i="96" a="1"/>
  <c r="F241" i="96" a="1"/>
  <c r="H41" i="96" a="1"/>
  <c r="J297" i="96" a="1"/>
  <c r="K169" i="96" a="1"/>
  <c r="J31" i="96" a="1"/>
  <c r="H70" i="96" a="1"/>
  <c r="K67" i="96" a="1"/>
  <c r="H75" i="96" a="1"/>
  <c r="H180" i="96" a="1"/>
  <c r="K134" i="96" a="1"/>
  <c r="F211" i="96" a="1"/>
  <c r="M118" i="96" a="1"/>
  <c r="F223" i="96" a="1"/>
  <c r="I197" i="96" a="1"/>
  <c r="J73" i="96" a="1"/>
  <c r="L223" i="96" a="1"/>
  <c r="I139" i="96" a="1"/>
  <c r="K303" i="96" a="1"/>
  <c r="G297" i="96" a="1"/>
  <c r="E122" i="96" a="1"/>
  <c r="E225" i="96" a="1"/>
  <c r="G203" i="96" a="1"/>
  <c r="E119" i="96" a="1"/>
  <c r="J313" i="96" a="1"/>
  <c r="K254" i="96" a="1"/>
  <c r="J115" i="96" a="1"/>
  <c r="L6" i="96" a="1"/>
  <c r="E218" i="96" a="1"/>
  <c r="I329" i="96" a="1"/>
  <c r="F115" i="96" a="1"/>
  <c r="I24" i="96" a="1"/>
  <c r="E274" i="96" a="1"/>
  <c r="K194" i="96" a="1"/>
  <c r="J11" i="96" a="1"/>
  <c r="E210" i="96" a="1"/>
  <c r="J33" i="96" a="1"/>
  <c r="M214" i="96" a="1"/>
  <c r="K240" i="96" a="1"/>
  <c r="M82" i="96" a="1"/>
  <c r="M293" i="96" a="1"/>
  <c r="L336" i="96" a="1"/>
  <c r="J131" i="96" a="1"/>
  <c r="M255" i="96" a="1"/>
  <c r="F96" i="96" a="1"/>
  <c r="F130" i="96" a="1"/>
  <c r="E65" i="96" a="1"/>
  <c r="F200" i="96" a="1"/>
  <c r="F305" i="96" a="1"/>
  <c r="G71" i="96" a="1"/>
  <c r="K284" i="96" a="1"/>
  <c r="H284" i="96" a="1"/>
  <c r="E152" i="96" a="1"/>
  <c r="K313" i="96" a="1"/>
  <c r="I304" i="96" a="1"/>
  <c r="I194" i="96" a="1"/>
  <c r="K85" i="96" a="1"/>
  <c r="M99" i="96" a="1"/>
  <c r="K245" i="96" a="1"/>
  <c r="E328" i="96" a="1"/>
  <c r="F242" i="96" a="1"/>
  <c r="L106" i="96" a="1"/>
  <c r="F173" i="96" a="1"/>
  <c r="K162" i="96" a="1"/>
  <c r="H213" i="96" a="1"/>
  <c r="K321" i="96" a="1"/>
  <c r="H114" i="96" a="1"/>
  <c r="I270" i="96" a="1"/>
  <c r="I176" i="96" a="1"/>
  <c r="M325" i="96" a="1"/>
  <c r="L129" i="96" a="1"/>
  <c r="I183" i="96" a="1"/>
  <c r="H232" i="96" a="1"/>
  <c r="M279" i="96" a="1"/>
  <c r="G187" i="96" a="1"/>
  <c r="I111" i="96" a="1"/>
  <c r="M250" i="96" a="1"/>
  <c r="G261" i="96" a="1"/>
  <c r="H320" i="96" a="1"/>
  <c r="J128" i="96" a="1"/>
  <c r="M103" i="96" a="1"/>
  <c r="G220" i="96" a="1"/>
  <c r="H32" i="96" a="1"/>
  <c r="J210" i="96" a="1"/>
  <c r="I129" i="96" a="1"/>
  <c r="H82" i="96" a="1"/>
  <c r="M127" i="96" a="1"/>
  <c r="I266" i="96" a="1"/>
  <c r="H12" i="96" a="1"/>
  <c r="E186" i="96" a="1"/>
  <c r="F250" i="96" a="1"/>
  <c r="E134" i="96" a="1"/>
  <c r="L208" i="96" a="1"/>
  <c r="G291" i="96" a="1"/>
  <c r="H123" i="96" a="1"/>
  <c r="F169" i="96" a="1"/>
  <c r="H282" i="96" a="1"/>
  <c r="M38" i="96" a="1"/>
  <c r="M75" i="96" a="1"/>
  <c r="K116" i="96" a="1"/>
  <c r="K104" i="96" a="1"/>
  <c r="G226" i="96" a="1"/>
  <c r="G59" i="96" a="1"/>
  <c r="I177" i="96" a="1"/>
  <c r="I65" i="96" a="1"/>
  <c r="E123" i="96" a="1"/>
  <c r="F46" i="96" a="1"/>
  <c r="G18" i="96" a="1"/>
  <c r="F21" i="96" a="1"/>
  <c r="H142" i="96" a="1"/>
  <c r="I77" i="96" a="1"/>
  <c r="F192" i="96" a="1"/>
  <c r="M94" i="96" a="1"/>
  <c r="K267" i="96" a="1"/>
  <c r="H230" i="96" a="1"/>
  <c r="F88" i="96" a="1"/>
  <c r="I133" i="96" a="1"/>
  <c r="M120" i="96" a="1"/>
  <c r="H152" i="96" a="1"/>
  <c r="K5" i="96" a="1"/>
  <c r="E140" i="96" a="1"/>
  <c r="G202" i="96" a="1"/>
  <c r="H245" i="96" a="1"/>
  <c r="F205" i="96" a="1"/>
  <c r="K304" i="96" a="1"/>
  <c r="K200" i="96" a="1"/>
  <c r="I332" i="96" a="1"/>
  <c r="E191" i="96" a="1"/>
  <c r="K14" i="96" a="1"/>
  <c r="K277" i="96" a="1"/>
  <c r="M249" i="96" a="1"/>
  <c r="G172" i="96" a="1"/>
  <c r="E295" i="96" a="1"/>
  <c r="E154" i="96" a="1"/>
  <c r="H276" i="96" a="1"/>
  <c r="K320" i="96" a="1"/>
  <c r="M101" i="96" a="1"/>
  <c r="G254" i="96" a="1"/>
  <c r="J113" i="96" a="1"/>
  <c r="F216" i="96" a="1"/>
  <c r="J331" i="96" a="1"/>
  <c r="K181" i="96" a="1"/>
  <c r="G322" i="96" a="1"/>
  <c r="I104" i="96" a="1"/>
  <c r="G192" i="96" a="1"/>
  <c r="H317" i="96" a="1"/>
  <c r="I334" i="96" a="1"/>
  <c r="H43" i="96" a="1"/>
  <c r="H214" i="96" a="1"/>
  <c r="H225" i="96" a="1"/>
  <c r="G163" i="96" a="1"/>
  <c r="F328" i="96" a="1"/>
  <c r="L204" i="96" a="1"/>
  <c r="K242" i="96" a="1"/>
  <c r="F289" i="96" a="1"/>
  <c r="I82" i="96" a="1"/>
  <c r="J71" i="96" a="1"/>
  <c r="I275" i="96" a="1"/>
  <c r="L103" i="96" a="1"/>
  <c r="F50" i="96" a="1"/>
  <c r="M304" i="96" a="1"/>
  <c r="J145" i="96" a="1"/>
  <c r="L267" i="96" a="1"/>
  <c r="E200" i="96" a="1"/>
  <c r="E159" i="96" a="1"/>
  <c r="I93" i="96" a="1"/>
  <c r="M76" i="96" a="1"/>
  <c r="G263" i="96" a="1"/>
  <c r="K314" i="96" a="1"/>
  <c r="F266" i="96" a="1"/>
  <c r="K9" i="96" a="1"/>
  <c r="F155" i="96" a="1"/>
  <c r="F196" i="96" a="1"/>
  <c r="E219" i="96" a="1"/>
  <c r="E219" i="96" l="1"/>
  <c r="F196" i="96"/>
  <c r="F155" i="96"/>
  <c r="K9" i="96"/>
  <c r="F266" i="96"/>
  <c r="K314" i="96"/>
  <c r="G263" i="96"/>
  <c r="M76" i="96"/>
  <c r="I93" i="96"/>
  <c r="E159" i="96"/>
  <c r="E200" i="96"/>
  <c r="L267" i="96"/>
  <c r="J145" i="96"/>
  <c r="M304" i="96"/>
  <c r="F50" i="96"/>
  <c r="L103" i="96"/>
  <c r="I275" i="96"/>
  <c r="J71" i="96"/>
  <c r="I82" i="96"/>
  <c r="F289" i="96"/>
  <c r="K242" i="96"/>
  <c r="L204" i="96"/>
  <c r="F328" i="96"/>
  <c r="G163" i="96"/>
  <c r="H225" i="96"/>
  <c r="H214" i="96"/>
  <c r="H43" i="96"/>
  <c r="I334" i="96"/>
  <c r="H317" i="96"/>
  <c r="G192" i="96"/>
  <c r="I104" i="96"/>
  <c r="G322" i="96"/>
  <c r="K181" i="96"/>
  <c r="J331" i="96"/>
  <c r="F216" i="96"/>
  <c r="J113" i="96"/>
  <c r="G254" i="96"/>
  <c r="M101" i="96"/>
  <c r="K320" i="96"/>
  <c r="H276" i="96"/>
  <c r="E154" i="96"/>
  <c r="E295" i="96"/>
  <c r="G172" i="96"/>
  <c r="M249" i="96"/>
  <c r="K277" i="96"/>
  <c r="K14" i="96"/>
  <c r="E191" i="96"/>
  <c r="I332" i="96"/>
  <c r="K200" i="96"/>
  <c r="K304" i="96"/>
  <c r="F205" i="96"/>
  <c r="H245" i="96"/>
  <c r="G202" i="96"/>
  <c r="E140" i="96"/>
  <c r="K5" i="96"/>
  <c r="H152" i="96"/>
  <c r="M120" i="96"/>
  <c r="I133" i="96"/>
  <c r="F88" i="96"/>
  <c r="H230" i="96"/>
  <c r="K267" i="96"/>
  <c r="M94" i="96"/>
  <c r="F192" i="96"/>
  <c r="I77" i="96"/>
  <c r="H142" i="96"/>
  <c r="F21" i="96"/>
  <c r="G18" i="96"/>
  <c r="F46" i="96"/>
  <c r="E123" i="96"/>
  <c r="I65" i="96"/>
  <c r="I177" i="96"/>
  <c r="G59" i="96"/>
  <c r="G226" i="96"/>
  <c r="K104" i="96"/>
  <c r="K116" i="96"/>
  <c r="M75" i="96"/>
  <c r="M38" i="96"/>
  <c r="H282" i="96"/>
  <c r="F169" i="96"/>
  <c r="H123" i="96"/>
  <c r="G291" i="96"/>
  <c r="L208" i="96"/>
  <c r="E134" i="96"/>
  <c r="F250" i="96"/>
  <c r="E186" i="96"/>
  <c r="H12" i="96"/>
  <c r="I266" i="96"/>
  <c r="M127" i="96"/>
  <c r="H82" i="96"/>
  <c r="I129" i="96"/>
  <c r="J210" i="96"/>
  <c r="H32" i="96"/>
  <c r="G220" i="96"/>
  <c r="M103" i="96"/>
  <c r="J128" i="96"/>
  <c r="H320" i="96"/>
  <c r="G261" i="96"/>
  <c r="M250" i="96"/>
  <c r="I111" i="96"/>
  <c r="G187" i="96"/>
  <c r="M279" i="96"/>
  <c r="H232" i="96"/>
  <c r="I183" i="96"/>
  <c r="L129" i="96"/>
  <c r="M325" i="96"/>
  <c r="I176" i="96"/>
  <c r="I270" i="96"/>
  <c r="H114" i="96"/>
  <c r="K321" i="96"/>
  <c r="H213" i="96"/>
  <c r="K162" i="96"/>
  <c r="F173" i="96"/>
  <c r="L106" i="96"/>
  <c r="F242" i="96"/>
  <c r="E328" i="96"/>
  <c r="K245" i="96"/>
  <c r="M99" i="96"/>
  <c r="K85" i="96"/>
  <c r="I194" i="96"/>
  <c r="I304" i="96"/>
  <c r="K313" i="96"/>
  <c r="E152" i="96"/>
  <c r="H284" i="96"/>
  <c r="K284" i="96"/>
  <c r="G71" i="96"/>
  <c r="F305" i="96"/>
  <c r="F200" i="96"/>
  <c r="E65" i="96"/>
  <c r="F130" i="96"/>
  <c r="F96" i="96"/>
  <c r="M255" i="96"/>
  <c r="J131" i="96"/>
  <c r="L336" i="96"/>
  <c r="M293" i="96"/>
  <c r="M82" i="96"/>
  <c r="K240" i="96"/>
  <c r="M214" i="96"/>
  <c r="J33" i="96"/>
  <c r="E210" i="96"/>
  <c r="J11" i="96"/>
  <c r="K194" i="96"/>
  <c r="E274" i="96"/>
  <c r="I24" i="96"/>
  <c r="F115" i="96"/>
  <c r="I329" i="96"/>
  <c r="E218" i="96"/>
  <c r="L6" i="96"/>
  <c r="J115" i="96"/>
  <c r="K254" i="96"/>
  <c r="J313" i="96"/>
  <c r="E119" i="96"/>
  <c r="G203" i="96"/>
  <c r="E225" i="96"/>
  <c r="E122" i="96"/>
  <c r="G297" i="96"/>
  <c r="K303" i="96"/>
  <c r="I139" i="96"/>
  <c r="L223" i="96"/>
  <c r="J73" i="96"/>
  <c r="I197" i="96"/>
  <c r="F223" i="96"/>
  <c r="M118" i="96"/>
  <c r="F211" i="96"/>
  <c r="K134" i="96"/>
  <c r="H180" i="96"/>
  <c r="H75" i="96"/>
  <c r="K67" i="96"/>
  <c r="H70" i="96"/>
  <c r="J31" i="96"/>
  <c r="K169" i="96"/>
  <c r="J297" i="96"/>
  <c r="H41" i="96"/>
  <c r="F241" i="96"/>
  <c r="H285" i="96"/>
  <c r="L281" i="96"/>
  <c r="I9" i="96"/>
  <c r="M5" i="96"/>
  <c r="I112" i="96"/>
  <c r="G97" i="96"/>
  <c r="F63" i="96"/>
  <c r="M197" i="96"/>
  <c r="J148" i="96"/>
  <c r="I214" i="96"/>
  <c r="J322" i="96"/>
  <c r="G149" i="96"/>
  <c r="L202" i="96"/>
  <c r="I125" i="96"/>
  <c r="E241" i="96"/>
  <c r="H132" i="96"/>
  <c r="K217" i="96"/>
  <c r="L238" i="96"/>
  <c r="J203" i="96"/>
  <c r="I243" i="96"/>
  <c r="E314" i="96"/>
  <c r="I74" i="96"/>
  <c r="I279" i="96"/>
  <c r="K271" i="96"/>
  <c r="H87" i="96"/>
  <c r="J9" i="96"/>
  <c r="G28" i="96"/>
  <c r="J288" i="96"/>
  <c r="J80" i="96"/>
  <c r="I320" i="96"/>
  <c r="I143" i="96"/>
  <c r="K237" i="96"/>
  <c r="G174" i="96"/>
  <c r="F210" i="96"/>
  <c r="J294" i="96"/>
  <c r="F208" i="96"/>
  <c r="J10" i="96"/>
  <c r="L165" i="96"/>
  <c r="K287" i="96"/>
  <c r="E125" i="96"/>
  <c r="I227" i="96"/>
  <c r="L268" i="96"/>
  <c r="I51" i="96"/>
  <c r="G280" i="96"/>
  <c r="L324" i="96"/>
  <c r="F28" i="96"/>
  <c r="I162" i="96"/>
  <c r="H128" i="96"/>
  <c r="F91" i="96"/>
  <c r="K38" i="96"/>
  <c r="I19" i="96"/>
  <c r="M222" i="96"/>
  <c r="E214" i="96"/>
  <c r="H146" i="96"/>
  <c r="J164" i="96"/>
  <c r="L279" i="96"/>
  <c r="I72" i="96"/>
  <c r="G110" i="96"/>
  <c r="H111" i="96"/>
  <c r="K208" i="96"/>
  <c r="K324" i="96"/>
  <c r="E112" i="96"/>
  <c r="K140" i="96"/>
  <c r="L138" i="96"/>
  <c r="J274" i="96"/>
  <c r="K6" i="96"/>
  <c r="H92" i="96"/>
  <c r="K307" i="96"/>
  <c r="E167" i="96"/>
  <c r="L139" i="96"/>
  <c r="E193" i="96"/>
  <c r="G19" i="96"/>
  <c r="L178" i="96"/>
  <c r="F34" i="96"/>
  <c r="F240" i="96"/>
  <c r="L130" i="96"/>
  <c r="L10" i="96"/>
  <c r="H88" i="96"/>
  <c r="J123" i="96"/>
  <c r="E59" i="96"/>
  <c r="F133" i="96"/>
  <c r="E176" i="96"/>
  <c r="J154" i="96"/>
  <c r="F16" i="96"/>
  <c r="L298" i="96"/>
  <c r="M132" i="96"/>
  <c r="F172" i="96"/>
  <c r="I57" i="96"/>
  <c r="H259" i="96"/>
  <c r="L198" i="96"/>
  <c r="H156" i="96"/>
  <c r="E124" i="96"/>
  <c r="F68" i="96"/>
  <c r="I150" i="96"/>
  <c r="K179" i="96"/>
  <c r="H194" i="96"/>
  <c r="F111" i="96"/>
  <c r="K154" i="96"/>
  <c r="I76" i="96"/>
  <c r="F14" i="96"/>
  <c r="G87" i="96"/>
  <c r="J181" i="96"/>
  <c r="L332" i="96"/>
  <c r="G116" i="96"/>
  <c r="K112" i="96"/>
  <c r="M153" i="96"/>
  <c r="G190" i="96"/>
  <c r="G33" i="96"/>
  <c r="E213" i="96"/>
  <c r="G119" i="96"/>
  <c r="K39" i="96"/>
  <c r="J213" i="96"/>
  <c r="I80" i="96"/>
  <c r="I260" i="96"/>
  <c r="F285" i="96"/>
  <c r="H234" i="96"/>
  <c r="L145" i="96"/>
  <c r="I174" i="96"/>
  <c r="L228" i="96"/>
  <c r="G120" i="96"/>
  <c r="H183" i="96"/>
  <c r="E211" i="96"/>
  <c r="K335" i="96"/>
  <c r="I136" i="96"/>
  <c r="H222" i="96"/>
  <c r="H270" i="96"/>
  <c r="I252" i="96"/>
  <c r="K109" i="96"/>
  <c r="F270" i="96"/>
  <c r="I73" i="96"/>
  <c r="F272" i="96"/>
  <c r="K275" i="96"/>
  <c r="E307" i="96"/>
  <c r="M310" i="96"/>
  <c r="H221" i="96"/>
  <c r="J152" i="96"/>
  <c r="G77" i="96"/>
  <c r="M29" i="96"/>
  <c r="K198" i="96"/>
  <c r="L211" i="96"/>
  <c r="E227" i="96"/>
  <c r="E182" i="96"/>
  <c r="K206" i="96"/>
  <c r="J134" i="96"/>
  <c r="F89" i="96"/>
  <c r="G234" i="96"/>
  <c r="K204" i="96"/>
  <c r="E136" i="96"/>
  <c r="H145" i="96"/>
  <c r="L76" i="96"/>
  <c r="M109" i="96"/>
  <c r="M112" i="96"/>
  <c r="F307" i="96"/>
  <c r="J41" i="96"/>
  <c r="I310" i="96"/>
  <c r="M220" i="96"/>
  <c r="I147" i="96"/>
  <c r="E275" i="96"/>
  <c r="I160" i="96"/>
  <c r="G193" i="96"/>
  <c r="F244" i="96"/>
  <c r="K243" i="96"/>
  <c r="E207" i="96"/>
  <c r="J22" i="96"/>
  <c r="K172" i="96"/>
  <c r="H127" i="96"/>
  <c r="J289" i="96"/>
  <c r="H60" i="96"/>
  <c r="H304" i="96"/>
  <c r="K101" i="96"/>
  <c r="E309" i="96"/>
  <c r="K3" i="96"/>
  <c r="G298" i="96"/>
  <c r="F62" i="96"/>
  <c r="J185" i="96"/>
  <c r="L151" i="96"/>
  <c r="I202" i="96"/>
  <c r="E81" i="96"/>
  <c r="L94" i="96"/>
  <c r="M42" i="96"/>
  <c r="J101" i="96"/>
  <c r="I244" i="96"/>
  <c r="G126" i="96"/>
  <c r="E32" i="96"/>
  <c r="I239" i="96"/>
  <c r="F87" i="96"/>
  <c r="M177" i="96"/>
  <c r="L162" i="96"/>
  <c r="E56" i="96"/>
  <c r="G37" i="96"/>
  <c r="L31" i="96"/>
  <c r="G331" i="96"/>
  <c r="F19" i="96"/>
  <c r="G133" i="96"/>
  <c r="F150" i="96"/>
  <c r="J29" i="96"/>
  <c r="M18" i="96"/>
  <c r="G125" i="96"/>
  <c r="G287" i="96"/>
  <c r="L201" i="96"/>
  <c r="J271" i="96"/>
  <c r="J263" i="96"/>
  <c r="M226" i="96"/>
  <c r="M26" i="96"/>
  <c r="J201" i="96"/>
  <c r="J246" i="96"/>
  <c r="F246" i="96"/>
  <c r="L164" i="96"/>
  <c r="L310" i="96"/>
  <c r="M323" i="96"/>
  <c r="G64" i="96"/>
  <c r="I161" i="96"/>
  <c r="L334" i="96"/>
  <c r="H89" i="96"/>
  <c r="H218" i="96"/>
  <c r="K213" i="96"/>
  <c r="L217" i="96"/>
  <c r="G185" i="96"/>
  <c r="I66" i="96"/>
  <c r="F333" i="96"/>
  <c r="K119" i="96"/>
  <c r="G118" i="96"/>
  <c r="E30" i="96"/>
  <c r="L244" i="96"/>
  <c r="F195" i="96"/>
  <c r="H254" i="96"/>
  <c r="K331" i="96"/>
  <c r="E268" i="96"/>
  <c r="K192" i="96"/>
  <c r="M111" i="96"/>
  <c r="K65" i="96"/>
  <c r="M213" i="96"/>
  <c r="J170" i="96"/>
  <c r="I45" i="96"/>
  <c r="G34" i="96"/>
  <c r="I302" i="96"/>
  <c r="M244" i="96"/>
  <c r="G55" i="96"/>
  <c r="M157" i="96"/>
  <c r="L82" i="96"/>
  <c r="I107" i="96"/>
  <c r="G164" i="96"/>
  <c r="E31" i="96"/>
  <c r="H93" i="96"/>
  <c r="K139" i="96"/>
  <c r="G67" i="96"/>
  <c r="I250" i="96"/>
  <c r="E16" i="96"/>
  <c r="F8" i="96"/>
  <c r="L253" i="96"/>
  <c r="I284" i="96"/>
  <c r="E40" i="96"/>
  <c r="J14" i="96"/>
  <c r="H134" i="96"/>
  <c r="J191" i="96"/>
  <c r="F124" i="96"/>
  <c r="K130" i="96"/>
  <c r="H138" i="96"/>
  <c r="L92" i="96"/>
  <c r="F110" i="96"/>
  <c r="H200" i="96"/>
  <c r="H165" i="96"/>
  <c r="E173" i="96"/>
  <c r="K274" i="96"/>
  <c r="K10" i="96"/>
  <c r="L11" i="96"/>
  <c r="H112" i="96"/>
  <c r="L50" i="96"/>
  <c r="H207" i="96"/>
  <c r="K180" i="96"/>
  <c r="K155" i="96"/>
  <c r="K265" i="96"/>
  <c r="J229" i="96"/>
  <c r="F301" i="96"/>
  <c r="G295" i="96"/>
  <c r="E247" i="96"/>
  <c r="L282" i="96"/>
  <c r="M114" i="96"/>
  <c r="F126" i="96"/>
  <c r="G169" i="96"/>
  <c r="G35" i="96"/>
  <c r="F178" i="96"/>
  <c r="F33" i="96"/>
  <c r="F75" i="96"/>
  <c r="K160" i="96"/>
  <c r="F265" i="96"/>
  <c r="K262" i="96"/>
  <c r="H113" i="96"/>
  <c r="G196" i="96"/>
  <c r="H65" i="96"/>
  <c r="M183" i="96"/>
  <c r="L270" i="96"/>
  <c r="K222" i="96"/>
  <c r="I13" i="96"/>
  <c r="F219" i="96"/>
  <c r="G275" i="96"/>
  <c r="I11" i="96"/>
  <c r="L52" i="96"/>
  <c r="F66" i="96"/>
  <c r="F168" i="96"/>
  <c r="J28" i="96"/>
  <c r="H297" i="96"/>
  <c r="K26" i="96"/>
  <c r="E98" i="96"/>
  <c r="G290" i="96"/>
  <c r="K58" i="96"/>
  <c r="F288" i="96"/>
  <c r="H129" i="96"/>
  <c r="J336" i="96"/>
  <c r="L226" i="96"/>
  <c r="I242" i="96"/>
  <c r="L158" i="96"/>
  <c r="E20" i="96"/>
  <c r="G91" i="96"/>
  <c r="H185" i="96"/>
  <c r="L80" i="96"/>
  <c r="F105" i="96"/>
  <c r="G13" i="96"/>
  <c r="M286" i="96"/>
  <c r="G159" i="96"/>
  <c r="H173" i="96"/>
  <c r="L24" i="96"/>
  <c r="K113" i="96"/>
  <c r="M200" i="96"/>
  <c r="I308" i="96"/>
  <c r="J43" i="96"/>
  <c r="F207" i="96"/>
  <c r="M152" i="96"/>
  <c r="E271" i="96"/>
  <c r="F273" i="96"/>
  <c r="L206" i="96"/>
  <c r="E305" i="96"/>
  <c r="M278" i="96"/>
  <c r="L179" i="96"/>
  <c r="L277" i="96"/>
  <c r="F151" i="96"/>
  <c r="E308" i="96"/>
  <c r="H179" i="96"/>
  <c r="J298" i="96"/>
  <c r="F274" i="96"/>
  <c r="F12" i="96"/>
  <c r="G259" i="96"/>
  <c r="L26" i="96"/>
  <c r="J194" i="96"/>
  <c r="J189" i="96"/>
  <c r="G146" i="96"/>
  <c r="K182" i="96"/>
  <c r="L84" i="96"/>
  <c r="M19" i="96"/>
  <c r="G51" i="96"/>
  <c r="L65" i="96"/>
  <c r="H61" i="96"/>
  <c r="M122" i="96"/>
  <c r="H229" i="96"/>
  <c r="F44" i="96"/>
  <c r="K49" i="96"/>
  <c r="M184" i="96"/>
  <c r="H103" i="96"/>
  <c r="K17" i="96"/>
  <c r="I335" i="96"/>
  <c r="F236" i="96"/>
  <c r="M39" i="96"/>
  <c r="F98" i="96"/>
  <c r="M217" i="96"/>
  <c r="F187" i="96"/>
  <c r="M317" i="96"/>
  <c r="G29" i="96"/>
  <c r="I333" i="96"/>
  <c r="M320" i="96"/>
  <c r="M138" i="96"/>
  <c r="J183" i="96"/>
  <c r="E5" i="96"/>
  <c r="F202" i="96"/>
  <c r="I173" i="96"/>
  <c r="H166" i="96"/>
  <c r="L194" i="96"/>
  <c r="M329" i="96"/>
  <c r="H139" i="96"/>
  <c r="M185" i="96"/>
  <c r="K66" i="96"/>
  <c r="L242" i="96"/>
  <c r="M294" i="96"/>
  <c r="H315" i="96"/>
  <c r="I285" i="96"/>
  <c r="M262" i="96"/>
  <c r="L75" i="96"/>
  <c r="I180" i="96"/>
  <c r="F167" i="96"/>
  <c r="K28" i="96"/>
  <c r="J78" i="96"/>
  <c r="G176" i="96"/>
  <c r="L289" i="96"/>
  <c r="F302" i="96"/>
  <c r="L172" i="96"/>
  <c r="L321" i="96"/>
  <c r="E235" i="96"/>
  <c r="J140" i="96"/>
  <c r="G152" i="96"/>
  <c r="F226" i="96"/>
  <c r="M218" i="96"/>
  <c r="K216" i="96"/>
  <c r="K221" i="96"/>
  <c r="I131" i="96"/>
  <c r="G211" i="96"/>
  <c r="F191" i="96"/>
  <c r="K329" i="96"/>
  <c r="E320" i="96"/>
  <c r="F83" i="96"/>
  <c r="G93" i="96"/>
  <c r="G134" i="96"/>
  <c r="L254" i="96"/>
  <c r="H105" i="96"/>
  <c r="M79" i="96"/>
  <c r="L27" i="96"/>
  <c r="L113" i="96"/>
  <c r="I44" i="96"/>
  <c r="J267" i="96"/>
  <c r="I209" i="96"/>
  <c r="J143" i="96"/>
  <c r="M174" i="96"/>
  <c r="F140" i="96"/>
  <c r="M77" i="96"/>
  <c r="I325" i="96"/>
  <c r="J144" i="96"/>
  <c r="M336" i="96"/>
  <c r="F43" i="96"/>
  <c r="J42" i="96"/>
  <c r="E317" i="96"/>
  <c r="I253" i="96"/>
  <c r="K258" i="96"/>
  <c r="E105" i="96"/>
  <c r="E69" i="96"/>
  <c r="E230" i="96"/>
  <c r="J21" i="96"/>
  <c r="E68" i="96"/>
  <c r="K310" i="96"/>
  <c r="I100" i="96"/>
  <c r="K311" i="96"/>
  <c r="I32" i="96"/>
  <c r="L143" i="96"/>
  <c r="I257" i="96"/>
  <c r="F57" i="96"/>
  <c r="F185" i="96"/>
  <c r="M106" i="96"/>
  <c r="J211" i="96"/>
  <c r="J251" i="96"/>
  <c r="E255" i="96"/>
  <c r="L23" i="96"/>
  <c r="G145" i="96"/>
  <c r="M302" i="96"/>
  <c r="L155" i="96"/>
  <c r="M100" i="96"/>
  <c r="L278" i="96"/>
  <c r="E51" i="96"/>
  <c r="L235" i="96"/>
  <c r="G99" i="96"/>
  <c r="I67" i="96"/>
  <c r="G162" i="96"/>
  <c r="K123" i="96"/>
  <c r="E316" i="96"/>
  <c r="M117" i="96"/>
  <c r="I135" i="96"/>
  <c r="E322" i="96"/>
  <c r="F325" i="96"/>
  <c r="F319" i="96"/>
  <c r="F58" i="96"/>
  <c r="K13" i="96"/>
  <c r="G112" i="96"/>
  <c r="K333" i="96"/>
  <c r="G233" i="96"/>
  <c r="L241" i="96"/>
  <c r="K43" i="96"/>
  <c r="M143" i="96"/>
  <c r="G303" i="96"/>
  <c r="L181" i="96"/>
  <c r="H33" i="96"/>
  <c r="H202" i="96"/>
  <c r="I63" i="96"/>
  <c r="H333" i="96"/>
  <c r="F148" i="96"/>
  <c r="J285" i="96"/>
  <c r="G9" i="96"/>
  <c r="L309" i="96"/>
  <c r="L56" i="96"/>
  <c r="K289" i="96"/>
  <c r="L311" i="96"/>
  <c r="K151" i="96"/>
  <c r="K227" i="96"/>
  <c r="H311" i="96"/>
  <c r="J249" i="96"/>
  <c r="M165" i="96"/>
  <c r="I305" i="96"/>
  <c r="F40" i="96"/>
  <c r="F297" i="96"/>
  <c r="L126" i="96"/>
  <c r="E48" i="96"/>
  <c r="G121" i="96"/>
  <c r="F94" i="96"/>
  <c r="E220" i="96"/>
  <c r="F290" i="96"/>
  <c r="E258" i="96"/>
  <c r="K330" i="96"/>
  <c r="M36" i="96"/>
  <c r="G265" i="96"/>
  <c r="E49" i="96"/>
  <c r="L239" i="96"/>
  <c r="L169" i="96"/>
  <c r="E265" i="96"/>
  <c r="G324" i="96"/>
  <c r="E43" i="96"/>
  <c r="J111" i="96"/>
  <c r="J188" i="96"/>
  <c r="K260" i="96"/>
  <c r="H51" i="96"/>
  <c r="J293" i="96"/>
  <c r="E209" i="96"/>
  <c r="K92" i="96"/>
  <c r="J180" i="96"/>
  <c r="H223" i="96"/>
  <c r="J218" i="96"/>
  <c r="G277" i="96"/>
  <c r="H174" i="96"/>
  <c r="J196" i="96"/>
  <c r="M236" i="96"/>
  <c r="L47" i="96"/>
  <c r="L25" i="96"/>
  <c r="K266" i="96"/>
  <c r="K138" i="96"/>
  <c r="L40" i="96"/>
  <c r="H268" i="96"/>
  <c r="H84" i="96"/>
  <c r="J237" i="96"/>
  <c r="F232" i="96"/>
  <c r="H274" i="96"/>
  <c r="L288" i="96"/>
  <c r="E101" i="96"/>
  <c r="J169" i="96"/>
  <c r="J56" i="96"/>
  <c r="H158" i="96"/>
  <c r="G108" i="96"/>
  <c r="H20" i="96"/>
  <c r="J94" i="96"/>
  <c r="K228" i="96"/>
  <c r="M15" i="96"/>
  <c r="K7" i="96"/>
  <c r="K319" i="96"/>
  <c r="L257" i="96"/>
  <c r="H188" i="96"/>
  <c r="M175" i="96"/>
  <c r="L29" i="96"/>
  <c r="J186" i="96"/>
  <c r="H260" i="96"/>
  <c r="L234" i="96"/>
  <c r="E107" i="96"/>
  <c r="F227" i="96"/>
  <c r="I5" i="96"/>
  <c r="G144" i="96"/>
  <c r="F295" i="96"/>
  <c r="M303" i="96"/>
  <c r="M64" i="96"/>
  <c r="G273" i="96"/>
  <c r="G150" i="96"/>
  <c r="G214" i="96"/>
  <c r="I12" i="96"/>
  <c r="K190" i="96"/>
  <c r="M324" i="96"/>
  <c r="G70" i="96"/>
  <c r="J257" i="96"/>
  <c r="K136" i="96"/>
  <c r="I323" i="96"/>
  <c r="L111" i="96"/>
  <c r="F123" i="96"/>
  <c r="J69" i="96"/>
  <c r="M141" i="96"/>
  <c r="K97" i="96"/>
  <c r="F186" i="96"/>
  <c r="G8" i="96"/>
  <c r="M301" i="96"/>
  <c r="M268" i="96"/>
  <c r="H291" i="96"/>
  <c r="K77" i="96"/>
  <c r="E153" i="96"/>
  <c r="I169" i="96"/>
  <c r="G44" i="96"/>
  <c r="G252" i="96"/>
  <c r="H269" i="96"/>
  <c r="M276" i="96"/>
  <c r="I48" i="96"/>
  <c r="I301" i="96"/>
  <c r="K36" i="96"/>
  <c r="J24" i="96"/>
  <c r="L180" i="96"/>
  <c r="K334" i="96"/>
  <c r="J37" i="96"/>
  <c r="L102" i="96"/>
  <c r="I267" i="96"/>
  <c r="F286" i="96"/>
  <c r="I154" i="96"/>
  <c r="J146" i="96"/>
  <c r="L227" i="96"/>
  <c r="M30" i="96"/>
  <c r="F39" i="96"/>
  <c r="F138" i="96"/>
  <c r="J48" i="96"/>
  <c r="L248" i="96"/>
  <c r="M172" i="96"/>
  <c r="F165" i="96"/>
  <c r="J314" i="96"/>
  <c r="I178" i="96"/>
  <c r="F36" i="96"/>
  <c r="M66" i="96"/>
  <c r="H211" i="96"/>
  <c r="K282" i="96"/>
  <c r="H7" i="96"/>
  <c r="I208" i="96"/>
  <c r="L258" i="96"/>
  <c r="L85" i="96"/>
  <c r="K19" i="96"/>
  <c r="E166" i="96"/>
  <c r="K24" i="96"/>
  <c r="L303" i="96"/>
  <c r="F132" i="96"/>
  <c r="K142" i="96"/>
  <c r="L16" i="96"/>
  <c r="M97" i="96"/>
  <c r="G181" i="96"/>
  <c r="M28" i="96"/>
  <c r="E139" i="96"/>
  <c r="G155" i="96"/>
  <c r="H45" i="96"/>
  <c r="J95" i="96"/>
  <c r="F206" i="96"/>
  <c r="F303" i="96"/>
  <c r="E109" i="96"/>
  <c r="E206" i="96"/>
  <c r="E190" i="96"/>
  <c r="L72" i="96"/>
  <c r="M139" i="96"/>
  <c r="L222" i="96"/>
  <c r="M9" i="96"/>
  <c r="M95" i="96"/>
  <c r="F237" i="96"/>
  <c r="L307" i="96"/>
  <c r="I70" i="96"/>
  <c r="E335" i="96"/>
  <c r="H290" i="96"/>
  <c r="J258" i="96"/>
  <c r="J224" i="96"/>
  <c r="E170" i="96"/>
  <c r="I53" i="96"/>
  <c r="F258" i="96"/>
  <c r="J319" i="96"/>
  <c r="L135" i="96"/>
  <c r="J155" i="96"/>
  <c r="E234" i="96"/>
  <c r="F101" i="96"/>
  <c r="K185" i="96"/>
  <c r="M33" i="96"/>
  <c r="I292" i="96"/>
  <c r="L220" i="96"/>
  <c r="K70" i="96"/>
  <c r="G49" i="96"/>
  <c r="H186" i="96"/>
  <c r="I8" i="96"/>
  <c r="J46" i="96"/>
  <c r="G122" i="96"/>
  <c r="H124" i="96"/>
  <c r="E185" i="96"/>
  <c r="E19" i="96"/>
  <c r="E296" i="96"/>
  <c r="L57" i="96"/>
  <c r="L61" i="96"/>
  <c r="H265" i="96"/>
  <c r="I313" i="96"/>
  <c r="K285" i="96"/>
  <c r="G253" i="96"/>
  <c r="G17" i="96"/>
  <c r="M266" i="96"/>
  <c r="L296" i="96"/>
  <c r="M86" i="96"/>
  <c r="L212" i="96"/>
  <c r="E127" i="96"/>
  <c r="G15" i="96"/>
  <c r="J23" i="96"/>
  <c r="M258" i="96"/>
  <c r="H187" i="96"/>
  <c r="H335" i="96"/>
  <c r="K214" i="96"/>
  <c r="K56" i="96"/>
  <c r="H62" i="96"/>
  <c r="G12" i="96"/>
  <c r="H177" i="96"/>
  <c r="J305" i="96"/>
  <c r="F131" i="96"/>
  <c r="K78" i="96"/>
  <c r="E36" i="96"/>
  <c r="L160" i="96"/>
  <c r="H168" i="96"/>
  <c r="J277" i="96"/>
  <c r="L308" i="96"/>
  <c r="E311" i="96"/>
  <c r="G83" i="96"/>
  <c r="H34" i="96"/>
  <c r="J296" i="96"/>
  <c r="H155" i="96"/>
  <c r="F166" i="96"/>
  <c r="H57" i="96"/>
  <c r="L44" i="96"/>
  <c r="I163" i="96"/>
  <c r="I128" i="96"/>
  <c r="K261" i="96"/>
  <c r="H126" i="96"/>
  <c r="G188" i="96"/>
  <c r="J84" i="96"/>
  <c r="E103" i="96"/>
  <c r="M81" i="96"/>
  <c r="I101" i="96"/>
  <c r="I10" i="96"/>
  <c r="F56" i="96"/>
  <c r="G137" i="96"/>
  <c r="J281" i="96"/>
  <c r="M270" i="96"/>
  <c r="H216" i="96"/>
  <c r="E4" i="96"/>
  <c r="F256" i="96"/>
  <c r="K301" i="96"/>
  <c r="J266" i="96"/>
  <c r="E324" i="96"/>
  <c r="K32" i="96"/>
  <c r="E64" i="96"/>
  <c r="G4" i="96"/>
  <c r="F18" i="96"/>
  <c r="I99" i="96"/>
  <c r="F248" i="96"/>
  <c r="J6" i="96"/>
  <c r="K153" i="96"/>
  <c r="E131" i="96"/>
  <c r="G20" i="96"/>
  <c r="I120" i="96"/>
  <c r="J16" i="96"/>
  <c r="F261" i="96"/>
  <c r="G25" i="96"/>
  <c r="F41" i="96"/>
  <c r="F42" i="96"/>
  <c r="G248" i="96"/>
  <c r="M284" i="96"/>
  <c r="H305" i="96"/>
  <c r="I132" i="96"/>
  <c r="F5" i="96"/>
  <c r="G330" i="96"/>
  <c r="G79" i="96"/>
  <c r="L170" i="96"/>
  <c r="H237" i="96"/>
  <c r="G147" i="96"/>
  <c r="K175" i="96"/>
  <c r="M334" i="96"/>
  <c r="I158" i="96"/>
  <c r="M37" i="96"/>
  <c r="K79" i="96"/>
  <c r="E301" i="96"/>
  <c r="I322" i="96"/>
  <c r="L12" i="96"/>
  <c r="H78" i="96"/>
  <c r="K235" i="96"/>
  <c r="L251" i="96"/>
  <c r="G129" i="96"/>
  <c r="L45" i="96"/>
  <c r="J235" i="96"/>
  <c r="J81" i="96"/>
  <c r="L328" i="96"/>
  <c r="J77" i="96"/>
  <c r="E288" i="96"/>
  <c r="E273" i="96"/>
  <c r="L116" i="96"/>
  <c r="M50" i="96"/>
  <c r="G167" i="96"/>
  <c r="F292" i="96"/>
  <c r="K309" i="96"/>
  <c r="E116" i="96"/>
  <c r="H178" i="96"/>
  <c r="M269" i="96"/>
  <c r="L191" i="96"/>
  <c r="G27" i="96"/>
  <c r="H102" i="96"/>
  <c r="K316" i="96"/>
  <c r="I291" i="96"/>
  <c r="K272" i="96"/>
  <c r="I152" i="96"/>
  <c r="H15" i="96"/>
  <c r="K20" i="96"/>
  <c r="I278" i="96"/>
  <c r="I287" i="96"/>
  <c r="F104" i="96"/>
  <c r="I309" i="96"/>
  <c r="F119" i="96"/>
  <c r="I43" i="96"/>
  <c r="E46" i="96"/>
  <c r="E177" i="96"/>
  <c r="G23" i="96"/>
  <c r="J280" i="96"/>
  <c r="F99" i="96"/>
  <c r="H36" i="96"/>
  <c r="K132" i="96"/>
  <c r="E44" i="96"/>
  <c r="M96" i="96"/>
  <c r="F221" i="96"/>
  <c r="K279" i="96"/>
  <c r="M224" i="96"/>
  <c r="K294" i="96"/>
  <c r="I7" i="96"/>
  <c r="L39" i="96"/>
  <c r="L48" i="96"/>
  <c r="J184" i="96"/>
  <c r="I153" i="96"/>
  <c r="G47" i="96"/>
  <c r="E41" i="96"/>
  <c r="M170" i="96"/>
  <c r="H131" i="96"/>
  <c r="J7" i="96"/>
  <c r="L115" i="96"/>
  <c r="F293" i="96"/>
  <c r="G328" i="96"/>
  <c r="L69" i="96"/>
  <c r="H273" i="96"/>
  <c r="F49" i="96"/>
  <c r="L144" i="96"/>
  <c r="K152" i="96"/>
  <c r="K174" i="96"/>
  <c r="F310" i="96"/>
  <c r="H90" i="96"/>
  <c r="K98" i="96"/>
  <c r="M40" i="96"/>
  <c r="M73" i="96"/>
  <c r="F102" i="96"/>
  <c r="F231" i="96"/>
  <c r="F27" i="96"/>
  <c r="J207" i="96"/>
  <c r="F17" i="96"/>
  <c r="H164" i="96"/>
  <c r="K263" i="96"/>
  <c r="F188" i="96"/>
  <c r="G255" i="96"/>
  <c r="E224" i="96"/>
  <c r="K270" i="96"/>
  <c r="L109" i="96"/>
  <c r="E221" i="96"/>
  <c r="M186" i="96"/>
  <c r="G68" i="96"/>
  <c r="L286" i="96"/>
  <c r="M176" i="96"/>
  <c r="F74" i="96"/>
  <c r="H77" i="96"/>
  <c r="J3" i="96"/>
  <c r="K218" i="96"/>
  <c r="G333" i="96"/>
  <c r="H303" i="96"/>
  <c r="E293" i="96"/>
  <c r="E195" i="96"/>
  <c r="H228" i="96"/>
  <c r="M234" i="96"/>
  <c r="F143" i="96"/>
  <c r="M238" i="96"/>
  <c r="F277" i="96"/>
  <c r="G247" i="96"/>
  <c r="L148" i="96"/>
  <c r="K230" i="96"/>
  <c r="F121" i="96"/>
  <c r="H23" i="96"/>
  <c r="I138" i="96"/>
  <c r="K210" i="96"/>
  <c r="H74" i="96"/>
  <c r="G62" i="96"/>
  <c r="G132" i="96"/>
  <c r="G205" i="96"/>
  <c r="I148" i="96"/>
  <c r="M332" i="96"/>
  <c r="M160" i="96"/>
  <c r="L246" i="96"/>
  <c r="I64" i="96"/>
  <c r="M53" i="96"/>
  <c r="K159" i="96"/>
  <c r="F311" i="96"/>
  <c r="L276" i="96"/>
  <c r="F109" i="96"/>
  <c r="L287" i="96"/>
  <c r="L263" i="96"/>
  <c r="F6" i="96"/>
  <c r="H48" i="96"/>
  <c r="J321" i="96"/>
  <c r="K215" i="96"/>
  <c r="K59" i="96"/>
  <c r="I28" i="96"/>
  <c r="I233" i="96"/>
  <c r="K246" i="96"/>
  <c r="G329" i="96"/>
  <c r="H299" i="96"/>
  <c r="L333" i="96"/>
  <c r="M219" i="96"/>
  <c r="G321" i="96"/>
  <c r="M158" i="96"/>
  <c r="H267" i="96"/>
  <c r="I61" i="96"/>
  <c r="F146" i="96"/>
  <c r="E259" i="96"/>
  <c r="L209" i="96"/>
  <c r="I38" i="96"/>
  <c r="M128" i="96"/>
  <c r="F100" i="96"/>
  <c r="F7" i="96"/>
  <c r="I290" i="96"/>
  <c r="E114" i="96"/>
  <c r="F313" i="96"/>
  <c r="E257" i="96"/>
  <c r="L99" i="96"/>
  <c r="L7" i="96"/>
  <c r="H50" i="96"/>
  <c r="L59" i="96"/>
  <c r="G256" i="96"/>
  <c r="I85" i="96"/>
  <c r="K69" i="96"/>
  <c r="H241" i="96"/>
  <c r="M216" i="96"/>
  <c r="K252" i="96"/>
  <c r="G76" i="96"/>
  <c r="L89" i="96"/>
  <c r="H310" i="96"/>
  <c r="H275" i="96"/>
  <c r="M201" i="96"/>
  <c r="I92" i="96"/>
  <c r="G224" i="96"/>
  <c r="E37" i="96"/>
  <c r="I293" i="96"/>
  <c r="M121" i="96"/>
  <c r="L142" i="96"/>
  <c r="G138" i="96"/>
  <c r="G228" i="96"/>
  <c r="H161" i="96"/>
  <c r="M137" i="96"/>
  <c r="G292" i="96"/>
  <c r="E165" i="96"/>
  <c r="L120" i="96"/>
  <c r="F312" i="96"/>
  <c r="E83" i="96"/>
  <c r="J243" i="96"/>
  <c r="I258" i="96"/>
  <c r="I251" i="96"/>
  <c r="K244" i="96"/>
  <c r="E298" i="96"/>
  <c r="G154" i="96"/>
  <c r="L315" i="96"/>
  <c r="K170" i="96"/>
  <c r="L91" i="96"/>
  <c r="F38" i="96"/>
  <c r="E138" i="96"/>
  <c r="M67" i="96"/>
  <c r="L250" i="96"/>
  <c r="J122" i="96"/>
  <c r="L147" i="96"/>
  <c r="L195" i="96"/>
  <c r="K195" i="96"/>
  <c r="I311" i="96"/>
  <c r="K29" i="96"/>
  <c r="M105" i="96"/>
  <c r="H39" i="96"/>
  <c r="L49" i="96"/>
  <c r="F334" i="96"/>
  <c r="L272" i="96"/>
  <c r="E35" i="96"/>
  <c r="H203" i="96"/>
  <c r="M264" i="96"/>
  <c r="G63" i="96"/>
  <c r="M51" i="96"/>
  <c r="J190" i="96"/>
  <c r="G179" i="96"/>
  <c r="J90" i="96"/>
  <c r="L124" i="96"/>
  <c r="L127" i="96"/>
  <c r="G57" i="96"/>
  <c r="M113" i="96"/>
  <c r="M247" i="96"/>
  <c r="I30" i="96"/>
  <c r="E76" i="96"/>
  <c r="I84" i="96"/>
  <c r="M263" i="96"/>
  <c r="K219" i="96"/>
  <c r="K202" i="96"/>
  <c r="M227" i="96"/>
  <c r="J54" i="96"/>
  <c r="J261" i="96"/>
  <c r="K117" i="96"/>
  <c r="H13" i="96"/>
  <c r="J187" i="96"/>
  <c r="L156" i="96"/>
  <c r="G81" i="96"/>
  <c r="G22" i="96"/>
  <c r="F308" i="96"/>
  <c r="L67" i="96"/>
  <c r="L229" i="96"/>
  <c r="J179" i="96"/>
  <c r="I283" i="96"/>
  <c r="F31" i="96"/>
  <c r="H231" i="96"/>
  <c r="H318" i="96"/>
  <c r="J270" i="96"/>
  <c r="L187" i="96"/>
  <c r="M330" i="96"/>
  <c r="I265" i="96"/>
  <c r="I303" i="96"/>
  <c r="H107" i="96"/>
  <c r="I237" i="96"/>
  <c r="E70" i="96"/>
  <c r="E330" i="96"/>
  <c r="I314" i="96"/>
  <c r="I203" i="96"/>
  <c r="K193" i="96"/>
  <c r="M14" i="96"/>
  <c r="F327" i="96"/>
  <c r="H322" i="96"/>
  <c r="E201" i="96"/>
  <c r="I114" i="96"/>
  <c r="J197" i="96"/>
  <c r="L175" i="96"/>
  <c r="H98" i="96"/>
  <c r="H243" i="96"/>
  <c r="J312" i="96"/>
  <c r="M90" i="96"/>
  <c r="I75" i="96"/>
  <c r="E84" i="96"/>
  <c r="I55" i="96"/>
  <c r="K40" i="96"/>
  <c r="M251" i="96"/>
  <c r="K165" i="96"/>
  <c r="M151" i="96"/>
  <c r="I236" i="96"/>
  <c r="J39" i="96"/>
  <c r="F2" i="96"/>
  <c r="G113" i="96"/>
  <c r="L173" i="96"/>
  <c r="K280" i="96"/>
  <c r="F35" i="96"/>
  <c r="K90" i="96"/>
  <c r="E217" i="96"/>
  <c r="K232" i="96"/>
  <c r="M87" i="96"/>
  <c r="H327" i="96"/>
  <c r="K156" i="96"/>
  <c r="K183" i="96"/>
  <c r="L137" i="96"/>
  <c r="J47" i="96"/>
  <c r="H262" i="96"/>
  <c r="L2" i="96"/>
  <c r="E158" i="96"/>
  <c r="E26" i="96"/>
  <c r="L249" i="96"/>
  <c r="J38" i="96"/>
  <c r="K302" i="96"/>
  <c r="H55" i="96"/>
  <c r="M140" i="96"/>
  <c r="M21" i="96"/>
  <c r="M65" i="96"/>
  <c r="I94" i="96"/>
  <c r="I105" i="96"/>
  <c r="E21" i="96"/>
  <c r="J74" i="96"/>
  <c r="M25" i="96"/>
  <c r="M180" i="96"/>
  <c r="H5" i="96"/>
  <c r="M91" i="96"/>
  <c r="E145" i="96"/>
  <c r="J107" i="96"/>
  <c r="G88" i="96"/>
  <c r="L8" i="96"/>
  <c r="M212" i="96"/>
  <c r="L32" i="96"/>
  <c r="L240" i="96"/>
  <c r="I81" i="96"/>
  <c r="I165" i="96"/>
  <c r="I319" i="96"/>
  <c r="M327" i="96"/>
  <c r="K82" i="96"/>
  <c r="E261" i="96"/>
  <c r="F316" i="96"/>
  <c r="H201" i="96"/>
  <c r="F70" i="96"/>
  <c r="J45" i="96"/>
  <c r="H289" i="96"/>
  <c r="J323" i="96"/>
  <c r="G244" i="96"/>
  <c r="K54" i="96"/>
  <c r="H240" i="96"/>
  <c r="L273" i="96"/>
  <c r="H44" i="96"/>
  <c r="K315" i="96"/>
  <c r="E250" i="96"/>
  <c r="M193" i="96"/>
  <c r="J276" i="96"/>
  <c r="L192" i="96"/>
  <c r="M283" i="96"/>
  <c r="L68" i="96"/>
  <c r="L274" i="96"/>
  <c r="M34" i="96"/>
  <c r="J316" i="96"/>
  <c r="G279" i="96"/>
  <c r="M134" i="96"/>
  <c r="I216" i="96"/>
  <c r="L161" i="96"/>
  <c r="I238" i="96"/>
  <c r="G262" i="96"/>
  <c r="I271" i="96"/>
  <c r="F264" i="96"/>
  <c r="F315" i="96"/>
  <c r="H53" i="96"/>
  <c r="F127" i="96"/>
  <c r="G319" i="96"/>
  <c r="H91" i="96"/>
  <c r="J265" i="96"/>
  <c r="E13" i="96"/>
  <c r="K149" i="96"/>
  <c r="J20" i="96"/>
  <c r="G60" i="96"/>
  <c r="M125" i="96"/>
  <c r="J153" i="96"/>
  <c r="J109" i="96"/>
  <c r="M56" i="96"/>
  <c r="J132" i="96"/>
  <c r="K293" i="96"/>
  <c r="F53" i="96"/>
  <c r="H73" i="96"/>
  <c r="F197" i="96"/>
  <c r="F176" i="96"/>
  <c r="K44" i="96"/>
  <c r="H256" i="96"/>
  <c r="F113" i="96"/>
  <c r="H184" i="96"/>
  <c r="G178" i="96"/>
  <c r="I89" i="96"/>
  <c r="G117" i="96"/>
  <c r="E130" i="96"/>
  <c r="M208" i="96"/>
  <c r="H137" i="96"/>
  <c r="J310" i="96"/>
  <c r="H4" i="96"/>
  <c r="M3" i="96"/>
  <c r="J65" i="96"/>
  <c r="I211" i="96"/>
  <c r="F233" i="96"/>
  <c r="L154" i="96"/>
  <c r="F22" i="96"/>
  <c r="E310" i="96"/>
  <c r="E277" i="96"/>
  <c r="G294" i="96"/>
  <c r="E202" i="96"/>
  <c r="M182" i="96"/>
  <c r="J216" i="96"/>
  <c r="J230" i="96"/>
  <c r="G151" i="96"/>
  <c r="E187" i="96"/>
  <c r="H115" i="96"/>
  <c r="K178" i="96"/>
  <c r="F139" i="96"/>
  <c r="M306" i="96"/>
  <c r="J324" i="96"/>
  <c r="G249" i="96"/>
  <c r="I264" i="96"/>
  <c r="F336" i="96"/>
  <c r="M8" i="96"/>
  <c r="J159" i="96"/>
  <c r="K23" i="96"/>
  <c r="K12" i="96"/>
  <c r="G235" i="96"/>
  <c r="G50" i="96"/>
  <c r="M314" i="96"/>
  <c r="I277" i="96"/>
  <c r="I261" i="96"/>
  <c r="I121" i="96"/>
  <c r="H6" i="96"/>
  <c r="H26" i="96"/>
  <c r="H301" i="96"/>
  <c r="L316" i="96"/>
  <c r="K224" i="96"/>
  <c r="E222" i="96"/>
  <c r="I34" i="96"/>
  <c r="J66" i="96"/>
  <c r="J320" i="96"/>
  <c r="E300" i="96"/>
  <c r="E155" i="96"/>
  <c r="J284" i="96"/>
  <c r="L221" i="96"/>
  <c r="K276" i="96"/>
  <c r="E168" i="96"/>
  <c r="G316" i="96"/>
  <c r="M274" i="96"/>
  <c r="J127" i="96"/>
  <c r="L325" i="96"/>
  <c r="M235" i="96"/>
  <c r="H25" i="96"/>
  <c r="M192" i="96"/>
  <c r="L260" i="96"/>
  <c r="G296" i="96"/>
  <c r="J136" i="96"/>
  <c r="I212" i="96"/>
  <c r="M225" i="96"/>
  <c r="M48" i="96"/>
  <c r="G289" i="96"/>
  <c r="H182" i="96"/>
  <c r="H52" i="96"/>
  <c r="J87" i="96"/>
  <c r="L196" i="96"/>
  <c r="E226" i="96"/>
  <c r="J260" i="96"/>
  <c r="G239" i="96"/>
  <c r="F86" i="96"/>
  <c r="I262" i="96"/>
  <c r="I326" i="96"/>
  <c r="I87" i="96"/>
  <c r="M69" i="96"/>
  <c r="G135" i="96"/>
  <c r="G153" i="96"/>
  <c r="K278" i="96"/>
  <c r="L327" i="96"/>
  <c r="J268" i="96"/>
  <c r="J30" i="96"/>
  <c r="G215" i="96"/>
  <c r="I4" i="96"/>
  <c r="G284" i="96"/>
  <c r="I69" i="96"/>
  <c r="F3" i="96"/>
  <c r="H247" i="96"/>
  <c r="G41" i="96"/>
  <c r="L21" i="96"/>
  <c r="I246" i="96"/>
  <c r="E306" i="96"/>
  <c r="M277" i="96"/>
  <c r="L101" i="96"/>
  <c r="K164" i="96"/>
  <c r="I109" i="96"/>
  <c r="J167" i="96"/>
  <c r="H149" i="96"/>
  <c r="J156" i="96"/>
  <c r="H143" i="96"/>
  <c r="E240" i="96"/>
  <c r="H281" i="96"/>
  <c r="J236" i="96"/>
  <c r="H258" i="96"/>
  <c r="M261" i="96"/>
  <c r="L224" i="96"/>
  <c r="K256" i="96"/>
  <c r="K99" i="96"/>
  <c r="F51" i="96"/>
  <c r="I126" i="96"/>
  <c r="F255" i="96"/>
  <c r="G166" i="96"/>
  <c r="M288" i="96"/>
  <c r="L322" i="96"/>
  <c r="H246" i="96"/>
  <c r="H325" i="96"/>
  <c r="K323" i="96"/>
  <c r="H119" i="96"/>
  <c r="K87" i="96"/>
  <c r="L297" i="96"/>
  <c r="J217" i="96"/>
  <c r="G336" i="96"/>
  <c r="H83" i="96"/>
  <c r="J34" i="96"/>
  <c r="L146" i="96"/>
  <c r="G241" i="96"/>
  <c r="AN210" i="93"/>
  <c r="AN50" i="93"/>
  <c r="AN326" i="93"/>
  <c r="AN41" i="93"/>
  <c r="AN334" i="93"/>
  <c r="AN108" i="93"/>
  <c r="AN266" i="93"/>
  <c r="AN290" i="93"/>
  <c r="AN140" i="93"/>
  <c r="AN137" i="93"/>
  <c r="AN94" i="93"/>
  <c r="AN124" i="93"/>
  <c r="AN132" i="93"/>
  <c r="AN232" i="93"/>
  <c r="AN256" i="93"/>
  <c r="AN324" i="93"/>
  <c r="AN55" i="93"/>
  <c r="AN38" i="93"/>
  <c r="AN254" i="93"/>
  <c r="AN171" i="93"/>
  <c r="AN228" i="93"/>
  <c r="AN199" i="93"/>
  <c r="AN174" i="93"/>
  <c r="AN90" i="93"/>
  <c r="AN292" i="93"/>
  <c r="AN98" i="93"/>
  <c r="AN211" i="93"/>
  <c r="AN117" i="93"/>
  <c r="AN148" i="93"/>
  <c r="AN306" i="93"/>
  <c r="AN248" i="93"/>
  <c r="AN319" i="93"/>
  <c r="AN236" i="93"/>
  <c r="AN89" i="93"/>
  <c r="AN298" i="93"/>
  <c r="AN127" i="93"/>
  <c r="AN215" i="93"/>
  <c r="AN152" i="93"/>
  <c r="AN62" i="93"/>
  <c r="AN54" i="93"/>
  <c r="AN47" i="93"/>
  <c r="AN151" i="93"/>
  <c r="AN162" i="93"/>
  <c r="AN159" i="93"/>
  <c r="AN153" i="93"/>
  <c r="AN75" i="93"/>
  <c r="AN178" i="93"/>
  <c r="AN30" i="93"/>
  <c r="AN46" i="93"/>
  <c r="AN223" i="93"/>
  <c r="AN221" i="93"/>
  <c r="AN9" i="93"/>
  <c r="AN177" i="93"/>
  <c r="AN150" i="93"/>
  <c r="AN166" i="93"/>
  <c r="AN297" i="93"/>
  <c r="AN130" i="93"/>
  <c r="AN27" i="93"/>
  <c r="AN204" i="93"/>
  <c r="AN161" i="93"/>
  <c r="AN35" i="93"/>
  <c r="AN238" i="93"/>
  <c r="AN303" i="93"/>
  <c r="AN192" i="93"/>
  <c r="AN244" i="93"/>
  <c r="AN273" i="93"/>
  <c r="AN284" i="93"/>
  <c r="AN230" i="93"/>
  <c r="AN81" i="93"/>
  <c r="AN207" i="93"/>
  <c r="AN185" i="93"/>
  <c r="AN165" i="93"/>
  <c r="AN300" i="93"/>
  <c r="AN327" i="93"/>
  <c r="AN262" i="93"/>
  <c r="AN302" i="93"/>
  <c r="AN285" i="93"/>
  <c r="AN209" i="93"/>
  <c r="AN122" i="93"/>
  <c r="AN325" i="93"/>
  <c r="AN301" i="93"/>
  <c r="AN31" i="93"/>
  <c r="AN86" i="93"/>
  <c r="AN194" i="93"/>
  <c r="AN330" i="93"/>
  <c r="AN250" i="93"/>
  <c r="AN19" i="93"/>
  <c r="AN337" i="93"/>
  <c r="AN257" i="93"/>
  <c r="AN48" i="93"/>
  <c r="AN102" i="93"/>
  <c r="AN26" i="93"/>
  <c r="AN175" i="93"/>
  <c r="AN97" i="93"/>
  <c r="AN193" i="93"/>
  <c r="AN293" i="93"/>
  <c r="AN307" i="93"/>
  <c r="AN20" i="93"/>
  <c r="AN56" i="93"/>
  <c r="AN260" i="93"/>
  <c r="AN310" i="93"/>
  <c r="AN281" i="93"/>
  <c r="AN241" i="93"/>
  <c r="AN71" i="93"/>
  <c r="AN259" i="93"/>
  <c r="AN146" i="93"/>
  <c r="AN157" i="93"/>
  <c r="AN74" i="93"/>
  <c r="AN268" i="93"/>
  <c r="AN66" i="93"/>
  <c r="AN181" i="93"/>
  <c r="AN80" i="93"/>
  <c r="AN169" i="93"/>
  <c r="AN88" i="93"/>
  <c r="AN84" i="93"/>
  <c r="AN180" i="93"/>
  <c r="AN212" i="93"/>
  <c r="AN258" i="93"/>
  <c r="AN190" i="93"/>
  <c r="AN23" i="93"/>
  <c r="AN25" i="93"/>
  <c r="AN245" i="93"/>
  <c r="AN40" i="93"/>
  <c r="AN299" i="93"/>
  <c r="AN34" i="93"/>
  <c r="AN269" i="93"/>
  <c r="AN208" i="93"/>
  <c r="AN271" i="93"/>
  <c r="AN112" i="93"/>
  <c r="AN191" i="93"/>
  <c r="AN189" i="93"/>
  <c r="AN205" i="93"/>
  <c r="AN33" i="93"/>
  <c r="AN85" i="93"/>
  <c r="AN147" i="93"/>
  <c r="AN202" i="93"/>
  <c r="AN29" i="93"/>
  <c r="AN139" i="93"/>
  <c r="AN52" i="93"/>
  <c r="AN295" i="93"/>
  <c r="AN43" i="93"/>
  <c r="AN21" i="93"/>
  <c r="AN242" i="93"/>
  <c r="AN49" i="93"/>
  <c r="AN173" i="93"/>
  <c r="AN163" i="93"/>
  <c r="AN92" i="93"/>
  <c r="AN67" i="93"/>
  <c r="AN144" i="93"/>
  <c r="AN183" i="93"/>
  <c r="AN200" i="93"/>
  <c r="AN10" i="93"/>
  <c r="AN289" i="93"/>
  <c r="AN141" i="93"/>
  <c r="AN149" i="93"/>
  <c r="AN104" i="93"/>
  <c r="AN305" i="93"/>
  <c r="AN214" i="93"/>
  <c r="AN114" i="93"/>
  <c r="AN42" i="93"/>
  <c r="AN167" i="93"/>
  <c r="AN267" i="93"/>
  <c r="AN32" i="93"/>
  <c r="AN206" i="93"/>
  <c r="AN95" i="93"/>
  <c r="AN321" i="93"/>
  <c r="AN255" i="93"/>
  <c r="AN135" i="93"/>
  <c r="AN60" i="93"/>
  <c r="AN313" i="93"/>
  <c r="AN82" i="93"/>
  <c r="AN304" i="93"/>
  <c r="AN118" i="93"/>
  <c r="AN155" i="93"/>
  <c r="AN22" i="93"/>
  <c r="AN99" i="93"/>
  <c r="AN78" i="93"/>
  <c r="AN323" i="93"/>
  <c r="AN309" i="93"/>
  <c r="AN156" i="93"/>
  <c r="AN59" i="93"/>
  <c r="AN196" i="93"/>
  <c r="AN198" i="93"/>
  <c r="AN16" i="93"/>
  <c r="AN129" i="93"/>
  <c r="AN125" i="93"/>
  <c r="AN226" i="93"/>
  <c r="AN107" i="93"/>
  <c r="AN274" i="93"/>
  <c r="AN239" i="93"/>
  <c r="AN24" i="93"/>
  <c r="AN265" i="93"/>
  <c r="AN235" i="93"/>
  <c r="AN216" i="93"/>
  <c r="AN213" i="93"/>
  <c r="AN123" i="93"/>
  <c r="AN240" i="93"/>
  <c r="AN120" i="93"/>
  <c r="AN333" i="93"/>
  <c r="AN105" i="93"/>
  <c r="AN100" i="93"/>
  <c r="AN65" i="93"/>
  <c r="AN249" i="93"/>
  <c r="AN51" i="93"/>
  <c r="AN264" i="93"/>
  <c r="AN186" i="93"/>
  <c r="AN93" i="93"/>
  <c r="AN111" i="93"/>
  <c r="AN203" i="93"/>
  <c r="AN237" i="93"/>
  <c r="AN160" i="93"/>
  <c r="AN288" i="93"/>
  <c r="AN61" i="93"/>
  <c r="AN287" i="93"/>
  <c r="AN279" i="93"/>
  <c r="AN138" i="93"/>
  <c r="AN286" i="93"/>
  <c r="AN143" i="93"/>
  <c r="AN96" i="93"/>
  <c r="AN18" i="93"/>
  <c r="AN338" i="93"/>
  <c r="AN164" i="93"/>
  <c r="AN109" i="93"/>
  <c r="AN79" i="93"/>
  <c r="AN261" i="93"/>
  <c r="AN332" i="93"/>
  <c r="AN335" i="93"/>
  <c r="AN158" i="93"/>
  <c r="AN116" i="93"/>
  <c r="AN317" i="93"/>
  <c r="AN69" i="93"/>
  <c r="AN126" i="93"/>
  <c r="AN336" i="93"/>
  <c r="AN275" i="93"/>
  <c r="AN316" i="93"/>
  <c r="AN220" i="93"/>
  <c r="AN63" i="93"/>
  <c r="AN15" i="93"/>
  <c r="AN187" i="93"/>
  <c r="AN218" i="93"/>
  <c r="AN39" i="93"/>
  <c r="AN142" i="93"/>
  <c r="AN87" i="93"/>
  <c r="AN314" i="93"/>
  <c r="AN231" i="93"/>
  <c r="AN136" i="93"/>
  <c r="AN246" i="93"/>
  <c r="AN197" i="93"/>
  <c r="AN103" i="93"/>
  <c r="AN195" i="93"/>
  <c r="AN128" i="93"/>
  <c r="AN270" i="93"/>
  <c r="AN233" i="93"/>
  <c r="AN311" i="93"/>
  <c r="AN296" i="93"/>
  <c r="AN234" i="93"/>
  <c r="AN219" i="93"/>
  <c r="AN57" i="93"/>
  <c r="AN277" i="93"/>
  <c r="AN119" i="93"/>
  <c r="AN64" i="93"/>
  <c r="AN253" i="93"/>
  <c r="AN217" i="93"/>
  <c r="AN133" i="93"/>
  <c r="AN13" i="93"/>
  <c r="AN121" i="93"/>
  <c r="AN278" i="93"/>
  <c r="AN77" i="93"/>
  <c r="AN331" i="93"/>
  <c r="AN227" i="93"/>
  <c r="AN272" i="93"/>
  <c r="AN176" i="93"/>
  <c r="AN53" i="93"/>
  <c r="AN11" i="93"/>
  <c r="AN247" i="93"/>
  <c r="AN225" i="93"/>
  <c r="AN315" i="93"/>
  <c r="AN263" i="93"/>
  <c r="AN8" i="93"/>
  <c r="AN14" i="93"/>
  <c r="AN308" i="93"/>
  <c r="AN179" i="93"/>
  <c r="AN115" i="93"/>
  <c r="AN320" i="93"/>
  <c r="AN224" i="93"/>
  <c r="AN329" i="93"/>
  <c r="AN252" i="93"/>
  <c r="AN45" i="93"/>
  <c r="AN91" i="93"/>
  <c r="AN70" i="93"/>
  <c r="AN251" i="93"/>
  <c r="AN276" i="93"/>
  <c r="AN280" i="93"/>
  <c r="AN201" i="93"/>
  <c r="AN328" i="93"/>
  <c r="AN73" i="93"/>
  <c r="AN322" i="93"/>
  <c r="AN243" i="93"/>
  <c r="AN72" i="93"/>
  <c r="AN184" i="93"/>
  <c r="AN12" i="93"/>
  <c r="AN154" i="93"/>
  <c r="AN68" i="93"/>
  <c r="AN110" i="93"/>
  <c r="AN291" i="93"/>
  <c r="AN182" i="93"/>
  <c r="AN312" i="93"/>
  <c r="AN282" i="93"/>
  <c r="AN58" i="93"/>
  <c r="AN172" i="93"/>
  <c r="AN170" i="93"/>
  <c r="AN229" i="93"/>
  <c r="AN101" i="93"/>
  <c r="AN113" i="93"/>
  <c r="AN134" i="93"/>
  <c r="AN37" i="93"/>
  <c r="AN106" i="93"/>
  <c r="AN17" i="93"/>
  <c r="AN76" i="93"/>
  <c r="AN36" i="93"/>
  <c r="AN222" i="93"/>
  <c r="AN131" i="93"/>
  <c r="AN294" i="93"/>
  <c r="AN283" i="93"/>
  <c r="AN318" i="93"/>
  <c r="AN83" i="93"/>
  <c r="AN28" i="93"/>
  <c r="AN188" i="93"/>
  <c r="AN168" i="93"/>
  <c r="AN145" i="93"/>
  <c r="AN44" i="93"/>
  <c r="Y4" i="93"/>
  <c r="N4" i="94" a="1"/>
  <c r="N4" i="94" s="1"/>
  <c r="N5" i="94" a="1"/>
  <c r="N5" i="94" s="1"/>
  <c r="N6" i="94" a="1"/>
  <c r="N6" i="94" s="1"/>
  <c r="Q4" i="93"/>
  <c r="Q5" i="94" a="1"/>
  <c r="Q5" i="94" s="1"/>
  <c r="Q4" i="94" a="1"/>
  <c r="Q4" i="94" s="1"/>
  <c r="X4" i="93" s="1"/>
  <c r="Q6" i="94" a="1"/>
  <c r="Q6" i="94" s="1"/>
  <c r="Q6" i="93"/>
  <c r="Q5" i="93"/>
  <c r="Q7" i="93"/>
  <c r="R4" i="93"/>
  <c r="R6" i="93"/>
  <c r="R5" i="93"/>
  <c r="R7" i="93"/>
  <c r="S4" i="93"/>
  <c r="S6" i="93"/>
  <c r="S5" i="93"/>
  <c r="S7" i="93"/>
  <c r="T4" i="93"/>
  <c r="T6" i="93"/>
  <c r="T5" i="93"/>
  <c r="T7" i="93"/>
  <c r="U4" i="93"/>
  <c r="AG4" i="93" s="1"/>
  <c r="U6" i="93"/>
  <c r="AG6" i="93" s="1"/>
  <c r="U5" i="93"/>
  <c r="AG5" i="93" s="1"/>
  <c r="U7" i="93"/>
  <c r="AG7" i="93" s="1"/>
  <c r="AB5" i="93"/>
  <c r="AB7" i="93"/>
  <c r="AB4" i="93"/>
  <c r="W154" i="97" s="1" a="1"/>
  <c r="W154" i="97" s="1"/>
  <c r="X154" i="97" s="1"/>
  <c r="AB6" i="93"/>
  <c r="W198" i="97" s="1" a="1"/>
  <c r="W198" i="97" s="1"/>
  <c r="X198" i="97" s="1"/>
  <c r="AC5" i="93"/>
  <c r="AD5" i="93" s="1" a="1"/>
  <c r="AD5" i="93" s="1"/>
  <c r="AC7" i="93"/>
  <c r="AE7" i="93" s="1" a="1"/>
  <c r="AE7" i="93" s="1"/>
  <c r="AF7" i="93" s="1" a="1"/>
  <c r="AF7" i="93" s="1"/>
  <c r="AC4" i="93"/>
  <c r="AE4" i="93" s="1" a="1"/>
  <c r="AE4" i="93" s="1"/>
  <c r="AF4" i="93" s="1" a="1"/>
  <c r="AF4" i="93" s="1"/>
  <c r="AC6" i="93"/>
  <c r="AD6" i="93" s="1" a="1"/>
  <c r="AD6" i="93" s="1"/>
  <c r="T184" i="27"/>
  <c r="Q4" i="97" s="1" a="1"/>
  <c r="Q4" i="97" s="1"/>
  <c r="T60" i="27"/>
  <c r="Q17" i="97" s="1" a="1"/>
  <c r="Q17" i="97" s="1"/>
  <c r="T4" i="27"/>
  <c r="T199" i="27"/>
  <c r="Q5" i="97" s="1" a="1"/>
  <c r="Q5" i="97" s="1"/>
  <c r="U184" i="27"/>
  <c r="R4" i="97" s="1" a="1"/>
  <c r="R4" i="97" s="1"/>
  <c r="U60" i="27"/>
  <c r="R17" i="97" s="1" a="1"/>
  <c r="R17" i="97" s="1"/>
  <c r="U4" i="27"/>
  <c r="U199" i="27"/>
  <c r="R5" i="97" s="1" a="1"/>
  <c r="R5" i="97" s="1"/>
  <c r="Q184" i="27"/>
  <c r="N4" i="97" s="1" a="1"/>
  <c r="N4" i="97" s="1"/>
  <c r="Q60" i="27"/>
  <c r="N17" i="97" s="1" a="1"/>
  <c r="N17" i="97" s="1"/>
  <c r="Q4" i="27"/>
  <c r="Q199" i="27"/>
  <c r="N5" i="97" s="1" a="1"/>
  <c r="N5" i="97" s="1"/>
  <c r="R184" i="27"/>
  <c r="O4" i="97" s="1" a="1"/>
  <c r="O4" i="97" s="1"/>
  <c r="R60" i="27"/>
  <c r="O17" i="97" s="1" a="1"/>
  <c r="O17" i="97" s="1"/>
  <c r="R4" i="27"/>
  <c r="R199" i="27"/>
  <c r="O5" i="97" s="1" a="1"/>
  <c r="O5" i="97" s="1"/>
  <c r="V184" i="27"/>
  <c r="S4" i="97" s="1" a="1"/>
  <c r="S4" i="97" s="1"/>
  <c r="V60" i="27"/>
  <c r="S17" i="97" s="1" a="1"/>
  <c r="S17" i="97" s="1"/>
  <c r="V4" i="27"/>
  <c r="V199" i="27"/>
  <c r="S5" i="97" s="1" a="1"/>
  <c r="S5" i="97" s="1"/>
  <c r="W184" i="27"/>
  <c r="T4" i="97" s="1" a="1"/>
  <c r="T4" i="97" s="1"/>
  <c r="W60" i="27"/>
  <c r="T17" i="97" s="1" a="1"/>
  <c r="T17" i="97" s="1"/>
  <c r="W4" i="27"/>
  <c r="W199" i="27"/>
  <c r="T5" i="97" s="1" a="1"/>
  <c r="T5" i="97" s="1"/>
  <c r="X184" i="27"/>
  <c r="U4" i="97" s="1" a="1"/>
  <c r="U4" i="97" s="1"/>
  <c r="X60" i="27"/>
  <c r="U17" i="97" s="1" a="1"/>
  <c r="U17" i="97" s="1"/>
  <c r="X4" i="27"/>
  <c r="X199" i="27"/>
  <c r="U5" i="97" s="1" a="1"/>
  <c r="U5" i="97" s="1"/>
  <c r="AW1" i="27"/>
  <c r="W162" i="97" l="1" a="1"/>
  <c r="W162" i="97" s="1"/>
  <c r="X162" i="97" s="1"/>
  <c r="W84" i="97" a="1"/>
  <c r="W84" i="97" s="1"/>
  <c r="X84" i="97" s="1"/>
  <c r="W323" i="97" a="1"/>
  <c r="W323" i="97" s="1"/>
  <c r="X323" i="97" s="1"/>
  <c r="R251" i="97" a="1"/>
  <c r="R251" i="97" s="1"/>
  <c r="N251" i="97" a="1"/>
  <c r="N251" i="97" s="1"/>
  <c r="O251" i="97" a="1"/>
  <c r="O251" i="97" s="1"/>
  <c r="Q251" i="97" a="1"/>
  <c r="Q251" i="97" s="1"/>
  <c r="U251" i="97" a="1"/>
  <c r="U251" i="97" s="1"/>
  <c r="T251" i="97" a="1"/>
  <c r="T251" i="97" s="1"/>
  <c r="S251" i="97" a="1"/>
  <c r="S251" i="97" s="1"/>
  <c r="W81" i="97" a="1"/>
  <c r="W81" i="97" s="1"/>
  <c r="X81" i="97" s="1"/>
  <c r="W17" i="97" a="1"/>
  <c r="W17" i="97" s="1"/>
  <c r="X17" i="97" s="1"/>
  <c r="W79" i="97" a="1"/>
  <c r="W79" i="97" s="1"/>
  <c r="X79" i="97" s="1"/>
  <c r="W4" i="97" a="1"/>
  <c r="W4" i="97" s="1"/>
  <c r="X4" i="97" s="1"/>
  <c r="W80" i="97" a="1"/>
  <c r="W80" i="97" s="1"/>
  <c r="X80" i="97" s="1"/>
  <c r="W5" i="97" a="1"/>
  <c r="W5" i="97" s="1"/>
  <c r="X5" i="97" s="1"/>
  <c r="W78" i="97" a="1"/>
  <c r="W78" i="97" s="1"/>
  <c r="X78" i="97" s="1"/>
  <c r="W251" i="97" a="1"/>
  <c r="W251" i="97" s="1"/>
  <c r="X251" i="97" s="1"/>
  <c r="Y6" i="92"/>
  <c r="Y5" i="92"/>
  <c r="Y4" i="92"/>
  <c r="Y7" i="93"/>
  <c r="Y6" i="93"/>
  <c r="Y5" i="93"/>
  <c r="AA5" i="94" a="1"/>
  <c r="AA5" i="94" s="1"/>
  <c r="AA4" i="94" a="1"/>
  <c r="AA4" i="94" s="1"/>
  <c r="Z4" i="93" s="1"/>
  <c r="AI4" i="93" s="1" a="1"/>
  <c r="AI4" i="93" s="1"/>
  <c r="AA6" i="94" a="1"/>
  <c r="AA6" i="94" s="1"/>
  <c r="AD7" i="93" a="1"/>
  <c r="AD7" i="93" s="1"/>
  <c r="AD4" i="93" a="1"/>
  <c r="AD4" i="93" s="1"/>
  <c r="AH7" i="93"/>
  <c r="AO7" i="93"/>
  <c r="AU60" i="27" s="1"/>
  <c r="AH6" i="93"/>
  <c r="AO6" i="93"/>
  <c r="AU199" i="27" s="1"/>
  <c r="AH5" i="93"/>
  <c r="AO5" i="93"/>
  <c r="AU184" i="27" s="1"/>
  <c r="AH4" i="93"/>
  <c r="AO4" i="93"/>
  <c r="AU4" i="27" s="1"/>
  <c r="AE6" i="93" a="1"/>
  <c r="AE6" i="93" s="1"/>
  <c r="AF6" i="93" s="1" a="1"/>
  <c r="AF6" i="93" s="1"/>
  <c r="AE5" i="93" a="1"/>
  <c r="AE5" i="93" s="1"/>
  <c r="AF5" i="93" s="1" a="1"/>
  <c r="AF5" i="93" s="1"/>
  <c r="X5" i="93"/>
  <c r="U5" i="92"/>
  <c r="P2" i="96" l="1"/>
  <c r="Z4" i="97" a="1"/>
  <c r="Z4" i="97" s="1"/>
  <c r="P3" i="96" a="1"/>
  <c r="P3" i="96" s="1"/>
  <c r="Z251" i="97" a="1"/>
  <c r="Z251" i="97" s="1"/>
  <c r="Z5" i="97" a="1"/>
  <c r="Z5" i="97" s="1"/>
  <c r="P4" i="96" a="1"/>
  <c r="P4" i="96" s="1"/>
  <c r="Z17" i="97" a="1"/>
  <c r="Z17" i="97" s="1"/>
  <c r="P5" i="96" a="1"/>
  <c r="P5" i="96" s="1"/>
  <c r="AV270" i="27"/>
  <c r="V131" i="97" s="1" a="1"/>
  <c r="V131" i="97" s="1"/>
  <c r="AV303" i="27"/>
  <c r="V234" i="97" s="1" a="1"/>
  <c r="V234" i="97" s="1"/>
  <c r="AV328" i="27"/>
  <c r="V289" i="97" s="1" a="1"/>
  <c r="V289" i="97" s="1"/>
  <c r="AV257" i="27"/>
  <c r="V118" i="97" s="1" a="1"/>
  <c r="V118" i="97" s="1"/>
  <c r="AV299" i="27"/>
  <c r="V227" i="97" s="1" a="1"/>
  <c r="V227" i="97" s="1"/>
  <c r="AV273" i="27"/>
  <c r="V165" i="97" s="1" a="1"/>
  <c r="V165" i="97" s="1"/>
  <c r="AV317" i="27"/>
  <c r="V272" i="97" s="1" a="1"/>
  <c r="V272" i="97" s="1"/>
  <c r="AV325" i="27"/>
  <c r="V285" i="97" s="1" a="1"/>
  <c r="V285" i="97" s="1"/>
  <c r="AV237" i="27"/>
  <c r="V92" i="97" s="1" a="1"/>
  <c r="V92" i="97" s="1"/>
  <c r="AV322" i="27"/>
  <c r="V279" i="97" s="1" a="1"/>
  <c r="V279" i="97" s="1"/>
  <c r="AV296" i="27"/>
  <c r="V220" i="97" s="1" a="1"/>
  <c r="V220" i="97" s="1"/>
  <c r="AV253" i="27"/>
  <c r="V27" i="97" s="1" a="1"/>
  <c r="V27" i="97" s="1"/>
  <c r="AV321" i="27"/>
  <c r="V277" i="97" s="1" a="1"/>
  <c r="V277" i="97" s="1"/>
  <c r="AV285" i="27"/>
  <c r="V176" i="97" s="1" a="1"/>
  <c r="V176" i="97" s="1"/>
  <c r="AV329" i="27"/>
  <c r="V291" i="97" s="1" a="1"/>
  <c r="V291" i="97" s="1"/>
  <c r="AV302" i="27"/>
  <c r="V232" i="97" s="1" a="1"/>
  <c r="V232" i="97" s="1"/>
  <c r="AV305" i="27"/>
  <c r="V249" i="97" s="1" a="1"/>
  <c r="V249" i="97" s="1"/>
  <c r="AV310" i="27"/>
  <c r="V258" i="97" s="1" a="1"/>
  <c r="V258" i="97" s="1"/>
  <c r="AV308" i="27"/>
  <c r="V253" i="97" s="1" a="1"/>
  <c r="V253" i="97" s="1"/>
  <c r="AV280" i="27"/>
  <c r="V172" i="97" s="1" a="1"/>
  <c r="V172" i="97" s="1"/>
  <c r="AV318" i="27"/>
  <c r="V274" i="97" s="1" a="1"/>
  <c r="V274" i="97" s="1"/>
  <c r="AV240" i="27"/>
  <c r="V96" i="97" s="1" a="1"/>
  <c r="V96" i="97" s="1"/>
  <c r="AV235" i="27"/>
  <c r="V86" i="97" s="1" a="1"/>
  <c r="V86" i="97" s="1"/>
  <c r="AV333" i="27"/>
  <c r="V299" i="97" s="1" a="1"/>
  <c r="V299" i="97" s="1"/>
  <c r="AV268" i="27"/>
  <c r="V41" i="97" s="1" a="1"/>
  <c r="V41" i="97" s="1"/>
  <c r="AV314" i="27"/>
  <c r="V267" i="97" s="1" a="1"/>
  <c r="V267" i="97" s="1"/>
  <c r="AV259" i="27"/>
  <c r="V121" i="97" s="1" a="1"/>
  <c r="V121" i="97" s="1"/>
  <c r="AV288" i="27"/>
  <c r="V333" i="97" s="1" a="1"/>
  <c r="V333" i="97" s="1"/>
  <c r="AV277" i="27"/>
  <c r="V60" i="97" s="1" a="1"/>
  <c r="V60" i="97" s="1"/>
  <c r="AV320" i="27"/>
  <c r="V276" i="97" s="1" a="1"/>
  <c r="V276" i="97" s="1"/>
  <c r="AV247" i="27"/>
  <c r="V108" i="97" s="1" a="1"/>
  <c r="V108" i="97" s="1"/>
  <c r="AV275" i="27"/>
  <c r="V169" i="97" s="1" a="1"/>
  <c r="V169" i="97" s="1"/>
  <c r="AV264" i="27"/>
  <c r="V126" i="97" s="1" a="1"/>
  <c r="V126" i="97" s="1"/>
  <c r="AV294" i="27"/>
  <c r="V218" i="97" s="1" a="1"/>
  <c r="V218" i="97" s="1"/>
  <c r="AV307" i="27"/>
  <c r="V252" i="97" s="1" a="1"/>
  <c r="V252" i="97" s="1"/>
  <c r="AV330" i="27"/>
  <c r="V294" i="97" s="1" a="1"/>
  <c r="V294" i="97" s="1"/>
  <c r="AV306" i="27"/>
  <c r="V70" i="97" s="1" a="1"/>
  <c r="V70" i="97" s="1"/>
  <c r="AV297" i="27"/>
  <c r="V223" i="97" s="1" a="1"/>
  <c r="V223" i="97" s="1"/>
  <c r="AV266" i="27"/>
  <c r="V40" i="97" s="1" a="1"/>
  <c r="V40" i="97" s="1"/>
  <c r="AV323" i="27"/>
  <c r="V282" i="97" s="1" a="1"/>
  <c r="V282" i="97" s="1"/>
  <c r="AV242" i="27"/>
  <c r="V100" i="97" s="1" a="1"/>
  <c r="V100" i="97" s="1"/>
  <c r="AV315" i="27"/>
  <c r="V270" i="97" s="1" a="1"/>
  <c r="V270" i="97" s="1"/>
  <c r="AV243" i="27"/>
  <c r="V102" i="97" s="1" a="1"/>
  <c r="V102" i="97" s="1"/>
  <c r="AV276" i="27"/>
  <c r="V170" i="97" s="1" a="1"/>
  <c r="V170" i="97" s="1"/>
  <c r="AV332" i="27"/>
  <c r="V297" i="97" s="1" a="1"/>
  <c r="V297" i="97" s="1"/>
  <c r="AV255" i="27"/>
  <c r="V115" i="97" s="1" a="1"/>
  <c r="V115" i="97" s="1"/>
  <c r="AV274" i="27"/>
  <c r="V166" i="97" s="1" a="1"/>
  <c r="V166" i="97" s="1"/>
  <c r="AV258" i="27"/>
  <c r="V120" i="97" s="1" a="1"/>
  <c r="V120" i="97" s="1"/>
  <c r="AV292" i="27"/>
  <c r="V213" i="97" s="1" a="1"/>
  <c r="V213" i="97" s="1"/>
  <c r="AV293" i="27"/>
  <c r="V217" i="97" s="1" a="1"/>
  <c r="V217" i="97" s="1"/>
  <c r="AV316" i="27"/>
  <c r="V271" i="97" s="1" a="1"/>
  <c r="V271" i="97" s="1"/>
  <c r="AV250" i="27"/>
  <c r="V24" i="97" s="1" a="1"/>
  <c r="V24" i="97" s="1"/>
  <c r="AV312" i="27"/>
  <c r="V263" i="97" s="1" a="1"/>
  <c r="V263" i="97" s="1"/>
  <c r="AV278" i="27"/>
  <c r="V331" i="97" s="1" a="1"/>
  <c r="V331" i="97" s="1"/>
  <c r="AV281" i="27"/>
  <c r="V173" i="97" s="1" a="1"/>
  <c r="V173" i="97" s="1"/>
  <c r="AV319" i="27"/>
  <c r="V275" i="97" s="1" a="1"/>
  <c r="V275" i="97" s="1"/>
  <c r="AV238" i="27"/>
  <c r="V93" i="97" s="1" a="1"/>
  <c r="V93" i="97" s="1"/>
  <c r="AV286" i="27"/>
  <c r="V177" i="97" s="1" a="1"/>
  <c r="V177" i="97" s="1"/>
  <c r="AV239" i="27"/>
  <c r="V95" i="97" s="1" a="1"/>
  <c r="V95" i="97" s="1"/>
  <c r="AV248" i="27"/>
  <c r="V22" i="97" s="1" a="1"/>
  <c r="V22" i="97" s="1"/>
  <c r="AV291" i="27"/>
  <c r="V200" i="97" s="1" a="1"/>
  <c r="V200" i="97" s="1"/>
  <c r="AV300" i="27"/>
  <c r="V67" i="97" s="1" a="1"/>
  <c r="V67" i="97" s="1"/>
  <c r="AV267" i="27"/>
  <c r="V127" i="97" s="1" a="1"/>
  <c r="V127" i="97" s="1"/>
  <c r="AV251" i="27"/>
  <c r="V110" i="97" s="1" a="1"/>
  <c r="V110" i="97" s="1"/>
  <c r="AV279" i="27"/>
  <c r="V171" i="97" s="1" a="1"/>
  <c r="V171" i="97" s="1"/>
  <c r="AV246" i="27"/>
  <c r="V106" i="97" s="1" a="1"/>
  <c r="V106" i="97" s="1"/>
  <c r="AV249" i="27"/>
  <c r="V23" i="97" s="1" a="1"/>
  <c r="V23" i="97" s="1"/>
  <c r="AV233" i="27"/>
  <c r="V76" i="97" s="1" a="1"/>
  <c r="V76" i="97" s="1"/>
  <c r="AV289" i="27"/>
  <c r="V194" i="97" s="1" a="1"/>
  <c r="V194" i="97" s="1"/>
  <c r="AV334" i="27"/>
  <c r="V303" i="97" s="1" a="1"/>
  <c r="V303" i="97" s="1"/>
  <c r="AV236" i="27"/>
  <c r="V91" i="97" s="1" a="1"/>
  <c r="V91" i="97" s="1"/>
  <c r="AV252" i="27"/>
  <c r="V26" i="97" s="1" a="1"/>
  <c r="V26" i="97" s="1"/>
  <c r="AV269" i="27"/>
  <c r="V128" i="97" s="1" a="1"/>
  <c r="V128" i="97" s="1"/>
  <c r="AV234" i="27"/>
  <c r="V82" i="97" s="1" a="1"/>
  <c r="V82" i="97" s="1"/>
  <c r="AV265" i="27"/>
  <c r="V330" i="97" s="1" a="1"/>
  <c r="V330" i="97" s="1"/>
  <c r="AV245" i="27"/>
  <c r="V105" i="97" s="1" a="1"/>
  <c r="V105" i="97" s="1"/>
  <c r="AV309" i="27"/>
  <c r="V255" i="97" s="1" a="1"/>
  <c r="V255" i="97" s="1"/>
  <c r="AV241" i="27"/>
  <c r="V97" i="97" s="1" a="1"/>
  <c r="V97" i="97" s="1"/>
  <c r="AV295" i="27"/>
  <c r="V219" i="97" s="1" a="1"/>
  <c r="V219" i="97" s="1"/>
  <c r="AV324" i="27"/>
  <c r="V283" i="97" s="1" a="1"/>
  <c r="V283" i="97" s="1"/>
  <c r="AV244" i="27"/>
  <c r="V103" i="97" s="1" a="1"/>
  <c r="V103" i="97" s="1"/>
  <c r="AV260" i="27"/>
  <c r="V122" i="97" s="1" a="1"/>
  <c r="V122" i="97" s="1"/>
  <c r="AV283" i="27"/>
  <c r="V61" i="97" s="1" a="1"/>
  <c r="V61" i="97" s="1"/>
  <c r="AV311" i="27"/>
  <c r="V259" i="97" s="1" a="1"/>
  <c r="V259" i="97" s="1"/>
  <c r="AV256" i="27"/>
  <c r="V116" i="97" s="1" a="1"/>
  <c r="V116" i="97" s="1"/>
  <c r="AV336" i="27"/>
  <c r="V306" i="97" s="1" a="1"/>
  <c r="V306" i="97" s="1"/>
  <c r="AV331" i="27"/>
  <c r="V296" i="97" s="1" a="1"/>
  <c r="V296" i="97" s="1"/>
  <c r="AV301" i="27"/>
  <c r="V231" i="97" s="1" a="1"/>
  <c r="V231" i="97" s="1"/>
  <c r="AV313" i="27"/>
  <c r="V264" i="97" s="1" a="1"/>
  <c r="V264" i="97" s="1"/>
  <c r="AV263" i="27"/>
  <c r="V125" i="97" s="1" a="1"/>
  <c r="V125" i="97" s="1"/>
  <c r="AV287" i="27"/>
  <c r="V178" i="97" s="1" a="1"/>
  <c r="V178" i="97" s="1"/>
  <c r="AV282" i="27"/>
  <c r="V174" i="97" s="1" a="1"/>
  <c r="V174" i="97" s="1"/>
  <c r="AV290" i="27"/>
  <c r="V334" i="97" s="1" a="1"/>
  <c r="V334" i="97" s="1"/>
  <c r="AV261" i="27"/>
  <c r="V123" i="97" s="1" a="1"/>
  <c r="V123" i="97" s="1"/>
  <c r="AV298" i="27"/>
  <c r="V226" i="97" s="1" a="1"/>
  <c r="V226" i="97" s="1"/>
  <c r="AV335" i="27"/>
  <c r="V305" i="97" s="1" a="1"/>
  <c r="V305" i="97" s="1"/>
  <c r="AV271" i="27"/>
  <c r="V152" i="97" s="1" a="1"/>
  <c r="V152" i="97" s="1"/>
  <c r="AV304" i="27"/>
  <c r="V237" i="97" s="1" a="1"/>
  <c r="V237" i="97" s="1"/>
  <c r="AV262" i="27"/>
  <c r="V124" i="97" s="1" a="1"/>
  <c r="V124" i="97" s="1"/>
  <c r="AV326" i="27"/>
  <c r="V286" i="97" s="1" a="1"/>
  <c r="V286" i="97" s="1"/>
  <c r="AV284" i="27"/>
  <c r="V175" i="97" s="1" a="1"/>
  <c r="V175" i="97" s="1"/>
  <c r="AV327" i="27"/>
  <c r="V288" i="97" s="1" a="1"/>
  <c r="V288" i="97" s="1"/>
  <c r="AV254" i="27"/>
  <c r="V113" i="97" s="1" a="1"/>
  <c r="V113" i="97" s="1"/>
  <c r="AJ4" i="93"/>
  <c r="Z7" i="93"/>
  <c r="Z5" i="93"/>
  <c r="Z6" i="93"/>
  <c r="X6" i="93"/>
  <c r="X7" i="93"/>
  <c r="X5" i="92"/>
  <c r="V6" i="92"/>
  <c r="V5" i="92"/>
  <c r="X4" i="92"/>
  <c r="V7" i="92"/>
  <c r="Y7" i="92"/>
  <c r="V4" i="92"/>
  <c r="X7" i="92"/>
  <c r="X6" i="92"/>
  <c r="U7" i="92"/>
  <c r="Z7" i="92"/>
  <c r="Z4" i="92"/>
  <c r="Z5" i="92"/>
  <c r="U6" i="92"/>
  <c r="Z6" i="92"/>
  <c r="U4" i="92"/>
  <c r="BA249" i="27" l="1"/>
  <c r="BC249" i="27" s="1"/>
  <c r="BA332" i="27"/>
  <c r="BC332" i="27" s="1"/>
  <c r="BA288" i="27"/>
  <c r="BC288" i="27" s="1"/>
  <c r="BA311" i="27"/>
  <c r="BC311" i="27" s="1"/>
  <c r="BD311" i="27"/>
  <c r="BA259" i="27"/>
  <c r="BC259" i="27" s="1"/>
  <c r="BA290" i="27"/>
  <c r="BC290" i="27" s="1"/>
  <c r="BA283" i="27"/>
  <c r="BC283" i="27" s="1"/>
  <c r="BA245" i="27"/>
  <c r="BC245" i="27" s="1"/>
  <c r="BA246" i="27"/>
  <c r="BC246" i="27" s="1"/>
  <c r="BA248" i="27"/>
  <c r="BC248" i="27" s="1"/>
  <c r="BA316" i="27"/>
  <c r="BC316" i="27" s="1"/>
  <c r="BA314" i="27"/>
  <c r="BC314" i="27" s="1"/>
  <c r="BA239" i="27"/>
  <c r="BC239" i="27" s="1"/>
  <c r="BA294" i="27"/>
  <c r="BC294" i="27" s="1"/>
  <c r="BD224" i="27"/>
  <c r="BD99" i="27"/>
  <c r="BA293" i="27"/>
  <c r="BC293" i="27" s="1"/>
  <c r="BD217" i="27"/>
  <c r="BA322" i="27"/>
  <c r="BC322" i="27" s="1"/>
  <c r="BA271" i="27"/>
  <c r="BC271" i="27" s="1"/>
  <c r="BA282" i="27"/>
  <c r="BC282" i="27" s="1"/>
  <c r="BA279" i="27"/>
  <c r="BC279" i="27" s="1"/>
  <c r="BA286" i="27"/>
  <c r="BC286" i="27" s="1"/>
  <c r="BA292" i="27"/>
  <c r="BC292" i="27" s="1"/>
  <c r="BD176" i="27"/>
  <c r="BA242" i="27"/>
  <c r="BC242" i="27" s="1"/>
  <c r="BA264" i="27"/>
  <c r="BC264" i="27" s="1"/>
  <c r="BA310" i="27"/>
  <c r="BC310" i="27" s="1"/>
  <c r="BA327" i="27"/>
  <c r="BC327" i="27" s="1"/>
  <c r="BA265" i="27"/>
  <c r="BC265" i="27" s="1"/>
  <c r="BA238" i="27"/>
  <c r="BC238" i="27" s="1"/>
  <c r="BA305" i="27"/>
  <c r="BC305" i="27" s="1"/>
  <c r="BA237" i="27"/>
  <c r="BC237" i="27" s="1"/>
  <c r="BA261" i="27"/>
  <c r="BC261" i="27" s="1"/>
  <c r="BA335" i="27"/>
  <c r="BC335" i="27" s="1"/>
  <c r="BA234" i="27"/>
  <c r="BC234" i="27" s="1"/>
  <c r="BA275" i="27"/>
  <c r="BC275" i="27" s="1"/>
  <c r="BA325" i="27"/>
  <c r="BC325" i="27" s="1"/>
  <c r="BA287" i="27"/>
  <c r="BC287" i="27" s="1"/>
  <c r="BA263" i="27"/>
  <c r="BC263" i="27" s="1"/>
  <c r="BA260" i="27"/>
  <c r="BC260" i="27" s="1"/>
  <c r="BA323" i="27"/>
  <c r="BC323" i="27" s="1"/>
  <c r="BD323" i="27"/>
  <c r="BA317" i="27"/>
  <c r="BC317" i="27" s="1"/>
  <c r="BD317" i="27"/>
  <c r="BA254" i="27"/>
  <c r="BC254" i="27" s="1"/>
  <c r="BA298" i="27"/>
  <c r="BC298" i="27" s="1"/>
  <c r="BD298" i="27"/>
  <c r="BD19" i="27"/>
  <c r="BA244" i="27"/>
  <c r="BC244" i="27" s="1"/>
  <c r="BA319" i="27"/>
  <c r="BC319" i="27" s="1"/>
  <c r="BA268" i="27"/>
  <c r="BC268" i="27" s="1"/>
  <c r="BA273" i="27"/>
  <c r="BC273" i="27" s="1"/>
  <c r="BD273" i="27"/>
  <c r="BA269" i="27"/>
  <c r="BC269" i="27" s="1"/>
  <c r="BA251" i="27"/>
  <c r="BC251" i="27" s="1"/>
  <c r="BA266" i="27"/>
  <c r="BC266" i="27" s="1"/>
  <c r="BA324" i="27"/>
  <c r="BC324" i="27" s="1"/>
  <c r="BA252" i="27"/>
  <c r="BC252" i="27" s="1"/>
  <c r="BA281" i="27"/>
  <c r="BC281" i="27" s="1"/>
  <c r="BD281" i="27"/>
  <c r="BA302" i="27"/>
  <c r="BC302" i="27" s="1"/>
  <c r="BD302" i="27"/>
  <c r="BA299" i="27"/>
  <c r="BC299" i="27" s="1"/>
  <c r="BA278" i="27"/>
  <c r="BC278" i="27" s="1"/>
  <c r="BD172" i="27"/>
  <c r="BD228" i="27"/>
  <c r="BA267" i="27"/>
  <c r="BC267" i="27" s="1"/>
  <c r="BA329" i="27"/>
  <c r="BC329" i="27" s="1"/>
  <c r="BA257" i="27"/>
  <c r="BC257" i="27" s="1"/>
  <c r="BA262" i="27"/>
  <c r="BC262" i="27" s="1"/>
  <c r="BA333" i="27"/>
  <c r="BC333" i="27" s="1"/>
  <c r="BA301" i="27"/>
  <c r="BC301" i="27" s="1"/>
  <c r="BA276" i="27"/>
  <c r="BC276" i="27" s="1"/>
  <c r="BA285" i="27"/>
  <c r="BC285" i="27" s="1"/>
  <c r="BA328" i="27"/>
  <c r="BC328" i="27" s="1"/>
  <c r="BA297" i="27"/>
  <c r="BC297" i="27" s="1"/>
  <c r="BA235" i="27"/>
  <c r="BC235" i="27" s="1"/>
  <c r="BA284" i="27"/>
  <c r="BC284" i="27" s="1"/>
  <c r="BD284" i="27"/>
  <c r="BA304" i="27"/>
  <c r="BC304" i="27" s="1"/>
  <c r="BA240" i="27"/>
  <c r="BC240" i="27" s="1"/>
  <c r="BA303" i="27"/>
  <c r="BC303" i="27" s="1"/>
  <c r="BD208" i="27"/>
  <c r="BA331" i="27"/>
  <c r="BC331" i="27" s="1"/>
  <c r="BA306" i="27"/>
  <c r="BC306" i="27" s="1"/>
  <c r="BA247" i="27"/>
  <c r="BC247" i="27" s="1"/>
  <c r="BA321" i="27"/>
  <c r="BC321" i="27" s="1"/>
  <c r="BD321" i="27"/>
  <c r="BD31" i="27"/>
  <c r="BA313" i="27"/>
  <c r="BC313" i="27" s="1"/>
  <c r="BA236" i="27"/>
  <c r="BC236" i="27" s="1"/>
  <c r="BA289" i="27"/>
  <c r="BC289" i="27" s="1"/>
  <c r="BA330" i="27"/>
  <c r="BC330" i="27" s="1"/>
  <c r="BA318" i="27"/>
  <c r="BC318" i="27" s="1"/>
  <c r="BA295" i="27"/>
  <c r="BC295" i="27" s="1"/>
  <c r="BA312" i="27"/>
  <c r="BC312" i="27" s="1"/>
  <c r="BA274" i="27"/>
  <c r="BC274" i="27" s="1"/>
  <c r="BD274" i="27"/>
  <c r="BA243" i="27"/>
  <c r="BC243" i="27" s="1"/>
  <c r="BA280" i="27"/>
  <c r="BC280" i="27" s="1"/>
  <c r="BA253" i="27"/>
  <c r="BC253" i="27" s="1"/>
  <c r="BA326" i="27"/>
  <c r="BC326" i="27" s="1"/>
  <c r="BA291" i="27"/>
  <c r="BC291" i="27" s="1"/>
  <c r="BA258" i="27"/>
  <c r="BC258" i="27" s="1"/>
  <c r="BA336" i="27"/>
  <c r="BC336" i="27" s="1"/>
  <c r="BA250" i="27"/>
  <c r="BC250" i="27" s="1"/>
  <c r="BA315" i="27"/>
  <c r="BC315" i="27" s="1"/>
  <c r="BA308" i="27"/>
  <c r="BC308" i="27" s="1"/>
  <c r="BA296" i="27"/>
  <c r="BC296" i="27" s="1"/>
  <c r="BA270" i="27"/>
  <c r="BC270" i="27" s="1"/>
  <c r="BA334" i="27"/>
  <c r="BC334" i="27" s="1"/>
  <c r="BA241" i="27"/>
  <c r="BC241" i="27" s="1"/>
  <c r="BA255" i="27"/>
  <c r="BC255" i="27" s="1"/>
  <c r="BA307" i="27"/>
  <c r="BC307" i="27" s="1"/>
  <c r="BA320" i="27"/>
  <c r="BC320" i="27" s="1"/>
  <c r="BA300" i="27"/>
  <c r="BC300" i="27" s="1"/>
  <c r="BA256" i="27"/>
  <c r="BC256" i="27" s="1"/>
  <c r="BA309" i="27"/>
  <c r="BC309" i="27" s="1"/>
  <c r="BA233" i="27"/>
  <c r="BC233" i="27" s="1"/>
  <c r="BD174" i="27"/>
  <c r="BA277" i="27"/>
  <c r="BC277" i="27" s="1"/>
  <c r="AI6" i="93" a="1"/>
  <c r="AI6" i="93" s="1"/>
  <c r="AJ6" i="93"/>
  <c r="AJ5" i="93"/>
  <c r="AI5" i="93" a="1"/>
  <c r="AI5" i="93" s="1"/>
  <c r="AI7" i="93" a="1"/>
  <c r="AI7" i="93" s="1"/>
  <c r="AJ7" i="93"/>
  <c r="BD315" i="27" l="1"/>
  <c r="BD182" i="27"/>
  <c r="BD8" i="27"/>
  <c r="BD141" i="27"/>
  <c r="BD167" i="27"/>
  <c r="BD87" i="27"/>
  <c r="BD240" i="27"/>
  <c r="BD235" i="27"/>
  <c r="BD233" i="27"/>
  <c r="BD60" i="27"/>
  <c r="BD201" i="27"/>
  <c r="BD254" i="27"/>
  <c r="BD199" i="27"/>
  <c r="N15" i="95"/>
  <c r="BD192" i="27"/>
  <c r="BD80" i="27"/>
  <c r="BD38" i="27"/>
  <c r="BD111" i="27"/>
  <c r="BD309" i="27"/>
  <c r="BD156" i="27"/>
  <c r="BD165" i="27"/>
  <c r="BD221" i="27"/>
  <c r="BD34" i="27"/>
  <c r="BD148" i="27"/>
  <c r="BD249" i="27"/>
  <c r="BD305" i="27"/>
  <c r="BD331" i="27"/>
  <c r="BD109" i="27"/>
  <c r="BD297" i="27"/>
  <c r="BD189" i="27"/>
  <c r="BD267" i="27"/>
  <c r="BD271" i="27"/>
  <c r="BD94" i="27"/>
  <c r="BD110" i="27"/>
  <c r="BD312" i="27"/>
  <c r="BD71" i="27"/>
  <c r="BD147" i="27"/>
  <c r="BD191" i="27"/>
  <c r="BD78" i="27"/>
  <c r="BD131" i="27"/>
  <c r="BD175" i="27"/>
  <c r="BD93" i="27"/>
  <c r="BD18" i="27"/>
  <c r="BD227" i="27"/>
  <c r="BD286" i="27"/>
  <c r="BD280" i="27"/>
  <c r="BD52" i="27"/>
  <c r="BD63" i="27"/>
  <c r="BD150" i="27"/>
  <c r="BD245" i="27"/>
  <c r="BD72" i="27"/>
  <c r="BD289" i="27"/>
  <c r="BD299" i="27"/>
  <c r="BD181" i="27"/>
  <c r="BD82" i="27"/>
  <c r="BD133" i="27"/>
  <c r="BD334" i="27"/>
  <c r="BD14" i="27"/>
  <c r="BD190" i="27"/>
  <c r="BD195" i="27"/>
  <c r="BD170" i="27"/>
  <c r="BD292" i="27"/>
  <c r="BD293" i="27"/>
  <c r="BD161" i="27"/>
  <c r="BD313" i="27"/>
  <c r="BD223" i="27"/>
  <c r="BD23" i="27"/>
  <c r="BD123" i="27"/>
  <c r="BD152" i="27"/>
  <c r="BD270" i="27"/>
  <c r="BD185" i="27"/>
  <c r="BD180" i="27"/>
  <c r="BD122" i="27"/>
  <c r="BD320" i="27"/>
  <c r="BD308" i="27"/>
  <c r="BD285" i="27"/>
  <c r="BD53" i="27"/>
  <c r="BD27" i="27"/>
  <c r="BD96" i="27"/>
  <c r="BD282" i="27"/>
  <c r="BD219" i="27"/>
  <c r="BD212" i="27"/>
  <c r="BD204" i="27"/>
  <c r="BD209" i="27"/>
  <c r="BD79" i="27"/>
  <c r="BD116" i="27"/>
  <c r="BD104" i="27"/>
  <c r="BD338" i="27"/>
  <c r="BD77" i="27"/>
  <c r="BD84" i="27"/>
  <c r="BD177" i="27"/>
  <c r="BD336" i="27"/>
  <c r="BD24" i="27"/>
  <c r="BD206" i="27"/>
  <c r="BD153" i="27"/>
  <c r="BD329" i="27"/>
  <c r="BD193" i="27"/>
  <c r="BD106" i="27"/>
  <c r="BD47" i="27"/>
  <c r="BD76" i="27"/>
  <c r="BD50" i="27"/>
  <c r="BD51" i="27"/>
  <c r="BD92" i="27"/>
  <c r="BD261" i="27"/>
  <c r="BD239" i="27"/>
  <c r="BD215" i="27"/>
  <c r="BD229" i="27"/>
  <c r="BD157" i="27"/>
  <c r="BD124" i="27"/>
  <c r="BD207" i="27"/>
  <c r="BD98" i="27"/>
  <c r="BD137" i="27"/>
  <c r="BD247" i="27"/>
  <c r="BD128" i="27"/>
  <c r="BD333" i="27"/>
  <c r="BD101" i="27"/>
  <c r="BD154" i="27"/>
  <c r="BD105" i="27"/>
  <c r="BD237" i="27"/>
  <c r="BD327" i="27"/>
  <c r="BD288" i="27"/>
  <c r="BD130" i="27"/>
  <c r="BD16" i="27"/>
  <c r="BD48" i="27"/>
  <c r="BD33" i="27"/>
  <c r="BD211" i="27"/>
  <c r="BD183" i="27"/>
  <c r="BD43" i="27"/>
  <c r="BD203" i="27"/>
  <c r="BD316" i="27"/>
  <c r="BD118" i="27"/>
  <c r="BD255" i="27"/>
  <c r="BD295" i="27"/>
  <c r="BD138" i="27"/>
  <c r="BD90" i="27"/>
  <c r="BD102" i="27"/>
  <c r="BD242" i="27"/>
  <c r="BD246" i="27"/>
  <c r="BD37" i="27"/>
  <c r="BD140" i="27"/>
  <c r="BD117" i="27"/>
  <c r="BD200" i="27"/>
  <c r="BD85" i="27"/>
  <c r="BD7" i="27"/>
  <c r="BD13" i="27"/>
  <c r="BD68" i="27"/>
  <c r="BD210" i="27"/>
  <c r="BD251" i="27"/>
  <c r="BD260" i="27"/>
  <c r="BD234" i="27"/>
  <c r="BD290" i="27"/>
  <c r="BD186" i="27"/>
  <c r="BD188" i="27"/>
  <c r="BD86" i="27"/>
  <c r="BD276" i="27"/>
  <c r="BD262" i="27"/>
  <c r="BD113" i="27"/>
  <c r="BD244" i="27"/>
  <c r="BD46" i="27"/>
  <c r="BD149" i="27"/>
  <c r="BD74" i="27"/>
  <c r="BD241" i="27"/>
  <c r="BD250" i="27"/>
  <c r="BD243" i="27"/>
  <c r="BD216" i="27"/>
  <c r="BD5" i="27"/>
  <c r="BD265" i="27"/>
  <c r="BD139" i="27"/>
  <c r="BD166" i="27"/>
  <c r="BD100" i="27"/>
  <c r="BD44" i="27"/>
  <c r="BD120" i="27"/>
  <c r="BD164" i="27"/>
  <c r="BD310" i="27"/>
  <c r="BD220" i="27"/>
  <c r="BD134" i="27"/>
  <c r="BD230" i="27"/>
  <c r="BD214" i="27"/>
  <c r="BD28" i="27"/>
  <c r="BD337" i="27"/>
  <c r="BD22" i="27"/>
  <c r="BD213" i="27"/>
  <c r="BD56" i="27"/>
  <c r="BD179" i="27"/>
  <c r="BD36" i="27"/>
  <c r="BD40" i="27"/>
  <c r="BD168" i="27"/>
  <c r="BD171" i="27"/>
  <c r="BD97" i="27"/>
  <c r="BD324" i="27"/>
  <c r="BD263" i="27"/>
  <c r="BD26" i="27"/>
  <c r="BD256" i="27"/>
  <c r="BD307" i="27"/>
  <c r="BD225" i="27"/>
  <c r="BD330" i="27"/>
  <c r="BD160" i="27"/>
  <c r="BD248" i="27"/>
  <c r="BD163" i="27"/>
  <c r="BD258" i="27"/>
  <c r="BD112" i="27"/>
  <c r="BD266" i="27"/>
  <c r="BD268" i="27"/>
  <c r="BD325" i="27"/>
  <c r="BD151" i="27"/>
  <c r="BD132" i="27"/>
  <c r="BD332" i="27"/>
  <c r="BD300" i="27"/>
  <c r="BD306" i="27"/>
  <c r="BD303" i="27"/>
  <c r="BD88" i="27"/>
  <c r="BD301" i="27"/>
  <c r="BD319" i="27"/>
  <c r="BD12" i="27"/>
  <c r="BD294" i="27"/>
  <c r="BD198" i="27"/>
  <c r="BD197" i="27"/>
  <c r="BD318" i="27"/>
  <c r="BD257" i="27"/>
  <c r="BD144" i="27"/>
  <c r="BD196" i="27"/>
  <c r="BD287" i="27"/>
  <c r="BD264" i="27"/>
  <c r="BD322" i="27"/>
  <c r="BD173" i="27"/>
  <c r="BD283" i="27"/>
  <c r="BD127" i="27"/>
  <c r="BD277" i="27"/>
  <c r="BD296" i="27"/>
  <c r="BD291" i="27"/>
  <c r="BD236" i="27"/>
  <c r="BD178" i="27"/>
  <c r="BD67" i="27"/>
  <c r="BD69" i="27"/>
  <c r="BD272" i="27"/>
  <c r="BD238" i="27"/>
  <c r="BD143" i="27"/>
  <c r="BD145" i="27"/>
  <c r="BD129" i="27"/>
  <c r="BD326" i="27"/>
  <c r="BD169" i="27"/>
  <c r="BD304" i="27"/>
  <c r="BD328" i="27"/>
  <c r="BD83" i="27"/>
  <c r="BD269" i="27"/>
  <c r="BD9" i="27"/>
  <c r="BD335" i="27"/>
  <c r="BD91" i="27"/>
  <c r="BD218" i="27"/>
  <c r="BD30" i="27"/>
  <c r="BD135" i="27"/>
  <c r="BD259" i="27"/>
  <c r="BD35" i="27"/>
  <c r="BD65" i="27"/>
  <c r="BD314" i="27"/>
  <c r="BD202" i="27"/>
  <c r="BD39" i="27"/>
  <c r="BD159" i="27"/>
  <c r="BD32" i="27"/>
  <c r="BD253" i="27"/>
  <c r="BD194" i="27"/>
  <c r="BD158" i="27"/>
  <c r="BD107" i="27"/>
  <c r="BD278" i="27"/>
  <c r="BD252" i="27"/>
  <c r="BD187" i="27"/>
  <c r="BD275" i="27"/>
  <c r="BD279" i="27"/>
  <c r="BD21" i="27"/>
  <c r="BD25" i="27"/>
  <c r="BD11" i="27"/>
  <c r="BD10" i="27"/>
  <c r="BD54" i="27"/>
  <c r="BD17" i="27"/>
  <c r="AN5" i="93"/>
  <c r="AN6" i="93"/>
  <c r="AN7" i="93"/>
  <c r="AN4" i="93"/>
  <c r="BD4" i="27" l="1"/>
  <c r="AN2" i="93"/>
  <c r="BD184" i="27"/>
  <c r="BD15" i="27"/>
  <c r="Y22" i="27"/>
  <c r="M572" i="27"/>
  <c r="AB183" i="27" s="1"/>
  <c r="M430" i="27"/>
  <c r="M429" i="27"/>
  <c r="M552" i="27"/>
  <c r="M535" i="27"/>
  <c r="AB140" i="27"/>
  <c r="M419" i="27"/>
  <c r="M454" i="27"/>
  <c r="AB17" i="27" s="1"/>
  <c r="M611" i="27"/>
  <c r="M622" i="27"/>
  <c r="AB117" i="27"/>
  <c r="M546" i="27"/>
  <c r="AB153" i="27"/>
  <c r="M618" i="27"/>
  <c r="M504" i="27"/>
  <c r="M564" i="27"/>
  <c r="M647" i="27"/>
  <c r="AB84" i="27"/>
  <c r="M623" i="27"/>
  <c r="AB318" i="27" s="1"/>
  <c r="M654" i="27"/>
  <c r="M533" i="27"/>
  <c r="Y35" i="27"/>
  <c r="M428" i="27"/>
  <c r="AB257" i="27"/>
  <c r="M381" i="27"/>
  <c r="M538" i="27"/>
  <c r="AB290" i="27" s="1"/>
  <c r="M383" i="27"/>
  <c r="AB237" i="27" s="1"/>
  <c r="M443" i="27"/>
  <c r="M512" i="27"/>
  <c r="M561" i="27"/>
  <c r="M410" i="27"/>
  <c r="AB253" i="27" s="1"/>
  <c r="M396" i="27"/>
  <c r="M658" i="27"/>
  <c r="AB337" i="27"/>
  <c r="M586" i="27"/>
  <c r="AB194" i="27" s="1"/>
  <c r="M528" i="27"/>
  <c r="M573" i="27"/>
  <c r="AB98" i="27" s="1"/>
  <c r="M426" i="27"/>
  <c r="AB256" i="27" s="1"/>
  <c r="M465" i="27"/>
  <c r="M372" i="27"/>
  <c r="AB34" i="27" s="1"/>
  <c r="M655" i="27"/>
  <c r="M671" i="27"/>
  <c r="M596" i="27"/>
  <c r="M357" i="27"/>
  <c r="M642" i="27"/>
  <c r="M569" i="27"/>
  <c r="AB77" i="27" s="1"/>
  <c r="M680" i="27"/>
  <c r="AB14" i="27" s="1"/>
  <c r="M368" i="27"/>
  <c r="M663" i="27"/>
  <c r="M520" i="27"/>
  <c r="Y148" i="27" s="1"/>
  <c r="M583" i="27"/>
  <c r="AB129" i="27" s="1"/>
  <c r="M602" i="27"/>
  <c r="AB132" i="27" s="1"/>
  <c r="M519" i="27"/>
  <c r="AB138" i="27"/>
  <c r="M536" i="27"/>
  <c r="M417" i="27"/>
  <c r="M630" i="27"/>
  <c r="AB172" i="27" s="1"/>
  <c r="M506" i="27"/>
  <c r="AB280" i="27" s="1"/>
  <c r="M453" i="27"/>
  <c r="AB225" i="27" s="1"/>
  <c r="M382" i="27"/>
  <c r="AB236" i="27" s="1"/>
  <c r="M529" i="27"/>
  <c r="AB52" i="27" s="1"/>
  <c r="M435" i="27"/>
  <c r="AB263" i="27"/>
  <c r="M385" i="27"/>
  <c r="AB156" i="27" s="1"/>
  <c r="M629" i="27"/>
  <c r="AB164" i="27" s="1"/>
  <c r="M574" i="27"/>
  <c r="AB30" i="27" s="1"/>
  <c r="M393" i="27"/>
  <c r="Y137" i="27" s="1"/>
  <c r="M490" i="27"/>
  <c r="M643" i="27"/>
  <c r="AB330" i="27" s="1"/>
  <c r="M413" i="27"/>
  <c r="M501" i="27"/>
  <c r="M625" i="27"/>
  <c r="AB320" i="27"/>
  <c r="M350" i="27"/>
  <c r="AB204" i="27" s="1"/>
  <c r="M366" i="27"/>
  <c r="AB83" i="27" s="1"/>
  <c r="M532" i="27"/>
  <c r="M514" i="27"/>
  <c r="AB287" i="27"/>
  <c r="M397" i="27"/>
  <c r="AB245" i="27" s="1"/>
  <c r="M498" i="27"/>
  <c r="AB88" i="27" s="1"/>
  <c r="M579" i="27"/>
  <c r="M539" i="27"/>
  <c r="M650" i="27"/>
  <c r="AB181" i="27"/>
  <c r="M664" i="27"/>
  <c r="M507" i="27"/>
  <c r="AB281" i="27"/>
  <c r="M635" i="27"/>
  <c r="M610" i="27"/>
  <c r="M484" i="27"/>
  <c r="AB272" i="27" s="1"/>
  <c r="M678" i="27"/>
  <c r="M518" i="27"/>
  <c r="M608" i="27"/>
  <c r="M412" i="27"/>
  <c r="M388" i="27"/>
  <c r="M667" i="27"/>
  <c r="M636" i="27"/>
  <c r="Y206" i="27" s="1"/>
  <c r="M613" i="27"/>
  <c r="M392" i="27"/>
  <c r="AB242" i="27" s="1"/>
  <c r="M487" i="27"/>
  <c r="M609" i="27"/>
  <c r="AB72" i="27"/>
  <c r="M502" i="27"/>
  <c r="AB276" i="27" s="1"/>
  <c r="M606" i="27"/>
  <c r="M657" i="27"/>
  <c r="AB173" i="27"/>
  <c r="M649" i="27"/>
  <c r="M380" i="27"/>
  <c r="AB108" i="27" s="1"/>
  <c r="M537" i="27"/>
  <c r="M445" i="27"/>
  <c r="AB270" i="27" s="1"/>
  <c r="M471" i="27"/>
  <c r="AB229" i="27" s="1"/>
  <c r="M369" i="27"/>
  <c r="M617" i="27"/>
  <c r="M656" i="27"/>
  <c r="AB188" i="27"/>
  <c r="M527" i="27"/>
  <c r="M555" i="27"/>
  <c r="AB198" i="27" s="1"/>
  <c r="M398" i="27"/>
  <c r="AB246" i="27" s="1"/>
  <c r="M653" i="27"/>
  <c r="M461" i="27"/>
  <c r="M652" i="27"/>
  <c r="AB334" i="27"/>
  <c r="M509" i="27"/>
  <c r="M496" i="27"/>
  <c r="AB274" i="27"/>
  <c r="M386" i="27"/>
  <c r="AB239" i="27" s="1"/>
  <c r="M525" i="27"/>
  <c r="M503" i="27"/>
  <c r="AB277" i="27" s="1"/>
  <c r="M524" i="27"/>
  <c r="M402" i="27"/>
  <c r="AB248" i="27" s="1"/>
  <c r="M534" i="27"/>
  <c r="AB289" i="27"/>
  <c r="M676" i="27"/>
  <c r="Y67" i="27" s="1"/>
  <c r="M508" i="27"/>
  <c r="M628" i="27"/>
  <c r="AB322" i="27" s="1"/>
  <c r="M543" i="27"/>
  <c r="AB152" i="27" s="1"/>
  <c r="M455" i="27"/>
  <c r="AB87" i="27" s="1"/>
  <c r="M588" i="27"/>
  <c r="AB103" i="27" s="1"/>
  <c r="M660" i="27"/>
  <c r="M467" i="27"/>
  <c r="M404" i="27"/>
  <c r="AB249" i="27" s="1"/>
  <c r="M405" i="27"/>
  <c r="M568" i="27"/>
  <c r="AB31" i="27" s="1"/>
  <c r="M384" i="27"/>
  <c r="AB238" i="27"/>
  <c r="M598" i="27"/>
  <c r="AB97" i="27" s="1"/>
  <c r="M580" i="27"/>
  <c r="AB71" i="27"/>
  <c r="M581" i="27"/>
  <c r="AB182" i="27" s="1"/>
  <c r="M422" i="27"/>
  <c r="M462" i="27"/>
  <c r="M603" i="27"/>
  <c r="AB309" i="27" s="1"/>
  <c r="M432" i="27"/>
  <c r="AB260" i="27" s="1"/>
  <c r="M472" i="27"/>
  <c r="AB180" i="27" s="1"/>
  <c r="M460" i="27"/>
  <c r="AB223" i="27" s="1"/>
  <c r="M399" i="27"/>
  <c r="M570" i="27"/>
  <c r="M670" i="27"/>
  <c r="AB20" i="27"/>
  <c r="M679" i="27"/>
  <c r="AB109" i="27" s="1"/>
  <c r="M447" i="27"/>
  <c r="AB121" i="27" s="1"/>
  <c r="M531" i="27"/>
  <c r="AB16" i="27" s="1"/>
  <c r="M376" i="27"/>
  <c r="AB73" i="27" s="1"/>
  <c r="M457" i="27"/>
  <c r="M556" i="27"/>
  <c r="M364" i="27"/>
  <c r="AB234" i="27"/>
  <c r="M473" i="27"/>
  <c r="M521" i="27"/>
  <c r="AB224" i="27" s="1"/>
  <c r="M416" i="27"/>
  <c r="AB11" i="27" s="1"/>
  <c r="M597" i="27"/>
  <c r="M590" i="27"/>
  <c r="AB192" i="27" s="1"/>
  <c r="M355" i="27"/>
  <c r="M464" i="27"/>
  <c r="AB159" i="27" s="1"/>
  <c r="M675" i="27"/>
  <c r="Y13" i="27"/>
  <c r="M554" i="27"/>
  <c r="M482" i="27"/>
  <c r="AB39" i="27" s="1"/>
  <c r="M378" i="27"/>
  <c r="AB64" i="27" s="1"/>
  <c r="M356" i="27"/>
  <c r="AB105" i="27"/>
  <c r="M578" i="27"/>
  <c r="AB207" i="27" s="1"/>
  <c r="M379" i="27"/>
  <c r="AB126" i="27" s="1"/>
  <c r="M456" i="27"/>
  <c r="M553" i="27"/>
  <c r="M439" i="27"/>
  <c r="M575" i="27"/>
  <c r="AB300" i="27" s="1"/>
  <c r="M633" i="27"/>
  <c r="AB208" i="27" s="1"/>
  <c r="M495" i="27"/>
  <c r="M585" i="27"/>
  <c r="M526" i="27"/>
  <c r="M577" i="27"/>
  <c r="AB302" i="27" s="1"/>
  <c r="M550" i="27"/>
  <c r="AB12" i="27" s="1"/>
  <c r="M433" i="27"/>
  <c r="AB261" i="27" s="1"/>
  <c r="M365" i="27"/>
  <c r="M677" i="27"/>
  <c r="AB123" i="27"/>
  <c r="M479" i="27"/>
  <c r="M493" i="27"/>
  <c r="M584" i="27"/>
  <c r="M469" i="27"/>
  <c r="AB157" i="27"/>
  <c r="M637" i="27"/>
  <c r="M661" i="27"/>
  <c r="Y15" i="27" s="1"/>
  <c r="M492" i="27"/>
  <c r="AB7" i="27" s="1"/>
  <c r="M627" i="27"/>
  <c r="M620" i="27"/>
  <c r="AB316" i="27"/>
  <c r="M616" i="27"/>
  <c r="AB314" i="27" s="1"/>
  <c r="M551" i="27"/>
  <c r="M420" i="27"/>
  <c r="M662" i="27"/>
  <c r="Y114" i="27"/>
  <c r="M593" i="27"/>
  <c r="M651" i="27"/>
  <c r="AB214" i="27" s="1"/>
  <c r="M423" i="27"/>
  <c r="AB254" i="27" s="1"/>
  <c r="M352" i="27"/>
  <c r="Y222" i="27"/>
  <c r="M371" i="27"/>
  <c r="M530" i="27"/>
  <c r="AB101" i="27"/>
  <c r="M540" i="27"/>
  <c r="AB9" i="27"/>
  <c r="M477" i="27"/>
  <c r="M567" i="27"/>
  <c r="M672" i="27"/>
  <c r="M427" i="27"/>
  <c r="AB85" i="27" s="1"/>
  <c r="M558" i="27"/>
  <c r="AB53" i="27" s="1"/>
  <c r="M391" i="27"/>
  <c r="M408" i="27"/>
  <c r="M425" i="27"/>
  <c r="AB255" i="27" s="1"/>
  <c r="M424" i="27"/>
  <c r="AB37" i="27"/>
  <c r="M437" i="27"/>
  <c r="M468" i="27"/>
  <c r="AB213" i="27"/>
  <c r="M544" i="27"/>
  <c r="AB175" i="27"/>
  <c r="M491" i="27"/>
  <c r="AB116" i="27" s="1"/>
  <c r="M587" i="27"/>
  <c r="AB179" i="27" s="1"/>
  <c r="M645" i="27"/>
  <c r="AB331" i="27" s="1"/>
  <c r="M363" i="27"/>
  <c r="Y142" i="27" s="1"/>
  <c r="M641" i="27"/>
  <c r="M499" i="27"/>
  <c r="AB44" i="27" s="1"/>
  <c r="M354" i="27"/>
  <c r="Y36" i="27" s="1"/>
  <c r="M400" i="27"/>
  <c r="AB247" i="27" s="1"/>
  <c r="M458" i="27"/>
  <c r="AB80" i="27" s="1"/>
  <c r="M571" i="27"/>
  <c r="M511" i="27"/>
  <c r="AB284" i="27" s="1"/>
  <c r="M648" i="27"/>
  <c r="M438" i="27"/>
  <c r="AB265" i="27" s="1"/>
  <c r="M547" i="27"/>
  <c r="AB149" i="27" s="1"/>
  <c r="M548" i="27"/>
  <c r="M361" i="27"/>
  <c r="AB24" i="27" s="1"/>
  <c r="M448" i="27"/>
  <c r="Y226" i="27" s="1"/>
  <c r="AB226" i="27"/>
  <c r="M374" i="27"/>
  <c r="AB141" i="27"/>
  <c r="M549" i="27"/>
  <c r="AB96" i="27" s="1"/>
  <c r="M481" i="27"/>
  <c r="M565" i="27"/>
  <c r="Y92" i="27"/>
  <c r="M515" i="27"/>
  <c r="AB143" i="27" s="1"/>
  <c r="M595" i="27"/>
  <c r="AB89" i="27"/>
  <c r="M607" i="27"/>
  <c r="AB310" i="27" s="1"/>
  <c r="M434" i="27"/>
  <c r="M668" i="27"/>
  <c r="M367" i="27"/>
  <c r="AB112" i="27" s="1"/>
  <c r="M415" i="27"/>
  <c r="AB94" i="27"/>
  <c r="M510" i="27"/>
  <c r="AB26" i="27"/>
  <c r="M621" i="27"/>
  <c r="M444" i="27"/>
  <c r="AB47" i="27" s="1"/>
  <c r="M517" i="27"/>
  <c r="M562" i="27"/>
  <c r="M411" i="27"/>
  <c r="M632" i="27"/>
  <c r="AB324" i="27" s="1"/>
  <c r="M377" i="27"/>
  <c r="M566" i="27"/>
  <c r="M353" i="27"/>
  <c r="M592" i="27"/>
  <c r="M418" i="27"/>
  <c r="AB81" i="27" s="1"/>
  <c r="M470" i="27"/>
  <c r="M394" i="27"/>
  <c r="AB243" i="27" s="1"/>
  <c r="M563" i="27"/>
  <c r="M449" i="27"/>
  <c r="AB54" i="27" s="1"/>
  <c r="M541" i="27"/>
  <c r="M480" i="27"/>
  <c r="AB155" i="27" s="1"/>
  <c r="M421" i="27"/>
  <c r="AB119" i="27"/>
  <c r="Y119" i="27"/>
  <c r="M446" i="27"/>
  <c r="M478" i="27"/>
  <c r="AB202" i="27" s="1"/>
  <c r="M375" i="27"/>
  <c r="AB70" i="27" s="1"/>
  <c r="M659" i="27"/>
  <c r="AB205" i="27" s="1"/>
  <c r="M387" i="27"/>
  <c r="M488" i="27"/>
  <c r="AB218" i="27" s="1"/>
  <c r="M440" i="27"/>
  <c r="AB267" i="27"/>
  <c r="M604" i="27"/>
  <c r="AB111" i="27" s="1"/>
  <c r="M591" i="27"/>
  <c r="AB220" i="27" s="1"/>
  <c r="M614" i="27"/>
  <c r="AB158" i="27" s="1"/>
  <c r="M389" i="27"/>
  <c r="AB65" i="27" s="1"/>
  <c r="M600" i="27"/>
  <c r="M486" i="27"/>
  <c r="M403" i="27"/>
  <c r="M406" i="27"/>
  <c r="AB251" i="27" s="1"/>
  <c r="M451" i="27"/>
  <c r="AB200" i="27"/>
  <c r="M463" i="27"/>
  <c r="M436" i="27"/>
  <c r="M674" i="27"/>
  <c r="M360" i="27"/>
  <c r="M624" i="27"/>
  <c r="AB319" i="27" s="1"/>
  <c r="M395" i="27"/>
  <c r="AB244" i="27" s="1"/>
  <c r="M640" i="27"/>
  <c r="M390" i="27"/>
  <c r="M557" i="27"/>
  <c r="M370" i="27"/>
  <c r="AB216" i="27" s="1"/>
  <c r="M442" i="27"/>
  <c r="AB269" i="27" s="1"/>
  <c r="M497" i="27"/>
  <c r="M483" i="27"/>
  <c r="AB82" i="27"/>
  <c r="M359" i="27"/>
  <c r="AB161" i="27" s="1"/>
  <c r="M474" i="27"/>
  <c r="AB154" i="27" s="1"/>
  <c r="M485" i="27"/>
  <c r="M358" i="27"/>
  <c r="M505" i="27"/>
  <c r="M638" i="27"/>
  <c r="AB328" i="27"/>
  <c r="M646" i="27"/>
  <c r="M594" i="27"/>
  <c r="M626" i="27"/>
  <c r="AB321" i="27" s="1"/>
  <c r="M513" i="27"/>
  <c r="M669" i="27"/>
  <c r="AB49" i="27" s="1"/>
  <c r="M582" i="27"/>
  <c r="AB304" i="27"/>
  <c r="M450" i="27"/>
  <c r="Y185" i="27" s="1"/>
  <c r="M401" i="27"/>
  <c r="M407" i="27"/>
  <c r="AB144" i="27" s="1"/>
  <c r="M639" i="27"/>
  <c r="M605" i="27"/>
  <c r="M599" i="27"/>
  <c r="Y62" i="27" s="1"/>
  <c r="M619" i="27"/>
  <c r="M665" i="27"/>
  <c r="M373" i="27"/>
  <c r="Y215" i="27"/>
  <c r="M494" i="27"/>
  <c r="AB48" i="27"/>
  <c r="M589" i="27"/>
  <c r="M452" i="27"/>
  <c r="M362" i="27"/>
  <c r="AB166" i="27" s="1"/>
  <c r="M466" i="27"/>
  <c r="M545" i="27"/>
  <c r="M409" i="27"/>
  <c r="M634" i="27"/>
  <c r="AB325" i="27"/>
  <c r="M489" i="27"/>
  <c r="AB78" i="27" s="1"/>
  <c r="M516" i="27"/>
  <c r="AB203" i="27" s="1"/>
  <c r="M666" i="27"/>
  <c r="M560" i="27"/>
  <c r="M500" i="27"/>
  <c r="AB275" i="27" s="1"/>
  <c r="M559" i="27"/>
  <c r="M441" i="27"/>
  <c r="AB268" i="27" s="1"/>
  <c r="M631" i="27"/>
  <c r="M601" i="27"/>
  <c r="AB308" i="27" s="1"/>
  <c r="M459" i="27"/>
  <c r="M673" i="27"/>
  <c r="Y58" i="27" s="1"/>
  <c r="M523" i="27"/>
  <c r="AB170" i="27"/>
  <c r="M476" i="27"/>
  <c r="AB196" i="27" s="1"/>
  <c r="M615" i="27"/>
  <c r="M431" i="27"/>
  <c r="M612" i="27"/>
  <c r="AB312" i="27" s="1"/>
  <c r="M542" i="27"/>
  <c r="AB291" i="27" s="1"/>
  <c r="M644" i="27"/>
  <c r="M475" i="27"/>
  <c r="AB176" i="27" s="1"/>
  <c r="M522" i="27"/>
  <c r="AB66" i="27"/>
  <c r="M576" i="27"/>
  <c r="M348" i="27"/>
  <c r="AB199" i="27" s="1"/>
  <c r="M349" i="27"/>
  <c r="AB60" i="27"/>
  <c r="M347" i="27"/>
  <c r="AB184" i="27" s="1"/>
  <c r="M351" i="27"/>
  <c r="M414" i="27"/>
  <c r="Y125" i="27" s="1"/>
  <c r="M346" i="27"/>
  <c r="AB4" i="27" s="1"/>
  <c r="N176" i="96" a="1"/>
  <c r="N106" i="96" a="1"/>
  <c r="N189" i="96" a="1"/>
  <c r="N221" i="96" a="1"/>
  <c r="N19" i="96" a="1"/>
  <c r="N104" i="96" a="1"/>
  <c r="N329" i="96" a="1"/>
  <c r="N292" i="96" a="1"/>
  <c r="N332" i="96" a="1"/>
  <c r="N255" i="96" a="1"/>
  <c r="N8" i="96" a="1"/>
  <c r="N318" i="96" a="1"/>
  <c r="N70" i="96" a="1"/>
  <c r="N317" i="96" a="1"/>
  <c r="N331" i="96" a="1"/>
  <c r="N274" i="96" a="1"/>
  <c r="N77" i="96" a="1"/>
  <c r="N49" i="96" a="1"/>
  <c r="N29" i="96" a="1"/>
  <c r="N10" i="96" a="1"/>
  <c r="N106" i="96" l="1"/>
  <c r="N318" i="96"/>
  <c r="N49" i="96"/>
  <c r="N255" i="96"/>
  <c r="N331" i="96"/>
  <c r="N77" i="96"/>
  <c r="N29" i="96"/>
  <c r="N332" i="96"/>
  <c r="N317" i="96"/>
  <c r="N10" i="96"/>
  <c r="N104" i="96"/>
  <c r="N329" i="96"/>
  <c r="N19" i="96"/>
  <c r="N176" i="96"/>
  <c r="N274" i="96"/>
  <c r="N8" i="96"/>
  <c r="N292" i="96"/>
  <c r="N70" i="96"/>
  <c r="N189" i="96"/>
  <c r="N221" i="96"/>
  <c r="AV58" i="27"/>
  <c r="V63" i="97" s="1" a="1"/>
  <c r="V63" i="97" s="1"/>
  <c r="AV119" i="27"/>
  <c r="V39" i="97" s="1" a="1"/>
  <c r="V39" i="97" s="1"/>
  <c r="AV67" i="27"/>
  <c r="V325" i="97" s="1" a="1"/>
  <c r="V325" i="97" s="1"/>
  <c r="AV142" i="27"/>
  <c r="BA142" i="27" s="1"/>
  <c r="AB222" i="27"/>
  <c r="AB35" i="27"/>
  <c r="Y217" i="27"/>
  <c r="Z217" i="27" s="1" a="1"/>
  <c r="Z217" i="27" s="1"/>
  <c r="AB217" i="27"/>
  <c r="Y195" i="27"/>
  <c r="AQ195" i="27" s="1" a="1"/>
  <c r="AQ195" i="27" s="1"/>
  <c r="AB195" i="27"/>
  <c r="Y55" i="27"/>
  <c r="AB55" i="27"/>
  <c r="Y56" i="27"/>
  <c r="AB56" i="27"/>
  <c r="AB42" i="27"/>
  <c r="Y42" i="27"/>
  <c r="AB59" i="27"/>
  <c r="Y59" i="27"/>
  <c r="AR59" i="27" s="1" a="1"/>
  <c r="AR59" i="27" s="1"/>
  <c r="Y139" i="27"/>
  <c r="AB139" i="27"/>
  <c r="Y46" i="27"/>
  <c r="AB46" i="27"/>
  <c r="AB215" i="27"/>
  <c r="AB13" i="27"/>
  <c r="Y20" i="27"/>
  <c r="Z20" i="27" s="1" a="1"/>
  <c r="Z20" i="27" s="1"/>
  <c r="Y73" i="27"/>
  <c r="AB67" i="27"/>
  <c r="AB114" i="27"/>
  <c r="Y66" i="27"/>
  <c r="Y126" i="27"/>
  <c r="AR126" i="27" s="1" a="1"/>
  <c r="AR126" i="27" s="1"/>
  <c r="Y188" i="27"/>
  <c r="Z188" i="27" s="1" a="1"/>
  <c r="Z188" i="27" s="1"/>
  <c r="AB185" i="27"/>
  <c r="AB92" i="27"/>
  <c r="AQ125" i="27" a="1"/>
  <c r="AQ125" i="27" s="1"/>
  <c r="AR125" i="27" a="1"/>
  <c r="AR125" i="27" s="1"/>
  <c r="Z125" i="27" a="1"/>
  <c r="Z125" i="27" s="1"/>
  <c r="AA125" i="27"/>
  <c r="Y35" i="97" s="1" a="1"/>
  <c r="Y35" i="97" s="1"/>
  <c r="AE125" i="27" a="1"/>
  <c r="AE125" i="27" s="1"/>
  <c r="AV125" i="27"/>
  <c r="S151" i="27"/>
  <c r="P65" i="97" s="1" a="1"/>
  <c r="P65" i="97" s="1"/>
  <c r="Q195" i="92"/>
  <c r="Y151" i="27"/>
  <c r="AB151" i="27"/>
  <c r="S8" i="27"/>
  <c r="P256" i="97" s="1" a="1"/>
  <c r="P256" i="97" s="1"/>
  <c r="Q70" i="92"/>
  <c r="Y8" i="27"/>
  <c r="AB8" i="27"/>
  <c r="S147" i="27"/>
  <c r="P36" i="97" s="1" a="1"/>
  <c r="P36" i="97" s="1"/>
  <c r="Q77" i="92"/>
  <c r="Y147" i="27"/>
  <c r="AB147" i="27"/>
  <c r="AR36" i="27" a="1"/>
  <c r="AR36" i="27" s="1"/>
  <c r="Z36" i="27" a="1"/>
  <c r="Z36" i="27" s="1"/>
  <c r="AQ36" i="27" a="1"/>
  <c r="AQ36" i="27" s="1"/>
  <c r="AA36" i="27"/>
  <c r="Y73" i="97" s="1" a="1"/>
  <c r="Y73" i="97" s="1"/>
  <c r="AE36" i="27" a="1"/>
  <c r="AE36" i="27" s="1"/>
  <c r="AV36" i="27"/>
  <c r="S174" i="27"/>
  <c r="P66" i="97" s="1" a="1"/>
  <c r="P66" i="97" s="1"/>
  <c r="Q212" i="92"/>
  <c r="Y174" i="27"/>
  <c r="AB174" i="27"/>
  <c r="Z15" i="27" a="1"/>
  <c r="Z15" i="27" s="1"/>
  <c r="AQ15" i="27" a="1"/>
  <c r="AQ15" i="27" s="1"/>
  <c r="AR15" i="27" a="1"/>
  <c r="AR15" i="27" s="1"/>
  <c r="AA15" i="27"/>
  <c r="Y310" i="97" s="1" a="1"/>
  <c r="Y310" i="97" s="1"/>
  <c r="AE15" i="27" a="1"/>
  <c r="AE15" i="27" s="1"/>
  <c r="AV15" i="27"/>
  <c r="Z148" i="27" a="1"/>
  <c r="Z148" i="27" s="1"/>
  <c r="AA148" i="27"/>
  <c r="Y183" i="97" s="1" a="1"/>
  <c r="Y183" i="97" s="1"/>
  <c r="AE148" i="27" a="1"/>
  <c r="AE148" i="27" s="1"/>
  <c r="AI148" i="27" s="1"/>
  <c r="AJ148" i="27" s="1" a="1"/>
  <c r="AJ148" i="27" s="1"/>
  <c r="AV148" i="27"/>
  <c r="S273" i="27"/>
  <c r="P165" i="97" s="1" a="1"/>
  <c r="P165" i="97" s="1"/>
  <c r="Y273" i="27"/>
  <c r="Q153" i="92"/>
  <c r="AB273" i="27"/>
  <c r="S45" i="27"/>
  <c r="P50" i="97" s="1" a="1"/>
  <c r="P50" i="97" s="1"/>
  <c r="Q321" i="92"/>
  <c r="AB45" i="27"/>
  <c r="Y45" i="27"/>
  <c r="S102" i="27"/>
  <c r="P300" i="97" s="1" a="1"/>
  <c r="P300" i="97" s="1"/>
  <c r="Q307" i="92"/>
  <c r="Y102" i="27"/>
  <c r="AB102" i="27"/>
  <c r="S104" i="27"/>
  <c r="P181" i="97" s="1" a="1"/>
  <c r="P181" i="97" s="1"/>
  <c r="Y104" i="27"/>
  <c r="Q176" i="92"/>
  <c r="AB104" i="27"/>
  <c r="Z226" i="27" a="1"/>
  <c r="Z226" i="27" s="1"/>
  <c r="AQ226" i="27" a="1"/>
  <c r="AQ226" i="27" s="1"/>
  <c r="AR226" i="27" a="1"/>
  <c r="AR226" i="27" s="1"/>
  <c r="AA226" i="27"/>
  <c r="Y13" i="97" s="1" a="1"/>
  <c r="Y13" i="97" s="1"/>
  <c r="AE226" i="27" a="1"/>
  <c r="AE226" i="27" s="1"/>
  <c r="AH226" i="27" s="1"/>
  <c r="AV226" i="27"/>
  <c r="S115" i="27"/>
  <c r="P16" i="97" s="1" a="1"/>
  <c r="P16" i="97" s="1"/>
  <c r="Q324" i="92"/>
  <c r="AB115" i="27"/>
  <c r="Y115" i="27"/>
  <c r="S282" i="27"/>
  <c r="P174" i="97" s="1" a="1"/>
  <c r="P174" i="97" s="1"/>
  <c r="Y282" i="27"/>
  <c r="Q166" i="92"/>
  <c r="AB282" i="27"/>
  <c r="S28" i="27"/>
  <c r="P317" i="97" s="1" a="1"/>
  <c r="P317" i="97" s="1"/>
  <c r="Q326" i="92"/>
  <c r="Y28" i="27"/>
  <c r="AB28" i="27"/>
  <c r="S90" i="27"/>
  <c r="P206" i="97" s="1" a="1"/>
  <c r="P206" i="97" s="1"/>
  <c r="Q206" i="92"/>
  <c r="Y90" i="27"/>
  <c r="AB90" i="27"/>
  <c r="S162" i="27"/>
  <c r="P242" i="97" s="1" a="1"/>
  <c r="P242" i="97" s="1"/>
  <c r="Q120" i="92"/>
  <c r="AB162" i="27"/>
  <c r="Y162" i="27"/>
  <c r="Z62" i="27" a="1"/>
  <c r="Z62" i="27" s="1"/>
  <c r="AR62" i="27" a="1"/>
  <c r="AR62" i="27" s="1"/>
  <c r="AQ62" i="27" a="1"/>
  <c r="AQ62" i="27" s="1"/>
  <c r="AA62" i="27"/>
  <c r="Y322" i="97" s="1" a="1"/>
  <c r="Y322" i="97" s="1"/>
  <c r="AE62" i="27" a="1"/>
  <c r="AE62" i="27" s="1"/>
  <c r="AV62" i="27"/>
  <c r="S107" i="27"/>
  <c r="P69" i="97" s="1" a="1"/>
  <c r="P69" i="97" s="1"/>
  <c r="Q250" i="92"/>
  <c r="Y107" i="27"/>
  <c r="AB107" i="27"/>
  <c r="S189" i="27"/>
  <c r="P104" i="97" s="1" a="1"/>
  <c r="P104" i="97" s="1"/>
  <c r="Q54" i="92"/>
  <c r="Y189" i="27"/>
  <c r="AB189" i="27"/>
  <c r="S307" i="27"/>
  <c r="P252" i="97" s="1" a="1"/>
  <c r="P252" i="97" s="1"/>
  <c r="Q258" i="92"/>
  <c r="Y307" i="27"/>
  <c r="AB307" i="27"/>
  <c r="S100" i="27"/>
  <c r="P246" i="97" s="1" a="1"/>
  <c r="P246" i="97" s="1"/>
  <c r="Q251" i="92"/>
  <c r="AB100" i="27"/>
  <c r="Y100" i="27"/>
  <c r="S301" i="27"/>
  <c r="P231" i="97" s="1" a="1"/>
  <c r="P231" i="97" s="1"/>
  <c r="Y301" i="27"/>
  <c r="Q234" i="92"/>
  <c r="AB301" i="27"/>
  <c r="S167" i="27"/>
  <c r="P20" i="97" s="1" a="1"/>
  <c r="P20" i="97" s="1"/>
  <c r="Q48" i="92"/>
  <c r="Y167" i="27"/>
  <c r="AB167" i="27"/>
  <c r="S231" i="27"/>
  <c r="P9" i="97" s="1" a="1"/>
  <c r="P9" i="97" s="1"/>
  <c r="Q11" i="92"/>
  <c r="Y231" i="27"/>
  <c r="AB231" i="27"/>
  <c r="S63" i="27"/>
  <c r="P163" i="97" s="1" a="1"/>
  <c r="P163" i="97" s="1"/>
  <c r="Y63" i="27"/>
  <c r="Q151" i="92"/>
  <c r="AB63" i="27"/>
  <c r="S266" i="27"/>
  <c r="P40" i="97" s="1" a="1"/>
  <c r="P40" i="97" s="1"/>
  <c r="Y266" i="27"/>
  <c r="Q97" i="92"/>
  <c r="AB266" i="27"/>
  <c r="S99" i="27"/>
  <c r="P304" i="97" s="1" a="1"/>
  <c r="P304" i="97" s="1"/>
  <c r="Q311" i="92"/>
  <c r="Y99" i="27"/>
  <c r="AB99" i="27"/>
  <c r="S228" i="27"/>
  <c r="P144" i="97" s="1" a="1"/>
  <c r="P144" i="97" s="1"/>
  <c r="Q128" i="92"/>
  <c r="Y228" i="27"/>
  <c r="AB228" i="27"/>
  <c r="S29" i="27"/>
  <c r="P314" i="97" s="1" a="1"/>
  <c r="P314" i="97" s="1"/>
  <c r="Q323" i="92"/>
  <c r="Y29" i="27"/>
  <c r="AB29" i="27"/>
  <c r="S241" i="27"/>
  <c r="P97" i="97" s="1" a="1"/>
  <c r="P97" i="97" s="1"/>
  <c r="Y241" i="27"/>
  <c r="Q46" i="92"/>
  <c r="AB241" i="27"/>
  <c r="S326" i="27"/>
  <c r="P286" i="97" s="1" a="1"/>
  <c r="P286" i="97" s="1"/>
  <c r="Y326" i="27"/>
  <c r="Q293" i="92"/>
  <c r="AB326" i="27"/>
  <c r="S233" i="27"/>
  <c r="P76" i="97" s="1" a="1"/>
  <c r="P76" i="97" s="1"/>
  <c r="Q15" i="92"/>
  <c r="Y233" i="27"/>
  <c r="AB233" i="27"/>
  <c r="S150" i="27"/>
  <c r="P187" i="97" s="1" a="1"/>
  <c r="P187" i="97" s="1"/>
  <c r="Q184" i="92"/>
  <c r="Y150" i="27"/>
  <c r="AB150" i="27"/>
  <c r="S32" i="27"/>
  <c r="P167" i="97" s="1" a="1"/>
  <c r="P167" i="97" s="1"/>
  <c r="Q155" i="92"/>
  <c r="Y32" i="27"/>
  <c r="AB32" i="27"/>
  <c r="S279" i="27"/>
  <c r="P171" i="97" s="1" a="1"/>
  <c r="P171" i="97" s="1"/>
  <c r="Y279" i="27"/>
  <c r="Q163" i="92"/>
  <c r="AB279" i="27"/>
  <c r="S110" i="27"/>
  <c r="P188" i="97" s="1" a="1"/>
  <c r="P188" i="97" s="1"/>
  <c r="Q185" i="92"/>
  <c r="Y110" i="27"/>
  <c r="AB110" i="27"/>
  <c r="S57" i="27"/>
  <c r="P34" i="97" s="1" a="1"/>
  <c r="P34" i="97" s="1"/>
  <c r="Q71" i="92"/>
  <c r="AB57" i="27"/>
  <c r="Y57" i="27"/>
  <c r="S278" i="27"/>
  <c r="P331" i="97" s="1" a="1"/>
  <c r="P331" i="97" s="1"/>
  <c r="Y278" i="27"/>
  <c r="Q162" i="92"/>
  <c r="AB278" i="27"/>
  <c r="S193" i="27"/>
  <c r="P290" i="97" s="1" a="1"/>
  <c r="P290" i="97" s="1"/>
  <c r="Q297" i="92"/>
  <c r="Y193" i="27"/>
  <c r="AB193" i="27"/>
  <c r="S187" i="27"/>
  <c r="P137" i="97" s="1" a="1"/>
  <c r="P137" i="97" s="1"/>
  <c r="Q114" i="92"/>
  <c r="Y187" i="27"/>
  <c r="AB187" i="27"/>
  <c r="S74" i="27"/>
  <c r="P203" i="97" s="1" a="1"/>
  <c r="P203" i="97" s="1"/>
  <c r="Y74" i="27"/>
  <c r="Q203" i="92"/>
  <c r="AB74" i="27"/>
  <c r="S297" i="27"/>
  <c r="P223" i="97" s="1" a="1"/>
  <c r="P223" i="97" s="1"/>
  <c r="Y297" i="27"/>
  <c r="Q225" i="92"/>
  <c r="AB297" i="27"/>
  <c r="S136" i="27"/>
  <c r="P313" i="97" s="1" a="1"/>
  <c r="P313" i="97" s="1"/>
  <c r="Q322" i="92"/>
  <c r="Y136" i="27"/>
  <c r="AB136" i="27"/>
  <c r="S5" i="27"/>
  <c r="P323" i="97" s="1" a="1"/>
  <c r="P323" i="97" s="1"/>
  <c r="Q329" i="92"/>
  <c r="Y5" i="27"/>
  <c r="AB5" i="27"/>
  <c r="S165" i="27"/>
  <c r="P79" i="97" s="1" a="1"/>
  <c r="P79" i="97" s="1"/>
  <c r="Q18" i="92"/>
  <c r="Y165" i="27"/>
  <c r="AB165" i="27"/>
  <c r="S211" i="27"/>
  <c r="P146" i="97" s="1" a="1"/>
  <c r="P146" i="97" s="1"/>
  <c r="AB211" i="27"/>
  <c r="Q131" i="92"/>
  <c r="Y211" i="27"/>
  <c r="S259" i="27"/>
  <c r="P121" i="97" s="1" a="1"/>
  <c r="P121" i="97" s="1"/>
  <c r="Y259" i="27"/>
  <c r="Q89" i="92"/>
  <c r="AB259" i="27"/>
  <c r="S327" i="27"/>
  <c r="P288" i="97" s="1" a="1"/>
  <c r="P288" i="97" s="1"/>
  <c r="Y327" i="27"/>
  <c r="Q295" i="92"/>
  <c r="AB327" i="27"/>
  <c r="S186" i="27"/>
  <c r="P211" i="97" s="1" a="1"/>
  <c r="P211" i="97" s="1"/>
  <c r="Q211" i="92"/>
  <c r="Y186" i="27"/>
  <c r="AB186" i="27"/>
  <c r="AQ92" i="27" a="1"/>
  <c r="AQ92" i="27" s="1"/>
  <c r="AR92" i="27" a="1"/>
  <c r="AR92" i="27" s="1"/>
  <c r="Z92" i="27" a="1"/>
  <c r="Z92" i="27" s="1"/>
  <c r="AA92" i="27"/>
  <c r="Y222" i="97" s="1" a="1"/>
  <c r="Y222" i="97" s="1"/>
  <c r="AE92" i="27" a="1"/>
  <c r="AE92" i="27" s="1"/>
  <c r="AH92" i="27" s="1"/>
  <c r="AV92" i="27"/>
  <c r="S299" i="27"/>
  <c r="P227" i="97" s="1" a="1"/>
  <c r="P227" i="97" s="1"/>
  <c r="Y299" i="27"/>
  <c r="Q229" i="92"/>
  <c r="AB299" i="27"/>
  <c r="S130" i="27"/>
  <c r="P59" i="97" s="1" a="1"/>
  <c r="P59" i="97" s="1"/>
  <c r="Q159" i="92"/>
  <c r="Y130" i="27"/>
  <c r="AB130" i="27"/>
  <c r="S201" i="27"/>
  <c r="P142" i="97" s="1" a="1"/>
  <c r="P142" i="97" s="1"/>
  <c r="Q124" i="92"/>
  <c r="AB201" i="27"/>
  <c r="Y201" i="27"/>
  <c r="S323" i="27"/>
  <c r="P282" i="97" s="1" a="1"/>
  <c r="P282" i="97" s="1"/>
  <c r="Q289" i="92"/>
  <c r="Y323" i="27"/>
  <c r="AB323" i="27"/>
  <c r="S295" i="27"/>
  <c r="P219" i="97" s="1" a="1"/>
  <c r="P219" i="97" s="1"/>
  <c r="Q220" i="92"/>
  <c r="Y295" i="27"/>
  <c r="AB295" i="27"/>
  <c r="S212" i="27"/>
  <c r="P268" i="97" s="1" a="1"/>
  <c r="P268" i="97" s="1"/>
  <c r="Q275" i="92"/>
  <c r="Y212" i="27"/>
  <c r="AB212" i="27"/>
  <c r="S128" i="27"/>
  <c r="P160" i="97" s="1" a="1"/>
  <c r="P160" i="97" s="1"/>
  <c r="Y128" i="27"/>
  <c r="Q148" i="92"/>
  <c r="AB128" i="27"/>
  <c r="AR114" i="27" a="1"/>
  <c r="AR114" i="27" s="1"/>
  <c r="Z114" i="27" a="1"/>
  <c r="Z114" i="27" s="1"/>
  <c r="AQ114" i="27" a="1"/>
  <c r="AQ114" i="27" s="1"/>
  <c r="AA114" i="27"/>
  <c r="Y49" i="97" s="1" a="1"/>
  <c r="Y49" i="97" s="1"/>
  <c r="AE114" i="27" a="1"/>
  <c r="AE114" i="27" s="1"/>
  <c r="AH114" i="27" s="1"/>
  <c r="AV114" i="27"/>
  <c r="S288" i="27"/>
  <c r="P333" i="97" s="1" a="1"/>
  <c r="P333" i="97" s="1"/>
  <c r="Q175" i="92"/>
  <c r="Y288" i="27"/>
  <c r="AB288" i="27"/>
  <c r="S190" i="27"/>
  <c r="P52" i="97" s="1" a="1"/>
  <c r="P52" i="97" s="1"/>
  <c r="Q125" i="92"/>
  <c r="Y190" i="27"/>
  <c r="AB190" i="27"/>
  <c r="Z206" i="27" a="1"/>
  <c r="Z206" i="27" s="1"/>
  <c r="AA206" i="27"/>
  <c r="Y287" i="97" s="1" a="1"/>
  <c r="Y287" i="97" s="1"/>
  <c r="AE206" i="27" a="1"/>
  <c r="AE206" i="27" s="1"/>
  <c r="AH206" i="27" s="1"/>
  <c r="AV206" i="27"/>
  <c r="Z137" i="27" a="1"/>
  <c r="Z137" i="27" s="1"/>
  <c r="AA137" i="27"/>
  <c r="Y101" i="97" s="1" a="1"/>
  <c r="Y101" i="97" s="1"/>
  <c r="AE137" i="27" a="1"/>
  <c r="AE137" i="27" s="1"/>
  <c r="AH137" i="27" s="1"/>
  <c r="AV137" i="27"/>
  <c r="S41" i="27"/>
  <c r="P247" i="97" s="1" a="1"/>
  <c r="P247" i="97" s="1"/>
  <c r="Q194" i="92"/>
  <c r="AB41" i="27"/>
  <c r="Y41" i="27"/>
  <c r="Z215" i="27" a="1"/>
  <c r="Z215" i="27" s="1"/>
  <c r="AQ215" i="27" a="1"/>
  <c r="AQ215" i="27" s="1"/>
  <c r="AR215" i="27" a="1"/>
  <c r="AR215" i="27" s="1"/>
  <c r="AA215" i="27"/>
  <c r="Y12" i="97" s="1" a="1"/>
  <c r="Y12" i="97" s="1"/>
  <c r="AE215" i="27" a="1"/>
  <c r="AE215" i="27" s="1"/>
  <c r="AV215" i="27"/>
  <c r="S19" i="27"/>
  <c r="P109" i="97" s="1" a="1"/>
  <c r="P109" i="97" s="1"/>
  <c r="Q61" i="92"/>
  <c r="Y19" i="27"/>
  <c r="AB19" i="27"/>
  <c r="S69" i="27"/>
  <c r="P209" i="97" s="1" a="1"/>
  <c r="P209" i="97" s="1"/>
  <c r="Q209" i="92"/>
  <c r="Y69" i="27"/>
  <c r="AB69" i="27"/>
  <c r="S146" i="27"/>
  <c r="P239" i="97" s="1" a="1"/>
  <c r="P239" i="97" s="1"/>
  <c r="Q117" i="92"/>
  <c r="AB146" i="27"/>
  <c r="Y146" i="27"/>
  <c r="S6" i="27"/>
  <c r="P198" i="97" s="1" a="1"/>
  <c r="P198" i="97" s="1"/>
  <c r="Q94" i="92"/>
  <c r="AB6" i="27"/>
  <c r="Y6" i="27"/>
  <c r="S292" i="27"/>
  <c r="P213" i="97" s="1" a="1"/>
  <c r="P213" i="97" s="1"/>
  <c r="Q214" i="92"/>
  <c r="Y292" i="27"/>
  <c r="AB292" i="27"/>
  <c r="S230" i="27"/>
  <c r="P141" i="97" s="1" a="1"/>
  <c r="P141" i="97" s="1"/>
  <c r="Q123" i="92"/>
  <c r="Y230" i="27"/>
  <c r="AB230" i="27"/>
  <c r="S298" i="27"/>
  <c r="P226" i="97" s="1" a="1"/>
  <c r="P226" i="97" s="1"/>
  <c r="Q228" i="92"/>
  <c r="Y298" i="27"/>
  <c r="AB298" i="27"/>
  <c r="S227" i="27"/>
  <c r="P243" i="97" s="1" a="1"/>
  <c r="P243" i="97" s="1"/>
  <c r="Q247" i="92"/>
  <c r="Y227" i="27"/>
  <c r="AB227" i="27"/>
  <c r="S27" i="27"/>
  <c r="P311" i="97" s="1" a="1"/>
  <c r="P311" i="97" s="1"/>
  <c r="Q121" i="92"/>
  <c r="Y27" i="27"/>
  <c r="AB27" i="27"/>
  <c r="S264" i="27"/>
  <c r="P126" i="97" s="1" a="1"/>
  <c r="P126" i="97" s="1"/>
  <c r="Q95" i="92"/>
  <c r="Y264" i="27"/>
  <c r="AB264" i="27"/>
  <c r="S135" i="27"/>
  <c r="P77" i="97" s="1" a="1"/>
  <c r="P77" i="97" s="1"/>
  <c r="Q16" i="92"/>
  <c r="Y135" i="27"/>
  <c r="Z13" i="27" a="1"/>
  <c r="Z13" i="27" s="1"/>
  <c r="AA13" i="27"/>
  <c r="Y324" i="97" s="1" a="1"/>
  <c r="Y324" i="97" s="1"/>
  <c r="AE13" i="27" a="1"/>
  <c r="AE13" i="27" s="1"/>
  <c r="AI13" i="27" s="1"/>
  <c r="AJ13" i="27" s="1" a="1"/>
  <c r="AJ13" i="27" s="1"/>
  <c r="AV13" i="27"/>
  <c r="S133" i="27"/>
  <c r="P257" i="97" s="1" a="1"/>
  <c r="P257" i="97" s="1"/>
  <c r="Q263" i="92"/>
  <c r="Y133" i="27"/>
  <c r="S332" i="27"/>
  <c r="P297" i="97" s="1" a="1"/>
  <c r="P297" i="97" s="1"/>
  <c r="Y332" i="27"/>
  <c r="Q304" i="92"/>
  <c r="S131" i="27"/>
  <c r="P214" i="97" s="1" a="1"/>
  <c r="P214" i="97" s="1"/>
  <c r="Q215" i="92"/>
  <c r="Y131" i="27"/>
  <c r="S219" i="27"/>
  <c r="P335" i="97" s="1" a="1"/>
  <c r="P335" i="97" s="1"/>
  <c r="Q224" i="92"/>
  <c r="Y219" i="27"/>
  <c r="S271" i="27"/>
  <c r="P152" i="97" s="1" a="1"/>
  <c r="P152" i="97" s="1"/>
  <c r="Y271" i="27"/>
  <c r="Q139" i="92"/>
  <c r="S252" i="27"/>
  <c r="P26" i="97" s="1" a="1"/>
  <c r="P26" i="97" s="1"/>
  <c r="Y252" i="27"/>
  <c r="Q66" i="92"/>
  <c r="AB252" i="27"/>
  <c r="S51" i="27"/>
  <c r="P150" i="97" s="1" a="1"/>
  <c r="P150" i="97" s="1"/>
  <c r="Q137" i="92"/>
  <c r="AB51" i="27"/>
  <c r="Y51" i="27"/>
  <c r="S93" i="27"/>
  <c r="P312" i="97" s="1" a="1"/>
  <c r="P312" i="97" s="1"/>
  <c r="Q183" i="92"/>
  <c r="AB93" i="27"/>
  <c r="Y93" i="27"/>
  <c r="S168" i="27"/>
  <c r="P261" i="97" s="1" a="1"/>
  <c r="P261" i="97" s="1"/>
  <c r="Q268" i="92"/>
  <c r="Y168" i="27"/>
  <c r="S258" i="27"/>
  <c r="P120" i="97" s="1" a="1"/>
  <c r="P120" i="97" s="1"/>
  <c r="Y258" i="27"/>
  <c r="Q88" i="92"/>
  <c r="AB258" i="27"/>
  <c r="Z22" i="27" a="1"/>
  <c r="Z22" i="27" s="1"/>
  <c r="AA22" i="27"/>
  <c r="Y269" i="97" s="1" a="1"/>
  <c r="Y269" i="97" s="1"/>
  <c r="AE22" i="27" a="1"/>
  <c r="AE22" i="27" s="1"/>
  <c r="AI22" i="27" s="1"/>
  <c r="AJ22" i="27" s="1" a="1"/>
  <c r="AJ22" i="27" s="1"/>
  <c r="S144" i="27"/>
  <c r="P25" i="97" s="1" a="1"/>
  <c r="P25" i="97" s="1"/>
  <c r="Q65" i="92"/>
  <c r="Y144" i="27"/>
  <c r="S65" i="27"/>
  <c r="P98" i="97" s="1" a="1"/>
  <c r="P98" i="97" s="1"/>
  <c r="Q47" i="92"/>
  <c r="S31" i="27"/>
  <c r="P224" i="97" s="1" a="1"/>
  <c r="P224" i="97" s="1"/>
  <c r="Q226" i="92"/>
  <c r="Y31" i="27"/>
  <c r="S72" i="27"/>
  <c r="P260" i="97" s="1" a="1"/>
  <c r="P260" i="97" s="1"/>
  <c r="Q267" i="92"/>
  <c r="Y72" i="27"/>
  <c r="S40" i="27"/>
  <c r="P193" i="97" s="1" a="1"/>
  <c r="P193" i="97" s="1"/>
  <c r="AB40" i="27"/>
  <c r="Y40" i="27"/>
  <c r="Q190" i="92"/>
  <c r="S164" i="27"/>
  <c r="P280" i="97" s="1" a="1"/>
  <c r="P280" i="97" s="1"/>
  <c r="Q287" i="92"/>
  <c r="Y164" i="27"/>
  <c r="S280" i="27"/>
  <c r="P172" i="97" s="1" a="1"/>
  <c r="P172" i="97" s="1"/>
  <c r="Y280" i="27"/>
  <c r="Q164" i="92"/>
  <c r="S113" i="27"/>
  <c r="P111" i="97" s="1" a="1"/>
  <c r="P111" i="97" s="1"/>
  <c r="Q67" i="92"/>
  <c r="Y113" i="27"/>
  <c r="S70" i="27"/>
  <c r="P30" i="97" s="1" a="1"/>
  <c r="P30" i="97" s="1"/>
  <c r="Q33" i="92"/>
  <c r="S262" i="27"/>
  <c r="P124" i="97" s="1" a="1"/>
  <c r="P124" i="97" s="1"/>
  <c r="Q92" i="92"/>
  <c r="Y262" i="27"/>
  <c r="AB262" i="27"/>
  <c r="S64" i="27"/>
  <c r="P31" i="97" s="1" a="1"/>
  <c r="P31" i="97" s="1"/>
  <c r="Q36" i="92"/>
  <c r="S223" i="27"/>
  <c r="P138" i="97" s="1" a="1"/>
  <c r="P138" i="97" s="1"/>
  <c r="Q118" i="92"/>
  <c r="Y223" i="27"/>
  <c r="S103" i="27"/>
  <c r="P43" i="97" s="1" a="1"/>
  <c r="P43" i="97" s="1"/>
  <c r="Q246" i="92"/>
  <c r="S235" i="27"/>
  <c r="P86" i="97" s="1" a="1"/>
  <c r="P86" i="97" s="1"/>
  <c r="Y235" i="27"/>
  <c r="Q27" i="92"/>
  <c r="AB235" i="27"/>
  <c r="S132" i="27"/>
  <c r="P254" i="97" s="1" a="1"/>
  <c r="P254" i="97" s="1"/>
  <c r="Q260" i="92"/>
  <c r="Y132" i="27"/>
  <c r="S106" i="27"/>
  <c r="P293" i="97" s="1" a="1"/>
  <c r="P293" i="97" s="1"/>
  <c r="Q300" i="92"/>
  <c r="AB106" i="27"/>
  <c r="Y106" i="27"/>
  <c r="S290" i="27"/>
  <c r="P334" i="97" s="1" a="1"/>
  <c r="P334" i="97" s="1"/>
  <c r="Y290" i="27"/>
  <c r="Q196" i="92"/>
  <c r="S283" i="27"/>
  <c r="P61" i="97" s="1" a="1"/>
  <c r="P61" i="97" s="1"/>
  <c r="Q167" i="92"/>
  <c r="Y283" i="27"/>
  <c r="S15" i="27"/>
  <c r="P310" i="97" s="1" a="1"/>
  <c r="P310" i="97" s="1"/>
  <c r="Q319" i="92"/>
  <c r="AB15" i="27"/>
  <c r="S253" i="27"/>
  <c r="P27" i="97" s="1" a="1"/>
  <c r="P27" i="97" s="1"/>
  <c r="Y253" i="27"/>
  <c r="Q68" i="92"/>
  <c r="S183" i="27"/>
  <c r="P228" i="97" s="1" a="1"/>
  <c r="P228" i="97" s="1"/>
  <c r="Q230" i="92"/>
  <c r="S166" i="27"/>
  <c r="P81" i="97" s="1" a="1"/>
  <c r="P81" i="97" s="1"/>
  <c r="Q20" i="92"/>
  <c r="S304" i="27"/>
  <c r="P237" i="97" s="1" a="1"/>
  <c r="P237" i="97" s="1"/>
  <c r="Y304" i="27"/>
  <c r="Q240" i="92"/>
  <c r="S59" i="27"/>
  <c r="P64" i="97" s="1" a="1"/>
  <c r="P64" i="97" s="1"/>
  <c r="Q332" i="92"/>
  <c r="S111" i="27"/>
  <c r="P44" i="97" s="1" a="1"/>
  <c r="P44" i="97" s="1"/>
  <c r="Q262" i="92"/>
  <c r="Y111" i="27"/>
  <c r="S163" i="27"/>
  <c r="P292" i="97" s="1" a="1"/>
  <c r="P292" i="97" s="1"/>
  <c r="Q299" i="92"/>
  <c r="AB163" i="27"/>
  <c r="Y163" i="27"/>
  <c r="S254" i="27"/>
  <c r="P113" i="97" s="1" a="1"/>
  <c r="P113" i="97" s="1"/>
  <c r="Q81" i="92"/>
  <c r="Y254" i="27"/>
  <c r="S145" i="27"/>
  <c r="P112" i="97" s="1" a="1"/>
  <c r="P112" i="97" s="1"/>
  <c r="Q80" i="92"/>
  <c r="AB145" i="27"/>
  <c r="Y145" i="27"/>
  <c r="S315" i="27"/>
  <c r="P270" i="97" s="1" a="1"/>
  <c r="P270" i="97" s="1"/>
  <c r="Q277" i="92"/>
  <c r="Y315" i="27"/>
  <c r="AB315" i="27"/>
  <c r="S46" i="27"/>
  <c r="P157" i="97" s="1" a="1"/>
  <c r="P157" i="97" s="1"/>
  <c r="Q144" i="92"/>
  <c r="S155" i="27"/>
  <c r="P151" i="97" s="1" a="1"/>
  <c r="P151" i="97" s="1"/>
  <c r="Q138" i="92"/>
  <c r="Y155" i="27"/>
  <c r="S149" i="27"/>
  <c r="P205" i="97" s="1" a="1"/>
  <c r="P205" i="97" s="1"/>
  <c r="Q205" i="92"/>
  <c r="Y149" i="27"/>
  <c r="S314" i="27"/>
  <c r="P267" i="97" s="1" a="1"/>
  <c r="P267" i="97" s="1"/>
  <c r="Y314" i="27"/>
  <c r="Q274" i="92"/>
  <c r="S123" i="27"/>
  <c r="P326" i="97" s="1" a="1"/>
  <c r="P326" i="97" s="1"/>
  <c r="Q335" i="92"/>
  <c r="Y123" i="27"/>
  <c r="S25" i="27"/>
  <c r="P318" i="97" s="1" a="1"/>
  <c r="P318" i="97" s="1"/>
  <c r="Q243" i="92"/>
  <c r="AB25" i="27"/>
  <c r="Y25" i="27"/>
  <c r="S250" i="27"/>
  <c r="P24" i="97" s="1" a="1"/>
  <c r="P24" i="97" s="1"/>
  <c r="Y250" i="27"/>
  <c r="Q63" i="92"/>
  <c r="AB250" i="27"/>
  <c r="S239" i="27"/>
  <c r="P95" i="97" s="1" a="1"/>
  <c r="P95" i="97" s="1"/>
  <c r="Y239" i="27"/>
  <c r="Q44" i="92"/>
  <c r="S209" i="27"/>
  <c r="P57" i="97" s="1" a="1"/>
  <c r="P57" i="97" s="1"/>
  <c r="Q145" i="92"/>
  <c r="Y209" i="27"/>
  <c r="AB209" i="27"/>
  <c r="S156" i="27"/>
  <c r="P94" i="97" s="1" a="1"/>
  <c r="P94" i="97" s="1"/>
  <c r="Q43" i="92"/>
  <c r="S256" i="27"/>
  <c r="P116" i="97" s="1" a="1"/>
  <c r="P116" i="97" s="1"/>
  <c r="Y256" i="27"/>
  <c r="Q84" i="92"/>
  <c r="S191" i="27"/>
  <c r="P262" i="97" s="1" a="1"/>
  <c r="P262" i="97" s="1"/>
  <c r="Q269" i="92"/>
  <c r="Y191" i="27"/>
  <c r="AB191" i="27"/>
  <c r="S75" i="27"/>
  <c r="P45" i="97" s="1" a="1"/>
  <c r="P45" i="97" s="1"/>
  <c r="Q273" i="92"/>
  <c r="S286" i="27"/>
  <c r="P177" i="97" s="1" a="1"/>
  <c r="P177" i="97" s="1"/>
  <c r="Y286" i="27"/>
  <c r="Q171" i="92"/>
  <c r="AB286" i="27"/>
  <c r="S47" i="27"/>
  <c r="P130" i="97" s="1" a="1"/>
  <c r="P130" i="97" s="1"/>
  <c r="Q102" i="92"/>
  <c r="Y47" i="27"/>
  <c r="S184" i="27"/>
  <c r="P4" i="97" s="1" a="1"/>
  <c r="P4" i="97" s="1"/>
  <c r="Q5" i="92"/>
  <c r="Y184" i="27"/>
  <c r="S58" i="27"/>
  <c r="P63" i="97" s="1" a="1"/>
  <c r="P63" i="97" s="1"/>
  <c r="Q331" i="92"/>
  <c r="S78" i="27"/>
  <c r="P159" i="97" s="1" a="1"/>
  <c r="P159" i="97" s="1"/>
  <c r="Q147" i="92"/>
  <c r="S134" i="27"/>
  <c r="P15" i="97" s="1" a="1"/>
  <c r="P15" i="97" s="1"/>
  <c r="Q35" i="92"/>
  <c r="AB134" i="27"/>
  <c r="S80" i="27"/>
  <c r="P48" i="97" s="1" a="1"/>
  <c r="P48" i="97" s="1"/>
  <c r="Q116" i="92"/>
  <c r="Y80" i="27"/>
  <c r="S175" i="27"/>
  <c r="P202" i="97" s="1" a="1"/>
  <c r="P202" i="97" s="1"/>
  <c r="Q202" i="92"/>
  <c r="S197" i="27"/>
  <c r="P55" i="97" s="1" a="1"/>
  <c r="P55" i="97" s="1"/>
  <c r="Q135" i="92"/>
  <c r="Y197" i="27"/>
  <c r="AB197" i="27"/>
  <c r="S124" i="27"/>
  <c r="P74" i="97" s="1" a="1"/>
  <c r="P74" i="97" s="1"/>
  <c r="Q13" i="92"/>
  <c r="AB124" i="27"/>
  <c r="Y124" i="27"/>
  <c r="S56" i="27"/>
  <c r="P216" i="97" s="1" a="1"/>
  <c r="P216" i="97" s="1"/>
  <c r="Q217" i="92"/>
  <c r="E28" i="95"/>
  <c r="D28" i="95"/>
  <c r="K1" i="27"/>
  <c r="O343" i="27" s="1"/>
  <c r="E31" i="95" a="1"/>
  <c r="E31" i="95" s="1"/>
  <c r="C28" i="95" a="1"/>
  <c r="C28" i="95" s="1"/>
  <c r="D38" i="95"/>
  <c r="E33" i="95"/>
  <c r="E29" i="95"/>
  <c r="E32" i="95"/>
  <c r="E30" i="95"/>
  <c r="Q4" i="92"/>
  <c r="S4" i="27"/>
  <c r="S81" i="27"/>
  <c r="P2" i="97" s="1" a="1"/>
  <c r="P2" i="97" s="1"/>
  <c r="Q76" i="92"/>
  <c r="Y81" i="27"/>
  <c r="S96" i="27"/>
  <c r="P207" i="97" s="1" a="1"/>
  <c r="P207" i="97" s="1"/>
  <c r="Q207" i="92"/>
  <c r="Y96" i="27"/>
  <c r="S303" i="27"/>
  <c r="P234" i="97" s="1" a="1"/>
  <c r="P234" i="97" s="1"/>
  <c r="Y303" i="27"/>
  <c r="Q237" i="92"/>
  <c r="AB303" i="27"/>
  <c r="S172" i="27"/>
  <c r="P281" i="97" s="1" a="1"/>
  <c r="P281" i="97" s="1"/>
  <c r="Q288" i="92"/>
  <c r="Y172" i="27"/>
  <c r="S294" i="27"/>
  <c r="P218" i="97" s="1" a="1"/>
  <c r="P218" i="97" s="1"/>
  <c r="Y294" i="27"/>
  <c r="Q219" i="92"/>
  <c r="AB294" i="27"/>
  <c r="S313" i="27"/>
  <c r="P264" i="97" s="1" a="1"/>
  <c r="P264" i="97" s="1"/>
  <c r="Q271" i="92"/>
  <c r="Y313" i="27"/>
  <c r="S16" i="27"/>
  <c r="P192" i="97" s="1" a="1"/>
  <c r="P192" i="97" s="1"/>
  <c r="Q189" i="92"/>
  <c r="Y16" i="27"/>
  <c r="S66" i="27"/>
  <c r="P14" i="97" s="1" a="1"/>
  <c r="P14" i="97" s="1"/>
  <c r="Q180" i="92"/>
  <c r="S328" i="27"/>
  <c r="P289" i="97" s="1" a="1"/>
  <c r="P289" i="97" s="1"/>
  <c r="Y328" i="27"/>
  <c r="Q296" i="92"/>
  <c r="S82" i="27"/>
  <c r="P154" i="97" s="1" a="1"/>
  <c r="P154" i="97" s="1"/>
  <c r="Q141" i="92"/>
  <c r="Y82" i="27"/>
  <c r="S317" i="27"/>
  <c r="P272" i="97" s="1" a="1"/>
  <c r="P272" i="97" s="1"/>
  <c r="Y317" i="27"/>
  <c r="Q279" i="92"/>
  <c r="AB317" i="27"/>
  <c r="S39" i="27"/>
  <c r="P153" i="97" s="1" a="1"/>
  <c r="P153" i="97" s="1"/>
  <c r="Q140" i="92"/>
  <c r="Y39" i="27"/>
  <c r="S87" i="27"/>
  <c r="P46" i="97" s="1" a="1"/>
  <c r="P46" i="97" s="1"/>
  <c r="Q113" i="92"/>
  <c r="Y87" i="27"/>
  <c r="S246" i="27"/>
  <c r="P106" i="97" s="1" a="1"/>
  <c r="P106" i="97" s="1"/>
  <c r="Y246" i="27"/>
  <c r="Q56" i="92"/>
  <c r="Y103" i="27"/>
  <c r="S21" i="27"/>
  <c r="P18" i="97" s="1" a="1"/>
  <c r="P18" i="97" s="1"/>
  <c r="Q39" i="92"/>
  <c r="AB21" i="27"/>
  <c r="Y21" i="27"/>
  <c r="Y183" i="27"/>
  <c r="Y65" i="27"/>
  <c r="Y203" i="27"/>
  <c r="S178" i="27"/>
  <c r="P28" i="97" s="1" a="1"/>
  <c r="P28" i="97" s="1"/>
  <c r="Q69" i="92"/>
  <c r="Y178" i="27"/>
  <c r="S312" i="27"/>
  <c r="P263" i="97" s="1" a="1"/>
  <c r="P263" i="97" s="1"/>
  <c r="Q270" i="92"/>
  <c r="Y312" i="27"/>
  <c r="S310" i="27"/>
  <c r="P258" i="97" s="1" a="1"/>
  <c r="P258" i="97" s="1"/>
  <c r="Q265" i="92"/>
  <c r="Y310" i="27"/>
  <c r="S121" i="27"/>
  <c r="P42" i="97" s="1" a="1"/>
  <c r="P42" i="97" s="1"/>
  <c r="Q105" i="92"/>
  <c r="S129" i="27"/>
  <c r="P68" i="97" s="1" a="1"/>
  <c r="P68" i="97" s="1"/>
  <c r="Q241" i="92"/>
  <c r="S95" i="27"/>
  <c r="P3" i="97" s="1" a="1"/>
  <c r="P3" i="97" s="1"/>
  <c r="Q104" i="92"/>
  <c r="AB95" i="27"/>
  <c r="Z142" i="27" a="1"/>
  <c r="Z142" i="27" s="1"/>
  <c r="AA142" i="27"/>
  <c r="Y196" i="97" s="1" a="1"/>
  <c r="Y196" i="97" s="1"/>
  <c r="AE142" i="27" a="1"/>
  <c r="AE142" i="27" s="1"/>
  <c r="AH142" i="27" s="1"/>
  <c r="S213" i="27"/>
  <c r="P53" i="97" s="1" a="1"/>
  <c r="P53" i="97" s="1"/>
  <c r="Q126" i="92"/>
  <c r="Y213" i="27"/>
  <c r="S9" i="27"/>
  <c r="P315" i="97" s="1" a="1"/>
  <c r="P315" i="97" s="1"/>
  <c r="Q198" i="92"/>
  <c r="Y9" i="27"/>
  <c r="S229" i="27"/>
  <c r="P145" i="97" s="1" a="1"/>
  <c r="P145" i="97" s="1"/>
  <c r="Q129" i="92"/>
  <c r="Y229" i="27"/>
  <c r="S60" i="27"/>
  <c r="P17" i="97" s="1" a="1"/>
  <c r="P17" i="97" s="1"/>
  <c r="Q7" i="92"/>
  <c r="S49" i="27"/>
  <c r="P51" i="97" s="1" a="1"/>
  <c r="P51" i="97" s="1"/>
  <c r="Q327" i="92"/>
  <c r="Y49" i="27"/>
  <c r="S142" i="27"/>
  <c r="P196" i="97" s="1" a="1"/>
  <c r="P196" i="97" s="1"/>
  <c r="Q21" i="92"/>
  <c r="AB142" i="27"/>
  <c r="S214" i="27"/>
  <c r="P302" i="97" s="1" a="1"/>
  <c r="P302" i="97" s="1"/>
  <c r="Q309" i="92"/>
  <c r="Y214" i="27"/>
  <c r="S118" i="27"/>
  <c r="P83" i="97" s="1" a="1"/>
  <c r="P83" i="97" s="1"/>
  <c r="Q23" i="92"/>
  <c r="AB118" i="27"/>
  <c r="Y118" i="27"/>
  <c r="S182" i="27"/>
  <c r="P236" i="97" s="1" a="1"/>
  <c r="P236" i="97" s="1"/>
  <c r="Q239" i="92"/>
  <c r="Y182" i="27"/>
  <c r="S289" i="27"/>
  <c r="P194" i="97" s="1" a="1"/>
  <c r="P194" i="97" s="1"/>
  <c r="Q192" i="92"/>
  <c r="Y289" i="27"/>
  <c r="S173" i="27"/>
  <c r="P308" i="97" s="1" a="1"/>
  <c r="P308" i="97" s="1"/>
  <c r="Q315" i="92"/>
  <c r="Y173" i="27"/>
  <c r="S311" i="27"/>
  <c r="P259" i="97" s="1" a="1"/>
  <c r="P259" i="97" s="1"/>
  <c r="Y311" i="27"/>
  <c r="Q266" i="92"/>
  <c r="AB311" i="27"/>
  <c r="S330" i="27"/>
  <c r="P294" i="97" s="1" a="1"/>
  <c r="P294" i="97" s="1"/>
  <c r="Y330" i="27"/>
  <c r="Q301" i="92"/>
  <c r="S50" i="27"/>
  <c r="P29" i="97" s="1" a="1"/>
  <c r="P29" i="97" s="1"/>
  <c r="Q75" i="92"/>
  <c r="Y50" i="27"/>
  <c r="AB50" i="27"/>
  <c r="S98" i="27"/>
  <c r="P229" i="97" s="1" a="1"/>
  <c r="P229" i="97" s="1"/>
  <c r="Q231" i="92"/>
  <c r="Y98" i="27"/>
  <c r="S285" i="27"/>
  <c r="P176" i="97" s="1" a="1"/>
  <c r="P176" i="97" s="1"/>
  <c r="Y285" i="27"/>
  <c r="Q170" i="92"/>
  <c r="AB285" i="27"/>
  <c r="S84" i="27"/>
  <c r="P298" i="97" s="1" a="1"/>
  <c r="P298" i="97" s="1"/>
  <c r="Y84" i="27"/>
  <c r="Q305" i="92"/>
  <c r="Y157" i="27"/>
  <c r="Z58" i="27" a="1"/>
  <c r="Z58" i="27" s="1"/>
  <c r="AQ58" i="27" a="1"/>
  <c r="AQ58" i="27" s="1"/>
  <c r="AR58" i="27" a="1"/>
  <c r="AR58" i="27" s="1"/>
  <c r="AA58" i="27"/>
  <c r="Y63" i="97" s="1" a="1"/>
  <c r="Y63" i="97" s="1"/>
  <c r="AE58" i="27" a="1"/>
  <c r="AE58" i="27" s="1"/>
  <c r="AH58" i="27" s="1"/>
  <c r="S161" i="27"/>
  <c r="P78" i="97" s="1" a="1"/>
  <c r="P78" i="97" s="1"/>
  <c r="Q17" i="92"/>
  <c r="Y161" i="27"/>
  <c r="Y199" i="27"/>
  <c r="S267" i="27"/>
  <c r="P127" i="97" s="1" a="1"/>
  <c r="P127" i="97" s="1"/>
  <c r="Q98" i="92"/>
  <c r="Y267" i="27"/>
  <c r="S43" i="27"/>
  <c r="P199" i="97" s="1" a="1"/>
  <c r="P199" i="97" s="1"/>
  <c r="Q199" i="92"/>
  <c r="Y43" i="27"/>
  <c r="AB43" i="27"/>
  <c r="S316" i="27"/>
  <c r="P271" i="97" s="1" a="1"/>
  <c r="P271" i="97" s="1"/>
  <c r="Q278" i="92"/>
  <c r="Y316" i="27"/>
  <c r="S275" i="27"/>
  <c r="P169" i="97" s="1" a="1"/>
  <c r="P169" i="97" s="1"/>
  <c r="Q158" i="92"/>
  <c r="Y275" i="27"/>
  <c r="S265" i="27"/>
  <c r="P330" i="97" s="1" a="1"/>
  <c r="P330" i="97" s="1"/>
  <c r="Y265" i="27"/>
  <c r="Q96" i="92"/>
  <c r="AB75" i="27"/>
  <c r="S274" i="27"/>
  <c r="P166" i="97" s="1" a="1"/>
  <c r="P166" i="97" s="1"/>
  <c r="Q154" i="92"/>
  <c r="Y274" i="27"/>
  <c r="S198" i="27"/>
  <c r="P212" i="97" s="1" a="1"/>
  <c r="P212" i="97" s="1"/>
  <c r="Q213" i="92"/>
  <c r="Y198" i="27"/>
  <c r="S242" i="27"/>
  <c r="P100" i="97" s="1" a="1"/>
  <c r="P100" i="97" s="1"/>
  <c r="Q50" i="92"/>
  <c r="Y242" i="27"/>
  <c r="S263" i="27"/>
  <c r="P125" i="97" s="1" a="1"/>
  <c r="P125" i="97" s="1"/>
  <c r="Y263" i="27"/>
  <c r="Q93" i="92"/>
  <c r="S148" i="27"/>
  <c r="P183" i="97" s="1" a="1"/>
  <c r="P183" i="97" s="1"/>
  <c r="Q178" i="92"/>
  <c r="AB148" i="27"/>
  <c r="S305" i="27"/>
  <c r="P249" i="97" s="1" a="1"/>
  <c r="P249" i="97" s="1"/>
  <c r="Q254" i="92"/>
  <c r="Y305" i="27"/>
  <c r="AB305" i="27"/>
  <c r="S257" i="27"/>
  <c r="P118" i="97" s="1" a="1"/>
  <c r="P118" i="97" s="1"/>
  <c r="Y257" i="27"/>
  <c r="Q86" i="92"/>
  <c r="Y166" i="27"/>
  <c r="S308" i="27"/>
  <c r="P253" i="97" s="1" a="1"/>
  <c r="P253" i="97" s="1"/>
  <c r="Y308" i="27"/>
  <c r="Q259" i="92"/>
  <c r="S202" i="27"/>
  <c r="P56" i="97" s="1" a="1"/>
  <c r="P56" i="97" s="1"/>
  <c r="Q136" i="92"/>
  <c r="Y202" i="27"/>
  <c r="S192" i="27"/>
  <c r="P244" i="97" s="1" a="1"/>
  <c r="P244" i="97" s="1"/>
  <c r="Q248" i="92"/>
  <c r="Y192" i="27"/>
  <c r="S180" i="27"/>
  <c r="P54" i="97" s="1" a="1"/>
  <c r="P54" i="97" s="1"/>
  <c r="Q130" i="92"/>
  <c r="Y180" i="27"/>
  <c r="S176" i="27"/>
  <c r="P148" i="97" s="1" a="1"/>
  <c r="P148" i="97" s="1"/>
  <c r="Q133" i="92"/>
  <c r="Y176" i="27"/>
  <c r="S329" i="27"/>
  <c r="P291" i="97" s="1" a="1"/>
  <c r="P291" i="97" s="1"/>
  <c r="Q298" i="92"/>
  <c r="Y329" i="27"/>
  <c r="AB329" i="27"/>
  <c r="S26" i="27"/>
  <c r="P332" i="97" s="1" a="1"/>
  <c r="P332" i="97" s="1"/>
  <c r="Q168" i="92"/>
  <c r="Y26" i="27"/>
  <c r="S53" i="27"/>
  <c r="P215" i="97" s="1" a="1"/>
  <c r="P215" i="97" s="1"/>
  <c r="Q216" i="92"/>
  <c r="Y53" i="27"/>
  <c r="S157" i="27"/>
  <c r="P143" i="97" s="1" a="1"/>
  <c r="P143" i="97" s="1"/>
  <c r="Q127" i="92"/>
  <c r="S260" i="27"/>
  <c r="P122" i="97" s="1" a="1"/>
  <c r="P122" i="97" s="1"/>
  <c r="Y260" i="27"/>
  <c r="Q90" i="92"/>
  <c r="S152" i="27"/>
  <c r="P201" i="97" s="1" a="1"/>
  <c r="P201" i="97" s="1"/>
  <c r="Q201" i="92"/>
  <c r="Y152" i="27"/>
  <c r="S88" i="27"/>
  <c r="P58" i="97" s="1" a="1"/>
  <c r="P58" i="97" s="1"/>
  <c r="Q156" i="92"/>
  <c r="Y88" i="27"/>
  <c r="S177" i="27"/>
  <c r="P221" i="97" s="1" a="1"/>
  <c r="P221" i="97" s="1"/>
  <c r="Q222" i="92"/>
  <c r="Y177" i="27"/>
  <c r="AB177" i="27"/>
  <c r="S160" i="27"/>
  <c r="P238" i="97" s="1" a="1"/>
  <c r="P238" i="97" s="1"/>
  <c r="Q242" i="92"/>
  <c r="AB160" i="27"/>
  <c r="Y160" i="27"/>
  <c r="S169" i="27"/>
  <c r="P134" i="97" s="1" a="1"/>
  <c r="P134" i="97" s="1"/>
  <c r="Q110" i="92"/>
  <c r="AB169" i="27"/>
  <c r="Y169" i="27"/>
  <c r="S62" i="27"/>
  <c r="P322" i="97" s="1" a="1"/>
  <c r="P322" i="97" s="1"/>
  <c r="Q257" i="92"/>
  <c r="S141" i="27"/>
  <c r="P90" i="97" s="1" a="1"/>
  <c r="P90" i="97" s="1"/>
  <c r="Q32" i="92"/>
  <c r="Y141" i="27"/>
  <c r="Y75" i="27"/>
  <c r="Y95" i="27"/>
  <c r="AB58" i="27"/>
  <c r="S126" i="27"/>
  <c r="P32" i="97" s="1" a="1"/>
  <c r="P32" i="97" s="1"/>
  <c r="Q37" i="92"/>
  <c r="S306" i="27"/>
  <c r="P70" i="97" s="1" a="1"/>
  <c r="P70" i="97" s="1"/>
  <c r="Y306" i="27"/>
  <c r="Q255" i="92"/>
  <c r="AB306" i="27"/>
  <c r="S270" i="27"/>
  <c r="P131" i="97" s="1" a="1"/>
  <c r="P131" i="97" s="1"/>
  <c r="Q103" i="92"/>
  <c r="Y270" i="27"/>
  <c r="S91" i="27"/>
  <c r="P189" i="97" s="1" a="1"/>
  <c r="P189" i="97" s="1"/>
  <c r="Q186" i="92"/>
  <c r="AB91" i="27"/>
  <c r="AB178" i="27"/>
  <c r="S89" i="27"/>
  <c r="P320" i="97" s="1" a="1"/>
  <c r="P320" i="97" s="1"/>
  <c r="Q253" i="92"/>
  <c r="S333" i="27"/>
  <c r="P299" i="97" s="1" a="1"/>
  <c r="P299" i="97" s="1"/>
  <c r="Q306" i="92"/>
  <c r="Y333" i="27"/>
  <c r="AB333" i="27"/>
  <c r="S247" i="27"/>
  <c r="P108" i="97" s="1" a="1"/>
  <c r="P108" i="97" s="1"/>
  <c r="Q58" i="92"/>
  <c r="Y247" i="27"/>
  <c r="S331" i="27"/>
  <c r="P296" i="97" s="1" a="1"/>
  <c r="P296" i="97" s="1"/>
  <c r="Q303" i="92"/>
  <c r="Y331" i="27"/>
  <c r="S261" i="27"/>
  <c r="P123" i="97" s="1" a="1"/>
  <c r="P123" i="97" s="1"/>
  <c r="Q91" i="92"/>
  <c r="Y261" i="27"/>
  <c r="Y89" i="27"/>
  <c r="S71" i="27"/>
  <c r="P235" i="97" s="1" a="1"/>
  <c r="P235" i="97" s="1"/>
  <c r="Q238" i="92"/>
  <c r="Y71" i="27"/>
  <c r="AB283" i="27"/>
  <c r="Y70" i="27"/>
  <c r="AB313" i="27"/>
  <c r="S52" i="27"/>
  <c r="P190" i="97" s="1" a="1"/>
  <c r="P190" i="97" s="1"/>
  <c r="Q187" i="92"/>
  <c r="Y52" i="27"/>
  <c r="Y64" i="27"/>
  <c r="AQ35" i="27" a="1"/>
  <c r="AQ35" i="27" s="1"/>
  <c r="AR35" i="27" a="1"/>
  <c r="AR35" i="27" s="1"/>
  <c r="Z35" i="27" a="1"/>
  <c r="Z35" i="27" s="1"/>
  <c r="AA35" i="27"/>
  <c r="Y38" i="97" s="1" a="1"/>
  <c r="Y38" i="97" s="1"/>
  <c r="AE35" i="27" a="1"/>
  <c r="AE35" i="27" s="1"/>
  <c r="AI35" i="27" s="1"/>
  <c r="AJ35" i="27" s="1" a="1"/>
  <c r="AJ35" i="27" s="1"/>
  <c r="AV35" i="27"/>
  <c r="Y175" i="27"/>
  <c r="S293" i="27"/>
  <c r="P217" i="97" s="1" a="1"/>
  <c r="P217" i="97" s="1"/>
  <c r="Y293" i="27"/>
  <c r="Q218" i="92"/>
  <c r="S194" i="27"/>
  <c r="P240" i="97" s="1" a="1"/>
  <c r="P240" i="97" s="1"/>
  <c r="Q244" i="92"/>
  <c r="Y194" i="27"/>
  <c r="Y134" i="27"/>
  <c r="S226" i="27"/>
  <c r="P13" i="97" s="1" a="1"/>
  <c r="P13" i="97" s="1"/>
  <c r="Q106" i="92"/>
  <c r="S321" i="27"/>
  <c r="P277" i="97" s="1" a="1"/>
  <c r="P277" i="97" s="1"/>
  <c r="Q284" i="92"/>
  <c r="Y321" i="27"/>
  <c r="S200" i="27"/>
  <c r="P133" i="97" s="1" a="1"/>
  <c r="P133" i="97" s="1"/>
  <c r="Q109" i="92"/>
  <c r="Y200" i="27"/>
  <c r="S240" i="27"/>
  <c r="P96" i="97" s="1" a="1"/>
  <c r="P96" i="97" s="1"/>
  <c r="Y240" i="27"/>
  <c r="Q45" i="92"/>
  <c r="AB240" i="27"/>
  <c r="S296" i="27"/>
  <c r="P220" i="97" s="1" a="1"/>
  <c r="P220" i="97" s="1"/>
  <c r="Q221" i="92"/>
  <c r="Y296" i="27"/>
  <c r="AB296" i="27"/>
  <c r="S97" i="27"/>
  <c r="P250" i="97" s="1" a="1"/>
  <c r="P250" i="97" s="1"/>
  <c r="Y97" i="27"/>
  <c r="Q256" i="92"/>
  <c r="S120" i="27"/>
  <c r="P336" i="97" s="1" a="1"/>
  <c r="P336" i="97" s="1"/>
  <c r="Q264" i="92"/>
  <c r="Y120" i="27"/>
  <c r="AB120" i="27"/>
  <c r="S206" i="27"/>
  <c r="P287" i="97" s="1" a="1"/>
  <c r="P287" i="97" s="1"/>
  <c r="Q294" i="92"/>
  <c r="AB206" i="27"/>
  <c r="S338" i="27"/>
  <c r="P327" i="97" s="1" a="1"/>
  <c r="P327" i="97" s="1"/>
  <c r="Y338" i="27"/>
  <c r="AV338" i="27" s="1"/>
  <c r="Q336" i="92"/>
  <c r="AB338" i="27"/>
  <c r="S204" i="27"/>
  <c r="P6" i="97" s="1" a="1"/>
  <c r="P6" i="97" s="1"/>
  <c r="Q8" i="92"/>
  <c r="Y204" i="27"/>
  <c r="S236" i="27"/>
  <c r="P91" i="97" s="1" a="1"/>
  <c r="P91" i="97" s="1"/>
  <c r="Y236" i="27"/>
  <c r="Q40" i="92"/>
  <c r="S79" i="27"/>
  <c r="P85" i="97" s="1" a="1"/>
  <c r="P85" i="97" s="1"/>
  <c r="Q26" i="92"/>
  <c r="AB79" i="27"/>
  <c r="Y79" i="27"/>
  <c r="S335" i="27"/>
  <c r="P305" i="97" s="1" a="1"/>
  <c r="P305" i="97" s="1"/>
  <c r="Y335" i="27"/>
  <c r="Q312" i="92"/>
  <c r="AB335" i="27"/>
  <c r="S22" i="27"/>
  <c r="P269" i="97" s="1" a="1"/>
  <c r="P269" i="97" s="1"/>
  <c r="Q276" i="92"/>
  <c r="AB22" i="27"/>
  <c r="Y91" i="27"/>
  <c r="AB113" i="27"/>
  <c r="S269" i="27"/>
  <c r="P128" i="97" s="1" a="1"/>
  <c r="P128" i="97" s="1"/>
  <c r="Y269" i="27"/>
  <c r="Q100" i="92"/>
  <c r="S244" i="27"/>
  <c r="P103" i="97" s="1" a="1"/>
  <c r="P103" i="97" s="1"/>
  <c r="Y244" i="27"/>
  <c r="Q53" i="92"/>
  <c r="S11" i="27"/>
  <c r="P266" i="97" s="1" a="1"/>
  <c r="P266" i="97" s="1"/>
  <c r="Q74" i="92"/>
  <c r="Y11" i="27"/>
  <c r="S143" i="27"/>
  <c r="P179" i="97" s="1" a="1"/>
  <c r="P179" i="97" s="1"/>
  <c r="Q173" i="92"/>
  <c r="Y143" i="27"/>
  <c r="S37" i="27"/>
  <c r="P114" i="97" s="1" a="1"/>
  <c r="P114" i="97" s="1"/>
  <c r="Q82" i="92"/>
  <c r="Y37" i="27"/>
  <c r="S109" i="27"/>
  <c r="P328" i="97" s="1" a="1"/>
  <c r="P328" i="97" s="1"/>
  <c r="Q337" i="92"/>
  <c r="Y109" i="27"/>
  <c r="S23" i="27"/>
  <c r="P186" i="97" s="1" a="1"/>
  <c r="P186" i="97" s="1"/>
  <c r="Q182" i="92"/>
  <c r="AB23" i="27"/>
  <c r="Y23" i="27"/>
  <c r="Z119" i="27" a="1"/>
  <c r="Z119" i="27" s="1"/>
  <c r="AA119" i="27"/>
  <c r="Y39" i="97" s="1" a="1"/>
  <c r="Y39" i="97" s="1"/>
  <c r="AE119" i="27" a="1"/>
  <c r="AE119" i="27" s="1"/>
  <c r="AI119" i="27" s="1"/>
  <c r="AJ119" i="27" s="1" a="1"/>
  <c r="AJ119" i="27" s="1"/>
  <c r="S179" i="27"/>
  <c r="P241" i="97" s="1" a="1"/>
  <c r="P241" i="97" s="1"/>
  <c r="Q245" i="92"/>
  <c r="Y179" i="27"/>
  <c r="S10" i="27"/>
  <c r="P88" i="97" s="1" a="1"/>
  <c r="P88" i="97" s="1"/>
  <c r="Q29" i="92"/>
  <c r="AB10" i="27"/>
  <c r="Y10" i="27"/>
  <c r="S12" i="27"/>
  <c r="P208" i="97" s="1" a="1"/>
  <c r="P208" i="97" s="1"/>
  <c r="Q208" i="92"/>
  <c r="Y12" i="27"/>
  <c r="S300" i="27"/>
  <c r="P67" i="97" s="1" a="1"/>
  <c r="P67" i="97" s="1"/>
  <c r="Y300" i="27"/>
  <c r="Q233" i="92"/>
  <c r="S334" i="27"/>
  <c r="P303" i="97" s="1" a="1"/>
  <c r="P303" i="97" s="1"/>
  <c r="Q310" i="92"/>
  <c r="Y334" i="27"/>
  <c r="S188" i="27"/>
  <c r="P307" i="97" s="1" a="1"/>
  <c r="P307" i="97" s="1"/>
  <c r="Q314" i="92"/>
  <c r="S237" i="27"/>
  <c r="P92" i="97" s="1" a="1"/>
  <c r="P92" i="97" s="1"/>
  <c r="Q41" i="92"/>
  <c r="Y237" i="27"/>
  <c r="S140" i="27"/>
  <c r="P195" i="97" s="1" a="1"/>
  <c r="P195" i="97" s="1"/>
  <c r="Q193" i="92"/>
  <c r="S218" i="27"/>
  <c r="P158" i="97" s="1" a="1"/>
  <c r="P158" i="97" s="1"/>
  <c r="Q146" i="92"/>
  <c r="Y218" i="27"/>
  <c r="S248" i="27"/>
  <c r="P22" i="97" s="1" a="1"/>
  <c r="P22" i="97" s="1"/>
  <c r="Q60" i="92"/>
  <c r="Y248" i="27"/>
  <c r="S101" i="27"/>
  <c r="P191" i="97" s="1" a="1"/>
  <c r="P191" i="97" s="1"/>
  <c r="Y101" i="27"/>
  <c r="Q188" i="92"/>
  <c r="S42" i="27"/>
  <c r="P248" i="97" s="1" a="1"/>
  <c r="P248" i="97" s="1"/>
  <c r="Q302" i="92"/>
  <c r="S127" i="27"/>
  <c r="P156" i="97" s="1" a="1"/>
  <c r="P156" i="97" s="1"/>
  <c r="Q143" i="92"/>
  <c r="AB127" i="27"/>
  <c r="Y127" i="27"/>
  <c r="S76" i="27"/>
  <c r="P21" i="97" s="1" a="1"/>
  <c r="P21" i="97" s="1"/>
  <c r="Q59" i="92"/>
  <c r="AB76" i="27"/>
  <c r="Y76" i="27"/>
  <c r="Y4" i="27"/>
  <c r="Y60" i="27"/>
  <c r="S119" i="27"/>
  <c r="P39" i="97" s="1" a="1"/>
  <c r="P39" i="97" s="1"/>
  <c r="Q79" i="92"/>
  <c r="S210" i="27"/>
  <c r="P47" i="97" s="1" a="1"/>
  <c r="P47" i="97" s="1"/>
  <c r="Q115" i="92"/>
  <c r="Y210" i="27"/>
  <c r="AB210" i="27"/>
  <c r="S287" i="27"/>
  <c r="P178" i="97" s="1" a="1"/>
  <c r="P178" i="97" s="1"/>
  <c r="Q172" i="92"/>
  <c r="Y287" i="27"/>
  <c r="S336" i="27"/>
  <c r="P306" i="97" s="1" a="1"/>
  <c r="P306" i="97" s="1"/>
  <c r="Y336" i="27"/>
  <c r="Q313" i="92"/>
  <c r="AB336" i="27"/>
  <c r="Y78" i="27"/>
  <c r="Y156" i="27"/>
  <c r="AB293" i="27"/>
  <c r="S112" i="27"/>
  <c r="P11" i="97" s="1" a="1"/>
  <c r="P11" i="97" s="1"/>
  <c r="Q25" i="92"/>
  <c r="Y112" i="27"/>
  <c r="S68" i="27"/>
  <c r="P321" i="97" s="1" a="1"/>
  <c r="P321" i="97" s="1"/>
  <c r="Q330" i="92"/>
  <c r="AB68" i="27"/>
  <c r="S61" i="27"/>
  <c r="P37" i="97" s="1" a="1"/>
  <c r="P37" i="97" s="1"/>
  <c r="Q78" i="92"/>
  <c r="AB61" i="27"/>
  <c r="Y61" i="27"/>
  <c r="S159" i="27"/>
  <c r="P140" i="97" s="1" a="1"/>
  <c r="P140" i="97" s="1"/>
  <c r="Q122" i="92"/>
  <c r="Y159" i="27"/>
  <c r="AB62" i="27"/>
  <c r="AQ222" i="27" a="1"/>
  <c r="AQ222" i="27" s="1"/>
  <c r="AR222" i="27" a="1"/>
  <c r="AR222" i="27" s="1"/>
  <c r="Z222" i="27" a="1"/>
  <c r="Z222" i="27" s="1"/>
  <c r="AA222" i="27"/>
  <c r="Y8" i="97" s="1" a="1"/>
  <c r="Y8" i="97" s="1"/>
  <c r="AE222" i="27" a="1"/>
  <c r="AE222" i="27" s="1"/>
  <c r="AV222" i="27"/>
  <c r="S322" i="27"/>
  <c r="P279" i="97" s="1" a="1"/>
  <c r="P279" i="97" s="1"/>
  <c r="Q286" i="92"/>
  <c r="Y322" i="27"/>
  <c r="S108" i="27"/>
  <c r="P33" i="97" s="1" a="1"/>
  <c r="P33" i="97" s="1"/>
  <c r="Q38" i="92"/>
  <c r="Y108" i="27"/>
  <c r="S272" i="27"/>
  <c r="P155" i="97" s="1" a="1"/>
  <c r="P155" i="97" s="1"/>
  <c r="Y272" i="27"/>
  <c r="AV272" i="27" s="1"/>
  <c r="Q142" i="92"/>
  <c r="S181" i="27"/>
  <c r="P301" i="97" s="1" a="1"/>
  <c r="P301" i="97" s="1"/>
  <c r="Q308" i="92"/>
  <c r="Y181" i="27"/>
  <c r="S14" i="27"/>
  <c r="P329" i="97" s="1" a="1"/>
  <c r="P329" i="97" s="1"/>
  <c r="Q338" i="92"/>
  <c r="Y14" i="27"/>
  <c r="S337" i="27"/>
  <c r="P71" i="97" s="1" a="1"/>
  <c r="P71" i="97" s="1"/>
  <c r="Y337" i="27"/>
  <c r="AV337" i="27" s="1"/>
  <c r="Q316" i="92"/>
  <c r="S153" i="27"/>
  <c r="P204" i="97" s="1" a="1"/>
  <c r="P204" i="97" s="1"/>
  <c r="Q204" i="92"/>
  <c r="S171" i="27"/>
  <c r="P210" i="97" s="1" a="1"/>
  <c r="P210" i="97" s="1"/>
  <c r="Q210" i="92"/>
  <c r="AB171" i="27"/>
  <c r="Y171" i="27"/>
  <c r="Y129" i="27"/>
  <c r="Y153" i="27"/>
  <c r="Y140" i="27"/>
  <c r="S54" i="27"/>
  <c r="P295" i="97" s="1" a="1"/>
  <c r="P295" i="97" s="1"/>
  <c r="Q107" i="92"/>
  <c r="Y54" i="27"/>
  <c r="S36" i="27"/>
  <c r="P73" i="97" s="1" a="1"/>
  <c r="P73" i="97" s="1"/>
  <c r="Q12" i="92"/>
  <c r="AB36" i="27"/>
  <c r="S207" i="27"/>
  <c r="P233" i="97" s="1" a="1"/>
  <c r="P233" i="97" s="1"/>
  <c r="Q236" i="92"/>
  <c r="Y207" i="27"/>
  <c r="S309" i="27"/>
  <c r="P255" i="97" s="1" a="1"/>
  <c r="P255" i="97" s="1"/>
  <c r="Q261" i="92"/>
  <c r="Y309" i="27"/>
  <c r="S319" i="27"/>
  <c r="P275" i="97" s="1" a="1"/>
  <c r="P275" i="97" s="1"/>
  <c r="Y319" i="27"/>
  <c r="Q282" i="92"/>
  <c r="S18" i="27"/>
  <c r="P319" i="97" s="1" a="1"/>
  <c r="P319" i="97" s="1"/>
  <c r="Q252" i="92"/>
  <c r="AB18" i="27"/>
  <c r="Y18" i="27"/>
  <c r="S243" i="27"/>
  <c r="P102" i="97" s="1" a="1"/>
  <c r="P102" i="97" s="1"/>
  <c r="Q52" i="92"/>
  <c r="Y243" i="27"/>
  <c r="S44" i="27"/>
  <c r="P168" i="97" s="1" a="1"/>
  <c r="P168" i="97" s="1"/>
  <c r="Q157" i="92"/>
  <c r="Y44" i="27"/>
  <c r="S7" i="27"/>
  <c r="P162" i="97" s="1" a="1"/>
  <c r="P162" i="97" s="1"/>
  <c r="Q150" i="92"/>
  <c r="Y7" i="27"/>
  <c r="S277" i="27"/>
  <c r="P60" i="97" s="1" a="1"/>
  <c r="P60" i="97" s="1"/>
  <c r="Q161" i="92"/>
  <c r="Y277" i="27"/>
  <c r="S86" i="27"/>
  <c r="P139" i="97" s="1" a="1"/>
  <c r="P139" i="97" s="1"/>
  <c r="Q119" i="92"/>
  <c r="AB86" i="27"/>
  <c r="Y86" i="27"/>
  <c r="S320" i="27"/>
  <c r="P276" i="97" s="1" a="1"/>
  <c r="P276" i="97" s="1"/>
  <c r="Q283" i="92"/>
  <c r="Y320" i="27"/>
  <c r="S30" i="27"/>
  <c r="P230" i="97" s="1" a="1"/>
  <c r="P230" i="97" s="1"/>
  <c r="Q232" i="92"/>
  <c r="Y30" i="27"/>
  <c r="S34" i="27"/>
  <c r="P89" i="97" s="1" a="1"/>
  <c r="P89" i="97" s="1"/>
  <c r="Q30" i="92"/>
  <c r="Y34" i="27"/>
  <c r="S125" i="27"/>
  <c r="P35" i="97" s="1" a="1"/>
  <c r="P35" i="97" s="1"/>
  <c r="Q72" i="92"/>
  <c r="AB125" i="27"/>
  <c r="AB135" i="27"/>
  <c r="S208" i="27"/>
  <c r="P284" i="97" s="1" a="1"/>
  <c r="P284" i="97" s="1"/>
  <c r="Q291" i="92"/>
  <c r="Y208" i="27"/>
  <c r="S114" i="27"/>
  <c r="P49" i="97" s="1" a="1"/>
  <c r="P49" i="97" s="1"/>
  <c r="Q320" i="92"/>
  <c r="S245" i="27"/>
  <c r="P105" i="97" s="1" a="1"/>
  <c r="P105" i="97" s="1"/>
  <c r="Y245" i="27"/>
  <c r="Q55" i="92"/>
  <c r="S48" i="27"/>
  <c r="P164" i="97" s="1" a="1"/>
  <c r="P164" i="97" s="1"/>
  <c r="Q152" i="92"/>
  <c r="Y48" i="27"/>
  <c r="S158" i="27"/>
  <c r="P265" i="97" s="1" a="1"/>
  <c r="P265" i="97" s="1"/>
  <c r="Q272" i="92"/>
  <c r="Y158" i="27"/>
  <c r="S92" i="27"/>
  <c r="P222" i="97" s="1" a="1"/>
  <c r="P222" i="97" s="1"/>
  <c r="Q223" i="92"/>
  <c r="S255" i="27"/>
  <c r="P115" i="97" s="1" a="1"/>
  <c r="P115" i="97" s="1"/>
  <c r="Y255" i="27"/>
  <c r="Q83" i="92"/>
  <c r="S302" i="27"/>
  <c r="P232" i="97" s="1" a="1"/>
  <c r="P232" i="97" s="1"/>
  <c r="Q235" i="92"/>
  <c r="Y302" i="27"/>
  <c r="S105" i="27"/>
  <c r="P75" i="97" s="1" a="1"/>
  <c r="P75" i="97" s="1"/>
  <c r="Q14" i="92"/>
  <c r="Y105" i="27"/>
  <c r="S221" i="27"/>
  <c r="P107" i="97" s="1" a="1"/>
  <c r="P107" i="97" s="1"/>
  <c r="Q57" i="92"/>
  <c r="AB221" i="27"/>
  <c r="Y221" i="27"/>
  <c r="S238" i="27"/>
  <c r="P93" i="97" s="1" a="1"/>
  <c r="P93" i="97" s="1"/>
  <c r="Y238" i="27"/>
  <c r="Q42" i="92"/>
  <c r="S38" i="27"/>
  <c r="P309" i="97" s="1" a="1"/>
  <c r="P309" i="97" s="1"/>
  <c r="Q318" i="92"/>
  <c r="AB38" i="27"/>
  <c r="Y38" i="27"/>
  <c r="S276" i="27"/>
  <c r="P170" i="97" s="1" a="1"/>
  <c r="P170" i="97" s="1"/>
  <c r="Y276" i="27"/>
  <c r="Q160" i="92"/>
  <c r="Z55" i="27" a="1"/>
  <c r="Z55" i="27" s="1"/>
  <c r="AQ55" i="27" a="1"/>
  <c r="AQ55" i="27" s="1"/>
  <c r="AR55" i="27" a="1"/>
  <c r="AR55" i="27" s="1"/>
  <c r="AA55" i="27"/>
  <c r="Y316" i="97" s="1" a="1"/>
  <c r="Y316" i="97" s="1"/>
  <c r="AE55" i="27" a="1"/>
  <c r="AE55" i="27" s="1"/>
  <c r="AV55" i="27"/>
  <c r="S122" i="27"/>
  <c r="P197" i="97" s="1" a="1"/>
  <c r="P197" i="97" s="1"/>
  <c r="Q197" i="92"/>
  <c r="Y122" i="27"/>
  <c r="AB122" i="27"/>
  <c r="S138" i="27"/>
  <c r="P182" i="97" s="1" a="1"/>
  <c r="P182" i="97" s="1"/>
  <c r="Q177" i="92"/>
  <c r="Y138" i="27"/>
  <c r="S33" i="27"/>
  <c r="P119" i="97" s="1" a="1"/>
  <c r="P119" i="97" s="1"/>
  <c r="Q87" i="92"/>
  <c r="AB33" i="27"/>
  <c r="Y33" i="27"/>
  <c r="S199" i="27"/>
  <c r="P5" i="97" s="1" a="1"/>
  <c r="P5" i="97" s="1"/>
  <c r="Q6" i="92"/>
  <c r="S94" i="27"/>
  <c r="P19" i="97" s="1" a="1"/>
  <c r="P19" i="97" s="1"/>
  <c r="Q73" i="92"/>
  <c r="Y94" i="27"/>
  <c r="S85" i="27"/>
  <c r="P117" i="97" s="1" a="1"/>
  <c r="P117" i="97" s="1"/>
  <c r="Q85" i="92"/>
  <c r="Y85" i="27"/>
  <c r="S196" i="27"/>
  <c r="P149" i="97" s="1" a="1"/>
  <c r="P149" i="97" s="1"/>
  <c r="Q134" i="92"/>
  <c r="Y196" i="27"/>
  <c r="S24" i="27"/>
  <c r="P80" i="97" s="1" a="1"/>
  <c r="P80" i="97" s="1"/>
  <c r="Q19" i="92"/>
  <c r="Y24" i="27"/>
  <c r="S251" i="27"/>
  <c r="P110" i="97" s="1" a="1"/>
  <c r="P110" i="97" s="1"/>
  <c r="Y251" i="27"/>
  <c r="Q64" i="92"/>
  <c r="S291" i="27"/>
  <c r="P200" i="97" s="1" a="1"/>
  <c r="P200" i="97" s="1"/>
  <c r="Y291" i="27"/>
  <c r="Q200" i="92"/>
  <c r="S154" i="27"/>
  <c r="P147" i="97" s="1" a="1"/>
  <c r="P147" i="97" s="1"/>
  <c r="Q132" i="92"/>
  <c r="Y154" i="27"/>
  <c r="Z185" i="27" a="1"/>
  <c r="Z185" i="27" s="1"/>
  <c r="AA185" i="27"/>
  <c r="Y132" i="97" s="1" a="1"/>
  <c r="Y132" i="97" s="1"/>
  <c r="AE185" i="27" a="1"/>
  <c r="AE185" i="27" s="1"/>
  <c r="AI185" i="27" s="1"/>
  <c r="AJ185" i="27" s="1" a="1"/>
  <c r="AJ185" i="27" s="1"/>
  <c r="AV185" i="27"/>
  <c r="S116" i="27"/>
  <c r="P161" i="97" s="1" a="1"/>
  <c r="P161" i="97" s="1"/>
  <c r="Q149" i="92"/>
  <c r="Y116" i="27"/>
  <c r="S224" i="27"/>
  <c r="P184" i="97" s="1" a="1"/>
  <c r="P184" i="97" s="1"/>
  <c r="Q179" i="92"/>
  <c r="Y224" i="27"/>
  <c r="Y121" i="27"/>
  <c r="Y68" i="27"/>
  <c r="S137" i="27"/>
  <c r="P101" i="97" s="1" a="1"/>
  <c r="P101" i="97" s="1"/>
  <c r="Q51" i="92"/>
  <c r="AB137" i="27"/>
  <c r="S216" i="27"/>
  <c r="P87" i="97" s="1" a="1"/>
  <c r="P87" i="97" s="1"/>
  <c r="Q28" i="92"/>
  <c r="Y216" i="27"/>
  <c r="S215" i="27"/>
  <c r="P12" i="97" s="1" a="1"/>
  <c r="P12" i="97" s="1"/>
  <c r="Q31" i="92"/>
  <c r="S170" i="27"/>
  <c r="P185" i="97" s="1" a="1"/>
  <c r="P185" i="97" s="1"/>
  <c r="Q181" i="92"/>
  <c r="Y170" i="27"/>
  <c r="S232" i="27"/>
  <c r="P7" i="97" s="1" a="1"/>
  <c r="P7" i="97" s="1"/>
  <c r="Q9" i="92"/>
  <c r="Y232" i="27"/>
  <c r="AB232" i="27"/>
  <c r="S268" i="27"/>
  <c r="P41" i="97" s="1" a="1"/>
  <c r="P41" i="97" s="1"/>
  <c r="Y268" i="27"/>
  <c r="Q99" i="92"/>
  <c r="S203" i="27"/>
  <c r="P180" i="97" s="1" a="1"/>
  <c r="P180" i="97" s="1"/>
  <c r="Q174" i="92"/>
  <c r="AB133" i="27"/>
  <c r="AB332" i="27"/>
  <c r="AB131" i="27"/>
  <c r="S220" i="27"/>
  <c r="P245" i="97" s="1" a="1"/>
  <c r="P245" i="97" s="1"/>
  <c r="Q249" i="92"/>
  <c r="Y220" i="27"/>
  <c r="AB219" i="27"/>
  <c r="AB271" i="27"/>
  <c r="S73" i="27"/>
  <c r="P10" i="97" s="1" a="1"/>
  <c r="P10" i="97" s="1"/>
  <c r="Q34" i="92"/>
  <c r="AB168" i="27"/>
  <c r="AV22" i="27"/>
  <c r="Y225" i="27"/>
  <c r="S77" i="27"/>
  <c r="P225" i="97" s="1" a="1"/>
  <c r="P225" i="97" s="1"/>
  <c r="Q227" i="92"/>
  <c r="S35" i="27"/>
  <c r="P38" i="97" s="1" a="1"/>
  <c r="P38" i="97" s="1"/>
  <c r="Q191" i="92"/>
  <c r="S117" i="27"/>
  <c r="P273" i="97" s="1" a="1"/>
  <c r="P273" i="97" s="1"/>
  <c r="Q280" i="92"/>
  <c r="S83" i="27"/>
  <c r="P84" i="97" s="1" a="1"/>
  <c r="P84" i="97" s="1"/>
  <c r="Y83" i="27"/>
  <c r="Q24" i="92"/>
  <c r="S225" i="27"/>
  <c r="P135" i="97" s="1" a="1"/>
  <c r="P135" i="97" s="1"/>
  <c r="Q111" i="92"/>
  <c r="Y77" i="27"/>
  <c r="AQ67" i="27" a="1"/>
  <c r="AQ67" i="27" s="1"/>
  <c r="AR67" i="27" a="1"/>
  <c r="AR67" i="27" s="1"/>
  <c r="Z67" i="27" a="1"/>
  <c r="Z67" i="27" s="1"/>
  <c r="AA67" i="27"/>
  <c r="Y325" i="97" s="1" a="1"/>
  <c r="Y325" i="97" s="1"/>
  <c r="AE67" i="27" a="1"/>
  <c r="AE67" i="27" s="1"/>
  <c r="AI67" i="27" s="1"/>
  <c r="AJ67" i="27" s="1" a="1"/>
  <c r="AJ67" i="27" s="1"/>
  <c r="Y117" i="27"/>
  <c r="S284" i="27"/>
  <c r="P175" i="97" s="1" a="1"/>
  <c r="P175" i="97" s="1"/>
  <c r="Y284" i="27"/>
  <c r="Q169" i="92"/>
  <c r="S222" i="27"/>
  <c r="P8" i="97" s="1" a="1"/>
  <c r="P8" i="97" s="1"/>
  <c r="Q10" i="92"/>
  <c r="S217" i="27"/>
  <c r="P278" i="97" s="1" a="1"/>
  <c r="P278" i="97" s="1"/>
  <c r="Q285" i="92"/>
  <c r="S13" i="27"/>
  <c r="P324" i="97" s="1" a="1"/>
  <c r="P324" i="97" s="1"/>
  <c r="Q333" i="92"/>
  <c r="S234" i="27"/>
  <c r="P82" i="97" s="1" a="1"/>
  <c r="P82" i="97" s="1"/>
  <c r="Y234" i="27"/>
  <c r="Q22" i="92"/>
  <c r="S20" i="27"/>
  <c r="P62" i="97" s="1" a="1"/>
  <c r="P62" i="97" s="1"/>
  <c r="Q328" i="92"/>
  <c r="S249" i="27"/>
  <c r="P23" i="97" s="1" a="1"/>
  <c r="P23" i="97" s="1"/>
  <c r="Q62" i="92"/>
  <c r="Y249" i="27"/>
  <c r="S67" i="27"/>
  <c r="P325" i="97" s="1" a="1"/>
  <c r="P325" i="97" s="1"/>
  <c r="Q334" i="92"/>
  <c r="S55" i="27"/>
  <c r="P316" i="97" s="1" a="1"/>
  <c r="P316" i="97" s="1"/>
  <c r="Q325" i="92"/>
  <c r="S281" i="27"/>
  <c r="P173" i="97" s="1" a="1"/>
  <c r="P173" i="97" s="1"/>
  <c r="Q165" i="92"/>
  <c r="Y281" i="27"/>
  <c r="S195" i="27"/>
  <c r="P129" i="97" s="1" a="1"/>
  <c r="P129" i="97" s="1"/>
  <c r="Q101" i="92"/>
  <c r="S318" i="27"/>
  <c r="P274" i="97" s="1" a="1"/>
  <c r="P274" i="97" s="1"/>
  <c r="Y318" i="27"/>
  <c r="Q281" i="92"/>
  <c r="S17" i="27"/>
  <c r="P136" i="97" s="1" a="1"/>
  <c r="P136" i="97" s="1"/>
  <c r="Y17" i="27"/>
  <c r="Q112" i="92"/>
  <c r="S325" i="27"/>
  <c r="P285" i="97" s="1" a="1"/>
  <c r="P285" i="97" s="1"/>
  <c r="Q292" i="92"/>
  <c r="Y325" i="27"/>
  <c r="S185" i="27"/>
  <c r="P132" i="97" s="1" a="1"/>
  <c r="P132" i="97" s="1"/>
  <c r="Q108" i="92"/>
  <c r="S205" i="27"/>
  <c r="P72" i="97" s="1" a="1"/>
  <c r="P72" i="97" s="1"/>
  <c r="Y205" i="27"/>
  <c r="Q317" i="92"/>
  <c r="S324" i="27"/>
  <c r="P283" i="97" s="1" a="1"/>
  <c r="P283" i="97" s="1"/>
  <c r="Q290" i="92"/>
  <c r="Y324" i="27"/>
  <c r="S139" i="27"/>
  <c r="P99" i="97" s="1" a="1"/>
  <c r="P99" i="97" s="1"/>
  <c r="Q49" i="92"/>
  <c r="N322" i="96" a="1"/>
  <c r="N14" i="96" a="1"/>
  <c r="N145" i="96" a="1"/>
  <c r="N41" i="96" a="1"/>
  <c r="N295" i="96" a="1"/>
  <c r="N323" i="96" a="1"/>
  <c r="N192" i="96" a="1"/>
  <c r="N301" i="96" a="1"/>
  <c r="N267" i="96" a="1"/>
  <c r="N102" i="96" a="1"/>
  <c r="N43" i="96" a="1"/>
  <c r="N168" i="96" a="1"/>
  <c r="N265" i="96" a="1"/>
  <c r="N124" i="96" a="1"/>
  <c r="N74" i="96" a="1"/>
  <c r="N16" i="96" a="1"/>
  <c r="N232" i="96" a="1"/>
  <c r="N252" i="96" a="1"/>
  <c r="N3" i="96" a="1"/>
  <c r="O189" i="96" a="1"/>
  <c r="N307" i="96" a="1"/>
  <c r="O104" i="96" a="1"/>
  <c r="N240" i="96" a="1"/>
  <c r="N91" i="96" a="1"/>
  <c r="N96" i="96" a="1"/>
  <c r="N224" i="96" a="1"/>
  <c r="N121" i="96" a="1"/>
  <c r="O70" i="96" a="1"/>
  <c r="N47" i="96" a="1"/>
  <c r="N57" i="96" a="1"/>
  <c r="N65" i="96" a="1"/>
  <c r="N120" i="96" a="1"/>
  <c r="N9" i="96" a="1"/>
  <c r="N164" i="96" a="1"/>
  <c r="N13" i="96" a="1"/>
  <c r="O106" i="96" a="1"/>
  <c r="N32" i="96" a="1"/>
  <c r="N334" i="96" a="1"/>
  <c r="O29" i="96" a="1"/>
  <c r="N146" i="96" a="1"/>
  <c r="N187" i="96" a="1"/>
  <c r="N199" i="96" a="1"/>
  <c r="N122" i="96" a="1"/>
  <c r="N173" i="96" a="1"/>
  <c r="N12" i="96" a="1"/>
  <c r="N260" i="96" a="1"/>
  <c r="N227" i="96" a="1"/>
  <c r="N206" i="96" a="1"/>
  <c r="N31" i="96" a="1"/>
  <c r="N48" i="96" a="1"/>
  <c r="N246" i="96" a="1"/>
  <c r="N216" i="96" a="1"/>
  <c r="N59" i="96" a="1"/>
  <c r="N87" i="96" a="1"/>
  <c r="N226" i="96" a="1"/>
  <c r="N62" i="96" a="1"/>
  <c r="N242" i="96" a="1"/>
  <c r="N237" i="96" a="1"/>
  <c r="N293" i="96" a="1"/>
  <c r="N90" i="96" a="1"/>
  <c r="N21" i="96" a="1"/>
  <c r="N305" i="96" a="1"/>
  <c r="N316" i="96" a="1"/>
  <c r="N42" i="96" a="1"/>
  <c r="N310" i="96" a="1"/>
  <c r="N156" i="96" a="1"/>
  <c r="N335" i="96" a="1"/>
  <c r="N218" i="96" a="1"/>
  <c r="N2" i="96" a="1"/>
  <c r="N22" i="96" a="1"/>
  <c r="N268" i="96" a="1"/>
  <c r="N188" i="96" a="1"/>
  <c r="N34" i="96" a="1"/>
  <c r="N236" i="96" a="1"/>
  <c r="N155" i="96" a="1"/>
  <c r="N254" i="96" a="1"/>
  <c r="N151" i="96" a="1"/>
  <c r="N210" i="96" a="1"/>
  <c r="N135" i="96" a="1"/>
  <c r="N191" i="96" a="1"/>
  <c r="N143" i="96" a="1"/>
  <c r="N309" i="96" a="1"/>
  <c r="N298" i="96" a="1"/>
  <c r="O329" i="96" a="1"/>
  <c r="N325" i="96" a="1"/>
  <c r="N111" i="96" a="1"/>
  <c r="O331" i="96" a="1"/>
  <c r="N279" i="96" a="1"/>
  <c r="N60" i="96" a="1"/>
  <c r="N26" i="96" a="1"/>
  <c r="N97" i="96" a="1"/>
  <c r="N162" i="96" a="1"/>
  <c r="O176" i="96" a="1"/>
  <c r="N53" i="96" a="1"/>
  <c r="N55" i="96" a="1"/>
  <c r="N119" i="96" a="1"/>
  <c r="N123" i="96" a="1"/>
  <c r="N241" i="96" a="1"/>
  <c r="N238" i="96" a="1"/>
  <c r="N193" i="96" a="1"/>
  <c r="N299" i="96" a="1"/>
  <c r="N182" i="96" a="1"/>
  <c r="N4" i="96" a="1"/>
  <c r="N257" i="96" a="1"/>
  <c r="N220" i="96" a="1"/>
  <c r="N109" i="96" a="1"/>
  <c r="N181" i="96" a="1"/>
  <c r="N243" i="96" a="1"/>
  <c r="N183" i="96" a="1"/>
  <c r="N233" i="96" a="1"/>
  <c r="N263" i="96" a="1"/>
  <c r="N313" i="96" a="1"/>
  <c r="N136" i="96" a="1"/>
  <c r="N297" i="96" a="1"/>
  <c r="N326" i="96" a="1"/>
  <c r="N27" i="96" a="1"/>
  <c r="N245" i="96" a="1"/>
  <c r="N86" i="96" a="1"/>
  <c r="N282" i="96" a="1"/>
  <c r="N92" i="96" a="1"/>
  <c r="N170" i="96" a="1"/>
  <c r="N272" i="96" a="1"/>
  <c r="N280" i="96" a="1"/>
  <c r="N98" i="96" a="1"/>
  <c r="N11" i="96" a="1"/>
  <c r="N248" i="96" a="1"/>
  <c r="N256" i="96" a="1"/>
  <c r="N107" i="96" a="1"/>
  <c r="N72" i="96" a="1"/>
  <c r="N311" i="96" a="1"/>
  <c r="N250" i="96" a="1"/>
  <c r="O332" i="96" a="1"/>
  <c r="N294" i="96" a="1"/>
  <c r="N154" i="96" a="1"/>
  <c r="N76" i="96" a="1"/>
  <c r="N324" i="96" a="1"/>
  <c r="N283" i="96" a="1"/>
  <c r="N142" i="96" a="1"/>
  <c r="N103" i="96" a="1"/>
  <c r="N110" i="96" a="1"/>
  <c r="N261" i="96" a="1"/>
  <c r="N71" i="96" a="1"/>
  <c r="N186" i="96" a="1"/>
  <c r="N69" i="96" a="1"/>
  <c r="N194" i="96" a="1"/>
  <c r="N289" i="96" a="1"/>
  <c r="N171" i="96" a="1"/>
  <c r="N39" i="96" a="1"/>
  <c r="N44" i="96" a="1"/>
  <c r="N148" i="96" a="1"/>
  <c r="N163" i="96" a="1"/>
  <c r="N82" i="96" a="1"/>
  <c r="N152" i="96" a="1"/>
  <c r="N264" i="96" a="1"/>
  <c r="N266" i="96" a="1"/>
  <c r="N208" i="96" a="1"/>
  <c r="N33" i="96" a="1"/>
  <c r="N132" i="96" a="1"/>
  <c r="N277" i="96" a="1"/>
  <c r="N116" i="96" a="1"/>
  <c r="N81" i="96" a="1"/>
  <c r="N78" i="96" a="1"/>
  <c r="N157" i="96" a="1"/>
  <c r="N234" i="96" a="1"/>
  <c r="O49" i="96" a="1"/>
  <c r="O326" i="96" a="1"/>
  <c r="N83" i="96" a="1"/>
  <c r="N166" i="96" a="1"/>
  <c r="N108" i="96" a="1"/>
  <c r="N304" i="96" a="1"/>
  <c r="N203" i="96" a="1"/>
  <c r="N315" i="96" a="1"/>
  <c r="N333" i="96" a="1"/>
  <c r="N56" i="96" a="1"/>
  <c r="N45" i="96" a="1"/>
  <c r="N328" i="96" a="1"/>
  <c r="N54" i="96" a="1"/>
  <c r="N196" i="96" a="1"/>
  <c r="N172" i="96" a="1"/>
  <c r="N262" i="96" a="1"/>
  <c r="N95" i="96" a="1"/>
  <c r="N40" i="96" a="1"/>
  <c r="N286" i="96" a="1"/>
  <c r="N273" i="96" a="1"/>
  <c r="N35" i="96" a="1"/>
  <c r="N327" i="96" a="1"/>
  <c r="N312" i="96" a="1"/>
  <c r="N130" i="96" a="1"/>
  <c r="N177" i="96" a="1"/>
  <c r="N99" i="96" a="1"/>
  <c r="N223" i="96" a="1"/>
  <c r="N202" i="96" a="1"/>
  <c r="N201" i="96" a="1"/>
  <c r="N271" i="96" a="1"/>
  <c r="N73" i="96" a="1"/>
  <c r="N131" i="96" a="1"/>
  <c r="N300" i="96" a="1"/>
  <c r="N330" i="96" a="1"/>
  <c r="N321" i="96" a="1"/>
  <c r="N258" i="96" a="1"/>
  <c r="N235" i="96" a="1"/>
  <c r="N80" i="96" a="1"/>
  <c r="N129" i="96" a="1"/>
  <c r="N127" i="96" a="1"/>
  <c r="N150" i="96" a="1"/>
  <c r="N139" i="96" a="1"/>
  <c r="N285" i="96" a="1"/>
  <c r="O323" i="96" a="1"/>
  <c r="N198" i="96" a="1"/>
  <c r="N137" i="96" a="1"/>
  <c r="N319" i="96" a="1"/>
  <c r="N204" i="96" a="1"/>
  <c r="N219" i="96" a="1"/>
  <c r="N225" i="96" a="1"/>
  <c r="N24" i="96" a="1"/>
  <c r="N89" i="96" a="1"/>
  <c r="N112" i="96" a="1"/>
  <c r="N30" i="96" a="1"/>
  <c r="N288" i="96" a="1"/>
  <c r="N158" i="96" a="1"/>
  <c r="N25" i="96" a="1"/>
  <c r="N88" i="96" a="1"/>
  <c r="N296" i="96" a="1"/>
  <c r="N117" i="96" a="1"/>
  <c r="N23" i="96" a="1"/>
  <c r="N179" i="96" a="1"/>
  <c r="N149" i="96" a="1"/>
  <c r="O292" i="96" a="1"/>
  <c r="N205" i="96" a="1"/>
  <c r="N94" i="96" a="1"/>
  <c r="N180" i="96" a="1"/>
  <c r="N118" i="96" a="1"/>
  <c r="N141" i="96" a="1"/>
  <c r="N128" i="96" a="1"/>
  <c r="N253" i="96" a="1"/>
  <c r="N306" i="96" a="1"/>
  <c r="N15" i="96" a="1"/>
  <c r="N138" i="96" a="1"/>
  <c r="O312" i="96" a="1"/>
  <c r="N133" i="96" a="1"/>
  <c r="N167" i="96" a="1"/>
  <c r="N101" i="96" a="1"/>
  <c r="N140" i="96" a="1"/>
  <c r="N284" i="96" a="1"/>
  <c r="N197" i="96" a="1"/>
  <c r="N113" i="96" a="1"/>
  <c r="N5" i="96" a="1"/>
  <c r="O19" i="96" a="1"/>
  <c r="N50" i="96" a="1"/>
  <c r="N52" i="96" a="1"/>
  <c r="O77" i="96" a="1"/>
  <c r="N229" i="96" a="1"/>
  <c r="N185" i="96" a="1"/>
  <c r="N211" i="96" a="1"/>
  <c r="N51" i="96" a="1"/>
  <c r="N320" i="96" a="1"/>
  <c r="N93" i="96" a="1"/>
  <c r="N215" i="96" a="1"/>
  <c r="N278" i="96" a="1"/>
  <c r="N147" i="96" a="1"/>
  <c r="N161" i="96" a="1"/>
  <c r="N230" i="96" a="1"/>
  <c r="N126" i="96" a="1"/>
  <c r="N84" i="96" a="1"/>
  <c r="N308" i="96" a="1"/>
  <c r="N37" i="96" a="1"/>
  <c r="N6" i="96" a="1"/>
  <c r="N231" i="96" a="1"/>
  <c r="N18" i="96" a="1"/>
  <c r="N17" i="96" a="1"/>
  <c r="N184" i="96" a="1"/>
  <c r="N336" i="96" a="1"/>
  <c r="N259" i="96" a="1"/>
  <c r="N251" i="96" a="1"/>
  <c r="N75" i="96" a="1"/>
  <c r="N79" i="96" a="1"/>
  <c r="N275" i="96" a="1"/>
  <c r="N249" i="96" a="1"/>
  <c r="N228" i="96" a="1"/>
  <c r="N64" i="96" a="1"/>
  <c r="N239" i="96" a="1"/>
  <c r="N67" i="96" a="1"/>
  <c r="N100" i="96" a="1"/>
  <c r="N63" i="96" a="1"/>
  <c r="N303" i="96" a="1"/>
  <c r="N174" i="96" a="1"/>
  <c r="N85" i="96" a="1"/>
  <c r="N302" i="96" a="1"/>
  <c r="N153" i="96" a="1"/>
  <c r="O274" i="96" a="1"/>
  <c r="N46" i="96" a="1"/>
  <c r="N61" i="96" a="1"/>
  <c r="N212" i="96" a="1"/>
  <c r="O283" i="96" a="1"/>
  <c r="N270" i="96" a="1"/>
  <c r="N209" i="96" a="1"/>
  <c r="O221" i="96" a="1"/>
  <c r="N115" i="96" a="1"/>
  <c r="N160" i="96" a="1"/>
  <c r="N190" i="96" a="1"/>
  <c r="N195" i="96" a="1"/>
  <c r="O10" i="96" a="1"/>
  <c r="N314" i="96" a="1"/>
  <c r="N287" i="96" a="1"/>
  <c r="N214" i="96" a="1"/>
  <c r="N7" i="96" a="1"/>
  <c r="N144" i="96" a="1"/>
  <c r="N244" i="96" a="1"/>
  <c r="N276" i="96" a="1"/>
  <c r="N200" i="96" a="1"/>
  <c r="N159" i="96" a="1"/>
  <c r="N269" i="96" a="1"/>
  <c r="N178" i="96" a="1"/>
  <c r="N217" i="96" a="1"/>
  <c r="N68" i="96" a="1"/>
  <c r="O317" i="96" a="1"/>
  <c r="N175" i="96" a="1"/>
  <c r="N125" i="96" a="1"/>
  <c r="N134" i="96" a="1"/>
  <c r="O8" i="96" a="1"/>
  <c r="N222" i="96" a="1"/>
  <c r="N169" i="96" a="1"/>
  <c r="O255" i="96" a="1"/>
  <c r="O318" i="96" a="1"/>
  <c r="N281" i="96" a="1"/>
  <c r="N213" i="96" a="1"/>
  <c r="N38" i="96" a="1"/>
  <c r="N58" i="96" a="1"/>
  <c r="N290" i="96" a="1"/>
  <c r="N20" i="96" a="1"/>
  <c r="N165" i="96" a="1"/>
  <c r="N114" i="96" a="1"/>
  <c r="N66" i="96" a="1"/>
  <c r="N207" i="96" a="1"/>
  <c r="N247" i="96" a="1"/>
  <c r="N105" i="96" a="1"/>
  <c r="N291" i="96" a="1"/>
  <c r="N28" i="96" a="1"/>
  <c r="N36" i="96" a="1"/>
  <c r="AQ126" i="27" l="1" a="1"/>
  <c r="AQ126" i="27" s="1"/>
  <c r="AV188" i="27"/>
  <c r="V155" i="97" a="1"/>
  <c r="V155" i="97" s="1"/>
  <c r="BA272" i="27"/>
  <c r="V327" i="97" a="1"/>
  <c r="V327" i="97" s="1"/>
  <c r="BA338" i="27"/>
  <c r="BC338" i="27" s="1"/>
  <c r="V71" i="97" a="1"/>
  <c r="V71" i="97" s="1"/>
  <c r="BA337" i="27"/>
  <c r="BC337" i="27" s="1"/>
  <c r="AE188" i="27" a="1"/>
  <c r="AE188" i="27" s="1"/>
  <c r="AH188" i="27" s="1"/>
  <c r="AA20" i="27"/>
  <c r="Y62" i="97" s="1" a="1"/>
  <c r="Y62" i="97" s="1"/>
  <c r="AE20" i="27" a="1"/>
  <c r="AE20" i="27" s="1"/>
  <c r="AI20" i="27" s="1"/>
  <c r="AJ20" i="27" s="1" a="1"/>
  <c r="AJ20" i="27" s="1"/>
  <c r="BA58" i="27"/>
  <c r="BC58" i="27" s="1"/>
  <c r="AE195" i="27" a="1"/>
  <c r="AE195" i="27" s="1"/>
  <c r="AH195" i="27" s="1"/>
  <c r="AV195" i="27"/>
  <c r="V129" i="97" s="1" a="1"/>
  <c r="V129" i="97" s="1"/>
  <c r="AA195" i="27"/>
  <c r="Y129" i="97" s="1" a="1"/>
  <c r="Y129" i="97" s="1"/>
  <c r="Z195" i="27" a="1"/>
  <c r="Z195" i="27" s="1"/>
  <c r="AD195" i="27" s="1" a="1"/>
  <c r="AD195" i="27" s="1"/>
  <c r="AV217" i="27"/>
  <c r="V278" i="97" s="1" a="1"/>
  <c r="V278" i="97" s="1"/>
  <c r="AE217" i="27" a="1"/>
  <c r="AE217" i="27" s="1"/>
  <c r="AF217" i="27" s="1" a="1"/>
  <c r="AF217" i="27" s="1"/>
  <c r="AR195" i="27" a="1"/>
  <c r="AR195" i="27" s="1"/>
  <c r="AA217" i="27"/>
  <c r="Y278" i="97" s="1" a="1"/>
  <c r="Y278" i="97" s="1"/>
  <c r="AQ20" i="27" a="1"/>
  <c r="AQ20" i="27" s="1"/>
  <c r="AR20" i="27" a="1"/>
  <c r="AR20" i="27" s="1"/>
  <c r="AV126" i="27"/>
  <c r="V32" i="97" s="1" a="1"/>
  <c r="V32" i="97" s="1"/>
  <c r="Z126" i="27" a="1"/>
  <c r="Z126" i="27" s="1"/>
  <c r="AD126" i="27" s="1" a="1"/>
  <c r="AD126" i="27" s="1"/>
  <c r="AA126" i="27"/>
  <c r="Y32" i="97" s="1" a="1"/>
  <c r="Y32" i="97" s="1"/>
  <c r="AE126" i="27" a="1"/>
  <c r="AE126" i="27" s="1"/>
  <c r="AI126" i="27" s="1"/>
  <c r="AJ126" i="27" s="1" a="1"/>
  <c r="AJ126" i="27" s="1"/>
  <c r="V196" i="97" a="1"/>
  <c r="V196" i="97" s="1"/>
  <c r="BA119" i="27"/>
  <c r="BD119" i="27" s="1"/>
  <c r="N170" i="96"/>
  <c r="N105" i="96"/>
  <c r="O332" i="96"/>
  <c r="N179" i="96"/>
  <c r="N110" i="96"/>
  <c r="N12" i="96"/>
  <c r="N53" i="96"/>
  <c r="N250" i="96"/>
  <c r="N51" i="96"/>
  <c r="N38" i="96"/>
  <c r="N214" i="96"/>
  <c r="N91" i="96"/>
  <c r="N276" i="96"/>
  <c r="N264" i="96"/>
  <c r="N172" i="96"/>
  <c r="N114" i="96"/>
  <c r="N169" i="96"/>
  <c r="N42" i="96"/>
  <c r="N25" i="96"/>
  <c r="N135" i="96"/>
  <c r="N327" i="96"/>
  <c r="N149" i="96"/>
  <c r="N256" i="96"/>
  <c r="N311" i="96"/>
  <c r="N225" i="96"/>
  <c r="N191" i="96"/>
  <c r="N140" i="96"/>
  <c r="O77" i="96"/>
  <c r="N185" i="96"/>
  <c r="N134" i="96"/>
  <c r="N303" i="96"/>
  <c r="O19" i="96"/>
  <c r="N45" i="96"/>
  <c r="N136" i="96"/>
  <c r="N63" i="96"/>
  <c r="N245" i="96"/>
  <c r="N115" i="96"/>
  <c r="O318" i="96"/>
  <c r="N295" i="96"/>
  <c r="N32" i="96"/>
  <c r="N308" i="96"/>
  <c r="N180" i="96"/>
  <c r="N219" i="96"/>
  <c r="N304" i="96"/>
  <c r="N228" i="96"/>
  <c r="N139" i="96"/>
  <c r="N286" i="96"/>
  <c r="N162" i="96"/>
  <c r="N261" i="96"/>
  <c r="N153" i="96"/>
  <c r="N326" i="96"/>
  <c r="N279" i="96"/>
  <c r="N20" i="96"/>
  <c r="N247" i="96"/>
  <c r="N130" i="96"/>
  <c r="N71" i="96"/>
  <c r="N117" i="96"/>
  <c r="N239" i="96"/>
  <c r="O326" i="96"/>
  <c r="N6" i="96"/>
  <c r="N102" i="96"/>
  <c r="N154" i="96"/>
  <c r="N48" i="96"/>
  <c r="N313" i="96"/>
  <c r="N37" i="96"/>
  <c r="N260" i="96"/>
  <c r="N321" i="96"/>
  <c r="N204" i="96"/>
  <c r="O104" i="96"/>
  <c r="O176" i="96"/>
  <c r="N68" i="96"/>
  <c r="N290" i="96"/>
  <c r="N109" i="96"/>
  <c r="N208" i="96"/>
  <c r="N36" i="96"/>
  <c r="N98" i="96"/>
  <c r="N271" i="96"/>
  <c r="N166" i="96"/>
  <c r="N325" i="96"/>
  <c r="N9" i="96"/>
  <c r="N186" i="96"/>
  <c r="N30" i="96"/>
  <c r="N197" i="96"/>
  <c r="N61" i="96"/>
  <c r="N165" i="96"/>
  <c r="N285" i="96"/>
  <c r="N146" i="96"/>
  <c r="N157" i="96"/>
  <c r="N293" i="96"/>
  <c r="N320" i="96"/>
  <c r="N52" i="96"/>
  <c r="O106" i="96"/>
  <c r="O323" i="96"/>
  <c r="N22" i="96"/>
  <c r="N289" i="96"/>
  <c r="N280" i="96"/>
  <c r="N113" i="96"/>
  <c r="O283" i="96"/>
  <c r="N31" i="96"/>
  <c r="N257" i="96"/>
  <c r="N168" i="96"/>
  <c r="N116" i="96"/>
  <c r="N226" i="96"/>
  <c r="O49" i="96"/>
  <c r="N174" i="96"/>
  <c r="N142" i="96"/>
  <c r="N158" i="96"/>
  <c r="N231" i="96"/>
  <c r="N335" i="96"/>
  <c r="N199" i="96"/>
  <c r="N211" i="96"/>
  <c r="N190" i="96"/>
  <c r="N294" i="96"/>
  <c r="N267" i="96"/>
  <c r="O274" i="96"/>
  <c r="N64" i="96"/>
  <c r="N207" i="96"/>
  <c r="N160" i="96"/>
  <c r="N182" i="96"/>
  <c r="N26" i="96"/>
  <c r="N288" i="96"/>
  <c r="N159" i="96"/>
  <c r="N284" i="96"/>
  <c r="N23" i="96"/>
  <c r="N58" i="96"/>
  <c r="N184" i="96"/>
  <c r="N43" i="96"/>
  <c r="N216" i="96"/>
  <c r="N236" i="96"/>
  <c r="N244" i="96"/>
  <c r="N235" i="96"/>
  <c r="N241" i="96"/>
  <c r="N126" i="96"/>
  <c r="N324" i="96"/>
  <c r="N193" i="96"/>
  <c r="N163" i="96"/>
  <c r="N81" i="96"/>
  <c r="N259" i="96"/>
  <c r="N334" i="96"/>
  <c r="N296" i="96"/>
  <c r="N18" i="96"/>
  <c r="N96" i="96"/>
  <c r="N229" i="96"/>
  <c r="N275" i="96"/>
  <c r="O312" i="96"/>
  <c r="O331" i="96"/>
  <c r="N273" i="96"/>
  <c r="N46" i="96"/>
  <c r="O317" i="96"/>
  <c r="N47" i="96"/>
  <c r="N233" i="96"/>
  <c r="N85" i="96"/>
  <c r="N316" i="96"/>
  <c r="N206" i="96"/>
  <c r="N54" i="96"/>
  <c r="N194" i="96"/>
  <c r="N188" i="96"/>
  <c r="N14" i="96"/>
  <c r="O292" i="96"/>
  <c r="N87" i="96"/>
  <c r="N69" i="96"/>
  <c r="N248" i="96"/>
  <c r="N305" i="96"/>
  <c r="N330" i="96"/>
  <c r="N7" i="96"/>
  <c r="N202" i="96"/>
  <c r="N80" i="96"/>
  <c r="N107" i="96"/>
  <c r="N200" i="96"/>
  <c r="N84" i="96"/>
  <c r="N152" i="96"/>
  <c r="N237" i="96"/>
  <c r="N127" i="96"/>
  <c r="N205" i="96"/>
  <c r="N11" i="96"/>
  <c r="N238" i="96"/>
  <c r="N137" i="96"/>
  <c r="N121" i="96"/>
  <c r="N227" i="96"/>
  <c r="N223" i="96"/>
  <c r="N210" i="96"/>
  <c r="N198" i="96"/>
  <c r="N62" i="96"/>
  <c r="N148" i="96"/>
  <c r="N144" i="96"/>
  <c r="N251" i="96"/>
  <c r="N108" i="96"/>
  <c r="N88" i="96"/>
  <c r="N263" i="96"/>
  <c r="N82" i="96"/>
  <c r="N86" i="96"/>
  <c r="N59" i="96"/>
  <c r="N123" i="96"/>
  <c r="N13" i="96"/>
  <c r="N300" i="96"/>
  <c r="N234" i="96"/>
  <c r="N314" i="96"/>
  <c r="N41" i="96"/>
  <c r="N5" i="96"/>
  <c r="N89" i="96"/>
  <c r="N131" i="96"/>
  <c r="N4" i="96"/>
  <c r="N111" i="96"/>
  <c r="N187" i="96"/>
  <c r="N333" i="96"/>
  <c r="N78" i="96"/>
  <c r="N298" i="96"/>
  <c r="N129" i="96"/>
  <c r="N309" i="96"/>
  <c r="N262" i="96"/>
  <c r="N97" i="96"/>
  <c r="N103" i="96"/>
  <c r="N145" i="96"/>
  <c r="N2" i="96"/>
  <c r="N27" i="96"/>
  <c r="N101" i="96"/>
  <c r="N15" i="96"/>
  <c r="N73" i="96"/>
  <c r="N3" i="96"/>
  <c r="N90" i="96"/>
  <c r="N265" i="96"/>
  <c r="N222" i="96"/>
  <c r="N218" i="96"/>
  <c r="N164" i="96"/>
  <c r="N319" i="96"/>
  <c r="N315" i="96"/>
  <c r="N328" i="96"/>
  <c r="N177" i="96"/>
  <c r="N17" i="96"/>
  <c r="N175" i="96"/>
  <c r="N270" i="96"/>
  <c r="N28" i="96"/>
  <c r="O8" i="96"/>
  <c r="N57" i="96"/>
  <c r="N171" i="96"/>
  <c r="N310" i="96"/>
  <c r="N282" i="96"/>
  <c r="O189" i="96"/>
  <c r="N252" i="96"/>
  <c r="N21" i="96"/>
  <c r="N196" i="96"/>
  <c r="N74" i="96"/>
  <c r="N266" i="96"/>
  <c r="N93" i="96"/>
  <c r="N232" i="96"/>
  <c r="O70" i="96"/>
  <c r="N215" i="96"/>
  <c r="N167" i="96"/>
  <c r="N40" i="96"/>
  <c r="N155" i="96"/>
  <c r="N336" i="96"/>
  <c r="N268" i="96"/>
  <c r="N212" i="96"/>
  <c r="N201" i="96"/>
  <c r="N183" i="96"/>
  <c r="N301" i="96"/>
  <c r="N240" i="96"/>
  <c r="N128" i="96"/>
  <c r="N94" i="96"/>
  <c r="N138" i="96"/>
  <c r="N269" i="96"/>
  <c r="N133" i="96"/>
  <c r="N173" i="96"/>
  <c r="O221" i="96"/>
  <c r="N322" i="96"/>
  <c r="N323" i="96"/>
  <c r="N24" i="96"/>
  <c r="N34" i="96"/>
  <c r="N100" i="96"/>
  <c r="N272" i="96"/>
  <c r="N79" i="96"/>
  <c r="N258" i="96"/>
  <c r="N224" i="96"/>
  <c r="N213" i="96"/>
  <c r="N291" i="96"/>
  <c r="N249" i="96"/>
  <c r="N60" i="96"/>
  <c r="N278" i="96"/>
  <c r="N147" i="96"/>
  <c r="N132" i="96"/>
  <c r="N55" i="96"/>
  <c r="N150" i="96"/>
  <c r="N230" i="96"/>
  <c r="N120" i="96"/>
  <c r="N39" i="96"/>
  <c r="N243" i="96"/>
  <c r="N72" i="96"/>
  <c r="N299" i="96"/>
  <c r="N124" i="96"/>
  <c r="N143" i="96"/>
  <c r="N181" i="96"/>
  <c r="N287" i="96"/>
  <c r="N16" i="96"/>
  <c r="N95" i="96"/>
  <c r="O255" i="96"/>
  <c r="O10" i="96"/>
  <c r="N99" i="96"/>
  <c r="N195" i="96"/>
  <c r="N50" i="96"/>
  <c r="N306" i="96"/>
  <c r="N141" i="96"/>
  <c r="N253" i="96"/>
  <c r="N156" i="96"/>
  <c r="N307" i="96"/>
  <c r="N67" i="96"/>
  <c r="N119" i="96"/>
  <c r="N92" i="96"/>
  <c r="N112" i="96"/>
  <c r="N118" i="96"/>
  <c r="N312" i="96"/>
  <c r="N56" i="96"/>
  <c r="N246" i="96"/>
  <c r="N203" i="96"/>
  <c r="N65" i="96"/>
  <c r="O29" i="96"/>
  <c r="N151" i="96"/>
  <c r="N35" i="96"/>
  <c r="N283" i="96"/>
  <c r="N254" i="96"/>
  <c r="N33" i="96"/>
  <c r="O329" i="96"/>
  <c r="N297" i="96"/>
  <c r="N66" i="96"/>
  <c r="N192" i="96"/>
  <c r="N161" i="96"/>
  <c r="N75" i="96"/>
  <c r="N178" i="96"/>
  <c r="N83" i="96"/>
  <c r="N281" i="96"/>
  <c r="N76" i="96"/>
  <c r="N242" i="96"/>
  <c r="N220" i="96"/>
  <c r="N125" i="96"/>
  <c r="N277" i="96"/>
  <c r="N217" i="96"/>
  <c r="N302" i="96"/>
  <c r="N122" i="96"/>
  <c r="N209" i="96"/>
  <c r="N44" i="96"/>
  <c r="AD67" i="27" a="1"/>
  <c r="AD67" i="27" s="1"/>
  <c r="AD119" i="27" a="1"/>
  <c r="AD119" i="27" s="1"/>
  <c r="AD142" i="27" a="1"/>
  <c r="AD142" i="27" s="1"/>
  <c r="AD114" i="27" a="1"/>
  <c r="AD114" i="27" s="1"/>
  <c r="AD20" i="27" a="1"/>
  <c r="AD20" i="27" s="1"/>
  <c r="AD226" i="27" a="1"/>
  <c r="AD226" i="27" s="1"/>
  <c r="AD148" i="27" a="1"/>
  <c r="AD148" i="27" s="1"/>
  <c r="AD185" i="27" a="1"/>
  <c r="AD185" i="27" s="1"/>
  <c r="AD55" i="27" a="1"/>
  <c r="AD55" i="27" s="1"/>
  <c r="AD217" i="27" a="1"/>
  <c r="AD217" i="27" s="1"/>
  <c r="AD137" i="27" a="1"/>
  <c r="AD137" i="27" s="1"/>
  <c r="AD22" i="27" a="1"/>
  <c r="AD22" i="27" s="1"/>
  <c r="AD188" i="27" a="1"/>
  <c r="AD188" i="27" s="1"/>
  <c r="AD13" i="27" a="1"/>
  <c r="AD13" i="27" s="1"/>
  <c r="AD15" i="27" a="1"/>
  <c r="AD15" i="27" s="1"/>
  <c r="AD206" i="27" a="1"/>
  <c r="AD206" i="27" s="1"/>
  <c r="AD222" i="27" a="1"/>
  <c r="AD222" i="27" s="1"/>
  <c r="AD35" i="27" a="1"/>
  <c r="AD35" i="27" s="1"/>
  <c r="AD125" i="27" a="1"/>
  <c r="AD125" i="27" s="1"/>
  <c r="AD92" i="27" a="1"/>
  <c r="AD92" i="27" s="1"/>
  <c r="AD62" i="27" a="1"/>
  <c r="AD62" i="27" s="1"/>
  <c r="AD36" i="27" a="1"/>
  <c r="AD36" i="27" s="1"/>
  <c r="AD215" i="27" a="1"/>
  <c r="AD215" i="27" s="1"/>
  <c r="AD58" i="27" a="1"/>
  <c r="AD58" i="27" s="1"/>
  <c r="BA67" i="27"/>
  <c r="BC67" i="27" s="1"/>
  <c r="AA139" i="27"/>
  <c r="Y99" i="97" s="1" a="1"/>
  <c r="Y99" i="97" s="1"/>
  <c r="Z59" i="27" a="1"/>
  <c r="Z59" i="27" s="1"/>
  <c r="AR56" i="27" a="1"/>
  <c r="AR56" i="27" s="1"/>
  <c r="AA188" i="27"/>
  <c r="Y307" i="97" s="1" a="1"/>
  <c r="Y307" i="97" s="1"/>
  <c r="AV73" i="27"/>
  <c r="BA73" i="27" s="1"/>
  <c r="BC73" i="27" s="1"/>
  <c r="AV20" i="27"/>
  <c r="Z46" i="27" a="1"/>
  <c r="Z46" i="27" s="1"/>
  <c r="AV42" i="27"/>
  <c r="V248" i="97" s="1" a="1"/>
  <c r="V248" i="97" s="1"/>
  <c r="AV66" i="27"/>
  <c r="BA66" i="27" s="1"/>
  <c r="AQ59" i="27" a="1"/>
  <c r="AQ59" i="27" s="1"/>
  <c r="AV59" i="27"/>
  <c r="BA59" i="27" s="1"/>
  <c r="AE59" i="27" a="1"/>
  <c r="AE59" i="27" s="1"/>
  <c r="AH59" i="27" s="1"/>
  <c r="Z66" i="27" a="1"/>
  <c r="Z66" i="27" s="1"/>
  <c r="AA59" i="27"/>
  <c r="Y64" i="97" s="1" a="1"/>
  <c r="Y64" i="97" s="1"/>
  <c r="AE42" i="27" a="1"/>
  <c r="AE42" i="27" s="1"/>
  <c r="AH42" i="27" s="1"/>
  <c r="AE66" i="27" a="1"/>
  <c r="AE66" i="27" s="1"/>
  <c r="AI66" i="27" s="1"/>
  <c r="AJ66" i="27" s="1" a="1"/>
  <c r="AJ66" i="27" s="1"/>
  <c r="AA66" i="27"/>
  <c r="Y14" i="97" s="1" a="1"/>
  <c r="Y14" i="97" s="1"/>
  <c r="AA42" i="27"/>
  <c r="Y248" i="97" s="1" a="1"/>
  <c r="Y248" i="97" s="1"/>
  <c r="Z42" i="27" a="1"/>
  <c r="Z42" i="27" s="1"/>
  <c r="AE73" i="27" a="1"/>
  <c r="AE73" i="27" s="1"/>
  <c r="AI73" i="27" s="1"/>
  <c r="AJ73" i="27" s="1" a="1"/>
  <c r="AJ73" i="27" s="1"/>
  <c r="Z73" i="27" a="1"/>
  <c r="Z73" i="27" s="1"/>
  <c r="AQ73" i="27" a="1"/>
  <c r="AQ73" i="27" s="1"/>
  <c r="AR73" i="27" a="1"/>
  <c r="AR73" i="27" s="1"/>
  <c r="AA73" i="27"/>
  <c r="Y10" i="97" s="1" a="1"/>
  <c r="Y10" i="97" s="1"/>
  <c r="AV139" i="27"/>
  <c r="V99" i="97" s="1" a="1"/>
  <c r="V99" i="97" s="1"/>
  <c r="AE139" i="27" a="1"/>
  <c r="AE139" i="27" s="1"/>
  <c r="AI139" i="27" s="1"/>
  <c r="AJ139" i="27" s="1" a="1"/>
  <c r="AJ139" i="27" s="1"/>
  <c r="AQ139" i="27" a="1"/>
  <c r="AQ139" i="27" s="1"/>
  <c r="Z139" i="27" a="1"/>
  <c r="Z139" i="27" s="1"/>
  <c r="AR139" i="27" a="1"/>
  <c r="AR139" i="27" s="1"/>
  <c r="AV46" i="27"/>
  <c r="BA46" i="27" s="1"/>
  <c r="BC46" i="27" s="1"/>
  <c r="AE56" i="27" a="1"/>
  <c r="AE56" i="27" s="1"/>
  <c r="AF56" i="27" s="1" a="1"/>
  <c r="AF56" i="27" s="1"/>
  <c r="AE46" i="27" a="1"/>
  <c r="AE46" i="27" s="1"/>
  <c r="AI46" i="27" s="1"/>
  <c r="AJ46" i="27" s="1" a="1"/>
  <c r="AJ46" i="27" s="1"/>
  <c r="AA46" i="27"/>
  <c r="Y157" i="97" s="1" a="1"/>
  <c r="Y157" i="97" s="1"/>
  <c r="AV56" i="27"/>
  <c r="V216" i="97" s="1" a="1"/>
  <c r="V216" i="97" s="1"/>
  <c r="AI226" i="27"/>
  <c r="AJ226" i="27" s="1" a="1"/>
  <c r="AJ226" i="27" s="1"/>
  <c r="AA56" i="27"/>
  <c r="Y216" i="97" s="1" a="1"/>
  <c r="Y216" i="97" s="1"/>
  <c r="AQ56" i="27" a="1"/>
  <c r="AQ56" i="27" s="1"/>
  <c r="AC226" i="27"/>
  <c r="Z56" i="27" a="1"/>
  <c r="Z56" i="27" s="1"/>
  <c r="AC35" i="27"/>
  <c r="AC142" i="27"/>
  <c r="AC185" i="27"/>
  <c r="AC119" i="27"/>
  <c r="AC67" i="27"/>
  <c r="AC36" i="27"/>
  <c r="AC58" i="27"/>
  <c r="AI92" i="27"/>
  <c r="AJ92" i="27" s="1" a="1"/>
  <c r="AJ92" i="27" s="1"/>
  <c r="AH13" i="27"/>
  <c r="AC55" i="27"/>
  <c r="AB1" i="27"/>
  <c r="AI114" i="27"/>
  <c r="AJ114" i="27" s="1" a="1"/>
  <c r="AJ114" i="27" s="1"/>
  <c r="AC114" i="27"/>
  <c r="AC62" i="27"/>
  <c r="Z143" i="27" a="1"/>
  <c r="Z143" i="27" s="1"/>
  <c r="AA143" i="27"/>
  <c r="Y179" i="97" s="1" a="1"/>
  <c r="Y179" i="97" s="1"/>
  <c r="AE143" i="27" a="1"/>
  <c r="AE143" i="27" s="1"/>
  <c r="AV143" i="27"/>
  <c r="Z335" i="27" a="1"/>
  <c r="Z335" i="27" s="1"/>
  <c r="AA335" i="27"/>
  <c r="Y305" i="97" s="1" a="1"/>
  <c r="Y305" i="97" s="1"/>
  <c r="AE335" i="27" a="1"/>
  <c r="AE335" i="27" s="1"/>
  <c r="AI335" i="27" s="1"/>
  <c r="AJ335" i="27" s="1" a="1"/>
  <c r="AJ335" i="27" s="1"/>
  <c r="AC255" i="92"/>
  <c r="AQ306" i="27" s="1" a="1"/>
  <c r="AQ306" i="27" s="1"/>
  <c r="W255" i="92"/>
  <c r="AC242" i="92"/>
  <c r="AQ160" i="27" s="1" a="1"/>
  <c r="AQ160" i="27" s="1"/>
  <c r="W242" i="92"/>
  <c r="Z176" i="27" a="1"/>
  <c r="Z176" i="27" s="1"/>
  <c r="AA176" i="27"/>
  <c r="Y148" i="97" s="1" a="1"/>
  <c r="Y148" i="97" s="1"/>
  <c r="AE176" i="27" a="1"/>
  <c r="AE176" i="27" s="1"/>
  <c r="AV176" i="27"/>
  <c r="AC170" i="92"/>
  <c r="AQ285" i="27" s="1" a="1"/>
  <c r="AQ285" i="27" s="1"/>
  <c r="W170" i="92"/>
  <c r="AC327" i="92"/>
  <c r="AR49" i="27" s="1" a="1"/>
  <c r="AR49" i="27" s="1"/>
  <c r="W327" i="92"/>
  <c r="AC69" i="92"/>
  <c r="AQ178" i="27" s="1" a="1"/>
  <c r="AQ178" i="27" s="1"/>
  <c r="W69" i="92"/>
  <c r="AC135" i="92"/>
  <c r="W135" i="92"/>
  <c r="AQ47" i="27" a="1"/>
  <c r="AQ47" i="27" s="1"/>
  <c r="AR47" i="27" a="1"/>
  <c r="AR47" i="27" s="1"/>
  <c r="Z47" i="27" a="1"/>
  <c r="Z47" i="27" s="1"/>
  <c r="AA47" i="27"/>
  <c r="Y130" i="97" s="1" a="1"/>
  <c r="Y130" i="97" s="1"/>
  <c r="AE47" i="27" a="1"/>
  <c r="AE47" i="27" s="1"/>
  <c r="AI47" i="27" s="1"/>
  <c r="AJ47" i="27" s="1" a="1"/>
  <c r="AJ47" i="27" s="1"/>
  <c r="AV47" i="27"/>
  <c r="Z314" i="27" a="1"/>
  <c r="Z314" i="27" s="1"/>
  <c r="AA314" i="27"/>
  <c r="Y267" i="97" s="1" a="1"/>
  <c r="Y267" i="97" s="1"/>
  <c r="AE314" i="27" a="1"/>
  <c r="AE314" i="27" s="1"/>
  <c r="AI314" i="27" s="1"/>
  <c r="AJ314" i="27" s="1" a="1"/>
  <c r="AJ314" i="27" s="1"/>
  <c r="Z283" i="27" a="1"/>
  <c r="Z283" i="27" s="1"/>
  <c r="AA283" i="27"/>
  <c r="Y61" i="97" s="1" a="1"/>
  <c r="Y61" i="97" s="1"/>
  <c r="AE283" i="27" a="1"/>
  <c r="AE283" i="27" s="1"/>
  <c r="W137" i="92"/>
  <c r="AC137" i="92"/>
  <c r="Z133" i="27" a="1"/>
  <c r="Z133" i="27" s="1"/>
  <c r="AA133" i="27"/>
  <c r="Y257" i="97" s="1" a="1"/>
  <c r="Y257" i="97" s="1"/>
  <c r="AE133" i="27" a="1"/>
  <c r="AE133" i="27" s="1"/>
  <c r="AH133" i="27" s="1"/>
  <c r="AV133" i="27"/>
  <c r="AC71" i="92"/>
  <c r="W71" i="92"/>
  <c r="W323" i="92"/>
  <c r="AC323" i="92"/>
  <c r="AC151" i="92"/>
  <c r="AQ63" i="27" s="1" a="1"/>
  <c r="AQ63" i="27" s="1"/>
  <c r="W151" i="92"/>
  <c r="AG15" i="27"/>
  <c r="AF15" i="27" a="1"/>
  <c r="AF15" i="27" s="1"/>
  <c r="AK15" i="27" a="1"/>
  <c r="AK15" i="27" s="1"/>
  <c r="AC218" i="92"/>
  <c r="W218" i="92"/>
  <c r="Z306" i="27" a="1"/>
  <c r="Z306" i="27" s="1"/>
  <c r="AA306" i="27"/>
  <c r="Y70" i="97" s="1" a="1"/>
  <c r="Y70" i="97" s="1"/>
  <c r="AE306" i="27" a="1"/>
  <c r="AE306" i="27" s="1"/>
  <c r="AI306" i="27" s="1"/>
  <c r="AJ306" i="27" s="1" a="1"/>
  <c r="AJ306" i="27" s="1"/>
  <c r="AC133" i="92"/>
  <c r="AQ176" i="27" s="1" a="1"/>
  <c r="AQ176" i="27" s="1"/>
  <c r="W133" i="92"/>
  <c r="AA199" i="27"/>
  <c r="Y5" i="97" s="1" a="1"/>
  <c r="Y5" i="97" s="1"/>
  <c r="Z199" i="27" a="1"/>
  <c r="Z199" i="27" s="1"/>
  <c r="AV199" i="27"/>
  <c r="AE199" i="27" a="1"/>
  <c r="AE199" i="27" s="1"/>
  <c r="AI199" i="27" s="1"/>
  <c r="AJ199" i="27" s="1" a="1"/>
  <c r="AJ199" i="27" s="1"/>
  <c r="Z285" i="27" a="1"/>
  <c r="Z285" i="27" s="1"/>
  <c r="AA285" i="27"/>
  <c r="Y176" i="97" s="1" a="1"/>
  <c r="Y176" i="97" s="1"/>
  <c r="AE285" i="27" a="1"/>
  <c r="AE285" i="27" s="1"/>
  <c r="AH285" i="27" s="1"/>
  <c r="AC279" i="92"/>
  <c r="AQ317" i="27" s="1" a="1"/>
  <c r="AQ317" i="27" s="1"/>
  <c r="W279" i="92"/>
  <c r="AC102" i="92"/>
  <c r="W102" i="92"/>
  <c r="AQ209" i="27" a="1"/>
  <c r="AQ209" i="27" s="1"/>
  <c r="AR209" i="27" a="1"/>
  <c r="AR209" i="27" s="1"/>
  <c r="Z209" i="27" a="1"/>
  <c r="Z209" i="27" s="1"/>
  <c r="AE209" i="27" a="1"/>
  <c r="AE209" i="27" s="1"/>
  <c r="AA209" i="27"/>
  <c r="Y57" i="97" s="1" a="1"/>
  <c r="Y57" i="97" s="1"/>
  <c r="AV209" i="27"/>
  <c r="Z254" i="27" a="1"/>
  <c r="Z254" i="27" s="1"/>
  <c r="AA254" i="27"/>
  <c r="Y113" i="97" s="1" a="1"/>
  <c r="Y113" i="97" s="1"/>
  <c r="AE254" i="27" a="1"/>
  <c r="AE254" i="27" s="1"/>
  <c r="AI254" i="27" s="1"/>
  <c r="AJ254" i="27" s="1" a="1"/>
  <c r="AJ254" i="27" s="1"/>
  <c r="AC167" i="92"/>
  <c r="AQ283" i="27" s="1" a="1"/>
  <c r="AQ283" i="27" s="1"/>
  <c r="W167" i="92"/>
  <c r="Z164" i="27" a="1"/>
  <c r="Z164" i="27" s="1"/>
  <c r="AA164" i="27"/>
  <c r="Y280" i="97" s="1" a="1"/>
  <c r="Y280" i="97" s="1"/>
  <c r="AE164" i="27" a="1"/>
  <c r="AE164" i="27" s="1"/>
  <c r="AV164" i="27"/>
  <c r="AC263" i="92"/>
  <c r="AQ133" i="27" s="1" a="1"/>
  <c r="AQ133" i="27" s="1"/>
  <c r="W263" i="92"/>
  <c r="AQ41" i="27" a="1"/>
  <c r="AQ41" i="27" s="1"/>
  <c r="AR41" i="27" a="1"/>
  <c r="AR41" i="27" s="1"/>
  <c r="Z41" i="27" a="1"/>
  <c r="Z41" i="27" s="1"/>
  <c r="AA41" i="27"/>
  <c r="Y247" i="97" s="1" a="1"/>
  <c r="Y247" i="97" s="1"/>
  <c r="AE41" i="27" a="1"/>
  <c r="AE41" i="27" s="1"/>
  <c r="AH41" i="27" s="1"/>
  <c r="AV41" i="27"/>
  <c r="AQ233" i="27" a="1"/>
  <c r="AQ233" i="27" s="1"/>
  <c r="AR233" i="27" a="1"/>
  <c r="AR233" i="27" s="1"/>
  <c r="Z233" i="27" a="1"/>
  <c r="Z233" i="27" s="1"/>
  <c r="AA233" i="27"/>
  <c r="Y76" i="97" s="1" a="1"/>
  <c r="Y76" i="97" s="1"/>
  <c r="AE233" i="27" a="1"/>
  <c r="AE233" i="27" s="1"/>
  <c r="Z63" i="27" a="1"/>
  <c r="Z63" i="27" s="1"/>
  <c r="AA63" i="27"/>
  <c r="Y163" i="97" s="1" a="1"/>
  <c r="Y163" i="97" s="1"/>
  <c r="AE63" i="27" a="1"/>
  <c r="AE63" i="27" s="1"/>
  <c r="AV63" i="27"/>
  <c r="AH15" i="27"/>
  <c r="AF222" i="27" a="1"/>
  <c r="AF222" i="27" s="1"/>
  <c r="AG222" i="27"/>
  <c r="AK222" i="27" a="1"/>
  <c r="AK222" i="27" s="1"/>
  <c r="V316" i="97" a="1"/>
  <c r="V316" i="97" s="1"/>
  <c r="BA55" i="27"/>
  <c r="Z221" i="27" a="1"/>
  <c r="Z221" i="27" s="1"/>
  <c r="AA221" i="27"/>
  <c r="Y107" i="97" s="1" a="1"/>
  <c r="Y107" i="97" s="1"/>
  <c r="AE221" i="27" a="1"/>
  <c r="AE221" i="27" s="1"/>
  <c r="AV221" i="27"/>
  <c r="AC157" i="92"/>
  <c r="AR44" i="27" s="1" a="1"/>
  <c r="AR44" i="27" s="1"/>
  <c r="W157" i="92"/>
  <c r="AQ14" i="27" a="1"/>
  <c r="AQ14" i="27" s="1"/>
  <c r="AR14" i="27" a="1"/>
  <c r="AR14" i="27" s="1"/>
  <c r="Z14" i="27" a="1"/>
  <c r="Z14" i="27" s="1"/>
  <c r="AA14" i="27"/>
  <c r="Y329" i="97" s="1" a="1"/>
  <c r="Y329" i="97" s="1"/>
  <c r="AE14" i="27" a="1"/>
  <c r="AE14" i="27" s="1"/>
  <c r="AV14" i="27"/>
  <c r="AH222" i="27"/>
  <c r="W25" i="92"/>
  <c r="AC25" i="92"/>
  <c r="Z334" i="27" a="1"/>
  <c r="Z334" i="27" s="1"/>
  <c r="AA334" i="27"/>
  <c r="Y303" i="97" s="1" a="1"/>
  <c r="Y303" i="97" s="1"/>
  <c r="AE334" i="27" a="1"/>
  <c r="AE334" i="27" s="1"/>
  <c r="AH334" i="27" s="1"/>
  <c r="AF119" i="27" a="1"/>
  <c r="AF119" i="27" s="1"/>
  <c r="AG119" i="27"/>
  <c r="AK119" i="27" a="1"/>
  <c r="AK119" i="27" s="1"/>
  <c r="Z321" i="27" a="1"/>
  <c r="Z321" i="27" s="1"/>
  <c r="AA321" i="27"/>
  <c r="Y277" i="97" s="1" a="1"/>
  <c r="Y277" i="97" s="1"/>
  <c r="AE321" i="27" a="1"/>
  <c r="AE321" i="27" s="1"/>
  <c r="AH321" i="27" s="1"/>
  <c r="AQ293" i="27" a="1"/>
  <c r="AQ293" i="27" s="1"/>
  <c r="Z293" i="27" a="1"/>
  <c r="Z293" i="27" s="1"/>
  <c r="AR293" i="27" a="1"/>
  <c r="AR293" i="27" s="1"/>
  <c r="AA293" i="27"/>
  <c r="Y217" i="97" s="1" a="1"/>
  <c r="Y217" i="97" s="1"/>
  <c r="AE293" i="27" a="1"/>
  <c r="AE293" i="27" s="1"/>
  <c r="AH293" i="27" s="1"/>
  <c r="Z247" i="27" a="1"/>
  <c r="Z247" i="27" s="1"/>
  <c r="AA247" i="27"/>
  <c r="Y108" i="97" s="1" a="1"/>
  <c r="Y108" i="97" s="1"/>
  <c r="AE247" i="27" a="1"/>
  <c r="AE247" i="27" s="1"/>
  <c r="AI247" i="27" s="1"/>
  <c r="AJ247" i="27" s="1" a="1"/>
  <c r="AJ247" i="27" s="1"/>
  <c r="Z305" i="27" a="1"/>
  <c r="Z305" i="27" s="1"/>
  <c r="AA305" i="27"/>
  <c r="Y249" i="97" s="1" a="1"/>
  <c r="Y249" i="97" s="1"/>
  <c r="AE305" i="27" a="1"/>
  <c r="AE305" i="27" s="1"/>
  <c r="Z289" i="27" a="1"/>
  <c r="Z289" i="27" s="1"/>
  <c r="AA289" i="27"/>
  <c r="Y194" i="97" s="1" a="1"/>
  <c r="Y194" i="97" s="1"/>
  <c r="AE289" i="27" a="1"/>
  <c r="AE289" i="27" s="1"/>
  <c r="Z317" i="27" a="1"/>
  <c r="Z317" i="27" s="1"/>
  <c r="AA317" i="27"/>
  <c r="Y272" i="97" s="1" a="1"/>
  <c r="Y272" i="97" s="1"/>
  <c r="AE317" i="27" a="1"/>
  <c r="AE317" i="27" s="1"/>
  <c r="AI317" i="27" s="1"/>
  <c r="AJ317" i="27" s="1" a="1"/>
  <c r="AJ317" i="27" s="1"/>
  <c r="AC145" i="92"/>
  <c r="W145" i="92"/>
  <c r="AC81" i="92"/>
  <c r="AQ254" i="27" s="1" a="1"/>
  <c r="AQ254" i="27" s="1"/>
  <c r="W81" i="92"/>
  <c r="Z223" i="27" a="1"/>
  <c r="Z223" i="27" s="1"/>
  <c r="AA223" i="27"/>
  <c r="Y138" i="97" s="1" a="1"/>
  <c r="Y138" i="97" s="1"/>
  <c r="AE223" i="27" a="1"/>
  <c r="AE223" i="27" s="1"/>
  <c r="AH223" i="27" s="1"/>
  <c r="AV223" i="27"/>
  <c r="AC287" i="92"/>
  <c r="AR164" i="27" s="1" a="1"/>
  <c r="AR164" i="27" s="1"/>
  <c r="W287" i="92"/>
  <c r="Z230" i="27" a="1"/>
  <c r="Z230" i="27" s="1"/>
  <c r="AA230" i="27"/>
  <c r="Y141" i="97" s="1" a="1"/>
  <c r="Y141" i="97" s="1"/>
  <c r="AE230" i="27" a="1"/>
  <c r="AE230" i="27" s="1"/>
  <c r="AI230" i="27" s="1"/>
  <c r="AJ230" i="27" s="1" a="1"/>
  <c r="AJ230" i="27" s="1"/>
  <c r="AV230" i="27"/>
  <c r="AC229" i="92"/>
  <c r="W229" i="92"/>
  <c r="AC15" i="92"/>
  <c r="W15" i="92"/>
  <c r="Z151" i="27" a="1"/>
  <c r="Z151" i="27" s="1"/>
  <c r="AA151" i="27"/>
  <c r="Y65" i="97" s="1" a="1"/>
  <c r="Y65" i="97" s="1"/>
  <c r="AE151" i="27" a="1"/>
  <c r="AE151" i="27" s="1"/>
  <c r="AH151" i="27" s="1"/>
  <c r="AV151" i="27"/>
  <c r="AC34" i="92"/>
  <c r="W34" i="92"/>
  <c r="AA170" i="27"/>
  <c r="Y185" i="97" s="1" a="1"/>
  <c r="Y185" i="97" s="1"/>
  <c r="Z170" i="27" a="1"/>
  <c r="Z170" i="27" s="1"/>
  <c r="AE170" i="27" a="1"/>
  <c r="AE170" i="27" s="1"/>
  <c r="AV170" i="27"/>
  <c r="Z154" i="27" a="1"/>
  <c r="Z154" i="27" s="1"/>
  <c r="AA154" i="27"/>
  <c r="Y147" i="97" s="1" a="1"/>
  <c r="Y147" i="97" s="1"/>
  <c r="AE154" i="27" a="1"/>
  <c r="AE154" i="27" s="1"/>
  <c r="AI154" i="27" s="1"/>
  <c r="AJ154" i="27" s="1" a="1"/>
  <c r="AJ154" i="27" s="1"/>
  <c r="AV154" i="27"/>
  <c r="Z94" i="27" a="1"/>
  <c r="Z94" i="27" s="1"/>
  <c r="AA94" i="27"/>
  <c r="Y19" i="97" s="1" a="1"/>
  <c r="Y19" i="97" s="1"/>
  <c r="AE94" i="27" a="1"/>
  <c r="AE94" i="27" s="1"/>
  <c r="AH94" i="27" s="1"/>
  <c r="AV94" i="27"/>
  <c r="Z48" i="27" a="1"/>
  <c r="Z48" i="27" s="1"/>
  <c r="AA48" i="27"/>
  <c r="Y164" i="97" s="1" a="1"/>
  <c r="Y164" i="97" s="1"/>
  <c r="AE48" i="27" a="1"/>
  <c r="AE48" i="27" s="1"/>
  <c r="AV48" i="27"/>
  <c r="AQ30" i="27" a="1"/>
  <c r="AQ30" i="27" s="1"/>
  <c r="AR30" i="27" a="1"/>
  <c r="AR30" i="27" s="1"/>
  <c r="Z30" i="27" a="1"/>
  <c r="Z30" i="27" s="1"/>
  <c r="AA30" i="27"/>
  <c r="Y230" i="97" s="1" a="1"/>
  <c r="Y230" i="97" s="1"/>
  <c r="AE30" i="27" a="1"/>
  <c r="AE30" i="27" s="1"/>
  <c r="AV30" i="27"/>
  <c r="W12" i="92"/>
  <c r="AC12" i="92"/>
  <c r="AS36" i="27" s="1" a="1"/>
  <c r="AS36" i="27" s="1"/>
  <c r="AC338" i="92"/>
  <c r="W338" i="92"/>
  <c r="AC310" i="92"/>
  <c r="AQ334" i="27" s="1" a="1"/>
  <c r="AQ334" i="27" s="1"/>
  <c r="W310" i="92"/>
  <c r="AQ120" i="27" a="1"/>
  <c r="AQ120" i="27" s="1"/>
  <c r="AR120" i="27" a="1"/>
  <c r="AR120" i="27" s="1"/>
  <c r="Z120" i="27" a="1"/>
  <c r="Z120" i="27" s="1"/>
  <c r="AA120" i="27"/>
  <c r="Y336" i="97" s="1" a="1"/>
  <c r="Y336" i="97" s="1"/>
  <c r="AE120" i="27" a="1"/>
  <c r="AE120" i="27" s="1"/>
  <c r="AV120" i="27"/>
  <c r="AC284" i="92"/>
  <c r="AQ321" i="27" s="1" a="1"/>
  <c r="AQ321" i="27" s="1"/>
  <c r="W284" i="92"/>
  <c r="W58" i="92"/>
  <c r="AC58" i="92"/>
  <c r="AR247" i="27" s="1" a="1"/>
  <c r="AR247" i="27" s="1"/>
  <c r="W254" i="92"/>
  <c r="AC254" i="92"/>
  <c r="AR305" i="27" s="1" a="1"/>
  <c r="AR305" i="27" s="1"/>
  <c r="AC96" i="92"/>
  <c r="AQ265" i="27" s="1" a="1"/>
  <c r="AQ265" i="27" s="1"/>
  <c r="W96" i="92"/>
  <c r="Z161" i="27" a="1"/>
  <c r="Z161" i="27" s="1"/>
  <c r="AA161" i="27"/>
  <c r="Y78" i="97" s="1" a="1"/>
  <c r="Y78" i="97" s="1"/>
  <c r="AE161" i="27" a="1"/>
  <c r="AE161" i="27" s="1"/>
  <c r="AV161" i="27"/>
  <c r="AC192" i="92"/>
  <c r="AQ289" i="27" s="1" a="1"/>
  <c r="AQ289" i="27" s="1"/>
  <c r="W192" i="92"/>
  <c r="AC7" i="92"/>
  <c r="AQ60" i="27" s="1" a="1"/>
  <c r="AQ60" i="27" s="1"/>
  <c r="W7" i="92"/>
  <c r="Z203" i="27" a="1"/>
  <c r="Z203" i="27" s="1"/>
  <c r="AA203" i="27"/>
  <c r="Y180" i="97" s="1" a="1"/>
  <c r="Y180" i="97" s="1"/>
  <c r="AE203" i="27" a="1"/>
  <c r="AE203" i="27" s="1"/>
  <c r="AH203" i="27" s="1"/>
  <c r="AV203" i="27"/>
  <c r="AC202" i="92"/>
  <c r="AQ175" i="27" s="1" a="1"/>
  <c r="AQ175" i="27" s="1"/>
  <c r="W202" i="92"/>
  <c r="Z149" i="27" a="1"/>
  <c r="Z149" i="27" s="1"/>
  <c r="AA149" i="27"/>
  <c r="Y205" i="97" s="1" a="1"/>
  <c r="Y205" i="97" s="1"/>
  <c r="AE149" i="27" a="1"/>
  <c r="AE149" i="27" s="1"/>
  <c r="AI149" i="27" s="1"/>
  <c r="AJ149" i="27" s="1" a="1"/>
  <c r="AJ149" i="27" s="1"/>
  <c r="AV149" i="27"/>
  <c r="W118" i="92"/>
  <c r="AC118" i="92"/>
  <c r="AQ223" i="27" s="1" a="1"/>
  <c r="AQ223" i="27" s="1"/>
  <c r="AC123" i="92"/>
  <c r="AQ230" i="27" s="1" a="1"/>
  <c r="AQ230" i="27" s="1"/>
  <c r="W123" i="92"/>
  <c r="Z69" i="27" a="1"/>
  <c r="Z69" i="27" s="1"/>
  <c r="AQ69" i="27" a="1"/>
  <c r="AQ69" i="27" s="1"/>
  <c r="AR69" i="27" a="1"/>
  <c r="AR69" i="27" s="1"/>
  <c r="AA69" i="27"/>
  <c r="Y209" i="97" s="1" a="1"/>
  <c r="Y209" i="97" s="1"/>
  <c r="AE69" i="27" a="1"/>
  <c r="AE69" i="27" s="1"/>
  <c r="AV69" i="27"/>
  <c r="AC194" i="92"/>
  <c r="W194" i="92"/>
  <c r="Z299" i="27" a="1"/>
  <c r="Z299" i="27" s="1"/>
  <c r="AQ299" i="27" a="1"/>
  <c r="AQ299" i="27" s="1"/>
  <c r="AR299" i="27" a="1"/>
  <c r="AR299" i="27" s="1"/>
  <c r="AA299" i="27"/>
  <c r="Y227" i="97" s="1" a="1"/>
  <c r="Y227" i="97" s="1"/>
  <c r="AE299" i="27" a="1"/>
  <c r="AE299" i="27" s="1"/>
  <c r="AC295" i="92"/>
  <c r="AQ327" i="27" s="1" a="1"/>
  <c r="AQ327" i="27" s="1"/>
  <c r="W295" i="92"/>
  <c r="Z307" i="27" a="1"/>
  <c r="Z307" i="27" s="1"/>
  <c r="AA307" i="27"/>
  <c r="Y252" i="97" s="1" a="1"/>
  <c r="Y252" i="97" s="1"/>
  <c r="AE307" i="27" a="1"/>
  <c r="AE307" i="27" s="1"/>
  <c r="AI307" i="27" s="1"/>
  <c r="AJ307" i="27" s="1" a="1"/>
  <c r="AJ307" i="27" s="1"/>
  <c r="Z189" i="27" a="1"/>
  <c r="Z189" i="27" s="1"/>
  <c r="AA189" i="27"/>
  <c r="Y104" i="97" s="1" a="1"/>
  <c r="Y104" i="97" s="1"/>
  <c r="AE189" i="27" a="1"/>
  <c r="AE189" i="27" s="1"/>
  <c r="AH189" i="27" s="1"/>
  <c r="AV189" i="27"/>
  <c r="AC195" i="92"/>
  <c r="AQ151" i="27" s="1" a="1"/>
  <c r="AQ151" i="27" s="1"/>
  <c r="W195" i="92"/>
  <c r="AC85" i="92"/>
  <c r="W85" i="92"/>
  <c r="AC181" i="92"/>
  <c r="AQ170" i="27" s="1" a="1"/>
  <c r="AQ170" i="27" s="1"/>
  <c r="W181" i="92"/>
  <c r="AC132" i="92"/>
  <c r="AQ154" i="27" s="1" a="1"/>
  <c r="AQ154" i="27" s="1"/>
  <c r="W132" i="92"/>
  <c r="AC73" i="92"/>
  <c r="AQ94" i="27" s="1" a="1"/>
  <c r="AQ94" i="27" s="1"/>
  <c r="W73" i="92"/>
  <c r="AT55" i="27" a="1"/>
  <c r="AT55" i="27" s="1"/>
  <c r="AF55" i="27" a="1"/>
  <c r="AF55" i="27" s="1"/>
  <c r="AG55" i="27"/>
  <c r="AS55" i="27" a="1"/>
  <c r="AS55" i="27" s="1"/>
  <c r="AK55" i="27" a="1"/>
  <c r="AK55" i="27" s="1"/>
  <c r="AC57" i="92"/>
  <c r="AR221" i="27" s="1" a="1"/>
  <c r="AR221" i="27" s="1"/>
  <c r="W57" i="92"/>
  <c r="AC152" i="92"/>
  <c r="AQ48" i="27" s="1" a="1"/>
  <c r="AQ48" i="27" s="1"/>
  <c r="W152" i="92"/>
  <c r="AC232" i="92"/>
  <c r="W232" i="92"/>
  <c r="AI222" i="27"/>
  <c r="AJ222" i="27" s="1" a="1"/>
  <c r="AJ222" i="27" s="1"/>
  <c r="AC188" i="92"/>
  <c r="AQ101" i="27" s="1" a="1"/>
  <c r="AQ101" i="27" s="1"/>
  <c r="W188" i="92"/>
  <c r="AQ11" i="27" a="1"/>
  <c r="AQ11" i="27" s="1"/>
  <c r="AR11" i="27" a="1"/>
  <c r="AR11" i="27" s="1"/>
  <c r="Z11" i="27" a="1"/>
  <c r="Z11" i="27" s="1"/>
  <c r="AA11" i="27"/>
  <c r="Y266" i="97" s="1" a="1"/>
  <c r="Y266" i="97" s="1"/>
  <c r="AE11" i="27" a="1"/>
  <c r="AE11" i="27" s="1"/>
  <c r="AV11" i="27"/>
  <c r="Z79" i="27" a="1"/>
  <c r="Z79" i="27" s="1"/>
  <c r="AA79" i="27"/>
  <c r="Y85" i="97" s="1" a="1"/>
  <c r="Y85" i="97" s="1"/>
  <c r="AE79" i="27" a="1"/>
  <c r="AE79" i="27" s="1"/>
  <c r="AH79" i="27" s="1"/>
  <c r="AV79" i="27"/>
  <c r="AC264" i="92"/>
  <c r="W264" i="92"/>
  <c r="AC37" i="92"/>
  <c r="W37" i="92"/>
  <c r="AQ180" i="27" a="1"/>
  <c r="AQ180" i="27" s="1"/>
  <c r="AR180" i="27" a="1"/>
  <c r="AR180" i="27" s="1"/>
  <c r="Z180" i="27" a="1"/>
  <c r="Z180" i="27" s="1"/>
  <c r="AA180" i="27"/>
  <c r="Y54" i="97" s="1" a="1"/>
  <c r="Y54" i="97" s="1"/>
  <c r="AE180" i="27" a="1"/>
  <c r="AE180" i="27" s="1"/>
  <c r="AV180" i="27"/>
  <c r="Z265" i="27" a="1"/>
  <c r="Z265" i="27" s="1"/>
  <c r="AE265" i="27" a="1"/>
  <c r="AE265" i="27" s="1"/>
  <c r="AA265" i="27"/>
  <c r="Y330" i="97" s="1" a="1"/>
  <c r="Y330" i="97" s="1"/>
  <c r="AC17" i="92"/>
  <c r="AQ161" i="27" s="1" a="1"/>
  <c r="AQ161" i="27" s="1"/>
  <c r="W17" i="92"/>
  <c r="Z98" i="27" a="1"/>
  <c r="Z98" i="27" s="1"/>
  <c r="AQ98" i="27" a="1"/>
  <c r="AQ98" i="27" s="1"/>
  <c r="AR98" i="27" a="1"/>
  <c r="AR98" i="27" s="1"/>
  <c r="AA98" i="27"/>
  <c r="Y229" i="97" s="1" a="1"/>
  <c r="Y229" i="97" s="1"/>
  <c r="AE98" i="27" a="1"/>
  <c r="AE98" i="27" s="1"/>
  <c r="AV98" i="27"/>
  <c r="Z65" i="27" a="1"/>
  <c r="Z65" i="27" s="1"/>
  <c r="AA65" i="27"/>
  <c r="Y98" i="97" s="1" a="1"/>
  <c r="Y98" i="97" s="1"/>
  <c r="AE65" i="27" a="1"/>
  <c r="AE65" i="27" s="1"/>
  <c r="AI65" i="27" s="1"/>
  <c r="AJ65" i="27" s="1" a="1"/>
  <c r="AJ65" i="27" s="1"/>
  <c r="AV65" i="27"/>
  <c r="AC219" i="92"/>
  <c r="W219" i="92"/>
  <c r="AC217" i="92"/>
  <c r="W217" i="92"/>
  <c r="AC205" i="92"/>
  <c r="AQ149" i="27" s="1" a="1"/>
  <c r="AQ149" i="27" s="1"/>
  <c r="W205" i="92"/>
  <c r="AC196" i="92"/>
  <c r="AR290" i="27" s="1" a="1"/>
  <c r="AR290" i="27" s="1"/>
  <c r="W196" i="92"/>
  <c r="AC66" i="92"/>
  <c r="AR252" i="27" s="1" a="1"/>
  <c r="AR252" i="27" s="1"/>
  <c r="W66" i="92"/>
  <c r="BA13" i="27"/>
  <c r="BC13" i="27" s="1"/>
  <c r="V324" i="97" a="1"/>
  <c r="V324" i="97" s="1"/>
  <c r="AC209" i="92"/>
  <c r="W209" i="92"/>
  <c r="Z323" i="27" a="1"/>
  <c r="Z323" i="27" s="1"/>
  <c r="AA323" i="27"/>
  <c r="Y282" i="97" s="1" a="1"/>
  <c r="Y282" i="97" s="1"/>
  <c r="AE323" i="27" a="1"/>
  <c r="AE323" i="27" s="1"/>
  <c r="AH323" i="27" s="1"/>
  <c r="Z327" i="27" a="1"/>
  <c r="Z327" i="27" s="1"/>
  <c r="AA327" i="27"/>
  <c r="Y288" i="97" s="1" a="1"/>
  <c r="Y288" i="97" s="1"/>
  <c r="AE327" i="27" a="1"/>
  <c r="AE327" i="27" s="1"/>
  <c r="Z110" i="27" a="1"/>
  <c r="Z110" i="27" s="1"/>
  <c r="AA110" i="27"/>
  <c r="Y188" i="97" s="1" a="1"/>
  <c r="Y188" i="97" s="1"/>
  <c r="AE110" i="27" a="1"/>
  <c r="AE110" i="27" s="1"/>
  <c r="AV110" i="27"/>
  <c r="Z228" i="27" a="1"/>
  <c r="Z228" i="27" s="1"/>
  <c r="AQ228" i="27" a="1"/>
  <c r="AQ228" i="27" s="1"/>
  <c r="AR228" i="27" a="1"/>
  <c r="AR228" i="27" s="1"/>
  <c r="AA228" i="27"/>
  <c r="Y144" i="97" s="1" a="1"/>
  <c r="Y144" i="97" s="1"/>
  <c r="AE228" i="27" a="1"/>
  <c r="AE228" i="27" s="1"/>
  <c r="AI228" i="27" s="1"/>
  <c r="AJ228" i="27" s="1" a="1"/>
  <c r="AJ228" i="27" s="1"/>
  <c r="AV228" i="27"/>
  <c r="AC258" i="92"/>
  <c r="AQ307" i="27" s="1" a="1"/>
  <c r="AQ307" i="27" s="1"/>
  <c r="W258" i="92"/>
  <c r="AC54" i="92"/>
  <c r="AR189" i="27" s="1" a="1"/>
  <c r="AR189" i="27" s="1"/>
  <c r="W54" i="92"/>
  <c r="W272" i="92"/>
  <c r="AC272" i="92"/>
  <c r="AR158" i="27" s="1" a="1"/>
  <c r="AR158" i="27" s="1"/>
  <c r="Z112" i="27" a="1"/>
  <c r="Z112" i="27" s="1"/>
  <c r="AA112" i="27"/>
  <c r="Y11" i="97" s="1" a="1"/>
  <c r="Y11" i="97" s="1"/>
  <c r="AQ112" i="27" a="1"/>
  <c r="AQ112" i="27" s="1"/>
  <c r="AR112" i="27" a="1"/>
  <c r="AR112" i="27" s="1"/>
  <c r="AE112" i="27" a="1"/>
  <c r="AE112" i="27" s="1"/>
  <c r="AV112" i="27"/>
  <c r="AC49" i="92"/>
  <c r="W49" i="92"/>
  <c r="Z243" i="27" a="1"/>
  <c r="Z243" i="27" s="1"/>
  <c r="AE243" i="27" a="1"/>
  <c r="AE243" i="27" s="1"/>
  <c r="AA243" i="27"/>
  <c r="Y102" i="97" s="1" a="1"/>
  <c r="Y102" i="97" s="1"/>
  <c r="AC222" i="27"/>
  <c r="Z210" i="27" a="1"/>
  <c r="Z210" i="27" s="1"/>
  <c r="AA210" i="27"/>
  <c r="Y47" i="97" s="1" a="1"/>
  <c r="Y47" i="97" s="1"/>
  <c r="AE210" i="27" a="1"/>
  <c r="AE210" i="27" s="1"/>
  <c r="AV210" i="27"/>
  <c r="Z101" i="27" a="1"/>
  <c r="Z101" i="27" s="1"/>
  <c r="AA101" i="27"/>
  <c r="Y191" i="97" s="1" a="1"/>
  <c r="Y191" i="97" s="1"/>
  <c r="AE101" i="27" a="1"/>
  <c r="AE101" i="27" s="1"/>
  <c r="AH101" i="27" s="1"/>
  <c r="AV101" i="27"/>
  <c r="AH119" i="27"/>
  <c r="AC74" i="92"/>
  <c r="W74" i="92"/>
  <c r="Z175" i="27" a="1"/>
  <c r="Z175" i="27" s="1"/>
  <c r="AA175" i="27"/>
  <c r="Y202" i="97" s="1" a="1"/>
  <c r="Y202" i="97" s="1"/>
  <c r="AE175" i="27" a="1"/>
  <c r="AE175" i="27" s="1"/>
  <c r="AV175" i="27"/>
  <c r="Z177" i="27" a="1"/>
  <c r="Z177" i="27" s="1"/>
  <c r="AA177" i="27"/>
  <c r="Y221" i="97" s="1" a="1"/>
  <c r="Y221" i="97" s="1"/>
  <c r="AE177" i="27" a="1"/>
  <c r="AE177" i="27" s="1"/>
  <c r="AH177" i="27" s="1"/>
  <c r="AV177" i="27"/>
  <c r="AC130" i="92"/>
  <c r="W130" i="92"/>
  <c r="AC231" i="92"/>
  <c r="W231" i="92"/>
  <c r="AC104" i="92"/>
  <c r="AR95" i="27" s="1" a="1"/>
  <c r="AR95" i="27" s="1"/>
  <c r="W104" i="92"/>
  <c r="AQ183" i="27" a="1"/>
  <c r="AQ183" i="27" s="1"/>
  <c r="AR183" i="27" a="1"/>
  <c r="AR183" i="27" s="1"/>
  <c r="Z183" i="27" a="1"/>
  <c r="Z183" i="27" s="1"/>
  <c r="AA183" i="27"/>
  <c r="Y228" i="97" s="1" a="1"/>
  <c r="Y228" i="97" s="1"/>
  <c r="AE183" i="27" a="1"/>
  <c r="AE183" i="27" s="1"/>
  <c r="AH183" i="27" s="1"/>
  <c r="AV183" i="27"/>
  <c r="Z82" i="27" a="1"/>
  <c r="Z82" i="27" s="1"/>
  <c r="AA82" i="27"/>
  <c r="Y154" i="97" s="1" a="1"/>
  <c r="Y154" i="97" s="1"/>
  <c r="AE82" i="27" a="1"/>
  <c r="AE82" i="27" s="1"/>
  <c r="AI82" i="27" s="1"/>
  <c r="AJ82" i="27" s="1" a="1"/>
  <c r="AJ82" i="27" s="1"/>
  <c r="AV82" i="27"/>
  <c r="AQ294" i="27" a="1"/>
  <c r="AQ294" i="27" s="1"/>
  <c r="AR294" i="27" a="1"/>
  <c r="AR294" i="27" s="1"/>
  <c r="Z294" i="27" a="1"/>
  <c r="Z294" i="27" s="1"/>
  <c r="AA294" i="27"/>
  <c r="Y218" i="97" s="1" a="1"/>
  <c r="Y218" i="97" s="1"/>
  <c r="AE294" i="27" a="1"/>
  <c r="AE294" i="27" s="1"/>
  <c r="Z96" i="27" a="1"/>
  <c r="Z96" i="27" s="1"/>
  <c r="AQ96" i="27" a="1"/>
  <c r="AQ96" i="27" s="1"/>
  <c r="AR96" i="27" a="1"/>
  <c r="AR96" i="27" s="1"/>
  <c r="AA96" i="27"/>
  <c r="Y207" i="97" s="1" a="1"/>
  <c r="Y207" i="97" s="1"/>
  <c r="AE96" i="27" a="1"/>
  <c r="AE96" i="27" s="1"/>
  <c r="AV96" i="27"/>
  <c r="AC171" i="92"/>
  <c r="AQ286" i="27" s="1" a="1"/>
  <c r="AQ286" i="27" s="1"/>
  <c r="W171" i="92"/>
  <c r="AC44" i="92"/>
  <c r="AQ239" i="27" s="1" a="1"/>
  <c r="AQ239" i="27" s="1"/>
  <c r="W44" i="92"/>
  <c r="Z163" i="27" a="1"/>
  <c r="Z163" i="27" s="1"/>
  <c r="AA163" i="27"/>
  <c r="Y292" i="97" s="1" a="1"/>
  <c r="Y292" i="97" s="1"/>
  <c r="AE163" i="27" a="1"/>
  <c r="AE163" i="27" s="1"/>
  <c r="AI163" i="27" s="1"/>
  <c r="AJ163" i="27" s="1" a="1"/>
  <c r="AJ163" i="27" s="1"/>
  <c r="AV163" i="27"/>
  <c r="Z290" i="27" a="1"/>
  <c r="Z290" i="27" s="1"/>
  <c r="AA290" i="27"/>
  <c r="Y334" i="97" s="1" a="1"/>
  <c r="Y334" i="97" s="1"/>
  <c r="AE290" i="27" a="1"/>
  <c r="AE290" i="27" s="1"/>
  <c r="AH290" i="27" s="1"/>
  <c r="AC190" i="92"/>
  <c r="AQ40" i="27" s="1" a="1"/>
  <c r="AQ40" i="27" s="1"/>
  <c r="W190" i="92"/>
  <c r="AC47" i="92"/>
  <c r="AQ65" i="27" s="1" a="1"/>
  <c r="AQ65" i="27" s="1"/>
  <c r="W47" i="92"/>
  <c r="Z252" i="27" a="1"/>
  <c r="Z252" i="27" s="1"/>
  <c r="AA252" i="27"/>
  <c r="Y26" i="97" s="1" a="1"/>
  <c r="Y26" i="97" s="1"/>
  <c r="AE252" i="27" a="1"/>
  <c r="AE252" i="27" s="1"/>
  <c r="Z190" i="27" a="1"/>
  <c r="Z190" i="27" s="1"/>
  <c r="AA190" i="27"/>
  <c r="Y52" i="97" s="1" a="1"/>
  <c r="Y52" i="97" s="1"/>
  <c r="AE190" i="27" a="1"/>
  <c r="AE190" i="27" s="1"/>
  <c r="AI190" i="27" s="1"/>
  <c r="AJ190" i="27" s="1" a="1"/>
  <c r="AJ190" i="27" s="1"/>
  <c r="AV190" i="27"/>
  <c r="AC289" i="92"/>
  <c r="AQ323" i="27" s="1" a="1"/>
  <c r="AQ323" i="27" s="1"/>
  <c r="W289" i="92"/>
  <c r="Z5" i="27" a="1"/>
  <c r="Z5" i="27" s="1"/>
  <c r="AA5" i="27"/>
  <c r="Y323" i="97" s="1" a="1"/>
  <c r="Y323" i="97" s="1"/>
  <c r="AE5" i="27" a="1"/>
  <c r="AE5" i="27" s="1"/>
  <c r="AI5" i="27" s="1"/>
  <c r="AJ5" i="27" s="1" a="1"/>
  <c r="AJ5" i="27" s="1"/>
  <c r="AV5" i="27"/>
  <c r="Z187" i="27" a="1"/>
  <c r="Z187" i="27" s="1"/>
  <c r="AA187" i="27"/>
  <c r="Y137" i="97" s="1" a="1"/>
  <c r="Y137" i="97" s="1"/>
  <c r="AE187" i="27" a="1"/>
  <c r="AE187" i="27" s="1"/>
  <c r="AH187" i="27" s="1"/>
  <c r="AV187" i="27"/>
  <c r="AC185" i="92"/>
  <c r="AQ110" i="27" s="1" a="1"/>
  <c r="AQ110" i="27" s="1"/>
  <c r="W185" i="92"/>
  <c r="AC128" i="92"/>
  <c r="W128" i="92"/>
  <c r="AC153" i="92"/>
  <c r="AQ273" i="27" s="1" a="1"/>
  <c r="AQ273" i="27" s="1"/>
  <c r="W153" i="92"/>
  <c r="AI15" i="27"/>
  <c r="AJ15" i="27" s="1" a="1"/>
  <c r="AJ15" i="27" s="1"/>
  <c r="Z234" i="27" a="1"/>
  <c r="Z234" i="27" s="1"/>
  <c r="AA234" i="27"/>
  <c r="Y82" i="97" s="1" a="1"/>
  <c r="Y82" i="97" s="1"/>
  <c r="AE234" i="27" a="1"/>
  <c r="AE234" i="27" s="1"/>
  <c r="AH234" i="27" s="1"/>
  <c r="Z68" i="27" a="1"/>
  <c r="Z68" i="27" s="1"/>
  <c r="AA68" i="27"/>
  <c r="Y321" i="97" s="1" a="1"/>
  <c r="Y321" i="97" s="1"/>
  <c r="AE68" i="27" a="1"/>
  <c r="AE68" i="27" s="1"/>
  <c r="AV68" i="27"/>
  <c r="AI55" i="27"/>
  <c r="AJ55" i="27" s="1" a="1"/>
  <c r="AJ55" i="27" s="1"/>
  <c r="AC52" i="92"/>
  <c r="AQ243" i="27" s="1" a="1"/>
  <c r="AQ243" i="27" s="1"/>
  <c r="W52" i="92"/>
  <c r="Z54" i="27" a="1"/>
  <c r="Z54" i="27" s="1"/>
  <c r="AA54" i="27"/>
  <c r="Y295" i="97" s="1" a="1"/>
  <c r="Y295" i="97" s="1"/>
  <c r="AE54" i="27" a="1"/>
  <c r="AE54" i="27" s="1"/>
  <c r="AI54" i="27" s="1"/>
  <c r="AJ54" i="27" s="1" a="1"/>
  <c r="AJ54" i="27" s="1"/>
  <c r="AV54" i="27"/>
  <c r="Z181" i="27" a="1"/>
  <c r="Z181" i="27" s="1"/>
  <c r="AA181" i="27"/>
  <c r="Y301" i="97" s="1" a="1"/>
  <c r="Y301" i="97" s="1"/>
  <c r="AE181" i="27" a="1"/>
  <c r="AE181" i="27" s="1"/>
  <c r="AV181" i="27"/>
  <c r="AC115" i="92"/>
  <c r="AR210" i="27" s="1" a="1"/>
  <c r="AR210" i="27" s="1"/>
  <c r="W115" i="92"/>
  <c r="AC26" i="92"/>
  <c r="AQ79" i="27" s="1" a="1"/>
  <c r="AQ79" i="27" s="1"/>
  <c r="W26" i="92"/>
  <c r="AC106" i="92"/>
  <c r="W106" i="92"/>
  <c r="BA35" i="27"/>
  <c r="BC35" i="27" s="1"/>
  <c r="V38" i="97" a="1"/>
  <c r="V38" i="97" s="1"/>
  <c r="Z52" i="27" a="1"/>
  <c r="Z52" i="27" s="1"/>
  <c r="AA52" i="27"/>
  <c r="Y190" i="97" s="1" a="1"/>
  <c r="Y190" i="97" s="1"/>
  <c r="AE52" i="27" a="1"/>
  <c r="AE52" i="27" s="1"/>
  <c r="AV52" i="27"/>
  <c r="AC222" i="92"/>
  <c r="AQ177" i="27" s="1" a="1"/>
  <c r="AQ177" i="27" s="1"/>
  <c r="W222" i="92"/>
  <c r="Z182" i="27" a="1"/>
  <c r="Z182" i="27" s="1"/>
  <c r="AA182" i="27"/>
  <c r="Y236" i="97" s="1" a="1"/>
  <c r="Y236" i="97" s="1"/>
  <c r="AE182" i="27" a="1"/>
  <c r="AE182" i="27" s="1"/>
  <c r="AI182" i="27" s="1"/>
  <c r="AJ182" i="27" s="1" a="1"/>
  <c r="AJ182" i="27" s="1"/>
  <c r="AV182" i="27"/>
  <c r="Z229" i="27" a="1"/>
  <c r="Z229" i="27" s="1"/>
  <c r="AQ229" i="27" a="1"/>
  <c r="AQ229" i="27" s="1"/>
  <c r="AR229" i="27" a="1"/>
  <c r="AR229" i="27" s="1"/>
  <c r="AA229" i="27"/>
  <c r="Y145" i="97" s="1" a="1"/>
  <c r="Y145" i="97" s="1"/>
  <c r="AE229" i="27" a="1"/>
  <c r="AE229" i="27" s="1"/>
  <c r="AV229" i="27"/>
  <c r="AQ21" i="27" a="1"/>
  <c r="AQ21" i="27" s="1"/>
  <c r="AR21" i="27" a="1"/>
  <c r="AR21" i="27" s="1"/>
  <c r="Z21" i="27" a="1"/>
  <c r="Z21" i="27" s="1"/>
  <c r="AA21" i="27"/>
  <c r="Y18" i="97" s="1" a="1"/>
  <c r="Y18" i="97" s="1"/>
  <c r="AE21" i="27" a="1"/>
  <c r="AE21" i="27" s="1"/>
  <c r="AV21" i="27"/>
  <c r="AC141" i="92"/>
  <c r="AQ82" i="27" s="1" a="1"/>
  <c r="AQ82" i="27" s="1"/>
  <c r="W141" i="92"/>
  <c r="AC207" i="92"/>
  <c r="W207" i="92"/>
  <c r="Z80" i="27" a="1"/>
  <c r="Z80" i="27" s="1"/>
  <c r="AR80" i="27" a="1"/>
  <c r="AR80" i="27" s="1"/>
  <c r="AQ80" i="27" a="1"/>
  <c r="AQ80" i="27" s="1"/>
  <c r="AA80" i="27"/>
  <c r="Y48" i="97" s="1" a="1"/>
  <c r="Y48" i="97" s="1"/>
  <c r="AE80" i="27" a="1"/>
  <c r="AE80" i="27" s="1"/>
  <c r="AH80" i="27" s="1"/>
  <c r="AV80" i="27"/>
  <c r="Z286" i="27" a="1"/>
  <c r="Z286" i="27" s="1"/>
  <c r="AA286" i="27"/>
  <c r="Y177" i="97" s="1" a="1"/>
  <c r="Y177" i="97" s="1"/>
  <c r="AE286" i="27" a="1"/>
  <c r="AE286" i="27" s="1"/>
  <c r="Z239" i="27" a="1"/>
  <c r="Z239" i="27" s="1"/>
  <c r="AA239" i="27"/>
  <c r="Y95" i="97" s="1" a="1"/>
  <c r="Y95" i="97" s="1"/>
  <c r="AE239" i="27" a="1"/>
  <c r="AE239" i="27" s="1"/>
  <c r="AC36" i="92"/>
  <c r="AQ64" i="27" s="1" a="1"/>
  <c r="AQ64" i="27" s="1"/>
  <c r="W36" i="92"/>
  <c r="Z40" i="27" a="1"/>
  <c r="Z40" i="27" s="1"/>
  <c r="AA40" i="27"/>
  <c r="Y193" i="97" s="1" a="1"/>
  <c r="Y193" i="97" s="1"/>
  <c r="AE40" i="27" a="1"/>
  <c r="AE40" i="27" s="1"/>
  <c r="AV40" i="27"/>
  <c r="AK13" i="27" a="1"/>
  <c r="AK13" i="27" s="1"/>
  <c r="AF13" i="27" a="1"/>
  <c r="AF13" i="27" s="1"/>
  <c r="AG13" i="27"/>
  <c r="Z27" i="27" a="1"/>
  <c r="Z27" i="27" s="1"/>
  <c r="AA27" i="27"/>
  <c r="Y311" i="97" s="1" a="1"/>
  <c r="Y311" i="97" s="1"/>
  <c r="AE27" i="27" a="1"/>
  <c r="AE27" i="27" s="1"/>
  <c r="AH27" i="27" s="1"/>
  <c r="AV27" i="27"/>
  <c r="V101" i="97" a="1"/>
  <c r="V101" i="97" s="1"/>
  <c r="BA137" i="27"/>
  <c r="BC137" i="27" s="1"/>
  <c r="W125" i="92"/>
  <c r="AC125" i="92"/>
  <c r="AQ190" i="27" s="1" a="1"/>
  <c r="AQ190" i="27" s="1"/>
  <c r="V222" i="97" a="1"/>
  <c r="V222" i="97" s="1"/>
  <c r="BA92" i="27"/>
  <c r="BC92" i="27" s="1"/>
  <c r="AC329" i="92"/>
  <c r="AQ5" i="27" s="1" a="1"/>
  <c r="AQ5" i="27" s="1"/>
  <c r="W329" i="92"/>
  <c r="AC114" i="92"/>
  <c r="AQ187" i="27" s="1" a="1"/>
  <c r="AQ187" i="27" s="1"/>
  <c r="W114" i="92"/>
  <c r="AQ162" i="27" a="1"/>
  <c r="AQ162" i="27" s="1"/>
  <c r="AR162" i="27" a="1"/>
  <c r="AR162" i="27" s="1"/>
  <c r="Z162" i="27" a="1"/>
  <c r="Z162" i="27" s="1"/>
  <c r="AA162" i="27"/>
  <c r="Y242" i="97" s="1" a="1"/>
  <c r="Y242" i="97" s="1"/>
  <c r="AE162" i="27" a="1"/>
  <c r="AE162" i="27" s="1"/>
  <c r="AI162" i="27" s="1"/>
  <c r="AJ162" i="27" s="1" a="1"/>
  <c r="AJ162" i="27" s="1"/>
  <c r="AV162" i="27"/>
  <c r="Z273" i="27" a="1"/>
  <c r="Z273" i="27" s="1"/>
  <c r="AA273" i="27"/>
  <c r="Y165" i="97" s="1" a="1"/>
  <c r="Y165" i="97" s="1"/>
  <c r="AE273" i="27" a="1"/>
  <c r="AE273" i="27" s="1"/>
  <c r="AH273" i="27" s="1"/>
  <c r="AC15" i="27"/>
  <c r="W173" i="92"/>
  <c r="AC173" i="92"/>
  <c r="AR143" i="27" s="1" a="1"/>
  <c r="AR143" i="27" s="1"/>
  <c r="AC101" i="92"/>
  <c r="AS195" i="27" s="1" a="1"/>
  <c r="AS195" i="27" s="1"/>
  <c r="W101" i="92"/>
  <c r="AC333" i="92"/>
  <c r="W333" i="92"/>
  <c r="Z77" i="27" a="1"/>
  <c r="Z77" i="27" s="1"/>
  <c r="AQ77" i="27" a="1"/>
  <c r="AQ77" i="27" s="1"/>
  <c r="AR77" i="27" a="1"/>
  <c r="AR77" i="27" s="1"/>
  <c r="AA77" i="27"/>
  <c r="Y225" i="97" s="1" a="1"/>
  <c r="Y225" i="97" s="1"/>
  <c r="AE77" i="27" a="1"/>
  <c r="AE77" i="27" s="1"/>
  <c r="AV77" i="27"/>
  <c r="Z324" i="27" a="1"/>
  <c r="Z324" i="27" s="1"/>
  <c r="AA324" i="27"/>
  <c r="Y283" i="97" s="1" a="1"/>
  <c r="Y283" i="97" s="1"/>
  <c r="AE324" i="27" a="1"/>
  <c r="AE324" i="27" s="1"/>
  <c r="AC111" i="92"/>
  <c r="AQ225" i="27" s="1" a="1"/>
  <c r="AQ225" i="27" s="1"/>
  <c r="W111" i="92"/>
  <c r="AC31" i="92"/>
  <c r="AS215" i="27" s="1" a="1"/>
  <c r="AS215" i="27" s="1"/>
  <c r="W31" i="92"/>
  <c r="Z121" i="27" a="1"/>
  <c r="Z121" i="27" s="1"/>
  <c r="AQ121" i="27" a="1"/>
  <c r="AQ121" i="27" s="1"/>
  <c r="AR121" i="27" a="1"/>
  <c r="AR121" i="27" s="1"/>
  <c r="AA121" i="27"/>
  <c r="Y42" i="97" s="1" a="1"/>
  <c r="Y42" i="97" s="1"/>
  <c r="AE121" i="27" a="1"/>
  <c r="AE121" i="27" s="1"/>
  <c r="AV121" i="27"/>
  <c r="W200" i="92"/>
  <c r="AC200" i="92"/>
  <c r="AQ291" i="27" s="1" a="1"/>
  <c r="AQ291" i="27" s="1"/>
  <c r="AC55" i="92"/>
  <c r="AQ245" i="27" s="1" a="1"/>
  <c r="AQ245" i="27" s="1"/>
  <c r="W55" i="92"/>
  <c r="Z320" i="27" a="1"/>
  <c r="Z320" i="27" s="1"/>
  <c r="AA320" i="27"/>
  <c r="Y276" i="97" s="1" a="1"/>
  <c r="Y276" i="97" s="1"/>
  <c r="AE320" i="27" a="1"/>
  <c r="AE320" i="27" s="1"/>
  <c r="AH320" i="27" s="1"/>
  <c r="AC107" i="92"/>
  <c r="AR54" i="27" s="1" a="1"/>
  <c r="AR54" i="27" s="1"/>
  <c r="W107" i="92"/>
  <c r="AC308" i="92"/>
  <c r="AR181" i="27" s="1" a="1"/>
  <c r="AR181" i="27" s="1"/>
  <c r="W308" i="92"/>
  <c r="Z156" i="27" a="1"/>
  <c r="Z156" i="27" s="1"/>
  <c r="AA156" i="27"/>
  <c r="Y94" i="97" s="1" a="1"/>
  <c r="Y94" i="97" s="1"/>
  <c r="AE156" i="27" a="1"/>
  <c r="AE156" i="27" s="1"/>
  <c r="AH156" i="27" s="1"/>
  <c r="AV156" i="27"/>
  <c r="AC187" i="92"/>
  <c r="AR52" i="27" s="1" a="1"/>
  <c r="AR52" i="27" s="1"/>
  <c r="W187" i="92"/>
  <c r="Z333" i="27" a="1"/>
  <c r="Z333" i="27" s="1"/>
  <c r="AA333" i="27"/>
  <c r="Y299" i="97" s="1" a="1"/>
  <c r="Y299" i="97" s="1"/>
  <c r="AE333" i="27" a="1"/>
  <c r="AE333" i="27" s="1"/>
  <c r="AI333" i="27" s="1"/>
  <c r="AJ333" i="27" s="1" a="1"/>
  <c r="AJ333" i="27" s="1"/>
  <c r="AC178" i="92"/>
  <c r="W178" i="92"/>
  <c r="Z275" i="27" a="1"/>
  <c r="Z275" i="27" s="1"/>
  <c r="AA275" i="27"/>
  <c r="Y169" i="97" s="1" a="1"/>
  <c r="Y169" i="97" s="1"/>
  <c r="AE275" i="27" a="1"/>
  <c r="AE275" i="27" s="1"/>
  <c r="AI275" i="27" s="1"/>
  <c r="AJ275" i="27" s="1" a="1"/>
  <c r="AJ275" i="27" s="1"/>
  <c r="AC239" i="92"/>
  <c r="AQ182" i="27" s="1" a="1"/>
  <c r="AQ182" i="27" s="1"/>
  <c r="W239" i="92"/>
  <c r="AC129" i="92"/>
  <c r="W129" i="92"/>
  <c r="AC116" i="92"/>
  <c r="W116" i="92"/>
  <c r="Z155" i="27" a="1"/>
  <c r="Z155" i="27" s="1"/>
  <c r="AA155" i="27"/>
  <c r="Y151" i="97" s="1" a="1"/>
  <c r="Y151" i="97" s="1"/>
  <c r="AE155" i="27" a="1"/>
  <c r="AE155" i="27" s="1"/>
  <c r="AV155" i="27"/>
  <c r="AC299" i="92"/>
  <c r="AR163" i="27" s="1" a="1"/>
  <c r="AR163" i="27" s="1"/>
  <c r="W299" i="92"/>
  <c r="AC121" i="92"/>
  <c r="AQ27" i="27" s="1" a="1"/>
  <c r="AQ27" i="27" s="1"/>
  <c r="W121" i="92"/>
  <c r="AF137" i="27" a="1"/>
  <c r="AF137" i="27" s="1"/>
  <c r="AT137" i="27" a="1"/>
  <c r="AT137" i="27" s="1"/>
  <c r="AS137" i="27" a="1"/>
  <c r="AS137" i="27" s="1"/>
  <c r="AG137" i="27"/>
  <c r="AK137" i="27" a="1"/>
  <c r="AK137" i="27" s="1"/>
  <c r="Z231" i="27" a="1"/>
  <c r="Z231" i="27" s="1"/>
  <c r="AA231" i="27"/>
  <c r="Y9" i="97" s="1" a="1"/>
  <c r="Y9" i="97" s="1"/>
  <c r="AE231" i="27" a="1"/>
  <c r="AE231" i="27" s="1"/>
  <c r="AV231" i="27"/>
  <c r="AC166" i="92"/>
  <c r="AR282" i="27" s="1" a="1"/>
  <c r="AR282" i="27" s="1"/>
  <c r="W166" i="92"/>
  <c r="W176" i="92"/>
  <c r="AC176" i="92"/>
  <c r="AR104" i="27" s="1" a="1"/>
  <c r="AR104" i="27" s="1"/>
  <c r="AC30" i="92"/>
  <c r="AQ34" i="27" s="1" a="1"/>
  <c r="AQ34" i="27" s="1"/>
  <c r="W30" i="92"/>
  <c r="AC22" i="92"/>
  <c r="AQ234" i="27" s="1" a="1"/>
  <c r="AQ234" i="27" s="1"/>
  <c r="W22" i="92"/>
  <c r="Z220" i="27" a="1"/>
  <c r="Z220" i="27" s="1"/>
  <c r="AA220" i="27"/>
  <c r="Y245" i="97" s="1" a="1"/>
  <c r="Y245" i="97" s="1"/>
  <c r="AE220" i="27" a="1"/>
  <c r="AE220" i="27" s="1"/>
  <c r="AI220" i="27" s="1"/>
  <c r="AJ220" i="27" s="1" a="1"/>
  <c r="AJ220" i="27" s="1"/>
  <c r="AV220" i="27"/>
  <c r="AC53" i="92"/>
  <c r="AR244" i="27" s="1" a="1"/>
  <c r="AR244" i="27" s="1"/>
  <c r="W53" i="92"/>
  <c r="AC256" i="92"/>
  <c r="AQ97" i="27" s="1" a="1"/>
  <c r="AQ97" i="27" s="1"/>
  <c r="W256" i="92"/>
  <c r="AF35" i="27" a="1"/>
  <c r="AF35" i="27" s="1"/>
  <c r="AG35" i="27"/>
  <c r="AK35" i="27" a="1"/>
  <c r="AK35" i="27" s="1"/>
  <c r="AC306" i="92"/>
  <c r="AQ333" i="27" s="1" a="1"/>
  <c r="AQ333" i="27" s="1"/>
  <c r="W306" i="92"/>
  <c r="Z95" i="27" a="1"/>
  <c r="Z95" i="27" s="1"/>
  <c r="AA95" i="27"/>
  <c r="Y3" i="97" s="1" a="1"/>
  <c r="Y3" i="97" s="1"/>
  <c r="AE95" i="27" a="1"/>
  <c r="AE95" i="27" s="1"/>
  <c r="AH95" i="27" s="1"/>
  <c r="AV95" i="27"/>
  <c r="AC127" i="92"/>
  <c r="AQ157" i="27" s="1" a="1"/>
  <c r="AQ157" i="27" s="1"/>
  <c r="W127" i="92"/>
  <c r="Z192" i="27" a="1"/>
  <c r="Z192" i="27" s="1"/>
  <c r="AA192" i="27"/>
  <c r="Y244" i="97" s="1" a="1"/>
  <c r="Y244" i="97" s="1"/>
  <c r="AE192" i="27" a="1"/>
  <c r="AE192" i="27" s="1"/>
  <c r="AI192" i="27" s="1"/>
  <c r="AJ192" i="27" s="1" a="1"/>
  <c r="AJ192" i="27" s="1"/>
  <c r="AV192" i="27"/>
  <c r="AC158" i="92"/>
  <c r="AQ275" i="27" s="1" a="1"/>
  <c r="AQ275" i="27" s="1"/>
  <c r="W158" i="92"/>
  <c r="AG58" i="27"/>
  <c r="AF58" i="27" a="1"/>
  <c r="AF58" i="27" s="1"/>
  <c r="AS58" i="27" a="1"/>
  <c r="AS58" i="27" s="1"/>
  <c r="AT58" i="27" a="1"/>
  <c r="AT58" i="27" s="1"/>
  <c r="AK58" i="27" a="1"/>
  <c r="AK58" i="27" s="1"/>
  <c r="AC241" i="92"/>
  <c r="AQ129" i="27" s="1" a="1"/>
  <c r="AQ129" i="27" s="1"/>
  <c r="W241" i="92"/>
  <c r="AC39" i="92"/>
  <c r="W39" i="92"/>
  <c r="Z172" i="27" a="1"/>
  <c r="Z172" i="27" s="1"/>
  <c r="AA172" i="27"/>
  <c r="Y281" i="97" s="1" a="1"/>
  <c r="Y281" i="97" s="1"/>
  <c r="AE172" i="27" a="1"/>
  <c r="AE172" i="27" s="1"/>
  <c r="AV172" i="27"/>
  <c r="AC138" i="92"/>
  <c r="AQ155" i="27" s="1" a="1"/>
  <c r="AQ155" i="27" s="1"/>
  <c r="W138" i="92"/>
  <c r="Z106" i="27" a="1"/>
  <c r="Z106" i="27" s="1"/>
  <c r="AA106" i="27"/>
  <c r="Y293" i="97" s="1" a="1"/>
  <c r="Y293" i="97" s="1"/>
  <c r="AE106" i="27" a="1"/>
  <c r="AE106" i="27" s="1"/>
  <c r="AI106" i="27" s="1"/>
  <c r="AJ106" i="27" s="1" a="1"/>
  <c r="AJ106" i="27" s="1"/>
  <c r="AV106" i="27"/>
  <c r="Z144" i="27" a="1"/>
  <c r="Z144" i="27" s="1"/>
  <c r="AA144" i="27"/>
  <c r="Y25" i="97" s="1" a="1"/>
  <c r="Y25" i="97" s="1"/>
  <c r="AE144" i="27" a="1"/>
  <c r="AE144" i="27" s="1"/>
  <c r="AV144" i="27"/>
  <c r="AC139" i="92"/>
  <c r="AQ271" i="27" s="1" a="1"/>
  <c r="AQ271" i="27" s="1"/>
  <c r="W139" i="92"/>
  <c r="AC89" i="92"/>
  <c r="AQ259" i="27" s="1" a="1"/>
  <c r="AQ259" i="27" s="1"/>
  <c r="W89" i="92"/>
  <c r="AC293" i="92"/>
  <c r="AR326" i="27" s="1" a="1"/>
  <c r="AR326" i="27" s="1"/>
  <c r="W293" i="92"/>
  <c r="W11" i="92"/>
  <c r="AC11" i="92"/>
  <c r="AQ231" i="27" s="1" a="1"/>
  <c r="AQ231" i="27" s="1"/>
  <c r="AC120" i="92"/>
  <c r="W120" i="92"/>
  <c r="Z282" i="27" a="1"/>
  <c r="Z282" i="27" s="1"/>
  <c r="AA282" i="27"/>
  <c r="Y174" i="97" s="1" a="1"/>
  <c r="Y174" i="97" s="1"/>
  <c r="AE282" i="27" a="1"/>
  <c r="AE282" i="27" s="1"/>
  <c r="AI282" i="27" s="1"/>
  <c r="AJ282" i="27" s="1" a="1"/>
  <c r="AJ282" i="27" s="1"/>
  <c r="Z104" i="27" a="1"/>
  <c r="Z104" i="27" s="1"/>
  <c r="AA104" i="27"/>
  <c r="Y181" i="97" s="1" a="1"/>
  <c r="Y181" i="97" s="1"/>
  <c r="AE104" i="27" a="1"/>
  <c r="AE104" i="27" s="1"/>
  <c r="AI104" i="27" s="1"/>
  <c r="AJ104" i="27" s="1" a="1"/>
  <c r="AJ104" i="27" s="1"/>
  <c r="AV104" i="27"/>
  <c r="W328" i="92"/>
  <c r="AC328" i="92"/>
  <c r="Z225" i="27" a="1"/>
  <c r="Z225" i="27" s="1"/>
  <c r="AA225" i="27"/>
  <c r="Y135" i="97" s="1" a="1"/>
  <c r="Y135" i="97" s="1"/>
  <c r="AE225" i="27" a="1"/>
  <c r="AE225" i="27" s="1"/>
  <c r="AH225" i="27" s="1"/>
  <c r="AV225" i="27"/>
  <c r="Z281" i="27" a="1"/>
  <c r="Z281" i="27" s="1"/>
  <c r="AA281" i="27"/>
  <c r="Y173" i="97" s="1" a="1"/>
  <c r="Y173" i="97" s="1"/>
  <c r="AE281" i="27" a="1"/>
  <c r="AE281" i="27" s="1"/>
  <c r="AI281" i="27" s="1"/>
  <c r="AJ281" i="27" s="1" a="1"/>
  <c r="AJ281" i="27" s="1"/>
  <c r="AC285" i="92"/>
  <c r="W285" i="92"/>
  <c r="AC249" i="92"/>
  <c r="AQ220" i="27" s="1" a="1"/>
  <c r="AQ220" i="27" s="1"/>
  <c r="W249" i="92"/>
  <c r="AC179" i="92"/>
  <c r="AQ224" i="27" s="1" a="1"/>
  <c r="AQ224" i="27" s="1"/>
  <c r="W179" i="92"/>
  <c r="AC6" i="92"/>
  <c r="AQ199" i="27" s="1" a="1"/>
  <c r="AQ199" i="27" s="1"/>
  <c r="W6" i="92"/>
  <c r="AH55" i="27"/>
  <c r="AC14" i="92"/>
  <c r="W14" i="92"/>
  <c r="Z18" i="27" a="1"/>
  <c r="Z18" i="27" s="1"/>
  <c r="AA18" i="27"/>
  <c r="Y319" i="97" s="1" a="1"/>
  <c r="Y319" i="97" s="1"/>
  <c r="AE18" i="27" a="1"/>
  <c r="AE18" i="27" s="1"/>
  <c r="AH18" i="27" s="1"/>
  <c r="AV18" i="27"/>
  <c r="W79" i="92"/>
  <c r="AC79" i="92"/>
  <c r="AC60" i="92"/>
  <c r="AQ248" i="27" s="1" a="1"/>
  <c r="AQ248" i="27" s="1"/>
  <c r="W60" i="92"/>
  <c r="Z300" i="27" a="1"/>
  <c r="Z300" i="27" s="1"/>
  <c r="AA300" i="27"/>
  <c r="Y67" i="97" s="1" a="1"/>
  <c r="Y67" i="97" s="1"/>
  <c r="AE300" i="27" a="1"/>
  <c r="AE300" i="27" s="1"/>
  <c r="AH300" i="27" s="1"/>
  <c r="Z244" i="27" a="1"/>
  <c r="Z244" i="27" s="1"/>
  <c r="AA244" i="27"/>
  <c r="Y103" i="97" s="1" a="1"/>
  <c r="Y103" i="97" s="1"/>
  <c r="AE244" i="27" a="1"/>
  <c r="AE244" i="27" s="1"/>
  <c r="AI244" i="27" s="1"/>
  <c r="AJ244" i="27" s="1" a="1"/>
  <c r="AJ244" i="27" s="1"/>
  <c r="AC40" i="92"/>
  <c r="AR236" i="27" s="1" a="1"/>
  <c r="AR236" i="27" s="1"/>
  <c r="W40" i="92"/>
  <c r="Z97" i="27" a="1"/>
  <c r="Z97" i="27" s="1"/>
  <c r="AE97" i="27" a="1"/>
  <c r="AE97" i="27" s="1"/>
  <c r="AI97" i="27" s="1"/>
  <c r="AJ97" i="27" s="1" a="1"/>
  <c r="AJ97" i="27" s="1"/>
  <c r="AA97" i="27"/>
  <c r="Y250" i="97" s="1" a="1"/>
  <c r="Y250" i="97" s="1"/>
  <c r="AV97" i="27"/>
  <c r="Z134" i="27" a="1"/>
  <c r="Z134" i="27" s="1"/>
  <c r="AQ134" i="27" a="1"/>
  <c r="AQ134" i="27" s="1"/>
  <c r="AR134" i="27" a="1"/>
  <c r="AR134" i="27" s="1"/>
  <c r="AA134" i="27"/>
  <c r="Y15" i="97" s="1" a="1"/>
  <c r="Y15" i="97" s="1"/>
  <c r="AE134" i="27" a="1"/>
  <c r="AE134" i="27" s="1"/>
  <c r="AH134" i="27" s="1"/>
  <c r="AV134" i="27"/>
  <c r="AQ75" i="27" a="1"/>
  <c r="AQ75" i="27" s="1"/>
  <c r="AR75" i="27" a="1"/>
  <c r="AR75" i="27" s="1"/>
  <c r="Z75" i="27" a="1"/>
  <c r="Z75" i="27" s="1"/>
  <c r="AA75" i="27"/>
  <c r="Y45" i="97" s="1" a="1"/>
  <c r="Y45" i="97" s="1"/>
  <c r="AE75" i="27" a="1"/>
  <c r="AE75" i="27" s="1"/>
  <c r="AI75" i="27" s="1"/>
  <c r="AJ75" i="27" s="1" a="1"/>
  <c r="AJ75" i="27" s="1"/>
  <c r="AV75" i="27"/>
  <c r="Z88" i="27" a="1"/>
  <c r="Z88" i="27" s="1"/>
  <c r="AA88" i="27"/>
  <c r="Y58" i="97" s="1" a="1"/>
  <c r="Y58" i="97" s="1"/>
  <c r="AE88" i="27" a="1"/>
  <c r="AE88" i="27" s="1"/>
  <c r="AH88" i="27" s="1"/>
  <c r="AV88" i="27"/>
  <c r="AC248" i="92"/>
  <c r="AQ192" i="27" s="1" a="1"/>
  <c r="AQ192" i="27" s="1"/>
  <c r="W248" i="92"/>
  <c r="Z50" i="27" a="1"/>
  <c r="Z50" i="27" s="1"/>
  <c r="AQ50" i="27" a="1"/>
  <c r="AQ50" i="27" s="1"/>
  <c r="AR50" i="27" a="1"/>
  <c r="AR50" i="27" s="1"/>
  <c r="AA50" i="27"/>
  <c r="Y29" i="97" s="1" a="1"/>
  <c r="Y29" i="97" s="1"/>
  <c r="AE50" i="27" a="1"/>
  <c r="AE50" i="27" s="1"/>
  <c r="AI50" i="27" s="1"/>
  <c r="AJ50" i="27" s="1" a="1"/>
  <c r="AJ50" i="27" s="1"/>
  <c r="AV50" i="27"/>
  <c r="AC296" i="92"/>
  <c r="AR328" i="27" s="1" a="1"/>
  <c r="AR328" i="27" s="1"/>
  <c r="W296" i="92"/>
  <c r="AC288" i="92"/>
  <c r="AQ172" i="27" s="1" a="1"/>
  <c r="AQ172" i="27" s="1"/>
  <c r="W288" i="92"/>
  <c r="Z81" i="27" a="1"/>
  <c r="Z81" i="27" s="1"/>
  <c r="AA81" i="27"/>
  <c r="Y2" i="97" s="1" a="1"/>
  <c r="Y2" i="97" s="1"/>
  <c r="AE81" i="27" a="1"/>
  <c r="AE81" i="27" s="1"/>
  <c r="AI81" i="27" s="1"/>
  <c r="AJ81" i="27" s="1" a="1"/>
  <c r="AJ81" i="27" s="1"/>
  <c r="AV81" i="27"/>
  <c r="W273" i="92"/>
  <c r="AC273" i="92"/>
  <c r="AC65" i="92"/>
  <c r="AQ144" i="27" s="1" a="1"/>
  <c r="AQ144" i="27" s="1"/>
  <c r="W65" i="92"/>
  <c r="AC88" i="92"/>
  <c r="AR258" i="27" s="1" a="1"/>
  <c r="AR258" i="27" s="1"/>
  <c r="W88" i="92"/>
  <c r="Z271" i="27" a="1"/>
  <c r="Z271" i="27" s="1"/>
  <c r="AA271" i="27"/>
  <c r="Y152" i="97" s="1" a="1"/>
  <c r="Y152" i="97" s="1"/>
  <c r="AE271" i="27" a="1"/>
  <c r="AE271" i="27" s="1"/>
  <c r="AI271" i="27" s="1"/>
  <c r="AJ271" i="27" s="1" a="1"/>
  <c r="AJ271" i="27" s="1"/>
  <c r="Z292" i="27" a="1"/>
  <c r="Z292" i="27" s="1"/>
  <c r="AQ292" i="27" a="1"/>
  <c r="AQ292" i="27" s="1"/>
  <c r="AR292" i="27" a="1"/>
  <c r="AR292" i="27" s="1"/>
  <c r="AA292" i="27"/>
  <c r="Y213" i="97" s="1" a="1"/>
  <c r="Y213" i="97" s="1"/>
  <c r="AE292" i="27" a="1"/>
  <c r="AE292" i="27" s="1"/>
  <c r="Z19" i="27" a="1"/>
  <c r="Z19" i="27" s="1"/>
  <c r="AA19" i="27"/>
  <c r="Y109" i="97" s="1" a="1"/>
  <c r="Y109" i="97" s="1"/>
  <c r="AE19" i="27" a="1"/>
  <c r="AE19" i="27" s="1"/>
  <c r="AV19" i="27"/>
  <c r="AI137" i="27"/>
  <c r="AJ137" i="27" s="1" a="1"/>
  <c r="AJ137" i="27" s="1"/>
  <c r="AF92" i="27" a="1"/>
  <c r="AF92" i="27" s="1"/>
  <c r="AG92" i="27"/>
  <c r="AK92" i="27" a="1"/>
  <c r="AK92" i="27" s="1"/>
  <c r="Z259" i="27" a="1"/>
  <c r="Z259" i="27" s="1"/>
  <c r="AA259" i="27"/>
  <c r="Y121" i="97" s="1" a="1"/>
  <c r="Y121" i="97" s="1"/>
  <c r="AE259" i="27" a="1"/>
  <c r="AE259" i="27" s="1"/>
  <c r="AH259" i="27" s="1"/>
  <c r="AC163" i="92"/>
  <c r="AQ279" i="27" s="1" a="1"/>
  <c r="AQ279" i="27" s="1"/>
  <c r="W163" i="92"/>
  <c r="Z326" i="27" a="1"/>
  <c r="Z326" i="27" s="1"/>
  <c r="AA326" i="27"/>
  <c r="Y286" i="97" s="1" a="1"/>
  <c r="Y286" i="97" s="1"/>
  <c r="AE326" i="27" a="1"/>
  <c r="AE326" i="27" s="1"/>
  <c r="AH326" i="27" s="1"/>
  <c r="V307" i="97" a="1"/>
  <c r="V307" i="97" s="1"/>
  <c r="BA188" i="27"/>
  <c r="BC188" i="27" s="1"/>
  <c r="AC281" i="92"/>
  <c r="AQ318" i="27" s="1" a="1"/>
  <c r="AQ318" i="27" s="1"/>
  <c r="W281" i="92"/>
  <c r="W283" i="92"/>
  <c r="AC283" i="92"/>
  <c r="AR320" i="27" s="1" a="1"/>
  <c r="AR320" i="27" s="1"/>
  <c r="AC24" i="92"/>
  <c r="AQ83" i="27" s="1" a="1"/>
  <c r="AQ83" i="27" s="1"/>
  <c r="W24" i="92"/>
  <c r="Z216" i="27" a="1"/>
  <c r="Z216" i="27" s="1"/>
  <c r="AQ216" i="27" a="1"/>
  <c r="AQ216" i="27" s="1"/>
  <c r="AR216" i="27" a="1"/>
  <c r="AR216" i="27" s="1"/>
  <c r="AA216" i="27"/>
  <c r="AE216" i="27" a="1"/>
  <c r="AE216" i="27" s="1"/>
  <c r="AI216" i="27" s="1"/>
  <c r="AJ216" i="27" s="1" a="1"/>
  <c r="AJ216" i="27" s="1"/>
  <c r="AV216" i="27"/>
  <c r="Z140" i="27" a="1"/>
  <c r="Z140" i="27" s="1"/>
  <c r="AA140" i="27"/>
  <c r="Y195" i="97" s="1" a="1"/>
  <c r="Y195" i="97" s="1"/>
  <c r="AE140" i="27" a="1"/>
  <c r="AE140" i="27" s="1"/>
  <c r="AI140" i="27" s="1"/>
  <c r="AJ140" i="27" s="1" a="1"/>
  <c r="AJ140" i="27" s="1"/>
  <c r="AV140" i="27"/>
  <c r="W142" i="92"/>
  <c r="AC142" i="92"/>
  <c r="AR272" i="27" s="1" a="1"/>
  <c r="AR272" i="27" s="1"/>
  <c r="AC313" i="92"/>
  <c r="AR336" i="27" s="1" a="1"/>
  <c r="AR336" i="27" s="1"/>
  <c r="W313" i="92"/>
  <c r="Z236" i="27" a="1"/>
  <c r="Z236" i="27" s="1"/>
  <c r="AA236" i="27"/>
  <c r="Y91" i="97" s="1" a="1"/>
  <c r="Y91" i="97" s="1"/>
  <c r="AE236" i="27" a="1"/>
  <c r="AE236" i="27" s="1"/>
  <c r="AH236" i="27" s="1"/>
  <c r="Z194" i="27" a="1"/>
  <c r="Z194" i="27" s="1"/>
  <c r="AA194" i="27"/>
  <c r="Y240" i="97" s="1" a="1"/>
  <c r="Y240" i="97" s="1"/>
  <c r="AE194" i="27" a="1"/>
  <c r="AE194" i="27" s="1"/>
  <c r="AH194" i="27" s="1"/>
  <c r="AV194" i="27"/>
  <c r="Z141" i="27" a="1"/>
  <c r="Z141" i="27" s="1"/>
  <c r="AA141" i="27"/>
  <c r="Y90" i="97" s="1" a="1"/>
  <c r="Y90" i="97" s="1"/>
  <c r="AE141" i="27" a="1"/>
  <c r="AE141" i="27" s="1"/>
  <c r="AH141" i="27" s="1"/>
  <c r="AV141" i="27"/>
  <c r="AC156" i="92"/>
  <c r="AR88" i="27" s="1" a="1"/>
  <c r="AR88" i="27" s="1"/>
  <c r="W156" i="92"/>
  <c r="AC93" i="92"/>
  <c r="AQ263" i="27" s="1" a="1"/>
  <c r="AQ263" i="27" s="1"/>
  <c r="W93" i="92"/>
  <c r="AI58" i="27"/>
  <c r="AJ58" i="27" s="1" a="1"/>
  <c r="AJ58" i="27" s="1"/>
  <c r="AC75" i="92"/>
  <c r="W75" i="92"/>
  <c r="Z118" i="27" a="1"/>
  <c r="Z118" i="27" s="1"/>
  <c r="AA118" i="27"/>
  <c r="Y83" i="97" s="1" a="1"/>
  <c r="Y83" i="97" s="1"/>
  <c r="AE118" i="27" a="1"/>
  <c r="AE118" i="27" s="1"/>
  <c r="AI118" i="27" s="1"/>
  <c r="AJ118" i="27" s="1" a="1"/>
  <c r="AJ118" i="27" s="1"/>
  <c r="AV118" i="27"/>
  <c r="AQ9" i="27" a="1"/>
  <c r="AQ9" i="27" s="1"/>
  <c r="AR9" i="27" a="1"/>
  <c r="AR9" i="27" s="1"/>
  <c r="Z9" i="27" a="1"/>
  <c r="Z9" i="27" s="1"/>
  <c r="AA9" i="27"/>
  <c r="Y315" i="97" s="1" a="1"/>
  <c r="Y315" i="97" s="1"/>
  <c r="AE9" i="27" a="1"/>
  <c r="AE9" i="27" s="1"/>
  <c r="AV9" i="27"/>
  <c r="Z328" i="27" a="1"/>
  <c r="Z328" i="27" s="1"/>
  <c r="AA328" i="27"/>
  <c r="Y289" i="97" s="1" a="1"/>
  <c r="Y289" i="97" s="1"/>
  <c r="AE328" i="27" a="1"/>
  <c r="AE328" i="27" s="1"/>
  <c r="AH328" i="27" s="1"/>
  <c r="AC76" i="92"/>
  <c r="AR81" i="27" s="1" a="1"/>
  <c r="AR81" i="27" s="1"/>
  <c r="W76" i="92"/>
  <c r="AC63" i="92"/>
  <c r="AR250" i="27" s="1" a="1"/>
  <c r="AR250" i="27" s="1"/>
  <c r="W63" i="92"/>
  <c r="Z111" i="27" a="1"/>
  <c r="Z111" i="27" s="1"/>
  <c r="AR111" i="27" a="1"/>
  <c r="AR111" i="27" s="1"/>
  <c r="AQ111" i="27" a="1"/>
  <c r="AQ111" i="27" s="1"/>
  <c r="AA111" i="27"/>
  <c r="Y44" i="97" s="1" a="1"/>
  <c r="Y44" i="97" s="1"/>
  <c r="AE111" i="27" a="1"/>
  <c r="AE111" i="27" s="1"/>
  <c r="AV111" i="27"/>
  <c r="AC300" i="92"/>
  <c r="AQ106" i="27" s="1" a="1"/>
  <c r="AQ106" i="27" s="1"/>
  <c r="W300" i="92"/>
  <c r="Z262" i="27" a="1"/>
  <c r="Z262" i="27" s="1"/>
  <c r="AA262" i="27"/>
  <c r="Y124" i="97" s="1" a="1"/>
  <c r="Y124" i="97" s="1"/>
  <c r="AE262" i="27" a="1"/>
  <c r="AE262" i="27" s="1"/>
  <c r="AH262" i="27" s="1"/>
  <c r="AQ72" i="27" a="1"/>
  <c r="AQ72" i="27" s="1"/>
  <c r="AR72" i="27" a="1"/>
  <c r="AR72" i="27" s="1"/>
  <c r="AA72" i="27"/>
  <c r="Y260" i="97" s="1" a="1"/>
  <c r="Y260" i="97" s="1"/>
  <c r="Z72" i="27" a="1"/>
  <c r="Z72" i="27" s="1"/>
  <c r="AE72" i="27" a="1"/>
  <c r="AE72" i="27" s="1"/>
  <c r="AI72" i="27" s="1"/>
  <c r="AJ72" i="27" s="1" a="1"/>
  <c r="AJ72" i="27" s="1"/>
  <c r="AV72" i="27"/>
  <c r="Z258" i="27" a="1"/>
  <c r="Z258" i="27" s="1"/>
  <c r="AA258" i="27"/>
  <c r="Y120" i="97" s="1" a="1"/>
  <c r="Y120" i="97" s="1"/>
  <c r="AE258" i="27" a="1"/>
  <c r="AE258" i="27" s="1"/>
  <c r="AH258" i="27" s="1"/>
  <c r="AC214" i="92"/>
  <c r="W214" i="92"/>
  <c r="AC61" i="92"/>
  <c r="AQ19" i="27" s="1" a="1"/>
  <c r="AQ19" i="27" s="1"/>
  <c r="W61" i="92"/>
  <c r="W148" i="92"/>
  <c r="AC148" i="92"/>
  <c r="AR128" i="27" s="1" a="1"/>
  <c r="AR128" i="27" s="1"/>
  <c r="Z201" i="27" a="1"/>
  <c r="Z201" i="27" s="1"/>
  <c r="AA201" i="27"/>
  <c r="Y142" i="97" s="1" a="1"/>
  <c r="Y142" i="97" s="1"/>
  <c r="AE201" i="27" a="1"/>
  <c r="AE201" i="27" s="1"/>
  <c r="AH201" i="27" s="1"/>
  <c r="AV201" i="27"/>
  <c r="AQ136" i="27" a="1"/>
  <c r="AQ136" i="27" s="1"/>
  <c r="Z136" i="27" a="1"/>
  <c r="Z136" i="27" s="1"/>
  <c r="AR136" i="27" a="1"/>
  <c r="AR136" i="27" s="1"/>
  <c r="AA136" i="27"/>
  <c r="AE136" i="27" a="1"/>
  <c r="AE136" i="27" s="1"/>
  <c r="AI136" i="27" s="1"/>
  <c r="AJ136" i="27" s="1" a="1"/>
  <c r="AJ136" i="27" s="1"/>
  <c r="AV136" i="27"/>
  <c r="Z193" i="27" a="1"/>
  <c r="Z193" i="27" s="1"/>
  <c r="AA193" i="27"/>
  <c r="AE193" i="27" a="1"/>
  <c r="AE193" i="27" s="1"/>
  <c r="AV193" i="27"/>
  <c r="Z279" i="27" a="1"/>
  <c r="Z279" i="27" s="1"/>
  <c r="AA279" i="27"/>
  <c r="Y171" i="97" s="1" a="1"/>
  <c r="Y171" i="97" s="1"/>
  <c r="AE279" i="27" a="1"/>
  <c r="AE279" i="27" s="1"/>
  <c r="AI279" i="27" s="1"/>
  <c r="AJ279" i="27" s="1" a="1"/>
  <c r="AJ279" i="27" s="1"/>
  <c r="V183" i="97" a="1"/>
  <c r="V183" i="97" s="1"/>
  <c r="BA148" i="27"/>
  <c r="BC148" i="27" s="1"/>
  <c r="AC302" i="92"/>
  <c r="W302" i="92"/>
  <c r="Z44" i="27" a="1"/>
  <c r="Z44" i="27" s="1"/>
  <c r="AA44" i="27"/>
  <c r="Y168" i="97" s="1" a="1"/>
  <c r="Y168" i="97" s="1"/>
  <c r="AE44" i="27" a="1"/>
  <c r="AE44" i="27" s="1"/>
  <c r="AI44" i="27" s="1"/>
  <c r="AJ44" i="27" s="1" a="1"/>
  <c r="AJ44" i="27" s="1"/>
  <c r="AV44" i="27"/>
  <c r="Z318" i="27" a="1"/>
  <c r="Z318" i="27" s="1"/>
  <c r="AA318" i="27"/>
  <c r="Y274" i="97" s="1" a="1"/>
  <c r="Y274" i="97" s="1"/>
  <c r="AE318" i="27" a="1"/>
  <c r="AE318" i="27" s="1"/>
  <c r="AH318" i="27" s="1"/>
  <c r="AC290" i="92"/>
  <c r="AQ324" i="27" s="1" a="1"/>
  <c r="AQ324" i="27" s="1"/>
  <c r="W290" i="92"/>
  <c r="Z224" i="27" a="1"/>
  <c r="Z224" i="27" s="1"/>
  <c r="AA224" i="27"/>
  <c r="Y184" i="97" s="1" a="1"/>
  <c r="Y184" i="97" s="1"/>
  <c r="AE224" i="27" a="1"/>
  <c r="AE224" i="27" s="1"/>
  <c r="AV224" i="27"/>
  <c r="Z291" i="27" a="1"/>
  <c r="Z291" i="27" s="1"/>
  <c r="AA291" i="27"/>
  <c r="Y200" i="97" s="1" a="1"/>
  <c r="Y200" i="97" s="1"/>
  <c r="AE291" i="27" a="1"/>
  <c r="AE291" i="27" s="1"/>
  <c r="AH291" i="27" s="1"/>
  <c r="AR105" i="27" a="1"/>
  <c r="AR105" i="27" s="1"/>
  <c r="AQ105" i="27" a="1"/>
  <c r="AQ105" i="27" s="1"/>
  <c r="Z105" i="27" a="1"/>
  <c r="Z105" i="27" s="1"/>
  <c r="AA105" i="27"/>
  <c r="AE105" i="27" a="1"/>
  <c r="AE105" i="27" s="1"/>
  <c r="AI105" i="27" s="1"/>
  <c r="AJ105" i="27" s="1" a="1"/>
  <c r="AJ105" i="27" s="1"/>
  <c r="AV105" i="27"/>
  <c r="Z245" i="27" a="1"/>
  <c r="Z245" i="27" s="1"/>
  <c r="AA245" i="27"/>
  <c r="Y105" i="97" s="1" a="1"/>
  <c r="Y105" i="97" s="1"/>
  <c r="AE245" i="27" a="1"/>
  <c r="AE245" i="27" s="1"/>
  <c r="AI245" i="27" s="1"/>
  <c r="AJ245" i="27" s="1" a="1"/>
  <c r="AJ245" i="27" s="1"/>
  <c r="AQ78" i="27" a="1"/>
  <c r="AQ78" i="27" s="1"/>
  <c r="AR78" i="27" a="1"/>
  <c r="AR78" i="27" s="1"/>
  <c r="Z78" i="27" a="1"/>
  <c r="Z78" i="27" s="1"/>
  <c r="AA78" i="27"/>
  <c r="Y159" i="97" s="1" a="1"/>
  <c r="Y159" i="97" s="1"/>
  <c r="AE78" i="27" a="1"/>
  <c r="AE78" i="27" s="1"/>
  <c r="AV78" i="27"/>
  <c r="Z83" i="27" a="1"/>
  <c r="Z83" i="27" s="1"/>
  <c r="AA83" i="27"/>
  <c r="Y84" i="97" s="1" a="1"/>
  <c r="Y84" i="97" s="1"/>
  <c r="AE83" i="27" a="1"/>
  <c r="AE83" i="27" s="1"/>
  <c r="AH83" i="27" s="1"/>
  <c r="AV83" i="27"/>
  <c r="AC28" i="92"/>
  <c r="W28" i="92"/>
  <c r="W64" i="92"/>
  <c r="AC64" i="92"/>
  <c r="AQ251" i="27" s="1" a="1"/>
  <c r="AQ251" i="27" s="1"/>
  <c r="AC320" i="92"/>
  <c r="AS114" i="27" s="1" a="1"/>
  <c r="AS114" i="27" s="1"/>
  <c r="W320" i="92"/>
  <c r="AQ86" i="27" a="1"/>
  <c r="AQ86" i="27" s="1"/>
  <c r="AR86" i="27" a="1"/>
  <c r="AR86" i="27" s="1"/>
  <c r="Z86" i="27" a="1"/>
  <c r="Z86" i="27" s="1"/>
  <c r="AA86" i="27"/>
  <c r="Y139" i="97" s="1" a="1"/>
  <c r="Y139" i="97" s="1"/>
  <c r="AE86" i="27" a="1"/>
  <c r="AE86" i="27" s="1"/>
  <c r="AV86" i="27"/>
  <c r="AC252" i="92"/>
  <c r="AQ18" i="27" s="1" a="1"/>
  <c r="AQ18" i="27" s="1"/>
  <c r="W252" i="92"/>
  <c r="Z153" i="27" a="1"/>
  <c r="Z153" i="27" s="1"/>
  <c r="AE153" i="27" a="1"/>
  <c r="AE153" i="27" s="1"/>
  <c r="AH153" i="27" s="1"/>
  <c r="AA153" i="27"/>
  <c r="Y204" i="97" s="1" a="1"/>
  <c r="Y204" i="97" s="1"/>
  <c r="AV153" i="27"/>
  <c r="Z272" i="27" a="1"/>
  <c r="Z272" i="27" s="1"/>
  <c r="AA272" i="27"/>
  <c r="Y155" i="97" s="1" a="1"/>
  <c r="Y155" i="97" s="1"/>
  <c r="AE272" i="27" a="1"/>
  <c r="AE272" i="27" s="1"/>
  <c r="Z336" i="27" a="1"/>
  <c r="Z336" i="27" s="1"/>
  <c r="AE336" i="27" a="1"/>
  <c r="AE336" i="27" s="1"/>
  <c r="AA336" i="27"/>
  <c r="Y306" i="97" s="1" a="1"/>
  <c r="Y306" i="97" s="1"/>
  <c r="Z23" i="27" a="1"/>
  <c r="Z23" i="27" s="1"/>
  <c r="AE23" i="27" a="1"/>
  <c r="AE23" i="27" s="1"/>
  <c r="AI23" i="27" s="1"/>
  <c r="AJ23" i="27" s="1" a="1"/>
  <c r="AJ23" i="27" s="1"/>
  <c r="AA23" i="27"/>
  <c r="Y186" i="97" s="1" a="1"/>
  <c r="Y186" i="97" s="1"/>
  <c r="AV23" i="27"/>
  <c r="AC244" i="92"/>
  <c r="W244" i="92"/>
  <c r="AH35" i="27"/>
  <c r="Z70" i="27" a="1"/>
  <c r="Z70" i="27" s="1"/>
  <c r="AQ70" i="27" a="1"/>
  <c r="AQ70" i="27" s="1"/>
  <c r="AR70" i="27" a="1"/>
  <c r="AR70" i="27" s="1"/>
  <c r="AA70" i="27"/>
  <c r="Y30" i="97" s="1" a="1"/>
  <c r="Y30" i="97" s="1"/>
  <c r="AE70" i="27" a="1"/>
  <c r="AE70" i="27" s="1"/>
  <c r="AH70" i="27" s="1"/>
  <c r="AV70" i="27"/>
  <c r="AC253" i="92"/>
  <c r="W253" i="92"/>
  <c r="AC32" i="92"/>
  <c r="AQ141" i="27" s="1" a="1"/>
  <c r="AQ141" i="27" s="1"/>
  <c r="W32" i="92"/>
  <c r="Z53" i="27" a="1"/>
  <c r="Z53" i="27" s="1"/>
  <c r="AQ53" i="27" a="1"/>
  <c r="AQ53" i="27" s="1"/>
  <c r="AR53" i="27" a="1"/>
  <c r="AR53" i="27" s="1"/>
  <c r="AA53" i="27"/>
  <c r="Y215" i="97" s="1" a="1"/>
  <c r="Y215" i="97" s="1"/>
  <c r="AE53" i="27" a="1"/>
  <c r="AE53" i="27" s="1"/>
  <c r="AI53" i="27" s="1"/>
  <c r="AJ53" i="27" s="1" a="1"/>
  <c r="AJ53" i="27" s="1"/>
  <c r="AV53" i="27"/>
  <c r="Z263" i="27" a="1"/>
  <c r="Z263" i="27" s="1"/>
  <c r="AA263" i="27"/>
  <c r="Y125" i="97" s="1" a="1"/>
  <c r="Y125" i="97" s="1"/>
  <c r="AE263" i="27" a="1"/>
  <c r="AE263" i="27" s="1"/>
  <c r="AI263" i="27" s="1"/>
  <c r="AJ263" i="27" s="1" a="1"/>
  <c r="AJ263" i="27" s="1"/>
  <c r="Z316" i="27" a="1"/>
  <c r="Z316" i="27" s="1"/>
  <c r="AA316" i="27"/>
  <c r="AE316" i="27" a="1"/>
  <c r="AE316" i="27" s="1"/>
  <c r="AC198" i="92"/>
  <c r="W198" i="92"/>
  <c r="Z103" i="27" a="1"/>
  <c r="Z103" i="27" s="1"/>
  <c r="AQ103" i="27" a="1"/>
  <c r="AQ103" i="27" s="1"/>
  <c r="AR103" i="27" a="1"/>
  <c r="AR103" i="27" s="1"/>
  <c r="AA103" i="27"/>
  <c r="Y43" i="97" s="1" a="1"/>
  <c r="Y43" i="97" s="1"/>
  <c r="AE103" i="27" a="1"/>
  <c r="AE103" i="27" s="1"/>
  <c r="AH103" i="27" s="1"/>
  <c r="AV103" i="27"/>
  <c r="AC35" i="92"/>
  <c r="W35" i="92"/>
  <c r="Z250" i="27" a="1"/>
  <c r="Z250" i="27" s="1"/>
  <c r="AA250" i="27"/>
  <c r="AE250" i="27" a="1"/>
  <c r="AE250" i="27" s="1"/>
  <c r="AC144" i="92"/>
  <c r="W144" i="92"/>
  <c r="AC262" i="92"/>
  <c r="W262" i="92"/>
  <c r="W230" i="92"/>
  <c r="AC230" i="92"/>
  <c r="AC92" i="92"/>
  <c r="W92" i="92"/>
  <c r="AC267" i="92"/>
  <c r="W267" i="92"/>
  <c r="Z227" i="27" a="1"/>
  <c r="Z227" i="27" s="1"/>
  <c r="AA227" i="27"/>
  <c r="AE227" i="27" a="1"/>
  <c r="AE227" i="27" s="1"/>
  <c r="AV227" i="27"/>
  <c r="Z288" i="27" a="1"/>
  <c r="Z288" i="27" s="1"/>
  <c r="AA288" i="27"/>
  <c r="Y333" i="97" s="1" a="1"/>
  <c r="Y333" i="97" s="1"/>
  <c r="AE288" i="27" a="1"/>
  <c r="AE288" i="27" s="1"/>
  <c r="AI288" i="27" s="1"/>
  <c r="AJ288" i="27" s="1" a="1"/>
  <c r="AJ288" i="27" s="1"/>
  <c r="Z128" i="27" a="1"/>
  <c r="Z128" i="27" s="1"/>
  <c r="AA128" i="27"/>
  <c r="Y160" i="97" s="1" a="1"/>
  <c r="Y160" i="97" s="1"/>
  <c r="AE128" i="27" a="1"/>
  <c r="AE128" i="27" s="1"/>
  <c r="AH128" i="27" s="1"/>
  <c r="AV128" i="27"/>
  <c r="AC92" i="27"/>
  <c r="AC322" i="92"/>
  <c r="W322" i="92"/>
  <c r="AC297" i="92"/>
  <c r="AQ193" i="27" s="1" a="1"/>
  <c r="AQ193" i="27" s="1"/>
  <c r="W297" i="92"/>
  <c r="Z107" i="27" a="1"/>
  <c r="Z107" i="27" s="1"/>
  <c r="AA107" i="27"/>
  <c r="Y69" i="97" s="1" a="1"/>
  <c r="Y69" i="97" s="1"/>
  <c r="AE107" i="27" a="1"/>
  <c r="AE107" i="27" s="1"/>
  <c r="AH107" i="27" s="1"/>
  <c r="AV107" i="27"/>
  <c r="Z174" i="27" a="1"/>
  <c r="Z174" i="27" s="1"/>
  <c r="AQ174" i="27" a="1"/>
  <c r="AQ174" i="27" s="1"/>
  <c r="AR174" i="27" a="1"/>
  <c r="AR174" i="27" s="1"/>
  <c r="AA174" i="27"/>
  <c r="Y66" i="97" s="1" a="1"/>
  <c r="Y66" i="97" s="1"/>
  <c r="AE174" i="27" a="1"/>
  <c r="AE174" i="27" s="1"/>
  <c r="AH174" i="27" s="1"/>
  <c r="AV174" i="27"/>
  <c r="Z232" i="27" a="1"/>
  <c r="Z232" i="27" s="1"/>
  <c r="AA232" i="27"/>
  <c r="Y7" i="97" s="1" a="1"/>
  <c r="Y7" i="97" s="1"/>
  <c r="AE232" i="27" a="1"/>
  <c r="AE232" i="27" s="1"/>
  <c r="AI232" i="27" s="1"/>
  <c r="AJ232" i="27" s="1" a="1"/>
  <c r="AJ232" i="27" s="1"/>
  <c r="AV232" i="27"/>
  <c r="V269" i="97" a="1"/>
  <c r="V269" i="97" s="1"/>
  <c r="BA22" i="27"/>
  <c r="BC22" i="27" s="1"/>
  <c r="AC9" i="92"/>
  <c r="AQ232" i="27" s="1" a="1"/>
  <c r="AQ232" i="27" s="1"/>
  <c r="W9" i="92"/>
  <c r="Z248" i="27" a="1"/>
  <c r="Z248" i="27" s="1"/>
  <c r="AA248" i="27"/>
  <c r="Y22" i="97" s="1" a="1"/>
  <c r="Y22" i="97" s="1"/>
  <c r="AE248" i="27" a="1"/>
  <c r="AE248" i="27" s="1"/>
  <c r="AH248" i="27" s="1"/>
  <c r="AC233" i="92"/>
  <c r="AQ300" i="27" s="1" a="1"/>
  <c r="AQ300" i="27" s="1"/>
  <c r="W233" i="92"/>
  <c r="AC165" i="92"/>
  <c r="W165" i="92"/>
  <c r="AC317" i="92"/>
  <c r="AQ205" i="27" s="1" a="1"/>
  <c r="AQ205" i="27" s="1"/>
  <c r="W317" i="92"/>
  <c r="Z205" i="27" a="1"/>
  <c r="Z205" i="27" s="1"/>
  <c r="AA205" i="27"/>
  <c r="AE205" i="27" a="1"/>
  <c r="AE205" i="27" s="1"/>
  <c r="AV205" i="27"/>
  <c r="AC10" i="92"/>
  <c r="AT222" i="27" s="1" a="1"/>
  <c r="AT222" i="27" s="1"/>
  <c r="W10" i="92"/>
  <c r="Z116" i="27" a="1"/>
  <c r="Z116" i="27" s="1"/>
  <c r="AA116" i="27"/>
  <c r="Y161" i="97" s="1" a="1"/>
  <c r="Y161" i="97" s="1"/>
  <c r="AE116" i="27" a="1"/>
  <c r="AE116" i="27" s="1"/>
  <c r="AV116" i="27"/>
  <c r="Z251" i="27" a="1"/>
  <c r="Z251" i="27" s="1"/>
  <c r="AA251" i="27"/>
  <c r="Y110" i="97" s="1" a="1"/>
  <c r="Y110" i="97" s="1"/>
  <c r="AE251" i="27" a="1"/>
  <c r="AE251" i="27" s="1"/>
  <c r="AI251" i="27" s="1"/>
  <c r="AJ251" i="27" s="1" a="1"/>
  <c r="AJ251" i="27" s="1"/>
  <c r="Z33" i="27" a="1"/>
  <c r="Z33" i="27" s="1"/>
  <c r="AQ33" i="27" a="1"/>
  <c r="AQ33" i="27" s="1"/>
  <c r="AR33" i="27" a="1"/>
  <c r="AR33" i="27" s="1"/>
  <c r="AA33" i="27"/>
  <c r="Y119" i="97" s="1" a="1"/>
  <c r="Y119" i="97" s="1"/>
  <c r="AE33" i="27" a="1"/>
  <c r="AE33" i="27" s="1"/>
  <c r="AI33" i="27" s="1"/>
  <c r="AJ33" i="27" s="1" a="1"/>
  <c r="AJ33" i="27" s="1"/>
  <c r="AV33" i="27"/>
  <c r="AQ302" i="27" a="1"/>
  <c r="AQ302" i="27" s="1"/>
  <c r="AR302" i="27" a="1"/>
  <c r="AR302" i="27" s="1"/>
  <c r="Z302" i="27" a="1"/>
  <c r="Z302" i="27" s="1"/>
  <c r="AA302" i="27"/>
  <c r="Y232" i="97" s="1" a="1"/>
  <c r="Y232" i="97" s="1"/>
  <c r="AE302" i="27" a="1"/>
  <c r="AE302" i="27" s="1"/>
  <c r="Z129" i="27" a="1"/>
  <c r="Z129" i="27" s="1"/>
  <c r="AA129" i="27"/>
  <c r="Y68" i="97" s="1" a="1"/>
  <c r="Y68" i="97" s="1"/>
  <c r="AE129" i="27" a="1"/>
  <c r="AE129" i="27" s="1"/>
  <c r="AH129" i="27" s="1"/>
  <c r="AV129" i="27"/>
  <c r="Z159" i="27" a="1"/>
  <c r="Z159" i="27" s="1"/>
  <c r="AQ159" i="27" a="1"/>
  <c r="AQ159" i="27" s="1"/>
  <c r="AR159" i="27" a="1"/>
  <c r="AR159" i="27" s="1"/>
  <c r="AA159" i="27"/>
  <c r="Y140" i="97" s="1" a="1"/>
  <c r="Y140" i="97" s="1"/>
  <c r="AE159" i="27" a="1"/>
  <c r="AE159" i="27" s="1"/>
  <c r="AH159" i="27" s="1"/>
  <c r="AV159" i="27"/>
  <c r="AA60" i="27"/>
  <c r="Y17" i="97" s="1" a="1"/>
  <c r="Y17" i="97" s="1"/>
  <c r="Z60" i="27" a="1"/>
  <c r="Z60" i="27" s="1"/>
  <c r="AV60" i="27"/>
  <c r="AE60" i="27" a="1"/>
  <c r="AE60" i="27" s="1"/>
  <c r="AI60" i="27" s="1"/>
  <c r="AJ60" i="27" s="1" a="1"/>
  <c r="AJ60" i="27" s="1"/>
  <c r="Z218" i="27" a="1"/>
  <c r="Z218" i="27" s="1"/>
  <c r="AA218" i="27"/>
  <c r="Y158" i="97" s="1" a="1"/>
  <c r="Y158" i="97" s="1"/>
  <c r="AE218" i="27" a="1"/>
  <c r="AE218" i="27" s="1"/>
  <c r="AH218" i="27" s="1"/>
  <c r="AV218" i="27"/>
  <c r="Z12" i="27" a="1"/>
  <c r="Z12" i="27" s="1"/>
  <c r="AA12" i="27"/>
  <c r="Y208" i="97" s="1" a="1"/>
  <c r="Y208" i="97" s="1"/>
  <c r="AE12" i="27" a="1"/>
  <c r="AE12" i="27" s="1"/>
  <c r="AI12" i="27" s="1"/>
  <c r="AJ12" i="27" s="1" a="1"/>
  <c r="AJ12" i="27" s="1"/>
  <c r="AV12" i="27"/>
  <c r="AC100" i="92"/>
  <c r="AR269" i="27" s="1" a="1"/>
  <c r="AR269" i="27" s="1"/>
  <c r="W100" i="92"/>
  <c r="AC216" i="92"/>
  <c r="W216" i="92"/>
  <c r="Z202" i="27" a="1"/>
  <c r="Z202" i="27" s="1"/>
  <c r="AA202" i="27"/>
  <c r="AE202" i="27" a="1"/>
  <c r="AE202" i="27" s="1"/>
  <c r="AV202" i="27"/>
  <c r="AC278" i="92"/>
  <c r="AR316" i="27" s="1" a="1"/>
  <c r="AR316" i="27" s="1"/>
  <c r="W278" i="92"/>
  <c r="AC23" i="92"/>
  <c r="AQ118" i="27" s="1" a="1"/>
  <c r="AQ118" i="27" s="1"/>
  <c r="W23" i="92"/>
  <c r="AC105" i="92"/>
  <c r="W105" i="92"/>
  <c r="AC56" i="92"/>
  <c r="AQ246" i="27" s="1" a="1"/>
  <c r="AQ246" i="27" s="1"/>
  <c r="W56" i="92"/>
  <c r="Z219" i="27" a="1"/>
  <c r="Z219" i="27" s="1"/>
  <c r="AQ219" i="27" a="1"/>
  <c r="AQ219" i="27" s="1"/>
  <c r="AR219" i="27" a="1"/>
  <c r="AR219" i="27" s="1"/>
  <c r="AA219" i="27"/>
  <c r="Y335" i="97" s="1" a="1"/>
  <c r="Y335" i="97" s="1"/>
  <c r="AE219" i="27" a="1"/>
  <c r="AE219" i="27" s="1"/>
  <c r="AV219" i="27"/>
  <c r="AC13" i="27"/>
  <c r="AC247" i="92"/>
  <c r="AQ227" i="27" s="1" a="1"/>
  <c r="AQ227" i="27" s="1"/>
  <c r="W247" i="92"/>
  <c r="AC175" i="92"/>
  <c r="W175" i="92"/>
  <c r="AC124" i="92"/>
  <c r="AQ201" i="27" s="1" a="1"/>
  <c r="AQ201" i="27" s="1"/>
  <c r="W124" i="92"/>
  <c r="Z99" i="27" a="1"/>
  <c r="Z99" i="27" s="1"/>
  <c r="AA99" i="27"/>
  <c r="AE99" i="27" a="1"/>
  <c r="AE99" i="27" s="1"/>
  <c r="AI99" i="27" s="1"/>
  <c r="AJ99" i="27" s="1" a="1"/>
  <c r="AJ99" i="27" s="1"/>
  <c r="AV99" i="27"/>
  <c r="Z167" i="27" a="1"/>
  <c r="Z167" i="27" s="1"/>
  <c r="AA167" i="27"/>
  <c r="Y20" i="97" s="1" a="1"/>
  <c r="Y20" i="97" s="1"/>
  <c r="AE167" i="27" a="1"/>
  <c r="AE167" i="27" s="1"/>
  <c r="AV167" i="27"/>
  <c r="AC250" i="92"/>
  <c r="AR107" i="27" s="1" a="1"/>
  <c r="AR107" i="27" s="1"/>
  <c r="W250" i="92"/>
  <c r="AQ115" i="27" a="1"/>
  <c r="AQ115" i="27" s="1"/>
  <c r="AR115" i="27" a="1"/>
  <c r="AR115" i="27" s="1"/>
  <c r="Z115" i="27" a="1"/>
  <c r="Z115" i="27" s="1"/>
  <c r="AA115" i="27"/>
  <c r="AE115" i="27" a="1"/>
  <c r="AE115" i="27" s="1"/>
  <c r="AI115" i="27" s="1"/>
  <c r="AJ115" i="27" s="1" a="1"/>
  <c r="AJ115" i="27" s="1"/>
  <c r="AV115" i="27"/>
  <c r="Z102" i="27" a="1"/>
  <c r="Z102" i="27" s="1"/>
  <c r="AA102" i="27"/>
  <c r="Y300" i="97" s="1" a="1"/>
  <c r="Y300" i="97" s="1"/>
  <c r="AE102" i="27" a="1"/>
  <c r="AE102" i="27" s="1"/>
  <c r="AI102" i="27" s="1"/>
  <c r="AJ102" i="27" s="1" a="1"/>
  <c r="AJ102" i="27" s="1"/>
  <c r="AV102" i="27"/>
  <c r="AG148" i="27"/>
  <c r="AF148" i="27" a="1"/>
  <c r="AF148" i="27" s="1"/>
  <c r="AS148" i="27" a="1"/>
  <c r="AS148" i="27" s="1"/>
  <c r="AT148" i="27" a="1"/>
  <c r="AT148" i="27" s="1"/>
  <c r="AK148" i="27" a="1"/>
  <c r="AK148" i="27" s="1"/>
  <c r="W212" i="92"/>
  <c r="AC212" i="92"/>
  <c r="AC149" i="92"/>
  <c r="W149" i="92"/>
  <c r="AC160" i="92"/>
  <c r="AQ276" i="27" s="1" a="1"/>
  <c r="AQ276" i="27" s="1"/>
  <c r="W160" i="92"/>
  <c r="AC235" i="92"/>
  <c r="W235" i="92"/>
  <c r="AC122" i="92"/>
  <c r="W122" i="92"/>
  <c r="AA4" i="27"/>
  <c r="Y251" i="97" s="1" a="1"/>
  <c r="Y251" i="97" s="1"/>
  <c r="Z4" i="27" a="1"/>
  <c r="Z4" i="27" s="1"/>
  <c r="AE4" i="27" a="1"/>
  <c r="AE4" i="27" s="1"/>
  <c r="AV4" i="27"/>
  <c r="AC146" i="92"/>
  <c r="AQ218" i="27" s="1" a="1"/>
  <c r="AQ218" i="27" s="1"/>
  <c r="W146" i="92"/>
  <c r="AC208" i="92"/>
  <c r="AR12" i="27" s="1" a="1"/>
  <c r="AR12" i="27" s="1"/>
  <c r="W208" i="92"/>
  <c r="AC182" i="92"/>
  <c r="AQ23" i="27" s="1" a="1"/>
  <c r="AQ23" i="27" s="1"/>
  <c r="W182" i="92"/>
  <c r="Z269" i="27" a="1"/>
  <c r="Z269" i="27" s="1"/>
  <c r="AE269" i="27" a="1"/>
  <c r="AE269" i="27" s="1"/>
  <c r="AA269" i="27"/>
  <c r="Y128" i="97" s="1" a="1"/>
  <c r="Y128" i="97" s="1"/>
  <c r="Z204" i="27" a="1"/>
  <c r="Z204" i="27" s="1"/>
  <c r="AA204" i="27"/>
  <c r="AE204" i="27" a="1"/>
  <c r="AE204" i="27" s="1"/>
  <c r="AV204" i="27"/>
  <c r="AQ296" i="27" a="1"/>
  <c r="AQ296" i="27" s="1"/>
  <c r="AR296" i="27" a="1"/>
  <c r="AR296" i="27" s="1"/>
  <c r="Z296" i="27" a="1"/>
  <c r="Z296" i="27" s="1"/>
  <c r="AA296" i="27"/>
  <c r="AE296" i="27" a="1"/>
  <c r="AE296" i="27" s="1"/>
  <c r="AH296" i="27" s="1"/>
  <c r="AQ71" i="27" a="1"/>
  <c r="AQ71" i="27" s="1"/>
  <c r="AR71" i="27" a="1"/>
  <c r="AR71" i="27" s="1"/>
  <c r="Z71" i="27" a="1"/>
  <c r="Z71" i="27" s="1"/>
  <c r="AA71" i="27"/>
  <c r="Y235" i="97" s="1" a="1"/>
  <c r="Y235" i="97" s="1"/>
  <c r="AE71" i="27" a="1"/>
  <c r="AE71" i="27" s="1"/>
  <c r="AI71" i="27" s="1"/>
  <c r="AJ71" i="27" s="1" a="1"/>
  <c r="AJ71" i="27" s="1"/>
  <c r="AV71" i="27"/>
  <c r="Z152" i="27" a="1"/>
  <c r="Z152" i="27" s="1"/>
  <c r="AA152" i="27"/>
  <c r="Y201" i="97" s="1" a="1"/>
  <c r="Y201" i="97" s="1"/>
  <c r="AE152" i="27" a="1"/>
  <c r="AE152" i="27" s="1"/>
  <c r="AH152" i="27" s="1"/>
  <c r="AV152" i="27"/>
  <c r="AC136" i="92"/>
  <c r="AQ202" i="27" s="1" a="1"/>
  <c r="AQ202" i="27" s="1"/>
  <c r="W136" i="92"/>
  <c r="AC301" i="92"/>
  <c r="W301" i="92"/>
  <c r="Z246" i="27" a="1"/>
  <c r="Z246" i="27" s="1"/>
  <c r="AA246" i="27"/>
  <c r="Y106" i="97" s="1" a="1"/>
  <c r="Y106" i="97" s="1"/>
  <c r="AE246" i="27" a="1"/>
  <c r="AE246" i="27" s="1"/>
  <c r="AI246" i="27" s="1"/>
  <c r="AJ246" i="27" s="1" a="1"/>
  <c r="AJ246" i="27" s="1"/>
  <c r="AC180" i="92"/>
  <c r="W180" i="92"/>
  <c r="AC237" i="92"/>
  <c r="W237" i="92"/>
  <c r="P251" i="97" a="1"/>
  <c r="P251" i="97" s="1"/>
  <c r="Z191" i="27" a="1"/>
  <c r="Z191" i="27" s="1"/>
  <c r="AA191" i="27"/>
  <c r="Y262" i="97" s="1" a="1"/>
  <c r="Y262" i="97" s="1"/>
  <c r="AE191" i="27" a="1"/>
  <c r="AE191" i="27" s="1"/>
  <c r="AH191" i="27" s="1"/>
  <c r="AV191" i="27"/>
  <c r="Z132" i="27" a="1"/>
  <c r="Z132" i="27" s="1"/>
  <c r="AA132" i="27"/>
  <c r="Y254" i="97" s="1" a="1"/>
  <c r="Y254" i="97" s="1"/>
  <c r="AE132" i="27" a="1"/>
  <c r="AE132" i="27" s="1"/>
  <c r="AH132" i="27" s="1"/>
  <c r="AV132" i="27"/>
  <c r="AF22" i="27" a="1"/>
  <c r="AF22" i="27" s="1"/>
  <c r="AS22" i="27" a="1"/>
  <c r="AS22" i="27" s="1"/>
  <c r="AT22" i="27" a="1"/>
  <c r="AT22" i="27" s="1"/>
  <c r="AG22" i="27"/>
  <c r="AK22" i="27" a="1"/>
  <c r="AK22" i="27" s="1"/>
  <c r="Z168" i="27" a="1"/>
  <c r="Z168" i="27" s="1"/>
  <c r="AQ168" i="27" a="1"/>
  <c r="AQ168" i="27" s="1"/>
  <c r="AR168" i="27" a="1"/>
  <c r="AR168" i="27" s="1"/>
  <c r="AA168" i="27"/>
  <c r="Y261" i="97" s="1" a="1"/>
  <c r="Y261" i="97" s="1"/>
  <c r="AE168" i="27" a="1"/>
  <c r="AE168" i="27" s="1"/>
  <c r="AI168" i="27" s="1"/>
  <c r="AJ168" i="27" s="1" a="1"/>
  <c r="AJ168" i="27" s="1"/>
  <c r="AV168" i="27"/>
  <c r="AC224" i="92"/>
  <c r="W224" i="92"/>
  <c r="V12" i="97" a="1"/>
  <c r="V12" i="97" s="1"/>
  <c r="BA215" i="27"/>
  <c r="BC215" i="27" s="1"/>
  <c r="AC311" i="92"/>
  <c r="AR99" i="27" s="1" a="1"/>
  <c r="AR99" i="27" s="1"/>
  <c r="W311" i="92"/>
  <c r="AC48" i="92"/>
  <c r="AR167" i="27" s="1" a="1"/>
  <c r="AR167" i="27" s="1"/>
  <c r="W48" i="92"/>
  <c r="BC142" i="27"/>
  <c r="BD142" i="27"/>
  <c r="AC307" i="92"/>
  <c r="AQ102" i="27" s="1" a="1"/>
  <c r="AQ102" i="27" s="1"/>
  <c r="W307" i="92"/>
  <c r="V35" i="97" a="1"/>
  <c r="V35" i="97" s="1"/>
  <c r="BA125" i="27"/>
  <c r="AC119" i="92"/>
  <c r="W119" i="92"/>
  <c r="Z171" i="27" a="1"/>
  <c r="Z171" i="27" s="1"/>
  <c r="AA171" i="27"/>
  <c r="Y210" i="97" s="1" a="1"/>
  <c r="Y210" i="97" s="1"/>
  <c r="AE171" i="27" a="1"/>
  <c r="AE171" i="27" s="1"/>
  <c r="AV171" i="27"/>
  <c r="AC280" i="92"/>
  <c r="AQ117" i="27" s="1" a="1"/>
  <c r="AQ117" i="27" s="1"/>
  <c r="W280" i="92"/>
  <c r="AC87" i="92"/>
  <c r="W87" i="92"/>
  <c r="Z276" i="27" a="1"/>
  <c r="Z276" i="27" s="1"/>
  <c r="AA276" i="27"/>
  <c r="Y170" i="97" s="1" a="1"/>
  <c r="Y170" i="97" s="1"/>
  <c r="AE276" i="27" a="1"/>
  <c r="AE276" i="27" s="1"/>
  <c r="AI276" i="27" s="1"/>
  <c r="AJ276" i="27" s="1" a="1"/>
  <c r="AJ276" i="27" s="1"/>
  <c r="Z208" i="27" a="1"/>
  <c r="Z208" i="27" s="1"/>
  <c r="AA208" i="27"/>
  <c r="Y284" i="97" s="1" a="1"/>
  <c r="Y284" i="97" s="1"/>
  <c r="AE208" i="27" a="1"/>
  <c r="AE208" i="27" s="1"/>
  <c r="AI208" i="27" s="1"/>
  <c r="AJ208" i="27" s="1" a="1"/>
  <c r="AJ208" i="27" s="1"/>
  <c r="AV208" i="27"/>
  <c r="AC282" i="92"/>
  <c r="W282" i="92"/>
  <c r="Z108" i="27" a="1"/>
  <c r="Z108" i="27" s="1"/>
  <c r="AQ108" i="27" a="1"/>
  <c r="AQ108" i="27" s="1"/>
  <c r="AR108" i="27" a="1"/>
  <c r="AR108" i="27" s="1"/>
  <c r="AA108" i="27"/>
  <c r="Y33" i="97" s="1" a="1"/>
  <c r="Y33" i="97" s="1"/>
  <c r="AE108" i="27" a="1"/>
  <c r="AE108" i="27" s="1"/>
  <c r="AV108" i="27"/>
  <c r="Z287" i="27" a="1"/>
  <c r="Z287" i="27" s="1"/>
  <c r="AA287" i="27"/>
  <c r="Y178" i="97" s="1" a="1"/>
  <c r="Y178" i="97" s="1"/>
  <c r="AE287" i="27" a="1"/>
  <c r="AE287" i="27" s="1"/>
  <c r="AI287" i="27" s="1"/>
  <c r="AJ287" i="27" s="1" a="1"/>
  <c r="AJ287" i="27" s="1"/>
  <c r="Z76" i="27" a="1"/>
  <c r="Z76" i="27" s="1"/>
  <c r="AA76" i="27"/>
  <c r="Y21" i="97" s="1" a="1"/>
  <c r="Y21" i="97" s="1"/>
  <c r="AE76" i="27" a="1"/>
  <c r="AE76" i="27" s="1"/>
  <c r="AH76" i="27" s="1"/>
  <c r="AV76" i="27"/>
  <c r="AC8" i="92"/>
  <c r="W8" i="92"/>
  <c r="AC221" i="92"/>
  <c r="W221" i="92"/>
  <c r="AC238" i="92"/>
  <c r="W238" i="92"/>
  <c r="AC257" i="92"/>
  <c r="AS62" i="27" s="1" a="1"/>
  <c r="AS62" i="27" s="1"/>
  <c r="W257" i="92"/>
  <c r="AC201" i="92"/>
  <c r="AQ152" i="27" s="1" a="1"/>
  <c r="AQ152" i="27" s="1"/>
  <c r="W201" i="92"/>
  <c r="Z242" i="27" a="1"/>
  <c r="Z242" i="27" s="1"/>
  <c r="AA242" i="27"/>
  <c r="AE242" i="27" a="1"/>
  <c r="AE242" i="27" s="1"/>
  <c r="AQ330" i="27" a="1"/>
  <c r="AQ330" i="27" s="1"/>
  <c r="AR330" i="27" a="1"/>
  <c r="AR330" i="27" s="1"/>
  <c r="Z330" i="27" a="1"/>
  <c r="Z330" i="27" s="1"/>
  <c r="AA330" i="27"/>
  <c r="AE330" i="27" a="1"/>
  <c r="AE330" i="27" s="1"/>
  <c r="AH330" i="27" s="1"/>
  <c r="Z213" i="27" a="1"/>
  <c r="Z213" i="27" s="1"/>
  <c r="AQ213" i="27" a="1"/>
  <c r="AQ213" i="27" s="1"/>
  <c r="AR213" i="27" a="1"/>
  <c r="AR213" i="27" s="1"/>
  <c r="AA213" i="27"/>
  <c r="Y53" i="97" s="1" a="1"/>
  <c r="Y53" i="97" s="1"/>
  <c r="AE213" i="27" a="1"/>
  <c r="AE213" i="27" s="1"/>
  <c r="AV213" i="27"/>
  <c r="Z303" i="27" a="1"/>
  <c r="Z303" i="27" s="1"/>
  <c r="AQ303" i="27" a="1"/>
  <c r="AQ303" i="27" s="1"/>
  <c r="AR303" i="27" a="1"/>
  <c r="AR303" i="27" s="1"/>
  <c r="AA303" i="27"/>
  <c r="Y234" i="97" s="1" a="1"/>
  <c r="Y234" i="97" s="1"/>
  <c r="AE303" i="27" a="1"/>
  <c r="AE303" i="27" s="1"/>
  <c r="AI303" i="27" s="1"/>
  <c r="AJ303" i="27" s="1" a="1"/>
  <c r="AJ303" i="27" s="1"/>
  <c r="V10" i="95"/>
  <c r="W10" i="95" s="1"/>
  <c r="Q1" i="92"/>
  <c r="AC4" i="92"/>
  <c r="AQ4" i="27" s="1" a="1"/>
  <c r="AQ4" i="27" s="1"/>
  <c r="W4" i="92"/>
  <c r="AC147" i="92"/>
  <c r="W147" i="92"/>
  <c r="AC269" i="92"/>
  <c r="AQ191" i="27" s="1" a="1"/>
  <c r="AQ191" i="27" s="1"/>
  <c r="W269" i="92"/>
  <c r="Z25" i="27" a="1"/>
  <c r="Z25" i="27" s="1"/>
  <c r="AQ25" i="27" a="1"/>
  <c r="AQ25" i="27" s="1"/>
  <c r="AR25" i="27" a="1"/>
  <c r="AR25" i="27" s="1"/>
  <c r="AA25" i="27"/>
  <c r="Y318" i="97" s="1" a="1"/>
  <c r="Y318" i="97" s="1"/>
  <c r="AE25" i="27" a="1"/>
  <c r="AE25" i="27" s="1"/>
  <c r="AI25" i="27" s="1"/>
  <c r="AJ25" i="27" s="1" a="1"/>
  <c r="AJ25" i="27" s="1"/>
  <c r="AV25" i="27"/>
  <c r="AC332" i="92"/>
  <c r="W332" i="92"/>
  <c r="AC68" i="92"/>
  <c r="AQ253" i="27" s="1" a="1"/>
  <c r="AQ253" i="27" s="1"/>
  <c r="W68" i="92"/>
  <c r="AC260" i="92"/>
  <c r="AQ132" i="27" s="1" a="1"/>
  <c r="AQ132" i="27" s="1"/>
  <c r="W260" i="92"/>
  <c r="AC33" i="92"/>
  <c r="W33" i="92"/>
  <c r="Z31" i="27" a="1"/>
  <c r="Z31" i="27" s="1"/>
  <c r="AQ31" i="27" a="1"/>
  <c r="AQ31" i="27" s="1"/>
  <c r="AR31" i="27" a="1"/>
  <c r="AR31" i="27" s="1"/>
  <c r="AA31" i="27"/>
  <c r="AE31" i="27" a="1"/>
  <c r="AE31" i="27" s="1"/>
  <c r="AH31" i="27" s="1"/>
  <c r="AV31" i="27"/>
  <c r="AC268" i="92"/>
  <c r="W268" i="92"/>
  <c r="Z32" i="27" a="1"/>
  <c r="Z32" i="27" s="1"/>
  <c r="AA32" i="27"/>
  <c r="AE32" i="27" a="1"/>
  <c r="AE32" i="27" s="1"/>
  <c r="AV32" i="27"/>
  <c r="AC46" i="92"/>
  <c r="AR241" i="27" s="1" a="1"/>
  <c r="AR241" i="27" s="1"/>
  <c r="W46" i="92"/>
  <c r="AC324" i="92"/>
  <c r="W324" i="92"/>
  <c r="AS125" i="27" a="1"/>
  <c r="AS125" i="27" s="1"/>
  <c r="AG125" i="27"/>
  <c r="AF125" i="27" a="1"/>
  <c r="AF125" i="27" s="1"/>
  <c r="AT125" i="27" a="1"/>
  <c r="AT125" i="27" s="1"/>
  <c r="AK125" i="27" a="1"/>
  <c r="AK125" i="27" s="1"/>
  <c r="Z24" i="27" a="1"/>
  <c r="Z24" i="27" s="1"/>
  <c r="AA24" i="27"/>
  <c r="Y80" i="97" s="1" a="1"/>
  <c r="Y80" i="97" s="1"/>
  <c r="AE24" i="27" a="1"/>
  <c r="AE24" i="27" s="1"/>
  <c r="AI24" i="27" s="1"/>
  <c r="AJ24" i="27" s="1" a="1"/>
  <c r="AJ24" i="27" s="1"/>
  <c r="AV24" i="27"/>
  <c r="W291" i="92"/>
  <c r="AC291" i="92"/>
  <c r="AR208" i="27" s="1" a="1"/>
  <c r="AR208" i="27" s="1"/>
  <c r="Z319" i="27" a="1"/>
  <c r="Z319" i="27" s="1"/>
  <c r="AQ319" i="27" a="1"/>
  <c r="AQ319" i="27" s="1"/>
  <c r="AR319" i="27" a="1"/>
  <c r="AR319" i="27" s="1"/>
  <c r="AA319" i="27"/>
  <c r="AE319" i="27" a="1"/>
  <c r="AE319" i="27" s="1"/>
  <c r="AC210" i="92"/>
  <c r="AQ171" i="27" s="1" a="1"/>
  <c r="AQ171" i="27" s="1"/>
  <c r="W210" i="92"/>
  <c r="AC38" i="92"/>
  <c r="W38" i="92"/>
  <c r="AC172" i="92"/>
  <c r="AR287" i="27" s="1" a="1"/>
  <c r="AR287" i="27" s="1"/>
  <c r="W172" i="92"/>
  <c r="Z26" i="27" a="1"/>
  <c r="Z26" i="27" s="1"/>
  <c r="AA26" i="27"/>
  <c r="Y332" i="97" s="1" a="1"/>
  <c r="Y332" i="97" s="1"/>
  <c r="AE26" i="27" a="1"/>
  <c r="AE26" i="27" s="1"/>
  <c r="AI26" i="27" s="1"/>
  <c r="AJ26" i="27" s="1" a="1"/>
  <c r="AJ26" i="27" s="1"/>
  <c r="AV26" i="27"/>
  <c r="AC50" i="92"/>
  <c r="AR242" i="27" s="1" a="1"/>
  <c r="AR242" i="27" s="1"/>
  <c r="W50" i="92"/>
  <c r="AA214" i="27"/>
  <c r="Z214" i="27" a="1"/>
  <c r="Z214" i="27" s="1"/>
  <c r="AE214" i="27" a="1"/>
  <c r="AE214" i="27" s="1"/>
  <c r="AH214" i="27" s="1"/>
  <c r="AV214" i="27"/>
  <c r="AC126" i="92"/>
  <c r="W126" i="92"/>
  <c r="Z310" i="27" a="1"/>
  <c r="Z310" i="27" s="1"/>
  <c r="AA310" i="27"/>
  <c r="Y258" i="97" s="1" a="1"/>
  <c r="Y258" i="97" s="1"/>
  <c r="AE310" i="27" a="1"/>
  <c r="AE310" i="27" s="1"/>
  <c r="AH310" i="27" s="1"/>
  <c r="AR315" i="27" a="1"/>
  <c r="AR315" i="27" s="1"/>
  <c r="Z315" i="27" a="1"/>
  <c r="Z315" i="27" s="1"/>
  <c r="AQ315" i="27" a="1"/>
  <c r="AQ315" i="27" s="1"/>
  <c r="AA315" i="27"/>
  <c r="Y270" i="97" s="1" a="1"/>
  <c r="Y270" i="97" s="1"/>
  <c r="AE315" i="27" a="1"/>
  <c r="AE315" i="27" s="1"/>
  <c r="AH315" i="27" s="1"/>
  <c r="Z253" i="27" a="1"/>
  <c r="Z253" i="27" s="1"/>
  <c r="AA253" i="27"/>
  <c r="Y27" i="97" s="1" a="1"/>
  <c r="Y27" i="97" s="1"/>
  <c r="AE253" i="27" a="1"/>
  <c r="AE253" i="27" s="1"/>
  <c r="AH253" i="27" s="1"/>
  <c r="AC226" i="92"/>
  <c r="W226" i="92"/>
  <c r="Z135" i="27" a="1"/>
  <c r="Z135" i="27" s="1"/>
  <c r="AA135" i="27"/>
  <c r="AE135" i="27" a="1"/>
  <c r="AE135" i="27" s="1"/>
  <c r="AH135" i="27" s="1"/>
  <c r="AV135" i="27"/>
  <c r="Z6" i="27" a="1"/>
  <c r="Z6" i="27" s="1"/>
  <c r="AQ6" i="27" a="1"/>
  <c r="AQ6" i="27" s="1"/>
  <c r="AR6" i="27" a="1"/>
  <c r="AR6" i="27" s="1"/>
  <c r="AA6" i="27"/>
  <c r="Y198" i="97" s="1" a="1"/>
  <c r="Y198" i="97" s="1"/>
  <c r="AE6" i="27" a="1"/>
  <c r="AE6" i="27" s="1"/>
  <c r="AI6" i="27" s="1"/>
  <c r="AJ6" i="27" s="1" a="1"/>
  <c r="AJ6" i="27" s="1"/>
  <c r="AV6" i="27"/>
  <c r="AG215" i="27"/>
  <c r="AF215" i="27" a="1"/>
  <c r="AF215" i="27" s="1"/>
  <c r="AK215" i="27" a="1"/>
  <c r="AK215" i="27" s="1"/>
  <c r="AC137" i="27"/>
  <c r="Z212" i="27" a="1"/>
  <c r="Z212" i="27" s="1"/>
  <c r="AQ212" i="27" a="1"/>
  <c r="AQ212" i="27" s="1"/>
  <c r="AR212" i="27" a="1"/>
  <c r="AR212" i="27" s="1"/>
  <c r="AA212" i="27"/>
  <c r="Y268" i="97" s="1" a="1"/>
  <c r="Y268" i="97" s="1"/>
  <c r="AE212" i="27" a="1"/>
  <c r="AE212" i="27" s="1"/>
  <c r="AV212" i="27"/>
  <c r="Z211" i="27" a="1"/>
  <c r="Z211" i="27" s="1"/>
  <c r="AA211" i="27"/>
  <c r="Y146" i="97" s="1" a="1"/>
  <c r="Y146" i="97" s="1"/>
  <c r="AE211" i="27" a="1"/>
  <c r="AE211" i="27" s="1"/>
  <c r="AV211" i="27"/>
  <c r="AC155" i="92"/>
  <c r="AQ32" i="27" s="1" a="1"/>
  <c r="AQ32" i="27" s="1"/>
  <c r="W155" i="92"/>
  <c r="Z241" i="27" a="1"/>
  <c r="Z241" i="27" s="1"/>
  <c r="AA241" i="27"/>
  <c r="AE241" i="27" a="1"/>
  <c r="AE241" i="27" s="1"/>
  <c r="AH241" i="27" s="1"/>
  <c r="V322" i="97" a="1"/>
  <c r="V322" i="97" s="1"/>
  <c r="BA62" i="27"/>
  <c r="V73" i="97" a="1"/>
  <c r="V73" i="97" s="1"/>
  <c r="BA36" i="27"/>
  <c r="BC36" i="27" s="1"/>
  <c r="AC186" i="92"/>
  <c r="AR91" i="27" s="1" a="1"/>
  <c r="AR91" i="27" s="1"/>
  <c r="W186" i="92"/>
  <c r="AC168" i="92"/>
  <c r="AR26" i="27" s="1" a="1"/>
  <c r="AR26" i="27" s="1"/>
  <c r="W168" i="92"/>
  <c r="W259" i="92"/>
  <c r="AC259" i="92"/>
  <c r="AQ308" i="27" s="1" a="1"/>
  <c r="AQ308" i="27" s="1"/>
  <c r="Z43" i="27" a="1"/>
  <c r="Z43" i="27" s="1"/>
  <c r="AA43" i="27"/>
  <c r="AE43" i="27" a="1"/>
  <c r="AE43" i="27" s="1"/>
  <c r="AI43" i="27" s="1"/>
  <c r="AJ43" i="27" s="1" a="1"/>
  <c r="AJ43" i="27" s="1"/>
  <c r="AV43" i="27"/>
  <c r="AC309" i="92"/>
  <c r="AQ214" i="27" s="1" a="1"/>
  <c r="AQ214" i="27" s="1"/>
  <c r="W309" i="92"/>
  <c r="AC265" i="92"/>
  <c r="AR310" i="27" s="1" a="1"/>
  <c r="AR310" i="27" s="1"/>
  <c r="W265" i="92"/>
  <c r="Z87" i="27" a="1"/>
  <c r="Z87" i="27" s="1"/>
  <c r="AQ87" i="27" a="1"/>
  <c r="AQ87" i="27" s="1"/>
  <c r="AR87" i="27" a="1"/>
  <c r="AR87" i="27" s="1"/>
  <c r="AA87" i="27"/>
  <c r="AE87" i="27" a="1"/>
  <c r="AE87" i="27" s="1"/>
  <c r="AV87" i="27"/>
  <c r="AC243" i="92"/>
  <c r="W243" i="92"/>
  <c r="AC277" i="92"/>
  <c r="W277" i="92"/>
  <c r="AQ131" i="27" a="1"/>
  <c r="AQ131" i="27" s="1"/>
  <c r="AR131" i="27" a="1"/>
  <c r="AR131" i="27" s="1"/>
  <c r="Z131" i="27" a="1"/>
  <c r="Z131" i="27" s="1"/>
  <c r="AA131" i="27"/>
  <c r="Y214" i="97" s="1" a="1"/>
  <c r="Y214" i="97" s="1"/>
  <c r="AE131" i="27" a="1"/>
  <c r="AE131" i="27" s="1"/>
  <c r="AH131" i="27" s="1"/>
  <c r="AV131" i="27"/>
  <c r="AC16" i="92"/>
  <c r="AQ135" i="27" s="1" a="1"/>
  <c r="AQ135" i="27" s="1"/>
  <c r="W16" i="92"/>
  <c r="AC275" i="92"/>
  <c r="W275" i="92"/>
  <c r="Z130" i="27" a="1"/>
  <c r="Z130" i="27" s="1"/>
  <c r="AA130" i="27"/>
  <c r="AE130" i="27" a="1"/>
  <c r="AE130" i="27" s="1"/>
  <c r="AH130" i="27" s="1"/>
  <c r="AV130" i="27"/>
  <c r="AC131" i="92"/>
  <c r="AQ211" i="27" s="1" a="1"/>
  <c r="AQ211" i="27" s="1"/>
  <c r="W131" i="92"/>
  <c r="AC225" i="92"/>
  <c r="W225" i="92"/>
  <c r="AG62" i="27"/>
  <c r="AF62" i="27" a="1"/>
  <c r="AF62" i="27" s="1"/>
  <c r="AK62" i="27" a="1"/>
  <c r="AK62" i="27" s="1"/>
  <c r="Z90" i="27" a="1"/>
  <c r="Z90" i="27" s="1"/>
  <c r="AA90" i="27"/>
  <c r="Y206" i="97" s="1" a="1"/>
  <c r="Y206" i="97" s="1"/>
  <c r="AE90" i="27" a="1"/>
  <c r="AE90" i="27" s="1"/>
  <c r="AI90" i="27" s="1"/>
  <c r="AJ90" i="27" s="1" a="1"/>
  <c r="AJ90" i="27" s="1"/>
  <c r="AV90" i="27"/>
  <c r="Z147" i="27" a="1"/>
  <c r="Z147" i="27" s="1"/>
  <c r="AQ147" i="27" a="1"/>
  <c r="AQ147" i="27" s="1"/>
  <c r="AR147" i="27" a="1"/>
  <c r="AR147" i="27" s="1"/>
  <c r="AA147" i="27"/>
  <c r="Y36" i="97" s="1" a="1"/>
  <c r="Y36" i="97" s="1"/>
  <c r="AE147" i="27" a="1"/>
  <c r="AE147" i="27" s="1"/>
  <c r="AI147" i="27" s="1"/>
  <c r="AJ147" i="27" s="1" a="1"/>
  <c r="AJ147" i="27" s="1"/>
  <c r="AV147" i="27"/>
  <c r="AC51" i="92"/>
  <c r="W51" i="92"/>
  <c r="AC83" i="92"/>
  <c r="AQ255" i="27" s="1" a="1"/>
  <c r="AQ255" i="27" s="1"/>
  <c r="W83" i="92"/>
  <c r="Z61" i="27" a="1"/>
  <c r="Z61" i="27" s="1"/>
  <c r="AA61" i="27"/>
  <c r="Y37" i="97" s="1" a="1"/>
  <c r="Y37" i="97" s="1"/>
  <c r="AE61" i="27" a="1"/>
  <c r="AE61" i="27" s="1"/>
  <c r="AH61" i="27" s="1"/>
  <c r="AV61" i="27"/>
  <c r="AC193" i="92"/>
  <c r="AQ140" i="27" s="1" a="1"/>
  <c r="AQ140" i="27" s="1"/>
  <c r="W193" i="92"/>
  <c r="Z10" i="27" a="1"/>
  <c r="Z10" i="27" s="1"/>
  <c r="AQ10" i="27" a="1"/>
  <c r="AQ10" i="27" s="1"/>
  <c r="AR10" i="27" a="1"/>
  <c r="AR10" i="27" s="1"/>
  <c r="AA10" i="27"/>
  <c r="Y88" i="97" s="1" a="1"/>
  <c r="Y88" i="97" s="1"/>
  <c r="AE10" i="27" a="1"/>
  <c r="AE10" i="27" s="1"/>
  <c r="AI10" i="27" s="1"/>
  <c r="AJ10" i="27" s="1" a="1"/>
  <c r="AJ10" i="27" s="1"/>
  <c r="AV10" i="27"/>
  <c r="AS217" i="27" a="1"/>
  <c r="AS217" i="27" s="1"/>
  <c r="AC191" i="92"/>
  <c r="AS35" i="27" s="1" a="1"/>
  <c r="AS35" i="27" s="1"/>
  <c r="W191" i="92"/>
  <c r="Z138" i="27" a="1"/>
  <c r="Z138" i="27" s="1"/>
  <c r="AA138" i="27"/>
  <c r="Y182" i="97" s="1" a="1"/>
  <c r="Y182" i="97" s="1"/>
  <c r="AE138" i="27" a="1"/>
  <c r="AE138" i="27" s="1"/>
  <c r="AH138" i="27" s="1"/>
  <c r="AV138" i="27"/>
  <c r="Z38" i="27" a="1"/>
  <c r="Z38" i="27" s="1"/>
  <c r="AQ38" i="27" a="1"/>
  <c r="AQ38" i="27" s="1"/>
  <c r="AR38" i="27" a="1"/>
  <c r="AR38" i="27" s="1"/>
  <c r="AA38" i="27"/>
  <c r="Y309" i="97" s="1" a="1"/>
  <c r="Y309" i="97" s="1"/>
  <c r="AE38" i="27" a="1"/>
  <c r="AE38" i="27" s="1"/>
  <c r="AH38" i="27" s="1"/>
  <c r="AV38" i="27"/>
  <c r="Z255" i="27" a="1"/>
  <c r="Z255" i="27" s="1"/>
  <c r="AA255" i="27"/>
  <c r="AE255" i="27" a="1"/>
  <c r="AE255" i="27" s="1"/>
  <c r="AI255" i="27" s="1"/>
  <c r="AJ255" i="27" s="1" a="1"/>
  <c r="AJ255" i="27" s="1"/>
  <c r="AC161" i="92"/>
  <c r="AQ277" i="27" s="1" a="1"/>
  <c r="AQ277" i="27" s="1"/>
  <c r="W161" i="92"/>
  <c r="AC337" i="92"/>
  <c r="AR109" i="27" s="1" a="1"/>
  <c r="AR109" i="27" s="1"/>
  <c r="W337" i="92"/>
  <c r="Z91" i="27" a="1"/>
  <c r="Z91" i="27" s="1"/>
  <c r="AA91" i="27"/>
  <c r="Y189" i="97" s="1" a="1"/>
  <c r="Y189" i="97" s="1"/>
  <c r="AE91" i="27" a="1"/>
  <c r="AE91" i="27" s="1"/>
  <c r="AI91" i="27" s="1"/>
  <c r="AJ91" i="27" s="1" a="1"/>
  <c r="AJ91" i="27" s="1"/>
  <c r="AV91" i="27"/>
  <c r="Z64" i="27" a="1"/>
  <c r="Z64" i="27" s="1"/>
  <c r="AA64" i="27"/>
  <c r="Y31" i="97" s="1" a="1"/>
  <c r="Y31" i="97" s="1"/>
  <c r="AE64" i="27" a="1"/>
  <c r="AE64" i="27" s="1"/>
  <c r="AH64" i="27" s="1"/>
  <c r="AV64" i="27"/>
  <c r="AQ89" i="27" a="1"/>
  <c r="AQ89" i="27" s="1"/>
  <c r="Z89" i="27" a="1"/>
  <c r="Z89" i="27" s="1"/>
  <c r="AR89" i="27" a="1"/>
  <c r="AR89" i="27" s="1"/>
  <c r="AA89" i="27"/>
  <c r="AE89" i="27" a="1"/>
  <c r="AE89" i="27" s="1"/>
  <c r="AI89" i="27" s="1"/>
  <c r="AJ89" i="27" s="1" a="1"/>
  <c r="AJ89" i="27" s="1"/>
  <c r="AV89" i="27"/>
  <c r="Z169" i="27" a="1"/>
  <c r="Z169" i="27" s="1"/>
  <c r="AQ169" i="27" a="1"/>
  <c r="AQ169" i="27" s="1"/>
  <c r="AR169" i="27" a="1"/>
  <c r="AR169" i="27" s="1"/>
  <c r="AA169" i="27"/>
  <c r="Y134" i="97" s="1" a="1"/>
  <c r="Y134" i="97" s="1"/>
  <c r="AE169" i="27" a="1"/>
  <c r="AE169" i="27" s="1"/>
  <c r="AH169" i="27" s="1"/>
  <c r="AV169" i="27"/>
  <c r="AC90" i="92"/>
  <c r="AQ260" i="27" s="1" a="1"/>
  <c r="AQ260" i="27" s="1"/>
  <c r="W90" i="92"/>
  <c r="Z308" i="27" a="1"/>
  <c r="Z308" i="27" s="1"/>
  <c r="AA308" i="27"/>
  <c r="AE308" i="27" a="1"/>
  <c r="AE308" i="27" s="1"/>
  <c r="AH308" i="27" s="1"/>
  <c r="AC199" i="92"/>
  <c r="AQ43" i="27" s="1" a="1"/>
  <c r="AQ43" i="27" s="1"/>
  <c r="W199" i="92"/>
  <c r="W113" i="92"/>
  <c r="AC113" i="92"/>
  <c r="AQ16" i="27" a="1"/>
  <c r="AQ16" i="27" s="1"/>
  <c r="AR16" i="27" a="1"/>
  <c r="AR16" i="27" s="1"/>
  <c r="Z16" i="27" a="1"/>
  <c r="Z16" i="27" s="1"/>
  <c r="AA16" i="27"/>
  <c r="Y192" i="97" s="1" a="1"/>
  <c r="Y192" i="97" s="1"/>
  <c r="AE16" i="27" a="1"/>
  <c r="AE16" i="27" s="1"/>
  <c r="AH16" i="27" s="1"/>
  <c r="AV16" i="27"/>
  <c r="AQ124" i="27" a="1"/>
  <c r="AQ124" i="27" s="1"/>
  <c r="AR124" i="27" a="1"/>
  <c r="AR124" i="27" s="1"/>
  <c r="Z124" i="27" a="1"/>
  <c r="Z124" i="27" s="1"/>
  <c r="AA124" i="27"/>
  <c r="Y74" i="97" s="1" a="1"/>
  <c r="Y74" i="97" s="1"/>
  <c r="AE124" i="27" a="1"/>
  <c r="AE124" i="27" s="1"/>
  <c r="AI124" i="27" s="1"/>
  <c r="AJ124" i="27" s="1" a="1"/>
  <c r="AJ124" i="27" s="1"/>
  <c r="AV124" i="27"/>
  <c r="AC331" i="92"/>
  <c r="W331" i="92"/>
  <c r="AC84" i="92"/>
  <c r="AQ256" i="27" s="1" a="1"/>
  <c r="AQ256" i="27" s="1"/>
  <c r="W84" i="92"/>
  <c r="AC240" i="92"/>
  <c r="AQ304" i="27" s="1" a="1"/>
  <c r="AQ304" i="27" s="1"/>
  <c r="W240" i="92"/>
  <c r="Z113" i="27" a="1"/>
  <c r="Z113" i="27" s="1"/>
  <c r="AA113" i="27"/>
  <c r="Y111" i="97" s="1" a="1"/>
  <c r="Y111" i="97" s="1"/>
  <c r="AE113" i="27" a="1"/>
  <c r="AE113" i="27" s="1"/>
  <c r="AV113" i="27"/>
  <c r="AH22" i="27"/>
  <c r="Z93" i="27" a="1"/>
  <c r="Z93" i="27" s="1"/>
  <c r="AA93" i="27"/>
  <c r="Y312" i="97" s="1" a="1"/>
  <c r="Y312" i="97" s="1"/>
  <c r="AE93" i="27" a="1"/>
  <c r="AE93" i="27" s="1"/>
  <c r="AV93" i="27"/>
  <c r="W215" i="92"/>
  <c r="AC215" i="92"/>
  <c r="AQ298" i="27" a="1"/>
  <c r="AQ298" i="27" s="1"/>
  <c r="AR298" i="27" a="1"/>
  <c r="AR298" i="27" s="1"/>
  <c r="Z298" i="27" a="1"/>
  <c r="Z298" i="27" s="1"/>
  <c r="AA298" i="27"/>
  <c r="Y226" i="97" s="1" a="1"/>
  <c r="Y226" i="97" s="1"/>
  <c r="AE298" i="27" a="1"/>
  <c r="AE298" i="27" s="1"/>
  <c r="AI298" i="27" s="1"/>
  <c r="AJ298" i="27" s="1" a="1"/>
  <c r="AJ298" i="27" s="1"/>
  <c r="AC94" i="92"/>
  <c r="W94" i="92"/>
  <c r="AI215" i="27"/>
  <c r="AJ215" i="27" s="1" a="1"/>
  <c r="AJ215" i="27" s="1"/>
  <c r="V287" i="97" a="1"/>
  <c r="V287" i="97" s="1"/>
  <c r="BA206" i="27"/>
  <c r="BC206" i="27" s="1"/>
  <c r="AC159" i="92"/>
  <c r="AR130" i="27" s="1" a="1"/>
  <c r="AR130" i="27" s="1"/>
  <c r="W159" i="92"/>
  <c r="Z297" i="27" a="1"/>
  <c r="Z297" i="27" s="1"/>
  <c r="AQ297" i="27" a="1"/>
  <c r="AQ297" i="27" s="1"/>
  <c r="AR297" i="27" a="1"/>
  <c r="AR297" i="27" s="1"/>
  <c r="AA297" i="27"/>
  <c r="Y223" i="97" s="1" a="1"/>
  <c r="Y223" i="97" s="1"/>
  <c r="AE297" i="27" a="1"/>
  <c r="AE297" i="27" s="1"/>
  <c r="W162" i="92"/>
  <c r="AC162" i="92"/>
  <c r="AR278" i="27" s="1" a="1"/>
  <c r="AR278" i="27" s="1"/>
  <c r="AC234" i="92"/>
  <c r="AQ301" i="27" s="1" a="1"/>
  <c r="AQ301" i="27" s="1"/>
  <c r="W234" i="92"/>
  <c r="AC206" i="92"/>
  <c r="AR90" i="27" s="1" a="1"/>
  <c r="AR90" i="27" s="1"/>
  <c r="W206" i="92"/>
  <c r="BA226" i="27"/>
  <c r="V13" i="97" a="1"/>
  <c r="V13" i="97" s="1"/>
  <c r="AH148" i="27"/>
  <c r="AF36" i="27" a="1"/>
  <c r="AF36" i="27" s="1"/>
  <c r="AG36" i="27"/>
  <c r="AK36" i="27" a="1"/>
  <c r="AK36" i="27" s="1"/>
  <c r="W77" i="92"/>
  <c r="AC77" i="92"/>
  <c r="AC325" i="92"/>
  <c r="W325" i="92"/>
  <c r="V132" i="97" a="1"/>
  <c r="V132" i="97" s="1"/>
  <c r="BA185" i="27"/>
  <c r="BC185" i="27" s="1"/>
  <c r="AC19" i="92"/>
  <c r="AQ24" i="27" s="1" a="1"/>
  <c r="AQ24" i="27" s="1"/>
  <c r="W19" i="92"/>
  <c r="Z277" i="27" a="1"/>
  <c r="Z277" i="27" s="1"/>
  <c r="AA277" i="27"/>
  <c r="Y60" i="97" s="1" a="1"/>
  <c r="Y60" i="97" s="1"/>
  <c r="AE277" i="27" a="1"/>
  <c r="AE277" i="27" s="1"/>
  <c r="AH277" i="27" s="1"/>
  <c r="AC59" i="92"/>
  <c r="AQ76" i="27" s="1" a="1"/>
  <c r="AQ76" i="27" s="1"/>
  <c r="W59" i="92"/>
  <c r="Z109" i="27" a="1"/>
  <c r="Z109" i="27" s="1"/>
  <c r="AE109" i="27" a="1"/>
  <c r="AE109" i="27" s="1"/>
  <c r="AI109" i="27" s="1"/>
  <c r="AJ109" i="27" s="1" a="1"/>
  <c r="AJ109" i="27" s="1"/>
  <c r="AA109" i="27"/>
  <c r="Y328" i="97" s="1" a="1"/>
  <c r="Y328" i="97" s="1"/>
  <c r="AV109" i="27"/>
  <c r="Z325" i="27" a="1"/>
  <c r="Z325" i="27" s="1"/>
  <c r="AA325" i="27"/>
  <c r="Y285" i="97" s="1" a="1"/>
  <c r="Y285" i="97" s="1"/>
  <c r="AE325" i="27" a="1"/>
  <c r="AE325" i="27" s="1"/>
  <c r="AH325" i="27" s="1"/>
  <c r="AF185" i="27" a="1"/>
  <c r="AF185" i="27" s="1"/>
  <c r="AG185" i="27"/>
  <c r="AK185" i="27" a="1"/>
  <c r="AK185" i="27" s="1"/>
  <c r="W177" i="92"/>
  <c r="AC177" i="92"/>
  <c r="AR138" i="27" s="1" a="1"/>
  <c r="AR138" i="27" s="1"/>
  <c r="Z309" i="27" a="1"/>
  <c r="Z309" i="27" s="1"/>
  <c r="AA309" i="27"/>
  <c r="AE309" i="27" a="1"/>
  <c r="AE309" i="27" s="1"/>
  <c r="AC204" i="92"/>
  <c r="AQ153" i="27" s="1" a="1"/>
  <c r="AQ153" i="27" s="1"/>
  <c r="W204" i="92"/>
  <c r="AC78" i="92"/>
  <c r="AQ61" i="27" s="1" a="1"/>
  <c r="AQ61" i="27" s="1"/>
  <c r="W78" i="92"/>
  <c r="AC29" i="92"/>
  <c r="W29" i="92"/>
  <c r="AC336" i="92"/>
  <c r="AR338" i="27" s="1" a="1"/>
  <c r="AR338" i="27" s="1"/>
  <c r="W336" i="92"/>
  <c r="AC45" i="92"/>
  <c r="AR240" i="27" s="1" a="1"/>
  <c r="AR240" i="27" s="1"/>
  <c r="W45" i="92"/>
  <c r="Z261" i="27" a="1"/>
  <c r="Z261" i="27" s="1"/>
  <c r="AA261" i="27"/>
  <c r="AE261" i="27" a="1"/>
  <c r="AE261" i="27" s="1"/>
  <c r="AI261" i="27" s="1"/>
  <c r="AJ261" i="27" s="1" a="1"/>
  <c r="AJ261" i="27" s="1"/>
  <c r="Z260" i="27" a="1"/>
  <c r="Z260" i="27" s="1"/>
  <c r="AA260" i="27"/>
  <c r="Y122" i="97" s="1" a="1"/>
  <c r="Y122" i="97" s="1"/>
  <c r="AE260" i="27" a="1"/>
  <c r="AE260" i="27" s="1"/>
  <c r="Z198" i="27" a="1"/>
  <c r="Z198" i="27" s="1"/>
  <c r="AA198" i="27"/>
  <c r="AE198" i="27" a="1"/>
  <c r="AE198" i="27" s="1"/>
  <c r="AV198" i="27"/>
  <c r="Z157" i="27" a="1"/>
  <c r="Z157" i="27" s="1"/>
  <c r="AA157" i="27"/>
  <c r="AE157" i="27" a="1"/>
  <c r="AE157" i="27" s="1"/>
  <c r="AH157" i="27" s="1"/>
  <c r="AV157" i="27"/>
  <c r="W266" i="92"/>
  <c r="AC266" i="92"/>
  <c r="AR311" i="27" s="1" a="1"/>
  <c r="AR311" i="27" s="1"/>
  <c r="AC189" i="92"/>
  <c r="W189" i="92"/>
  <c r="Z256" i="27" a="1"/>
  <c r="Z256" i="27" s="1"/>
  <c r="AA256" i="27"/>
  <c r="AE256" i="27" a="1"/>
  <c r="AE256" i="27" s="1"/>
  <c r="AI256" i="27" s="1"/>
  <c r="AJ256" i="27" s="1" a="1"/>
  <c r="AJ256" i="27" s="1"/>
  <c r="AA304" i="27"/>
  <c r="Y237" i="97" s="1" a="1"/>
  <c r="Y237" i="97" s="1"/>
  <c r="Z304" i="27" a="1"/>
  <c r="Z304" i="27" s="1"/>
  <c r="AE304" i="27" a="1"/>
  <c r="AE304" i="27" s="1"/>
  <c r="AC67" i="92"/>
  <c r="AR113" i="27" s="1" a="1"/>
  <c r="AR113" i="27" s="1"/>
  <c r="W67" i="92"/>
  <c r="AC22" i="27"/>
  <c r="AC228" i="92"/>
  <c r="W228" i="92"/>
  <c r="AF206" i="27" a="1"/>
  <c r="AF206" i="27" s="1"/>
  <c r="AG206" i="27"/>
  <c r="AK206" i="27" a="1"/>
  <c r="AK206" i="27" s="1"/>
  <c r="Z278" i="27" a="1"/>
  <c r="Z278" i="27" s="1"/>
  <c r="AA278" i="27"/>
  <c r="Y331" i="97" s="1" a="1"/>
  <c r="Y331" i="97" s="1"/>
  <c r="AE278" i="27" a="1"/>
  <c r="AE278" i="27" s="1"/>
  <c r="AH278" i="27" s="1"/>
  <c r="Z301" i="27" a="1"/>
  <c r="Z301" i="27" s="1"/>
  <c r="AA301" i="27"/>
  <c r="Y231" i="97" s="1" a="1"/>
  <c r="Y231" i="97" s="1"/>
  <c r="AE301" i="27" a="1"/>
  <c r="AE301" i="27" s="1"/>
  <c r="AC148" i="27"/>
  <c r="AH36" i="27"/>
  <c r="AH125" i="27"/>
  <c r="AC99" i="92"/>
  <c r="AQ268" i="27" s="1" a="1"/>
  <c r="AQ268" i="27" s="1"/>
  <c r="W99" i="92"/>
  <c r="AC292" i="92"/>
  <c r="AR325" i="27" s="1" a="1"/>
  <c r="AR325" i="27" s="1"/>
  <c r="W292" i="92"/>
  <c r="Z249" i="27" a="1"/>
  <c r="Z249" i="27" s="1"/>
  <c r="AA249" i="27"/>
  <c r="Y23" i="97" s="1" a="1"/>
  <c r="Y23" i="97" s="1"/>
  <c r="AE249" i="27" a="1"/>
  <c r="AE249" i="27" s="1"/>
  <c r="AH249" i="27" s="1"/>
  <c r="Z117" i="27" a="1"/>
  <c r="Z117" i="27" s="1"/>
  <c r="AA117" i="27"/>
  <c r="AE117" i="27" a="1"/>
  <c r="AE117" i="27" s="1"/>
  <c r="AH117" i="27" s="1"/>
  <c r="AV117" i="27"/>
  <c r="Z268" i="27" a="1"/>
  <c r="Z268" i="27" s="1"/>
  <c r="AA268" i="27"/>
  <c r="Y41" i="97" s="1" a="1"/>
  <c r="Y41" i="97" s="1"/>
  <c r="AE268" i="27" a="1"/>
  <c r="AE268" i="27" s="1"/>
  <c r="AI268" i="27" s="1"/>
  <c r="AJ268" i="27" s="1" a="1"/>
  <c r="AJ268" i="27" s="1"/>
  <c r="AH185" i="27"/>
  <c r="Z196" i="27" a="1"/>
  <c r="Z196" i="27" s="1"/>
  <c r="AQ196" i="27" a="1"/>
  <c r="AQ196" i="27" s="1"/>
  <c r="AR196" i="27" a="1"/>
  <c r="AR196" i="27" s="1"/>
  <c r="AA196" i="27"/>
  <c r="Y149" i="97" s="1" a="1"/>
  <c r="Y149" i="97" s="1"/>
  <c r="AE196" i="27" a="1"/>
  <c r="AE196" i="27" s="1"/>
  <c r="AH196" i="27" s="1"/>
  <c r="AV196" i="27"/>
  <c r="AC318" i="92"/>
  <c r="W318" i="92"/>
  <c r="AC261" i="92"/>
  <c r="W261" i="92"/>
  <c r="Z322" i="27" a="1"/>
  <c r="Z322" i="27" s="1"/>
  <c r="AA322" i="27"/>
  <c r="Y279" i="97" s="1" a="1"/>
  <c r="Y279" i="97" s="1"/>
  <c r="AE322" i="27" a="1"/>
  <c r="AE322" i="27" s="1"/>
  <c r="AI322" i="27" s="1"/>
  <c r="AJ322" i="27" s="1" a="1"/>
  <c r="AJ322" i="27" s="1"/>
  <c r="Z127" i="27" a="1"/>
  <c r="Z127" i="27" s="1"/>
  <c r="AQ127" i="27" a="1"/>
  <c r="AQ127" i="27" s="1"/>
  <c r="AR127" i="27" a="1"/>
  <c r="AR127" i="27" s="1"/>
  <c r="AA127" i="27"/>
  <c r="Y156" i="97" s="1" a="1"/>
  <c r="Y156" i="97" s="1"/>
  <c r="AE127" i="27" a="1"/>
  <c r="AE127" i="27" s="1"/>
  <c r="AH127" i="27" s="1"/>
  <c r="AV127" i="27"/>
  <c r="Z237" i="27" a="1"/>
  <c r="Z237" i="27" s="1"/>
  <c r="AA237" i="27"/>
  <c r="Y92" i="97" s="1" a="1"/>
  <c r="Y92" i="97" s="1"/>
  <c r="AE237" i="27" a="1"/>
  <c r="AE237" i="27" s="1"/>
  <c r="AH237" i="27" s="1"/>
  <c r="AC276" i="92"/>
  <c r="W276" i="92"/>
  <c r="Z338" i="27" a="1"/>
  <c r="Z338" i="27" s="1"/>
  <c r="AA338" i="27"/>
  <c r="Y327" i="97" s="1" a="1"/>
  <c r="Y327" i="97" s="1"/>
  <c r="AE338" i="27" a="1"/>
  <c r="AE338" i="27" s="1"/>
  <c r="AI338" i="27" s="1"/>
  <c r="AJ338" i="27" s="1" a="1"/>
  <c r="AJ338" i="27" s="1"/>
  <c r="Z240" i="27" a="1"/>
  <c r="Z240" i="27" s="1"/>
  <c r="AA240" i="27"/>
  <c r="Y96" i="97" s="1" a="1"/>
  <c r="Y96" i="97" s="1"/>
  <c r="AE240" i="27" a="1"/>
  <c r="AE240" i="27" s="1"/>
  <c r="AH240" i="27" s="1"/>
  <c r="AC91" i="92"/>
  <c r="AQ261" i="27" s="1" a="1"/>
  <c r="AQ261" i="27" s="1"/>
  <c r="W91" i="92"/>
  <c r="AQ270" i="27" a="1"/>
  <c r="AQ270" i="27" s="1"/>
  <c r="AR270" i="27" a="1"/>
  <c r="AR270" i="27" s="1"/>
  <c r="Z270" i="27" a="1"/>
  <c r="Z270" i="27" s="1"/>
  <c r="AA270" i="27"/>
  <c r="AE270" i="27" a="1"/>
  <c r="AE270" i="27" s="1"/>
  <c r="AH270" i="27" s="1"/>
  <c r="AC110" i="92"/>
  <c r="W110" i="92"/>
  <c r="AC213" i="92"/>
  <c r="AQ198" i="27" s="1" a="1"/>
  <c r="AQ198" i="27" s="1"/>
  <c r="W213" i="92"/>
  <c r="AC305" i="92"/>
  <c r="AQ84" i="27" s="1" a="1"/>
  <c r="AQ84" i="27" s="1"/>
  <c r="W305" i="92"/>
  <c r="Z311" i="27" a="1"/>
  <c r="Z311" i="27" s="1"/>
  <c r="AA311" i="27"/>
  <c r="Y259" i="97" s="1" a="1"/>
  <c r="Y259" i="97" s="1"/>
  <c r="AE311" i="27" a="1"/>
  <c r="AE311" i="27" s="1"/>
  <c r="AI311" i="27" s="1"/>
  <c r="AJ311" i="27" s="1" a="1"/>
  <c r="AJ311" i="27" s="1"/>
  <c r="AF142" i="27" a="1"/>
  <c r="AF142" i="27" s="1"/>
  <c r="AG142" i="27"/>
  <c r="AK142" i="27" a="1"/>
  <c r="AK142" i="27" s="1"/>
  <c r="Z312" i="27" a="1"/>
  <c r="Z312" i="27" s="1"/>
  <c r="AA312" i="27"/>
  <c r="AE312" i="27" a="1"/>
  <c r="AE312" i="27" s="1"/>
  <c r="AH312" i="27" s="1"/>
  <c r="AC13" i="92"/>
  <c r="W13" i="92"/>
  <c r="Z123" i="27" a="1"/>
  <c r="Z123" i="27" s="1"/>
  <c r="AA123" i="27"/>
  <c r="Y326" i="97" s="1" a="1"/>
  <c r="Y326" i="97" s="1"/>
  <c r="AE123" i="27" a="1"/>
  <c r="AE123" i="27" s="1"/>
  <c r="AV123" i="27"/>
  <c r="AC27" i="92"/>
  <c r="W27" i="92"/>
  <c r="AC183" i="92"/>
  <c r="AQ93" i="27" s="1" a="1"/>
  <c r="AQ93" i="27" s="1"/>
  <c r="W183" i="92"/>
  <c r="V49" i="97" a="1"/>
  <c r="V49" i="97" s="1"/>
  <c r="BA114" i="27"/>
  <c r="AQ150" i="27" a="1"/>
  <c r="AQ150" i="27" s="1"/>
  <c r="AR150" i="27" a="1"/>
  <c r="AR150" i="27" s="1"/>
  <c r="Z150" i="27" a="1"/>
  <c r="Z150" i="27" s="1"/>
  <c r="AA150" i="27"/>
  <c r="Y187" i="97" s="1" a="1"/>
  <c r="Y187" i="97" s="1"/>
  <c r="AE150" i="27" a="1"/>
  <c r="AE150" i="27" s="1"/>
  <c r="AV150" i="27"/>
  <c r="AC97" i="92"/>
  <c r="AR266" i="27" s="1" a="1"/>
  <c r="AR266" i="27" s="1"/>
  <c r="W97" i="92"/>
  <c r="AG226" i="27"/>
  <c r="AF226" i="27" a="1"/>
  <c r="AF226" i="27" s="1"/>
  <c r="AS226" i="27" a="1"/>
  <c r="AS226" i="27" s="1"/>
  <c r="AT226" i="27" a="1"/>
  <c r="AT226" i="27" s="1"/>
  <c r="AK226" i="27" a="1"/>
  <c r="AK226" i="27" s="1"/>
  <c r="AC125" i="27"/>
  <c r="AC108" i="92"/>
  <c r="AS185" i="27" s="1" a="1"/>
  <c r="AS185" i="27" s="1"/>
  <c r="W108" i="92"/>
  <c r="AC169" i="92"/>
  <c r="AQ284" i="27" s="1" a="1"/>
  <c r="AQ284" i="27" s="1"/>
  <c r="W169" i="92"/>
  <c r="AC174" i="92"/>
  <c r="AQ203" i="27" s="1" a="1"/>
  <c r="AQ203" i="27" s="1"/>
  <c r="W174" i="92"/>
  <c r="AC334" i="92"/>
  <c r="W334" i="92"/>
  <c r="Z284" i="27" a="1"/>
  <c r="Z284" i="27" s="1"/>
  <c r="AA284" i="27"/>
  <c r="AE284" i="27" a="1"/>
  <c r="AE284" i="27" s="1"/>
  <c r="AI284" i="27" s="1"/>
  <c r="AJ284" i="27" s="1" a="1"/>
  <c r="AJ284" i="27" s="1"/>
  <c r="AC62" i="92"/>
  <c r="AR249" i="27" s="1" a="1"/>
  <c r="AR249" i="27" s="1"/>
  <c r="W62" i="92"/>
  <c r="AK67" i="27" a="1"/>
  <c r="AK67" i="27" s="1"/>
  <c r="AF67" i="27" a="1"/>
  <c r="AF67" i="27" s="1"/>
  <c r="AG67" i="27"/>
  <c r="AS67" i="27" a="1"/>
  <c r="AS67" i="27" s="1"/>
  <c r="AT67" i="27" a="1"/>
  <c r="AT67" i="27" s="1"/>
  <c r="AC227" i="92"/>
  <c r="W227" i="92"/>
  <c r="AC134" i="92"/>
  <c r="W134" i="92"/>
  <c r="AC223" i="92"/>
  <c r="W223" i="92"/>
  <c r="AC72" i="92"/>
  <c r="W72" i="92"/>
  <c r="AC286" i="92"/>
  <c r="AQ322" i="27" s="1" a="1"/>
  <c r="AQ322" i="27" s="1"/>
  <c r="W286" i="92"/>
  <c r="AC41" i="92"/>
  <c r="AQ237" i="27" s="1" a="1"/>
  <c r="AQ237" i="27" s="1"/>
  <c r="W41" i="92"/>
  <c r="Z37" i="27" a="1"/>
  <c r="Z37" i="27" s="1"/>
  <c r="AA37" i="27"/>
  <c r="Y114" i="97" s="1" a="1"/>
  <c r="Y114" i="97" s="1"/>
  <c r="AE37" i="27" a="1"/>
  <c r="AE37" i="27" s="1"/>
  <c r="AH37" i="27" s="1"/>
  <c r="AV37" i="27"/>
  <c r="AH217" i="27"/>
  <c r="AC103" i="92"/>
  <c r="W103" i="92"/>
  <c r="Z329" i="27" a="1"/>
  <c r="Z329" i="27" s="1"/>
  <c r="AA329" i="27"/>
  <c r="Y291" i="97" s="1" a="1"/>
  <c r="Y291" i="97" s="1"/>
  <c r="AE329" i="27" a="1"/>
  <c r="AE329" i="27" s="1"/>
  <c r="Z166" i="27" a="1"/>
  <c r="Z166" i="27" s="1"/>
  <c r="AA166" i="27"/>
  <c r="Y81" i="97" s="1" a="1"/>
  <c r="Y81" i="97" s="1"/>
  <c r="AE166" i="27" a="1"/>
  <c r="AE166" i="27" s="1"/>
  <c r="AI166" i="27" s="1"/>
  <c r="AJ166" i="27" s="1" a="1"/>
  <c r="AJ166" i="27" s="1"/>
  <c r="AV166" i="27"/>
  <c r="Z267" i="27" a="1"/>
  <c r="Z267" i="27" s="1"/>
  <c r="AA267" i="27"/>
  <c r="Y127" i="97" s="1" a="1"/>
  <c r="Y127" i="97" s="1"/>
  <c r="AE267" i="27" a="1"/>
  <c r="AE267" i="27" s="1"/>
  <c r="AH267" i="27" s="1"/>
  <c r="Z84" i="27" a="1"/>
  <c r="Z84" i="27" s="1"/>
  <c r="AA84" i="27"/>
  <c r="Y298" i="97" s="1" a="1"/>
  <c r="Y298" i="97" s="1"/>
  <c r="AE84" i="27" a="1"/>
  <c r="AE84" i="27" s="1"/>
  <c r="AI84" i="27" s="1"/>
  <c r="AJ84" i="27" s="1" a="1"/>
  <c r="AJ84" i="27" s="1"/>
  <c r="AV84" i="27"/>
  <c r="AC21" i="92"/>
  <c r="AS142" i="27" s="1" a="1"/>
  <c r="AS142" i="27" s="1"/>
  <c r="W21" i="92"/>
  <c r="AC270" i="92"/>
  <c r="AR312" i="27" s="1" a="1"/>
  <c r="AR312" i="27" s="1"/>
  <c r="W270" i="92"/>
  <c r="Z39" i="27" a="1"/>
  <c r="Z39" i="27" s="1"/>
  <c r="AA39" i="27"/>
  <c r="Y153" i="97" s="1" a="1"/>
  <c r="Y153" i="97" s="1"/>
  <c r="AE39" i="27" a="1"/>
  <c r="AE39" i="27" s="1"/>
  <c r="AH39" i="27" s="1"/>
  <c r="AV39" i="27"/>
  <c r="AA184" i="27"/>
  <c r="Y4" i="97" s="1" a="1"/>
  <c r="Y4" i="97" s="1"/>
  <c r="Z184" i="27" a="1"/>
  <c r="Z184" i="27" s="1"/>
  <c r="AE184" i="27" a="1"/>
  <c r="AE184" i="27" s="1"/>
  <c r="AV184" i="27"/>
  <c r="AC335" i="92"/>
  <c r="AQ123" i="27" s="1" a="1"/>
  <c r="AQ123" i="27" s="1"/>
  <c r="W335" i="92"/>
  <c r="AR145" i="27" a="1"/>
  <c r="AR145" i="27" s="1"/>
  <c r="Z145" i="27" a="1"/>
  <c r="Z145" i="27" s="1"/>
  <c r="AQ145" i="27" a="1"/>
  <c r="AQ145" i="27" s="1"/>
  <c r="AA145" i="27"/>
  <c r="Y112" i="97" s="1" a="1"/>
  <c r="Y112" i="97" s="1"/>
  <c r="AE145" i="27" a="1"/>
  <c r="AE145" i="27" s="1"/>
  <c r="AV145" i="27"/>
  <c r="Z235" i="27" a="1"/>
  <c r="Z235" i="27" s="1"/>
  <c r="AQ235" i="27" a="1"/>
  <c r="AQ235" i="27" s="1"/>
  <c r="AR235" i="27" a="1"/>
  <c r="AR235" i="27" s="1"/>
  <c r="AA235" i="27"/>
  <c r="Y86" i="97" s="1" a="1"/>
  <c r="Y86" i="97" s="1"/>
  <c r="AE235" i="27" a="1"/>
  <c r="AE235" i="27" s="1"/>
  <c r="AC304" i="92"/>
  <c r="AR332" i="27" s="1" a="1"/>
  <c r="AR332" i="27" s="1"/>
  <c r="W304" i="92"/>
  <c r="AH215" i="27"/>
  <c r="AC206" i="27"/>
  <c r="AG114" i="27"/>
  <c r="AF114" i="27" a="1"/>
  <c r="AF114" i="27" s="1"/>
  <c r="AK114" i="27" a="1"/>
  <c r="AK114" i="27" s="1"/>
  <c r="AC184" i="92"/>
  <c r="W184" i="92"/>
  <c r="Z266" i="27" a="1"/>
  <c r="Z266" i="27" s="1"/>
  <c r="AA266" i="27"/>
  <c r="AE266" i="27" a="1"/>
  <c r="AE266" i="27" s="1"/>
  <c r="Z45" i="27" a="1"/>
  <c r="Z45" i="27" s="1"/>
  <c r="AA45" i="27"/>
  <c r="Y50" i="97" s="1" a="1"/>
  <c r="Y50" i="97" s="1"/>
  <c r="AE45" i="27" a="1"/>
  <c r="AE45" i="27" s="1"/>
  <c r="AV45" i="27"/>
  <c r="AC316" i="92"/>
  <c r="AQ337" i="27" s="1" a="1"/>
  <c r="AQ337" i="27" s="1"/>
  <c r="W316" i="92"/>
  <c r="AC143" i="92"/>
  <c r="W143" i="92"/>
  <c r="AQ179" i="27" a="1"/>
  <c r="AQ179" i="27" s="1"/>
  <c r="AR179" i="27" a="1"/>
  <c r="AR179" i="27" s="1"/>
  <c r="Z179" i="27" a="1"/>
  <c r="Z179" i="27" s="1"/>
  <c r="AA179" i="27"/>
  <c r="Y241" i="97" s="1" a="1"/>
  <c r="Y241" i="97" s="1"/>
  <c r="AE179" i="27" a="1"/>
  <c r="AE179" i="27" s="1"/>
  <c r="AI179" i="27" s="1"/>
  <c r="AJ179" i="27" s="1" a="1"/>
  <c r="AJ179" i="27" s="1"/>
  <c r="AV179" i="27"/>
  <c r="AC82" i="92"/>
  <c r="AQ37" i="27" s="1" a="1"/>
  <c r="AQ37" i="27" s="1"/>
  <c r="W82" i="92"/>
  <c r="AI217" i="27"/>
  <c r="AJ217" i="27" s="1" a="1"/>
  <c r="AJ217" i="27" s="1"/>
  <c r="AG195" i="27"/>
  <c r="AF195" i="27" a="1"/>
  <c r="AF195" i="27" s="1"/>
  <c r="AK195" i="27" a="1"/>
  <c r="AK195" i="27" s="1"/>
  <c r="W298" i="92"/>
  <c r="AC298" i="92"/>
  <c r="AR329" i="27" s="1" a="1"/>
  <c r="AR329" i="27" s="1"/>
  <c r="AC86" i="92"/>
  <c r="AQ257" i="27" s="1" a="1"/>
  <c r="AQ257" i="27" s="1"/>
  <c r="W86" i="92"/>
  <c r="AC98" i="92"/>
  <c r="AR267" i="27" s="1" a="1"/>
  <c r="AR267" i="27" s="1"/>
  <c r="W98" i="92"/>
  <c r="AI142" i="27"/>
  <c r="AJ142" i="27" s="1" a="1"/>
  <c r="AJ142" i="27" s="1"/>
  <c r="AC140" i="92"/>
  <c r="AQ39" i="27" s="1" a="1"/>
  <c r="AQ39" i="27" s="1"/>
  <c r="W140" i="92"/>
  <c r="AC5" i="92"/>
  <c r="AR184" i="27" s="1" a="1"/>
  <c r="AR184" i="27" s="1"/>
  <c r="W5" i="92"/>
  <c r="AC43" i="92"/>
  <c r="W43" i="92"/>
  <c r="W20" i="92"/>
  <c r="AC20" i="92"/>
  <c r="AR166" i="27" s="1" a="1"/>
  <c r="AR166" i="27" s="1"/>
  <c r="AC319" i="92"/>
  <c r="W319" i="92"/>
  <c r="AC164" i="92"/>
  <c r="AQ280" i="27" s="1" a="1"/>
  <c r="AQ280" i="27" s="1"/>
  <c r="W164" i="92"/>
  <c r="Z332" i="27" a="1"/>
  <c r="Z332" i="27" s="1"/>
  <c r="AA332" i="27"/>
  <c r="Y297" i="97" s="1" a="1"/>
  <c r="Y297" i="97" s="1"/>
  <c r="AE332" i="27" a="1"/>
  <c r="AE332" i="27" s="1"/>
  <c r="AI332" i="27" s="1"/>
  <c r="AJ332" i="27" s="1" a="1"/>
  <c r="AJ332" i="27" s="1"/>
  <c r="Z146" i="27" a="1"/>
  <c r="Z146" i="27" s="1"/>
  <c r="AQ146" i="27" a="1"/>
  <c r="AQ146" i="27" s="1"/>
  <c r="AR146" i="27" a="1"/>
  <c r="AR146" i="27" s="1"/>
  <c r="AA146" i="27"/>
  <c r="AE146" i="27" a="1"/>
  <c r="AE146" i="27" s="1"/>
  <c r="AV146" i="27"/>
  <c r="AC215" i="27"/>
  <c r="Z186" i="27" a="1"/>
  <c r="Z186" i="27" s="1"/>
  <c r="AE186" i="27" a="1"/>
  <c r="AE186" i="27" s="1"/>
  <c r="AH186" i="27" s="1"/>
  <c r="AA186" i="27"/>
  <c r="AV186" i="27"/>
  <c r="AA100" i="27"/>
  <c r="Y246" i="97" s="1" a="1"/>
  <c r="Y246" i="97" s="1"/>
  <c r="Z100" i="27" a="1"/>
  <c r="Z100" i="27" s="1"/>
  <c r="AE100" i="27" a="1"/>
  <c r="AE100" i="27" s="1"/>
  <c r="AI100" i="27" s="1"/>
  <c r="AJ100" i="27" s="1" a="1"/>
  <c r="AJ100" i="27" s="1"/>
  <c r="AV100" i="27"/>
  <c r="Z28" i="27" a="1"/>
  <c r="Z28" i="27" s="1"/>
  <c r="AA28" i="27"/>
  <c r="AE28" i="27" a="1"/>
  <c r="AE28" i="27" s="1"/>
  <c r="AV28" i="27"/>
  <c r="Z8" i="27" a="1"/>
  <c r="Z8" i="27" s="1"/>
  <c r="AQ8" i="27" a="1"/>
  <c r="AQ8" i="27" s="1"/>
  <c r="AR8" i="27" a="1"/>
  <c r="AR8" i="27" s="1"/>
  <c r="AA8" i="27"/>
  <c r="Y256" i="97" s="1" a="1"/>
  <c r="Y256" i="97" s="1"/>
  <c r="AE8" i="27" a="1"/>
  <c r="AE8" i="27" s="1"/>
  <c r="AV8" i="27"/>
  <c r="Z7" i="27" a="1"/>
  <c r="Z7" i="27" s="1"/>
  <c r="AA7" i="27"/>
  <c r="Y162" i="97" s="1" a="1"/>
  <c r="Y162" i="97" s="1"/>
  <c r="AE7" i="27" a="1"/>
  <c r="AE7" i="27" s="1"/>
  <c r="AH7" i="27" s="1"/>
  <c r="AV7" i="27"/>
  <c r="AC112" i="92"/>
  <c r="W112" i="92"/>
  <c r="AH67" i="27"/>
  <c r="Z122" i="27" a="1"/>
  <c r="Z122" i="27" s="1"/>
  <c r="AA122" i="27"/>
  <c r="Y197" i="97" s="1" a="1"/>
  <c r="Y197" i="97" s="1"/>
  <c r="AE122" i="27" a="1"/>
  <c r="AE122" i="27" s="1"/>
  <c r="AV122" i="27"/>
  <c r="AC42" i="92"/>
  <c r="AQ238" i="27" s="1" a="1"/>
  <c r="AQ238" i="27" s="1"/>
  <c r="W42" i="92"/>
  <c r="AC150" i="92"/>
  <c r="AR7" i="27" s="1" a="1"/>
  <c r="AR7" i="27" s="1"/>
  <c r="W150" i="92"/>
  <c r="AQ207" i="27" a="1"/>
  <c r="AQ207" i="27" s="1"/>
  <c r="AR207" i="27" a="1"/>
  <c r="AR207" i="27" s="1"/>
  <c r="Z207" i="27" a="1"/>
  <c r="Z207" i="27" s="1"/>
  <c r="AA207" i="27"/>
  <c r="Y233" i="97" s="1" a="1"/>
  <c r="Y233" i="97" s="1"/>
  <c r="AE207" i="27" a="1"/>
  <c r="AE207" i="27" s="1"/>
  <c r="AI207" i="27" s="1"/>
  <c r="AJ207" i="27" s="1" a="1"/>
  <c r="AJ207" i="27" s="1"/>
  <c r="AV207" i="27"/>
  <c r="Z337" i="27" a="1"/>
  <c r="Z337" i="27" s="1"/>
  <c r="AA337" i="27"/>
  <c r="Y71" i="97" s="1" a="1"/>
  <c r="Y71" i="97" s="1"/>
  <c r="AE337" i="27" a="1"/>
  <c r="AE337" i="27" s="1"/>
  <c r="AC330" i="92"/>
  <c r="W330" i="92"/>
  <c r="AC245" i="92"/>
  <c r="W245" i="92"/>
  <c r="Z200" i="27" a="1"/>
  <c r="Z200" i="27" s="1"/>
  <c r="AA200" i="27"/>
  <c r="Y133" i="97" s="1" a="1"/>
  <c r="Y133" i="97" s="1"/>
  <c r="AE200" i="27" a="1"/>
  <c r="AE200" i="27" s="1"/>
  <c r="AI200" i="27" s="1"/>
  <c r="AJ200" i="27" s="1" a="1"/>
  <c r="AJ200" i="27" s="1"/>
  <c r="AV200" i="27"/>
  <c r="Z331" i="27" a="1"/>
  <c r="Z331" i="27" s="1"/>
  <c r="AA331" i="27"/>
  <c r="Y296" i="97" s="1" a="1"/>
  <c r="Y296" i="97" s="1"/>
  <c r="AE331" i="27" a="1"/>
  <c r="AE331" i="27" s="1"/>
  <c r="AI331" i="27" s="1"/>
  <c r="AJ331" i="27" s="1" a="1"/>
  <c r="AJ331" i="27" s="1"/>
  <c r="Z160" i="27" a="1"/>
  <c r="Z160" i="27" s="1"/>
  <c r="AA160" i="27"/>
  <c r="AE160" i="27" a="1"/>
  <c r="AE160" i="27" s="1"/>
  <c r="AV160" i="27"/>
  <c r="Z257" i="27" a="1"/>
  <c r="Z257" i="27" s="1"/>
  <c r="AA257" i="27"/>
  <c r="Y118" i="97" s="1" a="1"/>
  <c r="Y118" i="97" s="1"/>
  <c r="AE257" i="27" a="1"/>
  <c r="AE257" i="27" s="1"/>
  <c r="AH257" i="27" s="1"/>
  <c r="Z274" i="27" a="1"/>
  <c r="Z274" i="27" s="1"/>
  <c r="AA274" i="27"/>
  <c r="Y166" i="97" s="1" a="1"/>
  <c r="Y166" i="97" s="1"/>
  <c r="AE274" i="27" a="1"/>
  <c r="AE274" i="27" s="1"/>
  <c r="AQ173" i="27" a="1"/>
  <c r="AQ173" i="27" s="1"/>
  <c r="AR173" i="27" a="1"/>
  <c r="AR173" i="27" s="1"/>
  <c r="Z173" i="27" a="1"/>
  <c r="Z173" i="27" s="1"/>
  <c r="AA173" i="27"/>
  <c r="Y308" i="97" s="1" a="1"/>
  <c r="Y308" i="97" s="1"/>
  <c r="AE173" i="27" a="1"/>
  <c r="AE173" i="27" s="1"/>
  <c r="AV173" i="27"/>
  <c r="Z313" i="27" a="1"/>
  <c r="Z313" i="27" s="1"/>
  <c r="AA313" i="27"/>
  <c r="Y264" i="97" s="1" a="1"/>
  <c r="Y264" i="97" s="1"/>
  <c r="AE313" i="27" a="1"/>
  <c r="AE313" i="27" s="1"/>
  <c r="W80" i="92"/>
  <c r="AC80" i="92"/>
  <c r="Z280" i="27" a="1"/>
  <c r="Z280" i="27" s="1"/>
  <c r="AA280" i="27"/>
  <c r="Y172" i="97" s="1" a="1"/>
  <c r="Y172" i="97" s="1"/>
  <c r="AE280" i="27" a="1"/>
  <c r="AE280" i="27" s="1"/>
  <c r="AQ51" i="27" a="1"/>
  <c r="AQ51" i="27" s="1"/>
  <c r="AR51" i="27" a="1"/>
  <c r="AR51" i="27" s="1"/>
  <c r="Z51" i="27" a="1"/>
  <c r="Z51" i="27" s="1"/>
  <c r="AA51" i="27"/>
  <c r="Y150" i="97" s="1" a="1"/>
  <c r="Y150" i="97" s="1"/>
  <c r="AE51" i="27" a="1"/>
  <c r="AE51" i="27" s="1"/>
  <c r="AI51" i="27" s="1"/>
  <c r="AJ51" i="27" s="1" a="1"/>
  <c r="AJ51" i="27" s="1"/>
  <c r="AV51" i="27"/>
  <c r="Z264" i="27" a="1"/>
  <c r="Z264" i="27" s="1"/>
  <c r="AA264" i="27"/>
  <c r="Y126" i="97" s="1" a="1"/>
  <c r="Y126" i="97" s="1"/>
  <c r="AE264" i="27" a="1"/>
  <c r="AE264" i="27" s="1"/>
  <c r="AI264" i="27" s="1"/>
  <c r="AJ264" i="27" s="1" a="1"/>
  <c r="AJ264" i="27" s="1"/>
  <c r="Z295" i="27" a="1"/>
  <c r="Z295" i="27" s="1"/>
  <c r="AQ295" i="27" a="1"/>
  <c r="AQ295" i="27" s="1"/>
  <c r="AR295" i="27" a="1"/>
  <c r="AR295" i="27" s="1"/>
  <c r="AA295" i="27"/>
  <c r="Y219" i="97" s="1" a="1"/>
  <c r="Y219" i="97" s="1"/>
  <c r="AE295" i="27" a="1"/>
  <c r="AE295" i="27" s="1"/>
  <c r="AI295" i="27" s="1"/>
  <c r="AJ295" i="27" s="1" a="1"/>
  <c r="AJ295" i="27" s="1"/>
  <c r="AC211" i="92"/>
  <c r="AQ186" i="27" s="1" a="1"/>
  <c r="AQ186" i="27" s="1"/>
  <c r="W211" i="92"/>
  <c r="Z165" i="27" a="1"/>
  <c r="Z165" i="27" s="1"/>
  <c r="AA165" i="27"/>
  <c r="Y79" i="97" s="1" a="1"/>
  <c r="Y79" i="97" s="1"/>
  <c r="AE165" i="27" a="1"/>
  <c r="AE165" i="27" s="1"/>
  <c r="AI165" i="27" s="1"/>
  <c r="AJ165" i="27" s="1" a="1"/>
  <c r="AJ165" i="27" s="1"/>
  <c r="AV165" i="27"/>
  <c r="AC203" i="92"/>
  <c r="W203" i="92"/>
  <c r="AR57" i="27" a="1"/>
  <c r="AR57" i="27" s="1"/>
  <c r="Z57" i="27" a="1"/>
  <c r="Z57" i="27" s="1"/>
  <c r="AQ57" i="27" a="1"/>
  <c r="AQ57" i="27" s="1"/>
  <c r="AA57" i="27"/>
  <c r="Y34" i="97" s="1" a="1"/>
  <c r="Y34" i="97" s="1"/>
  <c r="AE57" i="27" a="1"/>
  <c r="AE57" i="27" s="1"/>
  <c r="AH57" i="27" s="1"/>
  <c r="AV57" i="27"/>
  <c r="AH62" i="27"/>
  <c r="W326" i="92"/>
  <c r="AC326" i="92"/>
  <c r="AQ28" i="27" s="1" a="1"/>
  <c r="AQ28" i="27" s="1"/>
  <c r="AC321" i="92"/>
  <c r="AQ45" i="27" s="1" a="1"/>
  <c r="AQ45" i="27" s="1"/>
  <c r="W321" i="92"/>
  <c r="V310" i="97" a="1"/>
  <c r="V310" i="97" s="1"/>
  <c r="BA15" i="27"/>
  <c r="BC15" i="27" s="1"/>
  <c r="AI36" i="27"/>
  <c r="AJ36" i="27" s="1" a="1"/>
  <c r="AJ36" i="27" s="1"/>
  <c r="AC70" i="92"/>
  <c r="W70" i="92"/>
  <c r="AQ17" i="27" a="1"/>
  <c r="AQ17" i="27" s="1"/>
  <c r="AR17" i="27" a="1"/>
  <c r="AR17" i="27" s="1"/>
  <c r="Z17" i="27" a="1"/>
  <c r="Z17" i="27" s="1"/>
  <c r="AA17" i="27"/>
  <c r="Y136" i="97" s="1" a="1"/>
  <c r="Y136" i="97" s="1"/>
  <c r="AE17" i="27" a="1"/>
  <c r="AE17" i="27" s="1"/>
  <c r="AH17" i="27" s="1"/>
  <c r="AV17" i="27"/>
  <c r="Z85" i="27" a="1"/>
  <c r="Z85" i="27" s="1"/>
  <c r="AQ85" i="27" a="1"/>
  <c r="AQ85" i="27" s="1"/>
  <c r="AR85" i="27" a="1"/>
  <c r="AR85" i="27" s="1"/>
  <c r="AE85" i="27" a="1"/>
  <c r="AE85" i="27" s="1"/>
  <c r="AA85" i="27"/>
  <c r="Y117" i="97" s="1" a="1"/>
  <c r="Y117" i="97" s="1"/>
  <c r="AV85" i="27"/>
  <c r="AC197" i="92"/>
  <c r="AR122" i="27" s="1" a="1"/>
  <c r="AR122" i="27" s="1"/>
  <c r="W197" i="92"/>
  <c r="Z238" i="27" a="1"/>
  <c r="Z238" i="27" s="1"/>
  <c r="AA238" i="27"/>
  <c r="Y93" i="97" s="1" a="1"/>
  <c r="Y93" i="97" s="1"/>
  <c r="AE238" i="27" a="1"/>
  <c r="AE238" i="27" s="1"/>
  <c r="AI238" i="27" s="1"/>
  <c r="AJ238" i="27" s="1" a="1"/>
  <c r="AJ238" i="27" s="1"/>
  <c r="AQ158" i="27" a="1"/>
  <c r="AQ158" i="27" s="1"/>
  <c r="Z158" i="27" a="1"/>
  <c r="Z158" i="27" s="1"/>
  <c r="AA158" i="27"/>
  <c r="AE158" i="27" a="1"/>
  <c r="AE158" i="27" s="1"/>
  <c r="AV158" i="27"/>
  <c r="Z34" i="27" a="1"/>
  <c r="Z34" i="27" s="1"/>
  <c r="AA34" i="27"/>
  <c r="Y89" i="97" s="1" a="1"/>
  <c r="Y89" i="97" s="1"/>
  <c r="AE34" i="27" a="1"/>
  <c r="AE34" i="27" s="1"/>
  <c r="AI34" i="27" s="1"/>
  <c r="AJ34" i="27" s="1" a="1"/>
  <c r="AJ34" i="27" s="1"/>
  <c r="AV34" i="27"/>
  <c r="AC236" i="92"/>
  <c r="W236" i="92"/>
  <c r="V8" i="97" a="1"/>
  <c r="V8" i="97" s="1"/>
  <c r="BA222" i="27"/>
  <c r="AC314" i="92"/>
  <c r="W314" i="92"/>
  <c r="W312" i="92"/>
  <c r="AC312" i="92"/>
  <c r="AQ335" i="27" s="1" a="1"/>
  <c r="AQ335" i="27" s="1"/>
  <c r="AC294" i="92"/>
  <c r="AT206" i="27" s="1" a="1"/>
  <c r="AT206" i="27" s="1"/>
  <c r="W294" i="92"/>
  <c r="AC109" i="92"/>
  <c r="AQ200" i="27" s="1" a="1"/>
  <c r="AQ200" i="27" s="1"/>
  <c r="W109" i="92"/>
  <c r="AC303" i="92"/>
  <c r="AQ331" i="27" s="1" a="1"/>
  <c r="AQ331" i="27" s="1"/>
  <c r="W303" i="92"/>
  <c r="AC154" i="92"/>
  <c r="AQ274" i="27" s="1" a="1"/>
  <c r="AQ274" i="27" s="1"/>
  <c r="W154" i="92"/>
  <c r="W315" i="92"/>
  <c r="AC315" i="92"/>
  <c r="Z49" i="27" a="1"/>
  <c r="Z49" i="27" s="1"/>
  <c r="AQ49" i="27" a="1"/>
  <c r="AQ49" i="27" s="1"/>
  <c r="AA49" i="27"/>
  <c r="Y51" i="97" s="1" a="1"/>
  <c r="Y51" i="97" s="1"/>
  <c r="AE49" i="27" a="1"/>
  <c r="AE49" i="27" s="1"/>
  <c r="AH49" i="27" s="1"/>
  <c r="AV49" i="27"/>
  <c r="Z178" i="27" a="1"/>
  <c r="Z178" i="27" s="1"/>
  <c r="AA178" i="27"/>
  <c r="Y28" i="97" s="1" a="1"/>
  <c r="Y28" i="97" s="1"/>
  <c r="AE178" i="27" a="1"/>
  <c r="AE178" i="27" s="1"/>
  <c r="AI178" i="27" s="1"/>
  <c r="AJ178" i="27" s="1" a="1"/>
  <c r="AJ178" i="27" s="1"/>
  <c r="AV178" i="27"/>
  <c r="AC271" i="92"/>
  <c r="AQ313" i="27" s="1" a="1"/>
  <c r="AQ313" i="27" s="1"/>
  <c r="W271" i="92"/>
  <c r="Z197" i="27" a="1"/>
  <c r="Z197" i="27" s="1"/>
  <c r="AQ197" i="27" a="1"/>
  <c r="AQ197" i="27" s="1"/>
  <c r="AR197" i="27" a="1"/>
  <c r="AR197" i="27" s="1"/>
  <c r="AA197" i="27"/>
  <c r="AE197" i="27" a="1"/>
  <c r="AE197" i="27" s="1"/>
  <c r="AV197" i="27"/>
  <c r="AC274" i="92"/>
  <c r="AQ314" i="27" s="1" a="1"/>
  <c r="AQ314" i="27" s="1"/>
  <c r="W274" i="92"/>
  <c r="W246" i="92"/>
  <c r="AC246" i="92"/>
  <c r="AC95" i="92"/>
  <c r="AQ264" i="27" s="1" a="1"/>
  <c r="AQ264" i="27" s="1"/>
  <c r="W95" i="92"/>
  <c r="AC117" i="92"/>
  <c r="W117" i="92"/>
  <c r="AI206" i="27"/>
  <c r="AJ206" i="27" s="1" a="1"/>
  <c r="AJ206" i="27" s="1"/>
  <c r="AC220" i="92"/>
  <c r="W220" i="92"/>
  <c r="AC18" i="92"/>
  <c r="AR165" i="27" s="1" a="1"/>
  <c r="AR165" i="27" s="1"/>
  <c r="W18" i="92"/>
  <c r="AR74" i="27" a="1"/>
  <c r="AR74" i="27" s="1"/>
  <c r="Z74" i="27" a="1"/>
  <c r="Z74" i="27" s="1"/>
  <c r="AQ74" i="27" a="1"/>
  <c r="AQ74" i="27" s="1"/>
  <c r="AA74" i="27"/>
  <c r="Y203" i="97" s="1" a="1"/>
  <c r="Y203" i="97" s="1"/>
  <c r="AE74" i="27" a="1"/>
  <c r="AE74" i="27" s="1"/>
  <c r="AI74" i="27" s="1"/>
  <c r="AJ74" i="27" s="1" a="1"/>
  <c r="AJ74" i="27" s="1"/>
  <c r="AV74" i="27"/>
  <c r="AQ29" i="27" a="1"/>
  <c r="AQ29" i="27" s="1"/>
  <c r="AR29" i="27" a="1"/>
  <c r="AR29" i="27" s="1"/>
  <c r="Z29" i="27" a="1"/>
  <c r="Z29" i="27" s="1"/>
  <c r="AA29" i="27"/>
  <c r="Y314" i="97" s="1" a="1"/>
  <c r="Y314" i="97" s="1"/>
  <c r="AE29" i="27" a="1"/>
  <c r="AE29" i="27" s="1"/>
  <c r="AH29" i="27" s="1"/>
  <c r="AV29" i="27"/>
  <c r="AC251" i="92"/>
  <c r="AQ100" i="27" s="1" a="1"/>
  <c r="AQ100" i="27" s="1"/>
  <c r="W251" i="92"/>
  <c r="AI62" i="27"/>
  <c r="AJ62" i="27" s="1" a="1"/>
  <c r="AJ62" i="27" s="1"/>
  <c r="AI125" i="27"/>
  <c r="AJ125" i="27" s="1" a="1"/>
  <c r="AJ125" i="27" s="1"/>
  <c r="O171" i="96" a="1"/>
  <c r="O328" i="96" a="1"/>
  <c r="O226" i="96" a="1"/>
  <c r="O131" i="96" a="1"/>
  <c r="O309" i="96" a="1"/>
  <c r="O91" i="96" a="1"/>
  <c r="O335" i="96" a="1"/>
  <c r="O59" i="96" a="1"/>
  <c r="O320" i="96" a="1"/>
  <c r="O142" i="96" a="1"/>
  <c r="O216" i="96" a="1"/>
  <c r="O114" i="96" a="1"/>
  <c r="O287" i="96" a="1"/>
  <c r="O18" i="96" a="1"/>
  <c r="O307" i="96" a="1"/>
  <c r="O94" i="96" a="1"/>
  <c r="O234" i="96" a="1"/>
  <c r="O286" i="96" a="1"/>
  <c r="O198" i="96" a="1"/>
  <c r="O34" i="96" a="1"/>
  <c r="O336" i="96" a="1"/>
  <c r="O180" i="96" a="1"/>
  <c r="O310" i="96" a="1"/>
  <c r="O151" i="96" a="1"/>
  <c r="O36" i="96" a="1"/>
  <c r="O155" i="96" a="1"/>
  <c r="O305" i="96" a="1"/>
  <c r="O76" i="96" a="1"/>
  <c r="O300" i="96" a="1"/>
  <c r="O2" i="96" a="1"/>
  <c r="O129" i="96" a="1"/>
  <c r="O88" i="96" a="1"/>
  <c r="O82" i="96" a="1"/>
  <c r="O125" i="96" a="1"/>
  <c r="O118" i="96" a="1"/>
  <c r="O259" i="96" a="1"/>
  <c r="O156" i="96" a="1"/>
  <c r="O50" i="96" a="1"/>
  <c r="O177" i="96" a="1"/>
  <c r="O96" i="96" a="1"/>
  <c r="O197" i="96" a="1"/>
  <c r="O22" i="96" a="1"/>
  <c r="O30" i="96" a="1"/>
  <c r="O268" i="96" a="1"/>
  <c r="O261" i="96" a="1"/>
  <c r="O242" i="96" a="1"/>
  <c r="O89" i="96" a="1"/>
  <c r="O124" i="96" a="1"/>
  <c r="O223" i="96" a="1"/>
  <c r="O293" i="96" a="1"/>
  <c r="O103" i="96" a="1"/>
  <c r="O199" i="96" a="1"/>
  <c r="O179" i="96" a="1"/>
  <c r="O330" i="96" a="1"/>
  <c r="O311" i="96" a="1"/>
  <c r="O265" i="96" a="1"/>
  <c r="O211" i="96" a="1"/>
  <c r="O69" i="96" a="1"/>
  <c r="O238" i="96" a="1"/>
  <c r="O230" i="96" a="1"/>
  <c r="O160" i="96" a="1"/>
  <c r="O162" i="96" a="1"/>
  <c r="O219" i="96" a="1"/>
  <c r="O136" i="96" a="1"/>
  <c r="O139" i="96" a="1"/>
  <c r="O267" i="96" a="1"/>
  <c r="O315" i="96" a="1"/>
  <c r="O258" i="96" a="1"/>
  <c r="O54" i="96" a="1"/>
  <c r="O183" i="96" a="1"/>
  <c r="O253" i="96" a="1"/>
  <c r="O48" i="96" a="1"/>
  <c r="O145" i="96" a="1"/>
  <c r="O28" i="96" a="1"/>
  <c r="O87" i="96" a="1"/>
  <c r="O20" i="96" a="1"/>
  <c r="O195" i="96" a="1"/>
  <c r="O316" i="96" a="1"/>
  <c r="O127" i="96" a="1"/>
  <c r="O44" i="96" a="1"/>
  <c r="O202" i="96" a="1"/>
  <c r="O193" i="96" a="1"/>
  <c r="O308" i="96" a="1"/>
  <c r="O111" i="96" a="1"/>
  <c r="O327" i="96" a="1"/>
  <c r="O314" i="96" a="1"/>
  <c r="O273" i="96" a="1"/>
  <c r="O117" i="96" a="1"/>
  <c r="O285" i="96" a="1"/>
  <c r="O37" i="96" a="1"/>
  <c r="O113" i="96" a="1"/>
  <c r="O167" i="96" a="1"/>
  <c r="O12" i="96" a="1"/>
  <c r="O214" i="96" a="1"/>
  <c r="O288" i="96" a="1"/>
  <c r="O120" i="96" a="1"/>
  <c r="O74" i="96" a="1"/>
  <c r="O222" i="96" a="1"/>
  <c r="O239" i="96" a="1"/>
  <c r="O108" i="96" a="1"/>
  <c r="O56" i="96" a="1"/>
  <c r="O123" i="96" a="1"/>
  <c r="O212" i="96" a="1"/>
  <c r="O321" i="96" a="1"/>
  <c r="O304" i="96" a="1"/>
  <c r="O32" i="96" a="1"/>
  <c r="O190" i="96" a="1"/>
  <c r="O264" i="96" a="1"/>
  <c r="O58" i="96" a="1"/>
  <c r="O279" i="96" a="1"/>
  <c r="O260" i="96" a="1"/>
  <c r="O175" i="96" a="1"/>
  <c r="O13" i="96" a="1"/>
  <c r="O299" i="96" a="1"/>
  <c r="O295" i="96" a="1"/>
  <c r="O235" i="96" a="1"/>
  <c r="O231" i="96" a="1"/>
  <c r="O51" i="96" a="1"/>
  <c r="O266" i="96" a="1"/>
  <c r="O275" i="96" a="1"/>
  <c r="O105" i="96" a="1"/>
  <c r="O278" i="96" a="1"/>
  <c r="O201" i="96" a="1"/>
  <c r="O17" i="96" a="1"/>
  <c r="O291" i="96" a="1"/>
  <c r="O27" i="96" a="1"/>
  <c r="O153" i="96" a="1"/>
  <c r="O228" i="96" a="1"/>
  <c r="O233" i="96" a="1"/>
  <c r="O251" i="96" a="1"/>
  <c r="O209" i="96" a="1"/>
  <c r="O282" i="96" a="1"/>
  <c r="O126" i="96" a="1"/>
  <c r="O137" i="96" a="1"/>
  <c r="O63" i="96" a="1"/>
  <c r="O206" i="96" a="1"/>
  <c r="O24" i="96" a="1"/>
  <c r="O7" i="96" a="1"/>
  <c r="O39" i="96" a="1"/>
  <c r="O57" i="96" a="1"/>
  <c r="O80" i="96" a="1"/>
  <c r="O294" i="96" a="1"/>
  <c r="O172" i="96" a="1"/>
  <c r="O284" i="96" a="1"/>
  <c r="O41" i="96" a="1"/>
  <c r="O47" i="96" a="1"/>
  <c r="O334" i="96" a="1"/>
  <c r="O11" i="96" a="1"/>
  <c r="O66" i="96" a="1"/>
  <c r="O6" i="96" a="1"/>
  <c r="O75" i="96" a="1"/>
  <c r="O217" i="96" a="1"/>
  <c r="O21" i="96" a="1"/>
  <c r="O252" i="96" a="1"/>
  <c r="O245" i="96" a="1"/>
  <c r="O276" i="96" a="1"/>
  <c r="O324" i="96" a="1"/>
  <c r="O270" i="96" a="1"/>
  <c r="O257" i="96" a="1"/>
  <c r="O144" i="96" a="1"/>
  <c r="O149" i="96" a="1"/>
  <c r="O224" i="96" a="1"/>
  <c r="O218" i="96" a="1"/>
  <c r="O133" i="96" a="1"/>
  <c r="O42" i="96" a="1"/>
  <c r="O188" i="96" a="1"/>
  <c r="O107" i="96" a="1"/>
  <c r="O168" i="96" a="1"/>
  <c r="O227" i="96" a="1"/>
  <c r="O246" i="96" a="1"/>
  <c r="O62" i="96" a="1"/>
  <c r="O92" i="96" a="1"/>
  <c r="O236" i="96" a="1"/>
  <c r="O204" i="96" a="1"/>
  <c r="O65" i="96" a="1"/>
  <c r="O26" i="96" a="1"/>
  <c r="O174" i="96" a="1"/>
  <c r="O215" i="96" a="1"/>
  <c r="O16" i="96" a="1"/>
  <c r="O302" i="96" a="1"/>
  <c r="O25" i="96" a="1"/>
  <c r="O68" i="96" a="1"/>
  <c r="O110" i="96" a="1"/>
  <c r="O181" i="96" a="1"/>
  <c r="O72" i="96" a="1"/>
  <c r="O73" i="96" a="1"/>
  <c r="O289" i="96" a="1"/>
  <c r="O132" i="96" a="1"/>
  <c r="O249" i="96" a="1"/>
  <c r="O67" i="96" a="1"/>
  <c r="O325" i="96" a="1"/>
  <c r="O263" i="96" a="1"/>
  <c r="O112" i="96" a="1"/>
  <c r="O5" i="96" a="1"/>
  <c r="O86" i="96" a="1"/>
  <c r="O157" i="96" a="1"/>
  <c r="O241" i="96" a="1"/>
  <c r="O99" i="96" a="1"/>
  <c r="O128" i="96" a="1"/>
  <c r="O40" i="96" a="1"/>
  <c r="O3" i="96" a="1"/>
  <c r="O4" i="96" a="1"/>
  <c r="O140" i="96" a="1"/>
  <c r="O46" i="96" a="1"/>
  <c r="O272" i="96" a="1"/>
  <c r="O53" i="96" a="1"/>
  <c r="O194" i="96" a="1"/>
  <c r="O61" i="96" a="1"/>
  <c r="O244" i="96" a="1"/>
  <c r="O159" i="96" a="1"/>
  <c r="O298" i="96" a="1"/>
  <c r="O250" i="96" a="1"/>
  <c r="O319" i="96" a="1"/>
  <c r="O297" i="96" a="1"/>
  <c r="O122" i="96" a="1"/>
  <c r="O93" i="96" a="1"/>
  <c r="O169" i="96" a="1"/>
  <c r="O248" i="96" a="1"/>
  <c r="O213" i="96" a="1"/>
  <c r="O281" i="96" a="1"/>
  <c r="O243" i="96" a="1"/>
  <c r="O191" i="96" a="1"/>
  <c r="O102" i="96" a="1"/>
  <c r="O161" i="96" a="1"/>
  <c r="O81" i="96" a="1"/>
  <c r="O178" i="96" a="1"/>
  <c r="O232" i="96" a="1"/>
  <c r="O60" i="96" a="1"/>
  <c r="O95" i="96" a="1"/>
  <c r="O186" i="96" a="1"/>
  <c r="O205" i="96" a="1"/>
  <c r="O150" i="96" a="1"/>
  <c r="O116" i="96" a="1"/>
  <c r="O247" i="96" a="1"/>
  <c r="O55" i="96" a="1"/>
  <c r="O115" i="96" a="1"/>
  <c r="O207" i="96" a="1"/>
  <c r="O85" i="96" a="1"/>
  <c r="O147" i="96" a="1"/>
  <c r="O208" i="96" a="1"/>
  <c r="O100" i="96" a="1"/>
  <c r="O296" i="96" a="1"/>
  <c r="O210" i="96" a="1"/>
  <c r="O14" i="96" a="1"/>
  <c r="O290" i="96" a="1"/>
  <c r="O38" i="96" a="1"/>
  <c r="O163" i="96" a="1"/>
  <c r="O240" i="96" a="1"/>
  <c r="O33" i="96" a="1"/>
  <c r="O203" i="96" a="1"/>
  <c r="O170" i="96" a="1"/>
  <c r="O148" i="96" a="1"/>
  <c r="O333" i="96" a="1"/>
  <c r="O158" i="96" a="1"/>
  <c r="O322" i="96" a="1"/>
  <c r="O9" i="96" a="1"/>
  <c r="O141" i="96" a="1"/>
  <c r="O220" i="96" a="1"/>
  <c r="O135" i="96" a="1"/>
  <c r="O121" i="96" a="1"/>
  <c r="O52" i="96" a="1"/>
  <c r="O196" i="96" a="1"/>
  <c r="O229" i="96" a="1"/>
  <c r="O254" i="96" a="1"/>
  <c r="O84" i="96" a="1"/>
  <c r="O43" i="96" a="1"/>
  <c r="O182" i="96" a="1"/>
  <c r="O71" i="96" a="1"/>
  <c r="O83" i="96" a="1"/>
  <c r="O23" i="96" a="1"/>
  <c r="O134" i="96" a="1"/>
  <c r="O225" i="96" a="1"/>
  <c r="O164" i="96" a="1"/>
  <c r="O269" i="96" a="1"/>
  <c r="O185" i="96" a="1"/>
  <c r="O35" i="96" a="1"/>
  <c r="O200" i="96" a="1"/>
  <c r="O98" i="96" a="1"/>
  <c r="O301" i="96" a="1"/>
  <c r="O101" i="96" a="1"/>
  <c r="O119" i="96" a="1"/>
  <c r="O303" i="96" a="1"/>
  <c r="O78" i="96" a="1"/>
  <c r="O64" i="96" a="1"/>
  <c r="O138" i="96" a="1"/>
  <c r="O31" i="96" a="1"/>
  <c r="O97" i="96" a="1"/>
  <c r="O280" i="96" a="1"/>
  <c r="O166" i="96" a="1"/>
  <c r="O45" i="96" a="1"/>
  <c r="O256" i="96" a="1"/>
  <c r="O109" i="96" a="1"/>
  <c r="O262" i="96" a="1"/>
  <c r="O90" i="96" a="1"/>
  <c r="O152" i="96" a="1"/>
  <c r="O187" i="96" a="1"/>
  <c r="O173" i="96" a="1"/>
  <c r="O165" i="96" a="1"/>
  <c r="O184" i="96" a="1"/>
  <c r="O271" i="96" a="1"/>
  <c r="O237" i="96" a="1"/>
  <c r="O154" i="96" a="1"/>
  <c r="O143" i="96" a="1"/>
  <c r="O79" i="96" a="1"/>
  <c r="O146" i="96" a="1"/>
  <c r="O192" i="96" a="1"/>
  <c r="O313" i="96" a="1"/>
  <c r="O15" i="96" a="1"/>
  <c r="O277" i="96" a="1"/>
  <c r="O306" i="96" a="1"/>
  <c r="O130" i="96" a="1"/>
  <c r="BD58" i="27" l="1"/>
  <c r="AT217" i="27" a="1"/>
  <c r="AT217" i="27" s="1"/>
  <c r="AK217" i="27" a="1"/>
  <c r="AK217" i="27" s="1"/>
  <c r="AG217" i="27"/>
  <c r="BC55" i="27"/>
  <c r="BD55" i="27"/>
  <c r="AC20" i="27"/>
  <c r="BA217" i="27"/>
  <c r="BC217" i="27" s="1"/>
  <c r="AG20" i="27"/>
  <c r="AF20" i="27" a="1"/>
  <c r="AF20" i="27" s="1"/>
  <c r="AK20" i="27" a="1"/>
  <c r="AK20" i="27" s="1"/>
  <c r="AM20" i="27" s="1"/>
  <c r="AH20" i="27"/>
  <c r="BC272" i="27"/>
  <c r="N14" i="95"/>
  <c r="AT188" i="27" a="1"/>
  <c r="AT188" i="27" s="1"/>
  <c r="AF188" i="27" a="1"/>
  <c r="AF188" i="27" s="1"/>
  <c r="AG188" i="27"/>
  <c r="AK188" i="27" a="1"/>
  <c r="AK188" i="27" s="1"/>
  <c r="AL188" i="27" s="1" a="1"/>
  <c r="AL188" i="27" s="1"/>
  <c r="AS188" i="27" a="1"/>
  <c r="AS188" i="27" s="1"/>
  <c r="AS20" i="27" a="1"/>
  <c r="AS20" i="27" s="1"/>
  <c r="AQ44" i="27" a="1"/>
  <c r="AQ44" i="27" s="1"/>
  <c r="AT42" i="27" a="1"/>
  <c r="AT42" i="27" s="1"/>
  <c r="AC195" i="27"/>
  <c r="BD73" i="27"/>
  <c r="AS42" i="27" a="1"/>
  <c r="AS42" i="27" s="1"/>
  <c r="AI188" i="27"/>
  <c r="AJ188" i="27" s="1" a="1"/>
  <c r="AJ188" i="27" s="1"/>
  <c r="AI195" i="27"/>
  <c r="AJ195" i="27" s="1" a="1"/>
  <c r="AJ195" i="27" s="1"/>
  <c r="AK42" i="27" a="1"/>
  <c r="AK42" i="27" s="1"/>
  <c r="AL42" i="27" s="1" a="1"/>
  <c r="AL42" i="27" s="1"/>
  <c r="AT215" i="27" a="1"/>
  <c r="AT215" i="27" s="1"/>
  <c r="AR306" i="27" a="1"/>
  <c r="AR306" i="27" s="1"/>
  <c r="AR178" i="27" a="1"/>
  <c r="AR178" i="27" s="1"/>
  <c r="AQ252" i="27" a="1"/>
  <c r="AQ252" i="27" s="1"/>
  <c r="AG126" i="27"/>
  <c r="AR60" i="27" a="1"/>
  <c r="AR60" i="27" s="1"/>
  <c r="AS126" i="27" a="1"/>
  <c r="AS126" i="27" s="1"/>
  <c r="AT126" i="27" a="1"/>
  <c r="AT126" i="27" s="1"/>
  <c r="AR157" i="27" a="1"/>
  <c r="AR157" i="27" s="1"/>
  <c r="BC119" i="27"/>
  <c r="AH126" i="27"/>
  <c r="AR160" i="27" a="1"/>
  <c r="AR160" i="27" s="1"/>
  <c r="AF42" i="27" a="1"/>
  <c r="AF42" i="27" s="1"/>
  <c r="AR304" i="27" a="1"/>
  <c r="AR304" i="27" s="1"/>
  <c r="BA195" i="27"/>
  <c r="BC195" i="27" s="1"/>
  <c r="AR64" i="27" a="1"/>
  <c r="AR64" i="27" s="1"/>
  <c r="AQ95" i="27" a="1"/>
  <c r="AQ95" i="27" s="1"/>
  <c r="AR313" i="27" a="1"/>
  <c r="AR313" i="27" s="1"/>
  <c r="AG42" i="27"/>
  <c r="AR34" i="27" a="1"/>
  <c r="AR34" i="27" s="1"/>
  <c r="AK126" i="27" a="1"/>
  <c r="AK126" i="27" s="1"/>
  <c r="AM126" i="27" s="1"/>
  <c r="AR245" i="27" a="1"/>
  <c r="AR245" i="27" s="1"/>
  <c r="AF126" i="27" a="1"/>
  <c r="AF126" i="27" s="1"/>
  <c r="O99" i="96"/>
  <c r="AC126" i="27"/>
  <c r="AT20" i="27" a="1"/>
  <c r="AT20" i="27" s="1"/>
  <c r="AT195" i="27" a="1"/>
  <c r="AT195" i="27" s="1"/>
  <c r="AT114" i="27" a="1"/>
  <c r="AT114" i="27" s="1"/>
  <c r="AC217" i="27"/>
  <c r="BA126" i="27"/>
  <c r="BC126" i="27" s="1"/>
  <c r="O35" i="96"/>
  <c r="AC139" i="27"/>
  <c r="AC188" i="27"/>
  <c r="O140" i="96"/>
  <c r="O209" i="96"/>
  <c r="O153" i="96"/>
  <c r="O214" i="96"/>
  <c r="O320" i="96"/>
  <c r="O21" i="96"/>
  <c r="O87" i="96"/>
  <c r="O185" i="96"/>
  <c r="O293" i="96"/>
  <c r="O15" i="96"/>
  <c r="O230" i="96"/>
  <c r="O193" i="96"/>
  <c r="O190" i="96"/>
  <c r="O143" i="96"/>
  <c r="O100" i="96"/>
  <c r="O48" i="96"/>
  <c r="O2" i="96"/>
  <c r="O322" i="96"/>
  <c r="O145" i="96"/>
  <c r="O119" i="96"/>
  <c r="O205" i="96"/>
  <c r="O13" i="96"/>
  <c r="O171" i="96"/>
  <c r="O175" i="96"/>
  <c r="O197" i="96"/>
  <c r="O313" i="96"/>
  <c r="O25" i="96"/>
  <c r="O303" i="96"/>
  <c r="O82" i="96"/>
  <c r="O335" i="96"/>
  <c r="O181" i="96"/>
  <c r="O34" i="96"/>
  <c r="O273" i="96"/>
  <c r="O275" i="96"/>
  <c r="O36" i="96"/>
  <c r="O258" i="96"/>
  <c r="O236" i="96"/>
  <c r="O222" i="96"/>
  <c r="O144" i="96"/>
  <c r="O61" i="96"/>
  <c r="O279" i="96"/>
  <c r="O191" i="96"/>
  <c r="O74" i="96"/>
  <c r="O250" i="96"/>
  <c r="O174" i="96"/>
  <c r="O102" i="96"/>
  <c r="O156" i="96"/>
  <c r="O20" i="96"/>
  <c r="O64" i="96"/>
  <c r="O220" i="96"/>
  <c r="O72" i="96"/>
  <c r="O207" i="96"/>
  <c r="O107" i="96"/>
  <c r="O333" i="96"/>
  <c r="O319" i="96"/>
  <c r="O58" i="96"/>
  <c r="O202" i="96"/>
  <c r="O287" i="96"/>
  <c r="O229" i="96"/>
  <c r="O252" i="96"/>
  <c r="O336" i="96"/>
  <c r="O178" i="96"/>
  <c r="O187" i="96"/>
  <c r="O201" i="96"/>
  <c r="O270" i="96"/>
  <c r="O218" i="96"/>
  <c r="O9" i="96"/>
  <c r="O217" i="96"/>
  <c r="O213" i="96"/>
  <c r="O280" i="96"/>
  <c r="O5" i="96"/>
  <c r="O85" i="96"/>
  <c r="O122" i="96"/>
  <c r="O164" i="96"/>
  <c r="O286" i="96"/>
  <c r="O151" i="96"/>
  <c r="O23" i="96"/>
  <c r="O148" i="96"/>
  <c r="O95" i="96"/>
  <c r="O268" i="96"/>
  <c r="O43" i="96"/>
  <c r="O232" i="96"/>
  <c r="O75" i="96"/>
  <c r="O263" i="96"/>
  <c r="O267" i="96"/>
  <c r="O146" i="96"/>
  <c r="O53" i="96"/>
  <c r="O33" i="96"/>
  <c r="O103" i="96"/>
  <c r="O37" i="96"/>
  <c r="O200" i="96"/>
  <c r="O150" i="96"/>
  <c r="O56" i="96"/>
  <c r="O93" i="96"/>
  <c r="O152" i="96"/>
  <c r="O115" i="96"/>
  <c r="O78" i="96"/>
  <c r="O159" i="96"/>
  <c r="O65" i="96"/>
  <c r="O219" i="96"/>
  <c r="O260" i="96"/>
  <c r="O304" i="96"/>
  <c r="O192" i="96"/>
  <c r="O223" i="96"/>
  <c r="O257" i="96"/>
  <c r="O184" i="96"/>
  <c r="O224" i="96"/>
  <c r="O289" i="96"/>
  <c r="O62" i="96"/>
  <c r="O155" i="96"/>
  <c r="O26" i="96"/>
  <c r="O59" i="96"/>
  <c r="O188" i="96"/>
  <c r="O94" i="96"/>
  <c r="O52" i="96"/>
  <c r="O121" i="96"/>
  <c r="O18" i="96"/>
  <c r="O334" i="96"/>
  <c r="O132" i="96"/>
  <c r="O160" i="96"/>
  <c r="O46" i="96"/>
  <c r="O173" i="96"/>
  <c r="O117" i="96"/>
  <c r="O118" i="96"/>
  <c r="O168" i="96"/>
  <c r="O142" i="96"/>
  <c r="O90" i="96"/>
  <c r="O314" i="96"/>
  <c r="O84" i="96"/>
  <c r="O302" i="96"/>
  <c r="O204" i="96"/>
  <c r="O244" i="96"/>
  <c r="O31" i="96"/>
  <c r="O254" i="96"/>
  <c r="O139" i="96"/>
  <c r="O203" i="96"/>
  <c r="O71" i="96"/>
  <c r="O216" i="96"/>
  <c r="O298" i="96"/>
  <c r="O133" i="96"/>
  <c r="O96" i="96"/>
  <c r="O135" i="96"/>
  <c r="O125" i="96"/>
  <c r="O307" i="96"/>
  <c r="O17" i="96"/>
  <c r="O235" i="96"/>
  <c r="O158" i="96"/>
  <c r="O7" i="96"/>
  <c r="O30" i="96"/>
  <c r="O194" i="96"/>
  <c r="O256" i="96"/>
  <c r="O55" i="96"/>
  <c r="O261" i="96"/>
  <c r="O68" i="96"/>
  <c r="O296" i="96"/>
  <c r="O264" i="96"/>
  <c r="O147" i="96"/>
  <c r="O12" i="96"/>
  <c r="O73" i="96"/>
  <c r="O306" i="96"/>
  <c r="O128" i="96"/>
  <c r="O262" i="96"/>
  <c r="O4" i="96"/>
  <c r="O47" i="96"/>
  <c r="O195" i="96"/>
  <c r="O40" i="96"/>
  <c r="O234" i="96"/>
  <c r="O3" i="96"/>
  <c r="O182" i="96"/>
  <c r="O97" i="96"/>
  <c r="O92" i="96"/>
  <c r="O6" i="96"/>
  <c r="O309" i="96"/>
  <c r="O245" i="96"/>
  <c r="O212" i="96"/>
  <c r="O41" i="96"/>
  <c r="O288" i="96"/>
  <c r="O42" i="96"/>
  <c r="O112" i="96"/>
  <c r="O186" i="96"/>
  <c r="O284" i="96"/>
  <c r="O67" i="96"/>
  <c r="O69" i="96"/>
  <c r="O39" i="96"/>
  <c r="O259" i="96"/>
  <c r="O27" i="96"/>
  <c r="O44" i="96"/>
  <c r="O54" i="96"/>
  <c r="O134" i="96"/>
  <c r="O120" i="96"/>
  <c r="O86" i="96"/>
  <c r="O294" i="96"/>
  <c r="O127" i="96"/>
  <c r="O228" i="96"/>
  <c r="O130" i="96"/>
  <c r="O116" i="96"/>
  <c r="O282" i="96"/>
  <c r="O131" i="96"/>
  <c r="O330" i="96"/>
  <c r="O211" i="96"/>
  <c r="O81" i="96"/>
  <c r="O276" i="96"/>
  <c r="O161" i="96"/>
  <c r="O242" i="96"/>
  <c r="O51" i="96"/>
  <c r="O297" i="96"/>
  <c r="O285" i="96"/>
  <c r="O108" i="96"/>
  <c r="O98" i="96"/>
  <c r="O137" i="96"/>
  <c r="O163" i="96"/>
  <c r="O247" i="96"/>
  <c r="O169" i="96"/>
  <c r="O105" i="96"/>
  <c r="O172" i="96"/>
  <c r="O162" i="96"/>
  <c r="O240" i="96"/>
  <c r="O324" i="96"/>
  <c r="O83" i="96"/>
  <c r="O243" i="96"/>
  <c r="O167" i="96"/>
  <c r="O278" i="96"/>
  <c r="O11" i="96"/>
  <c r="O111" i="96"/>
  <c r="O14" i="96"/>
  <c r="O124" i="96"/>
  <c r="O57" i="96"/>
  <c r="O266" i="96"/>
  <c r="O210" i="96"/>
  <c r="O180" i="96"/>
  <c r="O198" i="96"/>
  <c r="O265" i="96"/>
  <c r="O136" i="96"/>
  <c r="O327" i="96"/>
  <c r="O113" i="96"/>
  <c r="O126" i="96"/>
  <c r="O179" i="96"/>
  <c r="O165" i="96"/>
  <c r="O325" i="96"/>
  <c r="O138" i="96"/>
  <c r="O88" i="96"/>
  <c r="O226" i="96"/>
  <c r="O166" i="96"/>
  <c r="O239" i="96"/>
  <c r="O315" i="96"/>
  <c r="O91" i="96"/>
  <c r="O196" i="96"/>
  <c r="O38" i="96"/>
  <c r="O154" i="96"/>
  <c r="O231" i="96"/>
  <c r="O237" i="96"/>
  <c r="O227" i="96"/>
  <c r="O80" i="96"/>
  <c r="O208" i="96"/>
  <c r="O295" i="96"/>
  <c r="O291" i="96"/>
  <c r="O63" i="96"/>
  <c r="O225" i="96"/>
  <c r="O32" i="96"/>
  <c r="O249" i="96"/>
  <c r="O141" i="96"/>
  <c r="O60" i="96"/>
  <c r="O129" i="96"/>
  <c r="O311" i="96"/>
  <c r="O109" i="96"/>
  <c r="O246" i="96"/>
  <c r="O281" i="96"/>
  <c r="O308" i="96"/>
  <c r="O79" i="96"/>
  <c r="O253" i="96"/>
  <c r="O272" i="96"/>
  <c r="O76" i="96"/>
  <c r="O299" i="96"/>
  <c r="O170" i="96"/>
  <c r="O321" i="96"/>
  <c r="O110" i="96"/>
  <c r="O16" i="96"/>
  <c r="O269" i="96"/>
  <c r="O301" i="96"/>
  <c r="O101" i="96"/>
  <c r="O238" i="96"/>
  <c r="O89" i="96"/>
  <c r="O251" i="96"/>
  <c r="O316" i="96"/>
  <c r="O157" i="96"/>
  <c r="O305" i="96"/>
  <c r="O233" i="96"/>
  <c r="O248" i="96"/>
  <c r="O22" i="96"/>
  <c r="O177" i="96"/>
  <c r="O50" i="96"/>
  <c r="O183" i="96"/>
  <c r="O45" i="96"/>
  <c r="O277" i="96"/>
  <c r="O310" i="96"/>
  <c r="O300" i="96"/>
  <c r="O28" i="96"/>
  <c r="O290" i="96"/>
  <c r="O66" i="96"/>
  <c r="O241" i="96"/>
  <c r="O199" i="96"/>
  <c r="O206" i="96"/>
  <c r="O271" i="96"/>
  <c r="O114" i="96"/>
  <c r="O24" i="96"/>
  <c r="O149" i="96"/>
  <c r="O215" i="96"/>
  <c r="O328" i="96"/>
  <c r="O123" i="96"/>
  <c r="AD272" i="27" a="1"/>
  <c r="AD272" i="27" s="1"/>
  <c r="AD186" i="27" a="1"/>
  <c r="AD186" i="27" s="1"/>
  <c r="AD32" i="27" a="1"/>
  <c r="AD32" i="27" s="1"/>
  <c r="AD53" i="27" a="1"/>
  <c r="AD53" i="27" s="1"/>
  <c r="AD136" i="27" a="1"/>
  <c r="AD136" i="27" s="1"/>
  <c r="AD118" i="27" a="1"/>
  <c r="AD118" i="27" s="1"/>
  <c r="AD259" i="27" a="1"/>
  <c r="AD259" i="27" s="1"/>
  <c r="AD52" i="27" a="1"/>
  <c r="AD52" i="27" s="1"/>
  <c r="AD327" i="27" a="1"/>
  <c r="AD327" i="27" s="1"/>
  <c r="AD161" i="27" a="1"/>
  <c r="AD161" i="27" s="1"/>
  <c r="AD30" i="27" a="1"/>
  <c r="AD30" i="27" s="1"/>
  <c r="AD151" i="27" a="1"/>
  <c r="AD151" i="27" s="1"/>
  <c r="AD289" i="27" a="1"/>
  <c r="AD289" i="27" s="1"/>
  <c r="AD209" i="27" a="1"/>
  <c r="AD209" i="27" s="1"/>
  <c r="AD47" i="27" a="1"/>
  <c r="AD47" i="27" s="1"/>
  <c r="AD242" i="27" a="1"/>
  <c r="AD242" i="27" s="1"/>
  <c r="AD115" i="27" a="1"/>
  <c r="AD115" i="27" s="1"/>
  <c r="AD78" i="27" a="1"/>
  <c r="AD78" i="27" s="1"/>
  <c r="AD27" i="27" a="1"/>
  <c r="AD27" i="27" s="1"/>
  <c r="AD96" i="27" a="1"/>
  <c r="AD96" i="27" s="1"/>
  <c r="AD233" i="27" a="1"/>
  <c r="AD233" i="27" s="1"/>
  <c r="AD143" i="27" a="1"/>
  <c r="AD143" i="27" s="1"/>
  <c r="AD138" i="27" a="1"/>
  <c r="AD138" i="27" s="1"/>
  <c r="AD43" i="27" a="1"/>
  <c r="AD43" i="27" s="1"/>
  <c r="AD173" i="27" a="1"/>
  <c r="AD173" i="27" s="1"/>
  <c r="AD235" i="27" a="1"/>
  <c r="AD235" i="27" s="1"/>
  <c r="AD84" i="27" a="1"/>
  <c r="AD84" i="27" s="1"/>
  <c r="AD256" i="27" a="1"/>
  <c r="AD256" i="27" s="1"/>
  <c r="AD109" i="27" a="1"/>
  <c r="AD109" i="27" s="1"/>
  <c r="AD93" i="27" a="1"/>
  <c r="AD93" i="27" s="1"/>
  <c r="AD64" i="27" a="1"/>
  <c r="AD64" i="27" s="1"/>
  <c r="AD212" i="27" a="1"/>
  <c r="AD212" i="27" s="1"/>
  <c r="AD315" i="27" a="1"/>
  <c r="AD315" i="27" s="1"/>
  <c r="AD108" i="27" a="1"/>
  <c r="AD108" i="27" s="1"/>
  <c r="AD132" i="27" a="1"/>
  <c r="AD132" i="27" s="1"/>
  <c r="AD71" i="27" a="1"/>
  <c r="AD71" i="27" s="1"/>
  <c r="AD219" i="27" a="1"/>
  <c r="AD219" i="27" s="1"/>
  <c r="AD218" i="27" a="1"/>
  <c r="AD218" i="27" s="1"/>
  <c r="AD250" i="27" a="1"/>
  <c r="AD250" i="27" s="1"/>
  <c r="AD318" i="27" a="1"/>
  <c r="AD318" i="27" s="1"/>
  <c r="AD140" i="27" a="1"/>
  <c r="AD140" i="27" s="1"/>
  <c r="AD81" i="27" a="1"/>
  <c r="AD81" i="27" s="1"/>
  <c r="AD18" i="27" a="1"/>
  <c r="AD18" i="27" s="1"/>
  <c r="AD104" i="27" a="1"/>
  <c r="AD104" i="27" s="1"/>
  <c r="AD95" i="27" a="1"/>
  <c r="AD95" i="27" s="1"/>
  <c r="AD275" i="27" a="1"/>
  <c r="AD275" i="27" s="1"/>
  <c r="AD234" i="27" a="1"/>
  <c r="AD234" i="27" s="1"/>
  <c r="AD252" i="27" a="1"/>
  <c r="AD252" i="27" s="1"/>
  <c r="AD177" i="27" a="1"/>
  <c r="AD177" i="27" s="1"/>
  <c r="AD11" i="27" a="1"/>
  <c r="AD11" i="27" s="1"/>
  <c r="AD69" i="27" a="1"/>
  <c r="AD69" i="27" s="1"/>
  <c r="AD200" i="27" a="1"/>
  <c r="AD200" i="27" s="1"/>
  <c r="AD123" i="27" a="1"/>
  <c r="AD123" i="27" s="1"/>
  <c r="AD45" i="27" a="1"/>
  <c r="AD45" i="27" s="1"/>
  <c r="AD248" i="27" a="1"/>
  <c r="AD248" i="27" s="1"/>
  <c r="AD153" i="27" a="1"/>
  <c r="AD153" i="27" s="1"/>
  <c r="AD323" i="27" a="1"/>
  <c r="AD323" i="27" s="1"/>
  <c r="AD98" i="27" a="1"/>
  <c r="AD98" i="27" s="1"/>
  <c r="AD305" i="27" a="1"/>
  <c r="AD305" i="27" s="1"/>
  <c r="AD14" i="27" a="1"/>
  <c r="AD14" i="27" s="1"/>
  <c r="AD66" i="27" a="1"/>
  <c r="AD66" i="27" s="1"/>
  <c r="AD16" i="27" a="1"/>
  <c r="AD16" i="27" s="1"/>
  <c r="AD74" i="27" a="1"/>
  <c r="AD74" i="27" s="1"/>
  <c r="AD158" i="27" a="1"/>
  <c r="AD158" i="27" s="1"/>
  <c r="AD295" i="27" a="1"/>
  <c r="AD295" i="27" s="1"/>
  <c r="AD231" i="27" a="1"/>
  <c r="AD231" i="27" s="1"/>
  <c r="AD294" i="27" a="1"/>
  <c r="AD294" i="27" s="1"/>
  <c r="AD131" i="27" a="1"/>
  <c r="AD131" i="27" s="1"/>
  <c r="AD319" i="27" a="1"/>
  <c r="AD319" i="27" s="1"/>
  <c r="AD60" i="27" a="1"/>
  <c r="AD60" i="27" s="1"/>
  <c r="AD33" i="27" a="1"/>
  <c r="AD33" i="27" s="1"/>
  <c r="AD201" i="27" a="1"/>
  <c r="AD201" i="27" s="1"/>
  <c r="AD282" i="27" a="1"/>
  <c r="AD282" i="27" s="1"/>
  <c r="AD172" i="27" a="1"/>
  <c r="AD172" i="27" s="1"/>
  <c r="AD273" i="27" a="1"/>
  <c r="AD273" i="27" s="1"/>
  <c r="AD112" i="27" a="1"/>
  <c r="AD112" i="27" s="1"/>
  <c r="AD7" i="27" a="1"/>
  <c r="AD7" i="27" s="1"/>
  <c r="AD266" i="27" a="1"/>
  <c r="AD266" i="27" s="1"/>
  <c r="AD312" i="27" a="1"/>
  <c r="AD312" i="27" s="1"/>
  <c r="AD240" i="27" a="1"/>
  <c r="AD240" i="27" s="1"/>
  <c r="AD301" i="27" a="1"/>
  <c r="AD301" i="27" s="1"/>
  <c r="AD147" i="27" a="1"/>
  <c r="AD147" i="27" s="1"/>
  <c r="AD310" i="27" a="1"/>
  <c r="AD310" i="27" s="1"/>
  <c r="AD191" i="27" a="1"/>
  <c r="AD191" i="27" s="1"/>
  <c r="AD128" i="27" a="1"/>
  <c r="AD128" i="27" s="1"/>
  <c r="AD245" i="27" a="1"/>
  <c r="AD245" i="27" s="1"/>
  <c r="AD134" i="27" a="1"/>
  <c r="AD134" i="27" s="1"/>
  <c r="AD121" i="27" a="1"/>
  <c r="AD121" i="27" s="1"/>
  <c r="AD21" i="27" a="1"/>
  <c r="AD21" i="27" s="1"/>
  <c r="AD175" i="27" a="1"/>
  <c r="AD175" i="27" s="1"/>
  <c r="AD48" i="27" a="1"/>
  <c r="AD48" i="27" s="1"/>
  <c r="AD247" i="27" a="1"/>
  <c r="AD247" i="27" s="1"/>
  <c r="AD264" i="27" a="1"/>
  <c r="AD264" i="27" s="1"/>
  <c r="AD274" i="27" a="1"/>
  <c r="AD274" i="27" s="1"/>
  <c r="AD146" i="27" a="1"/>
  <c r="AD146" i="27" s="1"/>
  <c r="AD145" i="27" a="1"/>
  <c r="AD145" i="27" s="1"/>
  <c r="AD277" i="27" a="1"/>
  <c r="AD277" i="27" s="1"/>
  <c r="AD113" i="27" a="1"/>
  <c r="AD113" i="27" s="1"/>
  <c r="AD296" i="27" a="1"/>
  <c r="AD296" i="27" s="1"/>
  <c r="AD111" i="27" a="1"/>
  <c r="AD111" i="27" s="1"/>
  <c r="AD333" i="27" a="1"/>
  <c r="AD333" i="27" s="1"/>
  <c r="AD41" i="27" a="1"/>
  <c r="AD41" i="27" s="1"/>
  <c r="AD297" i="27" a="1"/>
  <c r="AD297" i="27" s="1"/>
  <c r="AD308" i="27" a="1"/>
  <c r="AD308" i="27" s="1"/>
  <c r="AD91" i="27" a="1"/>
  <c r="AD91" i="27" s="1"/>
  <c r="AD31" i="27" a="1"/>
  <c r="AD31" i="27" s="1"/>
  <c r="AD208" i="27" a="1"/>
  <c r="AD208" i="27" s="1"/>
  <c r="AD251" i="27" a="1"/>
  <c r="AD251" i="27" s="1"/>
  <c r="AD44" i="27" a="1"/>
  <c r="AD44" i="27" s="1"/>
  <c r="AD216" i="27" a="1"/>
  <c r="AD216" i="27" s="1"/>
  <c r="AD19" i="27" a="1"/>
  <c r="AD19" i="27" s="1"/>
  <c r="AD40" i="27" a="1"/>
  <c r="AD40" i="27" s="1"/>
  <c r="AD265" i="27" a="1"/>
  <c r="AD265" i="27" s="1"/>
  <c r="AD189" i="27" a="1"/>
  <c r="AD189" i="27" s="1"/>
  <c r="AD230" i="27" a="1"/>
  <c r="AD230" i="27" s="1"/>
  <c r="AD166" i="27" a="1"/>
  <c r="AD166" i="27" s="1"/>
  <c r="AD338" i="27" a="1"/>
  <c r="AD338" i="27" s="1"/>
  <c r="AD196" i="27" a="1"/>
  <c r="AD196" i="27" s="1"/>
  <c r="AD278" i="27" a="1"/>
  <c r="AD278" i="27" s="1"/>
  <c r="AD167" i="27" a="1"/>
  <c r="AD167" i="27" s="1"/>
  <c r="AD288" i="27" a="1"/>
  <c r="AD288" i="27" s="1"/>
  <c r="AD86" i="27" a="1"/>
  <c r="AD86" i="27" s="1"/>
  <c r="AD162" i="27" a="1"/>
  <c r="AD162" i="27" s="1"/>
  <c r="AD285" i="27" a="1"/>
  <c r="AD285" i="27" s="1"/>
  <c r="AD46" i="27" a="1"/>
  <c r="AD46" i="27" s="1"/>
  <c r="AD262" i="27" a="1"/>
  <c r="AD262" i="27" s="1"/>
  <c r="AD337" i="27" a="1"/>
  <c r="AD337" i="27" s="1"/>
  <c r="AD257" i="27" a="1"/>
  <c r="AD257" i="27" s="1"/>
  <c r="AD332" i="27" a="1"/>
  <c r="AD332" i="27" s="1"/>
  <c r="AD90" i="27" a="1"/>
  <c r="AD90" i="27" s="1"/>
  <c r="AD103" i="27" a="1"/>
  <c r="AD103" i="27" s="1"/>
  <c r="AD70" i="27" a="1"/>
  <c r="AD70" i="27" s="1"/>
  <c r="AD97" i="27" a="1"/>
  <c r="AD97" i="27" s="1"/>
  <c r="AD82" i="27" a="1"/>
  <c r="AD82" i="27" s="1"/>
  <c r="AD149" i="27" a="1"/>
  <c r="AD149" i="27" s="1"/>
  <c r="AD94" i="27" a="1"/>
  <c r="AD94" i="27" s="1"/>
  <c r="AD293" i="27" a="1"/>
  <c r="AD293" i="27" s="1"/>
  <c r="AD106" i="27" a="1"/>
  <c r="AD106" i="27" s="1"/>
  <c r="AD197" i="27" a="1"/>
  <c r="AD197" i="27" s="1"/>
  <c r="AD267" i="27" a="1"/>
  <c r="AD267" i="27" s="1"/>
  <c r="AD51" i="27" a="1"/>
  <c r="AD51" i="27" s="1"/>
  <c r="AD157" i="27" a="1"/>
  <c r="AD157" i="27" s="1"/>
  <c r="AD214" i="27" a="1"/>
  <c r="AD214" i="27" s="1"/>
  <c r="AD24" i="27" a="1"/>
  <c r="AD24" i="27" s="1"/>
  <c r="AD303" i="27" a="1"/>
  <c r="AD303" i="27" s="1"/>
  <c r="AD276" i="27" a="1"/>
  <c r="AD276" i="27" s="1"/>
  <c r="AD232" i="27" a="1"/>
  <c r="AD232" i="27" s="1"/>
  <c r="AD141" i="27" a="1"/>
  <c r="AD141" i="27" s="1"/>
  <c r="AD290" i="27" a="1"/>
  <c r="AD290" i="27" s="1"/>
  <c r="AD307" i="27" a="1"/>
  <c r="AD307" i="27" s="1"/>
  <c r="AD221" i="27" a="1"/>
  <c r="AD221" i="27" s="1"/>
  <c r="AD133" i="27" a="1"/>
  <c r="AD133" i="27" s="1"/>
  <c r="AD8" i="27" a="1"/>
  <c r="AD8" i="27" s="1"/>
  <c r="AD329" i="27" a="1"/>
  <c r="AD329" i="27" s="1"/>
  <c r="AD311" i="27" a="1"/>
  <c r="AD311" i="27" s="1"/>
  <c r="AD116" i="27" a="1"/>
  <c r="AD116" i="27" s="1"/>
  <c r="AD105" i="27" a="1"/>
  <c r="AD105" i="27" s="1"/>
  <c r="AD50" i="27" a="1"/>
  <c r="AD50" i="27" s="1"/>
  <c r="AD181" i="27" a="1"/>
  <c r="AD181" i="27" s="1"/>
  <c r="AD180" i="27" a="1"/>
  <c r="AD180" i="27" s="1"/>
  <c r="AD120" i="27" a="1"/>
  <c r="AD120" i="27" s="1"/>
  <c r="AD199" i="27" a="1"/>
  <c r="AD199" i="27" s="1"/>
  <c r="AD139" i="27" a="1"/>
  <c r="AD139" i="27" s="1"/>
  <c r="AD122" i="27" a="1"/>
  <c r="AD122" i="27" s="1"/>
  <c r="AD238" i="27" a="1"/>
  <c r="AD238" i="27" s="1"/>
  <c r="AD207" i="27" a="1"/>
  <c r="AD207" i="27" s="1"/>
  <c r="AD184" i="27" a="1"/>
  <c r="AD184" i="27" s="1"/>
  <c r="AD150" i="27" a="1"/>
  <c r="AD150" i="27" s="1"/>
  <c r="AD268" i="27" a="1"/>
  <c r="AD268" i="27" s="1"/>
  <c r="AD6" i="27" a="1"/>
  <c r="AD6" i="27" s="1"/>
  <c r="AD204" i="27" a="1"/>
  <c r="AD204" i="27" s="1"/>
  <c r="AD99" i="27" a="1"/>
  <c r="AD99" i="27" s="1"/>
  <c r="AD227" i="27" a="1"/>
  <c r="AD227" i="27" s="1"/>
  <c r="AD292" i="27" a="1"/>
  <c r="AD292" i="27" s="1"/>
  <c r="AD156" i="27" a="1"/>
  <c r="AD156" i="27" s="1"/>
  <c r="AD324" i="27" a="1"/>
  <c r="AD324" i="27" s="1"/>
  <c r="AD239" i="27" a="1"/>
  <c r="AD239" i="27" s="1"/>
  <c r="AD187" i="27" a="1"/>
  <c r="AD187" i="27" s="1"/>
  <c r="AD101" i="27" a="1"/>
  <c r="AD101" i="27" s="1"/>
  <c r="AD322" i="27" a="1"/>
  <c r="AD322" i="27" s="1"/>
  <c r="AD178" i="27" a="1"/>
  <c r="AD178" i="27" s="1"/>
  <c r="AD57" i="27" a="1"/>
  <c r="AD57" i="27" s="1"/>
  <c r="AD237" i="27" a="1"/>
  <c r="AD237" i="27" s="1"/>
  <c r="AD309" i="27" a="1"/>
  <c r="AD309" i="27" s="1"/>
  <c r="AD10" i="27" a="1"/>
  <c r="AD10" i="27" s="1"/>
  <c r="AD241" i="27" a="1"/>
  <c r="AD241" i="27" s="1"/>
  <c r="AD246" i="27" a="1"/>
  <c r="AD246" i="27" s="1"/>
  <c r="AD202" i="27" a="1"/>
  <c r="AD202" i="27" s="1"/>
  <c r="AD159" i="27" a="1"/>
  <c r="AD159" i="27" s="1"/>
  <c r="AD258" i="27" a="1"/>
  <c r="AD258" i="27" s="1"/>
  <c r="AD328" i="27" a="1"/>
  <c r="AD328" i="27" s="1"/>
  <c r="AD229" i="27" a="1"/>
  <c r="AD229" i="27" s="1"/>
  <c r="AD183" i="27" a="1"/>
  <c r="AD183" i="27" s="1"/>
  <c r="AD154" i="27" a="1"/>
  <c r="AD154" i="27" s="1"/>
  <c r="AD223" i="27" a="1"/>
  <c r="AD223" i="27" s="1"/>
  <c r="AD321" i="27" a="1"/>
  <c r="AD321" i="27" s="1"/>
  <c r="AD176" i="27" a="1"/>
  <c r="AD176" i="27" s="1"/>
  <c r="AD59" i="27" a="1"/>
  <c r="AD59" i="27" s="1"/>
  <c r="AD198" i="27" a="1"/>
  <c r="AD198" i="27" s="1"/>
  <c r="AD255" i="27" a="1"/>
  <c r="AD255" i="27" s="1"/>
  <c r="AD316" i="27" a="1"/>
  <c r="AD316" i="27" s="1"/>
  <c r="AD279" i="27" a="1"/>
  <c r="AD279" i="27" s="1"/>
  <c r="AD194" i="27" a="1"/>
  <c r="AD194" i="27" s="1"/>
  <c r="AD244" i="27" a="1"/>
  <c r="AD244" i="27" s="1"/>
  <c r="AD163" i="27" a="1"/>
  <c r="AD163" i="27" s="1"/>
  <c r="AD164" i="27" a="1"/>
  <c r="AD164" i="27" s="1"/>
  <c r="AD169" i="27" a="1"/>
  <c r="AD169" i="27" s="1"/>
  <c r="AD269" i="27" a="1"/>
  <c r="AD269" i="27" s="1"/>
  <c r="AD271" i="27" a="1"/>
  <c r="AD271" i="27" s="1"/>
  <c r="AD281" i="27" a="1"/>
  <c r="AD281" i="27" s="1"/>
  <c r="AD220" i="27" a="1"/>
  <c r="AD220" i="27" s="1"/>
  <c r="AD286" i="27" a="1"/>
  <c r="AD286" i="27" s="1"/>
  <c r="AD54" i="27" a="1"/>
  <c r="AD54" i="27" s="1"/>
  <c r="AD203" i="27" a="1"/>
  <c r="AD203" i="27" s="1"/>
  <c r="AD280" i="27" a="1"/>
  <c r="AD280" i="27" s="1"/>
  <c r="AD160" i="27" a="1"/>
  <c r="AD160" i="27" s="1"/>
  <c r="AD28" i="27" a="1"/>
  <c r="AD28" i="27" s="1"/>
  <c r="AD85" i="27" a="1"/>
  <c r="AD85" i="27" s="1"/>
  <c r="AD179" i="27" a="1"/>
  <c r="AD179" i="27" s="1"/>
  <c r="AD284" i="27" a="1"/>
  <c r="AD284" i="27" s="1"/>
  <c r="AD117" i="27" a="1"/>
  <c r="AD117" i="27" s="1"/>
  <c r="AD124" i="27" a="1"/>
  <c r="AD124" i="27" s="1"/>
  <c r="AD87" i="27" a="1"/>
  <c r="AD87" i="27" s="1"/>
  <c r="AD135" i="27" a="1"/>
  <c r="AD135" i="27" s="1"/>
  <c r="AD213" i="27" a="1"/>
  <c r="AD213" i="27" s="1"/>
  <c r="AD76" i="27" a="1"/>
  <c r="AD76" i="27" s="1"/>
  <c r="AD168" i="27" a="1"/>
  <c r="AD168" i="27" s="1"/>
  <c r="AD174" i="27" a="1"/>
  <c r="AD174" i="27" s="1"/>
  <c r="AD23" i="27" a="1"/>
  <c r="AD23" i="27" s="1"/>
  <c r="AD291" i="27" a="1"/>
  <c r="AD291" i="27" s="1"/>
  <c r="AD72" i="27" a="1"/>
  <c r="AD72" i="27" s="1"/>
  <c r="AD155" i="27" a="1"/>
  <c r="AD155" i="27" s="1"/>
  <c r="AD5" i="27" a="1"/>
  <c r="AD5" i="27" s="1"/>
  <c r="AD210" i="27" a="1"/>
  <c r="AD210" i="27" s="1"/>
  <c r="AD228" i="27" a="1"/>
  <c r="AD228" i="27" s="1"/>
  <c r="AD170" i="27" a="1"/>
  <c r="AD170" i="27" s="1"/>
  <c r="AD283" i="27" a="1"/>
  <c r="AD283" i="27" s="1"/>
  <c r="AD49" i="27" a="1"/>
  <c r="AD49" i="27" s="1"/>
  <c r="AD39" i="27" a="1"/>
  <c r="AD39" i="27" s="1"/>
  <c r="AD260" i="27" a="1"/>
  <c r="AD260" i="27" s="1"/>
  <c r="AD298" i="27" a="1"/>
  <c r="AD298" i="27" s="1"/>
  <c r="AD26" i="27" a="1"/>
  <c r="AD26" i="27" s="1"/>
  <c r="AD129" i="27" a="1"/>
  <c r="AD129" i="27" s="1"/>
  <c r="AD205" i="27" a="1"/>
  <c r="AD205" i="27" s="1"/>
  <c r="AD263" i="27" a="1"/>
  <c r="AD263" i="27" s="1"/>
  <c r="AD9" i="27" a="1"/>
  <c r="AD9" i="27" s="1"/>
  <c r="AD236" i="27" a="1"/>
  <c r="AD236" i="27" s="1"/>
  <c r="AD88" i="27" a="1"/>
  <c r="AD88" i="27" s="1"/>
  <c r="AD300" i="27" a="1"/>
  <c r="AD300" i="27" s="1"/>
  <c r="AD182" i="27" a="1"/>
  <c r="AD182" i="27" s="1"/>
  <c r="AD299" i="27" a="1"/>
  <c r="AD299" i="27" s="1"/>
  <c r="AD37" i="27" a="1"/>
  <c r="AD37" i="27" s="1"/>
  <c r="AD171" i="27" a="1"/>
  <c r="AD171" i="27" s="1"/>
  <c r="AD193" i="27" a="1"/>
  <c r="AD193" i="27" s="1"/>
  <c r="AD326" i="27" a="1"/>
  <c r="AD326" i="27" s="1"/>
  <c r="AD144" i="27" a="1"/>
  <c r="AD144" i="27" s="1"/>
  <c r="AD77" i="27" a="1"/>
  <c r="AD77" i="27" s="1"/>
  <c r="AD73" i="27" a="1"/>
  <c r="AD73" i="27" s="1"/>
  <c r="AD100" i="27" a="1"/>
  <c r="AD100" i="27" s="1"/>
  <c r="AD127" i="27" a="1"/>
  <c r="AD127" i="27" s="1"/>
  <c r="AD249" i="27" a="1"/>
  <c r="AD249" i="27" s="1"/>
  <c r="AD211" i="27" a="1"/>
  <c r="AD211" i="27" s="1"/>
  <c r="AD336" i="27" a="1"/>
  <c r="AD336" i="27" s="1"/>
  <c r="AD225" i="27" a="1"/>
  <c r="AD225" i="27" s="1"/>
  <c r="AD192" i="27" a="1"/>
  <c r="AD192" i="27" s="1"/>
  <c r="AD320" i="27" a="1"/>
  <c r="AD320" i="27" s="1"/>
  <c r="AD334" i="27" a="1"/>
  <c r="AD334" i="27" s="1"/>
  <c r="AD254" i="27" a="1"/>
  <c r="AD254" i="27" s="1"/>
  <c r="AD306" i="27" a="1"/>
  <c r="AD306" i="27" s="1"/>
  <c r="AD314" i="27" a="1"/>
  <c r="AD314" i="27" s="1"/>
  <c r="AD61" i="27" a="1"/>
  <c r="AD61" i="27" s="1"/>
  <c r="AD330" i="27" a="1"/>
  <c r="AD330" i="27" s="1"/>
  <c r="AD287" i="27" a="1"/>
  <c r="AD287" i="27" s="1"/>
  <c r="AD29" i="27" a="1"/>
  <c r="AD29" i="27" s="1"/>
  <c r="AD17" i="27" a="1"/>
  <c r="AD17" i="27" s="1"/>
  <c r="AD165" i="27" a="1"/>
  <c r="AD165" i="27" s="1"/>
  <c r="AD313" i="27" a="1"/>
  <c r="AD313" i="27" s="1"/>
  <c r="AD331" i="27" a="1"/>
  <c r="AD331" i="27" s="1"/>
  <c r="AD270" i="27" a="1"/>
  <c r="AD270" i="27" s="1"/>
  <c r="AD304" i="27" a="1"/>
  <c r="AD304" i="27" s="1"/>
  <c r="AD261" i="27" a="1"/>
  <c r="AD261" i="27" s="1"/>
  <c r="AD89" i="27" a="1"/>
  <c r="AD89" i="27" s="1"/>
  <c r="AD38" i="27" a="1"/>
  <c r="AD38" i="27" s="1"/>
  <c r="AD130" i="27" a="1"/>
  <c r="AD130" i="27" s="1"/>
  <c r="AD102" i="27" a="1"/>
  <c r="AD102" i="27" s="1"/>
  <c r="AD302" i="27" a="1"/>
  <c r="AD302" i="27" s="1"/>
  <c r="AD107" i="27" a="1"/>
  <c r="AD107" i="27" s="1"/>
  <c r="AD83" i="27" a="1"/>
  <c r="AD83" i="27" s="1"/>
  <c r="AD224" i="27" a="1"/>
  <c r="AD224" i="27" s="1"/>
  <c r="AD243" i="27" a="1"/>
  <c r="AD243" i="27" s="1"/>
  <c r="AD110" i="27" a="1"/>
  <c r="AD110" i="27" s="1"/>
  <c r="AD65" i="27" a="1"/>
  <c r="AD65" i="27" s="1"/>
  <c r="AD317" i="27" a="1"/>
  <c r="AD317" i="27" s="1"/>
  <c r="AD335" i="27" a="1"/>
  <c r="AD335" i="27" s="1"/>
  <c r="AD42" i="27" a="1"/>
  <c r="AD42" i="27" s="1"/>
  <c r="AD34" i="27" a="1"/>
  <c r="AD34" i="27" s="1"/>
  <c r="AD325" i="27" a="1"/>
  <c r="AD325" i="27" s="1"/>
  <c r="AD253" i="27" a="1"/>
  <c r="AD253" i="27" s="1"/>
  <c r="AD25" i="27" a="1"/>
  <c r="AD25" i="27" s="1"/>
  <c r="AD152" i="27" a="1"/>
  <c r="AD152" i="27" s="1"/>
  <c r="AD12" i="27" a="1"/>
  <c r="AD12" i="27" s="1"/>
  <c r="AD75" i="27" a="1"/>
  <c r="AD75" i="27" s="1"/>
  <c r="AD80" i="27" a="1"/>
  <c r="AD80" i="27" s="1"/>
  <c r="AD79" i="27" a="1"/>
  <c r="AD79" i="27" s="1"/>
  <c r="AD63" i="27" a="1"/>
  <c r="AD63" i="27" s="1"/>
  <c r="AD56" i="27" a="1"/>
  <c r="AD56" i="27" s="1"/>
  <c r="AD68" i="27" a="1"/>
  <c r="AD68" i="27" s="1"/>
  <c r="AD190" i="27" a="1"/>
  <c r="AD190" i="27" s="1"/>
  <c r="AK66" i="27" a="1"/>
  <c r="AK66" i="27" s="1"/>
  <c r="AL66" i="27" s="1" a="1"/>
  <c r="AL66" i="27" s="1"/>
  <c r="AC56" i="27"/>
  <c r="AK73" i="27" a="1"/>
  <c r="AK73" i="27" s="1"/>
  <c r="AM73" i="27" s="1"/>
  <c r="AT73" i="27" a="1"/>
  <c r="AT73" i="27" s="1"/>
  <c r="AH73" i="27"/>
  <c r="AS73" i="27" a="1"/>
  <c r="AS73" i="27" s="1"/>
  <c r="AF73" i="27" a="1"/>
  <c r="AF73" i="27" s="1"/>
  <c r="AG73" i="27"/>
  <c r="V10" i="97" a="1"/>
  <c r="V10" i="97" s="1"/>
  <c r="BA42" i="27"/>
  <c r="BC42" i="27" s="1"/>
  <c r="AR63" i="27" a="1"/>
  <c r="AR63" i="27" s="1"/>
  <c r="AR260" i="27" a="1"/>
  <c r="AR260" i="27" s="1"/>
  <c r="AR239" i="27" a="1"/>
  <c r="AR239" i="27" s="1"/>
  <c r="AR171" i="27" a="1"/>
  <c r="AR171" i="27" s="1"/>
  <c r="AR101" i="27" a="1"/>
  <c r="AR101" i="27" s="1"/>
  <c r="AR224" i="27" a="1"/>
  <c r="AR224" i="27" s="1"/>
  <c r="AR301" i="27" a="1"/>
  <c r="AR301" i="27" s="1"/>
  <c r="AQ250" i="27" a="1"/>
  <c r="AQ250" i="27" s="1"/>
  <c r="AQ312" i="27" a="1"/>
  <c r="AQ312" i="27" s="1"/>
  <c r="AQ184" i="27" a="1"/>
  <c r="AQ184" i="27" s="1"/>
  <c r="AQ12" i="27" a="1"/>
  <c r="AQ12" i="27" s="1"/>
  <c r="AQ189" i="27" a="1"/>
  <c r="AQ189" i="27" s="1"/>
  <c r="AR83" i="27" a="1"/>
  <c r="AR83" i="27" s="1"/>
  <c r="AQ54" i="27" a="1"/>
  <c r="AQ54" i="27" s="1"/>
  <c r="AR285" i="27" a="1"/>
  <c r="AR285" i="27" s="1"/>
  <c r="AQ104" i="27" a="1"/>
  <c r="AQ104" i="27" s="1"/>
  <c r="AR232" i="27" a="1"/>
  <c r="AR232" i="27" s="1"/>
  <c r="AR275" i="27" a="1"/>
  <c r="AR275" i="27" s="1"/>
  <c r="AQ267" i="27" a="1"/>
  <c r="AQ267" i="27" s="1"/>
  <c r="AF59" i="27" a="1"/>
  <c r="AF59" i="27" s="1"/>
  <c r="AS59" i="27" a="1"/>
  <c r="AS59" i="27" s="1"/>
  <c r="V62" i="97" a="1"/>
  <c r="V62" i="97" s="1"/>
  <c r="BA20" i="27"/>
  <c r="BA56" i="27"/>
  <c r="BC56" i="27" s="1"/>
  <c r="AC59" i="27"/>
  <c r="AG59" i="27"/>
  <c r="V14" i="97" a="1"/>
  <c r="V14" i="97" s="1"/>
  <c r="BA139" i="27"/>
  <c r="BC139" i="27" s="1"/>
  <c r="AI42" i="27"/>
  <c r="AJ42" i="27" s="1" a="1"/>
  <c r="AJ42" i="27" s="1"/>
  <c r="AK59" i="27" a="1"/>
  <c r="AK59" i="27" s="1"/>
  <c r="AM59" i="27" s="1"/>
  <c r="V64" i="97" a="1"/>
  <c r="V64" i="97" s="1"/>
  <c r="AI59" i="27"/>
  <c r="AJ59" i="27" s="1" a="1"/>
  <c r="AJ59" i="27" s="1"/>
  <c r="V157" i="97" a="1"/>
  <c r="V157" i="97" s="1"/>
  <c r="AK139" i="27" a="1"/>
  <c r="AK139" i="27" s="1"/>
  <c r="AM139" i="27" s="1"/>
  <c r="AF139" i="27" a="1"/>
  <c r="AF139" i="27" s="1"/>
  <c r="AG139" i="27"/>
  <c r="AI56" i="27"/>
  <c r="AJ56" i="27" s="1" a="1"/>
  <c r="AJ56" i="27" s="1"/>
  <c r="AT66" i="27" a="1"/>
  <c r="AT66" i="27" s="1"/>
  <c r="AS66" i="27" a="1"/>
  <c r="AS66" i="27" s="1"/>
  <c r="AG66" i="27"/>
  <c r="AF66" i="27" a="1"/>
  <c r="AF66" i="27" s="1"/>
  <c r="AK46" i="27" a="1"/>
  <c r="AK46" i="27" s="1"/>
  <c r="AL46" i="27" s="1" a="1"/>
  <c r="AL46" i="27" s="1"/>
  <c r="AH66" i="27"/>
  <c r="AH139" i="27"/>
  <c r="AS46" i="27" a="1"/>
  <c r="AS46" i="27" s="1"/>
  <c r="AF46" i="27" a="1"/>
  <c r="AF46" i="27" s="1"/>
  <c r="AG46" i="27"/>
  <c r="AT46" i="27" a="1"/>
  <c r="AT46" i="27" s="1"/>
  <c r="AC42" i="27"/>
  <c r="AC66" i="27"/>
  <c r="AH56" i="27"/>
  <c r="AH46" i="27"/>
  <c r="AS56" i="27" a="1"/>
  <c r="AS56" i="27" s="1"/>
  <c r="AC73" i="27"/>
  <c r="AK56" i="27" a="1"/>
  <c r="AK56" i="27" s="1"/>
  <c r="AL56" i="27" s="1" a="1"/>
  <c r="AL56" i="27" s="1"/>
  <c r="AG56" i="27"/>
  <c r="AS139" i="27" a="1"/>
  <c r="AS139" i="27" s="1"/>
  <c r="AC46" i="27"/>
  <c r="AQ210" i="27" a="1"/>
  <c r="AQ210" i="27" s="1"/>
  <c r="AR322" i="27" a="1"/>
  <c r="AR322" i="27" s="1"/>
  <c r="AR291" i="27" a="1"/>
  <c r="AR291" i="27" s="1"/>
  <c r="AQ328" i="27" a="1"/>
  <c r="AQ328" i="27" s="1"/>
  <c r="AQ181" i="27" a="1"/>
  <c r="AQ181" i="27" s="1"/>
  <c r="AR175" i="27" a="1"/>
  <c r="AR175" i="27" s="1"/>
  <c r="AR231" i="27" a="1"/>
  <c r="AR231" i="27" s="1"/>
  <c r="AQ244" i="27" a="1"/>
  <c r="AQ244" i="27" s="1"/>
  <c r="AR176" i="27" a="1"/>
  <c r="AR176" i="27" s="1"/>
  <c r="AQ138" i="27" a="1"/>
  <c r="AQ138" i="27" s="1"/>
  <c r="AR265" i="27" a="1"/>
  <c r="AR265" i="27" s="1"/>
  <c r="AQ81" i="27" a="1"/>
  <c r="AQ81" i="27" s="1"/>
  <c r="AQ240" i="27" a="1"/>
  <c r="AQ240" i="27" s="1"/>
  <c r="AC175" i="27"/>
  <c r="AQ99" i="27" a="1"/>
  <c r="AQ99" i="27" s="1"/>
  <c r="AR117" i="27" a="1"/>
  <c r="AR117" i="27" s="1"/>
  <c r="AR308" i="27" a="1"/>
  <c r="AR308" i="27" s="1"/>
  <c r="AR4" i="27" a="1"/>
  <c r="AR4" i="27" s="1"/>
  <c r="AT139" i="27" a="1"/>
  <c r="AT139" i="27" s="1"/>
  <c r="AR129" i="27" a="1"/>
  <c r="AR129" i="27" s="1"/>
  <c r="AT142" i="27" a="1"/>
  <c r="AT142" i="27" s="1"/>
  <c r="AT185" i="27" a="1"/>
  <c r="AT185" i="27" s="1"/>
  <c r="AR284" i="27" a="1"/>
  <c r="AR284" i="27" s="1"/>
  <c r="AQ338" i="27" a="1"/>
  <c r="AQ338" i="27" s="1"/>
  <c r="AT36" i="27" a="1"/>
  <c r="AT36" i="27" s="1"/>
  <c r="AR40" i="27" a="1"/>
  <c r="AR40" i="27" s="1"/>
  <c r="AT56" i="27" a="1"/>
  <c r="AT56" i="27" s="1"/>
  <c r="AQ7" i="27" a="1"/>
  <c r="AQ7" i="27" s="1"/>
  <c r="AQ258" i="27" a="1"/>
  <c r="AQ258" i="27" s="1"/>
  <c r="AR253" i="27" a="1"/>
  <c r="AR253" i="27" s="1"/>
  <c r="AQ236" i="27" a="1"/>
  <c r="AQ236" i="27" s="1"/>
  <c r="AQ165" i="27" a="1"/>
  <c r="AQ165" i="27" s="1"/>
  <c r="AQ329" i="27" a="1"/>
  <c r="AQ329" i="27" s="1"/>
  <c r="AR132" i="27" a="1"/>
  <c r="AR132" i="27" s="1"/>
  <c r="AQ290" i="27" a="1"/>
  <c r="AQ290" i="27" s="1"/>
  <c r="AR327" i="27" a="1"/>
  <c r="AR327" i="27" s="1"/>
  <c r="AR273" i="27" a="1"/>
  <c r="AR273" i="27" s="1"/>
  <c r="AQ332" i="27" a="1"/>
  <c r="AQ332" i="27" s="1"/>
  <c r="AQ305" i="27" a="1"/>
  <c r="AQ305" i="27" s="1"/>
  <c r="AR257" i="27" a="1"/>
  <c r="AR257" i="27" s="1"/>
  <c r="AH149" i="27"/>
  <c r="AQ326" i="27" a="1"/>
  <c r="AQ326" i="27" s="1"/>
  <c r="AR84" i="27" a="1"/>
  <c r="AR84" i="27" s="1"/>
  <c r="AI135" i="27"/>
  <c r="AJ135" i="27" s="1" a="1"/>
  <c r="AJ135" i="27" s="1"/>
  <c r="AR218" i="27" a="1"/>
  <c r="AR218" i="27" s="1"/>
  <c r="AQ278" i="27" a="1"/>
  <c r="AQ278" i="27" s="1"/>
  <c r="AQ336" i="27" a="1"/>
  <c r="AQ336" i="27" s="1"/>
  <c r="AR333" i="27" a="1"/>
  <c r="AR333" i="27" s="1"/>
  <c r="AR200" i="27" a="1"/>
  <c r="AR200" i="27" s="1"/>
  <c r="AS206" i="27" a="1"/>
  <c r="AS206" i="27" s="1"/>
  <c r="AQ272" i="27" a="1"/>
  <c r="AQ272" i="27" s="1"/>
  <c r="AR317" i="27" a="1"/>
  <c r="AR317" i="27" s="1"/>
  <c r="AH295" i="27"/>
  <c r="AQ249" i="27" a="1"/>
  <c r="AQ249" i="27" s="1"/>
  <c r="AI183" i="27"/>
  <c r="AJ183" i="27" s="1" a="1"/>
  <c r="AJ183" i="27" s="1"/>
  <c r="AC166" i="27"/>
  <c r="AC8" i="27"/>
  <c r="AH246" i="27"/>
  <c r="AC161" i="27"/>
  <c r="AC128" i="27"/>
  <c r="AC324" i="27"/>
  <c r="AC30" i="27"/>
  <c r="AC303" i="27"/>
  <c r="AC17" i="27"/>
  <c r="AH165" i="27"/>
  <c r="AC47" i="27"/>
  <c r="AC165" i="27"/>
  <c r="AI131" i="27"/>
  <c r="AJ131" i="27" s="1" a="1"/>
  <c r="AJ131" i="27" s="1"/>
  <c r="AC258" i="27"/>
  <c r="AC287" i="27"/>
  <c r="AC10" i="27"/>
  <c r="AI214" i="27"/>
  <c r="AJ214" i="27" s="1" a="1"/>
  <c r="AJ214" i="27" s="1"/>
  <c r="AI249" i="27"/>
  <c r="AJ249" i="27" s="1" a="1"/>
  <c r="AJ249" i="27" s="1"/>
  <c r="AC328" i="27"/>
  <c r="AI27" i="27"/>
  <c r="AJ27" i="27" s="1" a="1"/>
  <c r="AJ27" i="27" s="1"/>
  <c r="AH50" i="27"/>
  <c r="AI187" i="27"/>
  <c r="AJ187" i="27" s="1" a="1"/>
  <c r="AJ187" i="27" s="1"/>
  <c r="AC12" i="27"/>
  <c r="AH168" i="27"/>
  <c r="AC219" i="27"/>
  <c r="AC72" i="27"/>
  <c r="AI174" i="27"/>
  <c r="AJ174" i="27" s="1" a="1"/>
  <c r="AJ174" i="27" s="1"/>
  <c r="AI88" i="27"/>
  <c r="AJ88" i="27" s="1" a="1"/>
  <c r="AJ88" i="27" s="1"/>
  <c r="AI169" i="27"/>
  <c r="AJ169" i="27" s="1" a="1"/>
  <c r="AJ169" i="27" s="1"/>
  <c r="AI270" i="27"/>
  <c r="AJ270" i="27" s="1" a="1"/>
  <c r="AJ270" i="27" s="1"/>
  <c r="AC88" i="27"/>
  <c r="AC77" i="27"/>
  <c r="AH51" i="27"/>
  <c r="AC144" i="27"/>
  <c r="AC100" i="27"/>
  <c r="AH303" i="27"/>
  <c r="AI134" i="27"/>
  <c r="AJ134" i="27" s="1" a="1"/>
  <c r="AJ134" i="27" s="1"/>
  <c r="AI323" i="27"/>
  <c r="AJ323" i="27" s="1" a="1"/>
  <c r="AJ323" i="27" s="1"/>
  <c r="AC208" i="27"/>
  <c r="AI18" i="27"/>
  <c r="AJ18" i="27" s="1" a="1"/>
  <c r="AJ18" i="27" s="1"/>
  <c r="AH314" i="27"/>
  <c r="AC29" i="27"/>
  <c r="AI248" i="27"/>
  <c r="AJ248" i="27" s="1" a="1"/>
  <c r="AJ248" i="27" s="1"/>
  <c r="AH220" i="27"/>
  <c r="AC321" i="27"/>
  <c r="AC335" i="27"/>
  <c r="AC326" i="27"/>
  <c r="AC104" i="27"/>
  <c r="AI321" i="27"/>
  <c r="AJ321" i="27" s="1" a="1"/>
  <c r="AJ321" i="27" s="1"/>
  <c r="AC34" i="27"/>
  <c r="AC253" i="27"/>
  <c r="AH53" i="27"/>
  <c r="AC276" i="27"/>
  <c r="AI326" i="27"/>
  <c r="AJ326" i="27" s="1" a="1"/>
  <c r="AJ326" i="27" s="1"/>
  <c r="AH97" i="27"/>
  <c r="AC27" i="27"/>
  <c r="AI277" i="27"/>
  <c r="AJ277" i="27" s="1" a="1"/>
  <c r="AJ277" i="27" s="1"/>
  <c r="AH89" i="27"/>
  <c r="AC110" i="27"/>
  <c r="AI196" i="27"/>
  <c r="AJ196" i="27" s="1" a="1"/>
  <c r="AJ196" i="27" s="1"/>
  <c r="AC141" i="27"/>
  <c r="AH238" i="27"/>
  <c r="AI38" i="27"/>
  <c r="AJ38" i="27" s="1" a="1"/>
  <c r="AJ38" i="27" s="1"/>
  <c r="AC108" i="27"/>
  <c r="AI218" i="27"/>
  <c r="AJ218" i="27" s="1" a="1"/>
  <c r="AJ218" i="27" s="1"/>
  <c r="AC103" i="27"/>
  <c r="AI141" i="27"/>
  <c r="AJ141" i="27" s="1" a="1"/>
  <c r="AJ141" i="27" s="1"/>
  <c r="AI234" i="27"/>
  <c r="AJ234" i="27" s="1" a="1"/>
  <c r="AJ234" i="27" s="1"/>
  <c r="AH247" i="27"/>
  <c r="AC297" i="27"/>
  <c r="AC306" i="27"/>
  <c r="AC295" i="27"/>
  <c r="AC267" i="27"/>
  <c r="AI64" i="27"/>
  <c r="AJ64" i="27" s="1" a="1"/>
  <c r="AJ64" i="27" s="1"/>
  <c r="AC26" i="27"/>
  <c r="AR318" i="27" a="1"/>
  <c r="AR318" i="27" s="1"/>
  <c r="AI328" i="27"/>
  <c r="AJ328" i="27" s="1" a="1"/>
  <c r="AJ328" i="27" s="1"/>
  <c r="AC50" i="27"/>
  <c r="AR321" i="27" a="1"/>
  <c r="AR321" i="27" s="1"/>
  <c r="AC176" i="27"/>
  <c r="AC314" i="27"/>
  <c r="AH25" i="27"/>
  <c r="AC173" i="27"/>
  <c r="AC331" i="27"/>
  <c r="AC237" i="27"/>
  <c r="AC249" i="27"/>
  <c r="AH109" i="27"/>
  <c r="AI138" i="27"/>
  <c r="AJ138" i="27" s="1" a="1"/>
  <c r="AJ138" i="27" s="1"/>
  <c r="AI76" i="27"/>
  <c r="AJ76" i="27" s="1" a="1"/>
  <c r="AJ76" i="27" s="1"/>
  <c r="AC259" i="27"/>
  <c r="AC231" i="27"/>
  <c r="AI156" i="27"/>
  <c r="AJ156" i="27" s="1" a="1"/>
  <c r="AJ156" i="27" s="1"/>
  <c r="AC252" i="27"/>
  <c r="AH65" i="27"/>
  <c r="AR331" i="27" a="1"/>
  <c r="AR331" i="27" s="1"/>
  <c r="AC196" i="27"/>
  <c r="AH298" i="27"/>
  <c r="AC124" i="27"/>
  <c r="AQ128" i="27" a="1"/>
  <c r="AQ128" i="27" s="1"/>
  <c r="AH44" i="27"/>
  <c r="AC156" i="27"/>
  <c r="AI94" i="27"/>
  <c r="AJ94" i="27" s="1" a="1"/>
  <c r="AJ94" i="27" s="1"/>
  <c r="AC230" i="27"/>
  <c r="AC6" i="27"/>
  <c r="AI101" i="27"/>
  <c r="AJ101" i="27" s="1" a="1"/>
  <c r="AJ101" i="27" s="1"/>
  <c r="AC45" i="27"/>
  <c r="AQ91" i="27" a="1"/>
  <c r="AQ91" i="27" s="1"/>
  <c r="AC138" i="27"/>
  <c r="AH6" i="27"/>
  <c r="AH99" i="27"/>
  <c r="AR259" i="27" a="1"/>
  <c r="AR259" i="27" s="1"/>
  <c r="AC97" i="27"/>
  <c r="AI130" i="27"/>
  <c r="AJ130" i="27" s="1" a="1"/>
  <c r="AJ130" i="27" s="1"/>
  <c r="AH162" i="27"/>
  <c r="AQ164" i="27" a="1"/>
  <c r="AQ164" i="27" s="1"/>
  <c r="AR201" i="27" a="1"/>
  <c r="AR201" i="27" s="1"/>
  <c r="AI194" i="27"/>
  <c r="AJ194" i="27" s="1" a="1"/>
  <c r="AJ194" i="27" s="1"/>
  <c r="AC96" i="27"/>
  <c r="AR102" i="27" a="1"/>
  <c r="AR102" i="27" s="1"/>
  <c r="AQ282" i="27" a="1"/>
  <c r="AQ282" i="27" s="1"/>
  <c r="AR192" i="27" a="1"/>
  <c r="AR192" i="27" s="1"/>
  <c r="AI223" i="27"/>
  <c r="AJ223" i="27" s="1" a="1"/>
  <c r="AJ223" i="27" s="1"/>
  <c r="AI153" i="27"/>
  <c r="AJ153" i="27" s="1" a="1"/>
  <c r="AJ153" i="27" s="1"/>
  <c r="AC106" i="27"/>
  <c r="AC192" i="27"/>
  <c r="AH75" i="27"/>
  <c r="AQ320" i="27" a="1"/>
  <c r="AQ320" i="27" s="1"/>
  <c r="AC40" i="27"/>
  <c r="AC304" i="27"/>
  <c r="AC200" i="27"/>
  <c r="AC16" i="27"/>
  <c r="AC246" i="27"/>
  <c r="AQ107" i="27" a="1"/>
  <c r="AQ107" i="27" s="1"/>
  <c r="AR5" i="27" a="1"/>
  <c r="AR5" i="27" s="1"/>
  <c r="AI257" i="27"/>
  <c r="AJ257" i="27" s="1" a="1"/>
  <c r="AJ257" i="27" s="1"/>
  <c r="AR280" i="27" a="1"/>
  <c r="AR280" i="27" s="1"/>
  <c r="AC257" i="27"/>
  <c r="AC268" i="27"/>
  <c r="AC178" i="27"/>
  <c r="AI240" i="27"/>
  <c r="AJ240" i="27" s="1" a="1"/>
  <c r="AJ240" i="27" s="1"/>
  <c r="AC322" i="27"/>
  <c r="AQ113" i="27" a="1"/>
  <c r="AQ113" i="27" s="1"/>
  <c r="AR248" i="27" a="1"/>
  <c r="AR248" i="27" s="1"/>
  <c r="AI107" i="27"/>
  <c r="AJ107" i="27" s="1" a="1"/>
  <c r="AJ107" i="27" s="1"/>
  <c r="AH333" i="27"/>
  <c r="AC5" i="27"/>
  <c r="AC243" i="27"/>
  <c r="AC265" i="27"/>
  <c r="AC69" i="27"/>
  <c r="AI293" i="27"/>
  <c r="AJ293" i="27" s="1" a="1"/>
  <c r="AJ293" i="27" s="1"/>
  <c r="AR100" i="27" a="1"/>
  <c r="AR100" i="27" s="1"/>
  <c r="AR261" i="27" a="1"/>
  <c r="AR261" i="27" s="1"/>
  <c r="AC131" i="27"/>
  <c r="AC224" i="27"/>
  <c r="AR279" i="27" a="1"/>
  <c r="AR279" i="27" s="1"/>
  <c r="AC333" i="27"/>
  <c r="AQ90" i="27" a="1"/>
  <c r="AQ90" i="27" s="1"/>
  <c r="AR251" i="27" a="1"/>
  <c r="AR251" i="27" s="1"/>
  <c r="AH306" i="27"/>
  <c r="AI267" i="27"/>
  <c r="AJ267" i="27" s="1" a="1"/>
  <c r="AJ267" i="27" s="1"/>
  <c r="AC325" i="27"/>
  <c r="AH26" i="27"/>
  <c r="AQ206" i="27" a="1"/>
  <c r="AQ206" i="27" s="1"/>
  <c r="AR206" i="27" a="1"/>
  <c r="AR206" i="27" s="1"/>
  <c r="AQ166" i="27" a="1"/>
  <c r="AQ166" i="27" s="1"/>
  <c r="AR277" i="27" a="1"/>
  <c r="AR277" i="27" s="1"/>
  <c r="AQ242" i="27" a="1"/>
  <c r="AQ242" i="27" s="1"/>
  <c r="AQ287" i="27" a="1"/>
  <c r="AQ287" i="27" s="1"/>
  <c r="AQ208" i="27" a="1"/>
  <c r="AQ208" i="27" s="1"/>
  <c r="AQ167" i="27" a="1"/>
  <c r="AQ167" i="27" s="1"/>
  <c r="AR153" i="27" a="1"/>
  <c r="AR153" i="27" s="1"/>
  <c r="AR223" i="27" a="1"/>
  <c r="AR223" i="27" s="1"/>
  <c r="AR199" i="27" a="1"/>
  <c r="AR199" i="27" s="1"/>
  <c r="BC66" i="27"/>
  <c r="BD66" i="27"/>
  <c r="AR123" i="27" a="1"/>
  <c r="AR123" i="27" s="1"/>
  <c r="AC277" i="27"/>
  <c r="AH287" i="27"/>
  <c r="AC159" i="27"/>
  <c r="AI128" i="27"/>
  <c r="AJ128" i="27" s="1" a="1"/>
  <c r="AJ128" i="27" s="1"/>
  <c r="AI291" i="27"/>
  <c r="AJ291" i="27" s="1" a="1"/>
  <c r="AJ291" i="27" s="1"/>
  <c r="AH136" i="27"/>
  <c r="AC300" i="27"/>
  <c r="AC155" i="27"/>
  <c r="AR110" i="27" a="1"/>
  <c r="AR110" i="27" s="1"/>
  <c r="AR314" i="27" a="1"/>
  <c r="AR314" i="27" s="1"/>
  <c r="AQ325" i="27" a="1"/>
  <c r="AQ325" i="27" s="1"/>
  <c r="AC64" i="27"/>
  <c r="AC221" i="27"/>
  <c r="AC179" i="27"/>
  <c r="AC329" i="27"/>
  <c r="AC310" i="27"/>
  <c r="AR276" i="27" a="1"/>
  <c r="AR276" i="27" s="1"/>
  <c r="AC78" i="27"/>
  <c r="AR300" i="27" a="1"/>
  <c r="AR300" i="27" s="1"/>
  <c r="AH5" i="27"/>
  <c r="AT59" i="27" a="1"/>
  <c r="AT59" i="27" s="1"/>
  <c r="AC338" i="27"/>
  <c r="AH124" i="27"/>
  <c r="AI132" i="27"/>
  <c r="AJ132" i="27" s="1" a="1"/>
  <c r="AJ132" i="27" s="1"/>
  <c r="AT35" i="27" a="1"/>
  <c r="AT35" i="27" s="1"/>
  <c r="AR155" i="27" a="1"/>
  <c r="AR155" i="27" s="1"/>
  <c r="AH182" i="27"/>
  <c r="AR133" i="27" a="1"/>
  <c r="AR133" i="27" s="1"/>
  <c r="AC84" i="27"/>
  <c r="AR268" i="27" a="1"/>
  <c r="AR268" i="27" s="1"/>
  <c r="AC174" i="27"/>
  <c r="AQ42" i="27" a="1"/>
  <c r="AQ42" i="27" s="1"/>
  <c r="AR42" i="27" a="1"/>
  <c r="AR42" i="27" s="1"/>
  <c r="AI201" i="27"/>
  <c r="AJ201" i="27" s="1" a="1"/>
  <c r="AJ201" i="27" s="1"/>
  <c r="AI203" i="27"/>
  <c r="AJ203" i="27" s="1" a="1"/>
  <c r="AJ203" i="27" s="1"/>
  <c r="AI29" i="27"/>
  <c r="AJ29" i="27" s="1" a="1"/>
  <c r="AJ29" i="27" s="1"/>
  <c r="AC51" i="27"/>
  <c r="AR203" i="27" a="1"/>
  <c r="AR203" i="27" s="1"/>
  <c r="AS222" i="27" a="1"/>
  <c r="AS222" i="27" s="1"/>
  <c r="AI133" i="27"/>
  <c r="AJ133" i="27" s="1" a="1"/>
  <c r="AJ133" i="27" s="1"/>
  <c r="AC38" i="27"/>
  <c r="AC218" i="27"/>
  <c r="AI103" i="27"/>
  <c r="AJ103" i="27" s="1" a="1"/>
  <c r="AJ103" i="27" s="1"/>
  <c r="AC19" i="27"/>
  <c r="AC147" i="27"/>
  <c r="AQ130" i="27" a="1"/>
  <c r="AQ130" i="27" s="1"/>
  <c r="AI253" i="27"/>
  <c r="AJ253" i="27" s="1" a="1"/>
  <c r="AJ253" i="27" s="1"/>
  <c r="AC102" i="27"/>
  <c r="AC129" i="27"/>
  <c r="AC53" i="27"/>
  <c r="AQ88" i="27" a="1"/>
  <c r="AQ88" i="27" s="1"/>
  <c r="AS119" i="27" a="1"/>
  <c r="AS119" i="27" s="1"/>
  <c r="AR119" i="27" a="1"/>
  <c r="AR119" i="27" s="1"/>
  <c r="AQ119" i="27" a="1"/>
  <c r="AQ119" i="27" s="1"/>
  <c r="AC282" i="27"/>
  <c r="AH106" i="27"/>
  <c r="AC101" i="27"/>
  <c r="AC133" i="27"/>
  <c r="AC113" i="27"/>
  <c r="AC169" i="27"/>
  <c r="AR32" i="27" a="1"/>
  <c r="AR32" i="27" s="1"/>
  <c r="AC60" i="27"/>
  <c r="AR335" i="27" a="1"/>
  <c r="AR335" i="27" s="1"/>
  <c r="AC109" i="27"/>
  <c r="AQ241" i="27" a="1"/>
  <c r="AQ241" i="27" s="1"/>
  <c r="AR214" i="27" a="1"/>
  <c r="AR214" i="27" s="1"/>
  <c r="AC213" i="27"/>
  <c r="AI152" i="27"/>
  <c r="AJ152" i="27" s="1" a="1"/>
  <c r="AJ152" i="27" s="1"/>
  <c r="AR141" i="27" a="1"/>
  <c r="AR141" i="27" s="1"/>
  <c r="AH192" i="27"/>
  <c r="AC189" i="27"/>
  <c r="AR140" i="27" a="1"/>
  <c r="AR140" i="27" s="1"/>
  <c r="AT13" i="27" a="1"/>
  <c r="AT13" i="27" s="1"/>
  <c r="AQ13" i="27" a="1"/>
  <c r="AQ13" i="27" s="1"/>
  <c r="AR13" i="27" a="1"/>
  <c r="AR13" i="27" s="1"/>
  <c r="AQ52" i="27" a="1"/>
  <c r="AQ52" i="27" s="1"/>
  <c r="AH74" i="27"/>
  <c r="AH90" i="27"/>
  <c r="AC191" i="27"/>
  <c r="AI225" i="27"/>
  <c r="AJ225" i="27" s="1" a="1"/>
  <c r="AJ225" i="27" s="1"/>
  <c r="AR190" i="27" a="1"/>
  <c r="AR190" i="27" s="1"/>
  <c r="AR323" i="27" a="1"/>
  <c r="AR323" i="27" s="1"/>
  <c r="AH284" i="27"/>
  <c r="AI117" i="27"/>
  <c r="AJ117" i="27" s="1" a="1"/>
  <c r="AJ117" i="27" s="1"/>
  <c r="AC301" i="27"/>
  <c r="AC152" i="27"/>
  <c r="AH232" i="27"/>
  <c r="AR18" i="27" a="1"/>
  <c r="AR18" i="27" s="1"/>
  <c r="AC225" i="27"/>
  <c r="AC190" i="27"/>
  <c r="AH317" i="27"/>
  <c r="AC57" i="27"/>
  <c r="AR191" i="27" a="1"/>
  <c r="AR191" i="27" s="1"/>
  <c r="AC21" i="27"/>
  <c r="AC164" i="27"/>
  <c r="AI315" i="27"/>
  <c r="AJ315" i="27" s="1" a="1"/>
  <c r="AJ315" i="27" s="1"/>
  <c r="AH208" i="27"/>
  <c r="AQ269" i="27" a="1"/>
  <c r="AQ269" i="27" s="1"/>
  <c r="AC302" i="27"/>
  <c r="AR205" i="27" a="1"/>
  <c r="AR205" i="27" s="1"/>
  <c r="AH244" i="27"/>
  <c r="AR172" i="27" a="1"/>
  <c r="AR172" i="27" s="1"/>
  <c r="AH190" i="27"/>
  <c r="AR154" i="27" a="1"/>
  <c r="AR154" i="27" s="1"/>
  <c r="AC14" i="27"/>
  <c r="AC283" i="27"/>
  <c r="AR61" i="27" a="1"/>
  <c r="AR61" i="27" s="1"/>
  <c r="AC90" i="27"/>
  <c r="AR43" i="27" a="1"/>
  <c r="AR43" i="27" s="1"/>
  <c r="AC24" i="27"/>
  <c r="AC171" i="27"/>
  <c r="AI318" i="27"/>
  <c r="AJ318" i="27" s="1" a="1"/>
  <c r="AJ318" i="27" s="1"/>
  <c r="AR271" i="27" a="1"/>
  <c r="AR271" i="27" s="1"/>
  <c r="AR79" i="27" a="1"/>
  <c r="AR79" i="27" s="1"/>
  <c r="AC317" i="27"/>
  <c r="AC285" i="27"/>
  <c r="AC332" i="27"/>
  <c r="AI17" i="27"/>
  <c r="AJ17" i="27" s="1" a="1"/>
  <c r="AJ17" i="27" s="1"/>
  <c r="AC127" i="27"/>
  <c r="AI308" i="27"/>
  <c r="AJ308" i="27" s="1" a="1"/>
  <c r="AJ308" i="27" s="1"/>
  <c r="AC211" i="27"/>
  <c r="AC172" i="27"/>
  <c r="AR187" i="27" a="1"/>
  <c r="AR187" i="27" s="1"/>
  <c r="AI79" i="27"/>
  <c r="AJ79" i="27" s="1" a="1"/>
  <c r="AJ79" i="27" s="1"/>
  <c r="AR149" i="27" a="1"/>
  <c r="AR149" i="27" s="1"/>
  <c r="AQ122" i="27" a="1"/>
  <c r="AQ122" i="27" s="1"/>
  <c r="AI127" i="27"/>
  <c r="AJ127" i="27" s="1" a="1"/>
  <c r="AJ127" i="27" s="1"/>
  <c r="AC313" i="27"/>
  <c r="AQ266" i="27" a="1"/>
  <c r="AQ266" i="27" s="1"/>
  <c r="AR39" i="27" a="1"/>
  <c r="AR39" i="27" s="1"/>
  <c r="AC278" i="27"/>
  <c r="AQ26" i="27" a="1"/>
  <c r="AQ26" i="27" s="1"/>
  <c r="AR24" i="27" a="1"/>
  <c r="AR24" i="27" s="1"/>
  <c r="AC168" i="27"/>
  <c r="AH216" i="27"/>
  <c r="AH271" i="27"/>
  <c r="AR161" i="27" a="1"/>
  <c r="AR161" i="27" s="1"/>
  <c r="AC143" i="27"/>
  <c r="AR264" i="27" a="1"/>
  <c r="AR264" i="27" s="1"/>
  <c r="AC61" i="27"/>
  <c r="AC244" i="27"/>
  <c r="AR27" i="27" a="1"/>
  <c r="AR27" i="27" s="1"/>
  <c r="AR337" i="27" a="1"/>
  <c r="AR337" i="27" s="1"/>
  <c r="AC311" i="27"/>
  <c r="AC240" i="27"/>
  <c r="AC298" i="27"/>
  <c r="AR255" i="27" a="1"/>
  <c r="AR255" i="27" s="1"/>
  <c r="AT62" i="27" a="1"/>
  <c r="AT62" i="27" s="1"/>
  <c r="AR135" i="27" a="1"/>
  <c r="AR135" i="27" s="1"/>
  <c r="AC71" i="27"/>
  <c r="AR263" i="27" a="1"/>
  <c r="AR263" i="27" s="1"/>
  <c r="AC286" i="27"/>
  <c r="AR170" i="27" a="1"/>
  <c r="AR170" i="27" s="1"/>
  <c r="AH254" i="27"/>
  <c r="AH263" i="27"/>
  <c r="AC275" i="27"/>
  <c r="AC183" i="27"/>
  <c r="AC170" i="27"/>
  <c r="AF146" i="27" a="1"/>
  <c r="AF146" i="27" s="1"/>
  <c r="AS146" i="27" a="1"/>
  <c r="AS146" i="27" s="1"/>
  <c r="AG146" i="27"/>
  <c r="AK146" i="27" a="1"/>
  <c r="AK146" i="27" s="1"/>
  <c r="AT146" i="27" a="1"/>
  <c r="AT146" i="27" s="1"/>
  <c r="V224" i="97" a="1"/>
  <c r="V224" i="97" s="1"/>
  <c r="BA31" i="27"/>
  <c r="BC31" i="27" s="1"/>
  <c r="AF337" i="27" a="1"/>
  <c r="AF337" i="27" s="1"/>
  <c r="AG337" i="27"/>
  <c r="AT337" i="27" a="1"/>
  <c r="AT337" i="27" s="1"/>
  <c r="AS337" i="27" a="1"/>
  <c r="AS337" i="27" s="1"/>
  <c r="AK337" i="27" a="1"/>
  <c r="AK337" i="27" s="1"/>
  <c r="AF100" i="27" a="1"/>
  <c r="AF100" i="27" s="1"/>
  <c r="AS100" i="27" a="1"/>
  <c r="AS100" i="27" s="1"/>
  <c r="AT100" i="27" a="1"/>
  <c r="AT100" i="27" s="1"/>
  <c r="AG100" i="27"/>
  <c r="AK100" i="27" a="1"/>
  <c r="AK100" i="27" s="1"/>
  <c r="AI146" i="27"/>
  <c r="AJ146" i="27" s="1" a="1"/>
  <c r="AJ146" i="27" s="1"/>
  <c r="AR156" i="27" a="1"/>
  <c r="AR156" i="27" s="1"/>
  <c r="AQ156" i="27" a="1"/>
  <c r="AQ156" i="27" s="1"/>
  <c r="Y40" i="97" a="1"/>
  <c r="Y40" i="97" s="1"/>
  <c r="AC266" i="27"/>
  <c r="AG235" i="27"/>
  <c r="AS235" i="27" a="1"/>
  <c r="AS235" i="27" s="1"/>
  <c r="AT235" i="27" a="1"/>
  <c r="AT235" i="27" s="1"/>
  <c r="AF235" i="27" a="1"/>
  <c r="AF235" i="27" s="1"/>
  <c r="AK235" i="27" a="1"/>
  <c r="AK235" i="27" s="1"/>
  <c r="AI235" i="27"/>
  <c r="AJ235" i="27" s="1" a="1"/>
  <c r="AJ235" i="27" s="1"/>
  <c r="AQ142" i="27" a="1"/>
  <c r="AQ142" i="27" s="1"/>
  <c r="AR142" i="27" a="1"/>
  <c r="AR142" i="27" s="1"/>
  <c r="AS312" i="27" a="1"/>
  <c r="AS312" i="27" s="1"/>
  <c r="AT312" i="27" a="1"/>
  <c r="AT312" i="27" s="1"/>
  <c r="AG312" i="27"/>
  <c r="AF312" i="27" a="1"/>
  <c r="AF312" i="27" s="1"/>
  <c r="AK312" i="27" a="1"/>
  <c r="AK312" i="27" s="1"/>
  <c r="AG304" i="27"/>
  <c r="AF304" i="27" a="1"/>
  <c r="AF304" i="27" s="1"/>
  <c r="AS304" i="27" a="1"/>
  <c r="AS304" i="27" s="1"/>
  <c r="AT304" i="27" a="1"/>
  <c r="AT304" i="27" s="1"/>
  <c r="AK304" i="27" a="1"/>
  <c r="AK304" i="27" s="1"/>
  <c r="AH304" i="27"/>
  <c r="V111" i="97" a="1"/>
  <c r="V111" i="97" s="1"/>
  <c r="BA113" i="27"/>
  <c r="BC113" i="27" s="1"/>
  <c r="AF31" i="27" a="1"/>
  <c r="AF31" i="27" s="1"/>
  <c r="AS31" i="27" a="1"/>
  <c r="AS31" i="27" s="1"/>
  <c r="AT31" i="27" a="1"/>
  <c r="AT31" i="27" s="1"/>
  <c r="AK31" i="27" a="1"/>
  <c r="AK31" i="27" s="1"/>
  <c r="AG31" i="27"/>
  <c r="AI31" i="27"/>
  <c r="AJ31" i="27" s="1" a="1"/>
  <c r="AJ31" i="27" s="1"/>
  <c r="AF296" i="27" a="1"/>
  <c r="AF296" i="27" s="1"/>
  <c r="AT296" i="27" a="1"/>
  <c r="AT296" i="27" s="1"/>
  <c r="AS296" i="27" a="1"/>
  <c r="AS296" i="27" s="1"/>
  <c r="AG296" i="27"/>
  <c r="AK296" i="27" a="1"/>
  <c r="AK296" i="27" s="1"/>
  <c r="AI296" i="27"/>
  <c r="AJ296" i="27" s="1" a="1"/>
  <c r="AJ296" i="27" s="1"/>
  <c r="AF205" i="27" a="1"/>
  <c r="AF205" i="27" s="1"/>
  <c r="AS205" i="27" a="1"/>
  <c r="AS205" i="27" s="1"/>
  <c r="AT205" i="27" a="1"/>
  <c r="AT205" i="27" s="1"/>
  <c r="AG205" i="27"/>
  <c r="AK205" i="27" a="1"/>
  <c r="AK205" i="27" s="1"/>
  <c r="AH205" i="27"/>
  <c r="AI205" i="27"/>
  <c r="AJ205" i="27" s="1" a="1"/>
  <c r="AJ205" i="27" s="1"/>
  <c r="Y243" i="97" a="1"/>
  <c r="Y243" i="97" s="1"/>
  <c r="AC227" i="27"/>
  <c r="AF224" i="27" a="1"/>
  <c r="AF224" i="27" s="1"/>
  <c r="AS224" i="27" a="1"/>
  <c r="AS224" i="27" s="1"/>
  <c r="AT224" i="27" a="1"/>
  <c r="AT224" i="27" s="1"/>
  <c r="AK224" i="27" a="1"/>
  <c r="AK224" i="27" s="1"/>
  <c r="AG224" i="27"/>
  <c r="AI224" i="27"/>
  <c r="AJ224" i="27" s="1" a="1"/>
  <c r="AJ224" i="27" s="1"/>
  <c r="AH224" i="27"/>
  <c r="BA159" i="27"/>
  <c r="BC159" i="27" s="1"/>
  <c r="V140" i="97" a="1"/>
  <c r="V140" i="97" s="1"/>
  <c r="Y72" i="97" a="1"/>
  <c r="Y72" i="97" s="1"/>
  <c r="AC205" i="27"/>
  <c r="AG336" i="27"/>
  <c r="AS336" i="27" a="1"/>
  <c r="AS336" i="27" s="1"/>
  <c r="AT336" i="27" a="1"/>
  <c r="AT336" i="27" s="1"/>
  <c r="AK336" i="27" a="1"/>
  <c r="AK336" i="27" s="1"/>
  <c r="AF336" i="27" a="1"/>
  <c r="AF336" i="27" s="1"/>
  <c r="AI336" i="27"/>
  <c r="AJ336" i="27" s="1" a="1"/>
  <c r="AJ336" i="27" s="1"/>
  <c r="AH336" i="27"/>
  <c r="V308" i="97" a="1"/>
  <c r="V308" i="97" s="1"/>
  <c r="BA173" i="27"/>
  <c r="BC173" i="27" s="1"/>
  <c r="V256" i="97" a="1"/>
  <c r="V256" i="97" s="1"/>
  <c r="BA8" i="27"/>
  <c r="BC8" i="27" s="1"/>
  <c r="AF113" i="27" a="1"/>
  <c r="AF113" i="27" s="1"/>
  <c r="AG113" i="27"/>
  <c r="AS113" i="27" a="1"/>
  <c r="AS113" i="27" s="1"/>
  <c r="AT113" i="27" a="1"/>
  <c r="AT113" i="27" s="1"/>
  <c r="AK113" i="27" a="1"/>
  <c r="AK113" i="27" s="1"/>
  <c r="V31" i="97" a="1"/>
  <c r="V31" i="97" s="1"/>
  <c r="BA64" i="27"/>
  <c r="AH235" i="27"/>
  <c r="AC184" i="27"/>
  <c r="AC150" i="27"/>
  <c r="Y263" i="97" a="1"/>
  <c r="Y263" i="97" s="1"/>
  <c r="AC312" i="27"/>
  <c r="AI113" i="27"/>
  <c r="AJ113" i="27" s="1" a="1"/>
  <c r="AJ113" i="27" s="1"/>
  <c r="V37" i="97" a="1"/>
  <c r="V37" i="97" s="1"/>
  <c r="BA61" i="27"/>
  <c r="AS310" i="27" a="1"/>
  <c r="AS310" i="27" s="1"/>
  <c r="AT310" i="27" a="1"/>
  <c r="AT310" i="27" s="1"/>
  <c r="AF310" i="27" a="1"/>
  <c r="AF310" i="27" s="1"/>
  <c r="AG310" i="27"/>
  <c r="AK310" i="27" a="1"/>
  <c r="AK310" i="27" s="1"/>
  <c r="AI310" i="27"/>
  <c r="AJ310" i="27" s="1" a="1"/>
  <c r="AJ310" i="27" s="1"/>
  <c r="Y224" i="97" a="1"/>
  <c r="Y224" i="97" s="1"/>
  <c r="AC31" i="27"/>
  <c r="AQ204" i="27" a="1"/>
  <c r="AQ204" i="27" s="1"/>
  <c r="AR204" i="27" a="1"/>
  <c r="AR204" i="27" s="1"/>
  <c r="Y220" i="97" a="1"/>
  <c r="Y220" i="97" s="1"/>
  <c r="AC296" i="27"/>
  <c r="V109" i="97" a="1"/>
  <c r="V109" i="97" s="1"/>
  <c r="BA19" i="27"/>
  <c r="BC19" i="27" s="1"/>
  <c r="AK266" i="27" a="1"/>
  <c r="AK266" i="27" s="1"/>
  <c r="AF266" i="27" a="1"/>
  <c r="AF266" i="27" s="1"/>
  <c r="AT266" i="27" a="1"/>
  <c r="AT266" i="27" s="1"/>
  <c r="AG266" i="27"/>
  <c r="AS266" i="27" a="1"/>
  <c r="AS266" i="27" s="1"/>
  <c r="V89" i="97" a="1"/>
  <c r="V89" i="97" s="1"/>
  <c r="BA34" i="27"/>
  <c r="BC34" i="27" s="1"/>
  <c r="V28" i="97" a="1"/>
  <c r="V28" i="97" s="1"/>
  <c r="BA178" i="27"/>
  <c r="BC178" i="27" s="1"/>
  <c r="AG34" i="27"/>
  <c r="AF34" i="27" a="1"/>
  <c r="AF34" i="27" s="1"/>
  <c r="AS34" i="27" a="1"/>
  <c r="AS34" i="27" s="1"/>
  <c r="AT34" i="27" a="1"/>
  <c r="AT34" i="27" s="1"/>
  <c r="AK34" i="27" a="1"/>
  <c r="AK34" i="27" s="1"/>
  <c r="AF173" i="27" a="1"/>
  <c r="AF173" i="27" s="1"/>
  <c r="AG173" i="27"/>
  <c r="AS173" i="27" a="1"/>
  <c r="AS173" i="27" s="1"/>
  <c r="AT173" i="27" a="1"/>
  <c r="AT173" i="27" s="1"/>
  <c r="AK173" i="27" a="1"/>
  <c r="AK173" i="27" s="1"/>
  <c r="AH34" i="27"/>
  <c r="AR238" i="27" a="1"/>
  <c r="AR238" i="27" s="1"/>
  <c r="AF280" i="27" a="1"/>
  <c r="AF280" i="27" s="1"/>
  <c r="AS280" i="27" a="1"/>
  <c r="AS280" i="27" s="1"/>
  <c r="AT280" i="27" a="1"/>
  <c r="AT280" i="27" s="1"/>
  <c r="AG280" i="27"/>
  <c r="AK280" i="27" a="1"/>
  <c r="AK280" i="27" s="1"/>
  <c r="AH173" i="27"/>
  <c r="AF8" i="27" a="1"/>
  <c r="AF8" i="27" s="1"/>
  <c r="AT8" i="27" a="1"/>
  <c r="AT8" i="27" s="1"/>
  <c r="AS8" i="27" a="1"/>
  <c r="AS8" i="27" s="1"/>
  <c r="AG8" i="27"/>
  <c r="AK8" i="27" a="1"/>
  <c r="AK8" i="27" s="1"/>
  <c r="AS84" i="27" a="1"/>
  <c r="AS84" i="27" s="1"/>
  <c r="AF84" i="27" a="1"/>
  <c r="AF84" i="27" s="1"/>
  <c r="AT84" i="27" a="1"/>
  <c r="AT84" i="27" s="1"/>
  <c r="AG84" i="27"/>
  <c r="AK84" i="27" a="1"/>
  <c r="AK84" i="27" s="1"/>
  <c r="AH84" i="27"/>
  <c r="AF278" i="27" a="1"/>
  <c r="AF278" i="27" s="1"/>
  <c r="AG278" i="27"/>
  <c r="AS278" i="27" a="1"/>
  <c r="AS278" i="27" s="1"/>
  <c r="AT278" i="27" a="1"/>
  <c r="AT278" i="27" s="1"/>
  <c r="AK278" i="27" a="1"/>
  <c r="AK278" i="27" s="1"/>
  <c r="AI278" i="27"/>
  <c r="AJ278" i="27" s="1" a="1"/>
  <c r="AJ278" i="27" s="1"/>
  <c r="V212" i="97" a="1"/>
  <c r="V212" i="97" s="1"/>
  <c r="BA198" i="27"/>
  <c r="BC198" i="27" s="1"/>
  <c r="AT255" i="27" a="1"/>
  <c r="AT255" i="27" s="1"/>
  <c r="AG255" i="27"/>
  <c r="AF255" i="27" a="1"/>
  <c r="AF255" i="27" s="1"/>
  <c r="AS255" i="27" a="1"/>
  <c r="AS255" i="27" s="1"/>
  <c r="AK255" i="27" a="1"/>
  <c r="AK255" i="27" s="1"/>
  <c r="AH255" i="27"/>
  <c r="Y294" i="97" a="1"/>
  <c r="Y294" i="97" s="1"/>
  <c r="AC330" i="27"/>
  <c r="AF338" i="27" a="1"/>
  <c r="AF338" i="27" s="1"/>
  <c r="AS338" i="27" a="1"/>
  <c r="AS338" i="27" s="1"/>
  <c r="AT338" i="27" a="1"/>
  <c r="AT338" i="27" s="1"/>
  <c r="AG338" i="27"/>
  <c r="AK338" i="27" a="1"/>
  <c r="AK338" i="27" s="1"/>
  <c r="AH280" i="27"/>
  <c r="AH337" i="27"/>
  <c r="AH100" i="27"/>
  <c r="AH146" i="27"/>
  <c r="AH266" i="27"/>
  <c r="AT329" i="27" a="1"/>
  <c r="AT329" i="27" s="1"/>
  <c r="AF329" i="27" a="1"/>
  <c r="AF329" i="27" s="1"/>
  <c r="AK329" i="27" a="1"/>
  <c r="AK329" i="27" s="1"/>
  <c r="AG329" i="27"/>
  <c r="AS329" i="27" a="1"/>
  <c r="AS329" i="27" s="1"/>
  <c r="AH329" i="27"/>
  <c r="BD114" i="27"/>
  <c r="BC114" i="27"/>
  <c r="AS277" i="27" a="1"/>
  <c r="AS277" i="27" s="1"/>
  <c r="AT277" i="27" a="1"/>
  <c r="AT277" i="27" s="1"/>
  <c r="AG277" i="27"/>
  <c r="AF277" i="27" a="1"/>
  <c r="AF277" i="27" s="1"/>
  <c r="AK277" i="27" a="1"/>
  <c r="AK277" i="27" s="1"/>
  <c r="BD226" i="27"/>
  <c r="BC226" i="27"/>
  <c r="Y115" i="97" a="1"/>
  <c r="Y115" i="97" s="1"/>
  <c r="AC255" i="27"/>
  <c r="AF76" i="27" a="1"/>
  <c r="AF76" i="27" s="1"/>
  <c r="AG76" i="27"/>
  <c r="AS76" i="27" a="1"/>
  <c r="AS76" i="27" s="1"/>
  <c r="AT76" i="27" a="1"/>
  <c r="AT76" i="27" s="1"/>
  <c r="AK76" i="27" a="1"/>
  <c r="AK76" i="27" s="1"/>
  <c r="AS272" i="27" a="1"/>
  <c r="AS272" i="27" s="1"/>
  <c r="AT272" i="27" a="1"/>
  <c r="AT272" i="27" s="1"/>
  <c r="AF272" i="27" a="1"/>
  <c r="AF272" i="27" s="1"/>
  <c r="AG272" i="27"/>
  <c r="AK272" i="27" a="1"/>
  <c r="AK272" i="27" s="1"/>
  <c r="AH272" i="27"/>
  <c r="AI272" i="27"/>
  <c r="AJ272" i="27" s="1" a="1"/>
  <c r="AJ272" i="27" s="1"/>
  <c r="BA122" i="27"/>
  <c r="BC122" i="27" s="1"/>
  <c r="V197" i="97" a="1"/>
  <c r="V197" i="97" s="1"/>
  <c r="Y239" i="97" a="1"/>
  <c r="Y239" i="97" s="1"/>
  <c r="AC146" i="27"/>
  <c r="AF178" i="27" a="1"/>
  <c r="AF178" i="27" s="1"/>
  <c r="AG178" i="27"/>
  <c r="AS178" i="27" a="1"/>
  <c r="AS178" i="27" s="1"/>
  <c r="AT178" i="27" a="1"/>
  <c r="AT178" i="27" s="1"/>
  <c r="AK178" i="27" a="1"/>
  <c r="AK178" i="27" s="1"/>
  <c r="AH178" i="27"/>
  <c r="AI173" i="27"/>
  <c r="AJ173" i="27" s="1" a="1"/>
  <c r="AJ173" i="27" s="1"/>
  <c r="AI337" i="27"/>
  <c r="AJ337" i="27" s="1" a="1"/>
  <c r="AJ337" i="27" s="1"/>
  <c r="AI266" i="27"/>
  <c r="AJ266" i="27" s="1" a="1"/>
  <c r="AJ266" i="27" s="1"/>
  <c r="AC235" i="27"/>
  <c r="AI329" i="27"/>
  <c r="AJ329" i="27" s="1" a="1"/>
  <c r="AJ329" i="27" s="1"/>
  <c r="AI312" i="27"/>
  <c r="AJ312" i="27" s="1" a="1"/>
  <c r="AJ312" i="27" s="1"/>
  <c r="AH338" i="27"/>
  <c r="AG322" i="27"/>
  <c r="AT322" i="27" a="1"/>
  <c r="AT322" i="27" s="1"/>
  <c r="AF322" i="27" a="1"/>
  <c r="AF322" i="27" s="1"/>
  <c r="AS322" i="27" a="1"/>
  <c r="AS322" i="27" s="1"/>
  <c r="AK322" i="27" a="1"/>
  <c r="AK322" i="27" s="1"/>
  <c r="AH322" i="27"/>
  <c r="AI304" i="27"/>
  <c r="AJ304" i="27" s="1" a="1"/>
  <c r="AJ304" i="27" s="1"/>
  <c r="AG198" i="27"/>
  <c r="AF198" i="27" a="1"/>
  <c r="AF198" i="27" s="1"/>
  <c r="AS198" i="27" a="1"/>
  <c r="AS198" i="27" s="1"/>
  <c r="AT198" i="27" a="1"/>
  <c r="AT198" i="27" s="1"/>
  <c r="AK198" i="27" a="1"/>
  <c r="AK198" i="27" s="1"/>
  <c r="AH198" i="27"/>
  <c r="AI198" i="27"/>
  <c r="AJ198" i="27" s="1" a="1"/>
  <c r="AJ198" i="27" s="1"/>
  <c r="Y97" i="97" a="1"/>
  <c r="Y97" i="97" s="1"/>
  <c r="AC241" i="27"/>
  <c r="AG102" i="27"/>
  <c r="AF102" i="27" a="1"/>
  <c r="AF102" i="27" s="1"/>
  <c r="AS102" i="27" a="1"/>
  <c r="AS102" i="27" s="1"/>
  <c r="AT102" i="27" a="1"/>
  <c r="AT102" i="27" s="1"/>
  <c r="AK102" i="27" a="1"/>
  <c r="AK102" i="27" s="1"/>
  <c r="AH102" i="27"/>
  <c r="AR262" i="27" a="1"/>
  <c r="AR262" i="27" s="1"/>
  <c r="AQ262" i="27" a="1"/>
  <c r="AQ262" i="27" s="1"/>
  <c r="Y271" i="97" a="1"/>
  <c r="Y271" i="97" s="1"/>
  <c r="AC316" i="27"/>
  <c r="AF227" i="27" a="1"/>
  <c r="AF227" i="27" s="1"/>
  <c r="AG227" i="27"/>
  <c r="AS227" i="27" a="1"/>
  <c r="AS227" i="27" s="1"/>
  <c r="AT227" i="27" a="1"/>
  <c r="AT227" i="27" s="1"/>
  <c r="AK227" i="27" a="1"/>
  <c r="AK227" i="27" s="1"/>
  <c r="AI227" i="27"/>
  <c r="AJ227" i="27" s="1" a="1"/>
  <c r="AJ227" i="27" s="1"/>
  <c r="AH227" i="27"/>
  <c r="AC238" i="27"/>
  <c r="V79" i="97" a="1"/>
  <c r="V79" i="97" s="1"/>
  <c r="BA165" i="27"/>
  <c r="BC165" i="27" s="1"/>
  <c r="AS92" i="27" a="1"/>
  <c r="AS92" i="27" s="1"/>
  <c r="AT92" i="27" a="1"/>
  <c r="AT92" i="27" s="1"/>
  <c r="AS264" i="27" a="1"/>
  <c r="AS264" i="27" s="1"/>
  <c r="AF264" i="27" a="1"/>
  <c r="AF264" i="27" s="1"/>
  <c r="AG264" i="27"/>
  <c r="AT264" i="27" a="1"/>
  <c r="AT264" i="27" s="1"/>
  <c r="AK264" i="27" a="1"/>
  <c r="AK264" i="27" s="1"/>
  <c r="AI280" i="27"/>
  <c r="AJ280" i="27" s="1" a="1"/>
  <c r="AJ280" i="27" s="1"/>
  <c r="AC122" i="27"/>
  <c r="AI8" i="27"/>
  <c r="AJ8" i="27" s="1" a="1"/>
  <c r="AJ8" i="27" s="1"/>
  <c r="AR198" i="27" a="1"/>
  <c r="AR198" i="27" s="1"/>
  <c r="AR76" i="27" a="1"/>
  <c r="AR76" i="27" s="1"/>
  <c r="AG171" i="27"/>
  <c r="AT171" i="27" a="1"/>
  <c r="AT171" i="27" s="1"/>
  <c r="AF171" i="27" a="1"/>
  <c r="AF171" i="27" s="1"/>
  <c r="AS171" i="27" a="1"/>
  <c r="AS171" i="27" s="1"/>
  <c r="AK171" i="27" a="1"/>
  <c r="AK171" i="27" s="1"/>
  <c r="AI171" i="27"/>
  <c r="AJ171" i="27" s="1" a="1"/>
  <c r="AJ171" i="27" s="1"/>
  <c r="AH171" i="27"/>
  <c r="V201" i="97" a="1"/>
  <c r="V201" i="97" s="1"/>
  <c r="BA152" i="27"/>
  <c r="BC152" i="27" s="1"/>
  <c r="AD4" i="27" a="1"/>
  <c r="AD4" i="27" s="1"/>
  <c r="Y304" i="97" a="1"/>
  <c r="Y304" i="97" s="1"/>
  <c r="AC99" i="27"/>
  <c r="AQ316" i="27" a="1"/>
  <c r="AQ316" i="27" s="1"/>
  <c r="AF70" i="27" a="1"/>
  <c r="AF70" i="27" s="1"/>
  <c r="AG70" i="27"/>
  <c r="AS70" i="27" a="1"/>
  <c r="AS70" i="27" s="1"/>
  <c r="AT70" i="27" a="1"/>
  <c r="AT70" i="27" s="1"/>
  <c r="AK70" i="27" a="1"/>
  <c r="AK70" i="27" s="1"/>
  <c r="AI70" i="27"/>
  <c r="AJ70" i="27" s="1" a="1"/>
  <c r="AJ70" i="27" s="1"/>
  <c r="AG184" i="27"/>
  <c r="AS184" i="27" a="1"/>
  <c r="AS184" i="27" s="1"/>
  <c r="AF184" i="27" a="1"/>
  <c r="AF184" i="27" s="1"/>
  <c r="AT184" i="27" a="1"/>
  <c r="AT184" i="27" s="1"/>
  <c r="AK184" i="27" a="1"/>
  <c r="AK184" i="27" s="1"/>
  <c r="AI184" i="27"/>
  <c r="AJ184" i="27" s="1" a="1"/>
  <c r="AJ184" i="27" s="1"/>
  <c r="AH184" i="27"/>
  <c r="AG122" i="27"/>
  <c r="AF122" i="27" a="1"/>
  <c r="AF122" i="27" s="1"/>
  <c r="AS122" i="27" a="1"/>
  <c r="AS122" i="27" s="1"/>
  <c r="AT122" i="27" a="1"/>
  <c r="AT122" i="27" s="1"/>
  <c r="AK122" i="27" a="1"/>
  <c r="AK122" i="27" s="1"/>
  <c r="BA200" i="27"/>
  <c r="BC200" i="27" s="1"/>
  <c r="V133" i="97" a="1"/>
  <c r="V133" i="97" s="1"/>
  <c r="AC337" i="27"/>
  <c r="AH122" i="27"/>
  <c r="Y131" i="97" a="1"/>
  <c r="Y131" i="97" s="1"/>
  <c r="AC270" i="27"/>
  <c r="Y212" i="97" a="1"/>
  <c r="Y212" i="97" s="1"/>
  <c r="AC198" i="27"/>
  <c r="AH113" i="27"/>
  <c r="AG16" i="27"/>
  <c r="AT16" i="27" a="1"/>
  <c r="AT16" i="27" s="1"/>
  <c r="AS16" i="27" a="1"/>
  <c r="AS16" i="27" s="1"/>
  <c r="AF16" i="27" a="1"/>
  <c r="AF16" i="27" s="1"/>
  <c r="AK16" i="27" a="1"/>
  <c r="AK16" i="27" s="1"/>
  <c r="V203" i="97" a="1"/>
  <c r="V203" i="97" s="1"/>
  <c r="BA74" i="27"/>
  <c r="BC74" i="27" s="1"/>
  <c r="AT165" i="27" a="1"/>
  <c r="AT165" i="27" s="1"/>
  <c r="AG165" i="27"/>
  <c r="AF165" i="27" a="1"/>
  <c r="AF165" i="27" s="1"/>
  <c r="AS165" i="27" a="1"/>
  <c r="AS165" i="27" s="1"/>
  <c r="AK165" i="27" a="1"/>
  <c r="AK165" i="27" s="1"/>
  <c r="AH264" i="27"/>
  <c r="AC280" i="27"/>
  <c r="AG200" i="27"/>
  <c r="AF200" i="27" a="1"/>
  <c r="AF200" i="27" s="1"/>
  <c r="AS200" i="27" a="1"/>
  <c r="AS200" i="27" s="1"/>
  <c r="AT200" i="27" a="1"/>
  <c r="AT200" i="27" s="1"/>
  <c r="AK200" i="27" a="1"/>
  <c r="AK200" i="27" s="1"/>
  <c r="AH200" i="27"/>
  <c r="AI122" i="27"/>
  <c r="AJ122" i="27" s="1" a="1"/>
  <c r="AJ122" i="27" s="1"/>
  <c r="AH8" i="27"/>
  <c r="AS332" i="27" a="1"/>
  <c r="AS332" i="27" s="1"/>
  <c r="AG332" i="27"/>
  <c r="AF332" i="27" a="1"/>
  <c r="AF332" i="27" s="1"/>
  <c r="AT332" i="27" a="1"/>
  <c r="AT332" i="27" s="1"/>
  <c r="AK332" i="27" a="1"/>
  <c r="AK332" i="27" s="1"/>
  <c r="AH332" i="27"/>
  <c r="V112" i="97" a="1"/>
  <c r="V112" i="97" s="1"/>
  <c r="BA145" i="27"/>
  <c r="BC145" i="27" s="1"/>
  <c r="AF256" i="27" a="1"/>
  <c r="AF256" i="27" s="1"/>
  <c r="AG256" i="27"/>
  <c r="AS256" i="27" a="1"/>
  <c r="AS256" i="27" s="1"/>
  <c r="AT256" i="27" a="1"/>
  <c r="AT256" i="27" s="1"/>
  <c r="AK256" i="27" a="1"/>
  <c r="AK256" i="27" s="1"/>
  <c r="AH256" i="27"/>
  <c r="AS325" i="27" a="1"/>
  <c r="AS325" i="27" s="1"/>
  <c r="AT325" i="27" a="1"/>
  <c r="AT325" i="27" s="1"/>
  <c r="AF325" i="27" a="1"/>
  <c r="AF325" i="27" s="1"/>
  <c r="AG325" i="27"/>
  <c r="AK325" i="27" a="1"/>
  <c r="AK325" i="27" s="1"/>
  <c r="AI325" i="27"/>
  <c r="AJ325" i="27" s="1" a="1"/>
  <c r="AJ325" i="27" s="1"/>
  <c r="AF242" i="27" a="1"/>
  <c r="AF242" i="27" s="1"/>
  <c r="AT242" i="27" a="1"/>
  <c r="AT242" i="27" s="1"/>
  <c r="AG242" i="27"/>
  <c r="AS242" i="27" a="1"/>
  <c r="AS242" i="27" s="1"/>
  <c r="AK242" i="27" a="1"/>
  <c r="AK242" i="27" s="1"/>
  <c r="AI242" i="27"/>
  <c r="AJ242" i="27" s="1" a="1"/>
  <c r="AJ242" i="27" s="1"/>
  <c r="AH242" i="27"/>
  <c r="AG204" i="27"/>
  <c r="AS204" i="27" a="1"/>
  <c r="AS204" i="27" s="1"/>
  <c r="AT204" i="27" a="1"/>
  <c r="AT204" i="27" s="1"/>
  <c r="AF204" i="27" a="1"/>
  <c r="AF204" i="27" s="1"/>
  <c r="AK204" i="27" a="1"/>
  <c r="AK204" i="27" s="1"/>
  <c r="AI204" i="27"/>
  <c r="AJ204" i="27" s="1" a="1"/>
  <c r="AJ204" i="27" s="1"/>
  <c r="AH204" i="27"/>
  <c r="AC4" i="27"/>
  <c r="AQ281" i="27" a="1"/>
  <c r="AQ281" i="27" s="1"/>
  <c r="AR281" i="27" a="1"/>
  <c r="AR281" i="27" s="1"/>
  <c r="V84" i="97" a="1"/>
  <c r="V84" i="97" s="1"/>
  <c r="BA83" i="27"/>
  <c r="BC83" i="27" s="1"/>
  <c r="Y46" i="97" a="1"/>
  <c r="Y46" i="97" s="1"/>
  <c r="AC87" i="27"/>
  <c r="AG74" i="27"/>
  <c r="AF74" i="27" a="1"/>
  <c r="AF74" i="27" s="1"/>
  <c r="AS74" i="27" a="1"/>
  <c r="AS74" i="27" s="1"/>
  <c r="AT74" i="27" a="1"/>
  <c r="AT74" i="27" s="1"/>
  <c r="AK74" i="27" a="1"/>
  <c r="AK74" i="27" s="1"/>
  <c r="V117" i="97" a="1"/>
  <c r="V117" i="97" s="1"/>
  <c r="BA85" i="27"/>
  <c r="BC85" i="27" s="1"/>
  <c r="V238" i="97" a="1"/>
  <c r="V238" i="97" s="1"/>
  <c r="BA160" i="27"/>
  <c r="BC160" i="27" s="1"/>
  <c r="BA207" i="27"/>
  <c r="BC207" i="27" s="1"/>
  <c r="V233" i="97" a="1"/>
  <c r="V233" i="97" s="1"/>
  <c r="AM114" i="27"/>
  <c r="AL114" i="27" a="1"/>
  <c r="AL114" i="27" s="1"/>
  <c r="AN114" i="27"/>
  <c r="Y100" i="97" a="1"/>
  <c r="Y100" i="97" s="1"/>
  <c r="AC242" i="27"/>
  <c r="Y6" i="97" a="1"/>
  <c r="Y6" i="97" s="1"/>
  <c r="AC204" i="27"/>
  <c r="Y75" i="97" a="1"/>
  <c r="Y75" i="97" s="1"/>
  <c r="AC105" i="27"/>
  <c r="AF145" i="27" a="1"/>
  <c r="AF145" i="27" s="1"/>
  <c r="AG145" i="27"/>
  <c r="AT145" i="27" a="1"/>
  <c r="AT145" i="27" s="1"/>
  <c r="AS145" i="27" a="1"/>
  <c r="AS145" i="27" s="1"/>
  <c r="AK145" i="27" a="1"/>
  <c r="AK145" i="27" s="1"/>
  <c r="V326" i="97" a="1"/>
  <c r="V326" i="97" s="1"/>
  <c r="BA123" i="27"/>
  <c r="BC123" i="27" s="1"/>
  <c r="AR22" i="27" a="1"/>
  <c r="AR22" i="27" s="1"/>
  <c r="AQ22" i="27" a="1"/>
  <c r="AQ22" i="27" s="1"/>
  <c r="Y116" i="97" a="1"/>
  <c r="Y116" i="97" s="1"/>
  <c r="AC256" i="27"/>
  <c r="AF260" i="27" a="1"/>
  <c r="AF260" i="27" s="1"/>
  <c r="AG260" i="27"/>
  <c r="AS260" i="27" a="1"/>
  <c r="AS260" i="27" s="1"/>
  <c r="AT260" i="27" a="1"/>
  <c r="AT260" i="27" s="1"/>
  <c r="AK260" i="27" a="1"/>
  <c r="AK260" i="27" s="1"/>
  <c r="V309" i="97" a="1"/>
  <c r="V309" i="97" s="1"/>
  <c r="BA38" i="27"/>
  <c r="BC38" i="27" s="1"/>
  <c r="V265" i="97" a="1"/>
  <c r="V265" i="97" s="1"/>
  <c r="BA158" i="27"/>
  <c r="BC158" i="27" s="1"/>
  <c r="AG207" i="27"/>
  <c r="AF207" i="27" a="1"/>
  <c r="AF207" i="27" s="1"/>
  <c r="AT207" i="27" a="1"/>
  <c r="AT207" i="27" s="1"/>
  <c r="AS207" i="27" a="1"/>
  <c r="AS207" i="27" s="1"/>
  <c r="AK207" i="27" a="1"/>
  <c r="AK207" i="27" s="1"/>
  <c r="AH207" i="27"/>
  <c r="AF267" i="27" a="1"/>
  <c r="AF267" i="27" s="1"/>
  <c r="AG267" i="27"/>
  <c r="AS267" i="27" a="1"/>
  <c r="AS267" i="27" s="1"/>
  <c r="AT267" i="27" a="1"/>
  <c r="AT267" i="27" s="1"/>
  <c r="AK267" i="27" a="1"/>
  <c r="AK267" i="27" s="1"/>
  <c r="AF123" i="27" a="1"/>
  <c r="AF123" i="27" s="1"/>
  <c r="AG123" i="27"/>
  <c r="AS123" i="27" a="1"/>
  <c r="AS123" i="27" s="1"/>
  <c r="AT123" i="27" a="1"/>
  <c r="AT123" i="27" s="1"/>
  <c r="AK123" i="27" a="1"/>
  <c r="AK123" i="27" s="1"/>
  <c r="AF237" i="27" a="1"/>
  <c r="AF237" i="27" s="1"/>
  <c r="AG237" i="27"/>
  <c r="AT237" i="27" a="1"/>
  <c r="AT237" i="27" s="1"/>
  <c r="AS237" i="27" a="1"/>
  <c r="AS237" i="27" s="1"/>
  <c r="AK237" i="27" a="1"/>
  <c r="AK237" i="27" s="1"/>
  <c r="AI237" i="27"/>
  <c r="AJ237" i="27" s="1" a="1"/>
  <c r="AJ237" i="27" s="1"/>
  <c r="AG268" i="27"/>
  <c r="AS268" i="27" a="1"/>
  <c r="AS268" i="27" s="1"/>
  <c r="AT268" i="27" a="1"/>
  <c r="AT268" i="27" s="1"/>
  <c r="AK268" i="27" a="1"/>
  <c r="AK268" i="27" s="1"/>
  <c r="AF268" i="27" a="1"/>
  <c r="AF268" i="27" s="1"/>
  <c r="AH268" i="27"/>
  <c r="AH260" i="27"/>
  <c r="AM62" i="27"/>
  <c r="AL62" i="27" a="1"/>
  <c r="AL62" i="27" s="1"/>
  <c r="AN62" i="27"/>
  <c r="V317" i="97" a="1"/>
  <c r="V317" i="97" s="1"/>
  <c r="BA28" i="27"/>
  <c r="BC28" i="27" s="1"/>
  <c r="V50" i="97" a="1"/>
  <c r="V50" i="97" s="1"/>
  <c r="BA45" i="27"/>
  <c r="AS297" i="27" a="1"/>
  <c r="AS297" i="27" s="1"/>
  <c r="AT297" i="27" a="1"/>
  <c r="AT297" i="27" s="1"/>
  <c r="AF297" i="27" a="1"/>
  <c r="AF297" i="27" s="1"/>
  <c r="AG297" i="27"/>
  <c r="AK297" i="27" a="1"/>
  <c r="AK297" i="27" s="1"/>
  <c r="AH297" i="27"/>
  <c r="AI16" i="27"/>
  <c r="AJ16" i="27" s="1" a="1"/>
  <c r="AJ16" i="27" s="1"/>
  <c r="Y290" i="97" a="1"/>
  <c r="Y290" i="97" s="1"/>
  <c r="AC193" i="27"/>
  <c r="AF85" i="27" a="1"/>
  <c r="AF85" i="27" s="1"/>
  <c r="AG85" i="27"/>
  <c r="AS85" i="27" a="1"/>
  <c r="AS85" i="27" s="1"/>
  <c r="AT85" i="27" a="1"/>
  <c r="AT85" i="27" s="1"/>
  <c r="AK85" i="27" a="1"/>
  <c r="AK85" i="27" s="1"/>
  <c r="AL226" i="27" a="1"/>
  <c r="AL226" i="27" s="1"/>
  <c r="AM226" i="27"/>
  <c r="AN226" i="27"/>
  <c r="V55" i="97" a="1"/>
  <c r="V55" i="97" s="1"/>
  <c r="BA197" i="27"/>
  <c r="BC197" i="27" s="1"/>
  <c r="Y265" i="97" a="1"/>
  <c r="Y265" i="97" s="1"/>
  <c r="AC158" i="27"/>
  <c r="AF274" i="27" a="1"/>
  <c r="AF274" i="27" s="1"/>
  <c r="AT274" i="27" a="1"/>
  <c r="AT274" i="27" s="1"/>
  <c r="AG274" i="27"/>
  <c r="AS274" i="27" a="1"/>
  <c r="AS274" i="27" s="1"/>
  <c r="AK274" i="27" a="1"/>
  <c r="AK274" i="27" s="1"/>
  <c r="AI274" i="27"/>
  <c r="AJ274" i="27" s="1" a="1"/>
  <c r="AJ274" i="27" s="1"/>
  <c r="Y238" i="97" a="1"/>
  <c r="Y238" i="97" s="1"/>
  <c r="AC160" i="27"/>
  <c r="AF28" i="27" a="1"/>
  <c r="AF28" i="27" s="1"/>
  <c r="AG28" i="27"/>
  <c r="AS28" i="27" a="1"/>
  <c r="AS28" i="27" s="1"/>
  <c r="AT28" i="27" a="1"/>
  <c r="AT28" i="27" s="1"/>
  <c r="AK28" i="27" a="1"/>
  <c r="AK28" i="27" s="1"/>
  <c r="AG186" i="27"/>
  <c r="AS186" i="27" a="1"/>
  <c r="AS186" i="27" s="1"/>
  <c r="AT186" i="27" a="1"/>
  <c r="AT186" i="27" s="1"/>
  <c r="AF186" i="27" a="1"/>
  <c r="AF186" i="27" s="1"/>
  <c r="AK186" i="27" a="1"/>
  <c r="AK186" i="27" s="1"/>
  <c r="AF45" i="27" a="1"/>
  <c r="AF45" i="27" s="1"/>
  <c r="AT45" i="27" a="1"/>
  <c r="AT45" i="27" s="1"/>
  <c r="AS45" i="27" a="1"/>
  <c r="AS45" i="27" s="1"/>
  <c r="AG45" i="27"/>
  <c r="AK45" i="27" a="1"/>
  <c r="AK45" i="27" s="1"/>
  <c r="AI145" i="27"/>
  <c r="AJ145" i="27" s="1" a="1"/>
  <c r="AJ145" i="27" s="1"/>
  <c r="AG39" i="27"/>
  <c r="AS39" i="27" a="1"/>
  <c r="AS39" i="27" s="1"/>
  <c r="AT39" i="27" a="1"/>
  <c r="AT39" i="27" s="1"/>
  <c r="AK39" i="27" a="1"/>
  <c r="AK39" i="27" s="1"/>
  <c r="AF39" i="27" a="1"/>
  <c r="AF39" i="27" s="1"/>
  <c r="AR237" i="27" a="1"/>
  <c r="AR237" i="27" s="1"/>
  <c r="AM206" i="27"/>
  <c r="AL206" i="27" a="1"/>
  <c r="AL206" i="27" s="1"/>
  <c r="AN206" i="27"/>
  <c r="AR256" i="27" a="1"/>
  <c r="AR256" i="27" s="1"/>
  <c r="AI297" i="27"/>
  <c r="AJ297" i="27" s="1" a="1"/>
  <c r="AJ297" i="27" s="1"/>
  <c r="Y275" i="97" a="1"/>
  <c r="Y275" i="97" s="1"/>
  <c r="AC319" i="27"/>
  <c r="Y24" i="97" a="1"/>
  <c r="Y24" i="97" s="1"/>
  <c r="AC250" i="27"/>
  <c r="AF111" i="27" a="1"/>
  <c r="AF111" i="27" s="1"/>
  <c r="AG111" i="27"/>
  <c r="AS111" i="27" a="1"/>
  <c r="AS111" i="27" s="1"/>
  <c r="AT111" i="27" a="1"/>
  <c r="AT111" i="27" s="1"/>
  <c r="AK111" i="27" a="1"/>
  <c r="AK111" i="27" s="1"/>
  <c r="AH111" i="27"/>
  <c r="AI111" i="27"/>
  <c r="AJ111" i="27" s="1" a="1"/>
  <c r="AJ111" i="27" s="1"/>
  <c r="AF211" i="27" a="1"/>
  <c r="AF211" i="27" s="1"/>
  <c r="AS211" i="27" a="1"/>
  <c r="AS211" i="27" s="1"/>
  <c r="AT211" i="27" a="1"/>
  <c r="AT211" i="27" s="1"/>
  <c r="AG211" i="27"/>
  <c r="AK211" i="27" a="1"/>
  <c r="AK211" i="27" s="1"/>
  <c r="AI211" i="27"/>
  <c r="AJ211" i="27" s="1" a="1"/>
  <c r="AJ211" i="27" s="1"/>
  <c r="BA25" i="27"/>
  <c r="BC25" i="27" s="1"/>
  <c r="V318" i="97" a="1"/>
  <c r="V318" i="97" s="1"/>
  <c r="AF269" i="27" a="1"/>
  <c r="AF269" i="27" s="1"/>
  <c r="AS269" i="27" a="1"/>
  <c r="AS269" i="27" s="1"/>
  <c r="AG269" i="27"/>
  <c r="AT269" i="27" a="1"/>
  <c r="AT269" i="27" s="1"/>
  <c r="AK269" i="27" a="1"/>
  <c r="AK269" i="27" s="1"/>
  <c r="AH269" i="27"/>
  <c r="Y56" i="97" a="1"/>
  <c r="Y56" i="97" s="1"/>
  <c r="AC202" i="27"/>
  <c r="Y87" i="97" a="1"/>
  <c r="Y87" i="97" s="1"/>
  <c r="AC216" i="27"/>
  <c r="AK160" i="27" a="1"/>
  <c r="AK160" i="27" s="1"/>
  <c r="AS160" i="27" a="1"/>
  <c r="AS160" i="27" s="1"/>
  <c r="AG160" i="27"/>
  <c r="AT160" i="27" a="1"/>
  <c r="AT160" i="27" s="1"/>
  <c r="AF160" i="27" a="1"/>
  <c r="AF160" i="27" s="1"/>
  <c r="AH145" i="27"/>
  <c r="AM67" i="27"/>
  <c r="AL67" i="27" a="1"/>
  <c r="AL67" i="27" s="1"/>
  <c r="AN67" i="27"/>
  <c r="AC123" i="27"/>
  <c r="AI260" i="27"/>
  <c r="AJ260" i="27" s="1" a="1"/>
  <c r="AJ260" i="27" s="1"/>
  <c r="V74" i="97" a="1"/>
  <c r="V74" i="97" s="1"/>
  <c r="BA124" i="27"/>
  <c r="BC124" i="27" s="1"/>
  <c r="AF91" i="27" a="1"/>
  <c r="AF91" i="27" s="1"/>
  <c r="AG91" i="27"/>
  <c r="AS91" i="27" a="1"/>
  <c r="AS91" i="27" s="1"/>
  <c r="AT91" i="27" a="1"/>
  <c r="AT91" i="27" s="1"/>
  <c r="AK91" i="27" a="1"/>
  <c r="AK91" i="27" s="1"/>
  <c r="AH91" i="27"/>
  <c r="AQ137" i="27" a="1"/>
  <c r="AQ137" i="27" s="1"/>
  <c r="AR137" i="27" a="1"/>
  <c r="AR137" i="27" s="1"/>
  <c r="Y199" i="97" a="1"/>
  <c r="Y199" i="97" s="1"/>
  <c r="AC43" i="27"/>
  <c r="AH211" i="27"/>
  <c r="BA32" i="27"/>
  <c r="BC32" i="27" s="1"/>
  <c r="V167" i="97" a="1"/>
  <c r="V167" i="97" s="1"/>
  <c r="BC125" i="27"/>
  <c r="BD125" i="27"/>
  <c r="Y16" i="97" a="1"/>
  <c r="Y16" i="97" s="1"/>
  <c r="AC115" i="27"/>
  <c r="AQ288" i="27" a="1"/>
  <c r="AQ288" i="27" s="1"/>
  <c r="AR288" i="27" a="1"/>
  <c r="AR288" i="27" s="1"/>
  <c r="AQ194" i="27" a="1"/>
  <c r="AQ194" i="27" s="1"/>
  <c r="AR194" i="27" a="1"/>
  <c r="AR194" i="27" s="1"/>
  <c r="AK239" i="27" a="1"/>
  <c r="AK239" i="27" s="1"/>
  <c r="AS239" i="27" a="1"/>
  <c r="AS239" i="27" s="1"/>
  <c r="AT239" i="27" a="1"/>
  <c r="AT239" i="27" s="1"/>
  <c r="AG239" i="27"/>
  <c r="AF239" i="27" a="1"/>
  <c r="AF239" i="27" s="1"/>
  <c r="AH239" i="27"/>
  <c r="AI239" i="27"/>
  <c r="AJ239" i="27" s="1" a="1"/>
  <c r="AJ239" i="27" s="1"/>
  <c r="BA49" i="27"/>
  <c r="V51" i="97" a="1"/>
  <c r="V51" i="97" s="1"/>
  <c r="AH160" i="27"/>
  <c r="AR274" i="27" a="1"/>
  <c r="AR274" i="27" s="1"/>
  <c r="AR186" i="27" a="1"/>
  <c r="AR186" i="27" s="1"/>
  <c r="Y55" i="97" a="1"/>
  <c r="Y55" i="97" s="1"/>
  <c r="AC197" i="27"/>
  <c r="AT313" i="27" a="1"/>
  <c r="AT313" i="27" s="1"/>
  <c r="AG313" i="27"/>
  <c r="AF313" i="27" a="1"/>
  <c r="AF313" i="27" s="1"/>
  <c r="AS313" i="27" a="1"/>
  <c r="AS313" i="27" s="1"/>
  <c r="AK313" i="27" a="1"/>
  <c r="AK313" i="27" s="1"/>
  <c r="Y317" i="97" a="1"/>
  <c r="Y317" i="97" s="1"/>
  <c r="AC28" i="27"/>
  <c r="AH45" i="27"/>
  <c r="AH123" i="27"/>
  <c r="AG93" i="27"/>
  <c r="AK93" i="27" a="1"/>
  <c r="AK93" i="27" s="1"/>
  <c r="AF93" i="27" a="1"/>
  <c r="AF93" i="27" s="1"/>
  <c r="AS93" i="27" a="1"/>
  <c r="AS93" i="27" s="1"/>
  <c r="AT93" i="27" a="1"/>
  <c r="AT93" i="27" s="1"/>
  <c r="AI93" i="27"/>
  <c r="AJ93" i="27" s="1" a="1"/>
  <c r="AJ93" i="27" s="1"/>
  <c r="AH93" i="27"/>
  <c r="Y302" i="97" a="1"/>
  <c r="Y302" i="97" s="1"/>
  <c r="AC214" i="27"/>
  <c r="AS32" i="27" a="1"/>
  <c r="AS32" i="27" s="1"/>
  <c r="AG32" i="27"/>
  <c r="AF32" i="27" a="1"/>
  <c r="AF32" i="27" s="1"/>
  <c r="AT32" i="27" a="1"/>
  <c r="AT32" i="27" s="1"/>
  <c r="AK32" i="27" a="1"/>
  <c r="AK32" i="27" s="1"/>
  <c r="AH32" i="27"/>
  <c r="AI32" i="27"/>
  <c r="AJ32" i="27" s="1" a="1"/>
  <c r="AJ32" i="27" s="1"/>
  <c r="V235" i="97" a="1"/>
  <c r="V235" i="97" s="1"/>
  <c r="BA71" i="27"/>
  <c r="BC71" i="27" s="1"/>
  <c r="AI269" i="27"/>
  <c r="AJ269" i="27" s="1" a="1"/>
  <c r="AJ269" i="27" s="1"/>
  <c r="AR202" i="27" a="1"/>
  <c r="AR202" i="27" s="1"/>
  <c r="AS116" i="27" a="1"/>
  <c r="AS116" i="27" s="1"/>
  <c r="AT116" i="27" a="1"/>
  <c r="AT116" i="27" s="1"/>
  <c r="AG116" i="27"/>
  <c r="AF116" i="27" a="1"/>
  <c r="AF116" i="27" s="1"/>
  <c r="AK116" i="27" a="1"/>
  <c r="AK116" i="27" s="1"/>
  <c r="AH116" i="27"/>
  <c r="AS78" i="27" a="1"/>
  <c r="AS78" i="27" s="1"/>
  <c r="AT78" i="27" a="1"/>
  <c r="AT78" i="27" s="1"/>
  <c r="AF78" i="27" a="1"/>
  <c r="AF78" i="27" s="1"/>
  <c r="AG78" i="27"/>
  <c r="AK78" i="27" a="1"/>
  <c r="AK78" i="27" s="1"/>
  <c r="AI78" i="27"/>
  <c r="AJ78" i="27" s="1" a="1"/>
  <c r="AJ78" i="27" s="1"/>
  <c r="AH78" i="27"/>
  <c r="Y313" i="97" a="1"/>
  <c r="Y313" i="97" s="1"/>
  <c r="AC136" i="27"/>
  <c r="AS49" i="27" a="1"/>
  <c r="AS49" i="27" s="1"/>
  <c r="AF49" i="27" a="1"/>
  <c r="AF49" i="27" s="1"/>
  <c r="AT49" i="27" a="1"/>
  <c r="AT49" i="27" s="1"/>
  <c r="AG49" i="27"/>
  <c r="AK49" i="27" a="1"/>
  <c r="AK49" i="27" s="1"/>
  <c r="AI49" i="27"/>
  <c r="AJ49" i="27" s="1" a="1"/>
  <c r="AJ49" i="27" s="1"/>
  <c r="AF311" i="27" a="1"/>
  <c r="AF311" i="27" s="1"/>
  <c r="AG311" i="27"/>
  <c r="AS311" i="27" a="1"/>
  <c r="AS311" i="27" s="1"/>
  <c r="AT311" i="27" a="1"/>
  <c r="AT311" i="27" s="1"/>
  <c r="AK311" i="27" a="1"/>
  <c r="AK311" i="27" s="1"/>
  <c r="AH311" i="27"/>
  <c r="AQ309" i="27" a="1"/>
  <c r="AQ309" i="27" s="1"/>
  <c r="AR309" i="27" a="1"/>
  <c r="AR309" i="27" s="1"/>
  <c r="AS197" i="27" a="1"/>
  <c r="AS197" i="27" s="1"/>
  <c r="AF197" i="27" a="1"/>
  <c r="AF197" i="27" s="1"/>
  <c r="AG197" i="27"/>
  <c r="AT197" i="27" a="1"/>
  <c r="AT197" i="27" s="1"/>
  <c r="AK197" i="27" a="1"/>
  <c r="AK197" i="27" s="1"/>
  <c r="AH85" i="27"/>
  <c r="AC264" i="27"/>
  <c r="AG7" i="27"/>
  <c r="AS7" i="27" a="1"/>
  <c r="AS7" i="27" s="1"/>
  <c r="AT7" i="27" a="1"/>
  <c r="AT7" i="27" s="1"/>
  <c r="AF7" i="27" a="1"/>
  <c r="AF7" i="27" s="1"/>
  <c r="AK7" i="27" a="1"/>
  <c r="AK7" i="27" s="1"/>
  <c r="AH28" i="27"/>
  <c r="AG37" i="27"/>
  <c r="AF37" i="27" a="1"/>
  <c r="AF37" i="27" s="1"/>
  <c r="AS37" i="27" a="1"/>
  <c r="AS37" i="27" s="1"/>
  <c r="AT37" i="27" a="1"/>
  <c r="AT37" i="27" s="1"/>
  <c r="AK37" i="27" a="1"/>
  <c r="AK37" i="27" s="1"/>
  <c r="AI37" i="27"/>
  <c r="AJ37" i="27" s="1" a="1"/>
  <c r="AJ37" i="27" s="1"/>
  <c r="AI85" i="27"/>
  <c r="AJ85" i="27" s="1" a="1"/>
  <c r="AJ85" i="27" s="1"/>
  <c r="AC74" i="27"/>
  <c r="AH197" i="27"/>
  <c r="AC85" i="27"/>
  <c r="V34" i="97" a="1"/>
  <c r="V34" i="97" s="1"/>
  <c r="BA57" i="27"/>
  <c r="AG51" i="27"/>
  <c r="AF51" i="27" a="1"/>
  <c r="AF51" i="27" s="1"/>
  <c r="AS51" i="27" a="1"/>
  <c r="AS51" i="27" s="1"/>
  <c r="AT51" i="27" a="1"/>
  <c r="AT51" i="27" s="1"/>
  <c r="AK51" i="27" a="1"/>
  <c r="AK51" i="27" s="1"/>
  <c r="AI313" i="27"/>
  <c r="AJ313" i="27" s="1" a="1"/>
  <c r="AJ313" i="27" s="1"/>
  <c r="AC274" i="27"/>
  <c r="AI7" i="27"/>
  <c r="AJ7" i="27" s="1" a="1"/>
  <c r="AJ7" i="27" s="1"/>
  <c r="AI28" i="27"/>
  <c r="AJ28" i="27" s="1" a="1"/>
  <c r="AJ28" i="27" s="1"/>
  <c r="AI186" i="27"/>
  <c r="AJ186" i="27" s="1" a="1"/>
  <c r="AJ186" i="27" s="1"/>
  <c r="AI45" i="27"/>
  <c r="AJ45" i="27" s="1" a="1"/>
  <c r="AJ45" i="27" s="1"/>
  <c r="AC145" i="27"/>
  <c r="AR37" i="27" a="1"/>
  <c r="AR37" i="27" s="1"/>
  <c r="AI123" i="27"/>
  <c r="AJ123" i="27" s="1" a="1"/>
  <c r="AJ123" i="27" s="1"/>
  <c r="AQ311" i="27" a="1"/>
  <c r="AQ311" i="27" s="1"/>
  <c r="V273" i="97" a="1"/>
  <c r="V273" i="97" s="1"/>
  <c r="BA117" i="27"/>
  <c r="BC117" i="27" s="1"/>
  <c r="AC93" i="27"/>
  <c r="AG10" i="27"/>
  <c r="AS10" i="27" a="1"/>
  <c r="AS10" i="27" s="1"/>
  <c r="AF10" i="27" a="1"/>
  <c r="AF10" i="27" s="1"/>
  <c r="AT10" i="27" a="1"/>
  <c r="AT10" i="27" s="1"/>
  <c r="AK10" i="27" a="1"/>
  <c r="AK10" i="27" s="1"/>
  <c r="AH10" i="27"/>
  <c r="Y167" i="97" a="1"/>
  <c r="Y167" i="97" s="1"/>
  <c r="AC32" i="27"/>
  <c r="AC269" i="27"/>
  <c r="AT213" i="27" a="1"/>
  <c r="AT213" i="27" s="1"/>
  <c r="AF213" i="27" a="1"/>
  <c r="AF213" i="27" s="1"/>
  <c r="AS213" i="27" a="1"/>
  <c r="AS213" i="27" s="1"/>
  <c r="AG213" i="27"/>
  <c r="AK213" i="27" a="1"/>
  <c r="AK213" i="27" s="1"/>
  <c r="AH213" i="27"/>
  <c r="AL22" i="27" a="1"/>
  <c r="AL22" i="27" s="1"/>
  <c r="AM22" i="27"/>
  <c r="AN22" i="27"/>
  <c r="AI116" i="27"/>
  <c r="AJ116" i="27" s="1" a="1"/>
  <c r="AJ116" i="27" s="1"/>
  <c r="BA186" i="27"/>
  <c r="BC186" i="27" s="1"/>
  <c r="V211" i="97" a="1"/>
  <c r="V211" i="97" s="1"/>
  <c r="AF158" i="27" a="1"/>
  <c r="AF158" i="27" s="1"/>
  <c r="AK158" i="27" a="1"/>
  <c r="AK158" i="27" s="1"/>
  <c r="AS158" i="27" a="1"/>
  <c r="AS158" i="27" s="1"/>
  <c r="AT158" i="27" a="1"/>
  <c r="AT158" i="27" s="1"/>
  <c r="AG158" i="27"/>
  <c r="AC207" i="27"/>
  <c r="V162" i="97" a="1"/>
  <c r="V162" i="97" s="1"/>
  <c r="BA7" i="27"/>
  <c r="BC7" i="27" s="1"/>
  <c r="AS301" i="27" a="1"/>
  <c r="AS301" i="27" s="1"/>
  <c r="AF301" i="27" a="1"/>
  <c r="AF301" i="27" s="1"/>
  <c r="AG301" i="27"/>
  <c r="AK301" i="27" a="1"/>
  <c r="AK301" i="27" s="1"/>
  <c r="AT301" i="27" a="1"/>
  <c r="AT301" i="27" s="1"/>
  <c r="AI301" i="27"/>
  <c r="AJ301" i="27" s="1" a="1"/>
  <c r="AJ301" i="27" s="1"/>
  <c r="AH301" i="27"/>
  <c r="V143" i="97" a="1"/>
  <c r="V143" i="97" s="1"/>
  <c r="BA157" i="27"/>
  <c r="BC157" i="27" s="1"/>
  <c r="V314" i="97" a="1"/>
  <c r="V314" i="97" s="1"/>
  <c r="BA29" i="27"/>
  <c r="AI158" i="27"/>
  <c r="AJ158" i="27" s="1" a="1"/>
  <c r="AJ158" i="27" s="1"/>
  <c r="V136" i="97" a="1"/>
  <c r="V136" i="97" s="1"/>
  <c r="BA17" i="27"/>
  <c r="BC17" i="27" s="1"/>
  <c r="AH313" i="27"/>
  <c r="AC7" i="27"/>
  <c r="AS15" i="27" a="1"/>
  <c r="AS15" i="27" s="1"/>
  <c r="AT15" i="27" a="1"/>
  <c r="AT15" i="27" s="1"/>
  <c r="AC39" i="27"/>
  <c r="AC37" i="27"/>
  <c r="Y175" i="97" a="1"/>
  <c r="Y175" i="97" s="1"/>
  <c r="AC284" i="27"/>
  <c r="V187" i="97" a="1"/>
  <c r="V187" i="97" s="1"/>
  <c r="BA150" i="27"/>
  <c r="BC150" i="27" s="1"/>
  <c r="AG196" i="27"/>
  <c r="AF196" i="27" a="1"/>
  <c r="AF196" i="27" s="1"/>
  <c r="AS196" i="27" a="1"/>
  <c r="AS196" i="27" s="1"/>
  <c r="AT196" i="27" a="1"/>
  <c r="AT196" i="27" s="1"/>
  <c r="AK196" i="27" a="1"/>
  <c r="AK196" i="27" s="1"/>
  <c r="Y273" i="97" a="1"/>
  <c r="Y273" i="97" s="1"/>
  <c r="AC117" i="27"/>
  <c r="AS261" i="27" a="1"/>
  <c r="AS261" i="27" s="1"/>
  <c r="AT261" i="27" a="1"/>
  <c r="AT261" i="27" s="1"/>
  <c r="AF261" i="27" a="1"/>
  <c r="AF261" i="27" s="1"/>
  <c r="AG261" i="27"/>
  <c r="AK261" i="27" a="1"/>
  <c r="AK261" i="27" s="1"/>
  <c r="AH261" i="27"/>
  <c r="Y255" i="97" a="1"/>
  <c r="Y255" i="97" s="1"/>
  <c r="AC309" i="27"/>
  <c r="AR93" i="27" a="1"/>
  <c r="AR93" i="27" s="1"/>
  <c r="Y320" i="97" a="1"/>
  <c r="Y320" i="97" s="1"/>
  <c r="AC89" i="27"/>
  <c r="AC91" i="27"/>
  <c r="AI213" i="27"/>
  <c r="AJ213" i="27" s="1" a="1"/>
  <c r="AJ213" i="27" s="1"/>
  <c r="AQ116" i="27" a="1"/>
  <c r="AQ116" i="27" s="1"/>
  <c r="AR116" i="27" a="1"/>
  <c r="AR116" i="27" s="1"/>
  <c r="V335" i="97" a="1"/>
  <c r="V335" i="97" s="1"/>
  <c r="BA219" i="27"/>
  <c r="BC219" i="27" s="1"/>
  <c r="AF302" i="27" a="1"/>
  <c r="AF302" i="27" s="1"/>
  <c r="AG302" i="27"/>
  <c r="AS302" i="27" a="1"/>
  <c r="AS302" i="27" s="1"/>
  <c r="AT302" i="27" a="1"/>
  <c r="AT302" i="27" s="1"/>
  <c r="AK302" i="27" a="1"/>
  <c r="AK302" i="27" s="1"/>
  <c r="AH302" i="27"/>
  <c r="AI302" i="27"/>
  <c r="AJ302" i="27" s="1" a="1"/>
  <c r="AJ302" i="27" s="1"/>
  <c r="AF23" i="27" a="1"/>
  <c r="AF23" i="27" s="1"/>
  <c r="AS23" i="27" a="1"/>
  <c r="AS23" i="27" s="1"/>
  <c r="AT23" i="27" a="1"/>
  <c r="AT23" i="27" s="1"/>
  <c r="AK23" i="27" a="1"/>
  <c r="AK23" i="27" s="1"/>
  <c r="AG23" i="27"/>
  <c r="AH23" i="27"/>
  <c r="Y211" i="97" a="1"/>
  <c r="Y211" i="97" s="1"/>
  <c r="AC186" i="27"/>
  <c r="AH158" i="27"/>
  <c r="AH274" i="27"/>
  <c r="AI160" i="27"/>
  <c r="AJ160" i="27" s="1" a="1"/>
  <c r="AJ160" i="27" s="1"/>
  <c r="AF309" i="27" a="1"/>
  <c r="AF309" i="27" s="1"/>
  <c r="AG309" i="27"/>
  <c r="AS309" i="27" a="1"/>
  <c r="AS309" i="27" s="1"/>
  <c r="AT309" i="27" a="1"/>
  <c r="AT309" i="27" s="1"/>
  <c r="AK309" i="27" a="1"/>
  <c r="AK309" i="27" s="1"/>
  <c r="AI309" i="27"/>
  <c r="AJ309" i="27" s="1" a="1"/>
  <c r="AJ309" i="27" s="1"/>
  <c r="AI197" i="27"/>
  <c r="AJ197" i="27" s="1" a="1"/>
  <c r="AJ197" i="27" s="1"/>
  <c r="AC49" i="27"/>
  <c r="BC222" i="27"/>
  <c r="BD222" i="27"/>
  <c r="AS295" i="27" a="1"/>
  <c r="AS295" i="27" s="1"/>
  <c r="AT295" i="27" a="1"/>
  <c r="AT295" i="27" s="1"/>
  <c r="AF295" i="27" a="1"/>
  <c r="AF295" i="27" s="1"/>
  <c r="AG295" i="27"/>
  <c r="AK295" i="27" a="1"/>
  <c r="AK295" i="27" s="1"/>
  <c r="AF331" i="27" a="1"/>
  <c r="AF331" i="27" s="1"/>
  <c r="AK331" i="27" a="1"/>
  <c r="AK331" i="27" s="1"/>
  <c r="AG331" i="27"/>
  <c r="AT331" i="27" a="1"/>
  <c r="AT331" i="27" s="1"/>
  <c r="AS331" i="27" a="1"/>
  <c r="AS331" i="27" s="1"/>
  <c r="AR28" i="27" a="1"/>
  <c r="AR28" i="27" s="1"/>
  <c r="V241" i="97" a="1"/>
  <c r="V241" i="97" s="1"/>
  <c r="BA179" i="27"/>
  <c r="BC179" i="27" s="1"/>
  <c r="AI39" i="27"/>
  <c r="AJ39" i="27" s="1" a="1"/>
  <c r="AJ39" i="27" s="1"/>
  <c r="AG166" i="27"/>
  <c r="AS166" i="27" a="1"/>
  <c r="AS166" i="27" s="1"/>
  <c r="AF166" i="27" a="1"/>
  <c r="AF166" i="27" s="1"/>
  <c r="AT166" i="27" a="1"/>
  <c r="AT166" i="27" s="1"/>
  <c r="AK166" i="27" a="1"/>
  <c r="AK166" i="27" s="1"/>
  <c r="AH166" i="27"/>
  <c r="AS150" i="27" a="1"/>
  <c r="AS150" i="27" s="1"/>
  <c r="AT150" i="27" a="1"/>
  <c r="AT150" i="27" s="1"/>
  <c r="AF150" i="27" a="1"/>
  <c r="AF150" i="27" s="1"/>
  <c r="AG150" i="27"/>
  <c r="AK150" i="27" a="1"/>
  <c r="AK150" i="27" s="1"/>
  <c r="AH150" i="27"/>
  <c r="AI150" i="27"/>
  <c r="AJ150" i="27" s="1" a="1"/>
  <c r="AJ150" i="27" s="1"/>
  <c r="AF127" i="27" a="1"/>
  <c r="AF127" i="27" s="1"/>
  <c r="AG127" i="27"/>
  <c r="AS127" i="27" a="1"/>
  <c r="AS127" i="27" s="1"/>
  <c r="AT127" i="27" a="1"/>
  <c r="AT127" i="27" s="1"/>
  <c r="AK127" i="27" a="1"/>
  <c r="AK127" i="27" s="1"/>
  <c r="Y123" i="97" a="1"/>
  <c r="Y123" i="97" s="1"/>
  <c r="AC261" i="27"/>
  <c r="AH309" i="27"/>
  <c r="AQ109" i="27" a="1"/>
  <c r="AQ109" i="27" s="1"/>
  <c r="BA130" i="27"/>
  <c r="BC130" i="27" s="1"/>
  <c r="V59" i="97" a="1"/>
  <c r="V59" i="97" s="1"/>
  <c r="AG135" i="27"/>
  <c r="AF135" i="27" a="1"/>
  <c r="AF135" i="27" s="1"/>
  <c r="AS135" i="27" a="1"/>
  <c r="AS135" i="27" s="1"/>
  <c r="AT135" i="27" a="1"/>
  <c r="AT135" i="27" s="1"/>
  <c r="AK135" i="27" a="1"/>
  <c r="AK135" i="27" s="1"/>
  <c r="AR66" i="27" a="1"/>
  <c r="AR66" i="27" s="1"/>
  <c r="AQ66" i="27" a="1"/>
  <c r="AQ66" i="27" s="1"/>
  <c r="AG219" i="27"/>
  <c r="AF219" i="27" a="1"/>
  <c r="AF219" i="27" s="1"/>
  <c r="AS219" i="27" a="1"/>
  <c r="AS219" i="27" s="1"/>
  <c r="AT219" i="27" a="1"/>
  <c r="AT219" i="27" s="1"/>
  <c r="AK219" i="27" a="1"/>
  <c r="AK219" i="27" s="1"/>
  <c r="AH219" i="27"/>
  <c r="AI219" i="27"/>
  <c r="AJ219" i="27" s="1" a="1"/>
  <c r="AJ219" i="27" s="1"/>
  <c r="AL195" i="27" a="1"/>
  <c r="AL195" i="27" s="1"/>
  <c r="AM195" i="27"/>
  <c r="AN195" i="27"/>
  <c r="V153" i="97" a="1"/>
  <c r="V153" i="97" s="1"/>
  <c r="BA39" i="27"/>
  <c r="BC39" i="27" s="1"/>
  <c r="AF57" i="27" a="1"/>
  <c r="AF57" i="27" s="1"/>
  <c r="AG57" i="27"/>
  <c r="AS57" i="27" a="1"/>
  <c r="AS57" i="27" s="1"/>
  <c r="AT57" i="27" a="1"/>
  <c r="AT57" i="27" s="1"/>
  <c r="AK57" i="27" a="1"/>
  <c r="AK57" i="27" s="1"/>
  <c r="AS284" i="27" a="1"/>
  <c r="AS284" i="27" s="1"/>
  <c r="AG284" i="27"/>
  <c r="AF284" i="27" a="1"/>
  <c r="AF284" i="27" s="1"/>
  <c r="AT284" i="27" a="1"/>
  <c r="AT284" i="27" s="1"/>
  <c r="AK284" i="27" a="1"/>
  <c r="AK284" i="27" s="1"/>
  <c r="V149" i="97" a="1"/>
  <c r="V149" i="97" s="1"/>
  <c r="BA196" i="27"/>
  <c r="BC196" i="27" s="1"/>
  <c r="AT17" i="27" a="1"/>
  <c r="AT17" i="27" s="1"/>
  <c r="AG17" i="27"/>
  <c r="AF17" i="27" a="1"/>
  <c r="AF17" i="27" s="1"/>
  <c r="AS17" i="27" a="1"/>
  <c r="AS17" i="27" s="1"/>
  <c r="AK17" i="27" a="1"/>
  <c r="AK17" i="27" s="1"/>
  <c r="AI57" i="27"/>
  <c r="AJ57" i="27" s="1" a="1"/>
  <c r="AJ57" i="27" s="1"/>
  <c r="AH331" i="27"/>
  <c r="V239" i="97" a="1"/>
  <c r="V239" i="97" s="1"/>
  <c r="BA146" i="27"/>
  <c r="AR45" i="27" a="1"/>
  <c r="AR45" i="27" s="1"/>
  <c r="Y143" i="97" a="1"/>
  <c r="Y143" i="97" s="1"/>
  <c r="AC157" i="27"/>
  <c r="AL36" i="27" a="1"/>
  <c r="AL36" i="27" s="1"/>
  <c r="AM36" i="27"/>
  <c r="AN36" i="27"/>
  <c r="Y77" i="97" a="1"/>
  <c r="Y77" i="97" s="1"/>
  <c r="AC135" i="27"/>
  <c r="AC315" i="27"/>
  <c r="AC25" i="27"/>
  <c r="AF86" i="27" a="1"/>
  <c r="AF86" i="27" s="1"/>
  <c r="AS86" i="27" a="1"/>
  <c r="AS86" i="27" s="1"/>
  <c r="AT86" i="27" a="1"/>
  <c r="AT86" i="27" s="1"/>
  <c r="AG86" i="27"/>
  <c r="AK86" i="27" a="1"/>
  <c r="AK86" i="27" s="1"/>
  <c r="AI86" i="27"/>
  <c r="AJ86" i="27" s="1" a="1"/>
  <c r="AJ86" i="27" s="1"/>
  <c r="AH86" i="27"/>
  <c r="AT229" i="27" a="1"/>
  <c r="AT229" i="27" s="1"/>
  <c r="AF229" i="27" a="1"/>
  <c r="AF229" i="27" s="1"/>
  <c r="AS229" i="27" a="1"/>
  <c r="AS229" i="27" s="1"/>
  <c r="AG229" i="27"/>
  <c r="AK229" i="27" a="1"/>
  <c r="AK229" i="27" s="1"/>
  <c r="AI229" i="27"/>
  <c r="AJ229" i="27" s="1" a="1"/>
  <c r="AJ229" i="27" s="1"/>
  <c r="AH229" i="27"/>
  <c r="AG238" i="27"/>
  <c r="AF238" i="27" a="1"/>
  <c r="AF238" i="27" s="1"/>
  <c r="AS238" i="27" a="1"/>
  <c r="AS238" i="27" s="1"/>
  <c r="AT238" i="27" a="1"/>
  <c r="AT238" i="27" s="1"/>
  <c r="AK238" i="27" a="1"/>
  <c r="AK238" i="27" s="1"/>
  <c r="AG257" i="27"/>
  <c r="AF257" i="27" a="1"/>
  <c r="AF257" i="27" s="1"/>
  <c r="AS257" i="27" a="1"/>
  <c r="AS257" i="27" s="1"/>
  <c r="AT257" i="27" a="1"/>
  <c r="AT257" i="27" s="1"/>
  <c r="AK257" i="27" a="1"/>
  <c r="AK257" i="27" s="1"/>
  <c r="AR68" i="27" a="1"/>
  <c r="AR68" i="27" s="1"/>
  <c r="AQ68" i="27" a="1"/>
  <c r="AQ68" i="27" s="1"/>
  <c r="BA100" i="27"/>
  <c r="BC100" i="27" s="1"/>
  <c r="V246" i="97" a="1"/>
  <c r="V246" i="97" s="1"/>
  <c r="AG179" i="27"/>
  <c r="AF179" i="27" a="1"/>
  <c r="AF179" i="27" s="1"/>
  <c r="AS179" i="27" a="1"/>
  <c r="AS179" i="27" s="1"/>
  <c r="AT179" i="27" a="1"/>
  <c r="AT179" i="27" s="1"/>
  <c r="AK179" i="27" a="1"/>
  <c r="AK179" i="27" s="1"/>
  <c r="AH179" i="27"/>
  <c r="BA184" i="27"/>
  <c r="BC184" i="27" s="1"/>
  <c r="V4" i="97" a="1"/>
  <c r="V4" i="97" s="1"/>
  <c r="Y253" i="97" a="1"/>
  <c r="Y253" i="97" s="1"/>
  <c r="AC308" i="27"/>
  <c r="Y59" i="97" a="1"/>
  <c r="Y59" i="97" s="1"/>
  <c r="AC130" i="27"/>
  <c r="AF87" i="27" a="1"/>
  <c r="AF87" i="27" s="1"/>
  <c r="AG87" i="27"/>
  <c r="AS87" i="27" a="1"/>
  <c r="AS87" i="27" s="1"/>
  <c r="AT87" i="27" a="1"/>
  <c r="AT87" i="27" s="1"/>
  <c r="AK87" i="27" a="1"/>
  <c r="AK87" i="27" s="1"/>
  <c r="AH87" i="27"/>
  <c r="AI87" i="27"/>
  <c r="AJ87" i="27" s="1" a="1"/>
  <c r="AJ87" i="27" s="1"/>
  <c r="AG167" i="27"/>
  <c r="AS167" i="27" a="1"/>
  <c r="AS167" i="27" s="1"/>
  <c r="AT167" i="27" a="1"/>
  <c r="AT167" i="27" s="1"/>
  <c r="AF167" i="27" a="1"/>
  <c r="AF167" i="27" s="1"/>
  <c r="AK167" i="27" a="1"/>
  <c r="AK167" i="27" s="1"/>
  <c r="AI167" i="27"/>
  <c r="AJ167" i="27" s="1" a="1"/>
  <c r="AJ167" i="27" s="1"/>
  <c r="AH167" i="27"/>
  <c r="AR220" i="27" a="1"/>
  <c r="AR220" i="27" s="1"/>
  <c r="BA121" i="27"/>
  <c r="V42" i="97" a="1"/>
  <c r="V42" i="97" s="1"/>
  <c r="V193" i="97" a="1"/>
  <c r="V193" i="97" s="1"/>
  <c r="BA40" i="27"/>
  <c r="BC40" i="27" s="1"/>
  <c r="AG286" i="27"/>
  <c r="AS286" i="27" a="1"/>
  <c r="AS286" i="27" s="1"/>
  <c r="AF286" i="27" a="1"/>
  <c r="AF286" i="27" s="1"/>
  <c r="AT286" i="27" a="1"/>
  <c r="AT286" i="27" s="1"/>
  <c r="AK286" i="27" a="1"/>
  <c r="AK286" i="27" s="1"/>
  <c r="AG82" i="27"/>
  <c r="AF82" i="27" a="1"/>
  <c r="AF82" i="27" s="1"/>
  <c r="AS82" i="27" a="1"/>
  <c r="AS82" i="27" s="1"/>
  <c r="AT82" i="27" a="1"/>
  <c r="AT82" i="27" s="1"/>
  <c r="AK82" i="27" a="1"/>
  <c r="AK82" i="27" s="1"/>
  <c r="AG110" i="27"/>
  <c r="AK110" i="27" a="1"/>
  <c r="AK110" i="27" s="1"/>
  <c r="AF110" i="27" a="1"/>
  <c r="AF110" i="27" s="1"/>
  <c r="AS110" i="27" a="1"/>
  <c r="AS110" i="27" s="1"/>
  <c r="AT110" i="27" a="1"/>
  <c r="AT110" i="27" s="1"/>
  <c r="AF203" i="27" a="1"/>
  <c r="AF203" i="27" s="1"/>
  <c r="AG203" i="27"/>
  <c r="AS203" i="27" a="1"/>
  <c r="AS203" i="27" s="1"/>
  <c r="AT203" i="27" a="1"/>
  <c r="AT203" i="27" s="1"/>
  <c r="AK203" i="27" a="1"/>
  <c r="AK203" i="27" s="1"/>
  <c r="V19" i="97" a="1"/>
  <c r="V19" i="97" s="1"/>
  <c r="BA94" i="27"/>
  <c r="BC94" i="27" s="1"/>
  <c r="AF170" i="27" a="1"/>
  <c r="AF170" i="27" s="1"/>
  <c r="AG170" i="27"/>
  <c r="AS170" i="27" a="1"/>
  <c r="AS170" i="27" s="1"/>
  <c r="AT170" i="27" a="1"/>
  <c r="AT170" i="27" s="1"/>
  <c r="AK170" i="27" a="1"/>
  <c r="AK170" i="27" s="1"/>
  <c r="AQ221" i="27" a="1"/>
  <c r="AQ221" i="27" s="1"/>
  <c r="V199" i="97" a="1"/>
  <c r="V199" i="97" s="1"/>
  <c r="BA43" i="27"/>
  <c r="BC43" i="27" s="1"/>
  <c r="AF241" i="27" a="1"/>
  <c r="AF241" i="27" s="1"/>
  <c r="AS241" i="27" a="1"/>
  <c r="AS241" i="27" s="1"/>
  <c r="AT241" i="27" a="1"/>
  <c r="AT241" i="27" s="1"/>
  <c r="AG241" i="27"/>
  <c r="AK241" i="27" a="1"/>
  <c r="AK241" i="27" s="1"/>
  <c r="V268" i="97" a="1"/>
  <c r="V268" i="97" s="1"/>
  <c r="BA212" i="27"/>
  <c r="BC212" i="27" s="1"/>
  <c r="V80" i="97" a="1"/>
  <c r="V80" i="97" s="1"/>
  <c r="BA24" i="27"/>
  <c r="BC24" i="27" s="1"/>
  <c r="AF330" i="27" a="1"/>
  <c r="AF330" i="27" s="1"/>
  <c r="AS330" i="27" a="1"/>
  <c r="AS330" i="27" s="1"/>
  <c r="AT330" i="27" a="1"/>
  <c r="AT330" i="27" s="1"/>
  <c r="AG330" i="27"/>
  <c r="AK330" i="27" a="1"/>
  <c r="AK330" i="27" s="1"/>
  <c r="AF246" i="27" a="1"/>
  <c r="AF246" i="27" s="1"/>
  <c r="AG246" i="27"/>
  <c r="AS246" i="27" a="1"/>
  <c r="AS246" i="27" s="1"/>
  <c r="AT246" i="27" a="1"/>
  <c r="AT246" i="27" s="1"/>
  <c r="AK246" i="27" a="1"/>
  <c r="AK246" i="27" s="1"/>
  <c r="V119" i="97" a="1"/>
  <c r="V119" i="97" s="1"/>
  <c r="BA33" i="27"/>
  <c r="BC33" i="27" s="1"/>
  <c r="AG245" i="27"/>
  <c r="AF245" i="27" a="1"/>
  <c r="AF245" i="27" s="1"/>
  <c r="AS245" i="27" a="1"/>
  <c r="AS245" i="27" s="1"/>
  <c r="AT245" i="27" a="1"/>
  <c r="AT245" i="27" s="1"/>
  <c r="AK245" i="27" a="1"/>
  <c r="AK245" i="27" s="1"/>
  <c r="AS279" i="27" a="1"/>
  <c r="AS279" i="27" s="1"/>
  <c r="AF279" i="27" a="1"/>
  <c r="AF279" i="27" s="1"/>
  <c r="AG279" i="27"/>
  <c r="AT279" i="27" a="1"/>
  <c r="AT279" i="27" s="1"/>
  <c r="AK279" i="27" a="1"/>
  <c r="AK279" i="27" s="1"/>
  <c r="AF262" i="27" a="1"/>
  <c r="AF262" i="27" s="1"/>
  <c r="AG262" i="27"/>
  <c r="AS262" i="27" a="1"/>
  <c r="AS262" i="27" s="1"/>
  <c r="AT262" i="27" a="1"/>
  <c r="AT262" i="27" s="1"/>
  <c r="AK262" i="27" a="1"/>
  <c r="AK262" i="27" s="1"/>
  <c r="V83" i="97" a="1"/>
  <c r="V83" i="97" s="1"/>
  <c r="BA118" i="27"/>
  <c r="BC118" i="27" s="1"/>
  <c r="AC236" i="27"/>
  <c r="AC81" i="27"/>
  <c r="AC281" i="27"/>
  <c r="AL58" i="27" a="1"/>
  <c r="AL58" i="27" s="1"/>
  <c r="AM58" i="27"/>
  <c r="AN58" i="27"/>
  <c r="AC95" i="27"/>
  <c r="AI273" i="27"/>
  <c r="AJ273" i="27" s="1" a="1"/>
  <c r="AJ273" i="27" s="1"/>
  <c r="V18" i="97" a="1"/>
  <c r="V18" i="97" s="1"/>
  <c r="BA21" i="27"/>
  <c r="BC21" i="27" s="1"/>
  <c r="AF182" i="27" a="1"/>
  <c r="AF182" i="27" s="1"/>
  <c r="AG182" i="27"/>
  <c r="AS182" i="27" a="1"/>
  <c r="AS182" i="27" s="1"/>
  <c r="AT182" i="27" a="1"/>
  <c r="AT182" i="27" s="1"/>
  <c r="AK182" i="27" a="1"/>
  <c r="AK182" i="27" s="1"/>
  <c r="AH54" i="27"/>
  <c r="AR234" i="27" a="1"/>
  <c r="AR234" i="27" s="1"/>
  <c r="AS290" i="27" a="1"/>
  <c r="AS290" i="27" s="1"/>
  <c r="AG290" i="27"/>
  <c r="AF290" i="27" a="1"/>
  <c r="AF290" i="27" s="1"/>
  <c r="AT290" i="27" a="1"/>
  <c r="AT290" i="27" s="1"/>
  <c r="AK290" i="27" a="1"/>
  <c r="AK290" i="27" s="1"/>
  <c r="V207" i="97" a="1"/>
  <c r="V207" i="97" s="1"/>
  <c r="BA96" i="27"/>
  <c r="BC96" i="27" s="1"/>
  <c r="AG65" i="27"/>
  <c r="AS65" i="27" a="1"/>
  <c r="AS65" i="27" s="1"/>
  <c r="AF65" i="27" a="1"/>
  <c r="AF65" i="27" s="1"/>
  <c r="AT65" i="27" a="1"/>
  <c r="AT65" i="27" s="1"/>
  <c r="AK65" i="27" a="1"/>
  <c r="AK65" i="27" s="1"/>
  <c r="V104" i="97" a="1"/>
  <c r="V104" i="97" s="1"/>
  <c r="BA189" i="27"/>
  <c r="BC189" i="27" s="1"/>
  <c r="V230" i="97" a="1"/>
  <c r="V230" i="97" s="1"/>
  <c r="BA30" i="27"/>
  <c r="BC30" i="27" s="1"/>
  <c r="AG94" i="27"/>
  <c r="AF94" i="27" a="1"/>
  <c r="AF94" i="27" s="1"/>
  <c r="AS94" i="27" a="1"/>
  <c r="AS94" i="27" s="1"/>
  <c r="AT94" i="27" a="1"/>
  <c r="AT94" i="27" s="1"/>
  <c r="AK94" i="27" a="1"/>
  <c r="AK94" i="27" s="1"/>
  <c r="AH170" i="27"/>
  <c r="AF247" i="27" a="1"/>
  <c r="AF247" i="27" s="1"/>
  <c r="AG247" i="27"/>
  <c r="AS247" i="27" a="1"/>
  <c r="AS247" i="27" s="1"/>
  <c r="AT247" i="27" a="1"/>
  <c r="AT247" i="27" s="1"/>
  <c r="AK247" i="27" a="1"/>
  <c r="AK247" i="27" s="1"/>
  <c r="V329" i="97" a="1"/>
  <c r="V329" i="97" s="1"/>
  <c r="BA14" i="27"/>
  <c r="BC14" i="27" s="1"/>
  <c r="AG19" i="27"/>
  <c r="AF19" i="27" a="1"/>
  <c r="AF19" i="27" s="1"/>
  <c r="AS19" i="27" a="1"/>
  <c r="AS19" i="27" s="1"/>
  <c r="AT19" i="27" a="1"/>
  <c r="AT19" i="27" s="1"/>
  <c r="AK19" i="27" a="1"/>
  <c r="AK19" i="27" s="1"/>
  <c r="AS121" i="27" a="1"/>
  <c r="AS121" i="27" s="1"/>
  <c r="AT121" i="27" a="1"/>
  <c r="AT121" i="27" s="1"/>
  <c r="AF121" i="27" a="1"/>
  <c r="AF121" i="27" s="1"/>
  <c r="AG121" i="27"/>
  <c r="AK121" i="27" a="1"/>
  <c r="AK121" i="27" s="1"/>
  <c r="AG40" i="27"/>
  <c r="AF40" i="27" a="1"/>
  <c r="AF40" i="27" s="1"/>
  <c r="AS40" i="27" a="1"/>
  <c r="AS40" i="27" s="1"/>
  <c r="AT40" i="27" a="1"/>
  <c r="AT40" i="27" s="1"/>
  <c r="AK40" i="27" a="1"/>
  <c r="AK40" i="27" s="1"/>
  <c r="AH286" i="27"/>
  <c r="AS21" i="27" a="1"/>
  <c r="AS21" i="27" s="1"/>
  <c r="AT21" i="27" a="1"/>
  <c r="AT21" i="27" s="1"/>
  <c r="AG21" i="27"/>
  <c r="AF21" i="27" a="1"/>
  <c r="AF21" i="27" s="1"/>
  <c r="AK21" i="27" a="1"/>
  <c r="AK21" i="27" s="1"/>
  <c r="AC234" i="27"/>
  <c r="AR82" i="27" a="1"/>
  <c r="AR82" i="27" s="1"/>
  <c r="V221" i="97" a="1"/>
  <c r="V221" i="97" s="1"/>
  <c r="BA177" i="27"/>
  <c r="BC177" i="27" s="1"/>
  <c r="AG265" i="27"/>
  <c r="AF265" i="27" a="1"/>
  <c r="AF265" i="27" s="1"/>
  <c r="AS265" i="27" a="1"/>
  <c r="AS265" i="27" s="1"/>
  <c r="AT265" i="27" a="1"/>
  <c r="AT265" i="27" s="1"/>
  <c r="AK265" i="27" a="1"/>
  <c r="AK265" i="27" s="1"/>
  <c r="V85" i="97" a="1"/>
  <c r="V85" i="97" s="1"/>
  <c r="BA79" i="27"/>
  <c r="BC79" i="27" s="1"/>
  <c r="AG14" i="27"/>
  <c r="AF14" i="27" a="1"/>
  <c r="AF14" i="27" s="1"/>
  <c r="AS14" i="27" a="1"/>
  <c r="AS14" i="27" s="1"/>
  <c r="AT14" i="27" a="1"/>
  <c r="AT14" i="27" s="1"/>
  <c r="AK14" i="27" a="1"/>
  <c r="AK14" i="27" s="1"/>
  <c r="AF233" i="27" a="1"/>
  <c r="AF233" i="27" s="1"/>
  <c r="AS233" i="27" a="1"/>
  <c r="AS233" i="27" s="1"/>
  <c r="AG233" i="27"/>
  <c r="AT233" i="27" a="1"/>
  <c r="AT233" i="27" s="1"/>
  <c r="AK233" i="27" a="1"/>
  <c r="AK233" i="27" s="1"/>
  <c r="BA209" i="27"/>
  <c r="BC209" i="27" s="1"/>
  <c r="V57" i="97" a="1"/>
  <c r="V57" i="97" s="1"/>
  <c r="V81" i="97" a="1"/>
  <c r="V81" i="97" s="1"/>
  <c r="BA166" i="27"/>
  <c r="BC166" i="27" s="1"/>
  <c r="V114" i="97" a="1"/>
  <c r="V114" i="97" s="1"/>
  <c r="BA37" i="27"/>
  <c r="BC37" i="27" s="1"/>
  <c r="AQ185" i="27" a="1"/>
  <c r="AQ185" i="27" s="1"/>
  <c r="AR185" i="27" a="1"/>
  <c r="AR185" i="27" s="1"/>
  <c r="V156" i="97" a="1"/>
  <c r="V156" i="97" s="1"/>
  <c r="BA127" i="27"/>
  <c r="BC127" i="27" s="1"/>
  <c r="AF157" i="27" a="1"/>
  <c r="AF157" i="27" s="1"/>
  <c r="AG157" i="27"/>
  <c r="AS157" i="27" a="1"/>
  <c r="AS157" i="27" s="1"/>
  <c r="AT157" i="27" a="1"/>
  <c r="AT157" i="27" s="1"/>
  <c r="AK157" i="27" a="1"/>
  <c r="AK157" i="27" s="1"/>
  <c r="AG61" i="27"/>
  <c r="AF61" i="27" a="1"/>
  <c r="AF61" i="27" s="1"/>
  <c r="AS61" i="27" a="1"/>
  <c r="AS61" i="27" s="1"/>
  <c r="AT61" i="27" a="1"/>
  <c r="AT61" i="27" s="1"/>
  <c r="AK61" i="27" a="1"/>
  <c r="AK61" i="27" s="1"/>
  <c r="AG43" i="27"/>
  <c r="AT43" i="27" a="1"/>
  <c r="AT43" i="27" s="1"/>
  <c r="AF43" i="27" a="1"/>
  <c r="AF43" i="27" s="1"/>
  <c r="AS43" i="27" a="1"/>
  <c r="AS43" i="27" s="1"/>
  <c r="AK43" i="27" a="1"/>
  <c r="AK43" i="27" s="1"/>
  <c r="AI241" i="27"/>
  <c r="AJ241" i="27" s="1" a="1"/>
  <c r="AJ241" i="27" s="1"/>
  <c r="AF212" i="27" a="1"/>
  <c r="AF212" i="27" s="1"/>
  <c r="AS212" i="27" a="1"/>
  <c r="AS212" i="27" s="1"/>
  <c r="AG212" i="27"/>
  <c r="AT212" i="27" a="1"/>
  <c r="AT212" i="27" s="1"/>
  <c r="AK212" i="27" a="1"/>
  <c r="AK212" i="27" s="1"/>
  <c r="AF24" i="27" a="1"/>
  <c r="AF24" i="27" s="1"/>
  <c r="AS24" i="27" a="1"/>
  <c r="AS24" i="27" s="1"/>
  <c r="AT24" i="27" a="1"/>
  <c r="AT24" i="27" s="1"/>
  <c r="AG24" i="27"/>
  <c r="AK24" i="27" a="1"/>
  <c r="AK24" i="27" s="1"/>
  <c r="AI330" i="27"/>
  <c r="AJ330" i="27" s="1" a="1"/>
  <c r="AJ330" i="27" s="1"/>
  <c r="AT71" i="27" a="1"/>
  <c r="AT71" i="27" s="1"/>
  <c r="AG71" i="27"/>
  <c r="AF71" i="27" a="1"/>
  <c r="AF71" i="27" s="1"/>
  <c r="AS71" i="27" a="1"/>
  <c r="AS71" i="27" s="1"/>
  <c r="AK71" i="27" a="1"/>
  <c r="AK71" i="27" s="1"/>
  <c r="V68" i="97" a="1"/>
  <c r="V68" i="97" s="1"/>
  <c r="BA129" i="27"/>
  <c r="BC129" i="27" s="1"/>
  <c r="AG33" i="27"/>
  <c r="AK33" i="27" a="1"/>
  <c r="AK33" i="27" s="1"/>
  <c r="AT33" i="27" a="1"/>
  <c r="AT33" i="27" s="1"/>
  <c r="AF33" i="27" a="1"/>
  <c r="AF33" i="27" s="1"/>
  <c r="AS33" i="27" a="1"/>
  <c r="AS33" i="27" s="1"/>
  <c r="AC232" i="27"/>
  <c r="AC107" i="27"/>
  <c r="AF288" i="27" a="1"/>
  <c r="AF288" i="27" s="1"/>
  <c r="AS288" i="27" a="1"/>
  <c r="AS288" i="27" s="1"/>
  <c r="AT288" i="27" a="1"/>
  <c r="AT288" i="27" s="1"/>
  <c r="AG288" i="27"/>
  <c r="AK288" i="27" a="1"/>
  <c r="AK288" i="27" s="1"/>
  <c r="AC263" i="27"/>
  <c r="AC153" i="27"/>
  <c r="AG83" i="27"/>
  <c r="AF83" i="27" a="1"/>
  <c r="AF83" i="27" s="1"/>
  <c r="AS83" i="27" a="1"/>
  <c r="AS83" i="27" s="1"/>
  <c r="AT83" i="27" a="1"/>
  <c r="AT83" i="27" s="1"/>
  <c r="AK83" i="27" a="1"/>
  <c r="AK83" i="27" s="1"/>
  <c r="AC291" i="27"/>
  <c r="AC279" i="27"/>
  <c r="AG258" i="27"/>
  <c r="AT258" i="27" a="1"/>
  <c r="AT258" i="27" s="1"/>
  <c r="AS258" i="27" a="1"/>
  <c r="AS258" i="27" s="1"/>
  <c r="AF258" i="27" a="1"/>
  <c r="AF258" i="27" s="1"/>
  <c r="AK258" i="27" a="1"/>
  <c r="AK258" i="27" s="1"/>
  <c r="AF118" i="27" a="1"/>
  <c r="AF118" i="27" s="1"/>
  <c r="AG118" i="27"/>
  <c r="AS118" i="27" a="1"/>
  <c r="AS118" i="27" s="1"/>
  <c r="AT118" i="27" a="1"/>
  <c r="AT118" i="27" s="1"/>
  <c r="AK118" i="27" a="1"/>
  <c r="AK118" i="27" s="1"/>
  <c r="AC134" i="27"/>
  <c r="AC220" i="27"/>
  <c r="AQ148" i="27" a="1"/>
  <c r="AQ148" i="27" s="1"/>
  <c r="AR148" i="27" a="1"/>
  <c r="AR148" i="27" s="1"/>
  <c r="AI121" i="27"/>
  <c r="AJ121" i="27" s="1" a="1"/>
  <c r="AJ121" i="27" s="1"/>
  <c r="V225" i="97" a="1"/>
  <c r="V225" i="97" s="1"/>
  <c r="BA77" i="27"/>
  <c r="BC77" i="27" s="1"/>
  <c r="AI40" i="27"/>
  <c r="AJ40" i="27" s="1" a="1"/>
  <c r="AJ40" i="27" s="1"/>
  <c r="AG96" i="27"/>
  <c r="AF96" i="27" a="1"/>
  <c r="AF96" i="27" s="1"/>
  <c r="AS96" i="27" a="1"/>
  <c r="AS96" i="27" s="1"/>
  <c r="AT96" i="27" a="1"/>
  <c r="AT96" i="27" s="1"/>
  <c r="AK96" i="27" a="1"/>
  <c r="AK96" i="27" s="1"/>
  <c r="AC323" i="27"/>
  <c r="AC65" i="27"/>
  <c r="AI265" i="27"/>
  <c r="AJ265" i="27" s="1" a="1"/>
  <c r="AJ265" i="27" s="1"/>
  <c r="AS189" i="27" a="1"/>
  <c r="AS189" i="27" s="1"/>
  <c r="AT189" i="27" a="1"/>
  <c r="AT189" i="27" s="1"/>
  <c r="AG189" i="27"/>
  <c r="AF189" i="27" a="1"/>
  <c r="AF189" i="27" s="1"/>
  <c r="AK189" i="27" a="1"/>
  <c r="AK189" i="27" s="1"/>
  <c r="AT299" i="27" a="1"/>
  <c r="AT299" i="27" s="1"/>
  <c r="AF299" i="27" a="1"/>
  <c r="AF299" i="27" s="1"/>
  <c r="AG299" i="27"/>
  <c r="AS299" i="27" a="1"/>
  <c r="AS299" i="27" s="1"/>
  <c r="AK299" i="27" a="1"/>
  <c r="AK299" i="27" s="1"/>
  <c r="AS30" i="27" a="1"/>
  <c r="AS30" i="27" s="1"/>
  <c r="AT30" i="27" a="1"/>
  <c r="AT30" i="27" s="1"/>
  <c r="AG30" i="27"/>
  <c r="AF30" i="27" a="1"/>
  <c r="AF30" i="27" s="1"/>
  <c r="AK30" i="27" a="1"/>
  <c r="AK30" i="27" s="1"/>
  <c r="AC223" i="27"/>
  <c r="AF289" i="27" a="1"/>
  <c r="AF289" i="27" s="1"/>
  <c r="AG289" i="27"/>
  <c r="AT289" i="27" a="1"/>
  <c r="AT289" i="27" s="1"/>
  <c r="AS289" i="27" a="1"/>
  <c r="AS289" i="27" s="1"/>
  <c r="AK289" i="27" a="1"/>
  <c r="AK289" i="27" s="1"/>
  <c r="BA164" i="27"/>
  <c r="BC164" i="27" s="1"/>
  <c r="V280" i="97" a="1"/>
  <c r="V280" i="97" s="1"/>
  <c r="AI157" i="27"/>
  <c r="AJ157" i="27" s="1" a="1"/>
  <c r="AJ157" i="27" s="1"/>
  <c r="AM185" i="27"/>
  <c r="AL185" i="27" a="1"/>
  <c r="AL185" i="27" s="1"/>
  <c r="AN185" i="27"/>
  <c r="AF124" i="27" a="1"/>
  <c r="AF124" i="27" s="1"/>
  <c r="AG124" i="27"/>
  <c r="AS124" i="27" a="1"/>
  <c r="AS124" i="27" s="1"/>
  <c r="AT124" i="27" a="1"/>
  <c r="AT124" i="27" s="1"/>
  <c r="AK124" i="27" a="1"/>
  <c r="AK124" i="27" s="1"/>
  <c r="V320" i="97" a="1"/>
  <c r="V320" i="97" s="1"/>
  <c r="BA89" i="27"/>
  <c r="V189" i="97" a="1"/>
  <c r="V189" i="97" s="1"/>
  <c r="BA91" i="27"/>
  <c r="BC91" i="27" s="1"/>
  <c r="AI61" i="27"/>
  <c r="AJ61" i="27" s="1" a="1"/>
  <c r="AJ61" i="27" s="1"/>
  <c r="V206" i="97" a="1"/>
  <c r="V206" i="97" s="1"/>
  <c r="BA90" i="27"/>
  <c r="BC90" i="27" s="1"/>
  <c r="AF130" i="27" a="1"/>
  <c r="AF130" i="27" s="1"/>
  <c r="AS130" i="27" a="1"/>
  <c r="AS130" i="27" s="1"/>
  <c r="AT130" i="27" a="1"/>
  <c r="AT130" i="27" s="1"/>
  <c r="AG130" i="27"/>
  <c r="AK130" i="27" a="1"/>
  <c r="AK130" i="27" s="1"/>
  <c r="AH43" i="27"/>
  <c r="AH212" i="27"/>
  <c r="V302" i="97" a="1"/>
  <c r="V302" i="97" s="1"/>
  <c r="BA214" i="27"/>
  <c r="BC214" i="27" s="1"/>
  <c r="AH24" i="27"/>
  <c r="AF303" i="27" a="1"/>
  <c r="AF303" i="27" s="1"/>
  <c r="AS303" i="27" a="1"/>
  <c r="AS303" i="27" s="1"/>
  <c r="AG303" i="27"/>
  <c r="AT303" i="27" a="1"/>
  <c r="AT303" i="27" s="1"/>
  <c r="AK303" i="27" a="1"/>
  <c r="AK303" i="27" s="1"/>
  <c r="AR246" i="27" a="1"/>
  <c r="AR246" i="27" s="1"/>
  <c r="V251" i="97" a="1"/>
  <c r="V251" i="97" s="1"/>
  <c r="AV1" i="27"/>
  <c r="BA4" i="27"/>
  <c r="AF129" i="27" a="1"/>
  <c r="AF129" i="27" s="1"/>
  <c r="AS129" i="27" a="1"/>
  <c r="AS129" i="27" s="1"/>
  <c r="AT129" i="27" a="1"/>
  <c r="AT129" i="27" s="1"/>
  <c r="AG129" i="27"/>
  <c r="AK129" i="27" a="1"/>
  <c r="AK129" i="27" s="1"/>
  <c r="AH33" i="27"/>
  <c r="AH288" i="27"/>
  <c r="AC336" i="27"/>
  <c r="AI83" i="27"/>
  <c r="AJ83" i="27" s="1" a="1"/>
  <c r="AJ83" i="27" s="1"/>
  <c r="AC318" i="27"/>
  <c r="AH279" i="27"/>
  <c r="AI258" i="27"/>
  <c r="AJ258" i="27" s="1" a="1"/>
  <c r="AJ258" i="27" s="1"/>
  <c r="AI262" i="27"/>
  <c r="AJ262" i="27" s="1" a="1"/>
  <c r="AJ262" i="27" s="1"/>
  <c r="AH118" i="27"/>
  <c r="AI19" i="27"/>
  <c r="AJ19" i="27" s="1" a="1"/>
  <c r="AJ19" i="27" s="1"/>
  <c r="AC271" i="27"/>
  <c r="AC18" i="27"/>
  <c r="V135" i="97" a="1"/>
  <c r="V135" i="97" s="1"/>
  <c r="BA225" i="27"/>
  <c r="BC225" i="27" s="1"/>
  <c r="AI286" i="27"/>
  <c r="AJ286" i="27" s="1" a="1"/>
  <c r="AJ286" i="27" s="1"/>
  <c r="AC187" i="27"/>
  <c r="AH82" i="27"/>
  <c r="AS177" i="27" a="1"/>
  <c r="AS177" i="27" s="1"/>
  <c r="AT177" i="27" a="1"/>
  <c r="AT177" i="27" s="1"/>
  <c r="AF177" i="27" a="1"/>
  <c r="AF177" i="27" s="1"/>
  <c r="AG177" i="27"/>
  <c r="AK177" i="27" a="1"/>
  <c r="AK177" i="27" s="1"/>
  <c r="V191" i="97" a="1"/>
  <c r="V191" i="97" s="1"/>
  <c r="BA101" i="27"/>
  <c r="BC101" i="27" s="1"/>
  <c r="AH110" i="27"/>
  <c r="AG79" i="27"/>
  <c r="AS79" i="27" a="1"/>
  <c r="AS79" i="27" s="1"/>
  <c r="AT79" i="27" a="1"/>
  <c r="AT79" i="27" s="1"/>
  <c r="AF79" i="27" a="1"/>
  <c r="AF79" i="27" s="1"/>
  <c r="AK79" i="27" a="1"/>
  <c r="AK79" i="27" s="1"/>
  <c r="AI299" i="27"/>
  <c r="AJ299" i="27" s="1" a="1"/>
  <c r="AJ299" i="27" s="1"/>
  <c r="AR94" i="27" a="1"/>
  <c r="AR94" i="27" s="1"/>
  <c r="AI170" i="27"/>
  <c r="AJ170" i="27" s="1" a="1"/>
  <c r="AJ170" i="27" s="1"/>
  <c r="AI289" i="27"/>
  <c r="AJ289" i="27" s="1" a="1"/>
  <c r="AJ289" i="27" s="1"/>
  <c r="AQ247" i="27" a="1"/>
  <c r="AQ247" i="27" s="1"/>
  <c r="AL222" i="27" a="1"/>
  <c r="AL222" i="27" s="1"/>
  <c r="AM222" i="27"/>
  <c r="AN222" i="27"/>
  <c r="AF209" i="27" a="1"/>
  <c r="AF209" i="27" s="1"/>
  <c r="AG209" i="27"/>
  <c r="AS209" i="27" a="1"/>
  <c r="AS209" i="27" s="1"/>
  <c r="AT209" i="27" a="1"/>
  <c r="AT209" i="27" s="1"/>
  <c r="AK209" i="27" a="1"/>
  <c r="AK209" i="27" s="1"/>
  <c r="AS199" i="27" a="1"/>
  <c r="AS199" i="27" s="1"/>
  <c r="AG199" i="27"/>
  <c r="AF199" i="27" a="1"/>
  <c r="AF199" i="27" s="1"/>
  <c r="AT199" i="27" a="1"/>
  <c r="AT199" i="27" s="1"/>
  <c r="AK199" i="27" a="1"/>
  <c r="AK199" i="27" s="1"/>
  <c r="V148" i="97" a="1"/>
  <c r="V148" i="97" s="1"/>
  <c r="BA176" i="27"/>
  <c r="BC176" i="27" s="1"/>
  <c r="V179" i="97" a="1"/>
  <c r="V179" i="97" s="1"/>
  <c r="BA143" i="27"/>
  <c r="BC143" i="27" s="1"/>
  <c r="V77" i="97" a="1"/>
  <c r="V77" i="97" s="1"/>
  <c r="BA135" i="27"/>
  <c r="BC135" i="27" s="1"/>
  <c r="V261" i="97" a="1"/>
  <c r="V261" i="97" s="1"/>
  <c r="BA168" i="27"/>
  <c r="BC168" i="27" s="1"/>
  <c r="AC132" i="27"/>
  <c r="AM148" i="27"/>
  <c r="AL148" i="27" a="1"/>
  <c r="AL148" i="27" s="1"/>
  <c r="AN148" i="27"/>
  <c r="AH115" i="27"/>
  <c r="AF60" i="27" a="1"/>
  <c r="AF60" i="27" s="1"/>
  <c r="AG60" i="27"/>
  <c r="AT60" i="27" a="1"/>
  <c r="AT60" i="27" s="1"/>
  <c r="AS60" i="27" a="1"/>
  <c r="AS60" i="27" s="1"/>
  <c r="AK60" i="27" a="1"/>
  <c r="AK60" i="27" s="1"/>
  <c r="AS328" i="27" a="1"/>
  <c r="AS328" i="27" s="1"/>
  <c r="AT328" i="27" a="1"/>
  <c r="AT328" i="27" s="1"/>
  <c r="AG328" i="27"/>
  <c r="AF328" i="27" a="1"/>
  <c r="AF328" i="27" s="1"/>
  <c r="AK328" i="27" a="1"/>
  <c r="AK328" i="27" s="1"/>
  <c r="AH19" i="27"/>
  <c r="AS300" i="27" a="1"/>
  <c r="AS300" i="27" s="1"/>
  <c r="AT300" i="27" a="1"/>
  <c r="AT300" i="27" s="1"/>
  <c r="AF300" i="27" a="1"/>
  <c r="AF300" i="27" s="1"/>
  <c r="AG300" i="27"/>
  <c r="AK300" i="27" a="1"/>
  <c r="AK300" i="27" s="1"/>
  <c r="AT282" i="27" a="1"/>
  <c r="AT282" i="27" s="1"/>
  <c r="AF282" i="27" a="1"/>
  <c r="AF282" i="27" s="1"/>
  <c r="AG282" i="27"/>
  <c r="AS282" i="27" a="1"/>
  <c r="AS282" i="27" s="1"/>
  <c r="AK282" i="27" a="1"/>
  <c r="AK282" i="27" s="1"/>
  <c r="AR106" i="27" a="1"/>
  <c r="AR106" i="27" s="1"/>
  <c r="AT77" i="27" a="1"/>
  <c r="AT77" i="27" s="1"/>
  <c r="AS77" i="27" a="1"/>
  <c r="AS77" i="27" s="1"/>
  <c r="AG77" i="27"/>
  <c r="AF77" i="27" a="1"/>
  <c r="AF77" i="27" s="1"/>
  <c r="AK77" i="27" a="1"/>
  <c r="AK77" i="27" s="1"/>
  <c r="AH21" i="27"/>
  <c r="AC182" i="27"/>
  <c r="AS243" i="27" a="1"/>
  <c r="AS243" i="27" s="1"/>
  <c r="AG243" i="27"/>
  <c r="AF243" i="27" a="1"/>
  <c r="AF243" i="27" s="1"/>
  <c r="AT243" i="27" a="1"/>
  <c r="AT243" i="27" s="1"/>
  <c r="AK243" i="27" a="1"/>
  <c r="AK243" i="27" s="1"/>
  <c r="AI233" i="27"/>
  <c r="AJ233" i="27" s="1" a="1"/>
  <c r="AJ233" i="27" s="1"/>
  <c r="AF164" i="27" a="1"/>
  <c r="AF164" i="27" s="1"/>
  <c r="AG164" i="27"/>
  <c r="AS164" i="27" a="1"/>
  <c r="AS164" i="27" s="1"/>
  <c r="AT164" i="27" a="1"/>
  <c r="AT164" i="27" s="1"/>
  <c r="AK164" i="27" a="1"/>
  <c r="AK164" i="27" s="1"/>
  <c r="AH209" i="27"/>
  <c r="V5" i="97" a="1"/>
  <c r="V5" i="97" s="1"/>
  <c r="BA199" i="27"/>
  <c r="BC199" i="27" s="1"/>
  <c r="AF176" i="27" a="1"/>
  <c r="AF176" i="27" s="1"/>
  <c r="AG176" i="27"/>
  <c r="AS176" i="27" a="1"/>
  <c r="AS176" i="27" s="1"/>
  <c r="AT176" i="27" a="1"/>
  <c r="AT176" i="27" s="1"/>
  <c r="AK176" i="27" a="1"/>
  <c r="AK176" i="27" s="1"/>
  <c r="V298" i="97" a="1"/>
  <c r="V298" i="97" s="1"/>
  <c r="BA84" i="27"/>
  <c r="BC84" i="27" s="1"/>
  <c r="AM142" i="27"/>
  <c r="AL142" i="27" a="1"/>
  <c r="AL142" i="27" s="1"/>
  <c r="AN142" i="27"/>
  <c r="AG270" i="27"/>
  <c r="AF270" i="27" a="1"/>
  <c r="AF270" i="27" s="1"/>
  <c r="AS270" i="27" a="1"/>
  <c r="AS270" i="27" s="1"/>
  <c r="AT270" i="27" a="1"/>
  <c r="AT270" i="27" s="1"/>
  <c r="AK270" i="27" a="1"/>
  <c r="AK270" i="27" s="1"/>
  <c r="AC260" i="27"/>
  <c r="AT308" i="27" a="1"/>
  <c r="AT308" i="27" s="1"/>
  <c r="AK308" i="27" a="1"/>
  <c r="AK308" i="27" s="1"/>
  <c r="AG308" i="27"/>
  <c r="AS308" i="27" a="1"/>
  <c r="AS308" i="27" s="1"/>
  <c r="AF308" i="27" a="1"/>
  <c r="AF308" i="27" s="1"/>
  <c r="AT89" i="27" a="1"/>
  <c r="AT89" i="27" s="1"/>
  <c r="AG89" i="27"/>
  <c r="AF89" i="27" a="1"/>
  <c r="AF89" i="27" s="1"/>
  <c r="AS89" i="27" a="1"/>
  <c r="AS89" i="27" s="1"/>
  <c r="AK89" i="27" a="1"/>
  <c r="AK89" i="27" s="1"/>
  <c r="AF90" i="27" a="1"/>
  <c r="AF90" i="27" s="1"/>
  <c r="AS90" i="27" a="1"/>
  <c r="AS90" i="27" s="1"/>
  <c r="AT90" i="27" a="1"/>
  <c r="AT90" i="27" s="1"/>
  <c r="AG90" i="27"/>
  <c r="AK90" i="27" a="1"/>
  <c r="AK90" i="27" s="1"/>
  <c r="AI212" i="27"/>
  <c r="AJ212" i="27" s="1" a="1"/>
  <c r="AJ212" i="27" s="1"/>
  <c r="AF315" i="27" a="1"/>
  <c r="AF315" i="27" s="1"/>
  <c r="AT315" i="27" a="1"/>
  <c r="AT315" i="27" s="1"/>
  <c r="AG315" i="27"/>
  <c r="AS315" i="27" a="1"/>
  <c r="AS315" i="27" s="1"/>
  <c r="AK315" i="27" a="1"/>
  <c r="AK315" i="27" s="1"/>
  <c r="AG214" i="27"/>
  <c r="AF214" i="27" a="1"/>
  <c r="AF214" i="27" s="1"/>
  <c r="AS214" i="27" a="1"/>
  <c r="AS214" i="27" s="1"/>
  <c r="AT214" i="27" a="1"/>
  <c r="AT214" i="27" s="1"/>
  <c r="AK214" i="27" a="1"/>
  <c r="AK214" i="27" s="1"/>
  <c r="BA108" i="27"/>
  <c r="V33" i="97" a="1"/>
  <c r="V33" i="97" s="1"/>
  <c r="AF168" i="27" a="1"/>
  <c r="AF168" i="27" s="1"/>
  <c r="AG168" i="27"/>
  <c r="AT168" i="27" a="1"/>
  <c r="AT168" i="27" s="1"/>
  <c r="AK168" i="27" a="1"/>
  <c r="AK168" i="27" s="1"/>
  <c r="AS168" i="27" a="1"/>
  <c r="AS168" i="27" s="1"/>
  <c r="AH71" i="27"/>
  <c r="V208" i="97" a="1"/>
  <c r="V208" i="97" s="1"/>
  <c r="BA12" i="27"/>
  <c r="BC12" i="27" s="1"/>
  <c r="AH60" i="27"/>
  <c r="AI129" i="27"/>
  <c r="AJ129" i="27" s="1" a="1"/>
  <c r="AJ129" i="27" s="1"/>
  <c r="AC116" i="27"/>
  <c r="AF248" i="27" a="1"/>
  <c r="AF248" i="27" s="1"/>
  <c r="AG248" i="27"/>
  <c r="AS248" i="27" a="1"/>
  <c r="AS248" i="27" s="1"/>
  <c r="AT248" i="27" a="1"/>
  <c r="AT248" i="27" s="1"/>
  <c r="AK248" i="27" a="1"/>
  <c r="AK248" i="27" s="1"/>
  <c r="AC70" i="27"/>
  <c r="AC245" i="27"/>
  <c r="AC262" i="27"/>
  <c r="AR118" i="27" a="1"/>
  <c r="AR118" i="27" s="1"/>
  <c r="V250" i="97" a="1"/>
  <c r="V250" i="97" s="1"/>
  <c r="BA97" i="27"/>
  <c r="BC97" i="27" s="1"/>
  <c r="AH282" i="27"/>
  <c r="AI95" i="27"/>
  <c r="AJ95" i="27" s="1" a="1"/>
  <c r="AJ95" i="27" s="1"/>
  <c r="AF333" i="27" a="1"/>
  <c r="AF333" i="27" s="1"/>
  <c r="AG333" i="27"/>
  <c r="AS333" i="27" a="1"/>
  <c r="AS333" i="27" s="1"/>
  <c r="AT333" i="27" a="1"/>
  <c r="AT333" i="27" s="1"/>
  <c r="AK333" i="27" a="1"/>
  <c r="AK333" i="27" s="1"/>
  <c r="AI290" i="27"/>
  <c r="AJ290" i="27" s="1" a="1"/>
  <c r="AJ290" i="27" s="1"/>
  <c r="AC82" i="27"/>
  <c r="AI177" i="27"/>
  <c r="AJ177" i="27" s="1" a="1"/>
  <c r="AJ177" i="27" s="1"/>
  <c r="AF101" i="27" a="1"/>
  <c r="AF101" i="27" s="1"/>
  <c r="AS101" i="27" a="1"/>
  <c r="AS101" i="27" s="1"/>
  <c r="AT101" i="27" a="1"/>
  <c r="AT101" i="27" s="1"/>
  <c r="AG101" i="27"/>
  <c r="AK101" i="27" a="1"/>
  <c r="AK101" i="27" s="1"/>
  <c r="AH243" i="27"/>
  <c r="AI110" i="27"/>
  <c r="AJ110" i="27" s="1" a="1"/>
  <c r="AJ110" i="27" s="1"/>
  <c r="AR65" i="27" a="1"/>
  <c r="AR65" i="27" s="1"/>
  <c r="AH265" i="27"/>
  <c r="AI189" i="27"/>
  <c r="AJ189" i="27" s="1" a="1"/>
  <c r="AJ189" i="27" s="1"/>
  <c r="AC203" i="27"/>
  <c r="AR289" i="27" a="1"/>
  <c r="AR289" i="27" s="1"/>
  <c r="AC233" i="27"/>
  <c r="AI164" i="27"/>
  <c r="AJ164" i="27" s="1" a="1"/>
  <c r="AJ164" i="27" s="1"/>
  <c r="AC199" i="27"/>
  <c r="AM15" i="27"/>
  <c r="AL15" i="27" a="1"/>
  <c r="AL15" i="27" s="1"/>
  <c r="AN15" i="27"/>
  <c r="AI176" i="27"/>
  <c r="AJ176" i="27" s="1" a="1"/>
  <c r="AJ176" i="27" s="1"/>
  <c r="AF143" i="27" a="1"/>
  <c r="AF143" i="27" s="1"/>
  <c r="AG143" i="27"/>
  <c r="AS143" i="27" a="1"/>
  <c r="AS143" i="27" s="1"/>
  <c r="AT143" i="27" a="1"/>
  <c r="AT143" i="27" s="1"/>
  <c r="AK143" i="27" a="1"/>
  <c r="AK143" i="27" s="1"/>
  <c r="AG108" i="27"/>
  <c r="AS108" i="27" a="1"/>
  <c r="AS108" i="27" s="1"/>
  <c r="AT108" i="27" a="1"/>
  <c r="AT108" i="27" s="1"/>
  <c r="AF108" i="27" a="1"/>
  <c r="AF108" i="27" s="1"/>
  <c r="AK108" i="27" a="1"/>
  <c r="AK108" i="27" s="1"/>
  <c r="AF276" i="27" a="1"/>
  <c r="AF276" i="27" s="1"/>
  <c r="AG276" i="27"/>
  <c r="AS276" i="27" a="1"/>
  <c r="AS276" i="27" s="1"/>
  <c r="AT276" i="27" a="1"/>
  <c r="AT276" i="27" s="1"/>
  <c r="AK276" i="27" a="1"/>
  <c r="AK276" i="27" s="1"/>
  <c r="AG4" i="27"/>
  <c r="AF4" i="27" a="1"/>
  <c r="AF4" i="27" s="1"/>
  <c r="AS4" i="27" a="1"/>
  <c r="AS4" i="27" s="1"/>
  <c r="AK4" i="27" a="1"/>
  <c r="AK4" i="27" s="1"/>
  <c r="AT4" i="27" a="1"/>
  <c r="AT4" i="27" s="1"/>
  <c r="V17" i="97" a="1"/>
  <c r="V17" i="97" s="1"/>
  <c r="BA60" i="27"/>
  <c r="BC60" i="27" s="1"/>
  <c r="V215" i="97" a="1"/>
  <c r="V215" i="97" s="1"/>
  <c r="BA53" i="27"/>
  <c r="BC53" i="27" s="1"/>
  <c r="AH245" i="27"/>
  <c r="V240" i="97" a="1"/>
  <c r="V240" i="97" s="1"/>
  <c r="BA194" i="27"/>
  <c r="BC194" i="27" s="1"/>
  <c r="AR19" i="27" a="1"/>
  <c r="AR19" i="27" s="1"/>
  <c r="AF225" i="27" a="1"/>
  <c r="AF225" i="27" s="1"/>
  <c r="AG225" i="27"/>
  <c r="AT225" i="27" a="1"/>
  <c r="AT225" i="27" s="1"/>
  <c r="AS225" i="27" a="1"/>
  <c r="AS225" i="27" s="1"/>
  <c r="AK225" i="27" a="1"/>
  <c r="AK225" i="27" s="1"/>
  <c r="AL137" i="27" a="1"/>
  <c r="AL137" i="27" s="1"/>
  <c r="AM137" i="27"/>
  <c r="AN137" i="27"/>
  <c r="AH121" i="27"/>
  <c r="AI77" i="27"/>
  <c r="AJ77" i="27" s="1" a="1"/>
  <c r="AJ77" i="27" s="1"/>
  <c r="AC273" i="27"/>
  <c r="AR286" i="27" a="1"/>
  <c r="AR286" i="27" s="1"/>
  <c r="AC54" i="27"/>
  <c r="AC290" i="27"/>
  <c r="AH96" i="27"/>
  <c r="AC79" i="27"/>
  <c r="V205" i="97" a="1"/>
  <c r="V205" i="97" s="1"/>
  <c r="BA149" i="27"/>
  <c r="BC149" i="27" s="1"/>
  <c r="AI30" i="27"/>
  <c r="AJ30" i="27" s="1" a="1"/>
  <c r="AJ30" i="27" s="1"/>
  <c r="AC94" i="27"/>
  <c r="BA230" i="27"/>
  <c r="BC230" i="27" s="1"/>
  <c r="V141" i="97" a="1"/>
  <c r="V141" i="97" s="1"/>
  <c r="AL119" i="27" a="1"/>
  <c r="AL119" i="27" s="1"/>
  <c r="AM119" i="27"/>
  <c r="AN119" i="27"/>
  <c r="AI209" i="27"/>
  <c r="AJ209" i="27" s="1" a="1"/>
  <c r="AJ209" i="27" s="1"/>
  <c r="V130" i="97" a="1"/>
  <c r="V130" i="97" s="1"/>
  <c r="BA47" i="27"/>
  <c r="BC47" i="27" s="1"/>
  <c r="AI143" i="27"/>
  <c r="AJ143" i="27" s="1" a="1"/>
  <c r="AJ143" i="27" s="1"/>
  <c r="V262" i="97" a="1"/>
  <c r="V262" i="97" s="1"/>
  <c r="BA191" i="27"/>
  <c r="BC191" i="27" s="1"/>
  <c r="AS12" i="27" a="1"/>
  <c r="AS12" i="27" s="1"/>
  <c r="AF12" i="27" a="1"/>
  <c r="AF12" i="27" s="1"/>
  <c r="AG12" i="27"/>
  <c r="AT12" i="27" a="1"/>
  <c r="AT12" i="27" s="1"/>
  <c r="AK12" i="27" a="1"/>
  <c r="AK12" i="27" s="1"/>
  <c r="V66" i="97" a="1"/>
  <c r="V66" i="97" s="1"/>
  <c r="BA174" i="27"/>
  <c r="BC174" i="27" s="1"/>
  <c r="AQ46" i="27" a="1"/>
  <c r="AQ46" i="27" s="1"/>
  <c r="AR46" i="27" a="1"/>
  <c r="AR46" i="27" s="1"/>
  <c r="AG53" i="27"/>
  <c r="AF53" i="27" a="1"/>
  <c r="AF53" i="27" s="1"/>
  <c r="AS53" i="27" a="1"/>
  <c r="AS53" i="27" s="1"/>
  <c r="AT53" i="27" a="1"/>
  <c r="AT53" i="27" s="1"/>
  <c r="AK53" i="27" a="1"/>
  <c r="AK53" i="27" s="1"/>
  <c r="V184" i="97" a="1"/>
  <c r="V184" i="97" s="1"/>
  <c r="BA224" i="27"/>
  <c r="BC224" i="27" s="1"/>
  <c r="V168" i="97" a="1"/>
  <c r="V168" i="97" s="1"/>
  <c r="BA44" i="27"/>
  <c r="BC44" i="27" s="1"/>
  <c r="V142" i="97" a="1"/>
  <c r="V142" i="97" s="1"/>
  <c r="BA201" i="27"/>
  <c r="BC201" i="27" s="1"/>
  <c r="V195" i="97" a="1"/>
  <c r="V195" i="97" s="1"/>
  <c r="BA140" i="27"/>
  <c r="BC140" i="27" s="1"/>
  <c r="AG259" i="27"/>
  <c r="AF259" i="27" a="1"/>
  <c r="AF259" i="27" s="1"/>
  <c r="AS259" i="27" a="1"/>
  <c r="AS259" i="27" s="1"/>
  <c r="AT259" i="27" a="1"/>
  <c r="AT259" i="27" s="1"/>
  <c r="AK259" i="27" a="1"/>
  <c r="AK259" i="27" s="1"/>
  <c r="V29" i="97" a="1"/>
  <c r="V29" i="97" s="1"/>
  <c r="BA50" i="27"/>
  <c r="BC50" i="27" s="1"/>
  <c r="V45" i="97" a="1"/>
  <c r="V45" i="97" s="1"/>
  <c r="BA75" i="27"/>
  <c r="AI300" i="27"/>
  <c r="AJ300" i="27" s="1" a="1"/>
  <c r="AJ300" i="27" s="1"/>
  <c r="BA192" i="27"/>
  <c r="BC192" i="27" s="1"/>
  <c r="V244" i="97" a="1"/>
  <c r="V244" i="97" s="1"/>
  <c r="AC121" i="27"/>
  <c r="V311" i="97" a="1"/>
  <c r="V311" i="97" s="1"/>
  <c r="BA27" i="27"/>
  <c r="BC27" i="27" s="1"/>
  <c r="AH40" i="27"/>
  <c r="AR182" i="27" a="1"/>
  <c r="AR182" i="27" s="1"/>
  <c r="V323" i="97" a="1"/>
  <c r="V323" i="97" s="1"/>
  <c r="BA5" i="27"/>
  <c r="BC5" i="27" s="1"/>
  <c r="AI96" i="27"/>
  <c r="AJ96" i="27" s="1" a="1"/>
  <c r="AJ96" i="27" s="1"/>
  <c r="AR177" i="27" a="1"/>
  <c r="AR177" i="27" s="1"/>
  <c r="AI243" i="27"/>
  <c r="AJ243" i="27" s="1" a="1"/>
  <c r="AJ243" i="27" s="1"/>
  <c r="AH299" i="27"/>
  <c r="V336" i="97" a="1"/>
  <c r="V336" i="97" s="1"/>
  <c r="BA120" i="27"/>
  <c r="BC120" i="27" s="1"/>
  <c r="AH289" i="27"/>
  <c r="AT119" i="27" a="1"/>
  <c r="AT119" i="27" s="1"/>
  <c r="AC209" i="27"/>
  <c r="AF117" i="27" a="1"/>
  <c r="AF117" i="27" s="1"/>
  <c r="AG117" i="27"/>
  <c r="AS117" i="27" a="1"/>
  <c r="AS117" i="27" s="1"/>
  <c r="AT117" i="27" a="1"/>
  <c r="AT117" i="27" s="1"/>
  <c r="AK117" i="27" a="1"/>
  <c r="AK117" i="27" s="1"/>
  <c r="AG298" i="27"/>
  <c r="AF298" i="27" a="1"/>
  <c r="AF298" i="27" s="1"/>
  <c r="AT298" i="27" a="1"/>
  <c r="AT298" i="27" s="1"/>
  <c r="AS298" i="27" a="1"/>
  <c r="AS298" i="27" s="1"/>
  <c r="AK298" i="27" a="1"/>
  <c r="AK298" i="27" s="1"/>
  <c r="AF38" i="27" a="1"/>
  <c r="AF38" i="27" s="1"/>
  <c r="AG38" i="27"/>
  <c r="AS38" i="27" a="1"/>
  <c r="AS38" i="27" s="1"/>
  <c r="AT38" i="27" a="1"/>
  <c r="AT38" i="27" s="1"/>
  <c r="AK38" i="27" a="1"/>
  <c r="AK38" i="27" s="1"/>
  <c r="AL217" i="27" a="1"/>
  <c r="AL217" i="27" s="1"/>
  <c r="AM217" i="27"/>
  <c r="AN217" i="27"/>
  <c r="AC212" i="27"/>
  <c r="BA76" i="27"/>
  <c r="BC76" i="27" s="1"/>
  <c r="V21" i="97" a="1"/>
  <c r="V21" i="97" s="1"/>
  <c r="AI4" i="27"/>
  <c r="AJ4" i="27" s="1" a="1"/>
  <c r="AJ4" i="27" s="1"/>
  <c r="AC33" i="27"/>
  <c r="AC248" i="27"/>
  <c r="AC288" i="27"/>
  <c r="V139" i="97" a="1"/>
  <c r="V139" i="97" s="1"/>
  <c r="BA86" i="27"/>
  <c r="BC86" i="27" s="1"/>
  <c r="AC83" i="27"/>
  <c r="AT44" i="27" a="1"/>
  <c r="AT44" i="27" s="1"/>
  <c r="AF44" i="27" a="1"/>
  <c r="AF44" i="27" s="1"/>
  <c r="AG44" i="27"/>
  <c r="AS44" i="27" a="1"/>
  <c r="AS44" i="27" s="1"/>
  <c r="AK44" i="27" a="1"/>
  <c r="AK44" i="27" s="1"/>
  <c r="AC118" i="27"/>
  <c r="AG194" i="27"/>
  <c r="AT194" i="27" a="1"/>
  <c r="AT194" i="27" s="1"/>
  <c r="AK194" i="27" a="1"/>
  <c r="AK194" i="27" s="1"/>
  <c r="AF194" i="27" a="1"/>
  <c r="AF194" i="27" s="1"/>
  <c r="AS194" i="27" a="1"/>
  <c r="AS194" i="27" s="1"/>
  <c r="AG97" i="27"/>
  <c r="AF97" i="27" a="1"/>
  <c r="AF97" i="27" s="1"/>
  <c r="AS97" i="27" a="1"/>
  <c r="AS97" i="27" s="1"/>
  <c r="AT97" i="27" a="1"/>
  <c r="AT97" i="27" s="1"/>
  <c r="AK97" i="27" a="1"/>
  <c r="AK97" i="27" s="1"/>
  <c r="AR225" i="27" a="1"/>
  <c r="AR225" i="27" s="1"/>
  <c r="V25" i="97" a="1"/>
  <c r="V25" i="97" s="1"/>
  <c r="BA144" i="27"/>
  <c r="BC144" i="27" s="1"/>
  <c r="V281" i="97" a="1"/>
  <c r="V281" i="97" s="1"/>
  <c r="BA172" i="27"/>
  <c r="BC172" i="27" s="1"/>
  <c r="AT192" i="27" a="1"/>
  <c r="AT192" i="27" s="1"/>
  <c r="AF192" i="27" a="1"/>
  <c r="AF192" i="27" s="1"/>
  <c r="AS192" i="27" a="1"/>
  <c r="AS192" i="27" s="1"/>
  <c r="AG192" i="27"/>
  <c r="AK192" i="27" a="1"/>
  <c r="AK192" i="27" s="1"/>
  <c r="AF27" i="27" a="1"/>
  <c r="AF27" i="27" s="1"/>
  <c r="AG27" i="27"/>
  <c r="AS27" i="27" a="1"/>
  <c r="AS27" i="27" s="1"/>
  <c r="AK27" i="27" a="1"/>
  <c r="AK27" i="27" s="1"/>
  <c r="AT27" i="27" a="1"/>
  <c r="AT27" i="27" s="1"/>
  <c r="AG5" i="27"/>
  <c r="AF5" i="27" a="1"/>
  <c r="AF5" i="27" s="1"/>
  <c r="AS5" i="27" a="1"/>
  <c r="AS5" i="27" s="1"/>
  <c r="AT5" i="27" a="1"/>
  <c r="AT5" i="27" s="1"/>
  <c r="AK5" i="27" a="1"/>
  <c r="AK5" i="27" s="1"/>
  <c r="V228" i="97" a="1"/>
  <c r="V228" i="97" s="1"/>
  <c r="BA183" i="27"/>
  <c r="BC183" i="27" s="1"/>
  <c r="AC299" i="27"/>
  <c r="AG149" i="27"/>
  <c r="AS149" i="27" a="1"/>
  <c r="AS149" i="27" s="1"/>
  <c r="AT149" i="27" a="1"/>
  <c r="AT149" i="27" s="1"/>
  <c r="AF149" i="27" a="1"/>
  <c r="AF149" i="27" s="1"/>
  <c r="AK149" i="27" a="1"/>
  <c r="AK149" i="27" s="1"/>
  <c r="AK120" i="27" a="1"/>
  <c r="AK120" i="27" s="1"/>
  <c r="AS120" i="27" a="1"/>
  <c r="AS120" i="27" s="1"/>
  <c r="AG120" i="27"/>
  <c r="AF120" i="27" a="1"/>
  <c r="AF120" i="27" s="1"/>
  <c r="AT120" i="27" a="1"/>
  <c r="AT120" i="27" s="1"/>
  <c r="AF230" i="27" a="1"/>
  <c r="AF230" i="27" s="1"/>
  <c r="AG230" i="27"/>
  <c r="AS230" i="27" a="1"/>
  <c r="AS230" i="27" s="1"/>
  <c r="AT230" i="27" a="1"/>
  <c r="AT230" i="27" s="1"/>
  <c r="AK230" i="27" a="1"/>
  <c r="AK230" i="27" s="1"/>
  <c r="AC289" i="27"/>
  <c r="AC247" i="27"/>
  <c r="AG283" i="27"/>
  <c r="AF283" i="27" a="1"/>
  <c r="AF283" i="27" s="1"/>
  <c r="AS283" i="27" a="1"/>
  <c r="AS283" i="27" s="1"/>
  <c r="AT283" i="27" a="1"/>
  <c r="AT283" i="27" s="1"/>
  <c r="AK283" i="27" a="1"/>
  <c r="AK283" i="27" s="1"/>
  <c r="AT47" i="27" a="1"/>
  <c r="AT47" i="27" s="1"/>
  <c r="AF47" i="27" a="1"/>
  <c r="AF47" i="27" s="1"/>
  <c r="AS47" i="27" a="1"/>
  <c r="AS47" i="27" s="1"/>
  <c r="AG47" i="27"/>
  <c r="AK47" i="27" a="1"/>
  <c r="AK47" i="27" s="1"/>
  <c r="AQ143" i="27" a="1"/>
  <c r="AQ143" i="27" s="1"/>
  <c r="BA87" i="27"/>
  <c r="BC87" i="27" s="1"/>
  <c r="V46" i="97" a="1"/>
  <c r="V46" i="97" s="1"/>
  <c r="AF25" i="27" a="1"/>
  <c r="AF25" i="27" s="1"/>
  <c r="AG25" i="27"/>
  <c r="AS25" i="27" a="1"/>
  <c r="AS25" i="27" s="1"/>
  <c r="AT25" i="27" a="1"/>
  <c r="AT25" i="27" s="1"/>
  <c r="AK25" i="27" a="1"/>
  <c r="AK25" i="27" s="1"/>
  <c r="AH108" i="27"/>
  <c r="AF191" i="27" a="1"/>
  <c r="AF191" i="27" s="1"/>
  <c r="AG191" i="27"/>
  <c r="AS191" i="27" a="1"/>
  <c r="AS191" i="27" s="1"/>
  <c r="AT191" i="27" a="1"/>
  <c r="AT191" i="27" s="1"/>
  <c r="AK191" i="27" a="1"/>
  <c r="AK191" i="27" s="1"/>
  <c r="AH4" i="27"/>
  <c r="V300" i="97" a="1"/>
  <c r="V300" i="97" s="1"/>
  <c r="BA102" i="27"/>
  <c r="BC102" i="27" s="1"/>
  <c r="V20" i="97" a="1"/>
  <c r="V20" i="97" s="1"/>
  <c r="BA167" i="27"/>
  <c r="BC167" i="27" s="1"/>
  <c r="AF174" i="27" a="1"/>
  <c r="AF174" i="27" s="1"/>
  <c r="AG174" i="27"/>
  <c r="AS174" i="27" a="1"/>
  <c r="AS174" i="27" s="1"/>
  <c r="AT174" i="27" a="1"/>
  <c r="AT174" i="27" s="1"/>
  <c r="AK174" i="27" a="1"/>
  <c r="AK174" i="27" s="1"/>
  <c r="AT250" i="27" a="1"/>
  <c r="AT250" i="27" s="1"/>
  <c r="AF250" i="27" a="1"/>
  <c r="AF250" i="27" s="1"/>
  <c r="AG250" i="27"/>
  <c r="AS250" i="27" a="1"/>
  <c r="AS250" i="27" s="1"/>
  <c r="AK250" i="27" a="1"/>
  <c r="AK250" i="27" s="1"/>
  <c r="V75" i="97" a="1"/>
  <c r="V75" i="97" s="1"/>
  <c r="BA105" i="27"/>
  <c r="BC105" i="27" s="1"/>
  <c r="V290" i="97" a="1"/>
  <c r="V290" i="97" s="1"/>
  <c r="BA193" i="27"/>
  <c r="BC193" i="27" s="1"/>
  <c r="AG201" i="27"/>
  <c r="AF201" i="27" a="1"/>
  <c r="AF201" i="27" s="1"/>
  <c r="AS201" i="27" a="1"/>
  <c r="AS201" i="27" s="1"/>
  <c r="AT201" i="27" a="1"/>
  <c r="AT201" i="27" s="1"/>
  <c r="AK201" i="27" a="1"/>
  <c r="AK201" i="27" s="1"/>
  <c r="AF140" i="27" a="1"/>
  <c r="AF140" i="27" s="1"/>
  <c r="AS140" i="27" a="1"/>
  <c r="AS140" i="27" s="1"/>
  <c r="AT140" i="27" a="1"/>
  <c r="AT140" i="27" s="1"/>
  <c r="AK140" i="27" a="1"/>
  <c r="AK140" i="27" s="1"/>
  <c r="AG140" i="27"/>
  <c r="AG50" i="27"/>
  <c r="AT50" i="27" a="1"/>
  <c r="AT50" i="27" s="1"/>
  <c r="AF50" i="27" a="1"/>
  <c r="AF50" i="27" s="1"/>
  <c r="AS50" i="27" a="1"/>
  <c r="AS50" i="27" s="1"/>
  <c r="AK50" i="27" a="1"/>
  <c r="AK50" i="27" s="1"/>
  <c r="AG75" i="27"/>
  <c r="AF75" i="27" a="1"/>
  <c r="AF75" i="27" s="1"/>
  <c r="AS75" i="27" a="1"/>
  <c r="AS75" i="27" s="1"/>
  <c r="AT75" i="27" a="1"/>
  <c r="AT75" i="27" s="1"/>
  <c r="AK75" i="27" a="1"/>
  <c r="AK75" i="27" s="1"/>
  <c r="AK144" i="27" a="1"/>
  <c r="AK144" i="27" s="1"/>
  <c r="AG144" i="27"/>
  <c r="AF144" i="27" a="1"/>
  <c r="AF144" i="27" s="1"/>
  <c r="AS144" i="27" a="1"/>
  <c r="AS144" i="27" s="1"/>
  <c r="AT144" i="27" a="1"/>
  <c r="AT144" i="27" s="1"/>
  <c r="AG172" i="27"/>
  <c r="AF172" i="27" a="1"/>
  <c r="AF172" i="27" s="1"/>
  <c r="AS172" i="27" a="1"/>
  <c r="AS172" i="27" s="1"/>
  <c r="AT172" i="27" a="1"/>
  <c r="AT172" i="27" s="1"/>
  <c r="AK172" i="27" a="1"/>
  <c r="AK172" i="27" s="1"/>
  <c r="AL35" i="27" a="1"/>
  <c r="AL35" i="27" s="1"/>
  <c r="AM35" i="27"/>
  <c r="AN35" i="27"/>
  <c r="AH77" i="27"/>
  <c r="V242" i="97" a="1"/>
  <c r="V242" i="97" s="1"/>
  <c r="BA162" i="27"/>
  <c r="V48" i="97" a="1"/>
  <c r="V48" i="97" s="1"/>
  <c r="BA80" i="27"/>
  <c r="BC80" i="27" s="1"/>
  <c r="V301" i="97" a="1"/>
  <c r="V301" i="97" s="1"/>
  <c r="BA181" i="27"/>
  <c r="BC181" i="27" s="1"/>
  <c r="AF252" i="27" a="1"/>
  <c r="AF252" i="27" s="1"/>
  <c r="AG252" i="27"/>
  <c r="AS252" i="27" a="1"/>
  <c r="AS252" i="27" s="1"/>
  <c r="AT252" i="27" a="1"/>
  <c r="AT252" i="27" s="1"/>
  <c r="AK252" i="27" a="1"/>
  <c r="AK252" i="27" s="1"/>
  <c r="BA163" i="27"/>
  <c r="BC163" i="27" s="1"/>
  <c r="V292" i="97" a="1"/>
  <c r="V292" i="97" s="1"/>
  <c r="BA180" i="27"/>
  <c r="BC180" i="27" s="1"/>
  <c r="V54" i="97" a="1"/>
  <c r="V54" i="97" s="1"/>
  <c r="AM55" i="27"/>
  <c r="AL55" i="27" a="1"/>
  <c r="AL55" i="27" s="1"/>
  <c r="AN55" i="27"/>
  <c r="AF293" i="27" a="1"/>
  <c r="AF293" i="27" s="1"/>
  <c r="AG293" i="27"/>
  <c r="AS293" i="27" a="1"/>
  <c r="AS293" i="27" s="1"/>
  <c r="AT293" i="27" a="1"/>
  <c r="AT293" i="27" s="1"/>
  <c r="AK293" i="27" a="1"/>
  <c r="AK293" i="27" s="1"/>
  <c r="AI14" i="27"/>
  <c r="AJ14" i="27" s="1" a="1"/>
  <c r="AJ14" i="27" s="1"/>
  <c r="AH164" i="27"/>
  <c r="AH47" i="27"/>
  <c r="AH176" i="27"/>
  <c r="AH143" i="27"/>
  <c r="AT193" i="27" a="1"/>
  <c r="AT193" i="27" s="1"/>
  <c r="AG193" i="27"/>
  <c r="AS193" i="27" a="1"/>
  <c r="AS193" i="27" s="1"/>
  <c r="AF193" i="27" a="1"/>
  <c r="AF193" i="27" s="1"/>
  <c r="AK193" i="27" a="1"/>
  <c r="AK193" i="27" s="1"/>
  <c r="AS292" i="27" a="1"/>
  <c r="AS292" i="27" s="1"/>
  <c r="AT292" i="27" a="1"/>
  <c r="AT292" i="27" s="1"/>
  <c r="AF292" i="27" a="1"/>
  <c r="AF292" i="27" s="1"/>
  <c r="AG292" i="27"/>
  <c r="AK292" i="27" a="1"/>
  <c r="AK292" i="27" s="1"/>
  <c r="AR97" i="27" a="1"/>
  <c r="AR97" i="27" s="1"/>
  <c r="AS320" i="27" a="1"/>
  <c r="AS320" i="27" s="1"/>
  <c r="AF320" i="27" a="1"/>
  <c r="AF320" i="27" s="1"/>
  <c r="AG320" i="27"/>
  <c r="AK320" i="27" a="1"/>
  <c r="AK320" i="27" s="1"/>
  <c r="AT320" i="27" a="1"/>
  <c r="AT320" i="27" s="1"/>
  <c r="AT162" i="27" a="1"/>
  <c r="AT162" i="27" s="1"/>
  <c r="AG162" i="27"/>
  <c r="AF162" i="27" a="1"/>
  <c r="AF162" i="27" s="1"/>
  <c r="AK162" i="27" a="1"/>
  <c r="AK162" i="27" s="1"/>
  <c r="AS162" i="27" a="1"/>
  <c r="AS162" i="27" s="1"/>
  <c r="AI21" i="27"/>
  <c r="AJ21" i="27" s="1" a="1"/>
  <c r="AJ21" i="27" s="1"/>
  <c r="BA68" i="27"/>
  <c r="BC68" i="27" s="1"/>
  <c r="V321" i="97" a="1"/>
  <c r="V321" i="97" s="1"/>
  <c r="AG183" i="27"/>
  <c r="AF183" i="27" a="1"/>
  <c r="AF183" i="27" s="1"/>
  <c r="AS183" i="27" a="1"/>
  <c r="AS183" i="27" s="1"/>
  <c r="AT183" i="27" a="1"/>
  <c r="AT183" i="27" s="1"/>
  <c r="AK183" i="27" a="1"/>
  <c r="AK183" i="27" s="1"/>
  <c r="AC177" i="27"/>
  <c r="AR243" i="27" a="1"/>
  <c r="AR243" i="27" s="1"/>
  <c r="V144" i="97" a="1"/>
  <c r="V144" i="97" s="1"/>
  <c r="BA228" i="27"/>
  <c r="BC228" i="27" s="1"/>
  <c r="V229" i="97" a="1"/>
  <c r="V229" i="97" s="1"/>
  <c r="BA98" i="27"/>
  <c r="BC98" i="27" s="1"/>
  <c r="AC149" i="27"/>
  <c r="AH30" i="27"/>
  <c r="V65" i="97" a="1"/>
  <c r="V65" i="97" s="1"/>
  <c r="BA151" i="27"/>
  <c r="BC151" i="27" s="1"/>
  <c r="AH230" i="27"/>
  <c r="AH14" i="27"/>
  <c r="AH233" i="27"/>
  <c r="AH283" i="27"/>
  <c r="V56" i="97" a="1"/>
  <c r="V56" i="97" s="1"/>
  <c r="BA202" i="27"/>
  <c r="BC202" i="27" s="1"/>
  <c r="AG251" i="27"/>
  <c r="AF251" i="27" a="1"/>
  <c r="AF251" i="27" s="1"/>
  <c r="AS251" i="27" a="1"/>
  <c r="AS251" i="27" s="1"/>
  <c r="AT251" i="27" a="1"/>
  <c r="AT251" i="27" s="1"/>
  <c r="AK251" i="27" a="1"/>
  <c r="AK251" i="27" s="1"/>
  <c r="V72" i="97" a="1"/>
  <c r="V72" i="97" s="1"/>
  <c r="BA205" i="27"/>
  <c r="BA227" i="27"/>
  <c r="BC227" i="27" s="1"/>
  <c r="V243" i="97" a="1"/>
  <c r="V243" i="97" s="1"/>
  <c r="AF316" i="27" a="1"/>
  <c r="AF316" i="27" s="1"/>
  <c r="AS316" i="27" a="1"/>
  <c r="AS316" i="27" s="1"/>
  <c r="AT316" i="27" a="1"/>
  <c r="AT316" i="27" s="1"/>
  <c r="AK316" i="27" a="1"/>
  <c r="AK316" i="27" s="1"/>
  <c r="AG316" i="27"/>
  <c r="V186" i="97" a="1"/>
  <c r="V186" i="97" s="1"/>
  <c r="BA23" i="27"/>
  <c r="BC23" i="27" s="1"/>
  <c r="AF105" i="27" a="1"/>
  <c r="AF105" i="27" s="1"/>
  <c r="AG105" i="27"/>
  <c r="AS105" i="27" a="1"/>
  <c r="AS105" i="27" s="1"/>
  <c r="AT105" i="27" a="1"/>
  <c r="AT105" i="27" s="1"/>
  <c r="AK105" i="27" a="1"/>
  <c r="AK105" i="27" s="1"/>
  <c r="BA111" i="27"/>
  <c r="BC111" i="27" s="1"/>
  <c r="V44" i="97" a="1"/>
  <c r="V44" i="97" s="1"/>
  <c r="AT80" i="27" a="1"/>
  <c r="AT80" i="27" s="1"/>
  <c r="AF80" i="27" a="1"/>
  <c r="AF80" i="27" s="1"/>
  <c r="AG80" i="27"/>
  <c r="AS80" i="27" a="1"/>
  <c r="AS80" i="27" s="1"/>
  <c r="AK80" i="27" a="1"/>
  <c r="AK80" i="27" s="1"/>
  <c r="V145" i="97" a="1"/>
  <c r="V145" i="97" s="1"/>
  <c r="BA229" i="27"/>
  <c r="BC229" i="27" s="1"/>
  <c r="AS181" i="27" a="1"/>
  <c r="AS181" i="27" s="1"/>
  <c r="AT181" i="27" a="1"/>
  <c r="AT181" i="27" s="1"/>
  <c r="AF181" i="27" a="1"/>
  <c r="AF181" i="27" s="1"/>
  <c r="AG181" i="27"/>
  <c r="AK181" i="27" a="1"/>
  <c r="AK181" i="27" s="1"/>
  <c r="AI252" i="27"/>
  <c r="AJ252" i="27" s="1" a="1"/>
  <c r="AJ252" i="27" s="1"/>
  <c r="AF163" i="27" a="1"/>
  <c r="AF163" i="27" s="1"/>
  <c r="AS163" i="27" a="1"/>
  <c r="AS163" i="27" s="1"/>
  <c r="AT163" i="27" a="1"/>
  <c r="AT163" i="27" s="1"/>
  <c r="AG163" i="27"/>
  <c r="AK163" i="27" a="1"/>
  <c r="AK163" i="27" s="1"/>
  <c r="AG294" i="27"/>
  <c r="AS294" i="27" a="1"/>
  <c r="AS294" i="27" s="1"/>
  <c r="AT294" i="27" a="1"/>
  <c r="AT294" i="27" s="1"/>
  <c r="AK294" i="27" a="1"/>
  <c r="AK294" i="27" s="1"/>
  <c r="AF294" i="27" a="1"/>
  <c r="AF294" i="27" s="1"/>
  <c r="AK228" i="27" a="1"/>
  <c r="AK228" i="27" s="1"/>
  <c r="AF228" i="27" a="1"/>
  <c r="AF228" i="27" s="1"/>
  <c r="AT228" i="27" a="1"/>
  <c r="AT228" i="27" s="1"/>
  <c r="AG228" i="27"/>
  <c r="AS228" i="27" a="1"/>
  <c r="AS228" i="27" s="1"/>
  <c r="AG327" i="27"/>
  <c r="AF327" i="27" a="1"/>
  <c r="AF327" i="27" s="1"/>
  <c r="AS327" i="27" a="1"/>
  <c r="AS327" i="27" s="1"/>
  <c r="AT327" i="27" a="1"/>
  <c r="AT327" i="27" s="1"/>
  <c r="AK327" i="27" a="1"/>
  <c r="AK327" i="27" s="1"/>
  <c r="AG180" i="27"/>
  <c r="AS180" i="27" a="1"/>
  <c r="AS180" i="27" s="1"/>
  <c r="AF180" i="27" a="1"/>
  <c r="AF180" i="27" s="1"/>
  <c r="AT180" i="27" a="1"/>
  <c r="AT180" i="27" s="1"/>
  <c r="AK180" i="27" a="1"/>
  <c r="AK180" i="27" s="1"/>
  <c r="AI120" i="27"/>
  <c r="AJ120" i="27" s="1" a="1"/>
  <c r="AJ120" i="27" s="1"/>
  <c r="BA48" i="27"/>
  <c r="BC48" i="27" s="1"/>
  <c r="V164" i="97" a="1"/>
  <c r="V164" i="97" s="1"/>
  <c r="BA154" i="27"/>
  <c r="BC154" i="27" s="1"/>
  <c r="V147" i="97" a="1"/>
  <c r="V147" i="97" s="1"/>
  <c r="BA16" i="27"/>
  <c r="BC16" i="27" s="1"/>
  <c r="V192" i="97" a="1"/>
  <c r="V192" i="97" s="1"/>
  <c r="BA10" i="27"/>
  <c r="BC10" i="27" s="1"/>
  <c r="V88" i="97" a="1"/>
  <c r="V88" i="97" s="1"/>
  <c r="BA211" i="27"/>
  <c r="BC211" i="27" s="1"/>
  <c r="V146" i="97" a="1"/>
  <c r="V146" i="97" s="1"/>
  <c r="AL215" i="27" a="1"/>
  <c r="AL215" i="27" s="1"/>
  <c r="AM215" i="27"/>
  <c r="AN215" i="27"/>
  <c r="AF319" i="27" a="1"/>
  <c r="AF319" i="27" s="1"/>
  <c r="AG319" i="27"/>
  <c r="AS319" i="27" a="1"/>
  <c r="AS319" i="27" s="1"/>
  <c r="AT319" i="27" a="1"/>
  <c r="AT319" i="27" s="1"/>
  <c r="AK319" i="27" a="1"/>
  <c r="AK319" i="27" s="1"/>
  <c r="AL125" i="27" a="1"/>
  <c r="AL125" i="27" s="1"/>
  <c r="AM125" i="27"/>
  <c r="AN125" i="27"/>
  <c r="V53" i="97" a="1"/>
  <c r="V53" i="97" s="1"/>
  <c r="BA213" i="27"/>
  <c r="BC213" i="27" s="1"/>
  <c r="AI108" i="27"/>
  <c r="AJ108" i="27" s="1" a="1"/>
  <c r="AJ108" i="27" s="1"/>
  <c r="AH276" i="27"/>
  <c r="AI191" i="27"/>
  <c r="AJ191" i="27" s="1" a="1"/>
  <c r="AJ191" i="27" s="1"/>
  <c r="AF202" i="27" a="1"/>
  <c r="AF202" i="27" s="1"/>
  <c r="AG202" i="27"/>
  <c r="AS202" i="27" a="1"/>
  <c r="AS202" i="27" s="1"/>
  <c r="AT202" i="27" a="1"/>
  <c r="AT202" i="27" s="1"/>
  <c r="AK202" i="27" a="1"/>
  <c r="AK202" i="27" s="1"/>
  <c r="AH12" i="27"/>
  <c r="AH316" i="27"/>
  <c r="V159" i="97" a="1"/>
  <c r="V159" i="97" s="1"/>
  <c r="BA78" i="27"/>
  <c r="BC78" i="27" s="1"/>
  <c r="AH105" i="27"/>
  <c r="AI193" i="27"/>
  <c r="AJ193" i="27" s="1" a="1"/>
  <c r="AJ193" i="27" s="1"/>
  <c r="AC201" i="27"/>
  <c r="BA72" i="27"/>
  <c r="BC72" i="27" s="1"/>
  <c r="V260" i="97" a="1"/>
  <c r="V260" i="97" s="1"/>
  <c r="AI259" i="27"/>
  <c r="AJ259" i="27" s="1" a="1"/>
  <c r="AJ259" i="27" s="1"/>
  <c r="AI292" i="27"/>
  <c r="AJ292" i="27" s="1" a="1"/>
  <c r="AJ292" i="27" s="1"/>
  <c r="AH144" i="27"/>
  <c r="AH172" i="27"/>
  <c r="AH181" i="27"/>
  <c r="AG68" i="27"/>
  <c r="AF68" i="27" a="1"/>
  <c r="AF68" i="27" s="1"/>
  <c r="AS68" i="27" a="1"/>
  <c r="AS68" i="27" s="1"/>
  <c r="AK68" i="27" a="1"/>
  <c r="AK68" i="27" s="1"/>
  <c r="AT68" i="27" a="1"/>
  <c r="AT68" i="27" s="1"/>
  <c r="AH163" i="27"/>
  <c r="AH294" i="27"/>
  <c r="V202" i="97" a="1"/>
  <c r="V202" i="97" s="1"/>
  <c r="BA175" i="27"/>
  <c r="BC175" i="27" s="1"/>
  <c r="AI327" i="27"/>
  <c r="AJ327" i="27" s="1" a="1"/>
  <c r="AJ327" i="27" s="1"/>
  <c r="AS98" i="27" a="1"/>
  <c r="AS98" i="27" s="1"/>
  <c r="AT98" i="27" a="1"/>
  <c r="AT98" i="27" s="1"/>
  <c r="AG98" i="27"/>
  <c r="AF98" i="27" a="1"/>
  <c r="AF98" i="27" s="1"/>
  <c r="AK98" i="27" a="1"/>
  <c r="AK98" i="27" s="1"/>
  <c r="AI180" i="27"/>
  <c r="AJ180" i="27" s="1" a="1"/>
  <c r="AJ180" i="27" s="1"/>
  <c r="V266" i="97" a="1"/>
  <c r="V266" i="97" s="1"/>
  <c r="BA11" i="27"/>
  <c r="BC11" i="27" s="1"/>
  <c r="AG307" i="27"/>
  <c r="AF307" i="27" a="1"/>
  <c r="AF307" i="27" s="1"/>
  <c r="AS307" i="27" a="1"/>
  <c r="AS307" i="27" s="1"/>
  <c r="AT307" i="27" a="1"/>
  <c r="AT307" i="27" s="1"/>
  <c r="AK307" i="27" a="1"/>
  <c r="AK307" i="27" s="1"/>
  <c r="V78" i="97" a="1"/>
  <c r="V78" i="97" s="1"/>
  <c r="BA161" i="27"/>
  <c r="BC161" i="27" s="1"/>
  <c r="AF154" i="27" a="1"/>
  <c r="AF154" i="27" s="1"/>
  <c r="AS154" i="27" a="1"/>
  <c r="AS154" i="27" s="1"/>
  <c r="AK154" i="27" a="1"/>
  <c r="AK154" i="27" s="1"/>
  <c r="AG154" i="27"/>
  <c r="AT154" i="27" a="1"/>
  <c r="AT154" i="27" s="1"/>
  <c r="AF151" i="27" a="1"/>
  <c r="AF151" i="27" s="1"/>
  <c r="AG151" i="27"/>
  <c r="AS151" i="27" a="1"/>
  <c r="AS151" i="27" s="1"/>
  <c r="AT151" i="27" a="1"/>
  <c r="AT151" i="27" s="1"/>
  <c r="AK151" i="27" a="1"/>
  <c r="AK151" i="27" s="1"/>
  <c r="AC293" i="27"/>
  <c r="AG334" i="27"/>
  <c r="AF334" i="27" a="1"/>
  <c r="AF334" i="27" s="1"/>
  <c r="AS334" i="27" a="1"/>
  <c r="AS334" i="27" s="1"/>
  <c r="AT334" i="27" a="1"/>
  <c r="AT334" i="27" s="1"/>
  <c r="AK334" i="27" a="1"/>
  <c r="AK334" i="27" s="1"/>
  <c r="V247" i="97" a="1"/>
  <c r="V247" i="97" s="1"/>
  <c r="BA41" i="27"/>
  <c r="AH199" i="27"/>
  <c r="AI283" i="27"/>
  <c r="AJ283" i="27" s="1" a="1"/>
  <c r="AJ283" i="27" s="1"/>
  <c r="BA52" i="27"/>
  <c r="BC52" i="27" s="1"/>
  <c r="V190" i="97" a="1"/>
  <c r="V190" i="97" s="1"/>
  <c r="AS161" i="27" a="1"/>
  <c r="AS161" i="27" s="1"/>
  <c r="AG161" i="27"/>
  <c r="AF161" i="27" a="1"/>
  <c r="AF161" i="27" s="1"/>
  <c r="AT161" i="27" a="1"/>
  <c r="AT161" i="27" s="1"/>
  <c r="AK161" i="27" a="1"/>
  <c r="AK161" i="27" s="1"/>
  <c r="AS48" i="27" a="1"/>
  <c r="AS48" i="27" s="1"/>
  <c r="AT48" i="27" a="1"/>
  <c r="AT48" i="27" s="1"/>
  <c r="AF48" i="27" a="1"/>
  <c r="AF48" i="27" s="1"/>
  <c r="AG48" i="27"/>
  <c r="AK48" i="27" a="1"/>
  <c r="AK48" i="27" s="1"/>
  <c r="AG305" i="27"/>
  <c r="AT305" i="27" a="1"/>
  <c r="AT305" i="27" s="1"/>
  <c r="AF305" i="27" a="1"/>
  <c r="AF305" i="27" s="1"/>
  <c r="AS305" i="27" a="1"/>
  <c r="AS305" i="27" s="1"/>
  <c r="AK305" i="27" a="1"/>
  <c r="AK305" i="27" s="1"/>
  <c r="BA63" i="27"/>
  <c r="BC63" i="27" s="1"/>
  <c r="V163" i="97" a="1"/>
  <c r="V163" i="97" s="1"/>
  <c r="V160" i="97" a="1"/>
  <c r="V160" i="97" s="1"/>
  <c r="BA128" i="27"/>
  <c r="BC128" i="27" s="1"/>
  <c r="AS72" i="27" a="1"/>
  <c r="AS72" i="27" s="1"/>
  <c r="AT72" i="27" a="1"/>
  <c r="AT72" i="27" s="1"/>
  <c r="AF72" i="27" a="1"/>
  <c r="AF72" i="27" s="1"/>
  <c r="AG72" i="27"/>
  <c r="AK72" i="27" a="1"/>
  <c r="AK72" i="27" s="1"/>
  <c r="BA9" i="27"/>
  <c r="BC9" i="27" s="1"/>
  <c r="V315" i="97" a="1"/>
  <c r="V315" i="97" s="1"/>
  <c r="AC194" i="27"/>
  <c r="AF175" i="27" a="1"/>
  <c r="AF175" i="27" s="1"/>
  <c r="AG175" i="27"/>
  <c r="AS175" i="27" a="1"/>
  <c r="AS175" i="27" s="1"/>
  <c r="AK175" i="27" a="1"/>
  <c r="AK175" i="27" s="1"/>
  <c r="AT175" i="27" a="1"/>
  <c r="AT175" i="27" s="1"/>
  <c r="V47" i="97" a="1"/>
  <c r="V47" i="97" s="1"/>
  <c r="BA210" i="27"/>
  <c r="BC210" i="27" s="1"/>
  <c r="BA112" i="27"/>
  <c r="BC112" i="27" s="1"/>
  <c r="V11" i="97" a="1"/>
  <c r="V11" i="97" s="1"/>
  <c r="AS11" i="27" a="1"/>
  <c r="AS11" i="27" s="1"/>
  <c r="AF11" i="27" a="1"/>
  <c r="AF11" i="27" s="1"/>
  <c r="AT11" i="27" a="1"/>
  <c r="AT11" i="27" s="1"/>
  <c r="AG11" i="27"/>
  <c r="AK11" i="27" a="1"/>
  <c r="AK11" i="27" s="1"/>
  <c r="V209" i="97" a="1"/>
  <c r="V209" i="97" s="1"/>
  <c r="BA69" i="27"/>
  <c r="BC69" i="27" s="1"/>
  <c r="AH305" i="27"/>
  <c r="BA221" i="27"/>
  <c r="BC221" i="27" s="1"/>
  <c r="V107" i="97" a="1"/>
  <c r="V107" i="97" s="1"/>
  <c r="AS41" i="27" a="1"/>
  <c r="AS41" i="27" s="1"/>
  <c r="AG41" i="27"/>
  <c r="AF41" i="27" a="1"/>
  <c r="AF41" i="27" s="1"/>
  <c r="AT41" i="27" a="1"/>
  <c r="AT41" i="27" s="1"/>
  <c r="AK41" i="27" a="1"/>
  <c r="AK41" i="27" s="1"/>
  <c r="AS9" i="27" a="1"/>
  <c r="AS9" i="27" s="1"/>
  <c r="AT9" i="27" a="1"/>
  <c r="AT9" i="27" s="1"/>
  <c r="AG9" i="27"/>
  <c r="AF9" i="27" a="1"/>
  <c r="AF9" i="27" s="1"/>
  <c r="AK9" i="27" a="1"/>
  <c r="AK9" i="27" s="1"/>
  <c r="AG52" i="27"/>
  <c r="AK52" i="27" a="1"/>
  <c r="AK52" i="27" s="1"/>
  <c r="AF52" i="27" a="1"/>
  <c r="AF52" i="27" s="1"/>
  <c r="AS52" i="27" a="1"/>
  <c r="AS52" i="27" s="1"/>
  <c r="AT52" i="27" a="1"/>
  <c r="AT52" i="27" s="1"/>
  <c r="AQ163" i="27" a="1"/>
  <c r="AQ163" i="27" s="1"/>
  <c r="AC327" i="27"/>
  <c r="AH11" i="27"/>
  <c r="AC307" i="27"/>
  <c r="AF69" i="27" a="1"/>
  <c r="AF69" i="27" s="1"/>
  <c r="AG69" i="27"/>
  <c r="AS69" i="27" a="1"/>
  <c r="AS69" i="27" s="1"/>
  <c r="AT69" i="27" a="1"/>
  <c r="AT69" i="27" s="1"/>
  <c r="AK69" i="27" a="1"/>
  <c r="AK69" i="27" s="1"/>
  <c r="AH48" i="27"/>
  <c r="AR151" i="27" a="1"/>
  <c r="AR151" i="27" s="1"/>
  <c r="AR230" i="27" a="1"/>
  <c r="AR230" i="27" s="1"/>
  <c r="AT221" i="27" a="1"/>
  <c r="AT221" i="27" s="1"/>
  <c r="AF221" i="27" a="1"/>
  <c r="AF221" i="27" s="1"/>
  <c r="AS221" i="27" a="1"/>
  <c r="AS221" i="27" s="1"/>
  <c r="AG221" i="27"/>
  <c r="AK221" i="27" a="1"/>
  <c r="AK221" i="27" s="1"/>
  <c r="AG63" i="27"/>
  <c r="AS63" i="27" a="1"/>
  <c r="AS63" i="27" s="1"/>
  <c r="AT63" i="27" a="1"/>
  <c r="AT63" i="27" s="1"/>
  <c r="AF63" i="27" a="1"/>
  <c r="AF63" i="27" s="1"/>
  <c r="AK63" i="27" a="1"/>
  <c r="AK63" i="27" s="1"/>
  <c r="AR283" i="27" a="1"/>
  <c r="AR283" i="27" s="1"/>
  <c r="V328" i="97" a="1"/>
  <c r="V328" i="97" s="1"/>
  <c r="BA109" i="27"/>
  <c r="BC109" i="27" s="1"/>
  <c r="V134" i="97" a="1"/>
  <c r="V134" i="97" s="1"/>
  <c r="BA169" i="27"/>
  <c r="BC169" i="27" s="1"/>
  <c r="AG64" i="27"/>
  <c r="AF64" i="27" a="1"/>
  <c r="AF64" i="27" s="1"/>
  <c r="AS64" i="27" a="1"/>
  <c r="AS64" i="27" s="1"/>
  <c r="AT64" i="27" a="1"/>
  <c r="AT64" i="27" s="1"/>
  <c r="AK64" i="27" a="1"/>
  <c r="AK64" i="27" s="1"/>
  <c r="V36" i="97" a="1"/>
  <c r="V36" i="97" s="1"/>
  <c r="BA147" i="27"/>
  <c r="BC147" i="27" s="1"/>
  <c r="AH319" i="27"/>
  <c r="AC76" i="27"/>
  <c r="AF152" i="27" a="1"/>
  <c r="AF152" i="27" s="1"/>
  <c r="AG152" i="27"/>
  <c r="AS152" i="27" a="1"/>
  <c r="AS152" i="27" s="1"/>
  <c r="AT152" i="27" a="1"/>
  <c r="AT152" i="27" s="1"/>
  <c r="AK152" i="27" a="1"/>
  <c r="AK152" i="27" s="1"/>
  <c r="V158" i="97" a="1"/>
  <c r="V158" i="97" s="1"/>
  <c r="BA218" i="27"/>
  <c r="BC218" i="27" s="1"/>
  <c r="AF128" i="27" a="1"/>
  <c r="AF128" i="27" s="1"/>
  <c r="AS128" i="27" a="1"/>
  <c r="AS128" i="27" s="1"/>
  <c r="AG128" i="27"/>
  <c r="AT128" i="27" a="1"/>
  <c r="AT128" i="27" s="1"/>
  <c r="AK128" i="27" a="1"/>
  <c r="AK128" i="27" s="1"/>
  <c r="AR227" i="27" a="1"/>
  <c r="AR227" i="27" s="1"/>
  <c r="AI250" i="27"/>
  <c r="AJ250" i="27" s="1" a="1"/>
  <c r="AJ250" i="27" s="1"/>
  <c r="AI316" i="27"/>
  <c r="AJ316" i="27" s="1" a="1"/>
  <c r="AJ316" i="27" s="1"/>
  <c r="AC23" i="27"/>
  <c r="AC272" i="27"/>
  <c r="AC44" i="27"/>
  <c r="AH193" i="27"/>
  <c r="AH140" i="27"/>
  <c r="AF326" i="27" a="1"/>
  <c r="AF326" i="27" s="1"/>
  <c r="AS326" i="27" a="1"/>
  <c r="AS326" i="27" s="1"/>
  <c r="AT326" i="27" a="1"/>
  <c r="AT326" i="27" s="1"/>
  <c r="AG326" i="27"/>
  <c r="AK326" i="27" a="1"/>
  <c r="AK326" i="27" s="1"/>
  <c r="AM92" i="27"/>
  <c r="AL92" i="27" a="1"/>
  <c r="AL92" i="27" s="1"/>
  <c r="AN92" i="27"/>
  <c r="AH292" i="27"/>
  <c r="V2" i="97" a="1"/>
  <c r="V2" i="97" s="1"/>
  <c r="BA81" i="27"/>
  <c r="AC75" i="27"/>
  <c r="AQ217" i="27" a="1"/>
  <c r="AQ217" i="27" s="1"/>
  <c r="AR217" i="27" a="1"/>
  <c r="AR217" i="27" s="1"/>
  <c r="AR144" i="27" a="1"/>
  <c r="AR144" i="27" s="1"/>
  <c r="AI172" i="27"/>
  <c r="AJ172" i="27" s="1" a="1"/>
  <c r="AJ172" i="27" s="1"/>
  <c r="V9" i="97" a="1"/>
  <c r="V9" i="97" s="1"/>
  <c r="BA231" i="27"/>
  <c r="BA155" i="27"/>
  <c r="V151" i="97" a="1"/>
  <c r="V151" i="97" s="1"/>
  <c r="AG275" i="27"/>
  <c r="AF275" i="27" a="1"/>
  <c r="AF275" i="27" s="1"/>
  <c r="AS275" i="27" a="1"/>
  <c r="AS275" i="27" s="1"/>
  <c r="AT275" i="27" a="1"/>
  <c r="AT275" i="27" s="1"/>
  <c r="AK275" i="27" a="1"/>
  <c r="AK275" i="27" s="1"/>
  <c r="AG324" i="27"/>
  <c r="AF324" i="27" a="1"/>
  <c r="AF324" i="27" s="1"/>
  <c r="AT324" i="27" a="1"/>
  <c r="AT324" i="27" s="1"/>
  <c r="AS324" i="27" a="1"/>
  <c r="AS324" i="27" s="1"/>
  <c r="AK324" i="27" a="1"/>
  <c r="AK324" i="27" s="1"/>
  <c r="AI80" i="27"/>
  <c r="AJ80" i="27" s="1" a="1"/>
  <c r="AJ80" i="27" s="1"/>
  <c r="AI52" i="27"/>
  <c r="AJ52" i="27" s="1" a="1"/>
  <c r="AJ52" i="27" s="1"/>
  <c r="AI181" i="27"/>
  <c r="AJ181" i="27" s="1" a="1"/>
  <c r="AJ181" i="27" s="1"/>
  <c r="AC163" i="27"/>
  <c r="AF210" i="27" a="1"/>
  <c r="AF210" i="27" s="1"/>
  <c r="AG210" i="27"/>
  <c r="AS210" i="27" a="1"/>
  <c r="AS210" i="27" s="1"/>
  <c r="AK210" i="27" a="1"/>
  <c r="AK210" i="27" s="1"/>
  <c r="AT210" i="27" a="1"/>
  <c r="AT210" i="27" s="1"/>
  <c r="AG112" i="27"/>
  <c r="AK112" i="27" a="1"/>
  <c r="AK112" i="27" s="1"/>
  <c r="AS112" i="27" a="1"/>
  <c r="AS112" i="27" s="1"/>
  <c r="AT112" i="27" a="1"/>
  <c r="AT112" i="27" s="1"/>
  <c r="AF112" i="27" a="1"/>
  <c r="AF112" i="27" s="1"/>
  <c r="AI98" i="27"/>
  <c r="AJ98" i="27" s="1" a="1"/>
  <c r="AJ98" i="27" s="1"/>
  <c r="AH120" i="27"/>
  <c r="AC48" i="27"/>
  <c r="AG317" i="27"/>
  <c r="AF317" i="27" a="1"/>
  <c r="AF317" i="27" s="1"/>
  <c r="AS317" i="27" a="1"/>
  <c r="AS317" i="27" s="1"/>
  <c r="AT317" i="27" a="1"/>
  <c r="AT317" i="27" s="1"/>
  <c r="AK317" i="27" a="1"/>
  <c r="AK317" i="27" s="1"/>
  <c r="AC334" i="27"/>
  <c r="AH63" i="27"/>
  <c r="AF254" i="27" a="1"/>
  <c r="AF254" i="27" s="1"/>
  <c r="AG254" i="27"/>
  <c r="AS254" i="27" a="1"/>
  <c r="AS254" i="27" s="1"/>
  <c r="AT254" i="27" a="1"/>
  <c r="AT254" i="27" s="1"/>
  <c r="AK254" i="27" a="1"/>
  <c r="AK254" i="27" s="1"/>
  <c r="V182" i="97" a="1"/>
  <c r="V182" i="97" s="1"/>
  <c r="BA138" i="27"/>
  <c r="BC138" i="27" s="1"/>
  <c r="AT147" i="27" a="1"/>
  <c r="AT147" i="27" s="1"/>
  <c r="AG147" i="27"/>
  <c r="AS147" i="27" a="1"/>
  <c r="AS147" i="27" s="1"/>
  <c r="AK147" i="27" a="1"/>
  <c r="AK147" i="27" s="1"/>
  <c r="AF147" i="27" a="1"/>
  <c r="AF147" i="27" s="1"/>
  <c r="AR211" i="27" a="1"/>
  <c r="AR211" i="27" s="1"/>
  <c r="V198" i="97" a="1"/>
  <c r="V198" i="97" s="1"/>
  <c r="BA6" i="27"/>
  <c r="AQ310" i="27" a="1"/>
  <c r="AQ310" i="27" s="1"/>
  <c r="BA26" i="27"/>
  <c r="BC26" i="27" s="1"/>
  <c r="V332" i="97" a="1"/>
  <c r="V332" i="97" s="1"/>
  <c r="AC167" i="27"/>
  <c r="AG218" i="27"/>
  <c r="AF218" i="27" a="1"/>
  <c r="AF218" i="27" s="1"/>
  <c r="AS218" i="27" a="1"/>
  <c r="AS218" i="27" s="1"/>
  <c r="AT218" i="27" a="1"/>
  <c r="AT218" i="27" s="1"/>
  <c r="AK218" i="27" a="1"/>
  <c r="AK218" i="27" s="1"/>
  <c r="AF159" i="27" a="1"/>
  <c r="AF159" i="27" s="1"/>
  <c r="AG159" i="27"/>
  <c r="AS159" i="27" a="1"/>
  <c r="AS159" i="27" s="1"/>
  <c r="AT159" i="27" a="1"/>
  <c r="AT159" i="27" s="1"/>
  <c r="AK159" i="27" a="1"/>
  <c r="AK159" i="27" s="1"/>
  <c r="AH250" i="27"/>
  <c r="AC86" i="27"/>
  <c r="AI9" i="27"/>
  <c r="AJ9" i="27" s="1" a="1"/>
  <c r="AJ9" i="27" s="1"/>
  <c r="AC140" i="27"/>
  <c r="AC292" i="27"/>
  <c r="V181" i="97" a="1"/>
  <c r="V181" i="97" s="1"/>
  <c r="BA104" i="27"/>
  <c r="BC104" i="27" s="1"/>
  <c r="AF231" i="27" a="1"/>
  <c r="AF231" i="27" s="1"/>
  <c r="AG231" i="27"/>
  <c r="AT231" i="27" a="1"/>
  <c r="AT231" i="27" s="1"/>
  <c r="AS231" i="27" a="1"/>
  <c r="AS231" i="27" s="1"/>
  <c r="AK231" i="27" a="1"/>
  <c r="AK231" i="27" s="1"/>
  <c r="AF155" i="27" a="1"/>
  <c r="AF155" i="27" s="1"/>
  <c r="AG155" i="27"/>
  <c r="AS155" i="27" a="1"/>
  <c r="AS155" i="27" s="1"/>
  <c r="AT155" i="27" a="1"/>
  <c r="AT155" i="27" s="1"/>
  <c r="AK155" i="27" a="1"/>
  <c r="AK155" i="27" s="1"/>
  <c r="AI320" i="27"/>
  <c r="AJ320" i="27" s="1" a="1"/>
  <c r="AJ320" i="27" s="1"/>
  <c r="AC80" i="27"/>
  <c r="AC181" i="27"/>
  <c r="AI68" i="27"/>
  <c r="AJ68" i="27" s="1" a="1"/>
  <c r="AJ68" i="27" s="1"/>
  <c r="AH252" i="27"/>
  <c r="AI175" i="27"/>
  <c r="AJ175" i="27" s="1" a="1"/>
  <c r="AJ175" i="27" s="1"/>
  <c r="AI210" i="27"/>
  <c r="AJ210" i="27" s="1" a="1"/>
  <c r="AJ210" i="27" s="1"/>
  <c r="AC228" i="27"/>
  <c r="AH98" i="27"/>
  <c r="AI11" i="27"/>
  <c r="AJ11" i="27" s="1" a="1"/>
  <c r="AJ11" i="27" s="1"/>
  <c r="AC120" i="27"/>
  <c r="AH154" i="27"/>
  <c r="AI151" i="27"/>
  <c r="AJ151" i="27" s="1" a="1"/>
  <c r="AJ151" i="27" s="1"/>
  <c r="AI221" i="27"/>
  <c r="AJ221" i="27" s="1" a="1"/>
  <c r="AJ221" i="27" s="1"/>
  <c r="AC41" i="27"/>
  <c r="AT285" i="27" a="1"/>
  <c r="AT285" i="27" s="1"/>
  <c r="AS285" i="27" a="1"/>
  <c r="AS285" i="27" s="1"/>
  <c r="AF285" i="27" a="1"/>
  <c r="AF285" i="27" s="1"/>
  <c r="AG285" i="27"/>
  <c r="AK285" i="27" a="1"/>
  <c r="AK285" i="27" s="1"/>
  <c r="AG306" i="27"/>
  <c r="AF306" i="27" a="1"/>
  <c r="AF306" i="27" s="1"/>
  <c r="AS306" i="27" a="1"/>
  <c r="AS306" i="27" s="1"/>
  <c r="AT306" i="27" a="1"/>
  <c r="AT306" i="27" s="1"/>
  <c r="AK306" i="27" a="1"/>
  <c r="AK306" i="27" s="1"/>
  <c r="BA133" i="27"/>
  <c r="BC133" i="27" s="1"/>
  <c r="V257" i="97" a="1"/>
  <c r="V257" i="97" s="1"/>
  <c r="AT335" i="27" a="1"/>
  <c r="AT335" i="27" s="1"/>
  <c r="AS335" i="27" a="1"/>
  <c r="AS335" i="27" s="1"/>
  <c r="AG335" i="27"/>
  <c r="AF335" i="27" a="1"/>
  <c r="AF335" i="27" s="1"/>
  <c r="AK335" i="27" a="1"/>
  <c r="AK335" i="27" s="1"/>
  <c r="AT29" i="27" a="1"/>
  <c r="AT29" i="27" s="1"/>
  <c r="AG29" i="27"/>
  <c r="AF29" i="27" a="1"/>
  <c r="AF29" i="27" s="1"/>
  <c r="AS29" i="27" a="1"/>
  <c r="AS29" i="27" s="1"/>
  <c r="AK29" i="27" a="1"/>
  <c r="AK29" i="27" s="1"/>
  <c r="AQ188" i="27" a="1"/>
  <c r="AQ188" i="27" s="1"/>
  <c r="AR188" i="27" a="1"/>
  <c r="AR188" i="27" s="1"/>
  <c r="V150" i="97" a="1"/>
  <c r="V150" i="97" s="1"/>
  <c r="BA51" i="27"/>
  <c r="BC51" i="27" s="1"/>
  <c r="AG169" i="27"/>
  <c r="AF169" i="27" a="1"/>
  <c r="AF169" i="27" s="1"/>
  <c r="AS169" i="27" a="1"/>
  <c r="AS169" i="27" s="1"/>
  <c r="AT169" i="27" a="1"/>
  <c r="AT169" i="27" s="1"/>
  <c r="AK169" i="27" a="1"/>
  <c r="AK169" i="27" s="1"/>
  <c r="AF6" i="27" a="1"/>
  <c r="AF6" i="27" s="1"/>
  <c r="AG6" i="27"/>
  <c r="AS6" i="27" a="1"/>
  <c r="AS6" i="27" s="1"/>
  <c r="AT6" i="27" a="1"/>
  <c r="AT6" i="27" s="1"/>
  <c r="AK6" i="27" a="1"/>
  <c r="AK6" i="27" s="1"/>
  <c r="AF26" i="27" a="1"/>
  <c r="AF26" i="27" s="1"/>
  <c r="AG26" i="27"/>
  <c r="AS26" i="27" a="1"/>
  <c r="AS26" i="27" s="1"/>
  <c r="AT26" i="27" a="1"/>
  <c r="AT26" i="27" s="1"/>
  <c r="AK26" i="27" a="1"/>
  <c r="AK26" i="27" s="1"/>
  <c r="AI319" i="27"/>
  <c r="AJ319" i="27" s="1" a="1"/>
  <c r="AJ319" i="27" s="1"/>
  <c r="AI202" i="27"/>
  <c r="AJ202" i="27" s="1" a="1"/>
  <c r="AJ202" i="27" s="1"/>
  <c r="AH251" i="27"/>
  <c r="V7" i="97" a="1"/>
  <c r="V7" i="97" s="1"/>
  <c r="BA232" i="27"/>
  <c r="AR193" i="27" a="1"/>
  <c r="AR193" i="27" s="1"/>
  <c r="AH9" i="27"/>
  <c r="V90" i="97" a="1"/>
  <c r="V90" i="97" s="1"/>
  <c r="BA141" i="27"/>
  <c r="BC141" i="27" s="1"/>
  <c r="AF236" i="27" a="1"/>
  <c r="AF236" i="27" s="1"/>
  <c r="AS236" i="27" a="1"/>
  <c r="AS236" i="27" s="1"/>
  <c r="AG236" i="27"/>
  <c r="AT236" i="27" a="1"/>
  <c r="AT236" i="27" s="1"/>
  <c r="AK236" i="27" a="1"/>
  <c r="AK236" i="27" s="1"/>
  <c r="AF81" i="27" a="1"/>
  <c r="AF81" i="27" s="1"/>
  <c r="AS81" i="27" a="1"/>
  <c r="AS81" i="27" s="1"/>
  <c r="AT81" i="27" a="1"/>
  <c r="AT81" i="27" s="1"/>
  <c r="AG81" i="27"/>
  <c r="AK81" i="27" a="1"/>
  <c r="AK81" i="27" s="1"/>
  <c r="V15" i="97" a="1"/>
  <c r="V15" i="97" s="1"/>
  <c r="BA134" i="27"/>
  <c r="BC134" i="27" s="1"/>
  <c r="AF281" i="27" a="1"/>
  <c r="AF281" i="27" s="1"/>
  <c r="AS281" i="27" a="1"/>
  <c r="AS281" i="27" s="1"/>
  <c r="AT281" i="27" a="1"/>
  <c r="AT281" i="27" s="1"/>
  <c r="AG281" i="27"/>
  <c r="AK281" i="27" a="1"/>
  <c r="AK281" i="27" s="1"/>
  <c r="AS104" i="27" a="1"/>
  <c r="AS104" i="27" s="1"/>
  <c r="AK104" i="27" a="1"/>
  <c r="AK104" i="27" s="1"/>
  <c r="AF104" i="27" a="1"/>
  <c r="AF104" i="27" s="1"/>
  <c r="AG104" i="27"/>
  <c r="AT104" i="27" a="1"/>
  <c r="AT104" i="27" s="1"/>
  <c r="AI144" i="27"/>
  <c r="AJ144" i="27" s="1" a="1"/>
  <c r="AJ144" i="27" s="1"/>
  <c r="BA220" i="27"/>
  <c r="BC220" i="27" s="1"/>
  <c r="V245" i="97" a="1"/>
  <c r="V245" i="97" s="1"/>
  <c r="BA156" i="27"/>
  <c r="BC156" i="27" s="1"/>
  <c r="V94" i="97" a="1"/>
  <c r="V94" i="97" s="1"/>
  <c r="AC320" i="27"/>
  <c r="AH324" i="27"/>
  <c r="AH52" i="27"/>
  <c r="AC68" i="27"/>
  <c r="AH175" i="27"/>
  <c r="AH228" i="27"/>
  <c r="AC98" i="27"/>
  <c r="AH180" i="27"/>
  <c r="AC11" i="27"/>
  <c r="AR307" i="27" a="1"/>
  <c r="AR307" i="27" s="1"/>
  <c r="AH69" i="27"/>
  <c r="AR48" i="27" a="1"/>
  <c r="AR48" i="27" s="1"/>
  <c r="AC154" i="27"/>
  <c r="AC151" i="27"/>
  <c r="AI305" i="27"/>
  <c r="AJ305" i="27" s="1" a="1"/>
  <c r="AJ305" i="27" s="1"/>
  <c r="AR334" i="27" a="1"/>
  <c r="AR334" i="27" s="1"/>
  <c r="AC63" i="27"/>
  <c r="AR254" i="27" a="1"/>
  <c r="AR254" i="27" s="1"/>
  <c r="BC59" i="27"/>
  <c r="BD59" i="27"/>
  <c r="AH335" i="27"/>
  <c r="AG240" i="27"/>
  <c r="AF240" i="27" a="1"/>
  <c r="AF240" i="27" s="1"/>
  <c r="AS240" i="27" a="1"/>
  <c r="AS240" i="27" s="1"/>
  <c r="AT240" i="27" a="1"/>
  <c r="AT240" i="27" s="1"/>
  <c r="AK240" i="27" a="1"/>
  <c r="AK240" i="27" s="1"/>
  <c r="AF249" i="27" a="1"/>
  <c r="AF249" i="27" s="1"/>
  <c r="AG249" i="27"/>
  <c r="AT249" i="27" a="1"/>
  <c r="AT249" i="27" s="1"/>
  <c r="AS249" i="27" a="1"/>
  <c r="AS249" i="27" s="1"/>
  <c r="AK249" i="27" a="1"/>
  <c r="AK249" i="27" s="1"/>
  <c r="AG109" i="27"/>
  <c r="AF109" i="27" a="1"/>
  <c r="AF109" i="27" s="1"/>
  <c r="AS109" i="27" a="1"/>
  <c r="AS109" i="27" s="1"/>
  <c r="AT109" i="27" a="1"/>
  <c r="AT109" i="27" s="1"/>
  <c r="AK109" i="27" a="1"/>
  <c r="AK109" i="27" s="1"/>
  <c r="V312" i="97" a="1"/>
  <c r="V312" i="97" s="1"/>
  <c r="BA93" i="27"/>
  <c r="BC93" i="27" s="1"/>
  <c r="AF138" i="27" a="1"/>
  <c r="AF138" i="27" s="1"/>
  <c r="AS138" i="27" a="1"/>
  <c r="AS138" i="27" s="1"/>
  <c r="AK138" i="27" a="1"/>
  <c r="AK138" i="27" s="1"/>
  <c r="AG138" i="27"/>
  <c r="AT138" i="27" a="1"/>
  <c r="AT138" i="27" s="1"/>
  <c r="AH147" i="27"/>
  <c r="V214" i="97" a="1"/>
  <c r="V214" i="97" s="1"/>
  <c r="BA131" i="27"/>
  <c r="BC131" i="27" s="1"/>
  <c r="AF253" i="27" a="1"/>
  <c r="AF253" i="27" s="1"/>
  <c r="AG253" i="27"/>
  <c r="AS253" i="27" a="1"/>
  <c r="AS253" i="27" s="1"/>
  <c r="AT253" i="27" a="1"/>
  <c r="AT253" i="27" s="1"/>
  <c r="AK253" i="27" a="1"/>
  <c r="AK253" i="27" s="1"/>
  <c r="AR152" i="27" a="1"/>
  <c r="AR152" i="27" s="1"/>
  <c r="AH202" i="27"/>
  <c r="AI159" i="27"/>
  <c r="AJ159" i="27" s="1" a="1"/>
  <c r="AJ159" i="27" s="1"/>
  <c r="AC251" i="27"/>
  <c r="V69" i="97" a="1"/>
  <c r="V69" i="97" s="1"/>
  <c r="BA107" i="27"/>
  <c r="BC107" i="27" s="1"/>
  <c r="AR23" i="27" a="1"/>
  <c r="AR23" i="27" s="1"/>
  <c r="V204" i="97" a="1"/>
  <c r="V204" i="97" s="1"/>
  <c r="BA153" i="27"/>
  <c r="BC153" i="27" s="1"/>
  <c r="AC111" i="27"/>
  <c r="AC9" i="27"/>
  <c r="AF141" i="27" a="1"/>
  <c r="AF141" i="27" s="1"/>
  <c r="AG141" i="27"/>
  <c r="AS141" i="27" a="1"/>
  <c r="AS141" i="27" s="1"/>
  <c r="AT141" i="27" a="1"/>
  <c r="AT141" i="27" s="1"/>
  <c r="AK141" i="27" a="1"/>
  <c r="AK141" i="27" s="1"/>
  <c r="AI236" i="27"/>
  <c r="AJ236" i="27" s="1" a="1"/>
  <c r="AJ236" i="27" s="1"/>
  <c r="AH81" i="27"/>
  <c r="AF244" i="27" a="1"/>
  <c r="AF244" i="27" s="1"/>
  <c r="AG244" i="27"/>
  <c r="AS244" i="27" a="1"/>
  <c r="AS244" i="27" s="1"/>
  <c r="AT244" i="27" a="1"/>
  <c r="AT244" i="27" s="1"/>
  <c r="AK244" i="27" a="1"/>
  <c r="AK244" i="27" s="1"/>
  <c r="V319" i="97" a="1"/>
  <c r="V319" i="97" s="1"/>
  <c r="BA18" i="27"/>
  <c r="BC18" i="27" s="1"/>
  <c r="AH281" i="27"/>
  <c r="AH104" i="27"/>
  <c r="V293" i="97" a="1"/>
  <c r="V293" i="97" s="1"/>
  <c r="BA106" i="27"/>
  <c r="BC106" i="27" s="1"/>
  <c r="AI231" i="27"/>
  <c r="AJ231" i="27" s="1" a="1"/>
  <c r="AJ231" i="27" s="1"/>
  <c r="AI155" i="27"/>
  <c r="AJ155" i="27" s="1" a="1"/>
  <c r="AJ155" i="27" s="1"/>
  <c r="AI324" i="27"/>
  <c r="AJ324" i="27" s="1" a="1"/>
  <c r="AJ324" i="27" s="1"/>
  <c r="AC162" i="27"/>
  <c r="AS13" i="27" a="1"/>
  <c r="AS13" i="27" s="1"/>
  <c r="AC229" i="27"/>
  <c r="AC52" i="27"/>
  <c r="AH68" i="27"/>
  <c r="AI294" i="27"/>
  <c r="AJ294" i="27" s="1" a="1"/>
  <c r="AJ294" i="27" s="1"/>
  <c r="AH210" i="27"/>
  <c r="AI112" i="27"/>
  <c r="AJ112" i="27" s="1" a="1"/>
  <c r="AJ112" i="27" s="1"/>
  <c r="AH327" i="27"/>
  <c r="AC180" i="27"/>
  <c r="V138" i="97" a="1"/>
  <c r="V138" i="97" s="1"/>
  <c r="BA223" i="27"/>
  <c r="BC223" i="27" s="1"/>
  <c r="AC305" i="27"/>
  <c r="AH221" i="27"/>
  <c r="AI285" i="27"/>
  <c r="AJ285" i="27" s="1" a="1"/>
  <c r="AJ285" i="27" s="1"/>
  <c r="AF133" i="27" a="1"/>
  <c r="AF133" i="27" s="1"/>
  <c r="AG133" i="27"/>
  <c r="AT133" i="27" a="1"/>
  <c r="AT133" i="27" s="1"/>
  <c r="AS133" i="27" a="1"/>
  <c r="AS133" i="27" s="1"/>
  <c r="AK133" i="27" a="1"/>
  <c r="AK133" i="27" s="1"/>
  <c r="AT314" i="27" a="1"/>
  <c r="AT314" i="27" s="1"/>
  <c r="AF314" i="27" a="1"/>
  <c r="AF314" i="27" s="1"/>
  <c r="AS314" i="27" a="1"/>
  <c r="AS314" i="27" s="1"/>
  <c r="AK314" i="27" a="1"/>
  <c r="AK314" i="27" s="1"/>
  <c r="AG314" i="27"/>
  <c r="AS131" i="27" a="1"/>
  <c r="AS131" i="27" s="1"/>
  <c r="AT131" i="27" a="1"/>
  <c r="AT131" i="27" s="1"/>
  <c r="AF131" i="27" a="1"/>
  <c r="AF131" i="27" s="1"/>
  <c r="AG131" i="27"/>
  <c r="AK131" i="27" a="1"/>
  <c r="AK131" i="27" s="1"/>
  <c r="AG287" i="27"/>
  <c r="AF287" i="27" a="1"/>
  <c r="AF287" i="27" s="1"/>
  <c r="AS287" i="27" a="1"/>
  <c r="AS287" i="27" s="1"/>
  <c r="AT287" i="27" a="1"/>
  <c r="AT287" i="27" s="1"/>
  <c r="AK287" i="27" a="1"/>
  <c r="AK287" i="27" s="1"/>
  <c r="V284" i="97" a="1"/>
  <c r="V284" i="97" s="1"/>
  <c r="BA208" i="27"/>
  <c r="BC208" i="27" s="1"/>
  <c r="V16" i="97" a="1"/>
  <c r="V16" i="97" s="1"/>
  <c r="BA115" i="27"/>
  <c r="BA99" i="27"/>
  <c r="BC99" i="27" s="1"/>
  <c r="V304" i="97" a="1"/>
  <c r="V304" i="97" s="1"/>
  <c r="AF232" i="27" a="1"/>
  <c r="AF232" i="27" s="1"/>
  <c r="AG232" i="27"/>
  <c r="AS232" i="27" a="1"/>
  <c r="AS232" i="27" s="1"/>
  <c r="AT232" i="27" a="1"/>
  <c r="AT232" i="27" s="1"/>
  <c r="AK232" i="27" a="1"/>
  <c r="AK232" i="27" s="1"/>
  <c r="V43" i="97" a="1"/>
  <c r="V43" i="97" s="1"/>
  <c r="BA103" i="27"/>
  <c r="AG263" i="27"/>
  <c r="AF263" i="27" a="1"/>
  <c r="AF263" i="27" s="1"/>
  <c r="AS263" i="27" a="1"/>
  <c r="AS263" i="27" s="1"/>
  <c r="AT263" i="27" a="1"/>
  <c r="AT263" i="27" s="1"/>
  <c r="AK263" i="27" a="1"/>
  <c r="AK263" i="27" s="1"/>
  <c r="AG318" i="27"/>
  <c r="AF318" i="27" a="1"/>
  <c r="AF318" i="27" s="1"/>
  <c r="AS318" i="27" a="1"/>
  <c r="AS318" i="27" s="1"/>
  <c r="AT318" i="27" a="1"/>
  <c r="AT318" i="27" s="1"/>
  <c r="AK318" i="27" a="1"/>
  <c r="AK318" i="27" s="1"/>
  <c r="V313" i="97" a="1"/>
  <c r="V313" i="97" s="1"/>
  <c r="BA136" i="27"/>
  <c r="AH72" i="27"/>
  <c r="BA216" i="27"/>
  <c r="BC216" i="27" s="1"/>
  <c r="V87" i="97" a="1"/>
  <c r="V87" i="97" s="1"/>
  <c r="BA88" i="27"/>
  <c r="BC88" i="27" s="1"/>
  <c r="V58" i="97" a="1"/>
  <c r="V58" i="97" s="1"/>
  <c r="AG134" i="27"/>
  <c r="AF134" i="27" a="1"/>
  <c r="AF134" i="27" s="1"/>
  <c r="AS134" i="27" a="1"/>
  <c r="AS134" i="27" s="1"/>
  <c r="AT134" i="27" a="1"/>
  <c r="AT134" i="27" s="1"/>
  <c r="AK134" i="27" a="1"/>
  <c r="AK134" i="27" s="1"/>
  <c r="V3" i="97" a="1"/>
  <c r="V3" i="97" s="1"/>
  <c r="BA95" i="27"/>
  <c r="AT220" i="27" a="1"/>
  <c r="AT220" i="27" s="1"/>
  <c r="AF220" i="27" a="1"/>
  <c r="AF220" i="27" s="1"/>
  <c r="AG220" i="27"/>
  <c r="AS220" i="27" a="1"/>
  <c r="AS220" i="27" s="1"/>
  <c r="AK220" i="27" a="1"/>
  <c r="AK220" i="27" s="1"/>
  <c r="AH275" i="27"/>
  <c r="AF156" i="27" a="1"/>
  <c r="AF156" i="27" s="1"/>
  <c r="AG156" i="27"/>
  <c r="AS156" i="27" a="1"/>
  <c r="AS156" i="27" s="1"/>
  <c r="AT156" i="27" a="1"/>
  <c r="AT156" i="27" s="1"/>
  <c r="AK156" i="27" a="1"/>
  <c r="AK156" i="27" s="1"/>
  <c r="AR324" i="27" a="1"/>
  <c r="AR324" i="27" s="1"/>
  <c r="AC239" i="27"/>
  <c r="V295" i="97" a="1"/>
  <c r="V295" i="97" s="1"/>
  <c r="BA54" i="27"/>
  <c r="BC54" i="27" s="1"/>
  <c r="V137" i="97" a="1"/>
  <c r="V137" i="97" s="1"/>
  <c r="BA187" i="27"/>
  <c r="BC187" i="27" s="1"/>
  <c r="V52" i="97" a="1"/>
  <c r="V52" i="97" s="1"/>
  <c r="BA190" i="27"/>
  <c r="BC190" i="27" s="1"/>
  <c r="AC294" i="27"/>
  <c r="AC210" i="27"/>
  <c r="AH112" i="27"/>
  <c r="AH307" i="27"/>
  <c r="AI48" i="27"/>
  <c r="AJ48" i="27" s="1" a="1"/>
  <c r="AJ48" i="27" s="1"/>
  <c r="AG321" i="27"/>
  <c r="AF321" i="27" a="1"/>
  <c r="AF321" i="27" s="1"/>
  <c r="AS321" i="27" a="1"/>
  <c r="AS321" i="27" s="1"/>
  <c r="AT321" i="27" a="1"/>
  <c r="AT321" i="27" s="1"/>
  <c r="AK321" i="27" a="1"/>
  <c r="AK321" i="27" s="1"/>
  <c r="AI334" i="27"/>
  <c r="AJ334" i="27" s="1" a="1"/>
  <c r="AJ334" i="27" s="1"/>
  <c r="BD62" i="27"/>
  <c r="BC62" i="27"/>
  <c r="AF208" i="27" a="1"/>
  <c r="AF208" i="27" s="1"/>
  <c r="AK208" i="27" a="1"/>
  <c r="AK208" i="27" s="1"/>
  <c r="AG208" i="27"/>
  <c r="AS208" i="27" a="1"/>
  <c r="AS208" i="27" s="1"/>
  <c r="AT208" i="27" a="1"/>
  <c r="AT208" i="27" s="1"/>
  <c r="BA171" i="27"/>
  <c r="BC171" i="27" s="1"/>
  <c r="V210" i="97" a="1"/>
  <c r="V210" i="97" s="1"/>
  <c r="V254" i="97" a="1"/>
  <c r="V254" i="97" s="1"/>
  <c r="BA132" i="27"/>
  <c r="BC132" i="27" s="1"/>
  <c r="BA116" i="27"/>
  <c r="BC116" i="27" s="1"/>
  <c r="V161" i="97" a="1"/>
  <c r="V161" i="97" s="1"/>
  <c r="AK107" i="27" a="1"/>
  <c r="AK107" i="27" s="1"/>
  <c r="AF107" i="27" a="1"/>
  <c r="AF107" i="27" s="1"/>
  <c r="AG107" i="27"/>
  <c r="AS107" i="27" a="1"/>
  <c r="AS107" i="27" s="1"/>
  <c r="AT107" i="27" a="1"/>
  <c r="AT107" i="27" s="1"/>
  <c r="V30" i="97" a="1"/>
  <c r="V30" i="97" s="1"/>
  <c r="BA70" i="27"/>
  <c r="AG291" i="27"/>
  <c r="AF291" i="27" a="1"/>
  <c r="AF291" i="27" s="1"/>
  <c r="AS291" i="27" a="1"/>
  <c r="AS291" i="27" s="1"/>
  <c r="AT291" i="27" a="1"/>
  <c r="AT291" i="27" s="1"/>
  <c r="AK291" i="27" a="1"/>
  <c r="AK291" i="27" s="1"/>
  <c r="AS136" i="27" a="1"/>
  <c r="AS136" i="27" s="1"/>
  <c r="AT136" i="27" a="1"/>
  <c r="AT136" i="27" s="1"/>
  <c r="AG136" i="27"/>
  <c r="AF136" i="27" a="1"/>
  <c r="AF136" i="27" s="1"/>
  <c r="AK136" i="27" a="1"/>
  <c r="AK136" i="27" s="1"/>
  <c r="AF216" i="27" a="1"/>
  <c r="AF216" i="27" s="1"/>
  <c r="AG216" i="27"/>
  <c r="AS216" i="27" a="1"/>
  <c r="AS216" i="27" s="1"/>
  <c r="AT216" i="27" a="1"/>
  <c r="AT216" i="27" s="1"/>
  <c r="AK216" i="27" a="1"/>
  <c r="AK216" i="27" s="1"/>
  <c r="AS271" i="27" a="1"/>
  <c r="AS271" i="27" s="1"/>
  <c r="AG271" i="27"/>
  <c r="AT271" i="27" a="1"/>
  <c r="AT271" i="27" s="1"/>
  <c r="AF271" i="27" a="1"/>
  <c r="AF271" i="27" s="1"/>
  <c r="AK271" i="27" a="1"/>
  <c r="AK271" i="27" s="1"/>
  <c r="AG88" i="27"/>
  <c r="AT88" i="27" a="1"/>
  <c r="AT88" i="27" s="1"/>
  <c r="AF88" i="27" a="1"/>
  <c r="AF88" i="27" s="1"/>
  <c r="AS88" i="27" a="1"/>
  <c r="AS88" i="27" s="1"/>
  <c r="AK88" i="27" a="1"/>
  <c r="AK88" i="27" s="1"/>
  <c r="AF18" i="27" a="1"/>
  <c r="AF18" i="27" s="1"/>
  <c r="AT18" i="27" a="1"/>
  <c r="AT18" i="27" s="1"/>
  <c r="AS18" i="27" a="1"/>
  <c r="AS18" i="27" s="1"/>
  <c r="AG18" i="27"/>
  <c r="AK18" i="27" a="1"/>
  <c r="AK18" i="27" s="1"/>
  <c r="AF106" i="27" a="1"/>
  <c r="AF106" i="27" s="1"/>
  <c r="AS106" i="27" a="1"/>
  <c r="AS106" i="27" s="1"/>
  <c r="AG106" i="27"/>
  <c r="AT106" i="27" a="1"/>
  <c r="AT106" i="27" s="1"/>
  <c r="AK106" i="27" a="1"/>
  <c r="AK106" i="27" s="1"/>
  <c r="AK95" i="27" a="1"/>
  <c r="AK95" i="27" s="1"/>
  <c r="AF95" i="27" a="1"/>
  <c r="AF95" i="27" s="1"/>
  <c r="AS95" i="27" a="1"/>
  <c r="AS95" i="27" s="1"/>
  <c r="AT95" i="27" a="1"/>
  <c r="AT95" i="27" s="1"/>
  <c r="AG95" i="27"/>
  <c r="AH231" i="27"/>
  <c r="AH155" i="27"/>
  <c r="AS234" i="27" a="1"/>
  <c r="AS234" i="27" s="1"/>
  <c r="AT234" i="27" a="1"/>
  <c r="AT234" i="27" s="1"/>
  <c r="AG234" i="27"/>
  <c r="AF234" i="27" a="1"/>
  <c r="AF234" i="27" s="1"/>
  <c r="AK234" i="27" a="1"/>
  <c r="AK234" i="27" s="1"/>
  <c r="V154" i="97" a="1"/>
  <c r="V154" i="97" s="1"/>
  <c r="BA82" i="27"/>
  <c r="BC82" i="27" s="1"/>
  <c r="AC112" i="27"/>
  <c r="V188" i="97" a="1"/>
  <c r="V188" i="97" s="1"/>
  <c r="BA110" i="27"/>
  <c r="BC110" i="27" s="1"/>
  <c r="AT323" i="27" a="1"/>
  <c r="AT323" i="27" s="1"/>
  <c r="AG323" i="27"/>
  <c r="AF323" i="27" a="1"/>
  <c r="AF323" i="27" s="1"/>
  <c r="AS323" i="27" a="1"/>
  <c r="AS323" i="27" s="1"/>
  <c r="AK323" i="27" a="1"/>
  <c r="AK323" i="27" s="1"/>
  <c r="BA203" i="27"/>
  <c r="BC203" i="27" s="1"/>
  <c r="V180" i="97" a="1"/>
  <c r="V180" i="97" s="1"/>
  <c r="AH161" i="27"/>
  <c r="V185" i="97" a="1"/>
  <c r="V185" i="97" s="1"/>
  <c r="BA170" i="27"/>
  <c r="BC170" i="27" s="1"/>
  <c r="AF223" i="27" a="1"/>
  <c r="AF223" i="27" s="1"/>
  <c r="AG223" i="27"/>
  <c r="AS223" i="27" a="1"/>
  <c r="AS223" i="27" s="1"/>
  <c r="AT223" i="27" a="1"/>
  <c r="AT223" i="27" s="1"/>
  <c r="AK223" i="27" a="1"/>
  <c r="AK223" i="27" s="1"/>
  <c r="AI63" i="27"/>
  <c r="AJ63" i="27" s="1" a="1"/>
  <c r="AJ63" i="27" s="1"/>
  <c r="AI41" i="27"/>
  <c r="AJ41" i="27" s="1" a="1"/>
  <c r="AJ41" i="27" s="1"/>
  <c r="AC254" i="27"/>
  <c r="AF132" i="27" a="1"/>
  <c r="AF132" i="27" s="1"/>
  <c r="AG132" i="27"/>
  <c r="AS132" i="27" a="1"/>
  <c r="AS132" i="27" s="1"/>
  <c r="AT132" i="27" a="1"/>
  <c r="AT132" i="27" s="1"/>
  <c r="AK132" i="27" a="1"/>
  <c r="AK132" i="27" s="1"/>
  <c r="V6" i="97" a="1"/>
  <c r="V6" i="97" s="1"/>
  <c r="BA204" i="27"/>
  <c r="BC204" i="27" s="1"/>
  <c r="AT115" i="27" a="1"/>
  <c r="AT115" i="27" s="1"/>
  <c r="AG115" i="27"/>
  <c r="AF115" i="27" a="1"/>
  <c r="AF115" i="27" s="1"/>
  <c r="AS115" i="27" a="1"/>
  <c r="AS115" i="27" s="1"/>
  <c r="AK115" i="27" a="1"/>
  <c r="AK115" i="27" s="1"/>
  <c r="AS99" i="27" a="1"/>
  <c r="AS99" i="27" s="1"/>
  <c r="AF99" i="27" a="1"/>
  <c r="AF99" i="27" s="1"/>
  <c r="AG99" i="27"/>
  <c r="AT99" i="27" a="1"/>
  <c r="AT99" i="27" s="1"/>
  <c r="AK99" i="27" a="1"/>
  <c r="AK99" i="27" s="1"/>
  <c r="AF103" i="27" a="1"/>
  <c r="AF103" i="27" s="1"/>
  <c r="AG103" i="27"/>
  <c r="AK103" i="27" a="1"/>
  <c r="AK103" i="27" s="1"/>
  <c r="AS103" i="27" a="1"/>
  <c r="AS103" i="27" s="1"/>
  <c r="AT103" i="27" a="1"/>
  <c r="AT103" i="27" s="1"/>
  <c r="AG153" i="27"/>
  <c r="AS153" i="27" a="1"/>
  <c r="AS153" i="27" s="1"/>
  <c r="AK153" i="27" a="1"/>
  <c r="AK153" i="27" s="1"/>
  <c r="AT153" i="27" a="1"/>
  <c r="AT153" i="27" s="1"/>
  <c r="AF153" i="27" a="1"/>
  <c r="AF153" i="27" s="1"/>
  <c r="AF273" i="27" a="1"/>
  <c r="AF273" i="27" s="1"/>
  <c r="AG273" i="27"/>
  <c r="AT273" i="27" a="1"/>
  <c r="AT273" i="27" s="1"/>
  <c r="AS273" i="27" a="1"/>
  <c r="AS273" i="27" s="1"/>
  <c r="AK273" i="27" a="1"/>
  <c r="AK273" i="27" s="1"/>
  <c r="AM13" i="27"/>
  <c r="AL13" i="27" a="1"/>
  <c r="AL13" i="27" s="1"/>
  <c r="AN13" i="27"/>
  <c r="V236" i="97" a="1"/>
  <c r="V236" i="97" s="1"/>
  <c r="BA182" i="27"/>
  <c r="BC182" i="27" s="1"/>
  <c r="AG54" i="27"/>
  <c r="AF54" i="27" a="1"/>
  <c r="AF54" i="27" s="1"/>
  <c r="AS54" i="27" a="1"/>
  <c r="AS54" i="27" s="1"/>
  <c r="AT54" i="27" a="1"/>
  <c r="AT54" i="27" s="1"/>
  <c r="AK54" i="27" a="1"/>
  <c r="AK54" i="27" s="1"/>
  <c r="AG187" i="27"/>
  <c r="AF187" i="27" a="1"/>
  <c r="AF187" i="27" s="1"/>
  <c r="AS187" i="27" a="1"/>
  <c r="AS187" i="27" s="1"/>
  <c r="AT187" i="27" a="1"/>
  <c r="AT187" i="27" s="1"/>
  <c r="AK187" i="27" a="1"/>
  <c r="AK187" i="27" s="1"/>
  <c r="AG190" i="27"/>
  <c r="AT190" i="27" a="1"/>
  <c r="AT190" i="27" s="1"/>
  <c r="AF190" i="27" a="1"/>
  <c r="AF190" i="27" s="1"/>
  <c r="AS190" i="27" a="1"/>
  <c r="AS190" i="27" s="1"/>
  <c r="AK190" i="27" a="1"/>
  <c r="AK190" i="27" s="1"/>
  <c r="BA65" i="27"/>
  <c r="BC65" i="27" s="1"/>
  <c r="V98" i="97" a="1"/>
  <c r="V98" i="97" s="1"/>
  <c r="AI69" i="27"/>
  <c r="AJ69" i="27" s="1" a="1"/>
  <c r="AJ69" i="27" s="1"/>
  <c r="AI161" i="27"/>
  <c r="AJ161" i="27" s="1" a="1"/>
  <c r="AJ161" i="27" s="1"/>
  <c r="AN188" i="27" l="1"/>
  <c r="AM188" i="27"/>
  <c r="AN20" i="27"/>
  <c r="AO20" i="27" s="1"/>
  <c r="AP20" i="27" s="1" a="1"/>
  <c r="AP20" i="27" s="1"/>
  <c r="AL20" i="27" a="1"/>
  <c r="AL20" i="27" s="1"/>
  <c r="AM42" i="27"/>
  <c r="AN42" i="27"/>
  <c r="AO42" i="27" s="1"/>
  <c r="AP42" i="27" s="1" a="1"/>
  <c r="AP42" i="27" s="1"/>
  <c r="BC29" i="27"/>
  <c r="BD29" i="27"/>
  <c r="BC136" i="27"/>
  <c r="BD136" i="27"/>
  <c r="BC49" i="27"/>
  <c r="BD49" i="27"/>
  <c r="BC205" i="27"/>
  <c r="BD205" i="27"/>
  <c r="BC155" i="27"/>
  <c r="BD155" i="27"/>
  <c r="AN66" i="27"/>
  <c r="AO66" i="27" s="1"/>
  <c r="AP66" i="27" s="1" a="1"/>
  <c r="AP66" i="27" s="1"/>
  <c r="AM66" i="27"/>
  <c r="BD126" i="27"/>
  <c r="AN126" i="27"/>
  <c r="AO126" i="27" s="1"/>
  <c r="AP126" i="27" s="1" a="1"/>
  <c r="AP126" i="27" s="1"/>
  <c r="AL126" i="27" a="1"/>
  <c r="AL126" i="27" s="1"/>
  <c r="AL139" i="27" a="1"/>
  <c r="AL139" i="27" s="1"/>
  <c r="AN59" i="27"/>
  <c r="AO59" i="27" s="1"/>
  <c r="AP59" i="27" s="1" a="1"/>
  <c r="AP59" i="27" s="1"/>
  <c r="BD42" i="27"/>
  <c r="AD1" i="27"/>
  <c r="AN73" i="27"/>
  <c r="AO73" i="27" s="1"/>
  <c r="AP73" i="27" s="1" a="1"/>
  <c r="AP73" i="27" s="1"/>
  <c r="AL73" i="27" a="1"/>
  <c r="AL73" i="27" s="1"/>
  <c r="AL59" i="27" a="1"/>
  <c r="AL59" i="27" s="1"/>
  <c r="AN139" i="27"/>
  <c r="AO139" i="27" s="1"/>
  <c r="AP139" i="27" s="1" a="1"/>
  <c r="AP139" i="27" s="1"/>
  <c r="AN46" i="27"/>
  <c r="AO46" i="27" s="1"/>
  <c r="AP46" i="27" s="1" a="1"/>
  <c r="AP46" i="27" s="1"/>
  <c r="AM46" i="27"/>
  <c r="BD20" i="27"/>
  <c r="BC20" i="27"/>
  <c r="AN56" i="27"/>
  <c r="AO56" i="27" s="1"/>
  <c r="AP56" i="27" s="1" a="1"/>
  <c r="AP56" i="27" s="1"/>
  <c r="AM56" i="27"/>
  <c r="AR1" i="27"/>
  <c r="AM29" i="27"/>
  <c r="AL29" i="27" a="1"/>
  <c r="AL29" i="27" s="1"/>
  <c r="AN29" i="27"/>
  <c r="BC231" i="27"/>
  <c r="BD231" i="27"/>
  <c r="AM68" i="27"/>
  <c r="AL68" i="27" a="1"/>
  <c r="AL68" i="27" s="1"/>
  <c r="AN68" i="27"/>
  <c r="AM26" i="27"/>
  <c r="AL26" i="27" a="1"/>
  <c r="AL26" i="27" s="1"/>
  <c r="AN26" i="27"/>
  <c r="AL52" i="27" a="1"/>
  <c r="AL52" i="27" s="1"/>
  <c r="AM52" i="27"/>
  <c r="AN52" i="27"/>
  <c r="AL287" i="27" a="1"/>
  <c r="AL287" i="27" s="1"/>
  <c r="AM287" i="27"/>
  <c r="AN287" i="27"/>
  <c r="AM236" i="27"/>
  <c r="AL236" i="27" a="1"/>
  <c r="AL236" i="27" s="1"/>
  <c r="AN236" i="27"/>
  <c r="AL169" i="27" a="1"/>
  <c r="AL169" i="27" s="1"/>
  <c r="AM169" i="27"/>
  <c r="AN169" i="27"/>
  <c r="AM221" i="27"/>
  <c r="AL221" i="27" a="1"/>
  <c r="AL221" i="27" s="1"/>
  <c r="AN221" i="27"/>
  <c r="AM27" i="27"/>
  <c r="AL27" i="27" a="1"/>
  <c r="AL27" i="27" s="1"/>
  <c r="AN27" i="27"/>
  <c r="AL298" i="27" a="1"/>
  <c r="AL298" i="27" s="1"/>
  <c r="AM298" i="27"/>
  <c r="AN298" i="27"/>
  <c r="AL225" i="27" a="1"/>
  <c r="AL225" i="27" s="1"/>
  <c r="AM225" i="27"/>
  <c r="AN225" i="27"/>
  <c r="AM270" i="27"/>
  <c r="AL270" i="27" a="1"/>
  <c r="AL270" i="27" s="1"/>
  <c r="AN270" i="27"/>
  <c r="AM130" i="27"/>
  <c r="AL130" i="27" a="1"/>
  <c r="AL130" i="27" s="1"/>
  <c r="AN130" i="27"/>
  <c r="AM40" i="27"/>
  <c r="AL40" i="27" a="1"/>
  <c r="AL40" i="27" s="1"/>
  <c r="AN40" i="27"/>
  <c r="AM182" i="27"/>
  <c r="AL182" i="27" a="1"/>
  <c r="AL182" i="27" s="1"/>
  <c r="AN182" i="27"/>
  <c r="AM86" i="27"/>
  <c r="AL86" i="27" a="1"/>
  <c r="AL86" i="27" s="1"/>
  <c r="AN86" i="27"/>
  <c r="AL150" i="27" a="1"/>
  <c r="AL150" i="27" s="1"/>
  <c r="AM150" i="27"/>
  <c r="AN150" i="27"/>
  <c r="AO22" i="27"/>
  <c r="AP22" i="27" s="1" a="1"/>
  <c r="AP22" i="27" s="1"/>
  <c r="AY22" i="27" s="1"/>
  <c r="AZ22" i="27" s="1"/>
  <c r="AO226" i="27"/>
  <c r="AP226" i="27" s="1" a="1"/>
  <c r="AP226" i="27" s="1"/>
  <c r="AY226" i="27" s="1"/>
  <c r="AZ226" i="27" s="1"/>
  <c r="N12" i="95"/>
  <c r="BD232" i="27"/>
  <c r="BC232" i="27"/>
  <c r="AL154" i="27" a="1"/>
  <c r="AL154" i="27" s="1"/>
  <c r="AM154" i="27"/>
  <c r="AN154" i="27"/>
  <c r="AM208" i="27"/>
  <c r="AL208" i="27" a="1"/>
  <c r="AL208" i="27" s="1"/>
  <c r="AN208" i="27"/>
  <c r="AL318" i="27" a="1"/>
  <c r="AL318" i="27" s="1"/>
  <c r="AM318" i="27"/>
  <c r="AN318" i="27"/>
  <c r="AM305" i="27"/>
  <c r="AL305" i="27" a="1"/>
  <c r="AL305" i="27" s="1"/>
  <c r="AN305" i="27"/>
  <c r="AM98" i="27"/>
  <c r="AL98" i="27" a="1"/>
  <c r="AL98" i="27" s="1"/>
  <c r="AN98" i="27"/>
  <c r="AM183" i="27"/>
  <c r="AL183" i="27" a="1"/>
  <c r="AL183" i="27" s="1"/>
  <c r="AN183" i="27"/>
  <c r="AM252" i="27"/>
  <c r="AL252" i="27" a="1"/>
  <c r="AL252" i="27" s="1"/>
  <c r="AN252" i="27"/>
  <c r="AM144" i="27"/>
  <c r="AL144" i="27" a="1"/>
  <c r="AL144" i="27" s="1"/>
  <c r="AN144" i="27"/>
  <c r="AL44" i="27" a="1"/>
  <c r="AL44" i="27" s="1"/>
  <c r="AM44" i="27"/>
  <c r="AN44" i="27"/>
  <c r="AM108" i="27"/>
  <c r="AL108" i="27" a="1"/>
  <c r="AL108" i="27" s="1"/>
  <c r="AN108" i="27"/>
  <c r="AM83" i="27"/>
  <c r="AL83" i="27" a="1"/>
  <c r="AL83" i="27" s="1"/>
  <c r="AN83" i="27"/>
  <c r="AL14" i="27" a="1"/>
  <c r="AL14" i="27" s="1"/>
  <c r="AM14" i="27"/>
  <c r="AN14" i="27"/>
  <c r="AL94" i="27" a="1"/>
  <c r="AL94" i="27" s="1"/>
  <c r="AM94" i="27"/>
  <c r="AN94" i="27"/>
  <c r="AL241" i="27" a="1"/>
  <c r="AL241" i="27" s="1"/>
  <c r="AM241" i="27"/>
  <c r="AN241" i="27"/>
  <c r="AL110" i="27" a="1"/>
  <c r="AL110" i="27" s="1"/>
  <c r="AM110" i="27"/>
  <c r="AN110" i="27"/>
  <c r="AM186" i="27"/>
  <c r="AL186" i="27" a="1"/>
  <c r="AL186" i="27" s="1"/>
  <c r="AN186" i="27"/>
  <c r="BC95" i="27"/>
  <c r="BD95" i="27"/>
  <c r="AM107" i="27"/>
  <c r="AL107" i="27" a="1"/>
  <c r="AL107" i="27" s="1"/>
  <c r="AN107" i="27"/>
  <c r="AL190" i="27" a="1"/>
  <c r="AL190" i="27" s="1"/>
  <c r="AM190" i="27"/>
  <c r="AN190" i="27"/>
  <c r="AM285" i="27"/>
  <c r="AL285" i="27" a="1"/>
  <c r="AL285" i="27" s="1"/>
  <c r="AN285" i="27"/>
  <c r="AL275" i="27" a="1"/>
  <c r="AL275" i="27" s="1"/>
  <c r="AM275" i="27"/>
  <c r="AN275" i="27"/>
  <c r="AO215" i="27"/>
  <c r="AP215" i="27" s="1" a="1"/>
  <c r="AP215" i="27" s="1"/>
  <c r="AL80" i="27" a="1"/>
  <c r="AL80" i="27" s="1"/>
  <c r="AM80" i="27"/>
  <c r="AN80" i="27"/>
  <c r="AM251" i="27"/>
  <c r="AL251" i="27" a="1"/>
  <c r="AL251" i="27" s="1"/>
  <c r="AN251" i="27"/>
  <c r="AM75" i="27"/>
  <c r="AL75" i="27" a="1"/>
  <c r="AL75" i="27" s="1"/>
  <c r="AN75" i="27"/>
  <c r="AL250" i="27" a="1"/>
  <c r="AL250" i="27" s="1"/>
  <c r="AM250" i="27"/>
  <c r="AN250" i="27"/>
  <c r="AL101" i="27" a="1"/>
  <c r="AL101" i="27" s="1"/>
  <c r="AM101" i="27"/>
  <c r="AN101" i="27"/>
  <c r="AM248" i="27"/>
  <c r="AL248" i="27" a="1"/>
  <c r="AL248" i="27" s="1"/>
  <c r="AN248" i="27"/>
  <c r="AM315" i="27"/>
  <c r="AL315" i="27" a="1"/>
  <c r="AL315" i="27" s="1"/>
  <c r="AN315" i="27"/>
  <c r="AM49" i="27"/>
  <c r="AL49" i="27" a="1"/>
  <c r="AL49" i="27" s="1"/>
  <c r="AN49" i="27"/>
  <c r="AL313" i="27" a="1"/>
  <c r="AL313" i="27" s="1"/>
  <c r="AM313" i="27"/>
  <c r="AN313" i="27"/>
  <c r="AO62" i="27"/>
  <c r="AP62" i="27" s="1" a="1"/>
  <c r="AP62" i="27" s="1"/>
  <c r="AL171" i="27" a="1"/>
  <c r="AL171" i="27" s="1"/>
  <c r="AM171" i="27"/>
  <c r="AN171" i="27"/>
  <c r="AL76" i="27" a="1"/>
  <c r="AL76" i="27" s="1"/>
  <c r="AM76" i="27"/>
  <c r="AN76" i="27"/>
  <c r="AL266" i="27" a="1"/>
  <c r="AL266" i="27" s="1"/>
  <c r="AM266" i="27"/>
  <c r="AN266" i="27"/>
  <c r="AM146" i="27"/>
  <c r="AL146" i="27" a="1"/>
  <c r="AL146" i="27" s="1"/>
  <c r="AN146" i="27"/>
  <c r="AM85" i="27"/>
  <c r="AL85" i="27" a="1"/>
  <c r="AL85" i="27" s="1"/>
  <c r="AN85" i="27"/>
  <c r="AM184" i="27"/>
  <c r="AL184" i="27" a="1"/>
  <c r="AL184" i="27" s="1"/>
  <c r="AN184" i="27"/>
  <c r="AL235" i="27" a="1"/>
  <c r="AL235" i="27" s="1"/>
  <c r="AM235" i="27"/>
  <c r="AN235" i="27"/>
  <c r="BD115" i="27"/>
  <c r="BC115" i="27"/>
  <c r="AL18" i="27" a="1"/>
  <c r="AL18" i="27" s="1"/>
  <c r="AM18" i="27"/>
  <c r="AN18" i="27"/>
  <c r="AL53" i="27" a="1"/>
  <c r="AL53" i="27" s="1"/>
  <c r="AM53" i="27"/>
  <c r="AN53" i="27"/>
  <c r="AO119" i="27"/>
  <c r="AP119" i="27" s="1" a="1"/>
  <c r="AP119" i="27" s="1"/>
  <c r="AY119" i="27" s="1"/>
  <c r="AZ119" i="27" s="1"/>
  <c r="AM243" i="27"/>
  <c r="AL243" i="27" a="1"/>
  <c r="AL243" i="27" s="1"/>
  <c r="AN243" i="27"/>
  <c r="AM82" i="27"/>
  <c r="AL82" i="27" a="1"/>
  <c r="AL82" i="27" s="1"/>
  <c r="AN82" i="27"/>
  <c r="AL302" i="27" a="1"/>
  <c r="AL302" i="27" s="1"/>
  <c r="AM302" i="27"/>
  <c r="AN302" i="27"/>
  <c r="AL120" i="27" a="1"/>
  <c r="AL120" i="27" s="1"/>
  <c r="AM120" i="27"/>
  <c r="AN120" i="27"/>
  <c r="AL192" i="27" a="1"/>
  <c r="AL192" i="27" s="1"/>
  <c r="AM192" i="27"/>
  <c r="AN192" i="27"/>
  <c r="AM129" i="27"/>
  <c r="AL129" i="27" a="1"/>
  <c r="AL129" i="27" s="1"/>
  <c r="AN129" i="27"/>
  <c r="AM257" i="27"/>
  <c r="AL257" i="27" a="1"/>
  <c r="AL257" i="27" s="1"/>
  <c r="AN257" i="27"/>
  <c r="AL301" i="27" a="1"/>
  <c r="AL301" i="27" s="1"/>
  <c r="AM301" i="27"/>
  <c r="AN301" i="27"/>
  <c r="AM213" i="27"/>
  <c r="AL213" i="27" a="1"/>
  <c r="AL213" i="27" s="1"/>
  <c r="AN213" i="27"/>
  <c r="AM16" i="27"/>
  <c r="AL16" i="27" a="1"/>
  <c r="AL16" i="27" s="1"/>
  <c r="AN16" i="27"/>
  <c r="AL278" i="27" a="1"/>
  <c r="AL278" i="27" s="1"/>
  <c r="AM278" i="27"/>
  <c r="AN278" i="27"/>
  <c r="AJ1" i="27"/>
  <c r="AL259" i="27" a="1"/>
  <c r="AL259" i="27" s="1"/>
  <c r="AM259" i="27"/>
  <c r="AN259" i="27"/>
  <c r="AM72" i="27"/>
  <c r="AL72" i="27" a="1"/>
  <c r="AL72" i="27" s="1"/>
  <c r="AN72" i="27"/>
  <c r="AL199" i="27" a="1"/>
  <c r="AL199" i="27" s="1"/>
  <c r="AM199" i="27"/>
  <c r="AN199" i="27"/>
  <c r="AL196" i="27" a="1"/>
  <c r="AL196" i="27" s="1"/>
  <c r="AM196" i="27"/>
  <c r="AN196" i="27"/>
  <c r="AM291" i="27"/>
  <c r="AL291" i="27" a="1"/>
  <c r="AL291" i="27" s="1"/>
  <c r="AN291" i="27"/>
  <c r="AL187" i="27" a="1"/>
  <c r="AL187" i="27" s="1"/>
  <c r="AM187" i="27"/>
  <c r="AN187" i="27"/>
  <c r="AM132" i="27"/>
  <c r="AL132" i="27" a="1"/>
  <c r="AL132" i="27" s="1"/>
  <c r="AN132" i="27"/>
  <c r="AM151" i="27"/>
  <c r="AL151" i="27" a="1"/>
  <c r="AL151" i="27" s="1"/>
  <c r="AN151" i="27"/>
  <c r="AL149" i="27" a="1"/>
  <c r="AL149" i="27" s="1"/>
  <c r="AM149" i="27"/>
  <c r="AN149" i="27"/>
  <c r="AL117" i="27" a="1"/>
  <c r="AL117" i="27" s="1"/>
  <c r="AM117" i="27"/>
  <c r="AN117" i="27"/>
  <c r="AO142" i="27"/>
  <c r="AL30" i="27" a="1"/>
  <c r="AL30" i="27" s="1"/>
  <c r="AM30" i="27"/>
  <c r="AN30" i="27"/>
  <c r="AL24" i="27" a="1"/>
  <c r="AL24" i="27" s="1"/>
  <c r="AM24" i="27"/>
  <c r="AN24" i="27"/>
  <c r="AM157" i="27"/>
  <c r="AL157" i="27" a="1"/>
  <c r="AL157" i="27" s="1"/>
  <c r="AN157" i="27"/>
  <c r="AL121" i="27" a="1"/>
  <c r="AL121" i="27" s="1"/>
  <c r="AM121" i="27"/>
  <c r="AN121" i="27"/>
  <c r="AL87" i="27" a="1"/>
  <c r="AL87" i="27" s="1"/>
  <c r="AM87" i="27"/>
  <c r="AN87" i="27"/>
  <c r="AM284" i="27"/>
  <c r="AL284" i="27" a="1"/>
  <c r="AL284" i="27" s="1"/>
  <c r="AN284" i="27"/>
  <c r="AM135" i="27"/>
  <c r="AL135" i="27" a="1"/>
  <c r="AL135" i="27" s="1"/>
  <c r="AN135" i="27"/>
  <c r="AM7" i="27"/>
  <c r="AL7" i="27" a="1"/>
  <c r="AL7" i="27" s="1"/>
  <c r="AN7" i="27"/>
  <c r="AL74" i="27" a="1"/>
  <c r="AL74" i="27" s="1"/>
  <c r="AM74" i="27"/>
  <c r="AN74" i="27"/>
  <c r="BC64" i="27"/>
  <c r="BD64" i="27"/>
  <c r="AL161" i="27" a="1"/>
  <c r="AL161" i="27" s="1"/>
  <c r="AM161" i="27"/>
  <c r="AN161" i="27"/>
  <c r="AL95" i="27" a="1"/>
  <c r="AL95" i="27" s="1"/>
  <c r="AM95" i="27"/>
  <c r="AN95" i="27"/>
  <c r="AL156" i="27" a="1"/>
  <c r="AL156" i="27" s="1"/>
  <c r="AM156" i="27"/>
  <c r="AN156" i="27"/>
  <c r="AL64" i="27" a="1"/>
  <c r="AL64" i="27" s="1"/>
  <c r="AM64" i="27"/>
  <c r="AN64" i="27"/>
  <c r="AL328" i="27" a="1"/>
  <c r="AL328" i="27" s="1"/>
  <c r="AM328" i="27"/>
  <c r="AN328" i="27"/>
  <c r="AM245" i="27"/>
  <c r="AL245" i="27" a="1"/>
  <c r="AL245" i="27" s="1"/>
  <c r="AN245" i="27"/>
  <c r="AL321" i="27" a="1"/>
  <c r="AL321" i="27" s="1"/>
  <c r="AM321" i="27"/>
  <c r="AN321" i="27"/>
  <c r="AM220" i="27"/>
  <c r="AL220" i="27" a="1"/>
  <c r="AL220" i="27" s="1"/>
  <c r="AN220" i="27"/>
  <c r="AL263" i="27" a="1"/>
  <c r="AL263" i="27" s="1"/>
  <c r="AM263" i="27"/>
  <c r="AN263" i="27"/>
  <c r="AM131" i="27"/>
  <c r="AL131" i="27" a="1"/>
  <c r="AL131" i="27" s="1"/>
  <c r="AN131" i="27"/>
  <c r="AL141" i="27" a="1"/>
  <c r="AL141" i="27" s="1"/>
  <c r="AM141" i="27"/>
  <c r="AN141" i="27"/>
  <c r="BD6" i="27"/>
  <c r="BC6" i="27"/>
  <c r="AM175" i="27"/>
  <c r="AL175" i="27" a="1"/>
  <c r="AL175" i="27" s="1"/>
  <c r="AN175" i="27"/>
  <c r="AL48" i="27" a="1"/>
  <c r="AL48" i="27" s="1"/>
  <c r="AM48" i="27"/>
  <c r="AN48" i="27"/>
  <c r="AM228" i="27"/>
  <c r="AL228" i="27" a="1"/>
  <c r="AL228" i="27" s="1"/>
  <c r="AN228" i="27"/>
  <c r="AL177" i="27" a="1"/>
  <c r="AL177" i="27" s="1"/>
  <c r="AM177" i="27"/>
  <c r="AN177" i="27"/>
  <c r="AM166" i="27"/>
  <c r="AL166" i="27" a="1"/>
  <c r="AL166" i="27" s="1"/>
  <c r="AN166" i="27"/>
  <c r="AL32" i="27" a="1"/>
  <c r="AL32" i="27" s="1"/>
  <c r="AM32" i="27"/>
  <c r="AN32" i="27"/>
  <c r="AM28" i="27"/>
  <c r="AL28" i="27" a="1"/>
  <c r="AL28" i="27" s="1"/>
  <c r="AN28" i="27"/>
  <c r="AL207" i="27" a="1"/>
  <c r="AL207" i="27" s="1"/>
  <c r="AM207" i="27"/>
  <c r="AN207" i="27"/>
  <c r="AL242" i="27" a="1"/>
  <c r="AL242" i="27" s="1"/>
  <c r="AM242" i="27"/>
  <c r="AN242" i="27"/>
  <c r="AM332" i="27"/>
  <c r="AL332" i="27" a="1"/>
  <c r="AL332" i="27" s="1"/>
  <c r="AN332" i="27"/>
  <c r="AL178" i="27" a="1"/>
  <c r="AL178" i="27" s="1"/>
  <c r="AM178" i="27"/>
  <c r="AN178" i="27"/>
  <c r="AM31" i="27"/>
  <c r="AL31" i="27" a="1"/>
  <c r="AL31" i="27" s="1"/>
  <c r="AN31" i="27"/>
  <c r="AL41" i="27" a="1"/>
  <c r="AL41" i="27" s="1"/>
  <c r="AM41" i="27"/>
  <c r="AN41" i="27"/>
  <c r="AL11" i="27" a="1"/>
  <c r="AL11" i="27" s="1"/>
  <c r="AM11" i="27"/>
  <c r="AN11" i="27"/>
  <c r="AM231" i="27"/>
  <c r="AL231" i="27" a="1"/>
  <c r="AL231" i="27" s="1"/>
  <c r="AN231" i="27"/>
  <c r="AL9" i="27" a="1"/>
  <c r="AL9" i="27" s="1"/>
  <c r="AM9" i="27"/>
  <c r="AN9" i="27"/>
  <c r="AM193" i="27"/>
  <c r="AL193" i="27" a="1"/>
  <c r="AL193" i="27" s="1"/>
  <c r="AN193" i="27"/>
  <c r="AM153" i="27"/>
  <c r="AL153" i="27" a="1"/>
  <c r="AL153" i="27" s="1"/>
  <c r="AN153" i="27"/>
  <c r="AL88" i="27" a="1"/>
  <c r="AL88" i="27" s="1"/>
  <c r="AM88" i="27"/>
  <c r="AN88" i="27"/>
  <c r="AL50" i="27" a="1"/>
  <c r="AL50" i="27" s="1"/>
  <c r="AM50" i="27"/>
  <c r="AN50" i="27"/>
  <c r="AL174" i="27" a="1"/>
  <c r="AL174" i="27" s="1"/>
  <c r="AM174" i="27"/>
  <c r="AN174" i="27"/>
  <c r="AM47" i="27"/>
  <c r="AL47" i="27" a="1"/>
  <c r="AL47" i="27" s="1"/>
  <c r="AN47" i="27"/>
  <c r="AL143" i="27" a="1"/>
  <c r="AL143" i="27" s="1"/>
  <c r="AM143" i="27"/>
  <c r="AN143" i="27"/>
  <c r="AL309" i="27" a="1"/>
  <c r="AL309" i="27" s="1"/>
  <c r="AM309" i="27"/>
  <c r="AN309" i="27"/>
  <c r="AM211" i="27"/>
  <c r="AL211" i="27" a="1"/>
  <c r="AL211" i="27" s="1"/>
  <c r="AN211" i="27"/>
  <c r="AL145" i="27" a="1"/>
  <c r="AL145" i="27" s="1"/>
  <c r="AM145" i="27"/>
  <c r="AN145" i="27"/>
  <c r="AL227" i="27" a="1"/>
  <c r="AL227" i="27" s="1"/>
  <c r="AM227" i="27"/>
  <c r="AN227" i="27"/>
  <c r="AL198" i="27" a="1"/>
  <c r="AL198" i="27" s="1"/>
  <c r="AM198" i="27"/>
  <c r="AN198" i="27"/>
  <c r="AO188" i="27"/>
  <c r="AM173" i="27"/>
  <c r="AL173" i="27" a="1"/>
  <c r="AL173" i="27" s="1"/>
  <c r="AN173" i="27"/>
  <c r="AL113" i="27" a="1"/>
  <c r="AL113" i="27" s="1"/>
  <c r="AM113" i="27"/>
  <c r="AN113" i="27"/>
  <c r="AM224" i="27"/>
  <c r="AL224" i="27" a="1"/>
  <c r="AL224" i="27" s="1"/>
  <c r="AN224" i="27"/>
  <c r="AL281" i="27" a="1"/>
  <c r="AL281" i="27" s="1"/>
  <c r="AM281" i="27"/>
  <c r="AN281" i="27"/>
  <c r="AL335" i="27" a="1"/>
  <c r="AL335" i="27" s="1"/>
  <c r="AM335" i="27"/>
  <c r="AN335" i="27"/>
  <c r="AL97" i="27" a="1"/>
  <c r="AL97" i="27" s="1"/>
  <c r="AM97" i="27"/>
  <c r="AN97" i="27"/>
  <c r="AL273" i="27" a="1"/>
  <c r="AL273" i="27" s="1"/>
  <c r="AM273" i="27"/>
  <c r="AN273" i="27"/>
  <c r="AM138" i="27"/>
  <c r="AL138" i="27" a="1"/>
  <c r="AL138" i="27" s="1"/>
  <c r="AN138" i="27"/>
  <c r="AM69" i="27"/>
  <c r="AL69" i="27" a="1"/>
  <c r="AL69" i="27" s="1"/>
  <c r="AN69" i="27"/>
  <c r="AL202" i="27" a="1"/>
  <c r="AL202" i="27" s="1"/>
  <c r="AM202" i="27"/>
  <c r="AN202" i="27"/>
  <c r="AM90" i="27"/>
  <c r="AL90" i="27" a="1"/>
  <c r="AL90" i="27" s="1"/>
  <c r="AN90" i="27"/>
  <c r="AL209" i="27" a="1"/>
  <c r="AL209" i="27" s="1"/>
  <c r="AM209" i="27"/>
  <c r="AN209" i="27"/>
  <c r="AL288" i="27" a="1"/>
  <c r="AL288" i="27" s="1"/>
  <c r="AM288" i="27"/>
  <c r="AN288" i="27"/>
  <c r="AL265" i="27" a="1"/>
  <c r="AL265" i="27" s="1"/>
  <c r="AM265" i="27"/>
  <c r="AN265" i="27"/>
  <c r="AM286" i="27"/>
  <c r="AL286" i="27" a="1"/>
  <c r="AL286" i="27" s="1"/>
  <c r="AN286" i="27"/>
  <c r="AO67" i="27"/>
  <c r="AP67" i="27" s="1" a="1"/>
  <c r="AP67" i="27" s="1"/>
  <c r="AY67" i="27" s="1"/>
  <c r="AZ67" i="27" s="1"/>
  <c r="AM268" i="27"/>
  <c r="AL268" i="27" a="1"/>
  <c r="AL268" i="27" s="1"/>
  <c r="AN268" i="27"/>
  <c r="AO58" i="27"/>
  <c r="AP58" i="27" s="1" a="1"/>
  <c r="AP58" i="27" s="1"/>
  <c r="AY58" i="27" s="1"/>
  <c r="AZ58" i="27" s="1"/>
  <c r="AM238" i="27"/>
  <c r="AL238" i="27" a="1"/>
  <c r="AL238" i="27" s="1"/>
  <c r="AN238" i="27"/>
  <c r="AM54" i="27"/>
  <c r="AL54" i="27" a="1"/>
  <c r="AL54" i="27" s="1"/>
  <c r="AN54" i="27"/>
  <c r="AL104" i="27" a="1"/>
  <c r="AL104" i="27" s="1"/>
  <c r="AM104" i="27"/>
  <c r="AN104" i="27"/>
  <c r="AL147" i="27" a="1"/>
  <c r="AL147" i="27" s="1"/>
  <c r="AM147" i="27"/>
  <c r="AN147" i="27"/>
  <c r="AL112" i="27" a="1"/>
  <c r="AL112" i="27" s="1"/>
  <c r="AM112" i="27"/>
  <c r="AN112" i="27"/>
  <c r="AL105" i="27" a="1"/>
  <c r="AL105" i="27" s="1"/>
  <c r="AM105" i="27"/>
  <c r="AN105" i="27"/>
  <c r="AM162" i="27"/>
  <c r="AL162" i="27" a="1"/>
  <c r="AL162" i="27" s="1"/>
  <c r="AN162" i="27"/>
  <c r="BD162" i="27"/>
  <c r="BC162" i="27"/>
  <c r="BC75" i="27"/>
  <c r="BD75" i="27"/>
  <c r="AM333" i="27"/>
  <c r="AL333" i="27" a="1"/>
  <c r="AL333" i="27" s="1"/>
  <c r="AN333" i="27"/>
  <c r="AM176" i="27"/>
  <c r="AL176" i="27" a="1"/>
  <c r="AL176" i="27" s="1"/>
  <c r="AN176" i="27"/>
  <c r="AM77" i="27"/>
  <c r="AL77" i="27" a="1"/>
  <c r="AL77" i="27" s="1"/>
  <c r="AN77" i="27"/>
  <c r="BC89" i="27"/>
  <c r="BD89" i="27"/>
  <c r="AM299" i="27"/>
  <c r="AL299" i="27" a="1"/>
  <c r="AL299" i="27" s="1"/>
  <c r="AN299" i="27"/>
  <c r="AM212" i="27"/>
  <c r="AL212" i="27" a="1"/>
  <c r="AL212" i="27" s="1"/>
  <c r="AN212" i="27"/>
  <c r="AL65" i="27" a="1"/>
  <c r="AL65" i="27" s="1"/>
  <c r="AM65" i="27"/>
  <c r="AN65" i="27"/>
  <c r="AL246" i="27" a="1"/>
  <c r="AL246" i="27" s="1"/>
  <c r="AM246" i="27"/>
  <c r="AN246" i="27"/>
  <c r="AL170" i="27" a="1"/>
  <c r="AL170" i="27" s="1"/>
  <c r="AM170" i="27"/>
  <c r="AN170" i="27"/>
  <c r="AO36" i="27"/>
  <c r="AP36" i="27" s="1" a="1"/>
  <c r="AP36" i="27" s="1"/>
  <c r="AY36" i="27" s="1"/>
  <c r="AZ36" i="27" s="1"/>
  <c r="AL57" i="27" a="1"/>
  <c r="AL57" i="27" s="1"/>
  <c r="AM57" i="27"/>
  <c r="AN57" i="27"/>
  <c r="AL51" i="27" a="1"/>
  <c r="AL51" i="27" s="1"/>
  <c r="AM51" i="27"/>
  <c r="AN51" i="27"/>
  <c r="AO206" i="27"/>
  <c r="AP206" i="27" s="1" a="1"/>
  <c r="AP206" i="27" s="1"/>
  <c r="AY206" i="27" s="1"/>
  <c r="AZ206" i="27" s="1"/>
  <c r="AL70" i="27" a="1"/>
  <c r="AL70" i="27" s="1"/>
  <c r="AM70" i="27"/>
  <c r="AN70" i="27"/>
  <c r="AM338" i="27"/>
  <c r="AL338" i="27" a="1"/>
  <c r="AL338" i="27" s="1"/>
  <c r="AN338" i="27"/>
  <c r="AM84" i="27"/>
  <c r="AL84" i="27" a="1"/>
  <c r="AL84" i="27" s="1"/>
  <c r="AN84" i="27"/>
  <c r="N11" i="95"/>
  <c r="AL277" i="27" a="1"/>
  <c r="AL277" i="27" s="1"/>
  <c r="AM277" i="27"/>
  <c r="AN277" i="27"/>
  <c r="AM34" i="27"/>
  <c r="AL34" i="27" a="1"/>
  <c r="AL34" i="27" s="1"/>
  <c r="AN34" i="27"/>
  <c r="AM294" i="27"/>
  <c r="AL294" i="27" a="1"/>
  <c r="AL294" i="27" s="1"/>
  <c r="AN294" i="27"/>
  <c r="AL128" i="27" a="1"/>
  <c r="AL128" i="27" s="1"/>
  <c r="AM128" i="27"/>
  <c r="AN128" i="27"/>
  <c r="AL283" i="27" a="1"/>
  <c r="AL283" i="27" s="1"/>
  <c r="AM283" i="27"/>
  <c r="AN283" i="27"/>
  <c r="AL124" i="27" a="1"/>
  <c r="AL124" i="27" s="1"/>
  <c r="AM124" i="27"/>
  <c r="AN124" i="27"/>
  <c r="AL19" i="27" a="1"/>
  <c r="AL19" i="27" s="1"/>
  <c r="AM19" i="27"/>
  <c r="AN19" i="27"/>
  <c r="AL197" i="27" a="1"/>
  <c r="AL197" i="27" s="1"/>
  <c r="AM197" i="27"/>
  <c r="AN197" i="27"/>
  <c r="AL223" i="27" a="1"/>
  <c r="AL223" i="27" s="1"/>
  <c r="AM223" i="27"/>
  <c r="AN223" i="27"/>
  <c r="AM134" i="27"/>
  <c r="AL134" i="27" a="1"/>
  <c r="AL134" i="27" s="1"/>
  <c r="AN134" i="27"/>
  <c r="AM232" i="27"/>
  <c r="AL232" i="27" a="1"/>
  <c r="AL232" i="27" s="1"/>
  <c r="AN232" i="27"/>
  <c r="AL314" i="27" a="1"/>
  <c r="AL314" i="27" s="1"/>
  <c r="AM314" i="27"/>
  <c r="AN314" i="27"/>
  <c r="AL109" i="27" a="1"/>
  <c r="AL109" i="27" s="1"/>
  <c r="AM109" i="27"/>
  <c r="AN109" i="27"/>
  <c r="AL210" i="27" a="1"/>
  <c r="AL210" i="27" s="1"/>
  <c r="AM210" i="27"/>
  <c r="AN210" i="27"/>
  <c r="AL163" i="27" a="1"/>
  <c r="AL163" i="27" s="1"/>
  <c r="AM163" i="27"/>
  <c r="AN163" i="27"/>
  <c r="AL293" i="27" a="1"/>
  <c r="AL293" i="27" s="1"/>
  <c r="AM293" i="27"/>
  <c r="AN293" i="27"/>
  <c r="AO35" i="27"/>
  <c r="AP35" i="27" s="1" a="1"/>
  <c r="AP35" i="27" s="1"/>
  <c r="AY35" i="27" s="1"/>
  <c r="AZ35" i="27" s="1"/>
  <c r="AL140" i="27" a="1"/>
  <c r="AL140" i="27" s="1"/>
  <c r="AM140" i="27"/>
  <c r="AN140" i="27"/>
  <c r="AL12" i="27" a="1"/>
  <c r="AL12" i="27" s="1"/>
  <c r="AM12" i="27"/>
  <c r="AN12" i="27"/>
  <c r="AO15" i="27"/>
  <c r="AL89" i="27" a="1"/>
  <c r="AL89" i="27" s="1"/>
  <c r="AM89" i="27"/>
  <c r="AN89" i="27"/>
  <c r="AO222" i="27"/>
  <c r="AP222" i="27" s="1" a="1"/>
  <c r="AP222" i="27" s="1"/>
  <c r="AM118" i="27"/>
  <c r="AL118" i="27" a="1"/>
  <c r="AL118" i="27" s="1"/>
  <c r="AN118" i="27"/>
  <c r="AM78" i="27"/>
  <c r="AL78" i="27" a="1"/>
  <c r="AL78" i="27" s="1"/>
  <c r="AN78" i="27"/>
  <c r="AM237" i="27"/>
  <c r="AL237" i="27" a="1"/>
  <c r="AL237" i="27" s="1"/>
  <c r="AN237" i="27"/>
  <c r="AL325" i="27" a="1"/>
  <c r="AL325" i="27" s="1"/>
  <c r="AM325" i="27"/>
  <c r="AN325" i="27"/>
  <c r="AL304" i="27" a="1"/>
  <c r="AL304" i="27" s="1"/>
  <c r="AM304" i="27"/>
  <c r="AN304" i="27"/>
  <c r="AM100" i="27"/>
  <c r="AL100" i="27" a="1"/>
  <c r="AL100" i="27" s="1"/>
  <c r="AN100" i="27"/>
  <c r="AM322" i="27"/>
  <c r="AL322" i="27" a="1"/>
  <c r="AL322" i="27" s="1"/>
  <c r="AN322" i="27"/>
  <c r="AO148" i="27"/>
  <c r="AP148" i="27" s="1" a="1"/>
  <c r="AP148" i="27" s="1"/>
  <c r="AY148" i="27" s="1"/>
  <c r="AZ148" i="27" s="1"/>
  <c r="AL189" i="27" a="1"/>
  <c r="AL189" i="27" s="1"/>
  <c r="AM189" i="27"/>
  <c r="AN189" i="27"/>
  <c r="AM330" i="27"/>
  <c r="AL330" i="27" a="1"/>
  <c r="AL330" i="27" s="1"/>
  <c r="AN330" i="27"/>
  <c r="AL158" i="27" a="1"/>
  <c r="AL158" i="27" s="1"/>
  <c r="AM158" i="27"/>
  <c r="AN158" i="27"/>
  <c r="AM10" i="27"/>
  <c r="AL10" i="27" a="1"/>
  <c r="AL10" i="27" s="1"/>
  <c r="AN10" i="27"/>
  <c r="BC57" i="27"/>
  <c r="BD57" i="27"/>
  <c r="AL39" i="27" a="1"/>
  <c r="AL39" i="27" s="1"/>
  <c r="AM39" i="27"/>
  <c r="AN39" i="27"/>
  <c r="AL274" i="27" a="1"/>
  <c r="AL274" i="27" s="1"/>
  <c r="AM274" i="27"/>
  <c r="AN274" i="27"/>
  <c r="AL297" i="27" a="1"/>
  <c r="AL297" i="27" s="1"/>
  <c r="AM297" i="27"/>
  <c r="AN297" i="27"/>
  <c r="AL8" i="27" a="1"/>
  <c r="AL8" i="27" s="1"/>
  <c r="AM8" i="27"/>
  <c r="AN8" i="27"/>
  <c r="AL310" i="27" a="1"/>
  <c r="AL310" i="27" s="1"/>
  <c r="AM310" i="27"/>
  <c r="AN310" i="27"/>
  <c r="AL205" i="27" a="1"/>
  <c r="AL205" i="27" s="1"/>
  <c r="AM205" i="27"/>
  <c r="AN205" i="27"/>
  <c r="AL160" i="27" a="1"/>
  <c r="AL160" i="27" s="1"/>
  <c r="AM160" i="27"/>
  <c r="AN160" i="27"/>
  <c r="AM234" i="27"/>
  <c r="AL234" i="27" a="1"/>
  <c r="AL234" i="27" s="1"/>
  <c r="AN234" i="27"/>
  <c r="AM271" i="27"/>
  <c r="AL271" i="27" a="1"/>
  <c r="AL271" i="27" s="1"/>
  <c r="AN271" i="27"/>
  <c r="AM254" i="27"/>
  <c r="AL254" i="27" a="1"/>
  <c r="AL254" i="27" s="1"/>
  <c r="AN254" i="27"/>
  <c r="AL320" i="27" a="1"/>
  <c r="AL320" i="27" s="1"/>
  <c r="AM320" i="27"/>
  <c r="AN320" i="27"/>
  <c r="AM4" i="27"/>
  <c r="AL4" i="27" a="1"/>
  <c r="AL4" i="27" s="1"/>
  <c r="AN4" i="27"/>
  <c r="AO13" i="27"/>
  <c r="AP13" i="27" s="1" a="1"/>
  <c r="AP13" i="27" s="1"/>
  <c r="AY13" i="27" s="1"/>
  <c r="AZ13" i="27" s="1"/>
  <c r="AL201" i="27" a="1"/>
  <c r="AL201" i="27" s="1"/>
  <c r="AM201" i="27"/>
  <c r="AN201" i="27"/>
  <c r="AM191" i="27"/>
  <c r="AL191" i="27" a="1"/>
  <c r="AL191" i="27" s="1"/>
  <c r="AN191" i="27"/>
  <c r="AO185" i="27"/>
  <c r="AP185" i="27" s="1" a="1"/>
  <c r="AP185" i="27" s="1"/>
  <c r="AY185" i="27" s="1"/>
  <c r="AZ185" i="27" s="1"/>
  <c r="AM290" i="27"/>
  <c r="AL290" i="27" a="1"/>
  <c r="AL290" i="27" s="1"/>
  <c r="AN290" i="27"/>
  <c r="AM262" i="27"/>
  <c r="AL262" i="27" a="1"/>
  <c r="AL262" i="27" s="1"/>
  <c r="AN262" i="27"/>
  <c r="AL203" i="27" a="1"/>
  <c r="AL203" i="27" s="1"/>
  <c r="AM203" i="27"/>
  <c r="AN203" i="27"/>
  <c r="AM229" i="27"/>
  <c r="AL229" i="27" a="1"/>
  <c r="AL229" i="27" s="1"/>
  <c r="AN229" i="27"/>
  <c r="AO195" i="27"/>
  <c r="AP195" i="27" s="1" a="1"/>
  <c r="AP195" i="27" s="1"/>
  <c r="AY195" i="27" s="1"/>
  <c r="AZ195" i="27" s="1"/>
  <c r="AL127" i="27" a="1"/>
  <c r="AL127" i="27" s="1"/>
  <c r="AM127" i="27"/>
  <c r="AN127" i="27"/>
  <c r="AL111" i="27" a="1"/>
  <c r="AL111" i="27" s="1"/>
  <c r="AM111" i="27"/>
  <c r="AN111" i="27"/>
  <c r="AL264" i="27" a="1"/>
  <c r="AL264" i="27" s="1"/>
  <c r="AM264" i="27"/>
  <c r="AN264" i="27"/>
  <c r="AO217" i="27"/>
  <c r="AP217" i="27" s="1" a="1"/>
  <c r="AP217" i="27" s="1"/>
  <c r="AY217" i="27" s="1"/>
  <c r="AZ217" i="27" s="1"/>
  <c r="AL282" i="27" a="1"/>
  <c r="AL282" i="27" s="1"/>
  <c r="AM282" i="27"/>
  <c r="AN282" i="27"/>
  <c r="AM43" i="27"/>
  <c r="AL43" i="27" a="1"/>
  <c r="AL43" i="27" s="1"/>
  <c r="AN43" i="27"/>
  <c r="AM249" i="27"/>
  <c r="AL249" i="27" a="1"/>
  <c r="AL249" i="27" s="1"/>
  <c r="AN249" i="27"/>
  <c r="AM152" i="27"/>
  <c r="AL152" i="27" a="1"/>
  <c r="AL152" i="27" s="1"/>
  <c r="AN152" i="27"/>
  <c r="AO125" i="27"/>
  <c r="AP125" i="27" s="1" a="1"/>
  <c r="AP125" i="27" s="1"/>
  <c r="AY125" i="27" s="1"/>
  <c r="AZ125" i="27" s="1"/>
  <c r="AM316" i="27"/>
  <c r="AL316" i="27" a="1"/>
  <c r="AL316" i="27" s="1"/>
  <c r="AN316" i="27"/>
  <c r="AO55" i="27"/>
  <c r="AP55" i="27" s="1" a="1"/>
  <c r="AP55" i="27" s="1"/>
  <c r="AY55" i="27" s="1"/>
  <c r="AZ55" i="27" s="1"/>
  <c r="AM164" i="27"/>
  <c r="AL164" i="27" a="1"/>
  <c r="AL164" i="27" s="1"/>
  <c r="AN164" i="27"/>
  <c r="AL258" i="27" a="1"/>
  <c r="AL258" i="27" s="1"/>
  <c r="AM258" i="27"/>
  <c r="AN258" i="27"/>
  <c r="AM33" i="27"/>
  <c r="AL33" i="27" a="1"/>
  <c r="AL33" i="27" s="1"/>
  <c r="AN33" i="27"/>
  <c r="AM21" i="27"/>
  <c r="AL21" i="27" a="1"/>
  <c r="AL21" i="27" s="1"/>
  <c r="AN21" i="27"/>
  <c r="BC146" i="27"/>
  <c r="BD146" i="27"/>
  <c r="AL93" i="27" a="1"/>
  <c r="AL93" i="27" s="1"/>
  <c r="AM93" i="27"/>
  <c r="AN93" i="27"/>
  <c r="AL123" i="27" a="1"/>
  <c r="AL123" i="27" s="1"/>
  <c r="AM123" i="27"/>
  <c r="AN123" i="27"/>
  <c r="AL337" i="27" a="1"/>
  <c r="AL337" i="27" s="1"/>
  <c r="AM337" i="27"/>
  <c r="AN337" i="27"/>
  <c r="BD70" i="27"/>
  <c r="BC70" i="27"/>
  <c r="AM60" i="27"/>
  <c r="AL60" i="27" a="1"/>
  <c r="AL60" i="27" s="1"/>
  <c r="AN60" i="27"/>
  <c r="AM103" i="27"/>
  <c r="AL103" i="27" a="1"/>
  <c r="AL103" i="27" s="1"/>
  <c r="AN103" i="27"/>
  <c r="AL5" i="27" a="1"/>
  <c r="AL5" i="27" s="1"/>
  <c r="AM5" i="27"/>
  <c r="AN5" i="27"/>
  <c r="AT1" i="27"/>
  <c r="AM168" i="27"/>
  <c r="AL168" i="27" a="1"/>
  <c r="AL168" i="27" s="1"/>
  <c r="AN168" i="27"/>
  <c r="AM99" i="27"/>
  <c r="AL99" i="27" a="1"/>
  <c r="AL99" i="27" s="1"/>
  <c r="AN99" i="27"/>
  <c r="AM159" i="27"/>
  <c r="AL159" i="27" a="1"/>
  <c r="AL159" i="27" s="1"/>
  <c r="AN159" i="27"/>
  <c r="BD81" i="27"/>
  <c r="BC81" i="27"/>
  <c r="AM180" i="27"/>
  <c r="AL180" i="27" a="1"/>
  <c r="AL180" i="27" s="1"/>
  <c r="AN180" i="27"/>
  <c r="AM172" i="27"/>
  <c r="AL172" i="27" a="1"/>
  <c r="AL172" i="27" s="1"/>
  <c r="AN172" i="27"/>
  <c r="BD121" i="27"/>
  <c r="BC121" i="27"/>
  <c r="AM216" i="27"/>
  <c r="AL216" i="27" a="1"/>
  <c r="AL216" i="27" s="1"/>
  <c r="AN216" i="27"/>
  <c r="AM133" i="27"/>
  <c r="AL133" i="27" a="1"/>
  <c r="AL133" i="27" s="1"/>
  <c r="AN133" i="27"/>
  <c r="AM307" i="27"/>
  <c r="AL307" i="27" a="1"/>
  <c r="AL307" i="27" s="1"/>
  <c r="AN307" i="27"/>
  <c r="AM81" i="27"/>
  <c r="AL81" i="27" a="1"/>
  <c r="AL81" i="27" s="1"/>
  <c r="AN81" i="27"/>
  <c r="AM6" i="27"/>
  <c r="AL6" i="27" a="1"/>
  <c r="AL6" i="27" s="1"/>
  <c r="AN6" i="27"/>
  <c r="AO92" i="27"/>
  <c r="AP92" i="27" s="1" a="1"/>
  <c r="AP92" i="27" s="1"/>
  <c r="AL63" i="27" a="1"/>
  <c r="AL63" i="27" s="1"/>
  <c r="AM63" i="27"/>
  <c r="AN63" i="27"/>
  <c r="AL181" i="27" a="1"/>
  <c r="AL181" i="27" s="1"/>
  <c r="AM181" i="27"/>
  <c r="AN181" i="27"/>
  <c r="AM230" i="27"/>
  <c r="AL230" i="27" a="1"/>
  <c r="AL230" i="27" s="1"/>
  <c r="AN230" i="27"/>
  <c r="AM38" i="27"/>
  <c r="AL38" i="27" a="1"/>
  <c r="AL38" i="27" s="1"/>
  <c r="AN38" i="27"/>
  <c r="AL247" i="27" a="1"/>
  <c r="AL247" i="27" s="1"/>
  <c r="AM247" i="27"/>
  <c r="AN247" i="27"/>
  <c r="AL179" i="27" a="1"/>
  <c r="AL179" i="27" s="1"/>
  <c r="AM179" i="27"/>
  <c r="AN179" i="27"/>
  <c r="AL331" i="27" a="1"/>
  <c r="AL331" i="27" s="1"/>
  <c r="AM331" i="27"/>
  <c r="AN331" i="27"/>
  <c r="AL116" i="27" a="1"/>
  <c r="AL116" i="27" s="1"/>
  <c r="AM116" i="27"/>
  <c r="AN116" i="27"/>
  <c r="AL260" i="27" a="1"/>
  <c r="AL260" i="27" s="1"/>
  <c r="AM260" i="27"/>
  <c r="AN260" i="27"/>
  <c r="AO114" i="27"/>
  <c r="AP114" i="27" s="1" a="1"/>
  <c r="AP114" i="27" s="1"/>
  <c r="AY114" i="27" s="1"/>
  <c r="AZ114" i="27" s="1"/>
  <c r="AL256" i="27" a="1"/>
  <c r="AL256" i="27" s="1"/>
  <c r="AM256" i="27"/>
  <c r="AN256" i="27"/>
  <c r="AL336" i="27" a="1"/>
  <c r="AL336" i="27" s="1"/>
  <c r="AM336" i="27"/>
  <c r="AN336" i="27"/>
  <c r="AL312" i="27" a="1"/>
  <c r="AL312" i="27" s="1"/>
  <c r="AM312" i="27"/>
  <c r="AN312" i="27"/>
  <c r="AM272" i="27"/>
  <c r="AL272" i="27" a="1"/>
  <c r="AL272" i="27" s="1"/>
  <c r="AN272" i="27"/>
  <c r="AM255" i="27"/>
  <c r="AL255" i="27" a="1"/>
  <c r="AL255" i="27" s="1"/>
  <c r="AN255" i="27"/>
  <c r="BC61" i="27"/>
  <c r="BD61" i="27"/>
  <c r="BC4" i="27"/>
  <c r="BA1" i="27"/>
  <c r="O344" i="27" s="1"/>
  <c r="N13" i="95"/>
  <c r="BC103" i="27"/>
  <c r="BD103" i="27"/>
  <c r="AL200" i="27" a="1"/>
  <c r="AL200" i="27" s="1"/>
  <c r="AM200" i="27"/>
  <c r="AN200" i="27"/>
  <c r="BD108" i="27"/>
  <c r="BC108" i="27"/>
  <c r="AL261" i="27" a="1"/>
  <c r="AL261" i="27" s="1"/>
  <c r="AM261" i="27"/>
  <c r="AN261" i="27"/>
  <c r="AL91" i="27" a="1"/>
  <c r="AL91" i="27" s="1"/>
  <c r="AM91" i="27"/>
  <c r="AN91" i="27"/>
  <c r="AM106" i="27"/>
  <c r="AL106" i="27" a="1"/>
  <c r="AL106" i="27" s="1"/>
  <c r="AN106" i="27"/>
  <c r="AM306" i="27"/>
  <c r="AL306" i="27" a="1"/>
  <c r="AL306" i="27" s="1"/>
  <c r="AN306" i="27"/>
  <c r="AM218" i="27"/>
  <c r="AL218" i="27" a="1"/>
  <c r="AL218" i="27" s="1"/>
  <c r="AN218" i="27"/>
  <c r="AM324" i="27"/>
  <c r="AL324" i="27" a="1"/>
  <c r="AL324" i="27" s="1"/>
  <c r="AN324" i="27"/>
  <c r="BC41" i="27"/>
  <c r="BD41" i="27"/>
  <c r="AL319" i="27" a="1"/>
  <c r="AL319" i="27" s="1"/>
  <c r="AM319" i="27"/>
  <c r="AN319" i="27"/>
  <c r="AL327" i="27" a="1"/>
  <c r="AL327" i="27" s="1"/>
  <c r="AM327" i="27"/>
  <c r="AN327" i="27"/>
  <c r="AL292" i="27" a="1"/>
  <c r="AL292" i="27" s="1"/>
  <c r="AM292" i="27"/>
  <c r="AN292" i="27"/>
  <c r="AM194" i="27"/>
  <c r="AL194" i="27" a="1"/>
  <c r="AL194" i="27" s="1"/>
  <c r="AN194" i="27"/>
  <c r="AO137" i="27"/>
  <c r="AP137" i="27" s="1" a="1"/>
  <c r="AP137" i="27" s="1"/>
  <c r="AY137" i="27" s="1"/>
  <c r="AZ137" i="27" s="1"/>
  <c r="AM214" i="27"/>
  <c r="AL214" i="27" a="1"/>
  <c r="AL214" i="27" s="1"/>
  <c r="AN214" i="27"/>
  <c r="AM308" i="27"/>
  <c r="AL308" i="27" a="1"/>
  <c r="AL308" i="27" s="1"/>
  <c r="AN308" i="27"/>
  <c r="AM300" i="27"/>
  <c r="AL300" i="27" a="1"/>
  <c r="AL300" i="27" s="1"/>
  <c r="AN300" i="27"/>
  <c r="AL61" i="27" a="1"/>
  <c r="AL61" i="27" s="1"/>
  <c r="AM61" i="27"/>
  <c r="AN61" i="27"/>
  <c r="AL295" i="27" a="1"/>
  <c r="AL295" i="27" s="1"/>
  <c r="AM295" i="27"/>
  <c r="AN295" i="27"/>
  <c r="AL23" i="27" a="1"/>
  <c r="AL23" i="27" s="1"/>
  <c r="AM23" i="27"/>
  <c r="AN23" i="27"/>
  <c r="BC45" i="27"/>
  <c r="BD45" i="27"/>
  <c r="AL165" i="27" a="1"/>
  <c r="AL165" i="27" s="1"/>
  <c r="AM165" i="27"/>
  <c r="AN165" i="27"/>
  <c r="AM280" i="27"/>
  <c r="AL280" i="27" a="1"/>
  <c r="AL280" i="27" s="1"/>
  <c r="AN280" i="27"/>
  <c r="AM115" i="27"/>
  <c r="AL115" i="27" a="1"/>
  <c r="AL115" i="27" s="1"/>
  <c r="AN115" i="27"/>
  <c r="AM253" i="27"/>
  <c r="AL253" i="27" a="1"/>
  <c r="AL253" i="27" s="1"/>
  <c r="AN253" i="27"/>
  <c r="AL155" i="27" a="1"/>
  <c r="AL155" i="27" s="1"/>
  <c r="AM155" i="27"/>
  <c r="AN155" i="27"/>
  <c r="AL326" i="27" a="1"/>
  <c r="AL326" i="27" s="1"/>
  <c r="AM326" i="27"/>
  <c r="AN326" i="27"/>
  <c r="AM79" i="27"/>
  <c r="AL79" i="27" a="1"/>
  <c r="AL79" i="27" s="1"/>
  <c r="AN79" i="27"/>
  <c r="AL279" i="27" a="1"/>
  <c r="AL279" i="27" s="1"/>
  <c r="AM279" i="27"/>
  <c r="AN279" i="27"/>
  <c r="AM167" i="27"/>
  <c r="AL167" i="27" a="1"/>
  <c r="AL167" i="27" s="1"/>
  <c r="AN167" i="27"/>
  <c r="AM17" i="27"/>
  <c r="AL17" i="27" a="1"/>
  <c r="AL17" i="27" s="1"/>
  <c r="AN17" i="27"/>
  <c r="AL219" i="27" a="1"/>
  <c r="AL219" i="27" s="1"/>
  <c r="AM219" i="27"/>
  <c r="AN219" i="27"/>
  <c r="AL37" i="27" a="1"/>
  <c r="AL37" i="27" s="1"/>
  <c r="AM37" i="27"/>
  <c r="AN37" i="27"/>
  <c r="AL102" i="27" a="1"/>
  <c r="AL102" i="27" s="1"/>
  <c r="AM102" i="27"/>
  <c r="AN102" i="27"/>
  <c r="AM329" i="27"/>
  <c r="AL329" i="27" a="1"/>
  <c r="AL329" i="27" s="1"/>
  <c r="AN329" i="27"/>
  <c r="AM296" i="27"/>
  <c r="AL296" i="27" a="1"/>
  <c r="AL296" i="27" s="1"/>
  <c r="AN296" i="27"/>
  <c r="AL303" i="27" a="1"/>
  <c r="AL303" i="27" s="1"/>
  <c r="AM303" i="27"/>
  <c r="AN303" i="27"/>
  <c r="AM276" i="27"/>
  <c r="AL276" i="27" a="1"/>
  <c r="AL276" i="27" s="1"/>
  <c r="AN276" i="27"/>
  <c r="AM233" i="27"/>
  <c r="AL233" i="27" a="1"/>
  <c r="AL233" i="27" s="1"/>
  <c r="AN233" i="27"/>
  <c r="AL311" i="27" a="1"/>
  <c r="AL311" i="27" s="1"/>
  <c r="AM311" i="27"/>
  <c r="AN311" i="27"/>
  <c r="AM45" i="27"/>
  <c r="AL45" i="27" a="1"/>
  <c r="AL45" i="27" s="1"/>
  <c r="AN45" i="27"/>
  <c r="AC1" i="27"/>
  <c r="AL122" i="27" a="1"/>
  <c r="AL122" i="27" s="1"/>
  <c r="AM122" i="27"/>
  <c r="AN122" i="27"/>
  <c r="AL323" i="27" a="1"/>
  <c r="AL323" i="27" s="1"/>
  <c r="AM323" i="27"/>
  <c r="AN323" i="27"/>
  <c r="AL136" i="27" a="1"/>
  <c r="AL136" i="27" s="1"/>
  <c r="AM136" i="27"/>
  <c r="AN136" i="27"/>
  <c r="AL244" i="27" a="1"/>
  <c r="AL244" i="27" s="1"/>
  <c r="AM244" i="27"/>
  <c r="AN244" i="27"/>
  <c r="AL240" i="27" a="1"/>
  <c r="AL240" i="27" s="1"/>
  <c r="AM240" i="27"/>
  <c r="AN240" i="27"/>
  <c r="AL317" i="27" a="1"/>
  <c r="AL317" i="27" s="1"/>
  <c r="AM317" i="27"/>
  <c r="AN317" i="27"/>
  <c r="AM334" i="27"/>
  <c r="AL334" i="27" a="1"/>
  <c r="AL334" i="27" s="1"/>
  <c r="AN334" i="27"/>
  <c r="AM25" i="27"/>
  <c r="AL25" i="27" a="1"/>
  <c r="AL25" i="27" s="1"/>
  <c r="AN25" i="27"/>
  <c r="AM289" i="27"/>
  <c r="AL289" i="27" a="1"/>
  <c r="AL289" i="27" s="1"/>
  <c r="AN289" i="27"/>
  <c r="AL96" i="27" a="1"/>
  <c r="AL96" i="27" s="1"/>
  <c r="AM96" i="27"/>
  <c r="AN96" i="27"/>
  <c r="AL71" i="27" a="1"/>
  <c r="AL71" i="27" s="1"/>
  <c r="AM71" i="27"/>
  <c r="AN71" i="27"/>
  <c r="AL239" i="27" a="1"/>
  <c r="AL239" i="27" s="1"/>
  <c r="AM239" i="27"/>
  <c r="AN239" i="27"/>
  <c r="AM269" i="27"/>
  <c r="AL269" i="27" a="1"/>
  <c r="AL269" i="27" s="1"/>
  <c r="AN269" i="27"/>
  <c r="AL267" i="27" a="1"/>
  <c r="AL267" i="27" s="1"/>
  <c r="AM267" i="27"/>
  <c r="AN267" i="27"/>
  <c r="AM204" i="27"/>
  <c r="AL204" i="27" a="1"/>
  <c r="AL204" i="27" s="1"/>
  <c r="AN204" i="27"/>
  <c r="AY42" i="27" l="1"/>
  <c r="AZ42" i="27" s="1"/>
  <c r="AY20" i="27"/>
  <c r="AZ20" i="27" s="1"/>
  <c r="AY66" i="27"/>
  <c r="AZ66" i="27" s="1"/>
  <c r="AY73" i="27"/>
  <c r="AZ73" i="27" s="1"/>
  <c r="AY59" i="27"/>
  <c r="AZ59" i="27" s="1"/>
  <c r="AY46" i="27"/>
  <c r="AZ46" i="27" s="1"/>
  <c r="AY139" i="27"/>
  <c r="AZ139" i="27" s="1"/>
  <c r="AY92" i="27"/>
  <c r="AZ92" i="27" s="1"/>
  <c r="AY222" i="27"/>
  <c r="AZ222" i="27" s="1"/>
  <c r="N16" i="95"/>
  <c r="AO275" i="27"/>
  <c r="AP275" i="27" s="1" a="1"/>
  <c r="AP275" i="27" s="1"/>
  <c r="AO37" i="27"/>
  <c r="AO155" i="27"/>
  <c r="AP155" i="27" s="1" a="1"/>
  <c r="AP155" i="27" s="1"/>
  <c r="AY155" i="27" s="1"/>
  <c r="AZ155" i="27" s="1"/>
  <c r="AO307" i="27"/>
  <c r="AP307" i="27" s="1" a="1"/>
  <c r="AP307" i="27" s="1"/>
  <c r="AY307" i="27" s="1"/>
  <c r="AZ307" i="27" s="1"/>
  <c r="AO205" i="27"/>
  <c r="AO10" i="27"/>
  <c r="AP10" i="27" s="1" a="1"/>
  <c r="AP10" i="27" s="1"/>
  <c r="AY10" i="27" s="1"/>
  <c r="AZ10" i="27" s="1"/>
  <c r="AO89" i="27"/>
  <c r="AP89" i="27" s="1" a="1"/>
  <c r="AP89" i="27" s="1"/>
  <c r="AY89" i="27" s="1"/>
  <c r="AZ89" i="27" s="1"/>
  <c r="AO224" i="27"/>
  <c r="AP224" i="27" s="1" a="1"/>
  <c r="AP224" i="27" s="1"/>
  <c r="AY224" i="27" s="1"/>
  <c r="AZ224" i="27" s="1"/>
  <c r="AO141" i="27"/>
  <c r="AP141" i="27" s="1" a="1"/>
  <c r="AP141" i="27" s="1"/>
  <c r="AY141" i="27" s="1"/>
  <c r="AZ141" i="27" s="1"/>
  <c r="AP142" i="27" a="1"/>
  <c r="AP142" i="27" s="1"/>
  <c r="AY142" i="27" s="1"/>
  <c r="AZ142" i="27" s="1"/>
  <c r="AO315" i="27"/>
  <c r="AP315" i="27" s="1" a="1"/>
  <c r="AP315" i="27" s="1"/>
  <c r="AY315" i="27" s="1"/>
  <c r="AZ315" i="27" s="1"/>
  <c r="AO176" i="27"/>
  <c r="AP176" i="27" s="1" a="1"/>
  <c r="AP176" i="27" s="1"/>
  <c r="AY176" i="27" s="1"/>
  <c r="AZ176" i="27" s="1"/>
  <c r="AO69" i="27"/>
  <c r="AP69" i="27" s="1" a="1"/>
  <c r="AP69" i="27" s="1"/>
  <c r="AY69" i="27" s="1"/>
  <c r="AZ69" i="27" s="1"/>
  <c r="AO153" i="27"/>
  <c r="AP153" i="27" s="1" a="1"/>
  <c r="AP153" i="27" s="1"/>
  <c r="AY153" i="27" s="1"/>
  <c r="AZ153" i="27" s="1"/>
  <c r="AO166" i="27"/>
  <c r="AP166" i="27" s="1" a="1"/>
  <c r="AP166" i="27" s="1"/>
  <c r="AY166" i="27" s="1"/>
  <c r="AZ166" i="27" s="1"/>
  <c r="AO135" i="27"/>
  <c r="AP135" i="27" s="1" a="1"/>
  <c r="AP135" i="27" s="1"/>
  <c r="AY135" i="27" s="1"/>
  <c r="AZ135" i="27" s="1"/>
  <c r="AO117" i="27"/>
  <c r="AP117" i="27" s="1" a="1"/>
  <c r="AP117" i="27" s="1"/>
  <c r="AY117" i="27" s="1"/>
  <c r="AZ117" i="27" s="1"/>
  <c r="AO243" i="27"/>
  <c r="AP243" i="27" s="1" a="1"/>
  <c r="AP243" i="27" s="1"/>
  <c r="AY243" i="27" s="1"/>
  <c r="AZ243" i="27" s="1"/>
  <c r="AO252" i="27"/>
  <c r="AP252" i="27" s="1" a="1"/>
  <c r="AP252" i="27" s="1"/>
  <c r="AY252" i="27" s="1"/>
  <c r="AZ252" i="27" s="1"/>
  <c r="BD1" i="27"/>
  <c r="AO169" i="27"/>
  <c r="AP169" i="27" s="1" a="1"/>
  <c r="AP169" i="27" s="1"/>
  <c r="AY169" i="27" s="1"/>
  <c r="AZ169" i="27" s="1"/>
  <c r="AO99" i="27"/>
  <c r="AP99" i="27" s="1" a="1"/>
  <c r="AP99" i="27" s="1"/>
  <c r="AY99" i="27" s="1"/>
  <c r="AZ99" i="27" s="1"/>
  <c r="AO309" i="27"/>
  <c r="AP309" i="27" s="1" a="1"/>
  <c r="AP309" i="27" s="1"/>
  <c r="AO156" i="27"/>
  <c r="AP156" i="27" s="1" a="1"/>
  <c r="AP156" i="27" s="1"/>
  <c r="AO72" i="27"/>
  <c r="AP72" i="27" s="1" a="1"/>
  <c r="AP72" i="27" s="1"/>
  <c r="AY72" i="27" s="1"/>
  <c r="AZ72" i="27" s="1"/>
  <c r="AO257" i="27"/>
  <c r="AP257" i="27" s="1" a="1"/>
  <c r="AP257" i="27" s="1"/>
  <c r="AY257" i="27" s="1"/>
  <c r="AZ257" i="27" s="1"/>
  <c r="AO146" i="27"/>
  <c r="AP146" i="27" s="1" a="1"/>
  <c r="AP146" i="27" s="1"/>
  <c r="AY146" i="27" s="1"/>
  <c r="AZ146" i="27" s="1"/>
  <c r="AO241" i="27"/>
  <c r="AO29" i="27"/>
  <c r="AP29" i="27" s="1" a="1"/>
  <c r="AP29" i="27" s="1"/>
  <c r="AY29" i="27" s="1"/>
  <c r="AZ29" i="27" s="1"/>
  <c r="AO61" i="27"/>
  <c r="AP61" i="27" s="1" a="1"/>
  <c r="AP61" i="27" s="1"/>
  <c r="AY61" i="27" s="1"/>
  <c r="AZ61" i="27" s="1"/>
  <c r="AO104" i="27"/>
  <c r="AP104" i="27" s="1" a="1"/>
  <c r="AP104" i="27" s="1"/>
  <c r="AY104" i="27" s="1"/>
  <c r="AZ104" i="27" s="1"/>
  <c r="AO31" i="27"/>
  <c r="AP31" i="27" s="1" a="1"/>
  <c r="AP31" i="27" s="1"/>
  <c r="AY31" i="27" s="1"/>
  <c r="AZ31" i="27" s="1"/>
  <c r="AO310" i="27"/>
  <c r="AP310" i="27" s="1" a="1"/>
  <c r="AP310" i="27" s="1"/>
  <c r="AY310" i="27" s="1"/>
  <c r="AZ310" i="27" s="1"/>
  <c r="AO158" i="27"/>
  <c r="AP158" i="27" s="1" a="1"/>
  <c r="AP158" i="27" s="1"/>
  <c r="AP15" i="27" a="1"/>
  <c r="AP15" i="27" s="1"/>
  <c r="AY15" i="27" s="1"/>
  <c r="AZ15" i="27" s="1"/>
  <c r="AO314" i="27"/>
  <c r="AP314" i="27" s="1" a="1"/>
  <c r="AP314" i="27" s="1"/>
  <c r="AO286" i="27"/>
  <c r="AP286" i="27" s="1" a="1"/>
  <c r="AP286" i="27" s="1"/>
  <c r="AY286" i="27" s="1"/>
  <c r="AZ286" i="27" s="1"/>
  <c r="AO113" i="27"/>
  <c r="AP113" i="27" s="1" a="1"/>
  <c r="AP113" i="27" s="1"/>
  <c r="AY113" i="27" s="1"/>
  <c r="AZ113" i="27" s="1"/>
  <c r="AO131" i="27"/>
  <c r="AP131" i="27" s="1" a="1"/>
  <c r="AP131" i="27" s="1"/>
  <c r="AY131" i="27" s="1"/>
  <c r="AZ131" i="27" s="1"/>
  <c r="AO248" i="27"/>
  <c r="AP248" i="27" s="1" a="1"/>
  <c r="AP248" i="27" s="1"/>
  <c r="AO285" i="27"/>
  <c r="AP285" i="27" s="1" a="1"/>
  <c r="AP285" i="27" s="1"/>
  <c r="AY285" i="27" s="1"/>
  <c r="AZ285" i="27" s="1"/>
  <c r="AO270" i="27"/>
  <c r="AP270" i="27" s="1" a="1"/>
  <c r="AP270" i="27" s="1"/>
  <c r="AO4" i="27"/>
  <c r="AO219" i="27"/>
  <c r="AP219" i="27" s="1" a="1"/>
  <c r="AP219" i="27" s="1"/>
  <c r="AY219" i="27" s="1"/>
  <c r="AZ219" i="27" s="1"/>
  <c r="AO96" i="27"/>
  <c r="AP96" i="27" s="1" a="1"/>
  <c r="AP96" i="27" s="1"/>
  <c r="AO244" i="27"/>
  <c r="AO253" i="27"/>
  <c r="AP253" i="27" s="1" a="1"/>
  <c r="AP253" i="27" s="1"/>
  <c r="AY253" i="27" s="1"/>
  <c r="AZ253" i="27" s="1"/>
  <c r="AO133" i="27"/>
  <c r="AP133" i="27" s="1" a="1"/>
  <c r="AP133" i="27" s="1"/>
  <c r="AY133" i="27" s="1"/>
  <c r="AZ133" i="27" s="1"/>
  <c r="AO168" i="27"/>
  <c r="AP168" i="27" s="1" a="1"/>
  <c r="AP168" i="27" s="1"/>
  <c r="AY168" i="27" s="1"/>
  <c r="AZ168" i="27" s="1"/>
  <c r="AO203" i="27"/>
  <c r="AP203" i="27" s="1" a="1"/>
  <c r="AP203" i="27" s="1"/>
  <c r="AY203" i="27" s="1"/>
  <c r="AZ203" i="27" s="1"/>
  <c r="AO338" i="27"/>
  <c r="AP338" i="27" s="1" a="1"/>
  <c r="AP338" i="27" s="1"/>
  <c r="AY338" i="27" s="1"/>
  <c r="AZ338" i="27" s="1"/>
  <c r="AO170" i="27"/>
  <c r="AP170" i="27" s="1" a="1"/>
  <c r="AP170" i="27" s="1"/>
  <c r="AY170" i="27" s="1"/>
  <c r="AZ170" i="27" s="1"/>
  <c r="AO333" i="27"/>
  <c r="AP333" i="27" s="1" a="1"/>
  <c r="AP333" i="27" s="1"/>
  <c r="AY333" i="27" s="1"/>
  <c r="AZ333" i="27" s="1"/>
  <c r="AO193" i="27"/>
  <c r="AP193" i="27" s="1" a="1"/>
  <c r="AP193" i="27" s="1"/>
  <c r="AY193" i="27" s="1"/>
  <c r="AZ193" i="27" s="1"/>
  <c r="AO284" i="27"/>
  <c r="AP284" i="27" s="1" a="1"/>
  <c r="AP284" i="27" s="1"/>
  <c r="AO149" i="27"/>
  <c r="AP149" i="27" s="1" a="1"/>
  <c r="AP149" i="27" s="1"/>
  <c r="AO183" i="27"/>
  <c r="AP183" i="27" s="1" a="1"/>
  <c r="AP183" i="27" s="1"/>
  <c r="AY183" i="27" s="1"/>
  <c r="AZ183" i="27" s="1"/>
  <c r="AO236" i="27"/>
  <c r="AP236" i="27" s="1" a="1"/>
  <c r="AP236" i="27" s="1"/>
  <c r="AO38" i="27"/>
  <c r="AP38" i="27" s="1" a="1"/>
  <c r="AP38" i="27" s="1"/>
  <c r="AY38" i="27" s="1"/>
  <c r="AZ38" i="27" s="1"/>
  <c r="AO123" i="27"/>
  <c r="AP123" i="27" s="1" a="1"/>
  <c r="AP123" i="27" s="1"/>
  <c r="AY123" i="27" s="1"/>
  <c r="AZ123" i="27" s="1"/>
  <c r="AO276" i="27"/>
  <c r="AO300" i="27"/>
  <c r="AP300" i="27" s="1" a="1"/>
  <c r="AP300" i="27" s="1"/>
  <c r="AY300" i="27" s="1"/>
  <c r="AZ300" i="27" s="1"/>
  <c r="AO256" i="27"/>
  <c r="AP256" i="27" s="1" a="1"/>
  <c r="AP256" i="27" s="1"/>
  <c r="AY256" i="27" s="1"/>
  <c r="AZ256" i="27" s="1"/>
  <c r="AO230" i="27"/>
  <c r="AP230" i="27" s="1" a="1"/>
  <c r="AP230" i="27" s="1"/>
  <c r="AY230" i="27" s="1"/>
  <c r="AZ230" i="27" s="1"/>
  <c r="AO93" i="27"/>
  <c r="AP93" i="27" s="1" a="1"/>
  <c r="AP93" i="27" s="1"/>
  <c r="AY93" i="27" s="1"/>
  <c r="AZ93" i="27" s="1"/>
  <c r="AO320" i="27"/>
  <c r="AP320" i="27" s="1" a="1"/>
  <c r="AP320" i="27" s="1"/>
  <c r="AY320" i="27" s="1"/>
  <c r="AZ320" i="27" s="1"/>
  <c r="AO325" i="27"/>
  <c r="AP325" i="27" s="1" a="1"/>
  <c r="AP325" i="27" s="1"/>
  <c r="AY325" i="27" s="1"/>
  <c r="AZ325" i="27" s="1"/>
  <c r="AO12" i="27"/>
  <c r="AP12" i="27" s="1" a="1"/>
  <c r="AP12" i="27" s="1"/>
  <c r="AY12" i="27" s="1"/>
  <c r="AZ12" i="27" s="1"/>
  <c r="AO138" i="27"/>
  <c r="AP138" i="27" s="1" a="1"/>
  <c r="AP138" i="27" s="1"/>
  <c r="AY138" i="27" s="1"/>
  <c r="AZ138" i="27" s="1"/>
  <c r="AO178" i="27"/>
  <c r="AP178" i="27" s="1" a="1"/>
  <c r="AP178" i="27" s="1"/>
  <c r="AY178" i="27" s="1"/>
  <c r="AZ178" i="27" s="1"/>
  <c r="AO95" i="27"/>
  <c r="AP95" i="27" s="1" a="1"/>
  <c r="AP95" i="27" s="1"/>
  <c r="AO266" i="27"/>
  <c r="AP266" i="27" s="1" a="1"/>
  <c r="AP266" i="27" s="1"/>
  <c r="AO94" i="27"/>
  <c r="AP94" i="27" s="1" a="1"/>
  <c r="AP94" i="27" s="1"/>
  <c r="AO177" i="27"/>
  <c r="AP177" i="27" s="1" a="1"/>
  <c r="AP177" i="27" s="1"/>
  <c r="AY177" i="27" s="1"/>
  <c r="AZ177" i="27" s="1"/>
  <c r="AO263" i="27"/>
  <c r="AP263" i="27" s="1" a="1"/>
  <c r="AP263" i="27" s="1"/>
  <c r="AO259" i="27"/>
  <c r="AP259" i="27" s="1" a="1"/>
  <c r="AP259" i="27" s="1"/>
  <c r="AY259" i="27" s="1"/>
  <c r="AZ259" i="27" s="1"/>
  <c r="AO129" i="27"/>
  <c r="AP129" i="27" s="1" a="1"/>
  <c r="AP129" i="27" s="1"/>
  <c r="AY129" i="27" s="1"/>
  <c r="AZ129" i="27" s="1"/>
  <c r="AO53" i="27"/>
  <c r="AP53" i="27" s="1" a="1"/>
  <c r="AP53" i="27" s="1"/>
  <c r="AY53" i="27" s="1"/>
  <c r="AZ53" i="27" s="1"/>
  <c r="AO101" i="27"/>
  <c r="AP101" i="27" s="1" a="1"/>
  <c r="AP101" i="27" s="1"/>
  <c r="AY101" i="27" s="1"/>
  <c r="AZ101" i="27" s="1"/>
  <c r="AO190" i="27"/>
  <c r="AP190" i="27" s="1" a="1"/>
  <c r="AP190" i="27" s="1"/>
  <c r="AY190" i="27" s="1"/>
  <c r="AZ190" i="27" s="1"/>
  <c r="AO240" i="27"/>
  <c r="AP240" i="27" s="1" a="1"/>
  <c r="AP240" i="27" s="1"/>
  <c r="AY240" i="27" s="1"/>
  <c r="AZ240" i="27" s="1"/>
  <c r="AO124" i="27"/>
  <c r="AP124" i="27" s="1" a="1"/>
  <c r="AP124" i="27" s="1"/>
  <c r="AY124" i="27" s="1"/>
  <c r="AZ124" i="27" s="1"/>
  <c r="AO233" i="27"/>
  <c r="AP233" i="27" s="1" a="1"/>
  <c r="AP233" i="27" s="1"/>
  <c r="AO324" i="27"/>
  <c r="AP324" i="27" s="1" a="1"/>
  <c r="AP324" i="27" s="1"/>
  <c r="AY324" i="27" s="1"/>
  <c r="AZ324" i="27" s="1"/>
  <c r="AO200" i="27"/>
  <c r="AP200" i="27" s="1" a="1"/>
  <c r="AP200" i="27" s="1"/>
  <c r="AY200" i="27" s="1"/>
  <c r="AZ200" i="27" s="1"/>
  <c r="AO8" i="27"/>
  <c r="AP8" i="27" s="1" a="1"/>
  <c r="AP8" i="27" s="1"/>
  <c r="AY8" i="27" s="1"/>
  <c r="AZ8" i="27" s="1"/>
  <c r="AO232" i="27"/>
  <c r="AP232" i="27" s="1" a="1"/>
  <c r="AP232" i="27" s="1"/>
  <c r="AY232" i="27" s="1"/>
  <c r="AZ232" i="27" s="1"/>
  <c r="AO283" i="27"/>
  <c r="AP283" i="27" s="1" a="1"/>
  <c r="AP283" i="27" s="1"/>
  <c r="AY283" i="27" s="1"/>
  <c r="AZ283" i="27" s="1"/>
  <c r="AO216" i="27"/>
  <c r="AP216" i="27" s="1" a="1"/>
  <c r="AP216" i="27" s="1"/>
  <c r="AY216" i="27" s="1"/>
  <c r="AZ216" i="27" s="1"/>
  <c r="AO262" i="27"/>
  <c r="AP262" i="27" s="1" a="1"/>
  <c r="AP262" i="27" s="1"/>
  <c r="AO70" i="27"/>
  <c r="AP70" i="27" s="1" a="1"/>
  <c r="AP70" i="27" s="1"/>
  <c r="AY70" i="27" s="1"/>
  <c r="AZ70" i="27" s="1"/>
  <c r="AO246" i="27"/>
  <c r="AP246" i="27" s="1" a="1"/>
  <c r="AP246" i="27" s="1"/>
  <c r="AY246" i="27" s="1"/>
  <c r="AZ246" i="27" s="1"/>
  <c r="AO54" i="27"/>
  <c r="AP54" i="27" s="1" a="1"/>
  <c r="AP54" i="27" s="1"/>
  <c r="AO265" i="27"/>
  <c r="AP265" i="27" s="1" a="1"/>
  <c r="AP265" i="27" s="1"/>
  <c r="AY265" i="27" s="1"/>
  <c r="AZ265" i="27" s="1"/>
  <c r="AO173" i="27"/>
  <c r="AP173" i="27" s="1" a="1"/>
  <c r="AP173" i="27" s="1"/>
  <c r="AY173" i="27" s="1"/>
  <c r="AZ173" i="27" s="1"/>
  <c r="AO9" i="27"/>
  <c r="AP9" i="27" s="1" a="1"/>
  <c r="AP9" i="27" s="1"/>
  <c r="AY9" i="27" s="1"/>
  <c r="AZ9" i="27" s="1"/>
  <c r="AO151" i="27"/>
  <c r="AP151" i="27" s="1" a="1"/>
  <c r="AP151" i="27" s="1"/>
  <c r="AY151" i="27" s="1"/>
  <c r="AZ151" i="27" s="1"/>
  <c r="AO98" i="27"/>
  <c r="AP98" i="27" s="1" a="1"/>
  <c r="AP98" i="27" s="1"/>
  <c r="AO225" i="27"/>
  <c r="AP225" i="27" s="1" a="1"/>
  <c r="AP225" i="27" s="1"/>
  <c r="AY225" i="27" s="1"/>
  <c r="AZ225" i="27" s="1"/>
  <c r="AO17" i="27"/>
  <c r="AP17" i="27" s="1" a="1"/>
  <c r="AP17" i="27" s="1"/>
  <c r="AY17" i="27" s="1"/>
  <c r="AZ17" i="27" s="1"/>
  <c r="AO316" i="27"/>
  <c r="AP316" i="27" s="1" a="1"/>
  <c r="AP316" i="27" s="1"/>
  <c r="AY316" i="27" s="1"/>
  <c r="AZ316" i="27" s="1"/>
  <c r="AO289" i="27"/>
  <c r="AP289" i="27" s="1" a="1"/>
  <c r="AP289" i="27" s="1"/>
  <c r="AY289" i="27" s="1"/>
  <c r="AZ289" i="27" s="1"/>
  <c r="AO136" i="27"/>
  <c r="AP136" i="27" s="1" a="1"/>
  <c r="AP136" i="27" s="1"/>
  <c r="AO115" i="27"/>
  <c r="AP115" i="27" s="1" a="1"/>
  <c r="AP115" i="27" s="1"/>
  <c r="AY115" i="27" s="1"/>
  <c r="AZ115" i="27" s="1"/>
  <c r="AO308" i="27"/>
  <c r="AP308" i="27" s="1" a="1"/>
  <c r="AP308" i="27" s="1"/>
  <c r="AY308" i="27" s="1"/>
  <c r="AZ308" i="27" s="1"/>
  <c r="AO181" i="27"/>
  <c r="AP181" i="27" s="1" a="1"/>
  <c r="AP181" i="27" s="1"/>
  <c r="AY181" i="27" s="1"/>
  <c r="AZ181" i="27" s="1"/>
  <c r="AO264" i="27"/>
  <c r="AP264" i="27" s="1" a="1"/>
  <c r="AP264" i="27" s="1"/>
  <c r="AY264" i="27" s="1"/>
  <c r="AZ264" i="27" s="1"/>
  <c r="AO254" i="27"/>
  <c r="AP254" i="27" s="1" a="1"/>
  <c r="AP254" i="27" s="1"/>
  <c r="AY254" i="27" s="1"/>
  <c r="AZ254" i="27" s="1"/>
  <c r="AO330" i="27"/>
  <c r="AP330" i="27" s="1" a="1"/>
  <c r="AP330" i="27" s="1"/>
  <c r="AY330" i="27" s="1"/>
  <c r="AZ330" i="27" s="1"/>
  <c r="AO140" i="27"/>
  <c r="AP140" i="27" s="1" a="1"/>
  <c r="AP140" i="27" s="1"/>
  <c r="AO143" i="27"/>
  <c r="AP143" i="27" s="1" a="1"/>
  <c r="AP143" i="27" s="1"/>
  <c r="AO332" i="27"/>
  <c r="AP332" i="27" s="1" a="1"/>
  <c r="AP332" i="27" s="1"/>
  <c r="AY332" i="27" s="1"/>
  <c r="AZ332" i="27" s="1"/>
  <c r="AO87" i="27"/>
  <c r="AP87" i="27" s="1" a="1"/>
  <c r="AP87" i="27" s="1"/>
  <c r="AY87" i="27" s="1"/>
  <c r="AZ87" i="27" s="1"/>
  <c r="AO76" i="27"/>
  <c r="AP76" i="27" s="1" a="1"/>
  <c r="AP76" i="27" s="1"/>
  <c r="AY76" i="27" s="1"/>
  <c r="AZ76" i="27" s="1"/>
  <c r="AO14" i="27"/>
  <c r="AP14" i="27" s="1" a="1"/>
  <c r="AP14" i="27" s="1"/>
  <c r="AY14" i="27" s="1"/>
  <c r="AZ14" i="27" s="1"/>
  <c r="AO287" i="27"/>
  <c r="AP287" i="27" s="1" a="1"/>
  <c r="AP287" i="27" s="1"/>
  <c r="AY287" i="27" s="1"/>
  <c r="AZ287" i="27" s="1"/>
  <c r="AO237" i="27"/>
  <c r="AP237" i="27" s="1" a="1"/>
  <c r="AP237" i="27" s="1"/>
  <c r="AY237" i="27" s="1"/>
  <c r="AZ237" i="27" s="1"/>
  <c r="AO134" i="27"/>
  <c r="AP134" i="27" s="1" a="1"/>
  <c r="AP134" i="27" s="1"/>
  <c r="AO128" i="27"/>
  <c r="AP128" i="27" s="1" a="1"/>
  <c r="AP128" i="27" s="1"/>
  <c r="AY128" i="27" s="1"/>
  <c r="AZ128" i="27" s="1"/>
  <c r="AO273" i="27"/>
  <c r="AP273" i="27" s="1" a="1"/>
  <c r="AP273" i="27" s="1"/>
  <c r="AO220" i="27"/>
  <c r="AP220" i="27" s="1" a="1"/>
  <c r="AP220" i="27" s="1"/>
  <c r="AY220" i="27" s="1"/>
  <c r="AZ220" i="27" s="1"/>
  <c r="AO192" i="27"/>
  <c r="AP192" i="27" s="1" a="1"/>
  <c r="AP192" i="27" s="1"/>
  <c r="AY192" i="27" s="1"/>
  <c r="AZ192" i="27" s="1"/>
  <c r="AO250" i="27"/>
  <c r="AP250" i="27" s="1" a="1"/>
  <c r="AP250" i="27" s="1"/>
  <c r="AO107" i="27"/>
  <c r="AP107" i="27" s="1" a="1"/>
  <c r="AP107" i="27" s="1"/>
  <c r="AY107" i="27" s="1"/>
  <c r="AZ107" i="27" s="1"/>
  <c r="AO290" i="27"/>
  <c r="AP290" i="27" s="1" a="1"/>
  <c r="AP290" i="27" s="1"/>
  <c r="AY290" i="27" s="1"/>
  <c r="AZ290" i="27" s="1"/>
  <c r="AO231" i="27"/>
  <c r="AP231" i="27" s="1" a="1"/>
  <c r="AP231" i="27" s="1"/>
  <c r="AY231" i="27" s="1"/>
  <c r="AZ231" i="27" s="1"/>
  <c r="AO18" i="27"/>
  <c r="AP18" i="27" s="1" a="1"/>
  <c r="AP18" i="27" s="1"/>
  <c r="AO305" i="27"/>
  <c r="AP305" i="27" s="1" a="1"/>
  <c r="AP305" i="27" s="1"/>
  <c r="AY305" i="27" s="1"/>
  <c r="AZ305" i="27" s="1"/>
  <c r="AO150" i="27"/>
  <c r="AP150" i="27" s="1" a="1"/>
  <c r="AP150" i="27" s="1"/>
  <c r="AY150" i="27" s="1"/>
  <c r="AZ150" i="27" s="1"/>
  <c r="AO298" i="27"/>
  <c r="AP298" i="27" s="1" a="1"/>
  <c r="AP298" i="27" s="1"/>
  <c r="AY298" i="27" s="1"/>
  <c r="AZ298" i="27" s="1"/>
  <c r="AO41" i="27"/>
  <c r="AP41" i="27" s="1" a="1"/>
  <c r="AP41" i="27" s="1"/>
  <c r="AY41" i="27" s="1"/>
  <c r="AZ41" i="27" s="1"/>
  <c r="AO85" i="27"/>
  <c r="AP85" i="27" s="1" a="1"/>
  <c r="AP85" i="27" s="1"/>
  <c r="AO280" i="27"/>
  <c r="AP280" i="27" s="1" a="1"/>
  <c r="AP280" i="27" s="1"/>
  <c r="AY280" i="27" s="1"/>
  <c r="AZ280" i="27" s="1"/>
  <c r="AO214" i="27"/>
  <c r="AP214" i="27" s="1" a="1"/>
  <c r="AP214" i="27" s="1"/>
  <c r="AO63" i="27"/>
  <c r="AP63" i="27" s="1" a="1"/>
  <c r="AP63" i="27" s="1"/>
  <c r="AY63" i="27" s="1"/>
  <c r="AZ63" i="27" s="1"/>
  <c r="AO152" i="27"/>
  <c r="AP152" i="27" s="1" a="1"/>
  <c r="AP152" i="27" s="1"/>
  <c r="AY152" i="27" s="1"/>
  <c r="AZ152" i="27" s="1"/>
  <c r="AO297" i="27"/>
  <c r="AP297" i="27" s="1" a="1"/>
  <c r="AP297" i="27" s="1"/>
  <c r="AY297" i="27" s="1"/>
  <c r="AZ297" i="27" s="1"/>
  <c r="AO189" i="27"/>
  <c r="AP189" i="27" s="1" a="1"/>
  <c r="AP189" i="27" s="1"/>
  <c r="AY189" i="27" s="1"/>
  <c r="AZ189" i="27" s="1"/>
  <c r="AO238" i="27"/>
  <c r="AP238" i="27" s="1" a="1"/>
  <c r="AP238" i="27" s="1"/>
  <c r="AP188" i="27" a="1"/>
  <c r="AP188" i="27" s="1"/>
  <c r="AY188" i="27" s="1"/>
  <c r="AZ188" i="27" s="1"/>
  <c r="AO47" i="27"/>
  <c r="AP47" i="27" s="1" a="1"/>
  <c r="AP47" i="27" s="1"/>
  <c r="AY47" i="27" s="1"/>
  <c r="AZ47" i="27" s="1"/>
  <c r="AO242" i="27"/>
  <c r="AP242" i="27" s="1" a="1"/>
  <c r="AP242" i="27" s="1"/>
  <c r="AO121" i="27"/>
  <c r="AP121" i="27" s="1" a="1"/>
  <c r="AP121" i="27" s="1"/>
  <c r="AO132" i="27"/>
  <c r="AP132" i="27" s="1" a="1"/>
  <c r="AP132" i="27" s="1"/>
  <c r="AY132" i="27" s="1"/>
  <c r="AZ132" i="27" s="1"/>
  <c r="AY126" i="27"/>
  <c r="AZ126" i="27" s="1"/>
  <c r="AO171" i="27"/>
  <c r="AP171" i="27" s="1" a="1"/>
  <c r="AP171" i="27" s="1"/>
  <c r="AY171" i="27" s="1"/>
  <c r="AZ171" i="27" s="1"/>
  <c r="AO83" i="27"/>
  <c r="AO52" i="27"/>
  <c r="AP52" i="27" s="1" a="1"/>
  <c r="AP52" i="27" s="1"/>
  <c r="AY52" i="27" s="1"/>
  <c r="AZ52" i="27" s="1"/>
  <c r="AO337" i="27"/>
  <c r="AP337" i="27" s="1" a="1"/>
  <c r="AP337" i="27" s="1"/>
  <c r="AY337" i="27" s="1"/>
  <c r="AZ337" i="27" s="1"/>
  <c r="AO229" i="27"/>
  <c r="AP229" i="27" s="1" a="1"/>
  <c r="AP229" i="27" s="1"/>
  <c r="AY229" i="27" s="1"/>
  <c r="AZ229" i="27" s="1"/>
  <c r="AO271" i="27"/>
  <c r="AP271" i="27" s="1" a="1"/>
  <c r="AP271" i="27" s="1"/>
  <c r="AY271" i="27" s="1"/>
  <c r="AZ271" i="27" s="1"/>
  <c r="AO78" i="27"/>
  <c r="AP78" i="27" s="1" a="1"/>
  <c r="AP78" i="27" s="1"/>
  <c r="AY78" i="27" s="1"/>
  <c r="AZ78" i="27" s="1"/>
  <c r="AO223" i="27"/>
  <c r="AP223" i="27" s="1" a="1"/>
  <c r="AP223" i="27" s="1"/>
  <c r="AY223" i="27" s="1"/>
  <c r="AZ223" i="27" s="1"/>
  <c r="AO294" i="27"/>
  <c r="AP294" i="27" s="1" a="1"/>
  <c r="AP294" i="27" s="1"/>
  <c r="AY294" i="27" s="1"/>
  <c r="AZ294" i="27" s="1"/>
  <c r="AO198" i="27"/>
  <c r="AP198" i="27" s="1" a="1"/>
  <c r="AP198" i="27" s="1"/>
  <c r="AO228" i="27"/>
  <c r="AP228" i="27" s="1" a="1"/>
  <c r="AP228" i="27" s="1"/>
  <c r="AY228" i="27" s="1"/>
  <c r="AZ228" i="27" s="1"/>
  <c r="AO321" i="27"/>
  <c r="AP321" i="27" s="1" a="1"/>
  <c r="AP321" i="27" s="1"/>
  <c r="AY321" i="27" s="1"/>
  <c r="AZ321" i="27" s="1"/>
  <c r="AO278" i="27"/>
  <c r="AP278" i="27" s="1" a="1"/>
  <c r="AP278" i="27" s="1"/>
  <c r="AY278" i="27" s="1"/>
  <c r="AZ278" i="27" s="1"/>
  <c r="AO120" i="27"/>
  <c r="AP120" i="27" s="1" a="1"/>
  <c r="AP120" i="27" s="1"/>
  <c r="AO75" i="27"/>
  <c r="AP75" i="27" s="1" a="1"/>
  <c r="AP75" i="27" s="1"/>
  <c r="AY75" i="27" s="1"/>
  <c r="AZ75" i="27" s="1"/>
  <c r="AO130" i="27"/>
  <c r="AP130" i="27" s="1" a="1"/>
  <c r="AP130" i="27" s="1"/>
  <c r="AY130" i="27" s="1"/>
  <c r="AZ130" i="27" s="1"/>
  <c r="AO304" i="27"/>
  <c r="AP304" i="27" s="1" a="1"/>
  <c r="AP304" i="27" s="1"/>
  <c r="AY304" i="27" s="1"/>
  <c r="AZ304" i="27" s="1"/>
  <c r="AO293" i="27"/>
  <c r="AP293" i="27" s="1" a="1"/>
  <c r="AP293" i="27" s="1"/>
  <c r="AY293" i="27" s="1"/>
  <c r="AZ293" i="27" s="1"/>
  <c r="AO86" i="27"/>
  <c r="AP86" i="27" s="1" a="1"/>
  <c r="AP86" i="27" s="1"/>
  <c r="AY86" i="27" s="1"/>
  <c r="AZ86" i="27" s="1"/>
  <c r="AO261" i="27"/>
  <c r="AO109" i="27"/>
  <c r="AP109" i="27" s="1" a="1"/>
  <c r="AP109" i="27" s="1"/>
  <c r="AY109" i="27" s="1"/>
  <c r="AZ109" i="27" s="1"/>
  <c r="AO209" i="27"/>
  <c r="AP209" i="27" s="1" a="1"/>
  <c r="AP209" i="27" s="1"/>
  <c r="AY209" i="27" s="1"/>
  <c r="AZ209" i="27" s="1"/>
  <c r="AO111" i="27"/>
  <c r="AP111" i="27" s="1" a="1"/>
  <c r="AP111" i="27" s="1"/>
  <c r="AY111" i="27" s="1"/>
  <c r="AZ111" i="27" s="1"/>
  <c r="AO274" i="27"/>
  <c r="AP274" i="27" s="1" a="1"/>
  <c r="AP274" i="27" s="1"/>
  <c r="AO174" i="27"/>
  <c r="AP174" i="27" s="1" a="1"/>
  <c r="AP174" i="27" s="1"/>
  <c r="AY174" i="27" s="1"/>
  <c r="AZ174" i="27" s="1"/>
  <c r="AO207" i="27"/>
  <c r="AP207" i="27" s="1" a="1"/>
  <c r="AP207" i="27" s="1"/>
  <c r="AY207" i="27" s="1"/>
  <c r="AZ207" i="27" s="1"/>
  <c r="AO157" i="27"/>
  <c r="AP157" i="27" s="1" a="1"/>
  <c r="AP157" i="27" s="1"/>
  <c r="AY157" i="27" s="1"/>
  <c r="AZ157" i="27" s="1"/>
  <c r="AO187" i="27"/>
  <c r="AP187" i="27" s="1" a="1"/>
  <c r="AP187" i="27" s="1"/>
  <c r="AO318" i="27"/>
  <c r="AO27" i="27"/>
  <c r="AP27" i="27" s="1" a="1"/>
  <c r="AP27" i="27" s="1"/>
  <c r="AY27" i="27" s="1"/>
  <c r="AZ27" i="27" s="1"/>
  <c r="AO26" i="27"/>
  <c r="AP26" i="27" s="1" a="1"/>
  <c r="AP26" i="27" s="1"/>
  <c r="AY26" i="27" s="1"/>
  <c r="AZ26" i="27" s="1"/>
  <c r="AO311" i="27"/>
  <c r="AP311" i="27" s="1" a="1"/>
  <c r="AP311" i="27" s="1"/>
  <c r="AY311" i="27" s="1"/>
  <c r="AZ311" i="27" s="1"/>
  <c r="AO33" i="27"/>
  <c r="AP33" i="27" s="1" a="1"/>
  <c r="AP33" i="27" s="1"/>
  <c r="AY33" i="27" s="1"/>
  <c r="AZ33" i="27" s="1"/>
  <c r="AO227" i="27"/>
  <c r="AO11" i="27"/>
  <c r="AP11" i="27" s="1" a="1"/>
  <c r="AP11" i="27" s="1"/>
  <c r="AO48" i="27"/>
  <c r="AO235" i="27"/>
  <c r="AP235" i="27" s="1" a="1"/>
  <c r="AP235" i="27" s="1"/>
  <c r="AY62" i="27"/>
  <c r="AZ62" i="27" s="1"/>
  <c r="AO251" i="27"/>
  <c r="AO71" i="27"/>
  <c r="AP71" i="27" s="1" a="1"/>
  <c r="AP71" i="27" s="1"/>
  <c r="AY71" i="27" s="1"/>
  <c r="AZ71" i="27" s="1"/>
  <c r="AO303" i="27"/>
  <c r="AP303" i="27" s="1" a="1"/>
  <c r="AP303" i="27" s="1"/>
  <c r="AY303" i="27" s="1"/>
  <c r="AZ303" i="27" s="1"/>
  <c r="AO162" i="27"/>
  <c r="AO267" i="27"/>
  <c r="AP267" i="27" s="1" a="1"/>
  <c r="AP267" i="27" s="1"/>
  <c r="AY267" i="27" s="1"/>
  <c r="AZ267" i="27" s="1"/>
  <c r="AO329" i="27"/>
  <c r="AP329" i="27" s="1" a="1"/>
  <c r="AP329" i="27" s="1"/>
  <c r="AO194" i="27"/>
  <c r="AP194" i="27" s="1" a="1"/>
  <c r="AP194" i="27" s="1"/>
  <c r="AY194" i="27" s="1"/>
  <c r="AZ194" i="27" s="1"/>
  <c r="AO106" i="27"/>
  <c r="AP106" i="27" s="1" a="1"/>
  <c r="AP106" i="27" s="1"/>
  <c r="AY106" i="27" s="1"/>
  <c r="AZ106" i="27" s="1"/>
  <c r="AO255" i="27"/>
  <c r="AP255" i="27" s="1" a="1"/>
  <c r="AP255" i="27" s="1"/>
  <c r="AO258" i="27"/>
  <c r="AP258" i="27" s="1" a="1"/>
  <c r="AP258" i="27" s="1"/>
  <c r="AY258" i="27" s="1"/>
  <c r="AZ258" i="27" s="1"/>
  <c r="AO234" i="27"/>
  <c r="AP234" i="27" s="1" a="1"/>
  <c r="AP234" i="27" s="1"/>
  <c r="AO163" i="27"/>
  <c r="AP163" i="27" s="1" a="1"/>
  <c r="AP163" i="27" s="1"/>
  <c r="AO197" i="27"/>
  <c r="AP197" i="27" s="1" a="1"/>
  <c r="AP197" i="27" s="1"/>
  <c r="AO34" i="27"/>
  <c r="AP34" i="27" s="1" a="1"/>
  <c r="AP34" i="27" s="1"/>
  <c r="AY34" i="27" s="1"/>
  <c r="AZ34" i="27" s="1"/>
  <c r="AO51" i="27"/>
  <c r="AP51" i="27" s="1" a="1"/>
  <c r="AP51" i="27" s="1"/>
  <c r="AY51" i="27" s="1"/>
  <c r="AZ51" i="27" s="1"/>
  <c r="AO105" i="27"/>
  <c r="AP105" i="27" s="1" a="1"/>
  <c r="AP105" i="27" s="1"/>
  <c r="AO335" i="27"/>
  <c r="AO245" i="27"/>
  <c r="AP245" i="27" s="1" a="1"/>
  <c r="AP245" i="27" s="1"/>
  <c r="AO16" i="27"/>
  <c r="AP16" i="27" s="1" a="1"/>
  <c r="AP16" i="27" s="1"/>
  <c r="AY16" i="27" s="1"/>
  <c r="AZ16" i="27" s="1"/>
  <c r="AO313" i="27"/>
  <c r="AP313" i="27" s="1" a="1"/>
  <c r="AP313" i="27" s="1"/>
  <c r="AY313" i="27" s="1"/>
  <c r="AZ313" i="27" s="1"/>
  <c r="AO108" i="27"/>
  <c r="AP108" i="27" s="1" a="1"/>
  <c r="AP108" i="27" s="1"/>
  <c r="AY108" i="27" s="1"/>
  <c r="AZ108" i="27" s="1"/>
  <c r="AO182" i="27"/>
  <c r="AP182" i="27" s="1" a="1"/>
  <c r="AP182" i="27" s="1"/>
  <c r="AO323" i="27"/>
  <c r="AP323" i="27" s="1" a="1"/>
  <c r="AP323" i="27" s="1"/>
  <c r="AY323" i="27" s="1"/>
  <c r="AZ323" i="27" s="1"/>
  <c r="AO21" i="27"/>
  <c r="AP21" i="27" s="1" a="1"/>
  <c r="AP21" i="27" s="1"/>
  <c r="AY21" i="27" s="1"/>
  <c r="AZ21" i="27" s="1"/>
  <c r="AO288" i="27"/>
  <c r="AP288" i="27" s="1" a="1"/>
  <c r="AP288" i="27" s="1"/>
  <c r="AY288" i="27" s="1"/>
  <c r="AZ288" i="27" s="1"/>
  <c r="AO103" i="27"/>
  <c r="AP103" i="27" s="1" a="1"/>
  <c r="AP103" i="27" s="1"/>
  <c r="AY103" i="27" s="1"/>
  <c r="AZ103" i="27" s="1"/>
  <c r="AO79" i="27"/>
  <c r="AP79" i="27" s="1" a="1"/>
  <c r="AP79" i="27" s="1"/>
  <c r="AY79" i="27" s="1"/>
  <c r="AZ79" i="27" s="1"/>
  <c r="AO331" i="27"/>
  <c r="AP331" i="27" s="1" a="1"/>
  <c r="AP331" i="27" s="1"/>
  <c r="AY331" i="27" s="1"/>
  <c r="AZ331" i="27" s="1"/>
  <c r="AO6" i="27"/>
  <c r="AO180" i="27"/>
  <c r="AP180" i="27" s="1" a="1"/>
  <c r="AP180" i="27" s="1"/>
  <c r="AY180" i="27" s="1"/>
  <c r="AZ180" i="27" s="1"/>
  <c r="AO39" i="27"/>
  <c r="AP39" i="27" s="1" a="1"/>
  <c r="AP39" i="27" s="1"/>
  <c r="AO299" i="27"/>
  <c r="AP299" i="27" s="1" a="1"/>
  <c r="AP299" i="27" s="1"/>
  <c r="AO90" i="27"/>
  <c r="AP90" i="27" s="1" a="1"/>
  <c r="AP90" i="27" s="1"/>
  <c r="AY90" i="27" s="1"/>
  <c r="AZ90" i="27" s="1"/>
  <c r="AO50" i="27"/>
  <c r="AP50" i="27" s="1" a="1"/>
  <c r="AP50" i="27" s="1"/>
  <c r="AY50" i="27" s="1"/>
  <c r="AZ50" i="27" s="1"/>
  <c r="AO28" i="27"/>
  <c r="AP28" i="27" s="1" a="1"/>
  <c r="AP28" i="27" s="1"/>
  <c r="AY28" i="27" s="1"/>
  <c r="AZ28" i="27" s="1"/>
  <c r="AO24" i="27"/>
  <c r="AP24" i="27" s="1" a="1"/>
  <c r="AP24" i="27" s="1"/>
  <c r="AY24" i="27" s="1"/>
  <c r="AZ24" i="27" s="1"/>
  <c r="AO291" i="27"/>
  <c r="AO208" i="27"/>
  <c r="AP208" i="27" s="1" a="1"/>
  <c r="AP208" i="27" s="1"/>
  <c r="AY208" i="27" s="1"/>
  <c r="AZ208" i="27" s="1"/>
  <c r="AO68" i="27"/>
  <c r="AP68" i="27" s="1" a="1"/>
  <c r="AP68" i="27" s="1"/>
  <c r="AO260" i="27"/>
  <c r="AP260" i="27" s="1" a="1"/>
  <c r="AP260" i="27" s="1"/>
  <c r="AY260" i="27" s="1"/>
  <c r="AZ260" i="27" s="1"/>
  <c r="AO204" i="27"/>
  <c r="AO279" i="27"/>
  <c r="AP279" i="27" s="1" a="1"/>
  <c r="AP279" i="27" s="1"/>
  <c r="AY279" i="27" s="1"/>
  <c r="AZ279" i="27" s="1"/>
  <c r="AO116" i="27"/>
  <c r="AP116" i="27" s="1" a="1"/>
  <c r="AP116" i="27" s="1"/>
  <c r="AO97" i="27"/>
  <c r="AP97" i="27" s="1" a="1"/>
  <c r="AP97" i="27" s="1"/>
  <c r="AY97" i="27" s="1"/>
  <c r="AZ97" i="27" s="1"/>
  <c r="AO269" i="27"/>
  <c r="AP269" i="27" s="1" a="1"/>
  <c r="AP269" i="27" s="1"/>
  <c r="AY269" i="27" s="1"/>
  <c r="AZ269" i="27" s="1"/>
  <c r="AO60" i="27"/>
  <c r="AP60" i="27" s="1" a="1"/>
  <c r="AP60" i="27" s="1"/>
  <c r="AY60" i="27" s="1"/>
  <c r="AZ60" i="27" s="1"/>
  <c r="AO43" i="27"/>
  <c r="AP43" i="27" s="1" a="1"/>
  <c r="AP43" i="27" s="1"/>
  <c r="AY43" i="27" s="1"/>
  <c r="AZ43" i="27" s="1"/>
  <c r="AO191" i="27"/>
  <c r="AP191" i="27" s="1" a="1"/>
  <c r="AP191" i="27" s="1"/>
  <c r="AY191" i="27" s="1"/>
  <c r="AZ191" i="27" s="1"/>
  <c r="AO145" i="27"/>
  <c r="AP145" i="27" s="1" a="1"/>
  <c r="AP145" i="27" s="1"/>
  <c r="AY145" i="27" s="1"/>
  <c r="AZ145" i="27" s="1"/>
  <c r="AO175" i="27"/>
  <c r="AP175" i="27" s="1" a="1"/>
  <c r="AP175" i="27" s="1"/>
  <c r="AY175" i="27" s="1"/>
  <c r="AZ175" i="27" s="1"/>
  <c r="AO80" i="27"/>
  <c r="AP80" i="27" s="1" a="1"/>
  <c r="AP80" i="27" s="1"/>
  <c r="AO186" i="27"/>
  <c r="AP186" i="27" s="1" a="1"/>
  <c r="AP186" i="27" s="1"/>
  <c r="AO336" i="27"/>
  <c r="AP336" i="27" s="1" a="1"/>
  <c r="AP336" i="27" s="1"/>
  <c r="AY336" i="27" s="1"/>
  <c r="AZ336" i="27" s="1"/>
  <c r="AO218" i="27"/>
  <c r="AP218" i="27" s="1" a="1"/>
  <c r="AP218" i="27" s="1"/>
  <c r="AY218" i="27" s="1"/>
  <c r="AZ218" i="27" s="1"/>
  <c r="BC1" i="27"/>
  <c r="AY56" i="27"/>
  <c r="AZ56" i="27" s="1"/>
  <c r="AO249" i="27"/>
  <c r="AP249" i="27" s="1" a="1"/>
  <c r="AP249" i="27" s="1"/>
  <c r="AY249" i="27" s="1"/>
  <c r="AZ249" i="27" s="1"/>
  <c r="AO334" i="27"/>
  <c r="AO45" i="27"/>
  <c r="AP45" i="27" s="1" a="1"/>
  <c r="AP45" i="27" s="1"/>
  <c r="AY45" i="27" s="1"/>
  <c r="AZ45" i="27" s="1"/>
  <c r="AO322" i="27"/>
  <c r="AP322" i="27" s="1" a="1"/>
  <c r="AP322" i="27" s="1"/>
  <c r="AY322" i="27" s="1"/>
  <c r="AZ322" i="27" s="1"/>
  <c r="AO118" i="27"/>
  <c r="AP118" i="27" s="1" a="1"/>
  <c r="AP118" i="27" s="1"/>
  <c r="AO277" i="27"/>
  <c r="AP277" i="27" s="1" a="1"/>
  <c r="AP277" i="27" s="1"/>
  <c r="AY277" i="27" s="1"/>
  <c r="AZ277" i="27" s="1"/>
  <c r="AO112" i="27"/>
  <c r="AP112" i="27" s="1" a="1"/>
  <c r="AP112" i="27" s="1"/>
  <c r="AO328" i="27"/>
  <c r="AP328" i="27" s="1" a="1"/>
  <c r="AP328" i="27" s="1"/>
  <c r="AY328" i="27" s="1"/>
  <c r="AZ328" i="27" s="1"/>
  <c r="AO74" i="27"/>
  <c r="AP74" i="27" s="1" a="1"/>
  <c r="AP74" i="27" s="1"/>
  <c r="AO213" i="27"/>
  <c r="AP213" i="27" s="1" a="1"/>
  <c r="AP213" i="27" s="1"/>
  <c r="AY213" i="27" s="1"/>
  <c r="AZ213" i="27" s="1"/>
  <c r="AO302" i="27"/>
  <c r="AP302" i="27" s="1" a="1"/>
  <c r="AP302" i="27" s="1"/>
  <c r="AY302" i="27" s="1"/>
  <c r="AZ302" i="27" s="1"/>
  <c r="AO49" i="27"/>
  <c r="AP49" i="27" s="1" a="1"/>
  <c r="AP49" i="27" s="1"/>
  <c r="AO44" i="27"/>
  <c r="AP44" i="27" s="1" a="1"/>
  <c r="AP44" i="27" s="1"/>
  <c r="AO40" i="27"/>
  <c r="AP40" i="27" s="1" a="1"/>
  <c r="AP40" i="27" s="1"/>
  <c r="AY40" i="27" s="1"/>
  <c r="AZ40" i="27" s="1"/>
  <c r="AO199" i="27"/>
  <c r="AP199" i="27" s="1" a="1"/>
  <c r="AP199" i="27" s="1"/>
  <c r="AY199" i="27" s="1"/>
  <c r="AZ199" i="27" s="1"/>
  <c r="AO84" i="27"/>
  <c r="AP84" i="27" s="1" a="1"/>
  <c r="AP84" i="27" s="1"/>
  <c r="AY84" i="27" s="1"/>
  <c r="AZ84" i="27" s="1"/>
  <c r="AO296" i="27"/>
  <c r="AP296" i="27" s="1" a="1"/>
  <c r="AP296" i="27" s="1"/>
  <c r="AY296" i="27" s="1"/>
  <c r="AZ296" i="27" s="1"/>
  <c r="AO165" i="27"/>
  <c r="AP165" i="27" s="1" a="1"/>
  <c r="AP165" i="27" s="1"/>
  <c r="AY165" i="27" s="1"/>
  <c r="AZ165" i="27" s="1"/>
  <c r="AO23" i="27"/>
  <c r="AP23" i="27" s="1" a="1"/>
  <c r="AP23" i="27" s="1"/>
  <c r="AY23" i="27" s="1"/>
  <c r="AZ23" i="27" s="1"/>
  <c r="AO292" i="27"/>
  <c r="AP292" i="27" s="1" a="1"/>
  <c r="AP292" i="27" s="1"/>
  <c r="AO91" i="27"/>
  <c r="AP91" i="27" s="1" a="1"/>
  <c r="AP91" i="27" s="1"/>
  <c r="AY91" i="27" s="1"/>
  <c r="AZ91" i="27" s="1"/>
  <c r="AO272" i="27"/>
  <c r="AP272" i="27" s="1" a="1"/>
  <c r="AP272" i="27" s="1"/>
  <c r="AY272" i="27" s="1"/>
  <c r="AZ272" i="27" s="1"/>
  <c r="AO102" i="27"/>
  <c r="AP102" i="27" s="1" a="1"/>
  <c r="AP102" i="27" s="1"/>
  <c r="AY102" i="27" s="1"/>
  <c r="AZ102" i="27" s="1"/>
  <c r="AO326" i="27"/>
  <c r="AP326" i="27" s="1" a="1"/>
  <c r="AP326" i="27" s="1"/>
  <c r="AY326" i="27" s="1"/>
  <c r="AZ326" i="27" s="1"/>
  <c r="AO179" i="27"/>
  <c r="AP179" i="27" s="1" a="1"/>
  <c r="AP179" i="27" s="1"/>
  <c r="AY179" i="27" s="1"/>
  <c r="AZ179" i="27" s="1"/>
  <c r="AO81" i="27"/>
  <c r="AP81" i="27" s="1" a="1"/>
  <c r="AP81" i="27" s="1"/>
  <c r="AY81" i="27" s="1"/>
  <c r="AZ81" i="27" s="1"/>
  <c r="AO164" i="27"/>
  <c r="AP164" i="27" s="1" a="1"/>
  <c r="AP164" i="27" s="1"/>
  <c r="AY164" i="27" s="1"/>
  <c r="AZ164" i="27" s="1"/>
  <c r="AO127" i="27"/>
  <c r="AP127" i="27" s="1" a="1"/>
  <c r="AP127" i="27" s="1"/>
  <c r="AY127" i="27" s="1"/>
  <c r="AZ127" i="27" s="1"/>
  <c r="AO160" i="27"/>
  <c r="AP160" i="27" s="1" a="1"/>
  <c r="AP160" i="27" s="1"/>
  <c r="AO210" i="27"/>
  <c r="AP210" i="27" s="1" a="1"/>
  <c r="AP210" i="27" s="1"/>
  <c r="AY210" i="27" s="1"/>
  <c r="AZ210" i="27" s="1"/>
  <c r="AO281" i="27"/>
  <c r="AP281" i="27" s="1" a="1"/>
  <c r="AP281" i="27" s="1"/>
  <c r="AO30" i="27"/>
  <c r="AP30" i="27" s="1" a="1"/>
  <c r="AP30" i="27" s="1"/>
  <c r="AY30" i="27" s="1"/>
  <c r="AZ30" i="27" s="1"/>
  <c r="AO196" i="27"/>
  <c r="AP196" i="27" s="1" a="1"/>
  <c r="AP196" i="27" s="1"/>
  <c r="AY196" i="27" s="1"/>
  <c r="AZ196" i="27" s="1"/>
  <c r="AO184" i="27"/>
  <c r="AP184" i="27" s="1" a="1"/>
  <c r="AP184" i="27" s="1"/>
  <c r="AO154" i="27"/>
  <c r="AP154" i="27" s="1" a="1"/>
  <c r="AP154" i="27" s="1"/>
  <c r="AO247" i="27"/>
  <c r="AP247" i="27" s="1" a="1"/>
  <c r="AP247" i="27" s="1"/>
  <c r="AY247" i="27" s="1"/>
  <c r="AZ247" i="27" s="1"/>
  <c r="AO110" i="27"/>
  <c r="AP110" i="27" s="1" a="1"/>
  <c r="AP110" i="27" s="1"/>
  <c r="AY110" i="27" s="1"/>
  <c r="AZ110" i="27" s="1"/>
  <c r="AO319" i="27"/>
  <c r="AP319" i="27" s="1" a="1"/>
  <c r="AP319" i="27" s="1"/>
  <c r="AY319" i="27" s="1"/>
  <c r="AZ319" i="27" s="1"/>
  <c r="AO167" i="27"/>
  <c r="AO5" i="27"/>
  <c r="AP5" i="27" s="1" a="1"/>
  <c r="AP5" i="27" s="1"/>
  <c r="AY5" i="27" s="1"/>
  <c r="AZ5" i="27" s="1"/>
  <c r="AO65" i="27"/>
  <c r="AP65" i="27" s="1" a="1"/>
  <c r="AP65" i="27" s="1"/>
  <c r="AO306" i="27"/>
  <c r="AP306" i="27" s="1" a="1"/>
  <c r="AP306" i="27" s="1"/>
  <c r="AY306" i="27" s="1"/>
  <c r="AZ306" i="27" s="1"/>
  <c r="AO122" i="27"/>
  <c r="AP122" i="27" s="1" a="1"/>
  <c r="AP122" i="27" s="1"/>
  <c r="AY122" i="27" s="1"/>
  <c r="AZ122" i="27" s="1"/>
  <c r="AO212" i="27"/>
  <c r="AP212" i="27" s="1" a="1"/>
  <c r="AP212" i="27" s="1"/>
  <c r="AY212" i="27" s="1"/>
  <c r="AZ212" i="27" s="1"/>
  <c r="AO161" i="27"/>
  <c r="AP161" i="27" s="1" a="1"/>
  <c r="AP161" i="27" s="1"/>
  <c r="AY161" i="27" s="1"/>
  <c r="AZ161" i="27" s="1"/>
  <c r="AO25" i="27"/>
  <c r="AP25" i="27" s="1" a="1"/>
  <c r="AP25" i="27" s="1"/>
  <c r="AY25" i="27" s="1"/>
  <c r="AZ25" i="27" s="1"/>
  <c r="AO172" i="27"/>
  <c r="AP172" i="27" s="1" a="1"/>
  <c r="AP172" i="27" s="1"/>
  <c r="AO239" i="27"/>
  <c r="AO282" i="27"/>
  <c r="AP282" i="27" s="1" a="1"/>
  <c r="AP282" i="27" s="1"/>
  <c r="AY282" i="27" s="1"/>
  <c r="AZ282" i="27" s="1"/>
  <c r="AO201" i="27"/>
  <c r="AP201" i="27" s="1" a="1"/>
  <c r="AP201" i="27" s="1"/>
  <c r="AY201" i="27" s="1"/>
  <c r="AZ201" i="27" s="1"/>
  <c r="AO268" i="27"/>
  <c r="AP268" i="27" s="1" a="1"/>
  <c r="AP268" i="27" s="1"/>
  <c r="AO211" i="27"/>
  <c r="AP211" i="27" s="1" a="1"/>
  <c r="AP211" i="27" s="1"/>
  <c r="AY211" i="27" s="1"/>
  <c r="AZ211" i="27" s="1"/>
  <c r="AO221" i="27"/>
  <c r="AP221" i="27" s="1" a="1"/>
  <c r="AP221" i="27" s="1"/>
  <c r="AY221" i="27" s="1"/>
  <c r="AZ221" i="27" s="1"/>
  <c r="AO317" i="27"/>
  <c r="AP317" i="27" s="1" a="1"/>
  <c r="AP317" i="27" s="1"/>
  <c r="AY317" i="27" s="1"/>
  <c r="AZ317" i="27" s="1"/>
  <c r="AO295" i="27"/>
  <c r="AP295" i="27" s="1" a="1"/>
  <c r="AP295" i="27" s="1"/>
  <c r="AY295" i="27" s="1"/>
  <c r="AZ295" i="27" s="1"/>
  <c r="AO327" i="27"/>
  <c r="AP327" i="27" s="1" a="1"/>
  <c r="AP327" i="27" s="1"/>
  <c r="AY327" i="27" s="1"/>
  <c r="AZ327" i="27" s="1"/>
  <c r="AO312" i="27"/>
  <c r="AP312" i="27" s="1" a="1"/>
  <c r="AP312" i="27" s="1"/>
  <c r="AY312" i="27" s="1"/>
  <c r="AZ312" i="27" s="1"/>
  <c r="AO159" i="27"/>
  <c r="AP159" i="27" s="1" a="1"/>
  <c r="AP159" i="27" s="1"/>
  <c r="AY159" i="27" s="1"/>
  <c r="AZ159" i="27" s="1"/>
  <c r="AO100" i="27"/>
  <c r="AP100" i="27" s="1" a="1"/>
  <c r="AP100" i="27" s="1"/>
  <c r="AY100" i="27" s="1"/>
  <c r="AZ100" i="27" s="1"/>
  <c r="AO19" i="27"/>
  <c r="AP19" i="27" s="1" a="1"/>
  <c r="AP19" i="27" s="1"/>
  <c r="AY19" i="27" s="1"/>
  <c r="AZ19" i="27" s="1"/>
  <c r="AO57" i="27"/>
  <c r="AP57" i="27" s="1" a="1"/>
  <c r="AP57" i="27" s="1"/>
  <c r="AY57" i="27" s="1"/>
  <c r="AZ57" i="27" s="1"/>
  <c r="AO77" i="27"/>
  <c r="AP77" i="27" s="1" a="1"/>
  <c r="AP77" i="27" s="1"/>
  <c r="AY77" i="27" s="1"/>
  <c r="AZ77" i="27" s="1"/>
  <c r="AO147" i="27"/>
  <c r="AP147" i="27" s="1" a="1"/>
  <c r="AP147" i="27" s="1"/>
  <c r="AY147" i="27" s="1"/>
  <c r="AZ147" i="27" s="1"/>
  <c r="AO202" i="27"/>
  <c r="AP202" i="27" s="1" a="1"/>
  <c r="AP202" i="27" s="1"/>
  <c r="AY202" i="27" s="1"/>
  <c r="AZ202" i="27" s="1"/>
  <c r="AO88" i="27"/>
  <c r="AP88" i="27" s="1" a="1"/>
  <c r="AP88" i="27" s="1"/>
  <c r="AY88" i="27" s="1"/>
  <c r="AZ88" i="27" s="1"/>
  <c r="AO32" i="27"/>
  <c r="AP32" i="27" s="1" a="1"/>
  <c r="AP32" i="27" s="1"/>
  <c r="AY32" i="27" s="1"/>
  <c r="AZ32" i="27" s="1"/>
  <c r="AO64" i="27"/>
  <c r="AP64" i="27" s="1" a="1"/>
  <c r="AP64" i="27" s="1"/>
  <c r="AY64" i="27" s="1"/>
  <c r="AZ64" i="27" s="1"/>
  <c r="AO7" i="27"/>
  <c r="AP7" i="27" s="1" a="1"/>
  <c r="AP7" i="27" s="1"/>
  <c r="AO301" i="27"/>
  <c r="AP301" i="27" s="1" a="1"/>
  <c r="AP301" i="27" s="1"/>
  <c r="AY301" i="27" s="1"/>
  <c r="AZ301" i="27" s="1"/>
  <c r="AO82" i="27"/>
  <c r="AP82" i="27" s="1" a="1"/>
  <c r="AP82" i="27" s="1"/>
  <c r="AY215" i="27"/>
  <c r="AZ215" i="27" s="1"/>
  <c r="AO144" i="27"/>
  <c r="AP144" i="27" s="1" a="1"/>
  <c r="AP144" i="27" s="1"/>
  <c r="AY144" i="27" s="1"/>
  <c r="AZ144" i="27" s="1"/>
  <c r="AY156" i="27" l="1"/>
  <c r="AZ156" i="27" s="1"/>
  <c r="AY309" i="27"/>
  <c r="AZ309" i="27" s="1"/>
  <c r="AY275" i="27"/>
  <c r="AZ275" i="27" s="1"/>
  <c r="AY116" i="27"/>
  <c r="AZ116" i="27" s="1"/>
  <c r="AY268" i="27"/>
  <c r="AZ268" i="27" s="1"/>
  <c r="AY172" i="27"/>
  <c r="AZ172" i="27" s="1"/>
  <c r="AY136" i="27"/>
  <c r="AZ136" i="27" s="1"/>
  <c r="AP37" i="27" a="1"/>
  <c r="AP37" i="27" s="1"/>
  <c r="AY37" i="27" s="1"/>
  <c r="AZ37" i="27" s="1"/>
  <c r="AY134" i="27"/>
  <c r="AZ134" i="27" s="1"/>
  <c r="AP244" i="27" a="1"/>
  <c r="AP244" i="27" s="1"/>
  <c r="AY244" i="27" s="1"/>
  <c r="AZ244" i="27" s="1"/>
  <c r="AY238" i="27"/>
  <c r="AZ238" i="27" s="1"/>
  <c r="AP276" i="27" a="1"/>
  <c r="AP276" i="27" s="1"/>
  <c r="AY276" i="27" s="1"/>
  <c r="AZ276" i="27" s="1"/>
  <c r="AY65" i="27"/>
  <c r="AZ65" i="27" s="1"/>
  <c r="AY82" i="27"/>
  <c r="AZ82" i="27" s="1"/>
  <c r="AP167" i="27" a="1"/>
  <c r="AP167" i="27" s="1"/>
  <c r="AY167" i="27" s="1"/>
  <c r="AZ167" i="27" s="1"/>
  <c r="AP48" i="27" a="1"/>
  <c r="AP48" i="27" s="1"/>
  <c r="AY48" i="27" s="1"/>
  <c r="AZ48" i="27" s="1"/>
  <c r="AP261" i="27" a="1"/>
  <c r="AP261" i="27" s="1"/>
  <c r="AY261" i="27" s="1"/>
  <c r="AZ261" i="27" s="1"/>
  <c r="AP241" i="27" a="1"/>
  <c r="AP241" i="27" s="1"/>
  <c r="AY241" i="27" s="1"/>
  <c r="AZ241" i="27" s="1"/>
  <c r="AY85" i="27"/>
  <c r="AZ85" i="27" s="1"/>
  <c r="AY284" i="27"/>
  <c r="AZ284" i="27" s="1"/>
  <c r="AP239" i="27" a="1"/>
  <c r="AP239" i="27" s="1"/>
  <c r="AY239" i="27" s="1"/>
  <c r="AZ239" i="27" s="1"/>
  <c r="AY255" i="27"/>
  <c r="AZ255" i="27" s="1"/>
  <c r="AY140" i="27"/>
  <c r="AZ140" i="27" s="1"/>
  <c r="AY149" i="27"/>
  <c r="AZ149" i="27" s="1"/>
  <c r="AY11" i="27"/>
  <c r="AZ11" i="27" s="1"/>
  <c r="AY214" i="27"/>
  <c r="AZ214" i="27" s="1"/>
  <c r="AP4" i="27" a="1"/>
  <c r="AP4" i="27" s="1"/>
  <c r="AY182" i="27"/>
  <c r="AZ182" i="27" s="1"/>
  <c r="AP227" i="27" a="1"/>
  <c r="AP227" i="27" s="1"/>
  <c r="AY227" i="27" s="1"/>
  <c r="AZ227" i="27" s="1"/>
  <c r="AY49" i="27"/>
  <c r="AZ49" i="27" s="1"/>
  <c r="AY39" i="27"/>
  <c r="AZ39" i="27" s="1"/>
  <c r="AY143" i="27"/>
  <c r="AZ143" i="27" s="1"/>
  <c r="AY270" i="27"/>
  <c r="AZ270" i="27" s="1"/>
  <c r="AP334" i="27" a="1"/>
  <c r="AP334" i="27" s="1"/>
  <c r="AY334" i="27" s="1"/>
  <c r="AZ334" i="27" s="1"/>
  <c r="AY198" i="27"/>
  <c r="AZ198" i="27" s="1"/>
  <c r="AY263" i="27"/>
  <c r="AZ263" i="27" s="1"/>
  <c r="AY44" i="27"/>
  <c r="AZ44" i="27" s="1"/>
  <c r="AY245" i="27"/>
  <c r="AZ245" i="27" s="1"/>
  <c r="AY329" i="27"/>
  <c r="AZ329" i="27" s="1"/>
  <c r="AP204" i="27" a="1"/>
  <c r="AP204" i="27" s="1"/>
  <c r="AY204" i="27" s="1"/>
  <c r="AZ204" i="27" s="1"/>
  <c r="AP6" i="27" a="1"/>
  <c r="AP6" i="27" s="1"/>
  <c r="AY6" i="27" s="1"/>
  <c r="AZ6" i="27" s="1"/>
  <c r="AY121" i="27"/>
  <c r="AZ121" i="27" s="1"/>
  <c r="AY98" i="27"/>
  <c r="AZ98" i="27" s="1"/>
  <c r="AY248" i="27"/>
  <c r="AZ248" i="27" s="1"/>
  <c r="AY262" i="27"/>
  <c r="AZ262" i="27" s="1"/>
  <c r="AP335" i="27" a="1"/>
  <c r="AP335" i="27" s="1"/>
  <c r="AY335" i="27" s="1"/>
  <c r="AZ335" i="27" s="1"/>
  <c r="AY273" i="27"/>
  <c r="AZ273" i="27" s="1"/>
  <c r="AY184" i="27"/>
  <c r="AZ184" i="27" s="1"/>
  <c r="AY186" i="27"/>
  <c r="AZ186" i="27" s="1"/>
  <c r="AY242" i="27"/>
  <c r="AZ242" i="27" s="1"/>
  <c r="AP205" i="27" a="1"/>
  <c r="AP205" i="27" s="1"/>
  <c r="AY205" i="27" s="1"/>
  <c r="AZ205" i="27" s="1"/>
  <c r="AY74" i="27"/>
  <c r="AZ74" i="27" s="1"/>
  <c r="AY292" i="27"/>
  <c r="AZ292" i="27" s="1"/>
  <c r="AY105" i="27"/>
  <c r="AZ105" i="27" s="1"/>
  <c r="AP162" i="27" a="1"/>
  <c r="AP162" i="27" s="1"/>
  <c r="AY162" i="27" s="1"/>
  <c r="AZ162" i="27" s="1"/>
  <c r="AY94" i="27"/>
  <c r="AZ94" i="27" s="1"/>
  <c r="AY80" i="27"/>
  <c r="AZ80" i="27" s="1"/>
  <c r="AY68" i="27"/>
  <c r="AZ68" i="27" s="1"/>
  <c r="AY120" i="27"/>
  <c r="AZ120" i="27" s="1"/>
  <c r="AY281" i="27"/>
  <c r="AZ281" i="27" s="1"/>
  <c r="AY96" i="27"/>
  <c r="AZ96" i="27" s="1"/>
  <c r="AY112" i="27"/>
  <c r="AZ112" i="27" s="1"/>
  <c r="AY266" i="27"/>
  <c r="AZ266" i="27" s="1"/>
  <c r="AP83" i="27" a="1"/>
  <c r="AP83" i="27" s="1"/>
  <c r="AY83" i="27" s="1"/>
  <c r="AZ83" i="27" s="1"/>
  <c r="AY154" i="27"/>
  <c r="AZ154" i="27" s="1"/>
  <c r="AP291" i="27" a="1"/>
  <c r="AP291" i="27" s="1"/>
  <c r="AY291" i="27" s="1"/>
  <c r="AZ291" i="27" s="1"/>
  <c r="AY18" i="27"/>
  <c r="AZ18" i="27" s="1"/>
  <c r="AY314" i="27"/>
  <c r="AZ314" i="27" s="1"/>
  <c r="AY197" i="27"/>
  <c r="AZ197" i="27" s="1"/>
  <c r="AY299" i="27"/>
  <c r="AZ299" i="27" s="1"/>
  <c r="AY7" i="27"/>
  <c r="AZ7" i="27" s="1"/>
  <c r="AY118" i="27"/>
  <c r="AZ118" i="27" s="1"/>
  <c r="AP251" i="27" a="1"/>
  <c r="AP251" i="27" s="1"/>
  <c r="AY251" i="27" s="1"/>
  <c r="AZ251" i="27" s="1"/>
  <c r="AY187" i="27"/>
  <c r="AZ187" i="27" s="1"/>
  <c r="AY54" i="27"/>
  <c r="AZ54" i="27" s="1"/>
  <c r="AY233" i="27"/>
  <c r="AZ233" i="27" s="1"/>
  <c r="AY160" i="27"/>
  <c r="AZ160" i="27" s="1"/>
  <c r="AY163" i="27"/>
  <c r="AZ163" i="27" s="1"/>
  <c r="AY274" i="27"/>
  <c r="AZ274" i="27" s="1"/>
  <c r="AY234" i="27"/>
  <c r="AZ234" i="27" s="1"/>
  <c r="AY236" i="27"/>
  <c r="AZ236" i="27" s="1"/>
  <c r="AY158" i="27"/>
  <c r="AZ158" i="27" s="1"/>
  <c r="AY250" i="27"/>
  <c r="AZ250" i="27" s="1"/>
  <c r="AP318" i="27" a="1"/>
  <c r="AP318" i="27" s="1"/>
  <c r="AY318" i="27" s="1"/>
  <c r="AZ318" i="27" s="1"/>
  <c r="AY95" i="27"/>
  <c r="AZ95" i="27" s="1"/>
  <c r="AY235" i="27"/>
  <c r="AZ235" i="27" s="1"/>
  <c r="AP1" i="27" l="1"/>
  <c r="AY4" i="27"/>
  <c r="AZ4" i="27" s="1"/>
  <c r="AY1" i="2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FC9124-4A17-4AC6-9888-989699803376}" keepAlive="1" name="Query - tblClusterPiN5" description="Connection to the 'tblClusterPiN5' query in the workbook." type="5" refreshedVersion="0" background="1" saveData="1">
    <dbPr connection="Provider=Microsoft.Mashup.OleDb.1;Data Source=$Workbook$;Location=tblClusterPiN5;Extended Properties=&quot;&quot;" command="SELECT * FROM [tblClusterPiN5]"/>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<sst xmlns="http://schemas.openxmlformats.org/spreadsheetml/2006/main" count="11538" uniqueCount="1177">
  <si>
    <t>Herramienta JIAF 2 3: Plantilla de estimación de la PiN y de la Severidad</t>
  </si>
  <si>
    <t>Warnings for all sheets!</t>
  </si>
  <si>
    <r>
      <t xml:space="preserve">Pre-set data checks have been coded into the template and they will be implemented as soon as sector data is inserted into the template. OCHA analysis teams are free to modify the template, including additional checks or removing any checks that are deemed not useful by the analysis team. 
At a minimum, the following columns will need to be updated by the teams:
</t>
    </r>
    <r>
      <rPr>
        <b/>
        <sz val="10"/>
        <color theme="1"/>
        <rFont val="Aptos Narrow"/>
        <family val="2"/>
      </rPr>
      <t>ID</t>
    </r>
    <r>
      <rPr>
        <sz val="10"/>
        <color theme="1"/>
        <rFont val="Aptos Narrow"/>
        <family val="2"/>
      </rPr>
      <t xml:space="preserve">: A unique identifier, automatically generated and required to link certain formulas. </t>
    </r>
    <r>
      <rPr>
        <sz val="10"/>
        <color rgb="FFFF0000"/>
        <rFont val="Aptos Narrow"/>
        <family val="2"/>
      </rPr>
      <t>Do not change or delete.</t>
    </r>
    <r>
      <rPr>
        <sz val="10"/>
        <color theme="1"/>
        <rFont val="Aptos Narrow"/>
        <family val="2"/>
      </rPr>
      <t xml:space="preserve">
</t>
    </r>
    <r>
      <rPr>
        <b/>
        <sz val="10"/>
        <color theme="1"/>
        <rFont val="Aptos Narrow"/>
        <family val="2"/>
      </rPr>
      <t>Geographic and Population related columns</t>
    </r>
    <r>
      <rPr>
        <sz val="10"/>
        <color theme="1"/>
        <rFont val="Aptos Narrow"/>
        <family val="2"/>
      </rPr>
      <t xml:space="preserve">: Do not delete columns for admin units and population group; please just hide any column if not needed.
</t>
    </r>
    <r>
      <rPr>
        <b/>
        <sz val="10"/>
        <color theme="1"/>
        <rFont val="Aptos Narrow"/>
        <family val="2"/>
      </rPr>
      <t>Sectoral Data</t>
    </r>
    <r>
      <rPr>
        <sz val="10"/>
        <color theme="1"/>
        <rFont val="Aptos Narrow"/>
        <family val="2"/>
      </rPr>
      <t xml:space="preserve">: sectoral header names can be changed; sector columns can be removed or added in between the first and last collumn (but do not remove the first and the last sector columns); make sure the order of the sector names match the order of their percentage column and if new sector columns are added make sure to write the formula for the percentage calculation. More importantly, </t>
    </r>
    <r>
      <rPr>
        <b/>
        <sz val="10"/>
        <color theme="1"/>
        <rFont val="Aptos Narrow"/>
        <family val="2"/>
      </rPr>
      <t>Do not delete the first and last column of the sectoral data sectio</t>
    </r>
    <r>
      <rPr>
        <sz val="10"/>
        <color theme="1"/>
        <rFont val="Aptos Narrow"/>
        <family val="2"/>
      </rPr>
      <t>n.</t>
    </r>
  </si>
  <si>
    <t>Sheet</t>
  </si>
  <si>
    <t>Description</t>
  </si>
  <si>
    <t>Thresholds</t>
  </si>
  <si>
    <t>Thresholds
- Flagging criteria &amp; thresholds: OCHA analysis team to adjust if necessary the thresholds for pre-set data checks as per agreements with partners.
- Sub-population group sectors: OCHA analysis team to list all sectors targeting sub-population groups (e.g. kids, women, IDPs) in their context.</t>
  </si>
  <si>
    <t>Overall PiN</t>
  </si>
  <si>
    <t>Preliminary PiN: Highest PiN among the Sector PINs is automatically taken as the preliminary PiN.</t>
  </si>
  <si>
    <r>
      <rPr>
        <b/>
        <sz val="10"/>
        <color rgb="FF000000"/>
        <rFont val="Aptos Narrow"/>
        <family val="2"/>
      </rPr>
      <t>Flags and Outlier Checks:</t>
    </r>
    <r>
      <rPr>
        <sz val="10"/>
        <color rgb="FF000000"/>
        <rFont val="Aptos Narrow"/>
        <family val="2"/>
      </rPr>
      <t xml:space="preserve">
Please note that the analysis team could decide to adjust the thresholds of these indicators, in the Threshold spreadshee or eliminate  flags that they consider not relevant to their contexts</t>
    </r>
  </si>
  <si>
    <r>
      <rPr>
        <b/>
        <u/>
        <sz val="10"/>
        <color theme="10"/>
        <rFont val="Aptos Narrow"/>
        <family val="2"/>
      </rPr>
      <t xml:space="preserve">Number of missing or zero PiN: </t>
    </r>
    <r>
      <rPr>
        <u/>
        <sz val="10"/>
        <color theme="10"/>
        <rFont val="Aptos Narrow"/>
        <family val="2"/>
      </rPr>
      <t>OCHA analysis team to decide the threshold for accepted number of sectors at unit level not to provide a PiN value or have zero PiN.</t>
    </r>
  </si>
  <si>
    <r>
      <rPr>
        <b/>
        <u/>
        <sz val="10"/>
        <color theme="10"/>
        <rFont val="Aptos Narrow"/>
        <family val="2"/>
      </rPr>
      <t xml:space="preserve">Highest PiN close to the total affected population: </t>
    </r>
    <r>
      <rPr>
        <u/>
        <sz val="10"/>
        <color theme="10"/>
        <rFont val="Aptos Narrow"/>
        <family val="2"/>
      </rPr>
      <t>OCHA analysis team to decide the threshold of acceptable proportion of people in need to the affected population at unit level.</t>
    </r>
  </si>
  <si>
    <r>
      <rPr>
        <b/>
        <u/>
        <sz val="10"/>
        <color theme="10"/>
        <rFont val="Aptos Narrow"/>
        <family val="2"/>
      </rPr>
      <t xml:space="preserve">Highest Sector targets only a subset of the affected population: </t>
    </r>
    <r>
      <rPr>
        <u/>
        <sz val="10"/>
        <color theme="10"/>
        <rFont val="Aptos Narrow"/>
        <family val="2"/>
      </rPr>
      <t>OCHA analysis team to decide the sectors that target only a subset of the affected population.</t>
    </r>
  </si>
  <si>
    <r>
      <rPr>
        <b/>
        <u/>
        <sz val="10"/>
        <color theme="10"/>
        <rFont val="Aptos Narrow"/>
        <family val="2"/>
      </rPr>
      <t xml:space="preserve">Difference b/w highest and 2nd highest: </t>
    </r>
    <r>
      <rPr>
        <u/>
        <sz val="10"/>
        <color theme="10"/>
        <rFont val="Aptos Narrow"/>
        <family val="2"/>
      </rPr>
      <t>OCHA analysis team to decide whether certain outliers between highest sector with 2nd or 3rd highest require flagging for review and to enter 'Flagged' in the column.</t>
    </r>
  </si>
  <si>
    <r>
      <rPr>
        <b/>
        <u/>
        <sz val="10"/>
        <color theme="10"/>
        <rFont val="Aptos Narrow"/>
        <family val="2"/>
      </rPr>
      <t xml:space="preserve">Difference b/w highest and 3rd highest: </t>
    </r>
    <r>
      <rPr>
        <u/>
        <sz val="10"/>
        <color theme="10"/>
        <rFont val="Aptos Narrow"/>
        <family val="2"/>
      </rPr>
      <t>OCHA analysis team to decide whether certain outliers between highest sector with 2nd or 3rd highest require flagging for review and to enter 'Flagged' in the column.</t>
    </r>
  </si>
  <si>
    <r>
      <rPr>
        <b/>
        <u/>
        <sz val="10"/>
        <color theme="10"/>
        <rFont val="Aptos Narrow"/>
        <family val="2"/>
      </rPr>
      <t>% Difference between this HNO's highest or 2nd highest sector PiN to same sector in the last HNO:</t>
    </r>
    <r>
      <rPr>
        <u/>
        <sz val="10"/>
        <color theme="10"/>
        <rFont val="Aptos Narrow"/>
        <family val="2"/>
      </rPr>
      <t xml:space="preserve"> OCHA analysis team to decide the threshold of change for this HNO's highest or 2nd higehst sector PiN and last HNO's PiN for the same sector.</t>
    </r>
  </si>
  <si>
    <t>PiN Historical Trend</t>
  </si>
  <si>
    <t xml:space="preserve">This table can be used to compare current sector PiNs to the previous year's PiNs to identify increases or decreases. 
The current PIN will be automatically loaded from the Overal PIN spreadsheet, provided that the unique ID of the rows match. 
The Previous year's HNO data needs to be loaded in the Historical Trend spreadsheet.
Formulas will automatically calculate the %change from previous to current year and highlights area where PiN is 50% higher or lower than the last HNO's PiN for further investigation. Countries can decide to change this 50% threshold according to their context. </t>
  </si>
  <si>
    <t>PiN Visulas</t>
  </si>
  <si>
    <t>Two visuals that can help better understand sectoral PiN affecting percentage of affected population and the percentage of change from one HNO to the last distribution.</t>
  </si>
  <si>
    <t>Intersectoral Severity</t>
  </si>
  <si>
    <r>
      <rPr>
        <b/>
        <sz val="10"/>
        <color rgb="FF000000"/>
        <rFont val="Aptos Narrow"/>
        <family val="2"/>
      </rPr>
      <t xml:space="preserve"># of sectors falling under severity phases: </t>
    </r>
    <r>
      <rPr>
        <sz val="10"/>
        <color rgb="FF000000"/>
        <rFont val="Aptos Narrow"/>
        <family val="2"/>
      </rPr>
      <t>The number of sectors fallen under each severity phase can help better understand and see the relationship of the sectoral severities to the preliminary intersectoral severity.</t>
    </r>
    <r>
      <rPr>
        <b/>
        <sz val="10"/>
        <color rgb="FF000000"/>
        <rFont val="Aptos Narrow"/>
        <family val="2"/>
      </rPr>
      <t xml:space="preserve">
Preliminary Intersectoral Severity</t>
    </r>
    <r>
      <rPr>
        <sz val="10"/>
        <color rgb="FF000000"/>
        <rFont val="Aptos Narrow"/>
        <family val="2"/>
      </rPr>
      <t xml:space="preserve">: preliminary intersectoral severity is automatically calculated according to the logical formula.
</t>
    </r>
    <r>
      <rPr>
        <b/>
        <sz val="10"/>
        <color rgb="FF000000"/>
        <rFont val="Aptos Narrow"/>
        <family val="2"/>
      </rPr>
      <t xml:space="preserve">
Flags and Outlier Checks:
Some sectors having severity phase 5 or 4: </t>
    </r>
    <r>
      <rPr>
        <sz val="10"/>
        <color rgb="FF000000"/>
        <rFont val="Aptos Narrow"/>
        <family val="2"/>
      </rPr>
      <t xml:space="preserve">OCHA analysis team to decide number of sectors in phase 5 or 4 to be flagged and reviewed to confirm the concentration of high sectoral severities .
</t>
    </r>
    <r>
      <rPr>
        <b/>
        <sz val="10"/>
        <color rgb="FF000000"/>
        <rFont val="Aptos Narrow"/>
        <family val="2"/>
      </rPr>
      <t>Variation between preliminary severity and outcome indicators:</t>
    </r>
    <r>
      <rPr>
        <sz val="10"/>
        <color rgb="FF000000"/>
        <rFont val="Aptos Narrow"/>
        <family val="2"/>
      </rPr>
      <t xml:space="preserve"> preliminary intersectoral severity is higher or lower then outcome indicators (by 1 or more).</t>
    </r>
  </si>
  <si>
    <t>Reference Table indicators</t>
  </si>
  <si>
    <t>Fill in reference table indicators data at unit level to automatically calculate the severity of the indicator which will be used to compare the intersectoral severity results with.
If any indicators are added, removed or modified, please make sure that the formulas correctly reflect these changes.</t>
  </si>
  <si>
    <t>¡No elimine esta ficha ni las tablas que contiene!</t>
  </si>
  <si>
    <t>¡Las tablas de esta hoja se están utilizando en fórmulas de otras hojas!</t>
  </si>
  <si>
    <t>PiN Criterios de señalización y umbrales</t>
  </si>
  <si>
    <t>Please assign the thresholds relevant for your country</t>
  </si>
  <si>
    <t>Nombre del marcador</t>
  </si>
  <si>
    <t xml:space="preserve">Descripción del marcador </t>
  </si>
  <si>
    <t>Umbral recomendado</t>
  </si>
  <si>
    <t>Umbral País</t>
  </si>
  <si>
    <t xml:space="preserve">Explicación de la propuesta de otro umbral </t>
  </si>
  <si>
    <t>Propósito</t>
  </si>
  <si>
    <t>Número de sectores con 0 PiN</t>
  </si>
  <si>
    <t>% Diferencia entre el 1º y el 2º número más alto de PiN</t>
  </si>
  <si>
    <t>Umbral de diferencia porcentual entre el 1º y el 2º PiN más alto, superior al 30 %</t>
  </si>
  <si>
    <t>% Diferencia entre el 1° y el 3° número más alto de PiN</t>
  </si>
  <si>
    <t>% umbral de diferencia entre el 1° y el 3° PiN más alto, superior al 50 %</t>
  </si>
  <si>
    <t>El número de PiN del sector más alto se dirige a subgrupos de población</t>
  </si>
  <si>
    <t>Siempre que un clúster relacionado con un subgrupo de población sea superior a cualquier otro clúster - por ejemplo, Educación y Nutrición</t>
  </si>
  <si>
    <t>PiN superior al 90 % de la población total afectada</t>
  </si>
  <si>
    <t>Marcar dónde el 1º o el 2º PiN más alto es el 90 % de la población afectada</t>
  </si>
  <si>
    <t>Variación respecto al año pasado</t>
  </si>
  <si>
    <t>Marcar cuando la variación con respecto al año anterior del primer o segundo PiN más alto es significativamente superior a la variación media con respecto al año anterior de todos los grupos</t>
  </si>
  <si>
    <t>Marcador manual</t>
  </si>
  <si>
    <t>Cualquier área puede ser marcada manualmente siempre que haya una preocupación por parte de cualquier analista de la JIAF sobre las PiN</t>
  </si>
  <si>
    <t>PiN, Sectores de grupos de subpoblación</t>
  </si>
  <si>
    <t>Sector</t>
  </si>
  <si>
    <t>Proportion of sector target population in overall population</t>
  </si>
  <si>
    <t>Decision Rule for determining PIN</t>
  </si>
  <si>
    <t>Education</t>
  </si>
  <si>
    <t>1. acepte PiN más alto sin marcadores.  
2. Acepte PiN más alto después de conciliar cualquier marcador.  
3. Si no hay consenso sobre el número de PiN más alto, utilice el segundo PiN más alto.  
4. Si no hay consenso sobre el segundo PiN más alto, elevar la decisión al nivel de la coordinación de asuntos humanitarios (HC, por sus siglas en inglés)</t>
  </si>
  <si>
    <t>Severity Flagging criteria &amp; thresholds</t>
  </si>
  <si>
    <t xml:space="preserve">Criterio de marcado para PiN </t>
  </si>
  <si>
    <t>Nº de sectores en fase 5</t>
  </si>
  <si>
    <t>Nº de sectores en fase 4 o inferior con preliminares en fase 5</t>
  </si>
  <si>
    <t>Población meta y priorizada</t>
  </si>
  <si>
    <t>Criterios para población meta</t>
  </si>
  <si>
    <t>Porcentage para areas en Severidad 3</t>
  </si>
  <si>
    <t>Porcentage para areas en Severidad 4 y 5</t>
  </si>
  <si>
    <t>Ubicación</t>
  </si>
  <si>
    <t>Población</t>
  </si>
  <si>
    <t>PiN de los grupos del año anterior</t>
  </si>
  <si>
    <t>PiN de las agrupaciones actuales</t>
  </si>
  <si>
    <t>Diferencias absolutas de PiN</t>
  </si>
  <si>
    <t>% Diferencias PiN</t>
  </si>
  <si>
    <t>ID</t>
  </si>
  <si>
    <t>Admin 1</t>
  </si>
  <si>
    <t>Admin 1 Código P</t>
  </si>
  <si>
    <t>Admin 2</t>
  </si>
  <si>
    <t>Admin 2 Código P</t>
  </si>
  <si>
    <t>Foco de necesidades</t>
  </si>
  <si>
    <t>Grupo de población</t>
  </si>
  <si>
    <t>SAMV25</t>
  </si>
  <si>
    <t>NUT25</t>
  </si>
  <si>
    <t>SAL25</t>
  </si>
  <si>
    <t>EDU25</t>
  </si>
  <si>
    <t>PRO25</t>
  </si>
  <si>
    <t>ASH25</t>
  </si>
  <si>
    <t>SAMV26</t>
  </si>
  <si>
    <t>NUT26</t>
  </si>
  <si>
    <t>SAL26</t>
  </si>
  <si>
    <t>EDU26</t>
  </si>
  <si>
    <t>PRO26</t>
  </si>
  <si>
    <t>ASH26</t>
  </si>
  <si>
    <t>Diferencia PiN para SAM</t>
  </si>
  <si>
    <t>Diferencia PiN para NUT</t>
  </si>
  <si>
    <t>Diferencia PiN para SAL</t>
  </si>
  <si>
    <t>Diferencia PiN para EDU</t>
  </si>
  <si>
    <t>Diferencia PiN para PRO</t>
  </si>
  <si>
    <t>Diferencia PiN para ASH</t>
  </si>
  <si>
    <t>SAMV</t>
  </si>
  <si>
    <t>NUT</t>
  </si>
  <si>
    <t>SAL</t>
  </si>
  <si>
    <t>EDU</t>
  </si>
  <si>
    <t>PRO</t>
  </si>
  <si>
    <t>ASH</t>
  </si>
  <si>
    <t>Distrito Capital</t>
  </si>
  <si>
    <t>VE01</t>
  </si>
  <si>
    <t>Libertador</t>
  </si>
  <si>
    <t>VE0101</t>
  </si>
  <si>
    <t>Venezolanos</t>
  </si>
  <si>
    <t>Amazonas</t>
  </si>
  <si>
    <t>VE02</t>
  </si>
  <si>
    <t>Autónomo Alto Orinoco</t>
  </si>
  <si>
    <t>VE0201</t>
  </si>
  <si>
    <t>Autónomo Atabapo</t>
  </si>
  <si>
    <t>VE0202</t>
  </si>
  <si>
    <t>Autónomo Atures</t>
  </si>
  <si>
    <t>VE0203</t>
  </si>
  <si>
    <t>Autónomo Autana</t>
  </si>
  <si>
    <t>VE0204</t>
  </si>
  <si>
    <t>Autónomo Maroa</t>
  </si>
  <si>
    <t>VE0205</t>
  </si>
  <si>
    <t>Autónomo Manapiare</t>
  </si>
  <si>
    <t>VE0206</t>
  </si>
  <si>
    <t>Autónomo Río Negro</t>
  </si>
  <si>
    <t>VE0207</t>
  </si>
  <si>
    <t>Anzoátegui</t>
  </si>
  <si>
    <t>VE03</t>
  </si>
  <si>
    <t>Anaco</t>
  </si>
  <si>
    <t>VE0301</t>
  </si>
  <si>
    <t>Aragua</t>
  </si>
  <si>
    <t>VE0302</t>
  </si>
  <si>
    <t>Fernando de Peñalver</t>
  </si>
  <si>
    <t>VE0303</t>
  </si>
  <si>
    <t>Francisco del Carmen Carvajal</t>
  </si>
  <si>
    <t>VE0304</t>
  </si>
  <si>
    <t>Francisco de Miranda</t>
  </si>
  <si>
    <t>VE0305</t>
  </si>
  <si>
    <t>Guanta</t>
  </si>
  <si>
    <t>VE0306</t>
  </si>
  <si>
    <t>Independencia</t>
  </si>
  <si>
    <t>VE0307</t>
  </si>
  <si>
    <t>Juan Antonio Sotillo</t>
  </si>
  <si>
    <t>VE0308</t>
  </si>
  <si>
    <t>Juan Manuel Cajigal</t>
  </si>
  <si>
    <t>VE0309</t>
  </si>
  <si>
    <t>José Gregorio Monagas</t>
  </si>
  <si>
    <t>VE0310</t>
  </si>
  <si>
    <t>Libertad</t>
  </si>
  <si>
    <t>VE0311</t>
  </si>
  <si>
    <t>Manuel Ezequiel Bruzual</t>
  </si>
  <si>
    <t>VE0312</t>
  </si>
  <si>
    <t>Pedro María Fréites</t>
  </si>
  <si>
    <t>VE0313</t>
  </si>
  <si>
    <t>Píritu</t>
  </si>
  <si>
    <t>VE0314</t>
  </si>
  <si>
    <t>San José de Guanipa</t>
  </si>
  <si>
    <t>VE0315</t>
  </si>
  <si>
    <t>San Juan de Capistrano</t>
  </si>
  <si>
    <t>VE0316</t>
  </si>
  <si>
    <t>Santa Ana</t>
  </si>
  <si>
    <t>VE0317</t>
  </si>
  <si>
    <t>Simón Bolívar</t>
  </si>
  <si>
    <t>VE0318</t>
  </si>
  <si>
    <t>Simón Rodríguez</t>
  </si>
  <si>
    <t>VE0319</t>
  </si>
  <si>
    <t>Sir Artur Mc Gregor</t>
  </si>
  <si>
    <t>VE0320</t>
  </si>
  <si>
    <t>Turístico Diego Bautista Urbaneja</t>
  </si>
  <si>
    <t>VE0321</t>
  </si>
  <si>
    <t>Apure</t>
  </si>
  <si>
    <t>VE04</t>
  </si>
  <si>
    <t>Achaguas</t>
  </si>
  <si>
    <t>VE0401</t>
  </si>
  <si>
    <t>Biruaca</t>
  </si>
  <si>
    <t>VE0402</t>
  </si>
  <si>
    <t>Muñoz</t>
  </si>
  <si>
    <t>VE0403</t>
  </si>
  <si>
    <t>Páez</t>
  </si>
  <si>
    <t>VE0404</t>
  </si>
  <si>
    <t>Pedro Camejo</t>
  </si>
  <si>
    <t>VE0405</t>
  </si>
  <si>
    <t>Rómulo Gallegos</t>
  </si>
  <si>
    <t>VE0406</t>
  </si>
  <si>
    <t>San Fernando</t>
  </si>
  <si>
    <t>VE0407</t>
  </si>
  <si>
    <t>VE05</t>
  </si>
  <si>
    <t>Bolívar</t>
  </si>
  <si>
    <t>VE0501</t>
  </si>
  <si>
    <t>Camatagua</t>
  </si>
  <si>
    <t>VE0502</t>
  </si>
  <si>
    <t>Girardot</t>
  </si>
  <si>
    <t>VE0503</t>
  </si>
  <si>
    <t>José Ángel Lamas</t>
  </si>
  <si>
    <t>VE0504</t>
  </si>
  <si>
    <t>José Félix Ribas</t>
  </si>
  <si>
    <t>VE0505</t>
  </si>
  <si>
    <t>José Rafael Revenga</t>
  </si>
  <si>
    <t>VE0506</t>
  </si>
  <si>
    <t>VE0507</t>
  </si>
  <si>
    <t>Mario Briceño Iragorry</t>
  </si>
  <si>
    <t>VE0508</t>
  </si>
  <si>
    <t>San Casimiro</t>
  </si>
  <si>
    <t>VE0509</t>
  </si>
  <si>
    <t>San Sebastián</t>
  </si>
  <si>
    <t>VE0510</t>
  </si>
  <si>
    <t>Santiago Mariño</t>
  </si>
  <si>
    <t>VE0511</t>
  </si>
  <si>
    <t>Santos Michelena</t>
  </si>
  <si>
    <t>VE0512</t>
  </si>
  <si>
    <t>Sucre</t>
  </si>
  <si>
    <t>VE0513</t>
  </si>
  <si>
    <t>Tovar</t>
  </si>
  <si>
    <t>VE0514</t>
  </si>
  <si>
    <t>Urdaneta</t>
  </si>
  <si>
    <t>VE0515</t>
  </si>
  <si>
    <t>Zamora</t>
  </si>
  <si>
    <t>VE0516</t>
  </si>
  <si>
    <t>Francisco Linares Alcántara</t>
  </si>
  <si>
    <t>VE0517</t>
  </si>
  <si>
    <t>Ocumare de la Costa de Oro</t>
  </si>
  <si>
    <t>VE0518</t>
  </si>
  <si>
    <t>Barinas</t>
  </si>
  <si>
    <t>VE06</t>
  </si>
  <si>
    <t>Alberto Arvelo Torrealba</t>
  </si>
  <si>
    <t>VE0601</t>
  </si>
  <si>
    <t>Antonio José de Sucre</t>
  </si>
  <si>
    <t>VE0602</t>
  </si>
  <si>
    <t>Arismendi</t>
  </si>
  <si>
    <t>VE0603</t>
  </si>
  <si>
    <t>VE0604</t>
  </si>
  <si>
    <t>VE0605</t>
  </si>
  <si>
    <t>Cruz Paredes</t>
  </si>
  <si>
    <t>VE0606</t>
  </si>
  <si>
    <t>Ezequiel Zamora</t>
  </si>
  <si>
    <t>VE0607</t>
  </si>
  <si>
    <t>Obispos</t>
  </si>
  <si>
    <t>VE0608</t>
  </si>
  <si>
    <t>Pedraza</t>
  </si>
  <si>
    <t>VE0609</t>
  </si>
  <si>
    <t>Rojas</t>
  </si>
  <si>
    <t>VE0610</t>
  </si>
  <si>
    <t>Sosa</t>
  </si>
  <si>
    <t>VE0611</t>
  </si>
  <si>
    <t>Andrés Eloy Blanco</t>
  </si>
  <si>
    <t>VE0612</t>
  </si>
  <si>
    <t>VE07</t>
  </si>
  <si>
    <t>Caroní</t>
  </si>
  <si>
    <t>VE0701</t>
  </si>
  <si>
    <t>Cedeño</t>
  </si>
  <si>
    <t>VE0702</t>
  </si>
  <si>
    <t>El Callao</t>
  </si>
  <si>
    <t>VE0703</t>
  </si>
  <si>
    <t>Gran Sabana</t>
  </si>
  <si>
    <t>VE0704</t>
  </si>
  <si>
    <t>Heres</t>
  </si>
  <si>
    <t>VE0705</t>
  </si>
  <si>
    <t>Piar</t>
  </si>
  <si>
    <t>VE0706</t>
  </si>
  <si>
    <t>Bolivariano Angostura</t>
  </si>
  <si>
    <t>VE0707</t>
  </si>
  <si>
    <t>Roscio</t>
  </si>
  <si>
    <t>VE0708</t>
  </si>
  <si>
    <t>Sifontes</t>
  </si>
  <si>
    <t>VE0709</t>
  </si>
  <si>
    <t>VE0710</t>
  </si>
  <si>
    <t>Padre Pedro Chien</t>
  </si>
  <si>
    <t>VE0711</t>
  </si>
  <si>
    <t>Carabobo</t>
  </si>
  <si>
    <t>VE08</t>
  </si>
  <si>
    <t>Bejuma</t>
  </si>
  <si>
    <t>VE0801</t>
  </si>
  <si>
    <t>Carlos Arvelo</t>
  </si>
  <si>
    <t>VE0802</t>
  </si>
  <si>
    <t>Diego Ibarra</t>
  </si>
  <si>
    <t>VE0803</t>
  </si>
  <si>
    <t>Guacara</t>
  </si>
  <si>
    <t>VE0804</t>
  </si>
  <si>
    <t>Juan José Mora</t>
  </si>
  <si>
    <t>VE0805</t>
  </si>
  <si>
    <t>VE0806</t>
  </si>
  <si>
    <t>Los Guayos</t>
  </si>
  <si>
    <t>VE0807</t>
  </si>
  <si>
    <t>Miranda</t>
  </si>
  <si>
    <t>VE0808</t>
  </si>
  <si>
    <t>Montalbán</t>
  </si>
  <si>
    <t>VE0809</t>
  </si>
  <si>
    <t>Naguanagua</t>
  </si>
  <si>
    <t>VE0810</t>
  </si>
  <si>
    <t>Puerto Cabello</t>
  </si>
  <si>
    <t>VE0811</t>
  </si>
  <si>
    <t>San Diego</t>
  </si>
  <si>
    <t>VE0812</t>
  </si>
  <si>
    <t>San Joaquín</t>
  </si>
  <si>
    <t>VE0813</t>
  </si>
  <si>
    <t>Valencia</t>
  </si>
  <si>
    <t>VE0814</t>
  </si>
  <si>
    <t>Cojedes</t>
  </si>
  <si>
    <t>VE09</t>
  </si>
  <si>
    <t>VE0901</t>
  </si>
  <si>
    <t>Tinaquillo</t>
  </si>
  <si>
    <t>VE0902</t>
  </si>
  <si>
    <t>VE0903</t>
  </si>
  <si>
    <t>Lima Blanco</t>
  </si>
  <si>
    <t>VE0904</t>
  </si>
  <si>
    <t>Pao de San Juan Bautista</t>
  </si>
  <si>
    <t>VE0905</t>
  </si>
  <si>
    <t>Ricaurte</t>
  </si>
  <si>
    <t>VE0906</t>
  </si>
  <si>
    <t>VE0907</t>
  </si>
  <si>
    <t>VE0908</t>
  </si>
  <si>
    <t>Tinaco</t>
  </si>
  <si>
    <t>VE0909</t>
  </si>
  <si>
    <t>Delta Amacuro</t>
  </si>
  <si>
    <t>VE10</t>
  </si>
  <si>
    <t>Antonio Díaz</t>
  </si>
  <si>
    <t>VE1001</t>
  </si>
  <si>
    <t>Casacoima</t>
  </si>
  <si>
    <t>VE1002</t>
  </si>
  <si>
    <t>Pedernales</t>
  </si>
  <si>
    <t>VE1003</t>
  </si>
  <si>
    <t>Tucupita</t>
  </si>
  <si>
    <t>VE1004</t>
  </si>
  <si>
    <t>Falcón</t>
  </si>
  <si>
    <t>VE11</t>
  </si>
  <si>
    <t>Acosta</t>
  </si>
  <si>
    <t>VE1101</t>
  </si>
  <si>
    <t>VE1102</t>
  </si>
  <si>
    <t>Buchivacoa</t>
  </si>
  <si>
    <t>VE1103</t>
  </si>
  <si>
    <t>Cacique Manaure</t>
  </si>
  <si>
    <t>VE1104</t>
  </si>
  <si>
    <t>Carirubana</t>
  </si>
  <si>
    <t>VE1105</t>
  </si>
  <si>
    <t>Colina</t>
  </si>
  <si>
    <t>VE1106</t>
  </si>
  <si>
    <t>Dabajuro</t>
  </si>
  <si>
    <t>VE1107</t>
  </si>
  <si>
    <t>Democracia</t>
  </si>
  <si>
    <t>VE1108</t>
  </si>
  <si>
    <t>VE1109</t>
  </si>
  <si>
    <t>Federación</t>
  </si>
  <si>
    <t>VE1110</t>
  </si>
  <si>
    <t>Jacura</t>
  </si>
  <si>
    <t>VE1111</t>
  </si>
  <si>
    <t>Los Taques</t>
  </si>
  <si>
    <t>VE1112</t>
  </si>
  <si>
    <t>Mauroa</t>
  </si>
  <si>
    <t>VE1113</t>
  </si>
  <si>
    <t>VE1114</t>
  </si>
  <si>
    <t>Monseñor Iturriza</t>
  </si>
  <si>
    <t>VE1115</t>
  </si>
  <si>
    <t>Palmasola</t>
  </si>
  <si>
    <t>VE1116</t>
  </si>
  <si>
    <t>Petit</t>
  </si>
  <si>
    <t>VE1117</t>
  </si>
  <si>
    <t>VE1118</t>
  </si>
  <si>
    <t>San Francisco</t>
  </si>
  <si>
    <t>VE1119</t>
  </si>
  <si>
    <t>Silva</t>
  </si>
  <si>
    <t>VE1120</t>
  </si>
  <si>
    <t>VE1121</t>
  </si>
  <si>
    <t>Tocópero</t>
  </si>
  <si>
    <t>VE1122</t>
  </si>
  <si>
    <t>Unión</t>
  </si>
  <si>
    <t>VE1123</t>
  </si>
  <si>
    <t>Urumaco</t>
  </si>
  <si>
    <t>VE1124</t>
  </si>
  <si>
    <t>VE1125</t>
  </si>
  <si>
    <t>Guárico</t>
  </si>
  <si>
    <t>VE12</t>
  </si>
  <si>
    <t>Camaguán</t>
  </si>
  <si>
    <t>VE1201</t>
  </si>
  <si>
    <t>Chaguaramas</t>
  </si>
  <si>
    <t>VE1202</t>
  </si>
  <si>
    <t>El Socorro</t>
  </si>
  <si>
    <t>VE1203</t>
  </si>
  <si>
    <t>San Gerónimo de Guayabal</t>
  </si>
  <si>
    <t>VE1204</t>
  </si>
  <si>
    <t>Leonardo Infante</t>
  </si>
  <si>
    <t>VE1205</t>
  </si>
  <si>
    <t>Las Mercedes</t>
  </si>
  <si>
    <t>VE1206</t>
  </si>
  <si>
    <t>Julián Mellado</t>
  </si>
  <si>
    <t>VE1207</t>
  </si>
  <si>
    <t>VE1208</t>
  </si>
  <si>
    <t>José Tadeo Monagas</t>
  </si>
  <si>
    <t>VE1209</t>
  </si>
  <si>
    <t>Ortiz</t>
  </si>
  <si>
    <t>VE1210</t>
  </si>
  <si>
    <t>José Felix Ribas</t>
  </si>
  <si>
    <t>VE1211</t>
  </si>
  <si>
    <t>Juan Germán Roscio</t>
  </si>
  <si>
    <t>VE1212</t>
  </si>
  <si>
    <t>San José de Guaribe</t>
  </si>
  <si>
    <t>VE1213</t>
  </si>
  <si>
    <t>Santa María de Ipire</t>
  </si>
  <si>
    <t>VE1214</t>
  </si>
  <si>
    <t>Pedro Zaraza</t>
  </si>
  <si>
    <t>VE1215</t>
  </si>
  <si>
    <t>Lara</t>
  </si>
  <si>
    <t>VE13</t>
  </si>
  <si>
    <t>VE1301</t>
  </si>
  <si>
    <t>Crespo</t>
  </si>
  <si>
    <t>VE1302</t>
  </si>
  <si>
    <t>Iribarren</t>
  </si>
  <si>
    <t>VE1303</t>
  </si>
  <si>
    <t>Jiménez</t>
  </si>
  <si>
    <t>VE1304</t>
  </si>
  <si>
    <t>Morán</t>
  </si>
  <si>
    <t>VE1305</t>
  </si>
  <si>
    <t>Palavecino</t>
  </si>
  <si>
    <t>VE1306</t>
  </si>
  <si>
    <t>Simon Planas</t>
  </si>
  <si>
    <t>VE1307</t>
  </si>
  <si>
    <t>Torres</t>
  </si>
  <si>
    <t>VE1308</t>
  </si>
  <si>
    <t>VE1309</t>
  </si>
  <si>
    <t>Mérida</t>
  </si>
  <si>
    <t>VE14</t>
  </si>
  <si>
    <t>Alberto Adriani</t>
  </si>
  <si>
    <t>VE1401</t>
  </si>
  <si>
    <t>Andrés Bello</t>
  </si>
  <si>
    <t>VE1402</t>
  </si>
  <si>
    <t>Antonio Pinto Salinas</t>
  </si>
  <si>
    <t>VE1403</t>
  </si>
  <si>
    <t>Aricagua</t>
  </si>
  <si>
    <t>VE1404</t>
  </si>
  <si>
    <t>Arzobispo Chacón</t>
  </si>
  <si>
    <t>VE1405</t>
  </si>
  <si>
    <t>Campo Elías</t>
  </si>
  <si>
    <t>VE1406</t>
  </si>
  <si>
    <t>Caracciolo Parra Olmedo</t>
  </si>
  <si>
    <t>VE1407</t>
  </si>
  <si>
    <t>Cardenal Quintero</t>
  </si>
  <si>
    <t>VE1408</t>
  </si>
  <si>
    <t>Guaraque</t>
  </si>
  <si>
    <t>VE1409</t>
  </si>
  <si>
    <t>Julio César Salas</t>
  </si>
  <si>
    <t>VE1410</t>
  </si>
  <si>
    <t>Justo Briceño</t>
  </si>
  <si>
    <t>VE1411</t>
  </si>
  <si>
    <t>VE1412</t>
  </si>
  <si>
    <t>VE1413</t>
  </si>
  <si>
    <t>Obispo Ramos de Lora</t>
  </si>
  <si>
    <t>VE1414</t>
  </si>
  <si>
    <t>Padre Noguera</t>
  </si>
  <si>
    <t>VE1415</t>
  </si>
  <si>
    <t>Pueblo Llano</t>
  </si>
  <si>
    <t>VE1416</t>
  </si>
  <si>
    <t>Rangel</t>
  </si>
  <si>
    <t>VE1417</t>
  </si>
  <si>
    <t>Rivas Dávila</t>
  </si>
  <si>
    <t>VE1418</t>
  </si>
  <si>
    <t>Santos Marquina</t>
  </si>
  <si>
    <t>VE1419</t>
  </si>
  <si>
    <t>VE1420</t>
  </si>
  <si>
    <t>VE1421</t>
  </si>
  <si>
    <t>Tulio Febres Cordero</t>
  </si>
  <si>
    <t>VE1422</t>
  </si>
  <si>
    <t>Zea</t>
  </si>
  <si>
    <t>VE1423</t>
  </si>
  <si>
    <t>VE15</t>
  </si>
  <si>
    <t>Acevedo</t>
  </si>
  <si>
    <t>VE1501</t>
  </si>
  <si>
    <t>VE1502</t>
  </si>
  <si>
    <t>Baruta</t>
  </si>
  <si>
    <t>VE1503</t>
  </si>
  <si>
    <t>Brión</t>
  </si>
  <si>
    <t>VE1504</t>
  </si>
  <si>
    <t>Buroz</t>
  </si>
  <si>
    <t>VE1505</t>
  </si>
  <si>
    <t>Carrizal</t>
  </si>
  <si>
    <t>VE1506</t>
  </si>
  <si>
    <t>Chacao</t>
  </si>
  <si>
    <t>VE1507</t>
  </si>
  <si>
    <t>Cristóbal Rojas</t>
  </si>
  <si>
    <t>VE1508</t>
  </si>
  <si>
    <t>El Hatillo</t>
  </si>
  <si>
    <t>VE1509</t>
  </si>
  <si>
    <t>Guaicaipuro</t>
  </si>
  <si>
    <t>VE1510</t>
  </si>
  <si>
    <t>VE1511</t>
  </si>
  <si>
    <t>Lander</t>
  </si>
  <si>
    <t>VE1512</t>
  </si>
  <si>
    <t>Los Salias</t>
  </si>
  <si>
    <t>VE1513</t>
  </si>
  <si>
    <t>VE1514</t>
  </si>
  <si>
    <t>Paz Castillo</t>
  </si>
  <si>
    <t>VE1515</t>
  </si>
  <si>
    <t>Pedro Gual</t>
  </si>
  <si>
    <t>VE1516</t>
  </si>
  <si>
    <t>Plaza</t>
  </si>
  <si>
    <t>VE1517</t>
  </si>
  <si>
    <t>VE1518</t>
  </si>
  <si>
    <t>VE1519</t>
  </si>
  <si>
    <t>VE1520</t>
  </si>
  <si>
    <t>VE1521</t>
  </si>
  <si>
    <t>Monagas</t>
  </si>
  <si>
    <t>VE16</t>
  </si>
  <si>
    <t>VE1601</t>
  </si>
  <si>
    <t>Aguasay</t>
  </si>
  <si>
    <t>VE1602</t>
  </si>
  <si>
    <t>VE1603</t>
  </si>
  <si>
    <t>Caripe</t>
  </si>
  <si>
    <t>VE1604</t>
  </si>
  <si>
    <t>VE1605</t>
  </si>
  <si>
    <t>VE1606</t>
  </si>
  <si>
    <t>VE1607</t>
  </si>
  <si>
    <t>Maturín</t>
  </si>
  <si>
    <t>VE1608</t>
  </si>
  <si>
    <t>VE1609</t>
  </si>
  <si>
    <t>Punceres</t>
  </si>
  <si>
    <t>VE1610</t>
  </si>
  <si>
    <t>Santa Bárbara</t>
  </si>
  <si>
    <t>VE1611</t>
  </si>
  <si>
    <t>Sotillo</t>
  </si>
  <si>
    <t>VE1612</t>
  </si>
  <si>
    <t>Uracoa</t>
  </si>
  <si>
    <t>VE1613</t>
  </si>
  <si>
    <t>Nueva Esparta</t>
  </si>
  <si>
    <t>VE17</t>
  </si>
  <si>
    <t>Antolín del Campo</t>
  </si>
  <si>
    <t>VE1701</t>
  </si>
  <si>
    <t>VE1702</t>
  </si>
  <si>
    <t>Díaz</t>
  </si>
  <si>
    <t>VE1703</t>
  </si>
  <si>
    <t>García</t>
  </si>
  <si>
    <t>VE1704</t>
  </si>
  <si>
    <t>Gómez</t>
  </si>
  <si>
    <t>VE1705</t>
  </si>
  <si>
    <t>Maneiro</t>
  </si>
  <si>
    <t>VE1706</t>
  </si>
  <si>
    <t>Marcano</t>
  </si>
  <si>
    <t>VE1707</t>
  </si>
  <si>
    <t>Mariño</t>
  </si>
  <si>
    <t>VE1708</t>
  </si>
  <si>
    <t>Península de Macanao</t>
  </si>
  <si>
    <t>VE1709</t>
  </si>
  <si>
    <t>Tubores</t>
  </si>
  <si>
    <t>VE1710</t>
  </si>
  <si>
    <t>Villalba</t>
  </si>
  <si>
    <t>VE1711</t>
  </si>
  <si>
    <t>Portuguesa</t>
  </si>
  <si>
    <t>VE18</t>
  </si>
  <si>
    <t>Agua Blanca</t>
  </si>
  <si>
    <t>VE1801</t>
  </si>
  <si>
    <t>Araure</t>
  </si>
  <si>
    <t>VE1802</t>
  </si>
  <si>
    <t>Esteller</t>
  </si>
  <si>
    <t>VE1803</t>
  </si>
  <si>
    <t>Guanare</t>
  </si>
  <si>
    <t>VE1804</t>
  </si>
  <si>
    <t>Guanarito</t>
  </si>
  <si>
    <t>VE1805</t>
  </si>
  <si>
    <t>Monseñor José Vicente de Unda</t>
  </si>
  <si>
    <t>VE1806</t>
  </si>
  <si>
    <t>Ospino</t>
  </si>
  <si>
    <t>VE1807</t>
  </si>
  <si>
    <t>VE1808</t>
  </si>
  <si>
    <t>Papelón</t>
  </si>
  <si>
    <t>VE1809</t>
  </si>
  <si>
    <t>San Genaro de Boconoito</t>
  </si>
  <si>
    <t>VE1810</t>
  </si>
  <si>
    <t>San Rafael de Onoto</t>
  </si>
  <si>
    <t>VE1811</t>
  </si>
  <si>
    <t>Santa Rosalía</t>
  </si>
  <si>
    <t>VE1812</t>
  </si>
  <si>
    <t>VE1813</t>
  </si>
  <si>
    <t>Turén</t>
  </si>
  <si>
    <t>VE1814</t>
  </si>
  <si>
    <t>VE19</t>
  </si>
  <si>
    <t>VE1901</t>
  </si>
  <si>
    <t>Andrés Mata</t>
  </si>
  <si>
    <t>VE1902</t>
  </si>
  <si>
    <t>VE1903</t>
  </si>
  <si>
    <t>Benítez</t>
  </si>
  <si>
    <t>VE1904</t>
  </si>
  <si>
    <t>Bermúdez</t>
  </si>
  <si>
    <t>VE1905</t>
  </si>
  <si>
    <t>VE1906</t>
  </si>
  <si>
    <t>Cajigal</t>
  </si>
  <si>
    <t>VE1907</t>
  </si>
  <si>
    <t>Cruz Salmerón Acosta</t>
  </si>
  <si>
    <t>VE1908</t>
  </si>
  <si>
    <t>VE1909</t>
  </si>
  <si>
    <t>VE1910</t>
  </si>
  <si>
    <t>Mejía</t>
  </si>
  <si>
    <t>VE1911</t>
  </si>
  <si>
    <t>Montes</t>
  </si>
  <si>
    <t>VE1912</t>
  </si>
  <si>
    <t>Ribero</t>
  </si>
  <si>
    <t>VE1913</t>
  </si>
  <si>
    <t>VE1914</t>
  </si>
  <si>
    <t>Valdez</t>
  </si>
  <si>
    <t>VE1915</t>
  </si>
  <si>
    <t>Táchira</t>
  </si>
  <si>
    <t>VE20</t>
  </si>
  <si>
    <t>Andrés bello</t>
  </si>
  <si>
    <t>VE2001</t>
  </si>
  <si>
    <t>Antonio Rómulo Acosta</t>
  </si>
  <si>
    <t>VE2002</t>
  </si>
  <si>
    <t>Ayacucho</t>
  </si>
  <si>
    <t>VE2003</t>
  </si>
  <si>
    <t>VE2004</t>
  </si>
  <si>
    <t>Cárdenas</t>
  </si>
  <si>
    <t>VE2005</t>
  </si>
  <si>
    <t>Córdoba</t>
  </si>
  <si>
    <t>VE2006</t>
  </si>
  <si>
    <t>Fernández Feo</t>
  </si>
  <si>
    <t>VE2007</t>
  </si>
  <si>
    <t>VE2008</t>
  </si>
  <si>
    <t>García de Hevia</t>
  </si>
  <si>
    <t>VE2009</t>
  </si>
  <si>
    <t>Guásimos</t>
  </si>
  <si>
    <t>VE2010</t>
  </si>
  <si>
    <t>VE2011</t>
  </si>
  <si>
    <t>Jáuregui</t>
  </si>
  <si>
    <t>VE2012</t>
  </si>
  <si>
    <t>José María Vargas</t>
  </si>
  <si>
    <t>VE2013</t>
  </si>
  <si>
    <t>Junín</t>
  </si>
  <si>
    <t>VE2014</t>
  </si>
  <si>
    <t>VE2015</t>
  </si>
  <si>
    <t>VE2016</t>
  </si>
  <si>
    <t>Lobatera</t>
  </si>
  <si>
    <t>VE2017</t>
  </si>
  <si>
    <t>Michelena</t>
  </si>
  <si>
    <t>VE2018</t>
  </si>
  <si>
    <t>Panamericano</t>
  </si>
  <si>
    <t>VE2019</t>
  </si>
  <si>
    <t>Pedro María Ureña</t>
  </si>
  <si>
    <t>VE2020</t>
  </si>
  <si>
    <t>Rafael Urdaneta</t>
  </si>
  <si>
    <t>VE2021</t>
  </si>
  <si>
    <t>Samuel Darío Maldonado</t>
  </si>
  <si>
    <t>VE2022</t>
  </si>
  <si>
    <t>San Cristóbal</t>
  </si>
  <si>
    <t>VE2023</t>
  </si>
  <si>
    <t>Seboruco</t>
  </si>
  <si>
    <t>VE2024</t>
  </si>
  <si>
    <t>VE2025</t>
  </si>
  <si>
    <t>VE2026</t>
  </si>
  <si>
    <t>Torbes</t>
  </si>
  <si>
    <t>VE2027</t>
  </si>
  <si>
    <t>Uribante</t>
  </si>
  <si>
    <t>VE2028</t>
  </si>
  <si>
    <t>San Judas Tadeo</t>
  </si>
  <si>
    <t>VE2029</t>
  </si>
  <si>
    <t>Trujillo</t>
  </si>
  <si>
    <t>VE21</t>
  </si>
  <si>
    <t>VE2101</t>
  </si>
  <si>
    <t>Boconó</t>
  </si>
  <si>
    <t>VE2102</t>
  </si>
  <si>
    <t>VE2103</t>
  </si>
  <si>
    <t>Candelaria</t>
  </si>
  <si>
    <t>VE2104</t>
  </si>
  <si>
    <t>Carache</t>
  </si>
  <si>
    <t>VE2105</t>
  </si>
  <si>
    <t>Escuque</t>
  </si>
  <si>
    <t>VE2106</t>
  </si>
  <si>
    <t>José Felipe Márquez Cañizales</t>
  </si>
  <si>
    <t>VE2107</t>
  </si>
  <si>
    <t>Juan Vicente Campo Elías</t>
  </si>
  <si>
    <t>VE2108</t>
  </si>
  <si>
    <t>La Ceiba</t>
  </si>
  <si>
    <t>VE2109</t>
  </si>
  <si>
    <t>VE2110</t>
  </si>
  <si>
    <t>Monte Carmelo</t>
  </si>
  <si>
    <t>VE2111</t>
  </si>
  <si>
    <t>Motatán</t>
  </si>
  <si>
    <t>VE2112</t>
  </si>
  <si>
    <t>Pampán</t>
  </si>
  <si>
    <t>VE2113</t>
  </si>
  <si>
    <t>Pampanito</t>
  </si>
  <si>
    <t>VE2114</t>
  </si>
  <si>
    <t>Rafael Rangel</t>
  </si>
  <si>
    <t>VE2115</t>
  </si>
  <si>
    <t>San Rafael de Carvajal</t>
  </si>
  <si>
    <t>VE2116</t>
  </si>
  <si>
    <t>VE2117</t>
  </si>
  <si>
    <t>VE2118</t>
  </si>
  <si>
    <t>VE2119</t>
  </si>
  <si>
    <t>Valera</t>
  </si>
  <si>
    <t>VE2120</t>
  </si>
  <si>
    <t>Yaracuy</t>
  </si>
  <si>
    <t>VE22</t>
  </si>
  <si>
    <t>Arístides Bastidas</t>
  </si>
  <si>
    <t>VE2201</t>
  </si>
  <si>
    <t>VE2202</t>
  </si>
  <si>
    <t>Bruzual</t>
  </si>
  <si>
    <t>VE2203</t>
  </si>
  <si>
    <t>Cocorote</t>
  </si>
  <si>
    <t>VE2204</t>
  </si>
  <si>
    <t>VE2205</t>
  </si>
  <si>
    <t>José Antonio Páez</t>
  </si>
  <si>
    <t>VE2206</t>
  </si>
  <si>
    <t>La Trinidad</t>
  </si>
  <si>
    <t>VE2207</t>
  </si>
  <si>
    <t>Manuel Monge</t>
  </si>
  <si>
    <t>VE2208</t>
  </si>
  <si>
    <t>Nirgua</t>
  </si>
  <si>
    <t>VE2209</t>
  </si>
  <si>
    <t>Peña</t>
  </si>
  <si>
    <t>VE2210</t>
  </si>
  <si>
    <t>San Felipe</t>
  </si>
  <si>
    <t>VE2211</t>
  </si>
  <si>
    <t>VE2212</t>
  </si>
  <si>
    <t>Urachiche</t>
  </si>
  <si>
    <t>VE2213</t>
  </si>
  <si>
    <t>Veroes</t>
  </si>
  <si>
    <t>VE2214</t>
  </si>
  <si>
    <t>Zulia</t>
  </si>
  <si>
    <t>VE23</t>
  </si>
  <si>
    <t>Almirante Padilla</t>
  </si>
  <si>
    <t>VE2301</t>
  </si>
  <si>
    <t>Baralt</t>
  </si>
  <si>
    <t>VE2302</t>
  </si>
  <si>
    <t>Cabimas</t>
  </si>
  <si>
    <t>VE2303</t>
  </si>
  <si>
    <t>Catatumbo</t>
  </si>
  <si>
    <t>VE2304</t>
  </si>
  <si>
    <t>Colón</t>
  </si>
  <si>
    <t>VE2305</t>
  </si>
  <si>
    <t>Francisco Javier Pulgar</t>
  </si>
  <si>
    <t>VE2306</t>
  </si>
  <si>
    <t>Jesús Enrique Lossada</t>
  </si>
  <si>
    <t>VE2307</t>
  </si>
  <si>
    <t>Jesús María Semprún</t>
  </si>
  <si>
    <t>VE2308</t>
  </si>
  <si>
    <t>La Cañada de Urdaneta</t>
  </si>
  <si>
    <t>VE2309</t>
  </si>
  <si>
    <t>Lagunillas</t>
  </si>
  <si>
    <t>VE2310</t>
  </si>
  <si>
    <t>Machiques de Perijá</t>
  </si>
  <si>
    <t>VE2311</t>
  </si>
  <si>
    <t>Mara</t>
  </si>
  <si>
    <t>VE2312</t>
  </si>
  <si>
    <t>Maracaibo</t>
  </si>
  <si>
    <t>VE2313</t>
  </si>
  <si>
    <t>VE2314</t>
  </si>
  <si>
    <t>Indígena Bolivariano Guajira</t>
  </si>
  <si>
    <t>VE2315</t>
  </si>
  <si>
    <t>Rosario de Perijá</t>
  </si>
  <si>
    <t>VE2316</t>
  </si>
  <si>
    <t>VE2317</t>
  </si>
  <si>
    <t>Santa Rita</t>
  </si>
  <si>
    <t>VE2318</t>
  </si>
  <si>
    <t>VE2319</t>
  </si>
  <si>
    <t>VE2320</t>
  </si>
  <si>
    <t>Valmore Rodríguez</t>
  </si>
  <si>
    <t>VE2321</t>
  </si>
  <si>
    <t>La Guaira</t>
  </si>
  <si>
    <t>VE24</t>
  </si>
  <si>
    <t>Vargas</t>
  </si>
  <si>
    <t>VE2401</t>
  </si>
  <si>
    <t>PiN clusteres</t>
  </si>
  <si>
    <t>Área de responsabilidad de protección</t>
  </si>
  <si>
    <t xml:space="preserve">% PiN de grupos (sobre la población total) </t>
  </si>
  <si>
    <t>% áreas de responsabilidad de Protección</t>
  </si>
  <si>
    <t>Sectores más altos</t>
  </si>
  <si>
    <t>2º Sectores más altos</t>
  </si>
  <si>
    <t>Diferencia entre el PiN más alto y el segundo más alto</t>
  </si>
  <si>
    <t>3º Sectores más altos</t>
  </si>
  <si>
    <t>Diferencia entre el PiN más alto y el 3º más alto</t>
  </si>
  <si>
    <t>PiN histórico</t>
  </si>
  <si>
    <t>Todos los marcadores</t>
  </si>
  <si>
    <t>Meta</t>
  </si>
  <si>
    <t>Admin1</t>
  </si>
  <si>
    <t>Admin1PCODE</t>
  </si>
  <si>
    <t>Admin2</t>
  </si>
  <si>
    <t>Admin2PCODE</t>
  </si>
  <si>
    <t>Grupo</t>
  </si>
  <si>
    <t>NNA</t>
  </si>
  <si>
    <t>VBG</t>
  </si>
  <si>
    <t>% SAMV</t>
  </si>
  <si>
    <t>% NUT</t>
  </si>
  <si>
    <t>% SAL</t>
  </si>
  <si>
    <t>% EDU</t>
  </si>
  <si>
    <t>% PRO</t>
  </si>
  <si>
    <t>% WASH</t>
  </si>
  <si>
    <t>% NNA</t>
  </si>
  <si>
    <t>% VBG</t>
  </si>
  <si>
    <t>PiN más alto</t>
  </si>
  <si>
    <t>% PiN Sectores más altos</t>
  </si>
  <si>
    <t>Número de PiN ausentes/cero superior al umbral - Calidad de los datos</t>
  </si>
  <si>
    <t>El sector más alto se dirige a subgrupos de población</t>
  </si>
  <si>
    <t>2º PiN más alto</t>
  </si>
  <si>
    <t>2º Sector más alto % PiN</t>
  </si>
  <si>
    <t>Diferencia de PiN entre el más alto y el segundo más alto</t>
  </si>
  <si>
    <t>% Diferencia entre el más alto y el segundo más alto</t>
  </si>
  <si>
    <t>% de diferencia por encima de un umbral especificado entre el más alto y el segundo más alto</t>
  </si>
  <si>
    <t>3º PiN más alto</t>
  </si>
  <si>
    <t>3º sector con porcentaje de PiN más alto</t>
  </si>
  <si>
    <t>Diferencia de PiN entre el más alto y el 3º más alto</t>
  </si>
  <si>
    <t>Porcentaje de diferencia entre el más alto y el 3º más alto</t>
  </si>
  <si>
    <t>% de diferencia por encima de un umbral especificado entre el más alto y el 3° más alto</t>
  </si>
  <si>
    <t xml:space="preserve"> La variación con respecto al año pasado para el sector o sectores más altos</t>
  </si>
  <si>
    <t>La variación con respecto al año pasado para el sector o sectores más altos ha aumentado o disminuido significativamente</t>
  </si>
  <si>
    <t xml:space="preserve"> La variación con respecto al año pasado para el o los 2º sectores más altos</t>
  </si>
  <si>
    <t xml:space="preserve"> </t>
  </si>
  <si>
    <t>Severidad</t>
  </si>
  <si>
    <t>PiN preliminar</t>
  </si>
  <si>
    <t>Explicación del marcador manual</t>
  </si>
  <si>
    <t>Número de marcadores</t>
  </si>
  <si>
    <t>Marcado</t>
  </si>
  <si>
    <t>PiN final</t>
  </si>
  <si>
    <t>Pruebas y comentarios</t>
  </si>
  <si>
    <t>Población meta</t>
  </si>
  <si>
    <t>Población priorizada</t>
  </si>
  <si>
    <t>Angostura Del Orinoco</t>
  </si>
  <si>
    <t>Bolivariano Guaicaipuro</t>
  </si>
  <si>
    <t>Jesus Enrique Lossada</t>
  </si>
  <si>
    <t>Francisco De Miranda</t>
  </si>
  <si>
    <t>Machiques De Perijá</t>
  </si>
  <si>
    <t>La Cañada De Urdaneta</t>
  </si>
  <si>
    <t>Rosario De Perijá</t>
  </si>
  <si>
    <t>Antonio José De Sucre</t>
  </si>
  <si>
    <t>San José De Guanipa</t>
  </si>
  <si>
    <t>Pedro María Freites</t>
  </si>
  <si>
    <t>Fernando De Peñalver</t>
  </si>
  <si>
    <t>García De Hevia</t>
  </si>
  <si>
    <t>Jesus Maria Semprum</t>
  </si>
  <si>
    <t>Diego Bautista Urbaneja</t>
  </si>
  <si>
    <t>José Angel Lamas</t>
  </si>
  <si>
    <t>Península De Macanao</t>
  </si>
  <si>
    <t>Monseñor José Vicente De Unda</t>
  </si>
  <si>
    <t>San Gerónimo De Guayabal</t>
  </si>
  <si>
    <t>San José De Guaribe</t>
  </si>
  <si>
    <t>Sir Arthur Mc Gregor</t>
  </si>
  <si>
    <t>Santa María De Ipire</t>
  </si>
  <si>
    <t>Mejia</t>
  </si>
  <si>
    <t>Ocumare De La Costa De Oro</t>
  </si>
  <si>
    <t>Francisco Del Carmen Carvajal</t>
  </si>
  <si>
    <t>San Juan De Capistrano</t>
  </si>
  <si>
    <t>Francisco Linares Alcantara</t>
  </si>
  <si>
    <t>Pao De San Juan Bautista</t>
  </si>
  <si>
    <t>Simón Planas</t>
  </si>
  <si>
    <t>Obispo Ramos De Lora</t>
  </si>
  <si>
    <t>Antolín Del Campo</t>
  </si>
  <si>
    <t>San Genaro De Boconoíto</t>
  </si>
  <si>
    <t>San Rafael De Onoto</t>
  </si>
  <si>
    <t>Antonio Rómulo Costa</t>
  </si>
  <si>
    <t>San Rafael De Carvajal</t>
  </si>
  <si>
    <t>Row Labels</t>
  </si>
  <si>
    <t>Count of Admin2PCODE</t>
  </si>
  <si>
    <t>Sum of PiN final</t>
  </si>
  <si>
    <t>Grand Total</t>
  </si>
  <si>
    <t>Severidad sectorial</t>
  </si>
  <si>
    <t>Condiciones humanitarias/consecuencias</t>
  </si>
  <si>
    <t>Número de sectores por fase de severidad</t>
  </si>
  <si>
    <t>Peligro de muerte</t>
  </si>
  <si>
    <t>Daño irreversible</t>
  </si>
  <si>
    <t>Análisis básico</t>
  </si>
  <si>
    <t>Indicadores de severidad sectorial</t>
  </si>
  <si>
    <t>Indicadores de referencia</t>
  </si>
  <si>
    <t>Resultados finales</t>
  </si>
  <si>
    <t xml:space="preserve"> 1 </t>
  </si>
  <si>
    <t xml:space="preserve"> 2 </t>
  </si>
  <si>
    <t xml:space="preserve"> 3 </t>
  </si>
  <si>
    <t xml:space="preserve"> 4 </t>
  </si>
  <si>
    <t>5</t>
  </si>
  <si>
    <t>Severidad preliminar basada en la superposición de privaciones sectoriales</t>
  </si>
  <si>
    <t>Mortalidad</t>
  </si>
  <si>
    <t>Malnutrición</t>
  </si>
  <si>
    <t>Epidemias</t>
  </si>
  <si>
    <t>Medios de subsistencia</t>
  </si>
  <si>
    <t>HR/IHL Violation</t>
  </si>
  <si>
    <t>Severidad media</t>
  </si>
  <si>
    <t>Severidad máxima</t>
  </si>
  <si>
    <t>Sectores de mayor severidad</t>
  </si>
  <si>
    <t>2ª mayor severidad</t>
  </si>
  <si>
    <t>Sectores con la 2ª mayor severidad</t>
  </si>
  <si>
    <t>1 sectores en fase de severidad 5 [modificar el umbral]</t>
  </si>
  <si>
    <t>Más de 4 sectores en 4 o peor mientras que la preliminar es 4 o inferior [modificar el umbral]</t>
  </si>
  <si>
    <t>Variación de 2+ fases entre la severidad preliminar y la severidad de cualquiera de los indicadores de resultados</t>
  </si>
  <si>
    <t>Variación de 1+ fases entre la severidad preliminar y la severidad de al menos dos de los indicadores de resultados - en la misma dirección</t>
  </si>
  <si>
    <t xml:space="preserve">Valor de Severidad recomendado por el nivel sub-nacional </t>
  </si>
  <si>
    <t>Número de banderas</t>
  </si>
  <si>
    <t>Severidad final</t>
  </si>
  <si>
    <t>Priorización Final 2025</t>
  </si>
  <si>
    <t>Severidad Ttotal 2025</t>
  </si>
  <si>
    <t>Sí</t>
  </si>
  <si>
    <t>No</t>
  </si>
  <si>
    <t>Se llevó de 3 a 4 puesto que los valores del GAM, son superiores al 15%, es decir, están en una fase 4 "crítica extrema" en la escala de gravedad ,influenciado por el deterioro de los otros sectores.  De acuerdo todos</t>
  </si>
  <si>
    <t>Se acordó pasarlo de 3 a 4</t>
  </si>
  <si>
    <t>Se llevó de 3 a 4 puesto que el porcentaje de mujeres embarazadas con bajo peso es del 25,5% de las cuales 20% son adolescentes , por otro lado hay 62% de desnutrición, influenciado por el deterioro de los otros sectores.  De acuerdo todos</t>
  </si>
  <si>
    <t>Se decidió subir de 4 a 5 puesto que se mantienen las mismas condiciones de altísima severidad registradas y documentadas del año 2025 a pesar de las intervenciones realizadas este año.</t>
  </si>
  <si>
    <t>Estaba en 3 y por recomendación del clúster global de protección en temas de riesgo, se recomendó pasarlo a 4. Cambio acordado por todos</t>
  </si>
  <si>
    <t>Condiciones humanitarias</t>
  </si>
  <si>
    <t>Admin 3</t>
  </si>
  <si>
    <t>Admin 3 Código P</t>
  </si>
  <si>
    <t>CDR x/10 000/día</t>
  </si>
  <si>
    <t>Tasa de mortalidad de menores de 5 años</t>
  </si>
  <si>
    <t>Víctimas civiles</t>
  </si>
  <si>
    <t>Muerte o Severidad inminente de Riesgo de muerte</t>
  </si>
  <si>
    <t>WHZ</t>
  </si>
  <si>
    <t>Perímetro braquial</t>
  </si>
  <si>
    <t>Severidad de la desnutrición</t>
  </si>
  <si>
    <t>Epidemia 1</t>
  </si>
  <si>
    <t>Epidemia 2</t>
  </si>
  <si>
    <t>Severidad epidémica</t>
  </si>
  <si>
    <t>Estrategia de afrontamiento (mínima)</t>
  </si>
  <si>
    <t>Estrategia de afrontamiento (estresada)</t>
  </si>
  <si>
    <t>Estrategia de afrontamiento (severa)</t>
  </si>
  <si>
    <t>Estrategia de afrontamiento (extrema)</t>
  </si>
  <si>
    <t>Estrategia de afrontamiento (catastrófica)</t>
  </si>
  <si>
    <t>Severidad de la Estrategia de afrontamiento</t>
  </si>
  <si>
    <t>Venezulanos</t>
  </si>
  <si>
    <t xml:space="preserve"> Población </t>
  </si>
  <si>
    <t xml:space="preserve"> SAMV </t>
  </si>
  <si>
    <t xml:space="preserve"> NUT </t>
  </si>
  <si>
    <t xml:space="preserve"> SAL </t>
  </si>
  <si>
    <t xml:space="preserve"> EDU </t>
  </si>
  <si>
    <t xml:space="preserve"> PRO </t>
  </si>
  <si>
    <t xml:space="preserve"> ASH </t>
  </si>
  <si>
    <t xml:space="preserve"> NNA </t>
  </si>
  <si>
    <t xml:space="preserve"> VBG </t>
  </si>
  <si>
    <t xml:space="preserve"> % SAMV </t>
  </si>
  <si>
    <t xml:space="preserve"> % NUT </t>
  </si>
  <si>
    <t xml:space="preserve"> % SAL </t>
  </si>
  <si>
    <t xml:space="preserve"> % EDU </t>
  </si>
  <si>
    <t xml:space="preserve"> % PRO </t>
  </si>
  <si>
    <t xml:space="preserve"> % WASH </t>
  </si>
  <si>
    <t xml:space="preserve"> % NNA </t>
  </si>
  <si>
    <t xml:space="preserve"> % VBG </t>
  </si>
  <si>
    <t xml:space="preserve"> PiN preliminar </t>
  </si>
  <si>
    <t>Severidad Sum</t>
  </si>
  <si>
    <t xml:space="preserve"> % Pob en el PiN</t>
  </si>
  <si>
    <t>Severidad 2026</t>
  </si>
  <si>
    <t>Severidad 2025</t>
  </si>
  <si>
    <t>Priorización 2025</t>
  </si>
  <si>
    <t>N° Clústeres con respuesta</t>
  </si>
  <si>
    <t>Clústeres</t>
  </si>
  <si>
    <t>Org Total</t>
  </si>
  <si>
    <t>Org_AEE</t>
  </si>
  <si>
    <t>Org ASH</t>
  </si>
  <si>
    <t>Org EDU</t>
  </si>
  <si>
    <t>Org NUT</t>
  </si>
  <si>
    <t>Org PRONNA</t>
  </si>
  <si>
    <t>Org PROPG</t>
  </si>
  <si>
    <t>Org PROVBG</t>
  </si>
  <si>
    <t>Org SAL</t>
  </si>
  <si>
    <t>Org SAMV</t>
  </si>
  <si>
    <t>X</t>
  </si>
  <si>
    <t>Meta 2025</t>
  </si>
  <si>
    <t>Alcanzados Oct 2025</t>
  </si>
  <si>
    <t>% Alcanzados</t>
  </si>
  <si>
    <t>Alc_AEE</t>
  </si>
  <si>
    <t>Alc ASH</t>
  </si>
  <si>
    <t>Alc EDU</t>
  </si>
  <si>
    <t>Alc NUT</t>
  </si>
  <si>
    <t>Alc PRONNA</t>
  </si>
  <si>
    <t>Alc PROPG</t>
  </si>
  <si>
    <t>Alc PROVBG</t>
  </si>
  <si>
    <t>Alc SAL</t>
  </si>
  <si>
    <t>Alc SAMV</t>
  </si>
  <si>
    <t>ASH, SAL, SAMV, NUT, PRONNA, PROVBG</t>
  </si>
  <si>
    <t>SAMV, AEE, SAL, ASH, PROPG, EDU, PRONNA, PROVBG, NUT</t>
  </si>
  <si>
    <t>PRONNA</t>
  </si>
  <si>
    <t>ASH, PROPG, SAL, PRONNA</t>
  </si>
  <si>
    <t>ASH, SAL, PROPG, PROVBG, EDU, SAMV, PRONNA</t>
  </si>
  <si>
    <t>NUT, EDU, PRONNA, SAL</t>
  </si>
  <si>
    <t>EDU, SAMV, ASH, SAL, NUT, PROVBG, PRONNA, PROPG</t>
  </si>
  <si>
    <t>SAMV, PRONNA</t>
  </si>
  <si>
    <t>SAMV, ASH, SAL, EDU, NUT, PRONNA, PROPG</t>
  </si>
  <si>
    <t>SAL, ASH, SAMV, NUT, PRONNA, PROVBG, PROPG</t>
  </si>
  <si>
    <t>ASH, SAL, NUT, PRONNA</t>
  </si>
  <si>
    <t>SAL, ASH, NUT, EDU, PRONNA, SAMV, PROPG</t>
  </si>
  <si>
    <t>SAL, AEE, NUT, SAMV, ASH, EDU, PROPG, PROVBG, PRONNA</t>
  </si>
  <si>
    <t>EDU, NUT, ASH, SAL, SAMV, PRONNA, PROPG, PROVBG</t>
  </si>
  <si>
    <t>AEE, ASH, SAL, SAMV, PROPG, NUT, EDU, PRONNA, PROVBG</t>
  </si>
  <si>
    <t>PRONNA, PROVBG, SAL</t>
  </si>
  <si>
    <t>SAMV, PROPG, PRONNA</t>
  </si>
  <si>
    <t>SAMV, EDU</t>
  </si>
  <si>
    <t>SAMV, PROVBG</t>
  </si>
  <si>
    <t>SAMV, PRONNA, PROVBG</t>
  </si>
  <si>
    <t>ASH, PROVBG, SAL, NUT, PRONNA, PROPG</t>
  </si>
  <si>
    <t>SAMV, SAL, ASH, NUT, PROPG, EDU, PROVBG, PRONNA</t>
  </si>
  <si>
    <t>AEE, EDU, SAMV, ASH, SAL, PROPG, PROVBG, NUT, PRONNA</t>
  </si>
  <si>
    <t>EDU, ASH, SAMV, SAL, NUT, PROPG, PROVBG, PRONNA</t>
  </si>
  <si>
    <t>ASH, NUT, SAL, PRONNA, PROVBG, PROPG, SAMV</t>
  </si>
  <si>
    <t>ASH, SAL, NUT, EDU, SAMV, PRONNA, PROVBG</t>
  </si>
  <si>
    <t>EDU, ASH, SAL, PRONNA, NUT, SAMV, PROPG, PROVBG</t>
  </si>
  <si>
    <t>EDU, PROPG, SAMV, PRONNA</t>
  </si>
  <si>
    <t>NUT, SAMV, PROPG, EDU, ASH, SAL, PRONNA</t>
  </si>
  <si>
    <t>PROVBG, SAL, PRONNA, ASH, EDU, NUT, SAMV, PROPG</t>
  </si>
  <si>
    <t>ASH, SAL, NUT, SAMV, PRONNA, PROVBG</t>
  </si>
  <si>
    <t>SAMV, AEE, ASH, PRONNA, SAL, PROPG, PROVBG, EDU, NUT</t>
  </si>
  <si>
    <t>AEE, SAMV, SAL, ASH, NUT, PROVBG, PRONNA, PROPG</t>
  </si>
  <si>
    <t>AEE, ASH, PROVBG, SAL, PRONNA, NUT, PROPG, EDU</t>
  </si>
  <si>
    <t>AEE, SAMV, ASH, SAL, PROPG, PRONNA, NUT, PROVBG</t>
  </si>
  <si>
    <t>SAMV, SAL, NUT, PROPG, PRONNA, PROVBG</t>
  </si>
  <si>
    <t>SAMV, NUT, PROVBG, SAL, ASH, PRONNA, PROPG</t>
  </si>
  <si>
    <t>AEE, ASH, SAL, SAMV, NUT, PROVBG, PRONNA, PROPG</t>
  </si>
  <si>
    <t>AEE, ASH, SAL, NUT, PRONNA, SAMV, PROVBG, PROPG</t>
  </si>
  <si>
    <t>SAL, ASH, SAMV, NUT, EDU, PROPG, PRONNA</t>
  </si>
  <si>
    <t>SAMV, NUT</t>
  </si>
  <si>
    <t>PRONNA, PROVBG</t>
  </si>
  <si>
    <t>EDU, PRONNA, PROVBG</t>
  </si>
  <si>
    <t>SAMV, ASH, SAL, NUT, PROPG, PRONNA, EDU, PROVBG</t>
  </si>
  <si>
    <t>SAMV, ASH, SAL, AEE, NUT, EDU, PRONNA, PROPG, PROVBG</t>
  </si>
  <si>
    <t>SAL, ASH, NUT, PRONNA, SAMV, PROPG</t>
  </si>
  <si>
    <t>SAL, SAMV, ASH, NUT, PROVBG, PRONNA, PROPG</t>
  </si>
  <si>
    <t>ASH, SAMV, SAL</t>
  </si>
  <si>
    <t>SAMV, SAL, ASH, NUT, PROPG, PROVBG, PRONNA</t>
  </si>
  <si>
    <t>SAMV, EDU, PRONNA, PROVBG</t>
  </si>
  <si>
    <t>PROPG, PRONNA</t>
  </si>
  <si>
    <t>SAL, NUT, PRONNA, PROPG</t>
  </si>
  <si>
    <t>ASH, SAMV, NUT, PRONNA, PROVBG</t>
  </si>
  <si>
    <t>SAL, PRONNA, PROVBG</t>
  </si>
  <si>
    <t>SAMV, SAL, PRONNA, PROVBG</t>
  </si>
  <si>
    <t>SAMV, PRONNA, SAL</t>
  </si>
  <si>
    <t>ASH, PROVBG, SAL, NUT, PRONNA</t>
  </si>
  <si>
    <t>SAMV, SAL, ASH, PROVBG, NUT, PRONNA</t>
  </si>
  <si>
    <t>SAMV, SAL</t>
  </si>
  <si>
    <t>ASH, SAMV, SAL, PRONNA, PROVBG, NUT, EDU, PROPG</t>
  </si>
  <si>
    <t>SAMV, ASH, SAL, NUT, PRONNA, PROVBG</t>
  </si>
  <si>
    <t>SAMV, NUT, PRONNA</t>
  </si>
  <si>
    <t>SAMV, SAL, PRONNA</t>
  </si>
  <si>
    <t>SAMV, NUT, ASH, SAL, PROVBG, EDU, PRONNA</t>
  </si>
  <si>
    <t>SAMV, ASH, NUT, SAL, PRONNA, PROVBG</t>
  </si>
  <si>
    <t>PRONNA, PROPG</t>
  </si>
  <si>
    <t>NUT, ASH, EDU, SAL, PROVBG, PRONNA, PROPG</t>
  </si>
  <si>
    <t>NUT, SAL, PRONNA</t>
  </si>
  <si>
    <t>SAL, EDU, PRONNA, PROPG, PROVBG</t>
  </si>
  <si>
    <t>AEE, SAL, SAMV, PROVBG, PRONNA</t>
  </si>
  <si>
    <t>EDU, ASH, SAMV, PRONNA, PROPG, PROVBG</t>
  </si>
  <si>
    <t>EDU, NUT, SAL, PROPG</t>
  </si>
  <si>
    <t>EDU, PRONNA, PROPG, PROVBG</t>
  </si>
  <si>
    <t>SAMV, NUT, ASH, PROPG, SAL, PRONNA, PROVBG</t>
  </si>
  <si>
    <t>AEE, EDU, SAMV, PROPG</t>
  </si>
  <si>
    <t>SAL, NUT, PROVBG, PRONNA</t>
  </si>
  <si>
    <t>ASH, SAMV, PRONNA</t>
  </si>
  <si>
    <t>SAL, PRONNA, PROPG, PROVBG</t>
  </si>
  <si>
    <t>SAMV, EDU, PROPG, PRONNA, PROVBG</t>
  </si>
  <si>
    <t>EDU, PRONNA, SAMV</t>
  </si>
  <si>
    <t>NUT, ASH, EDU, SAMV, PRONNA, SAL, PROVBG</t>
  </si>
  <si>
    <t>ASH, SAMV, PRONNA, SAL, PROPG, PROVBG</t>
  </si>
  <si>
    <t>PRONNA, PROPG, PROVBG</t>
  </si>
  <si>
    <t>PROVBG</t>
  </si>
  <si>
    <t>ASH, NUT, SAL, PRONNA, PROVBG</t>
  </si>
  <si>
    <t>NUT, PRONNA</t>
  </si>
  <si>
    <t>SAMV, NUT, PRONNA, PROVBG, PROPG</t>
  </si>
  <si>
    <t>SAMV, NUT, PROVBG, PROPG</t>
  </si>
  <si>
    <t>SAMV, ASH, PROVBG, NUT, PRONNA, PROPG</t>
  </si>
  <si>
    <t>EDU, ASH, SAMV</t>
  </si>
  <si>
    <t>EDU, SAL, PRONNA</t>
  </si>
  <si>
    <t>ASH, NUT, SAL, PRONNA</t>
  </si>
  <si>
    <t>NUT, PRONNA, PROVBG</t>
  </si>
  <si>
    <t>NUT, SAMV, SAL, PRONNA, PROVBG</t>
  </si>
  <si>
    <t>ASH, SAMV, PRONNA, NUT, PROVBG, SAL</t>
  </si>
  <si>
    <t>NUT, SAL, ASH, PROVBG, SAMV, PRONNA</t>
  </si>
  <si>
    <t>PROVBG, PRONNA, SAL</t>
  </si>
  <si>
    <t>ASH, PROVBG, SAL, EDU, NUT, PRONNA</t>
  </si>
  <si>
    <t>AEE, NUT, PROPG, PRONNA, PROVBG</t>
  </si>
  <si>
    <t>ASH, SAMV, NUT, PROVBG, PRONNA</t>
  </si>
  <si>
    <t>ASH, SAMV, PRONNA, NUT, PROVBG</t>
  </si>
  <si>
    <t>SAL, PRONNA</t>
  </si>
  <si>
    <t>AEE, SAMV, ASH, NUT</t>
  </si>
  <si>
    <t>PRONNA, SAL</t>
  </si>
  <si>
    <t>ASH, EDU, SAL, PROVBG, NUT, PRONNA, PROPG</t>
  </si>
  <si>
    <t>PROVBG, EDU, PROPG, SAL, NUT, PRONNA</t>
  </si>
  <si>
    <t>SAL, SAMV, NUT, PROVBG, PRONNA</t>
  </si>
  <si>
    <t>EDU, ASH, PROVBG, PRONNA, SAL, NUT, PROPG</t>
  </si>
  <si>
    <t>SAMV, ASH, SAL, NUT, PRONNA, EDU, PROVBG, PROPG</t>
  </si>
  <si>
    <t>ASH, EDU, PROVBG, SAL, NUT, PRONNA</t>
  </si>
  <si>
    <t>NUT, ASH, SAL, SAMV, PRONNA, PROPG, PROVBG</t>
  </si>
  <si>
    <t>NUT, ASH, SAL, EDU, PRONNA, SAMV, PROVBG, PROPG</t>
  </si>
  <si>
    <t>PRONNA, SAL, PROPG, PROVBG</t>
  </si>
  <si>
    <t>SAL, ASH, EDU, NUT, PRONNA</t>
  </si>
  <si>
    <t>EDU, ASH, PRONNA, PROVBG, SAL, SAMV</t>
  </si>
  <si>
    <t>ASH, EDU, SAL, NUT, SAMV, PRONNA, PROVBG, PROPG</t>
  </si>
  <si>
    <t>SAL, ASH, NUT, PRONNA, SAMV, PROVBG, PROPG</t>
  </si>
  <si>
    <t>AEE, ASH, SAL, NUT, EDU, PRONNA, SAMV, PROPG, PROVBG</t>
  </si>
  <si>
    <t>SAL, NUT, PRONNA, PROVBG</t>
  </si>
  <si>
    <t>SAMV, NUT, SAL</t>
  </si>
  <si>
    <t>SAMV, NUT, PRONNA, SAL</t>
  </si>
  <si>
    <t>PROPG</t>
  </si>
  <si>
    <t>EDU, PRONNA</t>
  </si>
  <si>
    <t>NUT, SAMV, SAL</t>
  </si>
  <si>
    <t>ASH, NUT, SAL, PROVBG, PRONNA</t>
  </si>
  <si>
    <t>ASH, SAL, SAMV, NUT, PRONNA</t>
  </si>
  <si>
    <t>NUT, SAMV, PRONNA, SAL</t>
  </si>
  <si>
    <t>ASH, SAMV</t>
  </si>
  <si>
    <t>SAMV, AEE, SAL, NUT, PRONNA</t>
  </si>
  <si>
    <t>SAMV, ASH, PROVBG, SAL, NUT, PRONNA</t>
  </si>
  <si>
    <t>ASH, EDU, SAMV, SAL, PROVBG, NUT, PROPG, PRONNA</t>
  </si>
  <si>
    <t>SAL, PROVBG, ASH, SAMV, NUT, EDU, PRONNA</t>
  </si>
  <si>
    <t>SAL, ASH, SAMV, NUT, PROVBG, PROPG</t>
  </si>
  <si>
    <t>SAMV, ASH, SAL, PROVBG, PRONNA, PROPG</t>
  </si>
  <si>
    <t>ASH, PRONNA, SAL, EDU, NUT, PROPG, SAMV</t>
  </si>
  <si>
    <t>SAMV, ASH, SAL, PROVBG, NUT, PRONNA</t>
  </si>
  <si>
    <t>ASH, SAMV, AEE, NUT, EDU, PROVBG, PRONNA, SAL</t>
  </si>
  <si>
    <t>SAMV, ASH, NUT, SAL, PROVBG, PRONNA</t>
  </si>
  <si>
    <t>ASH, PRONNA, NUT, SAL, SAMV</t>
  </si>
  <si>
    <t>AEE, SAL, ASH, NUT, EDU, SAMV, PROVBG, PRONNA, PROPG</t>
  </si>
  <si>
    <t>SAL, PRONNA, PROVBG, PROPG</t>
  </si>
  <si>
    <t>ASH, SAMV, PROPG, SAL, NUT</t>
  </si>
  <si>
    <t>PROPG, PRONNA, SAL, SAMV, PROVBG</t>
  </si>
  <si>
    <t>SAL, ASH, NUT, EDU, PRONNA, PROVBG, SAMV, PROPG</t>
  </si>
  <si>
    <t>SAL, ASH, NUT, PROVBG, PROPG, PRONNA, SAMV</t>
  </si>
  <si>
    <t>AEE, SAMV, PROPG, PRONNA, NUT, PROVBG</t>
  </si>
  <si>
    <t>SAL, SAMV, ASH, PROPG, PRONNA, PROVBG, NUT</t>
  </si>
  <si>
    <t>SAL, PROPG</t>
  </si>
  <si>
    <t>SAL, NUT, PROVBG, PRONNA, PROPG, SAMV</t>
  </si>
  <si>
    <t>NUT, SAL, ASH, SAMV, PROVBG, PROPG, PRONNA, EDU</t>
  </si>
  <si>
    <t>ASH, NUT, PRONNA</t>
  </si>
  <si>
    <t>AEE, PROPG, PRONNA</t>
  </si>
  <si>
    <t>NUT, SAMV, SAL, PRONNA, PROPG, AEE, ASH, PROVBG</t>
  </si>
  <si>
    <t>ASH, AEE, SAMV, SAL, PROVBG, PROPG, PRONNA, NUT, EDU</t>
  </si>
  <si>
    <t>SAMV, EDU, SAL</t>
  </si>
  <si>
    <t>SAMV, NUT, SAL, PRONNA, PROVBG</t>
  </si>
  <si>
    <t>SAMV, AEE, ASH, NUT, SAL, EDU, PROVBG, PRONNA, PROPG</t>
  </si>
  <si>
    <t>SAMV, ASH</t>
  </si>
  <si>
    <t>SAMV, ASH, EDU, SAL</t>
  </si>
  <si>
    <t>SAMV, ASH, SAL</t>
  </si>
  <si>
    <t>SAMV, SAL, NUT, PRONNA, PROPG</t>
  </si>
  <si>
    <t>NUT, SAMV, ASH, SAL, PRONNA, EDU, PROVBG, PROPG</t>
  </si>
  <si>
    <t>ASH, SAL, EDU, NUT, PROVBG, PROPG, PRONNA</t>
  </si>
  <si>
    <t>SAL, ASH, SAMV, NUT, EDU, PRONNA</t>
  </si>
  <si>
    <t>AEE, ASH, PRONNA, SAL, EDU, PROVBG, NUT, SAMV, PROPG</t>
  </si>
  <si>
    <t>ASH, SAL, SAMV, NUT, EDU, PROVBG, PROPG, PRONNA</t>
  </si>
  <si>
    <t>SAMV, SAL, NUT, PRONNA</t>
  </si>
  <si>
    <t>NUT, AEE, SAMV, ASH, SAL, PROPG, PROVBG, PRONNA</t>
  </si>
  <si>
    <t>SAMV, AEE, SAL, ASH, EDU, PRONNA, NUT, PROVBG, PROPG</t>
  </si>
  <si>
    <t>SAMV, ASH, AEE, EDU, SAL, PRONNA, NUT, PROPG, PROVBG</t>
  </si>
  <si>
    <t>AEE, PROPG, SAMV, ASH, SAL, PRONNA, NUT, PROVBG</t>
  </si>
  <si>
    <t>NUT, AEE, SAL, EDU, SAMV, ASH, PROPG, PRONNA, PROVBG</t>
  </si>
  <si>
    <t>ASH, SAL, SAMV, NUT, PRONNA, PROVBG, EDU, PROPG</t>
  </si>
  <si>
    <t>NUT, SAL</t>
  </si>
  <si>
    <t>SAMV, SAL, PROVBG</t>
  </si>
  <si>
    <t>ASH, SAL, NUT, PRONNA, EDU, SAMV, PROPG, PROVBG</t>
  </si>
  <si>
    <t>NUT, SAL, PRONNA, PROPG</t>
  </si>
  <si>
    <t>NUT, AEE, ASH, SAL, PROPG, PROVBG, SAMV, PRONNA</t>
  </si>
  <si>
    <t>ASH, PRONNA, SAL</t>
  </si>
  <si>
    <t>ASH, SAL, NUT, PRONNA, PROVBG, PROPG</t>
  </si>
  <si>
    <t>AEE, SAMV, PROPG, SAL, ASH, PRONNA, PROVBG</t>
  </si>
  <si>
    <t>Número de Municipios con severidad (1-5), según clúster</t>
  </si>
  <si>
    <t>Así está en la fórmula (estándar global)</t>
  </si>
  <si>
    <t>Grado de Severidad</t>
  </si>
  <si>
    <t>Cluster</t>
  </si>
  <si>
    <t>2025</t>
  </si>
  <si>
    <t>2026</t>
  </si>
  <si>
    <t>Change</t>
  </si>
  <si>
    <t>Municipios</t>
  </si>
  <si>
    <t>PIN</t>
  </si>
  <si>
    <t>Matriz de correlación (Severidad)</t>
  </si>
  <si>
    <t>Total</t>
  </si>
  <si>
    <t>Matriz de correlación (PiN)</t>
  </si>
  <si>
    <t>Conteo de Mun. Con PiN Mas Alto</t>
  </si>
  <si>
    <t>Sectores</t>
  </si>
  <si>
    <t>ABC</t>
  </si>
  <si>
    <t>Adm1</t>
  </si>
  <si>
    <t>Adm2</t>
  </si>
  <si>
    <t>Mun</t>
  </si>
  <si>
    <t>Organizaciones dando respuesta</t>
  </si>
  <si>
    <t>ASONACOP, ENCILUZ, OPS, UNICEF</t>
  </si>
  <si>
    <t>PLAFAM, SHIPPIYYUKON</t>
  </si>
  <si>
    <t>ACNUR, AVESA, Caritas VEN, CECODAP,  Fe y Alegria, HIAS, OXFAM, Otro Enfoque, OPS,  Plan, PROVIVE, Tinta Violeta, UNFPA, UNICEF, WV</t>
  </si>
  <si>
    <t>AVSI, CECODAP, CEPOREJUN, FUNDASE, PMA, UNICEF, WV</t>
  </si>
  <si>
    <t>ACTED, PMA, RET, UNICEF, WV</t>
  </si>
  <si>
    <t>Acción Solidaria, ADRA VEN, ASEINC, ASONACOP, Caritas VEN, CECODAP, CF, ENCILUZ, Fe y Alegria, FUNDANA, FUNDAINIL, Luz y Vida, Plan, Tinta Violeta, UNICEF</t>
  </si>
  <si>
    <t>Acción Solidaria, AVESA,  CAJ, Caritas VEN, CECODAP, FUNDASE, OXFAM, PMA, UNICEF</t>
  </si>
  <si>
    <t>Sev_Int</t>
  </si>
  <si>
    <t>Pobres</t>
  </si>
  <si>
    <t>Intensidad</t>
  </si>
  <si>
    <t>MPI</t>
  </si>
  <si>
    <t>Malnutricion</t>
  </si>
  <si>
    <t>Desastres</t>
  </si>
  <si>
    <t>Movilidad</t>
  </si>
  <si>
    <t>Proteccion</t>
  </si>
  <si>
    <t>Acceso_salud</t>
  </si>
  <si>
    <t>LandExposurte</t>
  </si>
  <si>
    <t>FloodExposure</t>
  </si>
  <si>
    <t>FloodEXRound1</t>
  </si>
  <si>
    <t>SAMV2</t>
  </si>
  <si>
    <t>NUT3</t>
  </si>
  <si>
    <t>SAL4</t>
  </si>
  <si>
    <t>EDU5</t>
  </si>
  <si>
    <t>PRO6</t>
  </si>
  <si>
    <t>ASH7</t>
  </si>
  <si>
    <t>NNA8</t>
  </si>
  <si>
    <t>VBG9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</si>
</sst>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1" formatCode="_(* #,##0_);_(* \(#,##0\);_(* &quot;-&quot;_);_(@_)"/>
    <numFmt numFmtId="164" formatCode="_-* #,##0.00_-;\-* #,##0.00_-;_-* &quot;-&quot;??_-;_-@_-"/>
    <numFmt numFmtId="165" formatCode="_ * #,##0.00_ ;_ * \-#,##0.00_ ;_ * &quot;-&quot;??_ ;_ @_ "/>
    <numFmt numFmtId="166" formatCode="_-* #,##0_-;\-* #,##0_-;_-* &quot;-&quot;??_-;_-@_-"/>
    <numFmt numFmtId="167" formatCode="_ * #,##0_ ;_ * \-#,##0_ ;_ * &quot;-&quot;??_ ;_ @_ "/>
    <numFmt numFmtId="168" formatCode="_ * #,##0.0_ ;_ * \-#,##0.0_ ;_ * &quot;-&quot;??_ ;_ @_ "/>
    <numFmt numFmtId="169" formatCode="0.000"/>
    <numFmt numFmtId="170" formatCode="#,##0.0,,"/>
    <numFmt numFmtId="171" formatCode="#,##0.000,,"/>
  </numFmts>
  <fonts count="53">
    <font>
      <sz val="11"/>
      <color theme="1"/>
      <name val="Calibri"/>
      <family val="2"/>
      <scheme val="minor"/>
    </font>
    <font>
      <sz val="11"/>
      <color theme="1"/>
      <name val="Arial"/>
      <family val="2"/>
    </font>
    <font>
      <sz val="11"/>
      <color theme="1"/>
      <name val="Calibri"/>
      <family val="2"/>
      <scheme val="minor"/>
    </font>
    <font>
      <sz val="10"/>
      <color theme="1"/>
      <name val="Arial Narrow"/>
      <family val="2"/>
    </font>
    <font>
      <sz val="11"/>
      <color theme="1"/>
      <name val="Arial"/>
      <family val="2"/>
    </font>
    <font>
      <b/>
      <sz val="10"/>
      <color theme="0"/>
      <name val="Arial"/>
      <family val="2"/>
    </font>
    <font>
      <sz val="10"/>
      <color theme="1"/>
      <name val="Arial"/>
      <family val="2"/>
    </font>
    <font>
      <sz val="10"/>
      <color rgb="FF000000"/>
      <name val="Arial"/>
      <family val="2"/>
    </font>
    <font>
      <sz val="8"/>
      <name val="Calibri"/>
      <family val="2"/>
      <scheme val="minor"/>
    </font>
    <font>
      <b/>
      <sz val="10"/>
      <color rgb="FFFFC000"/>
      <name val="Arial"/>
      <family val="2"/>
    </font>
    <font>
      <b/>
      <sz val="9"/>
      <color theme="0"/>
      <name val="Arial"/>
      <family val="2"/>
    </font>
    <font>
      <b/>
      <sz val="10"/>
      <name val="Arial"/>
      <family val="2"/>
    </font>
    <font>
      <sz val="9"/>
      <color rgb="FFFFC000"/>
      <name val="Arial"/>
      <family val="2"/>
    </font>
    <font>
      <b/>
      <sz val="9"/>
      <color rgb="FFFFC000"/>
      <name val="Arial"/>
      <family val="2"/>
    </font>
    <font>
      <b/>
      <sz val="9"/>
      <name val="Arial"/>
      <family val="2"/>
    </font>
    <font>
      <b/>
      <sz val="14"/>
      <color theme="0"/>
      <name val="Arial"/>
      <family val="2"/>
    </font>
    <font>
      <b/>
      <sz val="11"/>
      <color theme="0"/>
      <name val="Arial"/>
      <family val="2"/>
    </font>
    <font>
      <b/>
      <sz val="9"/>
      <color theme="3"/>
      <name val="Arial"/>
      <family val="2"/>
    </font>
    <font>
      <b/>
      <sz val="11"/>
      <name val="Arial"/>
      <family val="2"/>
    </font>
    <font>
      <b/>
      <sz val="10"/>
      <color rgb="FF000000"/>
      <name val="Arial"/>
      <family val="2"/>
    </font>
    <font>
      <b/>
      <sz val="11"/>
      <color theme="1"/>
      <name val="Arial"/>
      <family val="2"/>
    </font>
    <font>
      <sz val="10"/>
      <color rgb="FFFF0000"/>
      <name val="Arial"/>
      <family val="2"/>
    </font>
    <font>
      <sz val="11"/>
      <name val="Arial"/>
      <family val="2"/>
    </font>
    <font>
      <sz val="10"/>
      <color rgb="FFFFC000"/>
      <name val="Arial"/>
      <family val="2"/>
    </font>
    <font>
      <u/>
      <sz val="11"/>
      <color theme="10"/>
      <name val="Calibri"/>
      <family val="2"/>
      <scheme val="minor"/>
    </font>
    <font>
      <b/>
      <sz val="11"/>
      <color rgb="FFFF0000"/>
      <name val="Arial"/>
      <family val="2"/>
    </font>
    <font>
      <b/>
      <sz val="9"/>
      <color rgb="FFFFFFFF"/>
      <name val="Arial"/>
      <family val="2"/>
    </font>
    <font>
      <b/>
      <sz val="16"/>
      <color theme="0"/>
      <name val="Calibri"/>
      <family val="2"/>
      <scheme val="minor"/>
    </font>
    <font>
      <b/>
      <sz val="10"/>
      <color theme="0"/>
      <name val="Arial Narrow"/>
      <family val="2"/>
    </font>
    <font>
      <sz val="10"/>
      <color theme="0"/>
      <name val="Arial Narrow"/>
      <family val="2"/>
    </font>
    <font>
      <sz val="10"/>
      <color rgb="FF000000"/>
      <name val="Arial Narrow"/>
      <family val="2"/>
    </font>
    <font>
      <b/>
      <sz val="10"/>
      <name val="Arial Narrow"/>
      <family val="2"/>
    </font>
    <font>
      <sz val="10"/>
      <color rgb="FFFF0000"/>
      <name val="Arial Narrow"/>
      <family val="2"/>
    </font>
    <font>
      <sz val="10"/>
      <name val="Arial Narrow"/>
      <family val="2"/>
    </font>
    <font>
      <b/>
      <i/>
      <sz val="10"/>
      <color theme="1"/>
      <name val="Aptos Narrow"/>
      <family val="2"/>
    </font>
    <font>
      <b/>
      <sz val="10"/>
      <color rgb="FFFFC000"/>
      <name val="Aptos Narrow"/>
      <family val="2"/>
    </font>
    <font>
      <b/>
      <sz val="10"/>
      <color theme="0"/>
      <name val="Aptos Narrow"/>
      <family val="2"/>
    </font>
    <font>
      <b/>
      <sz val="10"/>
      <name val="Aptos Narrow"/>
      <family val="2"/>
    </font>
    <font>
      <sz val="10"/>
      <color rgb="FF000000"/>
      <name val="Aptos Narrow"/>
      <family val="2"/>
    </font>
    <font>
      <sz val="10"/>
      <color theme="1"/>
      <name val="Aptos Narrow"/>
      <family val="2"/>
    </font>
    <font>
      <b/>
      <sz val="10"/>
      <color rgb="FF000000"/>
      <name val="Aptos Narrow"/>
      <family val="2"/>
    </font>
    <font>
      <b/>
      <sz val="10"/>
      <color theme="1"/>
      <name val="Aptos Narrow"/>
      <family val="2"/>
    </font>
    <font>
      <sz val="10"/>
      <color rgb="FFFF0000"/>
      <name val="Aptos Narrow"/>
      <family val="2"/>
    </font>
    <font>
      <u/>
      <sz val="10"/>
      <color theme="10"/>
      <name val="Aptos Narrow"/>
      <family val="2"/>
    </font>
    <font>
      <b/>
      <u/>
      <sz val="10"/>
      <color theme="10"/>
      <name val="Aptos Narrow"/>
      <family val="2"/>
    </font>
    <font>
      <b/>
      <sz val="10"/>
      <color rgb="FF000000"/>
      <name val="Arial Narrow"/>
      <family val="2"/>
    </font>
    <font>
      <b/>
      <sz val="10"/>
      <color theme="1"/>
      <name val="Arial Narrow"/>
      <family val="2"/>
    </font>
    <font>
      <sz val="10"/>
      <color theme="0" tint="-4.9989318521683403E-2"/>
      <name val="Arial Narrow"/>
      <family val="2"/>
    </font>
    <font>
      <sz val="11"/>
      <color theme="0"/>
      <name val="Calibri"/>
      <family val="2"/>
      <scheme val="minor"/>
    </font>
    <font>
      <b/>
      <u/>
      <sz val="11"/>
      <color theme="1"/>
      <name val="Calibri"/>
      <family val="2"/>
      <scheme val="minor"/>
    </font>
    <font>
      <b/>
      <sz val="11"/>
      <name val="Calibri"/>
      <family val="2"/>
      <scheme val="minor"/>
    </font>
    <font>
      <b/>
      <sz val="11"/>
      <color theme="1"/>
      <name val="Calibri"/>
      <family val="2"/>
      <scheme val="minor"/>
    </font>
    <font>
      <u/>
      <sz val="11"/>
      <color theme="1"/>
      <name val="Calibri"/>
      <family val="2"/>
      <scheme val="minor"/>
    </font>
  </fonts>
  <fills count="43">
    <fill>
      <patternFill patternType="none"/>
    </fill>
    <fill>
      <patternFill patternType="gray125"/>
    </fill>
    <fill>
      <patternFill patternType="solid">
        <fgColor rgb="FF335E8D"/>
        <bgColor theme="4"/>
      </patternFill>
    </fill>
    <fill>
      <patternFill patternType="solid">
        <fgColor rgb="FFFFFF00"/>
        <bgColor indexed="64"/>
      </patternFill>
    </fill>
    <fill>
      <patternFill patternType="solid">
        <fgColor rgb="FF8FB6C9"/>
        <bgColor indexed="64"/>
      </patternFill>
    </fill>
    <fill>
      <patternFill patternType="solid">
        <fgColor rgb="FF744368"/>
        <bgColor indexed="64"/>
      </patternFill>
    </fill>
    <fill>
      <patternFill patternType="solid">
        <fgColor rgb="FF628FA5"/>
        <bgColor indexed="64"/>
      </patternFill>
    </fill>
    <fill>
      <patternFill patternType="solid">
        <fgColor rgb="FF5C3553"/>
        <bgColor indexed="64"/>
      </patternFill>
    </fill>
    <fill>
      <patternFill patternType="solid">
        <fgColor rgb="FF45283E"/>
        <bgColor indexed="64"/>
      </patternFill>
    </fill>
    <fill>
      <patternFill patternType="solid">
        <fgColor rgb="FF142538"/>
        <bgColor theme="4"/>
      </patternFill>
    </fill>
    <fill>
      <patternFill patternType="solid">
        <fgColor rgb="FF1E3854"/>
        <bgColor theme="4"/>
      </patternFill>
    </fill>
    <fill>
      <patternFill patternType="solid">
        <fgColor rgb="FF284B70"/>
        <bgColor theme="4"/>
      </patternFill>
    </fill>
    <fill>
      <patternFill patternType="solid">
        <fgColor rgb="FF5B7EA3"/>
        <bgColor indexed="64"/>
      </patternFill>
    </fill>
    <fill>
      <patternFill patternType="solid">
        <fgColor rgb="FF44748C"/>
        <bgColor indexed="64"/>
      </patternFill>
    </fill>
    <fill>
      <patternFill patternType="solid">
        <fgColor theme="3" tint="-0.49998474074526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5F9822"/>
        <bgColor indexed="64"/>
      </patternFill>
    </fill>
    <fill>
      <patternFill patternType="solid">
        <fgColor rgb="FFFFC000"/>
        <bgColor indexed="64"/>
      </patternFill>
    </fill>
    <fill>
      <patternFill patternType="solid">
        <fgColor rgb="FF4A7082"/>
        <bgColor indexed="64"/>
      </patternFill>
    </fill>
    <fill>
      <patternFill patternType="solid">
        <fgColor rgb="FFDDEBF7"/>
        <bgColor indexed="64"/>
      </patternFill>
    </fill>
    <fill>
      <patternFill patternType="solid">
        <fgColor theme="2" tint="-9.9978637043366805E-2"/>
        <bgColor indexed="64"/>
      </patternFill>
    </fill>
    <fill>
      <patternFill patternType="solid">
        <fgColor rgb="FF284B70"/>
        <bgColor indexed="64"/>
      </patternFill>
    </fill>
    <fill>
      <patternFill patternType="solid">
        <fgColor rgb="FFAC38DE"/>
        <bgColor indexed="64"/>
      </patternFill>
    </fill>
    <fill>
      <patternFill patternType="solid">
        <fgColor rgb="FFBB0F46"/>
        <bgColor indexed="64"/>
      </patternFill>
    </fill>
    <fill>
      <patternFill patternType="solid">
        <fgColor rgb="FFDF1154"/>
        <bgColor theme="4"/>
      </patternFill>
    </fill>
    <fill>
      <patternFill patternType="solid">
        <fgColor rgb="FFDF1154"/>
        <bgColor indexed="64"/>
      </patternFill>
    </fill>
    <fill>
      <patternFill patternType="solid">
        <fgColor rgb="FFDC9100"/>
        <bgColor indexed="64"/>
      </patternFill>
    </fill>
    <fill>
      <patternFill patternType="solid">
        <fgColor rgb="FF5D903B"/>
        <bgColor indexed="64"/>
      </patternFill>
    </fill>
    <fill>
      <patternFill patternType="solid">
        <fgColor rgb="FF0D39C8"/>
        <bgColor indexed="64"/>
      </patternFill>
    </fill>
    <fill>
      <patternFill patternType="solid">
        <fgColor theme="4" tint="0.79998168889431442"/>
        <bgColor theme="4" tint="0.79998168889431442"/>
      </patternFill>
    </fill>
    <fill>
      <patternFill patternType="solid">
        <fgColor rgb="FF00B050"/>
        <bgColor indexed="64"/>
      </patternFill>
    </fill>
    <fill>
      <patternFill patternType="solid">
        <fgColor rgb="FFC00000"/>
        <bgColor indexed="64"/>
      </patternFill>
    </fill>
    <fill>
      <patternFill patternType="solid">
        <fgColor theme="0"/>
        <bgColor indexed="64"/>
      </patternFill>
    </fill>
    <fill>
      <patternFill patternType="solid">
        <fgColor theme="7" tint="0.59999389629810485"/>
        <bgColor indexed="64"/>
      </patternFill>
    </fill>
    <fill>
      <patternFill patternType="solid">
        <fgColor rgb="FFBDD7EE"/>
        <bgColor indexed="64"/>
      </patternFill>
    </fill>
    <fill>
      <patternFill patternType="solid">
        <fgColor rgb="FFFFC000"/>
        <bgColor rgb="FF000000"/>
      </patternFill>
    </fill>
    <fill>
      <patternFill patternType="solid">
        <fgColor rgb="FFFFFFFF"/>
        <bgColor rgb="FF000000"/>
      </patternFill>
    </fill>
    <fill>
      <patternFill patternType="solid">
        <fgColor theme="5"/>
        <bgColor indexed="64"/>
      </patternFill>
    </fill>
    <fill>
      <patternFill patternType="solid">
        <fgColor theme="9"/>
      </patternFill>
    </fill>
    <fill>
      <patternFill patternType="solid">
        <fgColor theme="0" tint="-0.34998626667073579"/>
        <bgColor indexed="64"/>
      </patternFill>
    </fill>
    <fill>
      <patternFill patternType="solid">
        <fgColor theme="6" tint="0.59999389629810485"/>
        <bgColor indexed="64"/>
      </patternFill>
    </fill>
    <fill>
      <patternFill patternType="solid">
        <fgColor theme="0" tint="-0.34998626667073579"/>
        <bgColor theme="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ck">
        <color indexed="64"/>
      </left>
      <right style="thick">
        <color indexed="64"/>
      </right>
      <top style="thick">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ck">
        <color indexed="64"/>
      </bottom>
      <diagonal/>
    </border>
    <border>
      <left style="thin">
        <color indexed="64"/>
      </left>
      <right style="thin">
        <color indexed="64"/>
      </right>
      <top style="thin">
        <color indexed="64"/>
      </top>
      <bottom style="thick">
        <color indexed="64"/>
      </bottom>
      <diagonal/>
    </border>
    <border>
      <left/>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thick">
        <color indexed="64"/>
      </right>
      <top style="thick">
        <color indexed="64"/>
      </top>
      <bottom/>
      <diagonal/>
    </border>
    <border>
      <left/>
      <right style="thick">
        <color indexed="64"/>
      </right>
      <top/>
      <bottom style="thick">
        <color indexed="64"/>
      </bottom>
      <diagonal/>
    </border>
    <border>
      <left/>
      <right style="thin">
        <color indexed="64"/>
      </right>
      <top style="thick">
        <color indexed="64"/>
      </top>
      <bottom style="thick">
        <color indexed="64"/>
      </bottom>
      <diagonal/>
    </border>
    <border>
      <left/>
      <right style="thick">
        <color indexed="64"/>
      </right>
      <top style="thin">
        <color indexed="64"/>
      </top>
      <bottom style="thin">
        <color indexed="64"/>
      </bottom>
      <diagonal/>
    </border>
    <border>
      <left style="thin">
        <color indexed="64"/>
      </left>
      <right style="thin">
        <color indexed="64"/>
      </right>
      <top/>
      <bottom/>
      <diagonal/>
    </border>
    <border>
      <left style="medium">
        <color rgb="FF000000"/>
      </left>
      <right style="medium">
        <color rgb="FF000000"/>
      </right>
      <top style="thin">
        <color rgb="FF000000"/>
      </top>
      <bottom style="thin">
        <color rgb="FF000000"/>
      </bottom>
      <diagonal/>
    </border>
    <border>
      <left/>
      <right style="thick">
        <color indexed="64"/>
      </right>
      <top/>
      <bottom style="thin">
        <color indexed="64"/>
      </bottom>
      <diagonal/>
    </border>
    <border>
      <left style="thick">
        <color indexed="64"/>
      </left>
      <right/>
      <top style="thick">
        <color indexed="64"/>
      </top>
      <bottom/>
      <diagonal/>
    </border>
    <border>
      <left/>
      <right/>
      <top style="thick">
        <color indexed="64"/>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right style="thick">
        <color indexed="64"/>
      </right>
      <top style="thick">
        <color indexed="64"/>
      </top>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right/>
      <top style="thin">
        <color indexed="64"/>
      </top>
      <bottom style="thin">
        <color indexed="64"/>
      </bottom>
      <diagonal/>
    </border>
    <border>
      <left style="thin">
        <color indexed="64"/>
      </left>
      <right/>
      <top style="thick">
        <color indexed="64"/>
      </top>
      <bottom/>
      <diagonal/>
    </border>
    <border>
      <left style="thick">
        <color auto="1"/>
      </left>
      <right/>
      <top/>
      <bottom/>
      <diagonal/>
    </border>
    <border>
      <left style="thick">
        <color auto="1"/>
      </left>
      <right/>
      <top/>
      <bottom style="thick">
        <color auto="1"/>
      </bottom>
      <diagonal/>
    </border>
    <border>
      <left/>
      <right/>
      <top style="medium">
        <color indexed="64"/>
      </top>
      <bottom/>
      <diagonal/>
    </border>
    <border>
      <left/>
      <right style="medium">
        <color indexed="64"/>
      </right>
      <top style="medium">
        <color indexed="64"/>
      </top>
      <bottom/>
      <diagonal/>
    </border>
  </borders>
  <cellStyleXfs count="9">
    <xf numFmtId="0" fontId="0" fillId="0" borderId="0"/>
    <xf numFmtId="0" fontId="3" fillId="0" borderId="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9" fontId="2" fillId="0" borderId="0" applyFont="0" applyFill="0" applyBorder="0" applyAlignment="0" applyProtection="0"/>
    <xf numFmtId="41" fontId="2" fillId="0" borderId="0" applyFont="0" applyFill="0" applyBorder="0" applyAlignment="0" applyProtection="0"/>
    <xf numFmtId="0" fontId="24" fillId="0" borderId="0" applyNumberFormat="0" applyFill="0" applyBorder="0" applyAlignment="0" applyProtection="0"/>
    <xf numFmtId="0" fontId="48" fillId="39" borderId="0" applyNumberFormat="0" applyBorder="0" applyAlignment="0" applyProtection="0"/>
  </cellStyleXfs>
  <cellXfs count="503">
    <xf numFmtId="0" fontId="0" fillId="0" borderId="0" xfId="0"/>
    <xf numFmtId="0" fontId="0" fillId="0" borderId="0" xfId="0" applyAlignment="1">
      <alignment wrapText="1"/>
    </xf>
    <xf numFmtId="0" fontId="4" fillId="0" borderId="0" xfId="0" applyFont="1" applyAlignment="1">
      <alignment wrapText="1"/>
    </xf>
    <xf numFmtId="167" fontId="4" fillId="0" borderId="0" xfId="4" applyNumberFormat="1" applyFont="1" applyAlignment="1">
      <alignment wrapText="1"/>
    </xf>
    <xf numFmtId="165" fontId="4" fillId="0" borderId="0" xfId="4" applyFont="1" applyAlignment="1">
      <alignment wrapText="1"/>
    </xf>
    <xf numFmtId="0" fontId="1" fillId="0" borderId="0" xfId="0" applyFont="1" applyAlignment="1">
      <alignment wrapText="1"/>
    </xf>
    <xf numFmtId="9" fontId="0" fillId="0" borderId="0" xfId="3" applyFont="1"/>
    <xf numFmtId="167" fontId="1" fillId="0" borderId="0" xfId="4" applyNumberFormat="1" applyFont="1" applyAlignment="1">
      <alignment wrapText="1"/>
    </xf>
    <xf numFmtId="167" fontId="0" fillId="0" borderId="0" xfId="4" applyNumberFormat="1" applyFont="1"/>
    <xf numFmtId="167" fontId="0" fillId="0" borderId="0" xfId="4" applyNumberFormat="1" applyFont="1" applyAlignment="1">
      <alignment wrapText="1"/>
    </xf>
    <xf numFmtId="165" fontId="1" fillId="0" borderId="0" xfId="4" applyFont="1" applyAlignment="1">
      <alignment wrapText="1"/>
    </xf>
    <xf numFmtId="167" fontId="4" fillId="0" borderId="0" xfId="4" applyNumberFormat="1" applyFont="1" applyAlignment="1">
      <alignment horizontal="center" vertical="center" wrapText="1"/>
    </xf>
    <xf numFmtId="9" fontId="7" fillId="0" borderId="1" xfId="3" applyFont="1" applyFill="1" applyBorder="1" applyAlignment="1">
      <alignment vertical="center" wrapText="1"/>
    </xf>
    <xf numFmtId="9" fontId="7" fillId="0" borderId="1" xfId="3" applyFont="1" applyBorder="1" applyAlignment="1">
      <alignment vertical="center" wrapText="1"/>
    </xf>
    <xf numFmtId="9" fontId="7" fillId="0" borderId="1" xfId="0" applyNumberFormat="1" applyFont="1" applyBorder="1" applyAlignment="1">
      <alignment vertical="center" wrapText="1"/>
    </xf>
    <xf numFmtId="167" fontId="7" fillId="0" borderId="11" xfId="4" applyNumberFormat="1" applyFont="1" applyFill="1" applyBorder="1" applyAlignment="1">
      <alignment vertical="center" wrapText="1"/>
    </xf>
    <xf numFmtId="167" fontId="7" fillId="0" borderId="11" xfId="4" applyNumberFormat="1" applyFont="1" applyBorder="1" applyAlignment="1">
      <alignment vertical="center" wrapText="1"/>
    </xf>
    <xf numFmtId="166" fontId="5" fillId="19" borderId="15" xfId="2" applyNumberFormat="1" applyFont="1" applyFill="1" applyBorder="1" applyAlignment="1">
      <alignment horizontal="left" vertical="center" wrapText="1"/>
    </xf>
    <xf numFmtId="166" fontId="10" fillId="8" borderId="13" xfId="2" applyNumberFormat="1" applyFont="1" applyFill="1" applyBorder="1" applyAlignment="1">
      <alignment horizontal="center" vertical="center" wrapText="1"/>
    </xf>
    <xf numFmtId="166" fontId="10" fillId="8" borderId="14" xfId="2" applyNumberFormat="1" applyFont="1" applyFill="1" applyBorder="1" applyAlignment="1">
      <alignment horizontal="center" vertical="center" wrapText="1"/>
    </xf>
    <xf numFmtId="166" fontId="12" fillId="8" borderId="14" xfId="2" applyNumberFormat="1" applyFont="1" applyFill="1" applyBorder="1" applyAlignment="1">
      <alignment horizontal="center" vertical="center" wrapText="1"/>
    </xf>
    <xf numFmtId="166" fontId="10" fillId="8" borderId="15" xfId="2" applyNumberFormat="1" applyFont="1" applyFill="1" applyBorder="1" applyAlignment="1">
      <alignment horizontal="center" vertical="center" wrapText="1"/>
    </xf>
    <xf numFmtId="166" fontId="10" fillId="7" borderId="14" xfId="2" applyNumberFormat="1" applyFont="1" applyFill="1" applyBorder="1" applyAlignment="1">
      <alignment horizontal="center" vertical="center" wrapText="1"/>
    </xf>
    <xf numFmtId="167" fontId="10" fillId="5" borderId="13" xfId="4" applyNumberFormat="1" applyFont="1" applyFill="1" applyBorder="1" applyAlignment="1">
      <alignment horizontal="center" vertical="center" wrapText="1"/>
    </xf>
    <xf numFmtId="166" fontId="10" fillId="5" borderId="14" xfId="2" applyNumberFormat="1" applyFont="1" applyFill="1" applyBorder="1" applyAlignment="1">
      <alignment horizontal="center" vertical="center" wrapText="1"/>
    </xf>
    <xf numFmtId="166" fontId="13" fillId="5" borderId="15" xfId="2" applyNumberFormat="1" applyFont="1" applyFill="1" applyBorder="1" applyAlignment="1">
      <alignment horizontal="center" vertical="center" wrapText="1"/>
    </xf>
    <xf numFmtId="166" fontId="13" fillId="8" borderId="13" xfId="2" applyNumberFormat="1" applyFont="1" applyFill="1" applyBorder="1" applyAlignment="1">
      <alignment horizontal="center" vertical="center" wrapText="1"/>
    </xf>
    <xf numFmtId="166" fontId="5" fillId="4" borderId="14" xfId="2" applyNumberFormat="1" applyFont="1" applyFill="1" applyBorder="1" applyAlignment="1">
      <alignment horizontal="center" vertical="center" wrapText="1"/>
    </xf>
    <xf numFmtId="166" fontId="5" fillId="4" borderId="15" xfId="2" applyNumberFormat="1" applyFont="1" applyFill="1" applyBorder="1" applyAlignment="1">
      <alignment horizontal="center" vertical="center" wrapText="1"/>
    </xf>
    <xf numFmtId="167" fontId="1" fillId="0" borderId="0" xfId="4" applyNumberFormat="1" applyFont="1" applyAlignment="1">
      <alignment horizontal="center" wrapText="1"/>
    </xf>
    <xf numFmtId="167" fontId="4" fillId="0" borderId="0" xfId="4" applyNumberFormat="1" applyFont="1" applyAlignment="1">
      <alignment horizontal="center" wrapText="1"/>
    </xf>
    <xf numFmtId="9" fontId="1" fillId="0" borderId="0" xfId="3" applyFont="1" applyAlignment="1">
      <alignment wrapText="1"/>
    </xf>
    <xf numFmtId="167" fontId="10" fillId="6" borderId="14" xfId="4" applyNumberFormat="1" applyFont="1" applyFill="1" applyBorder="1" applyAlignment="1">
      <alignment horizontal="center" vertical="center" wrapText="1"/>
    </xf>
    <xf numFmtId="0" fontId="4" fillId="0" borderId="0" xfId="0" applyFont="1" applyAlignment="1">
      <alignment horizontal="right" wrapText="1"/>
    </xf>
    <xf numFmtId="166" fontId="7" fillId="0" borderId="1" xfId="0" applyNumberFormat="1" applyFont="1" applyBorder="1" applyAlignment="1">
      <alignment horizontal="left" vertical="center" wrapText="1"/>
    </xf>
    <xf numFmtId="0" fontId="1" fillId="0" borderId="0" xfId="0" applyFont="1" applyAlignment="1">
      <alignment horizontal="center" wrapText="1"/>
    </xf>
    <xf numFmtId="166" fontId="5" fillId="19" borderId="14" xfId="2" applyNumberFormat="1" applyFont="1" applyFill="1" applyBorder="1" applyAlignment="1">
      <alignment horizontal="center" vertical="center" wrapText="1"/>
    </xf>
    <xf numFmtId="0" fontId="4" fillId="0" borderId="0" xfId="0" applyFont="1" applyAlignment="1">
      <alignment horizontal="center" wrapText="1"/>
    </xf>
    <xf numFmtId="166" fontId="10" fillId="7" borderId="24" xfId="2" applyNumberFormat="1" applyFont="1" applyFill="1" applyBorder="1" applyAlignment="1">
      <alignment horizontal="center" vertical="center" wrapText="1"/>
    </xf>
    <xf numFmtId="167" fontId="10" fillId="7" borderId="24" xfId="4" applyNumberFormat="1" applyFont="1" applyFill="1" applyBorder="1" applyAlignment="1">
      <alignment horizontal="center" vertical="center" wrapText="1"/>
    </xf>
    <xf numFmtId="167" fontId="10" fillId="6" borderId="21" xfId="4" applyNumberFormat="1" applyFont="1" applyFill="1" applyBorder="1" applyAlignment="1">
      <alignment horizontal="center" vertical="center" wrapText="1"/>
    </xf>
    <xf numFmtId="167" fontId="10" fillId="8" borderId="13" xfId="4" applyNumberFormat="1" applyFont="1" applyFill="1" applyBorder="1" applyAlignment="1">
      <alignment horizontal="center" vertical="center" wrapText="1"/>
    </xf>
    <xf numFmtId="1" fontId="0" fillId="0" borderId="0" xfId="0" applyNumberFormat="1"/>
    <xf numFmtId="166" fontId="5" fillId="19" borderId="24" xfId="2" applyNumberFormat="1" applyFont="1" applyFill="1" applyBorder="1" applyAlignment="1">
      <alignment horizontal="center" vertical="center" wrapText="1"/>
    </xf>
    <xf numFmtId="167" fontId="21" fillId="0" borderId="18" xfId="4" applyNumberFormat="1" applyFont="1" applyBorder="1" applyAlignment="1"/>
    <xf numFmtId="167" fontId="21" fillId="0" borderId="18" xfId="4" applyNumberFormat="1" applyFont="1" applyBorder="1" applyAlignment="1">
      <alignment wrapText="1"/>
    </xf>
    <xf numFmtId="167" fontId="17" fillId="21" borderId="19" xfId="4" applyNumberFormat="1" applyFont="1" applyFill="1" applyBorder="1" applyAlignment="1">
      <alignment horizontal="center" vertical="center" wrapText="1"/>
    </xf>
    <xf numFmtId="166" fontId="13" fillId="5" borderId="23" xfId="2" applyNumberFormat="1" applyFont="1" applyFill="1" applyBorder="1" applyAlignment="1">
      <alignment horizontal="center" vertical="center" wrapText="1"/>
    </xf>
    <xf numFmtId="167" fontId="13" fillId="5" borderId="23" xfId="4" applyNumberFormat="1" applyFont="1" applyFill="1" applyBorder="1" applyAlignment="1">
      <alignment horizontal="center" vertical="center" wrapText="1"/>
    </xf>
    <xf numFmtId="166" fontId="5" fillId="4" borderId="13" xfId="2" applyNumberFormat="1" applyFont="1" applyFill="1" applyBorder="1" applyAlignment="1">
      <alignment horizontal="center" vertical="center" wrapText="1"/>
    </xf>
    <xf numFmtId="166" fontId="10" fillId="4" borderId="14" xfId="2" applyNumberFormat="1" applyFont="1" applyFill="1" applyBorder="1" applyAlignment="1">
      <alignment horizontal="center" vertical="center" wrapText="1"/>
    </xf>
    <xf numFmtId="167" fontId="10" fillId="7" borderId="13" xfId="4" applyNumberFormat="1" applyFont="1" applyFill="1" applyBorder="1" applyAlignment="1">
      <alignment horizontal="center" vertical="center" wrapText="1"/>
    </xf>
    <xf numFmtId="0" fontId="21" fillId="0" borderId="18" xfId="0" applyFont="1" applyBorder="1" applyAlignment="1">
      <alignment wrapText="1"/>
    </xf>
    <xf numFmtId="9" fontId="7" fillId="0" borderId="3" xfId="0" applyNumberFormat="1" applyFont="1" applyBorder="1" applyAlignment="1">
      <alignment vertical="center" wrapText="1"/>
    </xf>
    <xf numFmtId="9" fontId="7" fillId="0" borderId="11" xfId="0" applyNumberFormat="1" applyFont="1" applyBorder="1" applyAlignment="1">
      <alignment vertical="center" wrapText="1"/>
    </xf>
    <xf numFmtId="9" fontId="7" fillId="0" borderId="1" xfId="0" applyNumberFormat="1" applyFont="1" applyBorder="1" applyAlignment="1">
      <alignment horizontal="left" vertical="center" wrapText="1"/>
    </xf>
    <xf numFmtId="167" fontId="7" fillId="0" borderId="11" xfId="4" applyNumberFormat="1" applyFont="1" applyBorder="1" applyAlignment="1">
      <alignment horizontal="right" vertical="center" wrapText="1"/>
    </xf>
    <xf numFmtId="167" fontId="6" fillId="33" borderId="1" xfId="4" applyNumberFormat="1" applyFont="1" applyFill="1" applyBorder="1" applyAlignment="1">
      <alignment vertical="center" wrapText="1"/>
    </xf>
    <xf numFmtId="9" fontId="10" fillId="7" borderId="14" xfId="3" applyFont="1" applyFill="1" applyBorder="1" applyAlignment="1">
      <alignment horizontal="center" vertical="center" wrapText="1"/>
    </xf>
    <xf numFmtId="0" fontId="0" fillId="33" borderId="0" xfId="0" applyFill="1"/>
    <xf numFmtId="167" fontId="6" fillId="33" borderId="11" xfId="6" applyNumberFormat="1" applyFont="1" applyFill="1" applyBorder="1" applyAlignment="1">
      <alignment horizontal="center" vertical="center" wrapText="1"/>
    </xf>
    <xf numFmtId="9" fontId="6" fillId="33" borderId="11" xfId="4" applyNumberFormat="1" applyFont="1" applyFill="1" applyBorder="1" applyAlignment="1">
      <alignment vertical="center" wrapText="1"/>
    </xf>
    <xf numFmtId="9" fontId="6" fillId="33" borderId="1" xfId="4" applyNumberFormat="1" applyFont="1" applyFill="1" applyBorder="1" applyAlignment="1">
      <alignment vertical="center" wrapText="1"/>
    </xf>
    <xf numFmtId="9" fontId="6" fillId="33" borderId="12" xfId="0" applyNumberFormat="1" applyFont="1" applyFill="1" applyBorder="1" applyAlignment="1">
      <alignment vertical="center" wrapText="1"/>
    </xf>
    <xf numFmtId="166" fontId="7" fillId="33" borderId="11" xfId="4" applyNumberFormat="1" applyFont="1" applyFill="1" applyBorder="1" applyAlignment="1">
      <alignment vertical="center" wrapText="1"/>
    </xf>
    <xf numFmtId="166" fontId="7" fillId="33" borderId="1" xfId="4" applyNumberFormat="1" applyFont="1" applyFill="1" applyBorder="1" applyAlignment="1">
      <alignment vertical="center" wrapText="1"/>
    </xf>
    <xf numFmtId="9" fontId="7" fillId="33" borderId="1" xfId="4" applyNumberFormat="1" applyFont="1" applyFill="1" applyBorder="1" applyAlignment="1">
      <alignment vertical="center" wrapText="1"/>
    </xf>
    <xf numFmtId="10" fontId="7" fillId="33" borderId="1" xfId="4" applyNumberFormat="1" applyFont="1" applyFill="1" applyBorder="1" applyAlignment="1">
      <alignment horizontal="left" vertical="center" wrapText="1"/>
    </xf>
    <xf numFmtId="9" fontId="7" fillId="33" borderId="12" xfId="0" applyNumberFormat="1" applyFont="1" applyFill="1" applyBorder="1" applyAlignment="1">
      <alignment vertical="center" wrapText="1"/>
    </xf>
    <xf numFmtId="167" fontId="7" fillId="33" borderId="11" xfId="4" applyNumberFormat="1" applyFont="1" applyFill="1" applyBorder="1" applyAlignment="1">
      <alignment vertical="center" wrapText="1"/>
    </xf>
    <xf numFmtId="166" fontId="7" fillId="33" borderId="1" xfId="0" applyNumberFormat="1" applyFont="1" applyFill="1" applyBorder="1" applyAlignment="1">
      <alignment vertical="center" wrapText="1"/>
    </xf>
    <xf numFmtId="9" fontId="7" fillId="33" borderId="1" xfId="0" applyNumberFormat="1" applyFont="1" applyFill="1" applyBorder="1" applyAlignment="1">
      <alignment vertical="center" wrapText="1"/>
    </xf>
    <xf numFmtId="167" fontId="7" fillId="33" borderId="3" xfId="4" applyNumberFormat="1" applyFont="1" applyFill="1" applyBorder="1" applyAlignment="1">
      <alignment vertical="center" wrapText="1"/>
    </xf>
    <xf numFmtId="9" fontId="7" fillId="33" borderId="3" xfId="0" applyNumberFormat="1" applyFont="1" applyFill="1" applyBorder="1" applyAlignment="1">
      <alignment vertical="center" wrapText="1"/>
    </xf>
    <xf numFmtId="167" fontId="7" fillId="33" borderId="25" xfId="4" applyNumberFormat="1" applyFont="1" applyFill="1" applyBorder="1" applyAlignment="1">
      <alignment vertical="center" wrapText="1"/>
    </xf>
    <xf numFmtId="9" fontId="7" fillId="33" borderId="25" xfId="4" applyNumberFormat="1" applyFont="1" applyFill="1" applyBorder="1" applyAlignment="1">
      <alignment vertical="center" wrapText="1"/>
    </xf>
    <xf numFmtId="0" fontId="1" fillId="33" borderId="0" xfId="0" applyFont="1" applyFill="1" applyAlignment="1">
      <alignment wrapText="1"/>
    </xf>
    <xf numFmtId="0" fontId="1" fillId="33" borderId="0" xfId="0" applyFont="1" applyFill="1" applyAlignment="1">
      <alignment horizontal="right" wrapText="1"/>
    </xf>
    <xf numFmtId="165" fontId="1" fillId="33" borderId="0" xfId="4" applyFont="1" applyFill="1" applyAlignment="1">
      <alignment wrapText="1"/>
    </xf>
    <xf numFmtId="167" fontId="1" fillId="33" borderId="0" xfId="4" applyNumberFormat="1" applyFont="1" applyFill="1" applyAlignment="1">
      <alignment wrapText="1"/>
    </xf>
    <xf numFmtId="166" fontId="10" fillId="8" borderId="21" xfId="2" applyNumberFormat="1" applyFont="1" applyFill="1" applyBorder="1" applyAlignment="1">
      <alignment horizontal="center" vertical="center" wrapText="1"/>
    </xf>
    <xf numFmtId="166" fontId="7" fillId="33" borderId="2" xfId="0" applyNumberFormat="1" applyFont="1" applyFill="1" applyBorder="1" applyAlignment="1">
      <alignment horizontal="left" vertical="center" wrapText="1"/>
    </xf>
    <xf numFmtId="166" fontId="15" fillId="17" borderId="1" xfId="2" applyNumberFormat="1" applyFont="1" applyFill="1" applyBorder="1" applyAlignment="1">
      <alignment horizontal="center" vertical="center" wrapText="1"/>
    </xf>
    <xf numFmtId="166" fontId="16" fillId="17" borderId="1" xfId="2" applyNumberFormat="1" applyFont="1" applyFill="1" applyBorder="1" applyAlignment="1">
      <alignment horizontal="center" vertical="center" wrapText="1"/>
    </xf>
    <xf numFmtId="9" fontId="7" fillId="33" borderId="25" xfId="0" applyNumberFormat="1" applyFont="1" applyFill="1" applyBorder="1" applyAlignment="1">
      <alignment vertical="center" wrapText="1"/>
    </xf>
    <xf numFmtId="1" fontId="25" fillId="0" borderId="0" xfId="4" applyNumberFormat="1" applyFont="1" applyFill="1" applyBorder="1" applyAlignment="1">
      <alignment vertical="center" wrapText="1"/>
    </xf>
    <xf numFmtId="167" fontId="21" fillId="0" borderId="0" xfId="4" applyNumberFormat="1" applyFont="1" applyBorder="1" applyAlignment="1"/>
    <xf numFmtId="167" fontId="6" fillId="0" borderId="1" xfId="4" applyNumberFormat="1" applyFont="1" applyBorder="1" applyAlignment="1">
      <alignment vertical="center" wrapText="1"/>
    </xf>
    <xf numFmtId="9" fontId="6" fillId="0" borderId="11" xfId="4" applyNumberFormat="1" applyFont="1" applyBorder="1" applyAlignment="1">
      <alignment vertical="center" wrapText="1"/>
    </xf>
    <xf numFmtId="9" fontId="6" fillId="0" borderId="1" xfId="4" applyNumberFormat="1" applyFont="1" applyBorder="1" applyAlignment="1">
      <alignment vertical="center" wrapText="1"/>
    </xf>
    <xf numFmtId="9" fontId="6" fillId="0" borderId="12" xfId="0" applyNumberFormat="1" applyFont="1" applyBorder="1" applyAlignment="1">
      <alignment vertical="center" wrapText="1"/>
    </xf>
    <xf numFmtId="166" fontId="7" fillId="0" borderId="11" xfId="4" applyNumberFormat="1" applyFont="1" applyBorder="1" applyAlignment="1">
      <alignment vertical="center" wrapText="1"/>
    </xf>
    <xf numFmtId="166" fontId="7" fillId="0" borderId="1" xfId="4" applyNumberFormat="1" applyFont="1" applyBorder="1" applyAlignment="1">
      <alignment vertical="center" wrapText="1"/>
    </xf>
    <xf numFmtId="9" fontId="7" fillId="0" borderId="1" xfId="4" applyNumberFormat="1" applyFont="1" applyFill="1" applyBorder="1" applyAlignment="1">
      <alignment vertical="center" wrapText="1"/>
    </xf>
    <xf numFmtId="10" fontId="7" fillId="0" borderId="1" xfId="4" applyNumberFormat="1" applyFont="1" applyBorder="1" applyAlignment="1">
      <alignment horizontal="left" vertical="center" wrapText="1"/>
    </xf>
    <xf numFmtId="9" fontId="7" fillId="0" borderId="1" xfId="4" applyNumberFormat="1" applyFont="1" applyBorder="1" applyAlignment="1">
      <alignment vertical="center" wrapText="1"/>
    </xf>
    <xf numFmtId="9" fontId="7" fillId="0" borderId="12" xfId="0" applyNumberFormat="1" applyFont="1" applyBorder="1" applyAlignment="1">
      <alignment vertical="center" wrapText="1"/>
    </xf>
    <xf numFmtId="166" fontId="7" fillId="0" borderId="1" xfId="0" applyNumberFormat="1" applyFont="1" applyBorder="1" applyAlignment="1">
      <alignment vertical="center" wrapText="1"/>
    </xf>
    <xf numFmtId="167" fontId="7" fillId="0" borderId="3" xfId="4" applyNumberFormat="1" applyFont="1" applyFill="1" applyBorder="1" applyAlignment="1">
      <alignment vertical="center" wrapText="1"/>
    </xf>
    <xf numFmtId="167" fontId="7" fillId="0" borderId="25" xfId="4" applyNumberFormat="1" applyFont="1" applyFill="1" applyBorder="1" applyAlignment="1">
      <alignment vertical="center" wrapText="1"/>
    </xf>
    <xf numFmtId="9" fontId="7" fillId="0" borderId="25" xfId="4" applyNumberFormat="1" applyFont="1" applyFill="1" applyBorder="1" applyAlignment="1">
      <alignment vertical="center" wrapText="1"/>
    </xf>
    <xf numFmtId="0" fontId="3" fillId="33" borderId="11" xfId="0" applyFont="1" applyFill="1" applyBorder="1" applyAlignment="1">
      <alignment horizontal="left" vertical="center"/>
    </xf>
    <xf numFmtId="167" fontId="3" fillId="0" borderId="1" xfId="4" applyNumberFormat="1" applyFont="1" applyBorder="1" applyAlignment="1">
      <alignment horizontal="left" vertical="center"/>
    </xf>
    <xf numFmtId="167" fontId="3" fillId="33" borderId="1" xfId="4" applyNumberFormat="1" applyFont="1" applyFill="1" applyBorder="1" applyAlignment="1">
      <alignment horizontal="left" vertical="center"/>
    </xf>
    <xf numFmtId="0" fontId="3" fillId="0" borderId="1" xfId="0" applyFont="1" applyBorder="1" applyAlignment="1">
      <alignment horizontal="center" vertical="center"/>
    </xf>
    <xf numFmtId="0" fontId="3" fillId="0" borderId="11" xfId="0" applyFont="1" applyBorder="1" applyAlignment="1">
      <alignment horizontal="left" vertical="center"/>
    </xf>
    <xf numFmtId="166" fontId="28" fillId="19" borderId="13" xfId="2" applyNumberFormat="1" applyFont="1" applyFill="1" applyBorder="1" applyAlignment="1">
      <alignment horizontal="left" vertical="center"/>
    </xf>
    <xf numFmtId="166" fontId="28" fillId="19" borderId="14" xfId="2" applyNumberFormat="1" applyFont="1" applyFill="1" applyBorder="1" applyAlignment="1">
      <alignment horizontal="left" vertical="center"/>
    </xf>
    <xf numFmtId="166" fontId="28" fillId="19" borderId="15" xfId="2" applyNumberFormat="1" applyFont="1" applyFill="1" applyBorder="1" applyAlignment="1">
      <alignment horizontal="left" vertical="center"/>
    </xf>
    <xf numFmtId="9" fontId="29" fillId="5" borderId="14" xfId="3" applyFont="1" applyFill="1" applyBorder="1" applyAlignment="1">
      <alignment horizontal="center" vertical="center"/>
    </xf>
    <xf numFmtId="9" fontId="29" fillId="5" borderId="24" xfId="3" applyFont="1" applyFill="1" applyBorder="1" applyAlignment="1">
      <alignment horizontal="center" vertical="center"/>
    </xf>
    <xf numFmtId="9" fontId="29" fillId="5" borderId="15" xfId="3" applyFont="1" applyFill="1" applyBorder="1" applyAlignment="1">
      <alignment horizontal="center" vertical="center"/>
    </xf>
    <xf numFmtId="166" fontId="30" fillId="33" borderId="27" xfId="0" applyNumberFormat="1" applyFont="1" applyFill="1" applyBorder="1" applyAlignment="1">
      <alignment vertical="center"/>
    </xf>
    <xf numFmtId="0" fontId="3" fillId="0" borderId="1" xfId="0" applyFont="1" applyBorder="1" applyAlignment="1">
      <alignment horizontal="left"/>
    </xf>
    <xf numFmtId="167" fontId="3" fillId="33" borderId="11" xfId="4" applyNumberFormat="1" applyFont="1" applyFill="1" applyBorder="1" applyAlignment="1">
      <alignment vertical="center"/>
    </xf>
    <xf numFmtId="167" fontId="3" fillId="33" borderId="1" xfId="4" applyNumberFormat="1" applyFont="1" applyFill="1" applyBorder="1" applyAlignment="1">
      <alignment vertical="center"/>
    </xf>
    <xf numFmtId="167" fontId="3" fillId="33" borderId="12" xfId="4" applyNumberFormat="1" applyFont="1" applyFill="1" applyBorder="1" applyAlignment="1">
      <alignment vertical="center"/>
    </xf>
    <xf numFmtId="167" fontId="3" fillId="33" borderId="2" xfId="4" applyNumberFormat="1" applyFont="1" applyFill="1" applyBorder="1" applyAlignment="1">
      <alignment vertical="center"/>
    </xf>
    <xf numFmtId="9" fontId="30" fillId="33" borderId="12" xfId="3" applyFont="1" applyFill="1" applyBorder="1" applyAlignment="1">
      <alignment vertical="center"/>
    </xf>
    <xf numFmtId="0" fontId="3" fillId="0" borderId="1" xfId="0" applyFont="1" applyBorder="1" applyAlignment="1">
      <alignment horizontal="left" vertical="center"/>
    </xf>
    <xf numFmtId="167" fontId="3" fillId="0" borderId="1" xfId="4" applyNumberFormat="1" applyFont="1" applyBorder="1" applyAlignment="1">
      <alignment vertical="center"/>
    </xf>
    <xf numFmtId="167" fontId="3" fillId="0" borderId="2" xfId="4" applyNumberFormat="1" applyFont="1" applyBorder="1" applyAlignment="1">
      <alignment vertical="center"/>
    </xf>
    <xf numFmtId="0" fontId="3" fillId="0" borderId="0" xfId="0" applyFont="1"/>
    <xf numFmtId="0" fontId="3" fillId="0" borderId="0" xfId="0" applyFont="1" applyAlignment="1">
      <alignment horizontal="left"/>
    </xf>
    <xf numFmtId="167" fontId="3" fillId="0" borderId="0" xfId="4" applyNumberFormat="1" applyFont="1" applyAlignment="1"/>
    <xf numFmtId="9" fontId="3" fillId="0" borderId="0" xfId="3" applyFont="1" applyAlignment="1"/>
    <xf numFmtId="0" fontId="28" fillId="9" borderId="10" xfId="1" applyFont="1" applyFill="1" applyBorder="1" applyAlignment="1">
      <alignment vertical="center"/>
    </xf>
    <xf numFmtId="0" fontId="28" fillId="9" borderId="17" xfId="1" applyFont="1" applyFill="1" applyBorder="1" applyAlignment="1">
      <alignment horizontal="center" vertical="center"/>
    </xf>
    <xf numFmtId="166" fontId="31" fillId="32" borderId="26" xfId="2" applyNumberFormat="1" applyFont="1" applyFill="1" applyBorder="1" applyAlignment="1">
      <alignment horizontal="center" vertical="center"/>
    </xf>
    <xf numFmtId="0" fontId="3" fillId="33" borderId="1" xfId="0" applyFont="1" applyFill="1" applyBorder="1" applyAlignment="1">
      <alignment horizontal="left" vertical="center"/>
    </xf>
    <xf numFmtId="0" fontId="3" fillId="33" borderId="1" xfId="0" applyFont="1" applyFill="1" applyBorder="1" applyAlignment="1">
      <alignment horizontal="center" vertical="center"/>
    </xf>
    <xf numFmtId="0" fontId="3" fillId="33" borderId="0" xfId="0" applyFont="1" applyFill="1"/>
    <xf numFmtId="165" fontId="3" fillId="0" borderId="0" xfId="4" applyFont="1" applyAlignment="1"/>
    <xf numFmtId="167" fontId="28" fillId="6" borderId="13" xfId="4" applyNumberFormat="1" applyFont="1" applyFill="1" applyBorder="1" applyAlignment="1">
      <alignment horizontal="center" vertical="center" wrapText="1"/>
    </xf>
    <xf numFmtId="167" fontId="6" fillId="33" borderId="1" xfId="4" applyNumberFormat="1" applyFont="1" applyFill="1" applyBorder="1" applyAlignment="1">
      <alignment vertical="center"/>
    </xf>
    <xf numFmtId="166" fontId="28" fillId="19" borderId="17" xfId="2" applyNumberFormat="1" applyFont="1" applyFill="1" applyBorder="1" applyAlignment="1">
      <alignment horizontal="center" vertical="center" wrapText="1"/>
    </xf>
    <xf numFmtId="166" fontId="28" fillId="19" borderId="24" xfId="2" applyNumberFormat="1" applyFont="1" applyFill="1" applyBorder="1" applyAlignment="1">
      <alignment horizontal="left" vertical="center" wrapText="1"/>
    </xf>
    <xf numFmtId="166" fontId="28" fillId="19" borderId="14" xfId="2" applyNumberFormat="1" applyFont="1" applyFill="1" applyBorder="1" applyAlignment="1">
      <alignment horizontal="left" vertical="center" wrapText="1"/>
    </xf>
    <xf numFmtId="166" fontId="28" fillId="19" borderId="21" xfId="2" applyNumberFormat="1" applyFont="1" applyFill="1" applyBorder="1" applyAlignment="1">
      <alignment horizontal="left" vertical="center" wrapText="1"/>
    </xf>
    <xf numFmtId="166" fontId="28" fillId="19" borderId="20" xfId="2" applyNumberFormat="1" applyFont="1" applyFill="1" applyBorder="1" applyAlignment="1">
      <alignment horizontal="left" vertical="center" wrapText="1"/>
    </xf>
    <xf numFmtId="166" fontId="28" fillId="19" borderId="13" xfId="2" applyNumberFormat="1" applyFont="1" applyFill="1" applyBorder="1" applyAlignment="1">
      <alignment horizontal="left" vertical="center" wrapText="1"/>
    </xf>
    <xf numFmtId="166" fontId="28" fillId="19" borderId="15" xfId="2" applyNumberFormat="1" applyFont="1" applyFill="1" applyBorder="1" applyAlignment="1">
      <alignment horizontal="left" vertical="center" wrapText="1"/>
    </xf>
    <xf numFmtId="168" fontId="28" fillId="4" borderId="13" xfId="4" applyNumberFormat="1" applyFont="1" applyFill="1" applyBorder="1" applyAlignment="1">
      <alignment horizontal="center" vertical="center" wrapText="1"/>
    </xf>
    <xf numFmtId="168" fontId="28" fillId="4" borderId="14" xfId="4" applyNumberFormat="1" applyFont="1" applyFill="1" applyBorder="1" applyAlignment="1">
      <alignment horizontal="center" vertical="center" wrapText="1"/>
    </xf>
    <xf numFmtId="166" fontId="28" fillId="4" borderId="14" xfId="2" applyNumberFormat="1" applyFont="1" applyFill="1" applyBorder="1" applyAlignment="1">
      <alignment horizontal="center" vertical="center" wrapText="1"/>
    </xf>
    <xf numFmtId="9" fontId="28" fillId="4" borderId="14" xfId="3" applyFont="1" applyFill="1" applyBorder="1" applyAlignment="1">
      <alignment horizontal="center" vertical="center" wrapText="1"/>
    </xf>
    <xf numFmtId="166" fontId="28" fillId="19" borderId="0" xfId="2" applyNumberFormat="1" applyFont="1" applyFill="1" applyBorder="1" applyAlignment="1">
      <alignment horizontal="left" vertical="center" wrapText="1"/>
    </xf>
    <xf numFmtId="166" fontId="28" fillId="4" borderId="4" xfId="2" applyNumberFormat="1" applyFont="1" applyFill="1" applyBorder="1" applyAlignment="1">
      <alignment horizontal="center" vertical="center" wrapText="1"/>
    </xf>
    <xf numFmtId="166" fontId="28" fillId="4" borderId="5" xfId="2" applyNumberFormat="1" applyFont="1" applyFill="1" applyBorder="1" applyAlignment="1">
      <alignment horizontal="center" vertical="center" wrapText="1"/>
    </xf>
    <xf numFmtId="9" fontId="28" fillId="19" borderId="5" xfId="3" applyFont="1" applyFill="1" applyBorder="1" applyAlignment="1">
      <alignment horizontal="center" vertical="center" wrapText="1"/>
    </xf>
    <xf numFmtId="168" fontId="30" fillId="0" borderId="1" xfId="4" applyNumberFormat="1" applyFont="1" applyBorder="1" applyAlignment="1">
      <alignment horizontal="left"/>
    </xf>
    <xf numFmtId="167" fontId="3" fillId="0" borderId="0" xfId="4" applyNumberFormat="1" applyFont="1" applyAlignment="1">
      <alignment horizontal="center" wrapText="1"/>
    </xf>
    <xf numFmtId="0" fontId="3" fillId="0" borderId="0" xfId="0" applyFont="1" applyAlignment="1">
      <alignment horizontal="left" wrapText="1"/>
    </xf>
    <xf numFmtId="167" fontId="3" fillId="0" borderId="0" xfId="4" applyNumberFormat="1" applyFont="1" applyAlignment="1">
      <alignment wrapText="1"/>
    </xf>
    <xf numFmtId="0" fontId="28" fillId="10" borderId="10" xfId="1" applyFont="1" applyFill="1" applyBorder="1" applyAlignment="1">
      <alignment horizontal="center" vertical="center" wrapText="1"/>
    </xf>
    <xf numFmtId="0" fontId="28" fillId="9" borderId="17" xfId="1" applyFont="1" applyFill="1" applyBorder="1" applyAlignment="1">
      <alignment horizontal="center" vertical="center" wrapText="1"/>
    </xf>
    <xf numFmtId="9" fontId="3" fillId="0" borderId="0" xfId="3" applyFont="1"/>
    <xf numFmtId="0" fontId="3" fillId="0" borderId="0" xfId="0" applyFont="1" applyAlignment="1">
      <alignment wrapText="1"/>
    </xf>
    <xf numFmtId="168" fontId="3" fillId="0" borderId="0" xfId="4" applyNumberFormat="1" applyFont="1" applyAlignment="1">
      <alignment horizontal="left"/>
    </xf>
    <xf numFmtId="167" fontId="3" fillId="0" borderId="0" xfId="4" applyNumberFormat="1" applyFont="1"/>
    <xf numFmtId="0" fontId="34" fillId="18" borderId="1" xfId="0" applyFont="1" applyFill="1" applyBorder="1" applyAlignment="1">
      <alignment vertical="center"/>
    </xf>
    <xf numFmtId="0" fontId="35" fillId="14" borderId="8" xfId="0" applyFont="1" applyFill="1" applyBorder="1" applyAlignment="1">
      <alignment horizontal="center" vertical="center"/>
    </xf>
    <xf numFmtId="0" fontId="36" fillId="13" borderId="9" xfId="0" applyFont="1" applyFill="1" applyBorder="1" applyAlignment="1">
      <alignment horizontal="center" vertical="center"/>
    </xf>
    <xf numFmtId="0" fontId="38" fillId="0" borderId="9" xfId="0" applyFont="1" applyBorder="1" applyAlignment="1">
      <alignment vertical="center" wrapText="1"/>
    </xf>
    <xf numFmtId="0" fontId="37" fillId="34" borderId="9" xfId="0" applyFont="1" applyFill="1" applyBorder="1" applyAlignment="1">
      <alignment horizontal="center" vertical="center"/>
    </xf>
    <xf numFmtId="0" fontId="39" fillId="0" borderId="9" xfId="0" applyFont="1" applyBorder="1" applyAlignment="1">
      <alignment vertical="top" wrapText="1"/>
    </xf>
    <xf numFmtId="0" fontId="37" fillId="35" borderId="9" xfId="0" applyFont="1" applyFill="1" applyBorder="1" applyAlignment="1">
      <alignment horizontal="center" vertical="center"/>
    </xf>
    <xf numFmtId="0" fontId="41" fillId="15" borderId="0" xfId="0" applyFont="1" applyFill="1"/>
    <xf numFmtId="0" fontId="39" fillId="15" borderId="0" xfId="0" applyFont="1" applyFill="1"/>
    <xf numFmtId="0" fontId="39" fillId="0" borderId="0" xfId="0" applyFont="1"/>
    <xf numFmtId="0" fontId="41" fillId="0" borderId="0" xfId="0" applyFont="1"/>
    <xf numFmtId="0" fontId="39" fillId="0" borderId="1" xfId="0" applyFont="1" applyBorder="1" applyAlignment="1">
      <alignment horizontal="left" vertical="center" wrapText="1"/>
    </xf>
    <xf numFmtId="0" fontId="39" fillId="0" borderId="9" xfId="0" applyFont="1" applyBorder="1" applyAlignment="1">
      <alignment horizontal="left" vertical="top" wrapText="1"/>
    </xf>
    <xf numFmtId="0" fontId="43" fillId="0" borderId="9" xfId="7" applyFont="1" applyBorder="1" applyAlignment="1">
      <alignment vertical="center" wrapText="1"/>
    </xf>
    <xf numFmtId="0" fontId="43" fillId="0" borderId="9" xfId="7" applyFont="1" applyBorder="1" applyAlignment="1">
      <alignment horizontal="left" vertical="center" wrapText="1" indent="1"/>
    </xf>
    <xf numFmtId="0" fontId="39" fillId="0" borderId="0" xfId="0" applyFont="1" applyAlignment="1">
      <alignment horizontal="left" indent="1"/>
    </xf>
    <xf numFmtId="0" fontId="45" fillId="0" borderId="0" xfId="0" applyFont="1"/>
    <xf numFmtId="0" fontId="29" fillId="38" borderId="0" xfId="0" applyFont="1" applyFill="1"/>
    <xf numFmtId="0" fontId="31" fillId="16" borderId="1" xfId="0" applyFont="1" applyFill="1" applyBorder="1" applyAlignment="1">
      <alignment horizontal="center" vertical="center" wrapText="1"/>
    </xf>
    <xf numFmtId="0" fontId="33" fillId="16" borderId="1" xfId="0" applyFont="1" applyFill="1" applyBorder="1" applyAlignment="1">
      <alignment horizontal="center" vertical="center" wrapText="1"/>
    </xf>
    <xf numFmtId="0" fontId="33" fillId="31" borderId="1" xfId="0" applyFont="1" applyFill="1" applyBorder="1" applyAlignment="1">
      <alignment horizontal="center" vertical="center" wrapText="1"/>
    </xf>
    <xf numFmtId="0" fontId="33" fillId="0" borderId="1" xfId="0" applyFont="1" applyBorder="1"/>
    <xf numFmtId="0" fontId="33" fillId="0" borderId="1" xfId="0" applyFont="1" applyBorder="1" applyAlignment="1">
      <alignment wrapText="1"/>
    </xf>
    <xf numFmtId="0" fontId="47" fillId="0" borderId="0" xfId="0" applyFont="1"/>
    <xf numFmtId="0" fontId="3" fillId="0" borderId="1" xfId="0" applyFont="1" applyBorder="1"/>
    <xf numFmtId="0" fontId="3" fillId="0" borderId="1" xfId="0" applyFont="1" applyBorder="1" applyAlignment="1">
      <alignment wrapText="1"/>
    </xf>
    <xf numFmtId="9" fontId="3" fillId="0" borderId="1" xfId="3" applyFont="1" applyBorder="1"/>
    <xf numFmtId="0" fontId="33" fillId="0" borderId="0" xfId="0" applyFont="1"/>
    <xf numFmtId="0" fontId="33" fillId="0" borderId="0" xfId="0" applyFont="1" applyAlignment="1">
      <alignment wrapText="1"/>
    </xf>
    <xf numFmtId="9" fontId="33" fillId="0" borderId="0" xfId="3" applyFont="1" applyBorder="1"/>
    <xf numFmtId="0" fontId="33" fillId="16" borderId="1" xfId="0" applyFont="1" applyFill="1" applyBorder="1"/>
    <xf numFmtId="0" fontId="33" fillId="16" borderId="1" xfId="0" applyFont="1" applyFill="1" applyBorder="1" applyAlignment="1">
      <alignment wrapText="1"/>
    </xf>
    <xf numFmtId="9" fontId="3" fillId="0" borderId="1" xfId="0" applyNumberFormat="1" applyFont="1" applyBorder="1"/>
    <xf numFmtId="0" fontId="3" fillId="0" borderId="6" xfId="0" applyFont="1" applyBorder="1"/>
    <xf numFmtId="9" fontId="3" fillId="0" borderId="0" xfId="3" applyFont="1" applyBorder="1"/>
    <xf numFmtId="0" fontId="31" fillId="31" borderId="1" xfId="0" applyFont="1" applyFill="1" applyBorder="1" applyAlignment="1">
      <alignment horizontal="center" vertical="center" wrapText="1"/>
    </xf>
    <xf numFmtId="0" fontId="3" fillId="30" borderId="1" xfId="0" applyFont="1" applyFill="1" applyBorder="1" applyAlignment="1">
      <alignment wrapText="1"/>
    </xf>
    <xf numFmtId="0" fontId="3" fillId="30" borderId="2" xfId="0" applyFont="1" applyFill="1" applyBorder="1"/>
    <xf numFmtId="0" fontId="3" fillId="30" borderId="1" xfId="0" applyFont="1" applyFill="1" applyBorder="1"/>
    <xf numFmtId="9" fontId="3" fillId="30" borderId="2" xfId="3" applyFont="1" applyFill="1" applyBorder="1"/>
    <xf numFmtId="9" fontId="3" fillId="30" borderId="1" xfId="3" applyFont="1" applyFill="1" applyBorder="1"/>
    <xf numFmtId="167" fontId="29" fillId="5" borderId="13" xfId="4" applyNumberFormat="1" applyFont="1" applyFill="1" applyBorder="1" applyAlignment="1">
      <alignment horizontal="center" vertical="center" wrapText="1"/>
    </xf>
    <xf numFmtId="167" fontId="29" fillId="5" borderId="14" xfId="4" applyNumberFormat="1" applyFont="1" applyFill="1" applyBorder="1" applyAlignment="1">
      <alignment horizontal="center" vertical="center" wrapText="1"/>
    </xf>
    <xf numFmtId="167" fontId="29" fillId="5" borderId="15" xfId="4" applyNumberFormat="1" applyFont="1" applyFill="1" applyBorder="1" applyAlignment="1">
      <alignment horizontal="center" vertical="center" wrapText="1"/>
    </xf>
    <xf numFmtId="167" fontId="3" fillId="33" borderId="11" xfId="6" applyNumberFormat="1" applyFont="1" applyFill="1" applyBorder="1" applyAlignment="1">
      <alignment horizontal="center" vertical="center" wrapText="1"/>
    </xf>
    <xf numFmtId="167" fontId="3" fillId="33" borderId="1" xfId="4" applyNumberFormat="1" applyFont="1" applyFill="1" applyBorder="1" applyAlignment="1">
      <alignment vertical="center" wrapText="1"/>
    </xf>
    <xf numFmtId="167" fontId="3" fillId="0" borderId="11" xfId="6" applyNumberFormat="1" applyFont="1" applyBorder="1" applyAlignment="1">
      <alignment horizontal="center" vertical="center" wrapText="1"/>
    </xf>
    <xf numFmtId="167" fontId="3" fillId="0" borderId="1" xfId="4" applyNumberFormat="1" applyFont="1" applyBorder="1" applyAlignment="1">
      <alignment vertical="center" wrapText="1"/>
    </xf>
    <xf numFmtId="167" fontId="28" fillId="6" borderId="14" xfId="4" applyNumberFormat="1" applyFont="1" applyFill="1" applyBorder="1" applyAlignment="1">
      <alignment horizontal="center" vertical="center" wrapText="1"/>
    </xf>
    <xf numFmtId="167" fontId="28" fillId="6" borderId="21" xfId="4" applyNumberFormat="1" applyFont="1" applyFill="1" applyBorder="1" applyAlignment="1">
      <alignment horizontal="center" vertical="center" wrapText="1"/>
    </xf>
    <xf numFmtId="167" fontId="0" fillId="0" borderId="0" xfId="0" applyNumberFormat="1"/>
    <xf numFmtId="167" fontId="0" fillId="0" borderId="0" xfId="4" applyNumberFormat="1" applyFont="1" applyBorder="1"/>
    <xf numFmtId="167" fontId="11" fillId="26" borderId="0" xfId="4" applyNumberFormat="1" applyFont="1" applyFill="1" applyBorder="1" applyAlignment="1">
      <alignment horizontal="center" vertical="center" wrapText="1"/>
    </xf>
    <xf numFmtId="1" fontId="20" fillId="0" borderId="0" xfId="4" applyNumberFormat="1" applyFont="1" applyFill="1" applyBorder="1" applyAlignment="1">
      <alignment horizontal="center" vertical="center" wrapText="1"/>
    </xf>
    <xf numFmtId="1" fontId="20" fillId="0" borderId="0" xfId="4" applyNumberFormat="1" applyFont="1" applyFill="1" applyBorder="1" applyAlignment="1">
      <alignment vertical="center" wrapText="1"/>
    </xf>
    <xf numFmtId="167" fontId="6" fillId="0" borderId="0" xfId="0" applyNumberFormat="1" applyFont="1" applyAlignment="1">
      <alignment wrapText="1"/>
    </xf>
    <xf numFmtId="166" fontId="15" fillId="17" borderId="1" xfId="2" applyNumberFormat="1" applyFont="1" applyFill="1" applyBorder="1" applyAlignment="1">
      <alignment vertical="center" wrapText="1"/>
    </xf>
    <xf numFmtId="166" fontId="14" fillId="36" borderId="44" xfId="2" applyNumberFormat="1" applyFont="1" applyFill="1" applyBorder="1" applyAlignment="1">
      <alignment horizontal="center" vertical="center" wrapText="1"/>
    </xf>
    <xf numFmtId="166" fontId="14" fillId="36" borderId="45" xfId="2" applyNumberFormat="1" applyFont="1" applyFill="1" applyBorder="1" applyAlignment="1">
      <alignment horizontal="center" vertical="center" wrapText="1"/>
    </xf>
    <xf numFmtId="1" fontId="7" fillId="37" borderId="11" xfId="4" applyNumberFormat="1" applyFont="1" applyFill="1" applyBorder="1" applyAlignment="1">
      <alignment vertical="center" wrapText="1"/>
    </xf>
    <xf numFmtId="167" fontId="7" fillId="0" borderId="12" xfId="4" applyNumberFormat="1" applyFont="1" applyFill="1" applyBorder="1" applyAlignment="1">
      <alignment vertical="center" wrapText="1"/>
    </xf>
    <xf numFmtId="166" fontId="10" fillId="38" borderId="5" xfId="2" applyNumberFormat="1" applyFont="1" applyFill="1" applyBorder="1" applyAlignment="1">
      <alignment horizontal="center" vertical="center" wrapText="1"/>
    </xf>
    <xf numFmtId="167" fontId="30" fillId="33" borderId="2" xfId="4" applyNumberFormat="1" applyFont="1" applyFill="1" applyBorder="1" applyAlignment="1">
      <alignment vertical="center"/>
    </xf>
    <xf numFmtId="167" fontId="30" fillId="0" borderId="2" xfId="4" applyNumberFormat="1" applyFont="1" applyBorder="1" applyAlignment="1">
      <alignment vertical="center"/>
    </xf>
    <xf numFmtId="9" fontId="30" fillId="33" borderId="46" xfId="3" applyFont="1" applyFill="1" applyBorder="1" applyAlignment="1">
      <alignment vertical="center"/>
    </xf>
    <xf numFmtId="9" fontId="30" fillId="33" borderId="47" xfId="3" applyFont="1" applyFill="1" applyBorder="1" applyAlignment="1">
      <alignment vertical="center"/>
    </xf>
    <xf numFmtId="9" fontId="30" fillId="33" borderId="48" xfId="3" applyFont="1" applyFill="1" applyBorder="1" applyAlignment="1">
      <alignment vertical="center"/>
    </xf>
    <xf numFmtId="9" fontId="30" fillId="33" borderId="11" xfId="3" applyFont="1" applyFill="1" applyBorder="1" applyAlignment="1">
      <alignment vertical="center"/>
    </xf>
    <xf numFmtId="9" fontId="30" fillId="33" borderId="1" xfId="3" applyFont="1" applyFill="1" applyBorder="1" applyAlignment="1">
      <alignment vertical="center"/>
    </xf>
    <xf numFmtId="9" fontId="30" fillId="33" borderId="43" xfId="3" applyFont="1" applyFill="1" applyBorder="1" applyAlignment="1">
      <alignment vertical="center"/>
    </xf>
    <xf numFmtId="9" fontId="30" fillId="33" borderId="19" xfId="3" applyFont="1" applyFill="1" applyBorder="1" applyAlignment="1">
      <alignment vertical="center"/>
    </xf>
    <xf numFmtId="9" fontId="30" fillId="33" borderId="42" xfId="3" applyFont="1" applyFill="1" applyBorder="1" applyAlignment="1">
      <alignment vertical="center"/>
    </xf>
    <xf numFmtId="167" fontId="10" fillId="6" borderId="0" xfId="4" applyNumberFormat="1" applyFont="1" applyFill="1" applyBorder="1" applyAlignment="1">
      <alignment horizontal="center" vertical="center" wrapText="1"/>
    </xf>
    <xf numFmtId="167" fontId="17" fillId="21" borderId="0" xfId="4" applyNumberFormat="1" applyFont="1" applyFill="1" applyBorder="1" applyAlignment="1">
      <alignment horizontal="center" vertical="center" wrapText="1"/>
    </xf>
    <xf numFmtId="167" fontId="10" fillId="6" borderId="0" xfId="4" applyNumberFormat="1" applyFont="1" applyFill="1" applyAlignment="1">
      <alignment horizontal="center" vertical="center" wrapText="1"/>
    </xf>
    <xf numFmtId="0" fontId="49" fillId="0" borderId="0" xfId="0" applyFont="1"/>
    <xf numFmtId="169" fontId="0" fillId="0" borderId="0" xfId="0" applyNumberFormat="1"/>
    <xf numFmtId="167" fontId="6" fillId="0" borderId="0" xfId="4" applyNumberFormat="1" applyFont="1" applyFill="1" applyBorder="1" applyAlignment="1">
      <alignment vertical="center"/>
    </xf>
    <xf numFmtId="167" fontId="6" fillId="33" borderId="0" xfId="4" applyNumberFormat="1" applyFont="1" applyFill="1" applyBorder="1" applyAlignment="1">
      <alignment vertical="center"/>
    </xf>
    <xf numFmtId="167" fontId="6" fillId="33" borderId="36" xfId="4" applyNumberFormat="1" applyFont="1" applyFill="1" applyBorder="1" applyAlignment="1">
      <alignment vertical="center"/>
    </xf>
    <xf numFmtId="167" fontId="6" fillId="33" borderId="37" xfId="4" applyNumberFormat="1" applyFont="1" applyFill="1" applyBorder="1" applyAlignment="1">
      <alignment vertical="center"/>
    </xf>
    <xf numFmtId="165" fontId="7" fillId="33" borderId="36" xfId="4" applyFont="1" applyFill="1" applyBorder="1" applyAlignment="1">
      <alignment vertical="center"/>
    </xf>
    <xf numFmtId="167" fontId="7" fillId="33" borderId="0" xfId="4" applyNumberFormat="1" applyFont="1" applyFill="1" applyBorder="1" applyAlignment="1">
      <alignment vertical="center"/>
    </xf>
    <xf numFmtId="166" fontId="7" fillId="33" borderId="36" xfId="0" applyNumberFormat="1" applyFont="1" applyFill="1" applyBorder="1" applyAlignment="1">
      <alignment vertical="center"/>
    </xf>
    <xf numFmtId="166" fontId="7" fillId="33" borderId="37" xfId="0" applyNumberFormat="1" applyFont="1" applyFill="1" applyBorder="1" applyAlignment="1">
      <alignment vertical="center"/>
    </xf>
    <xf numFmtId="167" fontId="3" fillId="0" borderId="28" xfId="4" applyNumberFormat="1" applyFont="1" applyFill="1" applyBorder="1" applyAlignment="1">
      <alignment horizontal="center" vertical="center"/>
    </xf>
    <xf numFmtId="168" fontId="30" fillId="0" borderId="1" xfId="4" applyNumberFormat="1" applyFont="1" applyBorder="1" applyAlignment="1"/>
    <xf numFmtId="167" fontId="30" fillId="0" borderId="1" xfId="4" applyNumberFormat="1" applyFont="1" applyBorder="1" applyAlignment="1"/>
    <xf numFmtId="9" fontId="30" fillId="0" borderId="1" xfId="3" applyFont="1" applyBorder="1" applyAlignment="1"/>
    <xf numFmtId="166" fontId="30" fillId="3" borderId="1" xfId="0" applyNumberFormat="1" applyFont="1" applyFill="1" applyBorder="1"/>
    <xf numFmtId="166" fontId="30" fillId="0" borderId="1" xfId="0" applyNumberFormat="1" applyFont="1" applyBorder="1"/>
    <xf numFmtId="9" fontId="33" fillId="0" borderId="1" xfId="3" applyFont="1" applyBorder="1" applyAlignment="1"/>
    <xf numFmtId="166" fontId="30" fillId="0" borderId="2" xfId="0" applyNumberFormat="1" applyFont="1" applyBorder="1"/>
    <xf numFmtId="167" fontId="3" fillId="0" borderId="28" xfId="4" applyNumberFormat="1" applyFont="1" applyBorder="1" applyAlignment="1">
      <alignment horizontal="center" vertical="center"/>
    </xf>
    <xf numFmtId="167" fontId="30" fillId="0" borderId="1" xfId="4" applyNumberFormat="1" applyFont="1" applyBorder="1" applyAlignment="1">
      <alignment vertical="center"/>
    </xf>
    <xf numFmtId="9" fontId="30" fillId="0" borderId="1" xfId="3" applyFont="1" applyBorder="1" applyAlignment="1">
      <alignment vertical="center"/>
    </xf>
    <xf numFmtId="166" fontId="30" fillId="3" borderId="1" xfId="4" applyNumberFormat="1" applyFont="1" applyFill="1" applyBorder="1" applyAlignment="1">
      <alignment vertical="center"/>
    </xf>
    <xf numFmtId="9" fontId="30" fillId="0" borderId="1" xfId="3" applyFont="1" applyBorder="1" applyAlignment="1">
      <alignment horizontal="right" vertical="center"/>
    </xf>
    <xf numFmtId="166" fontId="30" fillId="0" borderId="1" xfId="4" applyNumberFormat="1" applyFont="1" applyBorder="1" applyAlignment="1"/>
    <xf numFmtId="9" fontId="30" fillId="0" borderId="1" xfId="0" applyNumberFormat="1" applyFont="1" applyBorder="1" applyAlignment="1">
      <alignment vertical="center"/>
    </xf>
    <xf numFmtId="166" fontId="30" fillId="0" borderId="2" xfId="4" applyNumberFormat="1" applyFont="1" applyBorder="1" applyAlignment="1">
      <alignment vertical="center"/>
    </xf>
    <xf numFmtId="166" fontId="7" fillId="0" borderId="0" xfId="4" applyNumberFormat="1" applyFont="1" applyBorder="1" applyAlignment="1">
      <alignment horizontal="left" vertical="center"/>
    </xf>
    <xf numFmtId="166" fontId="7" fillId="0" borderId="40" xfId="4" applyNumberFormat="1" applyFont="1" applyBorder="1" applyAlignment="1">
      <alignment horizontal="left" vertical="center"/>
    </xf>
    <xf numFmtId="9" fontId="7" fillId="0" borderId="37" xfId="3" applyFont="1" applyFill="1" applyBorder="1" applyAlignment="1">
      <alignment vertical="center"/>
    </xf>
    <xf numFmtId="169" fontId="0" fillId="0" borderId="0" xfId="0" applyNumberFormat="1" applyAlignment="1">
      <alignment horizontal="right"/>
    </xf>
    <xf numFmtId="166" fontId="10" fillId="38" borderId="1" xfId="2" applyNumberFormat="1" applyFont="1" applyFill="1" applyBorder="1" applyAlignment="1">
      <alignment horizontal="center" vertical="center" wrapText="1"/>
    </xf>
    <xf numFmtId="0" fontId="1" fillId="0" borderId="0" xfId="0" applyFont="1" applyAlignment="1">
      <alignment horizontal="right" wrapText="1"/>
    </xf>
    <xf numFmtId="167" fontId="1" fillId="0" borderId="0" xfId="4" applyNumberFormat="1" applyFont="1" applyAlignment="1">
      <alignment horizontal="center" vertical="center" wrapText="1"/>
    </xf>
    <xf numFmtId="166" fontId="0" fillId="0" borderId="0" xfId="0" applyNumberFormat="1"/>
    <xf numFmtId="0" fontId="0" fillId="16" borderId="0" xfId="0" applyFill="1"/>
    <xf numFmtId="1" fontId="0" fillId="16" borderId="0" xfId="0" applyNumberFormat="1" applyFill="1"/>
    <xf numFmtId="0" fontId="52" fillId="16" borderId="0" xfId="0" applyFont="1" applyFill="1" applyAlignment="1">
      <alignment horizontal="right"/>
    </xf>
    <xf numFmtId="0" fontId="51" fillId="16" borderId="49" xfId="0" applyFont="1" applyFill="1" applyBorder="1"/>
    <xf numFmtId="0" fontId="0" fillId="16" borderId="50" xfId="0" applyFill="1" applyBorder="1"/>
    <xf numFmtId="0" fontId="51" fillId="16" borderId="50" xfId="0" applyFont="1" applyFill="1" applyBorder="1"/>
    <xf numFmtId="0" fontId="0" fillId="16" borderId="51" xfId="0" applyFill="1" applyBorder="1"/>
    <xf numFmtId="0" fontId="52" fillId="16" borderId="52" xfId="0" applyFont="1" applyFill="1" applyBorder="1"/>
    <xf numFmtId="0" fontId="52" fillId="16" borderId="53" xfId="0" applyFont="1" applyFill="1" applyBorder="1"/>
    <xf numFmtId="0" fontId="0" fillId="16" borderId="52" xfId="0" applyFill="1" applyBorder="1"/>
    <xf numFmtId="1" fontId="0" fillId="16" borderId="53" xfId="0" applyNumberFormat="1" applyFill="1" applyBorder="1"/>
    <xf numFmtId="0" fontId="0" fillId="16" borderId="54" xfId="0" applyFill="1" applyBorder="1"/>
    <xf numFmtId="1" fontId="0" fillId="16" borderId="55" xfId="0" applyNumberFormat="1" applyFill="1" applyBorder="1"/>
    <xf numFmtId="1" fontId="0" fillId="16" borderId="56" xfId="0" applyNumberFormat="1" applyFill="1" applyBorder="1"/>
    <xf numFmtId="0" fontId="0" fillId="16" borderId="0" xfId="0" applyFill="1" applyAlignment="1">
      <alignment horizontal="right"/>
    </xf>
    <xf numFmtId="0" fontId="52" fillId="16" borderId="54" xfId="0" applyFont="1" applyFill="1" applyBorder="1"/>
    <xf numFmtId="1" fontId="52" fillId="16" borderId="55" xfId="0" applyNumberFormat="1" applyFont="1" applyFill="1" applyBorder="1"/>
    <xf numFmtId="0" fontId="51" fillId="16" borderId="51" xfId="0" applyFont="1" applyFill="1" applyBorder="1" applyAlignment="1">
      <alignment horizontal="right"/>
    </xf>
    <xf numFmtId="167" fontId="0" fillId="16" borderId="53" xfId="4" applyNumberFormat="1" applyFont="1" applyFill="1" applyBorder="1"/>
    <xf numFmtId="167" fontId="52" fillId="16" borderId="56" xfId="4" applyNumberFormat="1" applyFont="1" applyFill="1" applyBorder="1"/>
    <xf numFmtId="0" fontId="51" fillId="0" borderId="0" xfId="0" applyFont="1"/>
    <xf numFmtId="0" fontId="0" fillId="0" borderId="1" xfId="0" applyBorder="1"/>
    <xf numFmtId="0" fontId="51" fillId="0" borderId="1" xfId="0" applyFont="1" applyBorder="1"/>
    <xf numFmtId="167" fontId="10" fillId="40" borderId="19" xfId="4" applyNumberFormat="1" applyFont="1" applyFill="1" applyBorder="1" applyAlignment="1">
      <alignment horizontal="center" vertical="center" wrapText="1"/>
    </xf>
    <xf numFmtId="167" fontId="10" fillId="6" borderId="19" xfId="4" applyNumberFormat="1" applyFont="1" applyFill="1" applyBorder="1" applyAlignment="1">
      <alignment horizontal="center" vertical="center" wrapText="1"/>
    </xf>
    <xf numFmtId="0" fontId="0" fillId="0" borderId="0" xfId="0" applyAlignment="1">
      <alignment horizontal="right"/>
    </xf>
    <xf numFmtId="0" fontId="0" fillId="0" borderId="0" xfId="0" pivotButton="1"/>
    <xf numFmtId="1" fontId="0" fillId="0" borderId="0" xfId="0" applyNumberFormat="1" applyAlignment="1">
      <alignment horizontal="left"/>
    </xf>
    <xf numFmtId="167" fontId="3" fillId="33" borderId="2" xfId="4" applyNumberFormat="1" applyFont="1" applyFill="1" applyBorder="1" applyAlignment="1">
      <alignment vertical="center" wrapText="1"/>
    </xf>
    <xf numFmtId="167" fontId="3" fillId="0" borderId="2" xfId="4" applyNumberFormat="1" applyFont="1" applyBorder="1" applyAlignment="1">
      <alignment vertical="center" wrapText="1"/>
    </xf>
    <xf numFmtId="167" fontId="3" fillId="33" borderId="57" xfId="4" applyNumberFormat="1" applyFont="1" applyFill="1" applyBorder="1" applyAlignment="1">
      <alignment vertical="center"/>
    </xf>
    <xf numFmtId="167" fontId="3" fillId="0" borderId="57" xfId="4" applyNumberFormat="1" applyFont="1" applyBorder="1" applyAlignment="1">
      <alignment vertical="center"/>
    </xf>
    <xf numFmtId="167" fontId="28" fillId="6" borderId="34" xfId="4" applyNumberFormat="1" applyFont="1" applyFill="1" applyBorder="1" applyAlignment="1">
      <alignment horizontal="center" vertical="center" wrapText="1"/>
    </xf>
    <xf numFmtId="167" fontId="28" fillId="6" borderId="35" xfId="4" applyNumberFormat="1" applyFont="1" applyFill="1" applyBorder="1" applyAlignment="1">
      <alignment horizontal="center" vertical="center" wrapText="1"/>
    </xf>
    <xf numFmtId="167" fontId="28" fillId="6" borderId="58" xfId="4" applyNumberFormat="1" applyFont="1" applyFill="1" applyBorder="1" applyAlignment="1">
      <alignment horizontal="center" vertical="center" wrapText="1"/>
    </xf>
    <xf numFmtId="167" fontId="3" fillId="33" borderId="46" xfId="4" applyNumberFormat="1" applyFont="1" applyFill="1" applyBorder="1" applyAlignment="1">
      <alignment vertical="center"/>
    </xf>
    <xf numFmtId="167" fontId="3" fillId="33" borderId="47" xfId="4" applyNumberFormat="1" applyFont="1" applyFill="1" applyBorder="1" applyAlignment="1">
      <alignment vertical="center"/>
    </xf>
    <xf numFmtId="167" fontId="3" fillId="33" borderId="48" xfId="4" applyNumberFormat="1" applyFont="1" applyFill="1" applyBorder="1" applyAlignment="1">
      <alignment vertical="center"/>
    </xf>
    <xf numFmtId="9" fontId="0" fillId="0" borderId="0" xfId="0" applyNumberFormat="1"/>
    <xf numFmtId="2" fontId="0" fillId="0" borderId="0" xfId="0" applyNumberFormat="1"/>
    <xf numFmtId="165" fontId="0" fillId="0" borderId="0" xfId="0" applyNumberFormat="1" applyAlignment="1">
      <alignment horizontal="left" vertical="top" wrapText="1"/>
    </xf>
    <xf numFmtId="166" fontId="0" fillId="0" borderId="0" xfId="0" applyNumberFormat="1" applyAlignment="1">
      <alignment horizontal="left" vertical="top" wrapText="1"/>
    </xf>
    <xf numFmtId="166" fontId="0" fillId="0" borderId="0" xfId="0" applyNumberFormat="1" applyAlignment="1">
      <alignment wrapText="1"/>
    </xf>
    <xf numFmtId="9" fontId="0" fillId="0" borderId="0" xfId="3" applyFont="1" applyFill="1"/>
    <xf numFmtId="167" fontId="0" fillId="0" borderId="0" xfId="4" applyNumberFormat="1" applyFont="1" applyFill="1"/>
    <xf numFmtId="168" fontId="0" fillId="0" borderId="0" xfId="4" applyNumberFormat="1" applyFont="1"/>
    <xf numFmtId="167" fontId="6" fillId="0" borderId="0" xfId="4" applyNumberFormat="1" applyFont="1" applyAlignment="1">
      <alignment wrapText="1"/>
    </xf>
    <xf numFmtId="170" fontId="0" fillId="0" borderId="0" xfId="0" applyNumberFormat="1"/>
    <xf numFmtId="170" fontId="0" fillId="0" borderId="0" xfId="4" applyNumberFormat="1" applyFont="1"/>
    <xf numFmtId="10" fontId="0" fillId="0" borderId="0" xfId="3" applyNumberFormat="1" applyFont="1" applyFill="1"/>
    <xf numFmtId="166" fontId="7" fillId="0" borderId="0" xfId="0" applyNumberFormat="1" applyFont="1" applyAlignment="1">
      <alignment horizontal="left" vertical="center"/>
    </xf>
    <xf numFmtId="166" fontId="7" fillId="33" borderId="0" xfId="0" applyNumberFormat="1" applyFont="1" applyFill="1" applyAlignment="1">
      <alignment horizontal="left" vertical="center"/>
    </xf>
    <xf numFmtId="0" fontId="0" fillId="0" borderId="0" xfId="0" applyAlignment="1">
      <alignment horizontal="center"/>
    </xf>
    <xf numFmtId="0" fontId="3" fillId="0" borderId="0" xfId="0" applyFont="1" applyAlignment="1">
      <alignment horizontal="left" vertical="center"/>
    </xf>
    <xf numFmtId="0" fontId="3" fillId="0" borderId="0" xfId="0" applyFont="1" applyAlignment="1">
      <alignment horizontal="center" vertical="center"/>
    </xf>
    <xf numFmtId="167" fontId="3" fillId="0" borderId="0" xfId="4" applyNumberFormat="1" applyFont="1" applyFill="1" applyBorder="1" applyAlignment="1">
      <alignment horizontal="left" vertical="center"/>
    </xf>
    <xf numFmtId="167" fontId="6" fillId="0" borderId="0" xfId="4" applyNumberFormat="1" applyFont="1" applyFill="1" applyBorder="1" applyAlignment="1">
      <alignment horizontal="center" vertical="center"/>
    </xf>
    <xf numFmtId="167" fontId="1" fillId="0" borderId="0" xfId="4" applyNumberFormat="1" applyFont="1" applyFill="1" applyBorder="1" applyAlignment="1">
      <alignment horizontal="center" wrapText="1"/>
    </xf>
    <xf numFmtId="165" fontId="1" fillId="0" borderId="0" xfId="4" applyFont="1" applyBorder="1" applyAlignment="1">
      <alignment wrapText="1"/>
    </xf>
    <xf numFmtId="167" fontId="1" fillId="0" borderId="0" xfId="4" applyNumberFormat="1" applyFont="1" applyBorder="1" applyAlignment="1">
      <alignment wrapText="1"/>
    </xf>
    <xf numFmtId="0" fontId="1" fillId="0" borderId="0" xfId="0" applyFont="1" applyAlignment="1">
      <alignment horizontal="left" wrapText="1"/>
    </xf>
    <xf numFmtId="0" fontId="16" fillId="10" borderId="0" xfId="1" applyFont="1" applyFill="1" applyAlignment="1">
      <alignment horizontal="center" vertical="center" wrapText="1"/>
    </xf>
    <xf numFmtId="166" fontId="18" fillId="32" borderId="0" xfId="2" applyNumberFormat="1" applyFont="1" applyFill="1" applyBorder="1" applyAlignment="1">
      <alignment horizontal="center" vertical="center" wrapText="1"/>
    </xf>
    <xf numFmtId="166" fontId="5" fillId="19" borderId="0" xfId="2" applyNumberFormat="1" applyFont="1" applyFill="1" applyBorder="1" applyAlignment="1">
      <alignment horizontal="left" vertical="center" wrapText="1"/>
    </xf>
    <xf numFmtId="167" fontId="5" fillId="19" borderId="0" xfId="4" applyNumberFormat="1" applyFont="1" applyFill="1" applyBorder="1" applyAlignment="1">
      <alignment horizontal="left" vertical="center" wrapText="1"/>
    </xf>
    <xf numFmtId="167" fontId="5" fillId="6" borderId="0" xfId="4" applyNumberFormat="1" applyFont="1" applyFill="1" applyBorder="1" applyAlignment="1">
      <alignment horizontal="center" vertical="center" wrapText="1"/>
    </xf>
    <xf numFmtId="167" fontId="5" fillId="8" borderId="0" xfId="4" applyNumberFormat="1" applyFont="1" applyFill="1" applyBorder="1" applyAlignment="1">
      <alignment horizontal="center" vertical="center" wrapText="1"/>
    </xf>
    <xf numFmtId="166" fontId="5" fillId="8" borderId="0" xfId="2" applyNumberFormat="1" applyFont="1" applyFill="1" applyBorder="1" applyAlignment="1">
      <alignment horizontal="center" vertical="center" wrapText="1"/>
    </xf>
    <xf numFmtId="1" fontId="23" fillId="8" borderId="0" xfId="2" applyNumberFormat="1" applyFont="1" applyFill="1" applyBorder="1" applyAlignment="1">
      <alignment horizontal="center" vertical="center" wrapText="1"/>
    </xf>
    <xf numFmtId="1" fontId="9" fillId="8" borderId="0" xfId="2" applyNumberFormat="1" applyFont="1" applyFill="1" applyBorder="1" applyAlignment="1">
      <alignment horizontal="center" vertical="center" wrapText="1"/>
    </xf>
    <xf numFmtId="166" fontId="9" fillId="8" borderId="0" xfId="2" applyNumberFormat="1" applyFont="1" applyFill="1" applyBorder="1" applyAlignment="1">
      <alignment horizontal="center" vertical="center" wrapText="1"/>
    </xf>
    <xf numFmtId="167" fontId="4" fillId="0" borderId="0" xfId="4" applyNumberFormat="1" applyFont="1" applyFill="1" applyBorder="1" applyAlignment="1">
      <alignment horizontal="center" wrapText="1"/>
    </xf>
    <xf numFmtId="0" fontId="4" fillId="0" borderId="0" xfId="0" applyFont="1" applyAlignment="1">
      <alignment horizontal="left" wrapText="1"/>
    </xf>
    <xf numFmtId="167" fontId="4" fillId="0" borderId="0" xfId="4" applyNumberFormat="1" applyFont="1" applyFill="1" applyBorder="1" applyAlignment="1">
      <alignment wrapText="1"/>
    </xf>
    <xf numFmtId="167" fontId="0" fillId="0" borderId="0" xfId="4" applyNumberFormat="1" applyFont="1" applyFill="1" applyBorder="1"/>
    <xf numFmtId="167" fontId="4" fillId="0" borderId="0" xfId="4" applyNumberFormat="1" applyFont="1" applyBorder="1" applyAlignment="1">
      <alignment wrapText="1"/>
    </xf>
    <xf numFmtId="165" fontId="4" fillId="0" borderId="0" xfId="4" applyFont="1" applyBorder="1" applyAlignment="1">
      <alignment wrapText="1"/>
    </xf>
    <xf numFmtId="167" fontId="7" fillId="0" borderId="0" xfId="4" applyNumberFormat="1" applyFont="1" applyFill="1" applyBorder="1" applyAlignment="1">
      <alignment vertical="center"/>
    </xf>
    <xf numFmtId="1" fontId="19" fillId="0" borderId="0" xfId="3" applyNumberFormat="1" applyFont="1" applyFill="1" applyBorder="1" applyAlignment="1">
      <alignment horizontal="center" vertical="center"/>
    </xf>
    <xf numFmtId="9" fontId="19" fillId="0" borderId="0" xfId="3" applyFont="1" applyFill="1" applyBorder="1" applyAlignment="1">
      <alignment horizontal="center" vertical="center"/>
    </xf>
    <xf numFmtId="167" fontId="6" fillId="0" borderId="0" xfId="4" applyNumberFormat="1" applyFont="1" applyBorder="1" applyAlignment="1">
      <alignment vertical="center"/>
    </xf>
    <xf numFmtId="166" fontId="19" fillId="0" borderId="0" xfId="3" applyNumberFormat="1" applyFont="1" applyFill="1" applyBorder="1" applyAlignment="1">
      <alignment horizontal="left" vertical="center"/>
    </xf>
    <xf numFmtId="167" fontId="0" fillId="0" borderId="0" xfId="4" applyNumberFormat="1" applyFont="1" applyFill="1" applyBorder="1" applyAlignment="1"/>
    <xf numFmtId="0" fontId="10" fillId="11" borderId="22" xfId="1" applyFont="1" applyFill="1" applyBorder="1" applyAlignment="1">
      <alignment horizontal="center" vertical="center" wrapText="1"/>
    </xf>
    <xf numFmtId="0" fontId="10" fillId="11" borderId="20" xfId="1" applyFont="1" applyFill="1" applyBorder="1" applyAlignment="1">
      <alignment horizontal="center" vertical="center" wrapText="1"/>
    </xf>
    <xf numFmtId="166" fontId="5" fillId="19" borderId="15" xfId="2" applyNumberFormat="1" applyFont="1" applyFill="1" applyBorder="1" applyAlignment="1">
      <alignment horizontal="center" vertical="center" wrapText="1"/>
    </xf>
    <xf numFmtId="167" fontId="5" fillId="19" borderId="13" xfId="4" applyNumberFormat="1" applyFont="1" applyFill="1" applyBorder="1" applyAlignment="1">
      <alignment horizontal="left" vertical="center" wrapText="1"/>
    </xf>
    <xf numFmtId="0" fontId="3" fillId="33" borderId="12" xfId="0" applyFont="1" applyFill="1" applyBorder="1" applyAlignment="1">
      <alignment horizontal="center" vertical="center"/>
    </xf>
    <xf numFmtId="167" fontId="3" fillId="0" borderId="11" xfId="4" applyNumberFormat="1" applyFont="1" applyBorder="1" applyAlignment="1">
      <alignment horizontal="left" vertical="center"/>
    </xf>
    <xf numFmtId="0" fontId="3" fillId="0" borderId="12" xfId="0" applyFont="1" applyBorder="1" applyAlignment="1">
      <alignment horizontal="center" vertical="center"/>
    </xf>
    <xf numFmtId="49" fontId="0" fillId="0" borderId="0" xfId="0" applyNumberFormat="1"/>
    <xf numFmtId="49" fontId="0" fillId="41" borderId="0" xfId="3" applyNumberFormat="1" applyFont="1" applyFill="1"/>
    <xf numFmtId="0" fontId="16" fillId="9" borderId="30" xfId="1" applyFont="1" applyFill="1" applyBorder="1" applyAlignment="1">
      <alignment horizontal="center" vertical="center" wrapText="1"/>
    </xf>
    <xf numFmtId="166" fontId="5" fillId="19" borderId="59" xfId="2" applyNumberFormat="1" applyFont="1" applyFill="1" applyBorder="1" applyAlignment="1">
      <alignment horizontal="left" vertical="center" wrapText="1"/>
    </xf>
    <xf numFmtId="0" fontId="3" fillId="0" borderId="59" xfId="0" applyFont="1" applyBorder="1" applyAlignment="1">
      <alignment horizontal="left" vertical="center"/>
    </xf>
    <xf numFmtId="0" fontId="3" fillId="0" borderId="60" xfId="0" applyFont="1" applyBorder="1" applyAlignment="1">
      <alignment horizontal="left" vertical="center"/>
    </xf>
    <xf numFmtId="0" fontId="3" fillId="0" borderId="18" xfId="0" applyFont="1" applyBorder="1" applyAlignment="1">
      <alignment horizontal="center" vertical="center"/>
    </xf>
    <xf numFmtId="0" fontId="3" fillId="0" borderId="18" xfId="0" applyFont="1" applyBorder="1" applyAlignment="1">
      <alignment horizontal="left" vertical="center"/>
    </xf>
    <xf numFmtId="167" fontId="3" fillId="0" borderId="18" xfId="4" applyNumberFormat="1" applyFont="1" applyFill="1" applyBorder="1" applyAlignment="1">
      <alignment horizontal="left" vertical="center"/>
    </xf>
    <xf numFmtId="0" fontId="16" fillId="22" borderId="41" xfId="1" applyFont="1" applyFill="1" applyBorder="1" applyAlignment="1">
      <alignment horizontal="center" vertical="center"/>
    </xf>
    <xf numFmtId="1" fontId="16" fillId="22" borderId="61" xfId="1" applyNumberFormat="1" applyFont="1" applyFill="1" applyBorder="1" applyAlignment="1">
      <alignment horizontal="center" vertical="center"/>
    </xf>
    <xf numFmtId="0" fontId="16" fillId="22" borderId="61" xfId="1" applyFont="1" applyFill="1" applyBorder="1" applyAlignment="1">
      <alignment horizontal="center" vertical="center"/>
    </xf>
    <xf numFmtId="166" fontId="18" fillId="29" borderId="62" xfId="2" applyNumberFormat="1" applyFont="1" applyFill="1" applyBorder="1" applyAlignment="1">
      <alignment horizontal="center" vertical="center" wrapText="1"/>
    </xf>
    <xf numFmtId="167" fontId="5" fillId="6" borderId="36" xfId="4" applyNumberFormat="1" applyFont="1" applyFill="1" applyBorder="1" applyAlignment="1">
      <alignment horizontal="center" vertical="center" wrapText="1"/>
    </xf>
    <xf numFmtId="166" fontId="16" fillId="29" borderId="37" xfId="2" applyNumberFormat="1" applyFont="1" applyFill="1" applyBorder="1" applyAlignment="1">
      <alignment horizontal="center" vertical="center" wrapText="1"/>
    </xf>
    <xf numFmtId="167" fontId="6" fillId="0" borderId="36" xfId="4" applyNumberFormat="1" applyFont="1" applyFill="1" applyBorder="1" applyAlignment="1">
      <alignment horizontal="right" vertical="center"/>
    </xf>
    <xf numFmtId="167" fontId="7" fillId="0" borderId="37" xfId="4" applyNumberFormat="1" applyFont="1" applyFill="1" applyBorder="1" applyAlignment="1">
      <alignment vertical="center"/>
    </xf>
    <xf numFmtId="167" fontId="5" fillId="32" borderId="37" xfId="4" applyNumberFormat="1" applyFont="1" applyFill="1" applyBorder="1" applyAlignment="1">
      <alignment vertical="center"/>
    </xf>
    <xf numFmtId="167" fontId="6" fillId="0" borderId="38" xfId="4" applyNumberFormat="1" applyFont="1" applyFill="1" applyBorder="1" applyAlignment="1">
      <alignment horizontal="right" vertical="center"/>
    </xf>
    <xf numFmtId="167" fontId="6" fillId="0" borderId="40" xfId="4" applyNumberFormat="1" applyFont="1" applyFill="1" applyBorder="1" applyAlignment="1">
      <alignment vertical="center"/>
    </xf>
    <xf numFmtId="167" fontId="6" fillId="0" borderId="40" xfId="4" applyNumberFormat="1" applyFont="1" applyFill="1" applyBorder="1" applyAlignment="1">
      <alignment horizontal="center" vertical="center"/>
    </xf>
    <xf numFmtId="167" fontId="7" fillId="0" borderId="39" xfId="4" applyNumberFormat="1" applyFont="1" applyFill="1" applyBorder="1" applyAlignment="1">
      <alignment vertical="center"/>
    </xf>
    <xf numFmtId="167" fontId="5" fillId="6" borderId="37" xfId="4" applyNumberFormat="1" applyFont="1" applyFill="1" applyBorder="1" applyAlignment="1">
      <alignment horizontal="center" vertical="center" wrapText="1"/>
    </xf>
    <xf numFmtId="167" fontId="6" fillId="0" borderId="36" xfId="4" applyNumberFormat="1" applyFont="1" applyFill="1" applyBorder="1" applyAlignment="1">
      <alignment horizontal="center" vertical="center"/>
    </xf>
    <xf numFmtId="0" fontId="6" fillId="0" borderId="37" xfId="6" applyNumberFormat="1" applyFont="1" applyFill="1" applyBorder="1" applyAlignment="1">
      <alignment horizontal="right" vertical="center"/>
    </xf>
    <xf numFmtId="167" fontId="6" fillId="0" borderId="38" xfId="4" applyNumberFormat="1" applyFont="1" applyFill="1" applyBorder="1" applyAlignment="1">
      <alignment horizontal="center" vertical="center"/>
    </xf>
    <xf numFmtId="0" fontId="6" fillId="0" borderId="39" xfId="6" applyNumberFormat="1" applyFont="1" applyFill="1" applyBorder="1" applyAlignment="1">
      <alignment horizontal="right" vertical="center"/>
    </xf>
    <xf numFmtId="167" fontId="11" fillId="26" borderId="36" xfId="4" applyNumberFormat="1" applyFont="1" applyFill="1" applyBorder="1" applyAlignment="1">
      <alignment horizontal="center" vertical="center" wrapText="1"/>
    </xf>
    <xf numFmtId="167" fontId="11" fillId="26" borderId="37" xfId="4" applyNumberFormat="1" applyFont="1" applyFill="1" applyBorder="1" applyAlignment="1">
      <alignment horizontal="center" vertical="center" wrapText="1"/>
    </xf>
    <xf numFmtId="167" fontId="6" fillId="0" borderId="36" xfId="4" applyNumberFormat="1" applyFont="1" applyFill="1" applyBorder="1" applyAlignment="1">
      <alignment vertical="center"/>
    </xf>
    <xf numFmtId="167" fontId="6" fillId="0" borderId="37" xfId="4" applyNumberFormat="1" applyFont="1" applyFill="1" applyBorder="1" applyAlignment="1">
      <alignment vertical="center"/>
    </xf>
    <xf numFmtId="167" fontId="6" fillId="0" borderId="36" xfId="4" applyNumberFormat="1" applyFont="1" applyBorder="1" applyAlignment="1">
      <alignment vertical="center"/>
    </xf>
    <xf numFmtId="167" fontId="0" fillId="0" borderId="37" xfId="0" applyNumberFormat="1" applyBorder="1"/>
    <xf numFmtId="167" fontId="6" fillId="0" borderId="38" xfId="4" applyNumberFormat="1" applyFont="1" applyBorder="1" applyAlignment="1">
      <alignment vertical="center"/>
    </xf>
    <xf numFmtId="167" fontId="6" fillId="0" borderId="40" xfId="4" applyNumberFormat="1" applyFont="1" applyBorder="1" applyAlignment="1">
      <alignment vertical="center"/>
    </xf>
    <xf numFmtId="167" fontId="0" fillId="0" borderId="39" xfId="0" applyNumberFormat="1" applyBorder="1"/>
    <xf numFmtId="165" fontId="5" fillId="8" borderId="36" xfId="4" applyFont="1" applyFill="1" applyBorder="1" applyAlignment="1">
      <alignment horizontal="center" vertical="center" wrapText="1"/>
    </xf>
    <xf numFmtId="167" fontId="5" fillId="8" borderId="37" xfId="4" applyNumberFormat="1" applyFont="1" applyFill="1" applyBorder="1" applyAlignment="1">
      <alignment horizontal="center" vertical="center" wrapText="1"/>
    </xf>
    <xf numFmtId="165" fontId="7" fillId="0" borderId="36" xfId="4" applyFont="1" applyBorder="1" applyAlignment="1">
      <alignment vertical="center"/>
    </xf>
    <xf numFmtId="9" fontId="7" fillId="0" borderId="37" xfId="4" applyNumberFormat="1" applyFont="1" applyFill="1" applyBorder="1" applyAlignment="1">
      <alignment vertical="center"/>
    </xf>
    <xf numFmtId="165" fontId="7" fillId="0" borderId="38" xfId="4" applyFont="1" applyBorder="1" applyAlignment="1">
      <alignment vertical="center"/>
    </xf>
    <xf numFmtId="167" fontId="7" fillId="0" borderId="40" xfId="4" applyNumberFormat="1" applyFont="1" applyFill="1" applyBorder="1" applyAlignment="1">
      <alignment vertical="center"/>
    </xf>
    <xf numFmtId="9" fontId="7" fillId="0" borderId="39" xfId="4" applyNumberFormat="1" applyFont="1" applyFill="1" applyBorder="1" applyAlignment="1">
      <alignment vertical="center"/>
    </xf>
    <xf numFmtId="166" fontId="18" fillId="27" borderId="62" xfId="2" applyNumberFormat="1" applyFont="1" applyFill="1" applyBorder="1" applyAlignment="1">
      <alignment horizontal="center" vertical="center" wrapText="1"/>
    </xf>
    <xf numFmtId="1" fontId="23" fillId="8" borderId="36" xfId="2" applyNumberFormat="1" applyFont="1" applyFill="1" applyBorder="1" applyAlignment="1">
      <alignment horizontal="center" vertical="center" wrapText="1"/>
    </xf>
    <xf numFmtId="166" fontId="5" fillId="8" borderId="37" xfId="2" applyNumberFormat="1" applyFont="1" applyFill="1" applyBorder="1" applyAlignment="1">
      <alignment horizontal="center" vertical="center" wrapText="1"/>
    </xf>
    <xf numFmtId="1" fontId="19" fillId="0" borderId="36" xfId="3" applyNumberFormat="1" applyFont="1" applyFill="1" applyBorder="1" applyAlignment="1">
      <alignment horizontal="center" vertical="center"/>
    </xf>
    <xf numFmtId="166" fontId="7" fillId="0" borderId="37" xfId="0" applyNumberFormat="1" applyFont="1" applyBorder="1" applyAlignment="1">
      <alignment horizontal="left" vertical="center"/>
    </xf>
    <xf numFmtId="166" fontId="19" fillId="0" borderId="37" xfId="3" applyNumberFormat="1" applyFont="1" applyFill="1" applyBorder="1" applyAlignment="1">
      <alignment horizontal="left" vertical="center"/>
    </xf>
    <xf numFmtId="1" fontId="19" fillId="0" borderId="38" xfId="3" applyNumberFormat="1" applyFont="1" applyFill="1" applyBorder="1" applyAlignment="1">
      <alignment horizontal="center" vertical="center"/>
    </xf>
    <xf numFmtId="1" fontId="19" fillId="0" borderId="40" xfId="3" applyNumberFormat="1" applyFont="1" applyFill="1" applyBorder="1" applyAlignment="1">
      <alignment horizontal="center" vertical="center"/>
    </xf>
    <xf numFmtId="9" fontId="19" fillId="0" borderId="40" xfId="3" applyFont="1" applyFill="1" applyBorder="1" applyAlignment="1">
      <alignment horizontal="center" vertical="center"/>
    </xf>
    <xf numFmtId="166" fontId="19" fillId="0" borderId="40" xfId="3" applyNumberFormat="1" applyFont="1" applyFill="1" applyBorder="1" applyAlignment="1">
      <alignment horizontal="left" vertical="center"/>
    </xf>
    <xf numFmtId="167" fontId="0" fillId="0" borderId="40" xfId="4" applyNumberFormat="1" applyFont="1" applyFill="1" applyBorder="1" applyAlignment="1"/>
    <xf numFmtId="166" fontId="19" fillId="0" borderId="39" xfId="3" applyNumberFormat="1" applyFont="1" applyFill="1" applyBorder="1" applyAlignment="1">
      <alignment horizontal="left" vertical="center"/>
    </xf>
    <xf numFmtId="166" fontId="5" fillId="28" borderId="36" xfId="2" applyNumberFormat="1" applyFont="1" applyFill="1" applyBorder="1" applyAlignment="1">
      <alignment horizontal="center" vertical="center" wrapText="1"/>
    </xf>
    <xf numFmtId="166" fontId="5" fillId="28" borderId="37" xfId="2" applyNumberFormat="1" applyFont="1" applyFill="1" applyBorder="1" applyAlignment="1">
      <alignment horizontal="center" vertical="center" wrapText="1"/>
    </xf>
    <xf numFmtId="166" fontId="7" fillId="0" borderId="36" xfId="0" applyNumberFormat="1" applyFont="1" applyBorder="1" applyAlignment="1">
      <alignment vertical="center"/>
    </xf>
    <xf numFmtId="166" fontId="7" fillId="0" borderId="37" xfId="0" applyNumberFormat="1" applyFont="1" applyBorder="1" applyAlignment="1">
      <alignment vertical="center"/>
    </xf>
    <xf numFmtId="166" fontId="7" fillId="0" borderId="36" xfId="4" applyNumberFormat="1" applyFont="1" applyBorder="1" applyAlignment="1">
      <alignment vertical="center"/>
    </xf>
    <xf numFmtId="166" fontId="7" fillId="0" borderId="38" xfId="4" applyNumberFormat="1" applyFont="1" applyBorder="1" applyAlignment="1">
      <alignment vertical="center"/>
    </xf>
    <xf numFmtId="166" fontId="7" fillId="0" borderId="39" xfId="0" applyNumberFormat="1" applyFont="1" applyBorder="1" applyAlignment="1">
      <alignment vertical="center"/>
    </xf>
    <xf numFmtId="1" fontId="7" fillId="0" borderId="36" xfId="4" applyNumberFormat="1" applyFont="1" applyBorder="1" applyAlignment="1">
      <alignment vertical="center"/>
    </xf>
    <xf numFmtId="171" fontId="0" fillId="0" borderId="0" xfId="0" applyNumberFormat="1"/>
    <xf numFmtId="1" fontId="0" fillId="0" borderId="0" xfId="3" applyNumberFormat="1" applyFont="1" applyFill="1"/>
    <xf numFmtId="166" fontId="10" fillId="4" borderId="41" xfId="2" applyNumberFormat="1" applyFont="1" applyFill="1" applyBorder="1" applyAlignment="1">
      <alignment horizontal="center" vertical="center" wrapText="1"/>
    </xf>
    <xf numFmtId="166" fontId="10" fillId="4" borderId="62" xfId="2" applyNumberFormat="1" applyFont="1" applyFill="1" applyBorder="1" applyAlignment="1">
      <alignment horizontal="center" vertical="center" wrapText="1"/>
    </xf>
    <xf numFmtId="167" fontId="1" fillId="0" borderId="0" xfId="4" applyNumberFormat="1" applyFont="1" applyFill="1" applyBorder="1" applyAlignment="1">
      <alignment wrapText="1"/>
    </xf>
    <xf numFmtId="166" fontId="7" fillId="0" borderId="2" xfId="0" applyNumberFormat="1" applyFont="1" applyBorder="1" applyAlignment="1">
      <alignment horizontal="left" vertical="center" wrapText="1"/>
    </xf>
    <xf numFmtId="166" fontId="7" fillId="33" borderId="1" xfId="0" applyNumberFormat="1" applyFont="1" applyFill="1" applyBorder="1" applyAlignment="1">
      <alignment horizontal="left" vertical="center" wrapText="1"/>
    </xf>
    <xf numFmtId="0" fontId="3" fillId="3" borderId="0" xfId="0" applyFont="1" applyFill="1" applyAlignment="1">
      <alignment horizontal="left" vertical="center"/>
    </xf>
    <xf numFmtId="0" fontId="48" fillId="32" borderId="0" xfId="0" applyFont="1" applyFill="1"/>
    <xf numFmtId="0" fontId="37" fillId="34" borderId="8" xfId="0" applyFont="1" applyFill="1" applyBorder="1" applyAlignment="1">
      <alignment horizontal="center" vertical="center"/>
    </xf>
    <xf numFmtId="0" fontId="37" fillId="34" borderId="31" xfId="0" applyFont="1" applyFill="1" applyBorder="1" applyAlignment="1">
      <alignment horizontal="center" vertical="center"/>
    </xf>
    <xf numFmtId="0" fontId="37" fillId="34" borderId="32" xfId="0" applyFont="1" applyFill="1" applyBorder="1" applyAlignment="1">
      <alignment horizontal="center" vertical="center"/>
    </xf>
    <xf numFmtId="0" fontId="28" fillId="38" borderId="7" xfId="0" applyFont="1" applyFill="1" applyBorder="1" applyAlignment="1">
      <alignment horizontal="center"/>
    </xf>
    <xf numFmtId="0" fontId="32" fillId="3" borderId="0" xfId="0" applyFont="1" applyFill="1" applyAlignment="1">
      <alignment horizontal="center"/>
    </xf>
    <xf numFmtId="0" fontId="46" fillId="0" borderId="7" xfId="0" applyFont="1" applyBorder="1" applyAlignment="1">
      <alignment horizontal="center"/>
    </xf>
    <xf numFmtId="0" fontId="3" fillId="0" borderId="0" xfId="0" applyFont="1" applyAlignment="1">
      <alignment horizontal="left" vertical="top" wrapText="1"/>
    </xf>
    <xf numFmtId="0" fontId="46" fillId="0" borderId="0" xfId="0" applyFont="1" applyAlignment="1">
      <alignment horizontal="center"/>
    </xf>
    <xf numFmtId="0" fontId="28" fillId="10" borderId="16" xfId="1" applyFont="1" applyFill="1" applyBorder="1" applyAlignment="1">
      <alignment horizontal="center" vertical="center"/>
    </xf>
    <xf numFmtId="0" fontId="28" fillId="10" borderId="20" xfId="1" applyFont="1" applyFill="1" applyBorder="1" applyAlignment="1">
      <alignment horizontal="center" vertical="center"/>
    </xf>
    <xf numFmtId="0" fontId="28" fillId="10" borderId="17" xfId="1" applyFont="1" applyFill="1" applyBorder="1" applyAlignment="1">
      <alignment horizontal="center" vertical="center"/>
    </xf>
    <xf numFmtId="0" fontId="28" fillId="9" borderId="16" xfId="1" applyFont="1" applyFill="1" applyBorder="1" applyAlignment="1">
      <alignment horizontal="center" vertical="center"/>
    </xf>
    <xf numFmtId="0" fontId="28" fillId="9" borderId="20" xfId="1" applyFont="1" applyFill="1" applyBorder="1" applyAlignment="1">
      <alignment horizontal="center" vertical="center"/>
    </xf>
    <xf numFmtId="0" fontId="28" fillId="10" borderId="10" xfId="1" applyFont="1" applyFill="1" applyBorder="1" applyAlignment="1">
      <alignment horizontal="center" vertical="center"/>
    </xf>
    <xf numFmtId="167" fontId="28" fillId="11" borderId="10" xfId="4" applyNumberFormat="1" applyFont="1" applyFill="1" applyBorder="1" applyAlignment="1">
      <alignment horizontal="center" vertical="center"/>
    </xf>
    <xf numFmtId="0" fontId="27" fillId="38" borderId="1" xfId="0" applyFont="1" applyFill="1" applyBorder="1" applyAlignment="1">
      <alignment horizontal="center" vertical="center"/>
    </xf>
    <xf numFmtId="167" fontId="21" fillId="0" borderId="18" xfId="4" applyNumberFormat="1" applyFont="1" applyBorder="1" applyAlignment="1">
      <alignment horizontal="right" wrapText="1"/>
    </xf>
    <xf numFmtId="0" fontId="21" fillId="0" borderId="18" xfId="0" applyFont="1" applyBorder="1" applyAlignment="1">
      <alignment horizontal="right" wrapText="1"/>
    </xf>
    <xf numFmtId="0" fontId="10" fillId="11" borderId="16" xfId="1" applyFont="1" applyFill="1" applyBorder="1" applyAlignment="1">
      <alignment horizontal="center" vertical="center" wrapText="1"/>
    </xf>
    <xf numFmtId="0" fontId="10" fillId="11" borderId="20" xfId="1" applyFont="1" applyFill="1" applyBorder="1" applyAlignment="1">
      <alignment horizontal="center" vertical="center" wrapText="1"/>
    </xf>
    <xf numFmtId="0" fontId="10" fillId="11" borderId="17" xfId="1" applyFont="1" applyFill="1" applyBorder="1" applyAlignment="1">
      <alignment horizontal="center" vertical="center" wrapText="1"/>
    </xf>
    <xf numFmtId="166" fontId="15" fillId="17" borderId="1" xfId="2" applyNumberFormat="1" applyFont="1" applyFill="1" applyBorder="1" applyAlignment="1">
      <alignment horizontal="center" vertical="center" wrapText="1"/>
    </xf>
    <xf numFmtId="167" fontId="10" fillId="11" borderId="13" xfId="4" applyNumberFormat="1" applyFont="1" applyFill="1" applyBorder="1" applyAlignment="1">
      <alignment horizontal="center" vertical="center" wrapText="1"/>
    </xf>
    <xf numFmtId="167" fontId="10" fillId="11" borderId="14" xfId="4" applyNumberFormat="1" applyFont="1" applyFill="1" applyBorder="1" applyAlignment="1">
      <alignment horizontal="center" vertical="center" wrapText="1"/>
    </xf>
    <xf numFmtId="0" fontId="10" fillId="2" borderId="10" xfId="1" applyFont="1" applyFill="1" applyBorder="1" applyAlignment="1">
      <alignment horizontal="center" vertical="center" wrapText="1"/>
    </xf>
    <xf numFmtId="0" fontId="10" fillId="12" borderId="10" xfId="1" applyFont="1" applyFill="1" applyBorder="1" applyAlignment="1">
      <alignment horizontal="center" vertical="center" wrapText="1"/>
    </xf>
    <xf numFmtId="167" fontId="10" fillId="12" borderId="10" xfId="4" applyNumberFormat="1" applyFont="1" applyFill="1" applyBorder="1" applyAlignment="1">
      <alignment horizontal="center" vertical="center" wrapText="1"/>
    </xf>
    <xf numFmtId="167" fontId="10" fillId="12" borderId="16" xfId="4" applyNumberFormat="1" applyFont="1" applyFill="1" applyBorder="1" applyAlignment="1">
      <alignment horizontal="center" vertical="center" wrapText="1"/>
    </xf>
    <xf numFmtId="0" fontId="10" fillId="12" borderId="17" xfId="1" applyFont="1" applyFill="1" applyBorder="1" applyAlignment="1">
      <alignment horizontal="center" vertical="center" wrapText="1"/>
    </xf>
    <xf numFmtId="0" fontId="10" fillId="2" borderId="16" xfId="1" applyFont="1" applyFill="1" applyBorder="1" applyAlignment="1">
      <alignment horizontal="center" vertical="center" wrapText="1"/>
    </xf>
    <xf numFmtId="0" fontId="10" fillId="2" borderId="20" xfId="1" applyFont="1" applyFill="1" applyBorder="1" applyAlignment="1">
      <alignment horizontal="center" vertical="center" wrapText="1"/>
    </xf>
    <xf numFmtId="0" fontId="10" fillId="2" borderId="17" xfId="1" applyFont="1" applyFill="1" applyBorder="1" applyAlignment="1">
      <alignment horizontal="center" vertical="center" wrapText="1"/>
    </xf>
    <xf numFmtId="167" fontId="10" fillId="42" borderId="47" xfId="4" applyNumberFormat="1" applyFont="1" applyFill="1" applyBorder="1" applyAlignment="1">
      <alignment horizontal="center" vertical="center" wrapText="1"/>
    </xf>
    <xf numFmtId="167" fontId="10" fillId="42" borderId="48" xfId="4" applyNumberFormat="1" applyFont="1" applyFill="1" applyBorder="1" applyAlignment="1">
      <alignment horizontal="center" vertical="center" wrapText="1"/>
    </xf>
    <xf numFmtId="167" fontId="10" fillId="11" borderId="16" xfId="4" applyNumberFormat="1" applyFont="1" applyFill="1" applyBorder="1" applyAlignment="1">
      <alignment horizontal="center" vertical="center" wrapText="1"/>
    </xf>
    <xf numFmtId="167" fontId="10" fillId="11" borderId="20" xfId="4" applyNumberFormat="1" applyFont="1" applyFill="1" applyBorder="1" applyAlignment="1">
      <alignment horizontal="center" vertical="center" wrapText="1"/>
    </xf>
    <xf numFmtId="167" fontId="10" fillId="11" borderId="17" xfId="4" applyNumberFormat="1" applyFont="1" applyFill="1" applyBorder="1" applyAlignment="1">
      <alignment horizontal="center" vertical="center" wrapText="1"/>
    </xf>
    <xf numFmtId="167" fontId="26" fillId="36" borderId="30" xfId="4" applyNumberFormat="1" applyFont="1" applyFill="1" applyBorder="1" applyAlignment="1">
      <alignment horizontal="center" vertical="center" wrapText="1"/>
    </xf>
    <xf numFmtId="167" fontId="26" fillId="36" borderId="33" xfId="4" applyNumberFormat="1" applyFont="1" applyFill="1" applyBorder="1" applyAlignment="1">
      <alignment horizontal="center" vertical="center" wrapText="1"/>
    </xf>
    <xf numFmtId="167" fontId="10" fillId="12" borderId="29" xfId="4" applyNumberFormat="1" applyFont="1" applyFill="1" applyBorder="1" applyAlignment="1">
      <alignment horizontal="center" vertical="center" wrapText="1"/>
    </xf>
    <xf numFmtId="167" fontId="10" fillId="12" borderId="30" xfId="4" applyNumberFormat="1" applyFont="1" applyFill="1" applyBorder="1" applyAlignment="1">
      <alignment horizontal="center" vertical="center" wrapText="1"/>
    </xf>
    <xf numFmtId="167" fontId="10" fillId="12" borderId="33" xfId="4" applyNumberFormat="1" applyFont="1" applyFill="1" applyBorder="1" applyAlignment="1">
      <alignment horizontal="center" vertical="center" wrapText="1"/>
    </xf>
    <xf numFmtId="0" fontId="1" fillId="0" borderId="0" xfId="0" applyFont="1" applyAlignment="1">
      <alignment horizontal="center" wrapText="1"/>
    </xf>
    <xf numFmtId="0" fontId="16" fillId="28" borderId="41" xfId="0" applyFont="1" applyFill="1" applyBorder="1" applyAlignment="1">
      <alignment horizontal="center" vertical="center" wrapText="1"/>
    </xf>
    <xf numFmtId="0" fontId="16" fillId="28" borderId="62" xfId="0" applyFont="1" applyFill="1" applyBorder="1" applyAlignment="1">
      <alignment horizontal="center" vertical="center" wrapText="1"/>
    </xf>
    <xf numFmtId="0" fontId="16" fillId="10" borderId="30" xfId="1" applyFont="1" applyFill="1" applyBorder="1" applyAlignment="1">
      <alignment horizontal="center" vertical="center" wrapText="1"/>
    </xf>
    <xf numFmtId="167" fontId="16" fillId="11" borderId="41" xfId="4" applyNumberFormat="1" applyFont="1" applyFill="1" applyBorder="1" applyAlignment="1">
      <alignment horizontal="center" vertical="center" wrapText="1"/>
    </xf>
    <xf numFmtId="167" fontId="16" fillId="11" borderId="61" xfId="4" applyNumberFormat="1" applyFont="1" applyFill="1" applyBorder="1" applyAlignment="1">
      <alignment horizontal="center" vertical="center" wrapText="1"/>
    </xf>
    <xf numFmtId="167" fontId="16" fillId="11" borderId="62" xfId="4" applyNumberFormat="1" applyFont="1" applyFill="1" applyBorder="1" applyAlignment="1">
      <alignment horizontal="center" vertical="center" wrapText="1"/>
    </xf>
    <xf numFmtId="0" fontId="16" fillId="2" borderId="41" xfId="1" applyFont="1" applyFill="1" applyBorder="1" applyAlignment="1">
      <alignment horizontal="center" vertical="center" wrapText="1"/>
    </xf>
    <xf numFmtId="0" fontId="16" fillId="2" borderId="61" xfId="1" applyFont="1" applyFill="1" applyBorder="1" applyAlignment="1">
      <alignment horizontal="center" vertical="center" wrapText="1"/>
    </xf>
    <xf numFmtId="0" fontId="16" fillId="2" borderId="62" xfId="1" applyFont="1" applyFill="1" applyBorder="1" applyAlignment="1">
      <alignment horizontal="center" vertical="center" wrapText="1"/>
    </xf>
    <xf numFmtId="167" fontId="16" fillId="23" borderId="0" xfId="4" applyNumberFormat="1" applyFont="1" applyFill="1" applyBorder="1" applyAlignment="1">
      <alignment horizontal="center" vertical="center" wrapText="1"/>
    </xf>
    <xf numFmtId="167" fontId="16" fillId="25" borderId="41" xfId="4" applyNumberFormat="1" applyFont="1" applyFill="1" applyBorder="1" applyAlignment="1">
      <alignment horizontal="center" vertical="center" wrapText="1"/>
    </xf>
    <xf numFmtId="167" fontId="16" fillId="25" borderId="61" xfId="4" applyNumberFormat="1" applyFont="1" applyFill="1" applyBorder="1" applyAlignment="1">
      <alignment horizontal="center" vertical="center" wrapText="1"/>
    </xf>
    <xf numFmtId="166" fontId="22" fillId="27" borderId="41" xfId="2" applyNumberFormat="1" applyFont="1" applyFill="1" applyBorder="1" applyAlignment="1">
      <alignment horizontal="center" vertical="center" wrapText="1"/>
    </xf>
    <xf numFmtId="166" fontId="22" fillId="27" borderId="61" xfId="2" applyNumberFormat="1" applyFont="1" applyFill="1" applyBorder="1" applyAlignment="1">
      <alignment horizontal="center" vertical="center" wrapText="1"/>
    </xf>
    <xf numFmtId="1" fontId="20" fillId="0" borderId="0" xfId="4" applyNumberFormat="1" applyFont="1" applyFill="1" applyBorder="1" applyAlignment="1">
      <alignment horizontal="center" vertical="center" wrapText="1"/>
    </xf>
    <xf numFmtId="166" fontId="18" fillId="27" borderId="61" xfId="2" applyNumberFormat="1" applyFont="1" applyFill="1" applyBorder="1" applyAlignment="1">
      <alignment horizontal="center" vertical="center" wrapText="1"/>
    </xf>
    <xf numFmtId="0" fontId="16" fillId="9" borderId="29" xfId="1" applyFont="1" applyFill="1" applyBorder="1" applyAlignment="1">
      <alignment horizontal="center" vertical="center" wrapText="1"/>
    </xf>
    <xf numFmtId="0" fontId="16" fillId="9" borderId="30" xfId="1" applyFont="1" applyFill="1" applyBorder="1" applyAlignment="1">
      <alignment horizontal="center" vertical="center" wrapText="1"/>
    </xf>
    <xf numFmtId="167" fontId="16" fillId="25" borderId="62" xfId="4" applyNumberFormat="1" applyFont="1" applyFill="1" applyBorder="1" applyAlignment="1">
      <alignment horizontal="center" vertical="center" wrapText="1"/>
    </xf>
    <xf numFmtId="167" fontId="16" fillId="24" borderId="0" xfId="4" applyNumberFormat="1" applyFont="1" applyFill="1" applyBorder="1" applyAlignment="1">
      <alignment horizontal="center" vertical="center" wrapText="1"/>
    </xf>
    <xf numFmtId="0" fontId="28" fillId="10" borderId="10" xfId="1" applyFont="1" applyFill="1" applyBorder="1" applyAlignment="1">
      <alignment horizontal="center" vertical="center" wrapText="1"/>
    </xf>
    <xf numFmtId="0" fontId="28" fillId="9" borderId="16" xfId="1" applyFont="1" applyFill="1" applyBorder="1" applyAlignment="1">
      <alignment horizontal="center" vertical="center" wrapText="1"/>
    </xf>
    <xf numFmtId="0" fontId="28" fillId="9" borderId="20" xfId="1" applyFont="1" applyFill="1" applyBorder="1" applyAlignment="1">
      <alignment horizontal="center" vertical="center" wrapText="1"/>
    </xf>
    <xf numFmtId="0" fontId="28" fillId="9" borderId="17" xfId="1" applyFont="1" applyFill="1" applyBorder="1" applyAlignment="1">
      <alignment horizontal="center" vertical="center" wrapText="1"/>
    </xf>
    <xf numFmtId="168" fontId="3" fillId="20" borderId="18" xfId="4" applyNumberFormat="1" applyFont="1" applyFill="1" applyBorder="1" applyAlignment="1">
      <alignment horizontal="center"/>
    </xf>
    <xf numFmtId="0" fontId="28" fillId="10" borderId="16" xfId="1" applyFont="1" applyFill="1" applyBorder="1" applyAlignment="1">
      <alignment horizontal="center" vertical="center" wrapText="1"/>
    </xf>
    <xf numFmtId="0" fontId="28" fillId="10" borderId="20" xfId="1" applyFont="1" applyFill="1" applyBorder="1" applyAlignment="1">
      <alignment horizontal="center" vertical="center" wrapText="1"/>
    </xf>
    <xf numFmtId="0" fontId="28" fillId="10" borderId="17" xfId="1" applyFont="1" applyFill="1" applyBorder="1" applyAlignment="1">
      <alignment horizontal="center" vertical="center" wrapText="1"/>
    </xf>
    <xf numFmtId="0" fontId="50" fillId="39" borderId="7" xfId="8" applyFont="1" applyBorder="1" applyAlignment="1">
      <alignment horizontal="left" vertical="top"/>
    </xf>
  </cellXfs>
  <cellStyles count="9">
    <cellStyle name="Accent6" xfId="8" builtinId="49"/>
    <cellStyle name="Comma" xfId="4" builtinId="3"/>
    <cellStyle name="Comma [0]" xfId="6" builtinId="6"/>
    <cellStyle name="Comma 2" xfId="2" xr:uid="{5D38CDC1-E85E-41E9-9606-1CCEEB01D8F0}"/>
    <cellStyle name="Hyperlink" xfId="7" builtinId="8"/>
    <cellStyle name="Normal" xfId="0" builtinId="0"/>
    <cellStyle name="Normal 2" xfId="1" xr:uid="{302DEB05-DCF2-4BA3-83E1-73B661067522}"/>
    <cellStyle name="Percent" xfId="3" builtinId="5"/>
    <cellStyle name="Percent 2" xfId="5" xr:uid="{FD1A6169-9F19-48BF-8E96-E95C4B0D624C}"/>
  </cellStyles>
  <dxfs count="351">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numFmt numFmtId="0" formatCode="General"/>
    </dxf>
    <dxf>
      <font>
        <b val="0"/>
        <i val="0"/>
        <strike val="0"/>
        <condense val="0"/>
        <extend val="0"/>
        <outline val="0"/>
        <shadow val="0"/>
        <u val="none"/>
        <vertAlign val="baseline"/>
        <sz val="11"/>
        <color theme="1"/>
        <name val="Calibri"/>
        <family val="2"/>
        <scheme val="minor"/>
      </font>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 formatCode="0"/>
    </dxf>
    <dxf>
      <numFmt numFmtId="30" formatCode="@"/>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bottom" textRotation="0" wrapText="0" indent="0" justifyLastLine="0" shrinkToFit="0" readingOrder="0"/>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bottom" textRotation="0" wrapText="0" indent="0" justifyLastLine="0" shrinkToFit="0" readingOrder="0"/>
    </dxf>
    <dxf>
      <numFmt numFmtId="1" formatCode="0"/>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dxf>
    <dxf>
      <fill>
        <patternFill patternType="none">
          <fgColor indexed="64"/>
          <bgColor indexed="65"/>
        </patternFill>
      </fill>
    </dxf>
    <dxf>
      <numFmt numFmtId="167" formatCode="_ * #,##0_ ;_ * \-#,##0_ ;_ * &quot;-&quot;??_ ;_ @_ "/>
      <fill>
        <patternFill patternType="none">
          <fgColor indexed="64"/>
          <bgColor indexed="65"/>
        </patternFill>
      </fill>
    </dxf>
    <dxf>
      <numFmt numFmtId="167" formatCode="_ * #,##0_ ;_ * \-#,##0_ ;_ * &quot;-&quot;??_ ;_ @_ "/>
      <fill>
        <patternFill patternType="none">
          <fgColor indexed="64"/>
          <bgColor indexed="65"/>
        </patternFill>
      </fill>
    </dxf>
    <dxf>
      <numFmt numFmtId="168" formatCode="_ * #,##0.0_ ;_ * \-#,##0.0_ ;_ * &quot;-&quot;??_ ;_ @_ "/>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 formatCode="0"/>
      <fill>
        <patternFill patternType="solid">
          <fgColor indexed="64"/>
          <bgColor rgb="FFC00000"/>
        </patternFill>
      </fill>
    </dxf>
    <dxf>
      <font>
        <b val="0"/>
        <i val="0"/>
        <strike val="0"/>
        <condense val="0"/>
        <extend val="0"/>
        <outline val="0"/>
        <shadow val="0"/>
        <u val="none"/>
        <vertAlign val="baseline"/>
        <sz val="11"/>
        <color theme="1"/>
        <name val="Calibri"/>
        <family val="2"/>
        <scheme val="minor"/>
      </font>
      <numFmt numFmtId="13" formatCode="0%"/>
    </dxf>
    <dxf>
      <numFmt numFmtId="1" formatCode="0"/>
    </dxf>
    <dxf>
      <numFmt numFmtId="2" formatCode="0.00"/>
    </dxf>
    <dxf>
      <numFmt numFmtId="167" formatCode="_ * #,##0_ ;_ * \-#,##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6" formatCode="_-* #,##0_-;\-* #,##0_-;_-* &quot;-&quot;??_-;_-@_-"/>
    </dxf>
    <dxf>
      <font>
        <b val="0"/>
        <i val="0"/>
        <strike val="0"/>
        <condense val="0"/>
        <extend val="0"/>
        <outline val="0"/>
        <shadow val="0"/>
        <u val="none"/>
        <vertAlign val="baseline"/>
        <sz val="10"/>
        <color rgb="FF000000"/>
        <name val="Arial Narrow"/>
        <family val="2"/>
        <scheme val="none"/>
      </font>
      <numFmt numFmtId="166" formatCode="_-* #,##0_-;\-* #,##0_-;_-* &quot;-&quot;??_-;_-@_-"/>
      <alignmen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3" formatCode="0%"/>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3" formatCode="0%"/>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3" formatCode="0%"/>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3" formatCode="0%"/>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3" formatCode="0%"/>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66" formatCode="_-* #,##0_-;\-* #,##0_-;_-* &quot;-&quot;??_-;_-@_-"/>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66" formatCode="_-* #,##0_-;\-* #,##0_-;_-* &quot;-&quot;??_-;_-@_-"/>
      <fill>
        <patternFill>
          <fgColor indexed="64"/>
          <bgColor rgb="FFFFFF0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3"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3" formatCode="0%"/>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68" formatCode="_ * #,##0.0_ ;_ * \-#,##0.0_ ;_ * &quot;-&quot;??_ ;_ @_ "/>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68" formatCode="_ * #,##0.0_ ;_ * \-#,##0.0_ ;_ * &quot;-&quot;??_ ;_ @_ "/>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68" formatCode="_ * #,##0.0_ ;_ * \-#,##0.0_ ;_ * &quot;-&quot;??_ ;_ @_ "/>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ck">
          <color indexed="64"/>
        </right>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Arial Narrow"/>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Arial Narrow"/>
        <family val="2"/>
        <scheme val="none"/>
      </font>
      <numFmt numFmtId="0" formatCode="General"/>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Arial Narrow"/>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0" formatCode="General"/>
      <fill>
        <patternFill patternType="solid">
          <fgColor indexed="64"/>
          <bgColor theme="0"/>
        </patternFill>
      </fill>
      <alignment horizontal="left" vertical="center" textRotation="0" wrapText="0"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center" vertical="center" textRotation="0" wrapText="1" indent="0" justifyLastLine="0" shrinkToFit="0" readingOrder="0"/>
      <border diagonalUp="0" diagonalDown="0" outline="0">
        <left/>
        <right style="thick">
          <color indexed="64"/>
        </right>
        <top style="thin">
          <color indexed="64"/>
        </top>
        <bottom style="thin">
          <color indexed="64"/>
        </bottom>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Narrow"/>
        <family val="2"/>
        <scheme val="none"/>
      </font>
      <numFmt numFmtId="166" formatCode="_-* #,##0_-;\-* #,##0_-;_-* &quot;-&quot;??_-;_-@_-"/>
      <alignment vertical="center" textRotation="0" wrapText="1" indent="0" justifyLastLine="0" shrinkToFit="0" readingOrder="0"/>
    </dxf>
    <dxf>
      <font>
        <b/>
        <i val="0"/>
        <strike val="0"/>
        <condense val="0"/>
        <extend val="0"/>
        <outline val="0"/>
        <shadow val="0"/>
        <u val="none"/>
        <vertAlign val="baseline"/>
        <sz val="10"/>
        <color theme="0"/>
        <name val="Arial Narrow"/>
        <family val="2"/>
        <scheme val="none"/>
      </font>
      <numFmt numFmtId="166" formatCode="_-* #,##0_-;\-* #,##0_-;_-* &quot;-&quot;??_-;_-@_-"/>
      <fill>
        <patternFill patternType="solid">
          <fgColor indexed="64"/>
          <bgColor rgb="FF8FB6C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rgb="FF000000"/>
        <name val="Arial"/>
        <family val="2"/>
        <scheme val="none"/>
      </font>
      <numFmt numFmtId="1" formatCode="0"/>
      <alignment vertical="center"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rgb="FF000000"/>
        <name val="Arial"/>
        <family val="2"/>
        <scheme val="none"/>
      </font>
      <numFmt numFmtId="166" formatCode="_-* #,##0_-;\-* #,##0_-;_-* &quot;-&quot;??_-;_-@_-"/>
      <alignment horizontal="general" vertical="center"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medium">
          <color indexed="64"/>
        </left>
        <right/>
        <top style="thin">
          <color rgb="FF000000"/>
        </top>
        <bottom/>
      </border>
    </dxf>
    <dxf>
      <font>
        <b/>
        <i val="0"/>
        <strike val="0"/>
        <condense val="0"/>
        <extend val="0"/>
        <outline val="0"/>
        <shadow val="0"/>
        <u val="none"/>
        <vertAlign val="baseline"/>
        <sz val="10"/>
        <color rgb="FF000000"/>
        <name val="Arial"/>
        <family val="2"/>
        <scheme val="none"/>
      </font>
      <numFmt numFmtId="166" formatCode="_-* #,##0_-;\-* #,##0_-;_-* &quot;-&quot;??_-;_-@_-"/>
      <fill>
        <patternFill patternType="none">
          <fgColor indexed="64"/>
          <bgColor auto="1"/>
        </patternFill>
      </fill>
      <alignment horizontal="left" vertical="center" textRotation="0" wrapText="0" indent="0" justifyLastLine="0" shrinkToFit="0" readingOrder="0"/>
      <border diagonalUp="0" diagonalDown="0">
        <left/>
        <right style="medium">
          <color indexed="64"/>
        </right>
        <top/>
        <bottom/>
        <vertical/>
        <horizontal/>
      </border>
    </dxf>
    <dxf>
      <font>
        <b/>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medium">
          <color indexed="64"/>
        </left>
        <right style="medium">
          <color indexed="64"/>
        </right>
        <top style="thin">
          <color rgb="FF000000"/>
        </top>
        <bottom/>
      </border>
    </dxf>
    <dxf>
      <font>
        <b/>
        <i val="0"/>
        <strike val="0"/>
        <condense val="0"/>
        <extend val="0"/>
        <outline val="0"/>
        <shadow val="0"/>
        <u val="none"/>
        <vertAlign val="baseline"/>
        <sz val="10"/>
        <color rgb="FF000000"/>
        <name val="Arial"/>
        <family val="2"/>
        <scheme val="none"/>
      </font>
      <numFmt numFmtId="166" formatCode="_-* #,##0_-;\-* #,##0_-;_-* &quot;-&quot;??_-;_-@_-"/>
      <fill>
        <patternFill patternType="none">
          <fgColor indexed="64"/>
          <bgColor auto="1"/>
        </patternFill>
      </fill>
      <alignment horizontal="left" vertical="center" textRotation="0" wrapText="0" indent="0" justifyLastLine="0" shrinkToFit="0" readingOrder="0"/>
    </dxf>
    <dxf>
      <font>
        <b/>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style="thin">
          <color rgb="FF000000"/>
        </top>
        <bottom/>
      </border>
    </dxf>
    <dxf>
      <fill>
        <patternFill patternType="none">
          <fgColor indexed="64"/>
          <bgColor auto="1"/>
        </patternFill>
      </fill>
      <alignment textRotation="0" wrapText="0" indent="0" justifyLastLine="0" shrinkToFit="0" readingOrder="0"/>
    </dxf>
    <dxf>
      <border diagonalUp="0" diagonalDown="0" outline="0">
        <left/>
        <right/>
        <top style="thin">
          <color rgb="FF000000"/>
        </top>
        <bottom/>
      </border>
    </dxf>
    <dxf>
      <font>
        <b/>
        <i val="0"/>
        <strike val="0"/>
        <condense val="0"/>
        <extend val="0"/>
        <outline val="0"/>
        <shadow val="0"/>
        <u val="none"/>
        <vertAlign val="baseline"/>
        <sz val="10"/>
        <color rgb="FF000000"/>
        <name val="Arial"/>
        <family val="2"/>
        <scheme val="none"/>
      </font>
      <numFmt numFmtId="166" formatCode="_-* #,##0_-;\-* #,##0_-;_-* &quot;-&quot;??_-;_-@_-"/>
      <fill>
        <patternFill patternType="none">
          <fgColor indexed="64"/>
          <bgColor auto="1"/>
        </patternFill>
      </fill>
      <alignment horizontal="left" vertical="center" textRotation="0" wrapText="0" indent="0" justifyLastLine="0" shrinkToFit="0" readingOrder="0"/>
    </dxf>
    <dxf>
      <font>
        <b/>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medium">
          <color indexed="64"/>
        </left>
        <right/>
        <top style="thin">
          <color rgb="FF000000"/>
        </top>
        <bottom/>
      </border>
    </dxf>
    <dxf>
      <font>
        <b/>
        <i val="0"/>
        <strike val="0"/>
        <condense val="0"/>
        <extend val="0"/>
        <outline val="0"/>
        <shadow val="0"/>
        <u val="none"/>
        <vertAlign val="baseline"/>
        <sz val="10"/>
        <color rgb="FF000000"/>
        <name val="Arial"/>
        <family val="2"/>
        <scheme val="none"/>
      </font>
      <numFmt numFmtId="13" formatCode="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rgb="FF000000"/>
        </top>
        <bottom/>
      </border>
    </dxf>
    <dxf>
      <font>
        <b/>
        <i val="0"/>
        <strike val="0"/>
        <condense val="0"/>
        <extend val="0"/>
        <outline val="0"/>
        <shadow val="0"/>
        <u val="none"/>
        <vertAlign val="baseline"/>
        <sz val="10"/>
        <color rgb="FF000000"/>
        <name val="Arial"/>
        <family val="2"/>
        <scheme val="none"/>
      </font>
      <numFmt numFmtId="13" formatCode="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medium">
          <color indexed="64"/>
        </left>
        <right/>
        <top style="thin">
          <color rgb="FF000000"/>
        </top>
        <bottom/>
      </border>
    </dxf>
    <dxf>
      <font>
        <b/>
        <i val="0"/>
        <strike val="0"/>
        <condense val="0"/>
        <extend val="0"/>
        <outline val="0"/>
        <shadow val="0"/>
        <u val="none"/>
        <vertAlign val="baseline"/>
        <sz val="10"/>
        <color rgb="FF000000"/>
        <name val="Arial"/>
        <family val="2"/>
        <scheme val="none"/>
      </font>
      <numFmt numFmtId="1" formatCode="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rgb="FF000000"/>
        </top>
        <bottom/>
      </border>
    </dxf>
    <dxf>
      <font>
        <b/>
        <i val="0"/>
        <strike val="0"/>
        <condense val="0"/>
        <extend val="0"/>
        <outline val="0"/>
        <shadow val="0"/>
        <u val="none"/>
        <vertAlign val="baseline"/>
        <sz val="10"/>
        <color rgb="FF000000"/>
        <name val="Arial"/>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medium">
          <color indexed="64"/>
        </left>
        <right/>
        <top/>
        <bottom/>
        <vertical/>
        <horizontal/>
      </border>
    </dxf>
    <dxf>
      <font>
        <b/>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medium">
          <color indexed="64"/>
        </left>
        <right/>
        <top style="thin">
          <color rgb="FF000000"/>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auto="1"/>
        </patternFill>
      </fill>
      <alignment horizontal="general" vertical="center"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rgb="FF000000"/>
        <name val="Arial"/>
        <family val="2"/>
        <scheme val="none"/>
      </font>
      <alignment horizontal="general"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00"/>
        <name val="Arial"/>
        <family val="2"/>
        <scheme val="none"/>
      </font>
      <numFmt numFmtId="166" formatCode="_-* #,##0_-;\-* #,##0_-;_-* &quot;-&quot;??_-;_-@_-"/>
      <alignment horizontal="left"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rgb="FF000000"/>
        <name val="Arial"/>
        <family val="2"/>
        <scheme val="none"/>
      </font>
      <numFmt numFmtId="165" formatCode="_ * #,##0.00_ ;_ * \-#,##0.00_ ;_ * &quot;-&quot;??_ ;_ @_ "/>
      <alignment vertical="center"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medium">
          <color indexed="64"/>
        </left>
        <right/>
        <top style="thin">
          <color rgb="FF000000"/>
        </top>
        <bottom/>
      </border>
    </dxf>
    <dxf>
      <numFmt numFmtId="167" formatCode="_ * #,##0_ ;_ * \-#,##0_ ;_ * &quot;-&quot;??_ ;_ @_ "/>
      <alignment textRotation="0" wrapText="0" indent="0" justifyLastLine="0" shrinkToFit="0" readingOrder="0"/>
      <border diagonalUp="0" diagonalDown="0">
        <left/>
        <right style="medium">
          <color indexed="64"/>
        </right>
        <top/>
        <bottom/>
        <vertical/>
        <horizontal/>
      </border>
    </dxf>
    <dxf>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medium">
          <color indexed="64"/>
        </left>
        <right style="medium">
          <color indexed="64"/>
        </right>
        <top style="thin">
          <color rgb="FF000000"/>
        </top>
        <bottom/>
      </border>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auto="1"/>
        </patternFill>
      </fill>
      <alignment horizontal="right" vertical="center"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horizontal="center" vertical="center"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indexed="64"/>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auto="1"/>
        </patternFill>
      </fill>
      <alignment vertical="center"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Narrow"/>
        <family val="2"/>
        <scheme val="none"/>
      </font>
      <numFmt numFmtId="167" formatCode="_ * #,##0_ ;_ * \-#,##0_ ;_ * &quot;-&quot;??_ ;_ @_ "/>
      <fill>
        <patternFill patternType="none">
          <fgColor indexed="64"/>
          <bgColor auto="1"/>
        </patternFill>
      </fill>
      <alignment horizontal="left" vertical="center" textRotation="0" wrapText="0" indent="0" justifyLastLine="0" shrinkToFit="0" readingOrder="0"/>
      <border diagonalUp="0" diagonalDown="0">
        <left/>
        <right style="thick">
          <color auto="1"/>
        </right>
        <top/>
        <bottom/>
        <vertical/>
        <horizontal/>
      </border>
    </dxf>
    <dxf>
      <font>
        <b val="0"/>
        <i val="0"/>
        <strike val="0"/>
        <condense val="0"/>
        <extend val="0"/>
        <outline val="0"/>
        <shadow val="0"/>
        <u val="none"/>
        <vertAlign val="baseline"/>
        <sz val="10"/>
        <color theme="1"/>
        <name val="Arial Narrow"/>
        <family val="2"/>
        <scheme val="none"/>
      </font>
      <alignment horizontal="left"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Narrow"/>
        <family val="2"/>
        <scheme val="none"/>
      </font>
      <numFmt numFmtId="167" formatCode="_ * #,##0_ ;_ * \-#,##0_ ;_ * &quot;-&quot;??_ ;_ @_ "/>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center" textRotation="0" wrapText="0" indent="0" justifyLastLine="0" shrinkToFit="0" readingOrder="0"/>
      <border diagonalUp="0" diagonalDown="0" outline="0">
        <left style="medium">
          <color indexed="64"/>
        </left>
        <right/>
        <top style="thin">
          <color rgb="FF000000"/>
        </top>
        <bottom/>
      </border>
    </dxf>
    <dxf>
      <font>
        <b val="0"/>
        <i val="0"/>
        <strike val="0"/>
        <condense val="0"/>
        <extend val="0"/>
        <outline val="0"/>
        <shadow val="0"/>
        <u val="none"/>
        <vertAlign val="baseline"/>
        <sz val="10"/>
        <color theme="1"/>
        <name val="Arial Narrow"/>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right/>
        <top style="thin">
          <color rgb="FF000000"/>
        </top>
        <bottom/>
      </border>
    </dxf>
    <dxf>
      <font>
        <sz val="10"/>
        <name val="Arial Narrow"/>
        <family val="2"/>
        <scheme val="none"/>
      </font>
      <numFmt numFmtId="0" formatCode="General"/>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thin">
          <color rgb="FF000000"/>
        </top>
        <bottom/>
      </border>
    </dxf>
    <dxf>
      <font>
        <sz val="10"/>
        <name val="Arial Narrow"/>
        <family val="2"/>
        <scheme val="none"/>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Narrow"/>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ck">
          <color auto="1"/>
        </left>
        <right/>
        <top/>
        <bottom/>
        <vertical/>
        <horizontal/>
      </border>
    </dxf>
    <dxf>
      <font>
        <b val="0"/>
        <i val="0"/>
        <strike val="0"/>
        <condense val="0"/>
        <extend val="0"/>
        <outline val="0"/>
        <shadow val="0"/>
        <u val="none"/>
        <vertAlign val="baseline"/>
        <sz val="10"/>
        <color theme="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top style="thin">
          <color rgb="FF000000"/>
        </top>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0" indent="0" justifyLastLine="0" shrinkToFit="0" readingOrder="0"/>
    </dxf>
    <dxf>
      <font>
        <b/>
        <i val="0"/>
        <strike val="0"/>
        <condense val="0"/>
        <extend val="0"/>
        <outline val="0"/>
        <shadow val="0"/>
        <u val="none"/>
        <vertAlign val="baseline"/>
        <sz val="9"/>
        <color theme="0"/>
        <name val="Arial"/>
        <scheme val="none"/>
      </font>
      <numFmt numFmtId="166"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FF9999"/>
        </patternFill>
      </fill>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66" formatCode="_-* #,##0_-;\-* #,##0_-;_-* &quot;-&quot;??_-;_-@_-"/>
      <alignment horizontal="general"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alignment horizontal="right"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right"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rgb="FF000000"/>
          <bgColor rgb="FFFFFFFF"/>
        </patternFill>
      </fill>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0"/>
        <color rgb="FF000000"/>
        <name val="Arial"/>
        <family val="2"/>
        <scheme val="none"/>
      </font>
      <fill>
        <patternFill patternType="solid">
          <fgColor rgb="FF000000"/>
          <bgColor rgb="FFFFFFFF"/>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auto="1"/>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4" formatCode="0.0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left" vertical="center" textRotation="0" wrapText="0" indent="0" justifyLastLine="0" shrinkToFit="0" readingOrder="0"/>
      <border diagonalUp="0" diagonalDown="0">
        <left style="thick">
          <color indexed="64"/>
        </left>
        <right style="thin">
          <color indexed="64"/>
        </right>
        <top style="thin">
          <color indexed="64"/>
        </top>
        <bottom style="thin">
          <color indexed="64"/>
        </bottom>
        <vertical style="thick">
          <color indexed="64"/>
        </vertical>
        <horizontal/>
      </border>
    </dxf>
    <dxf>
      <font>
        <b val="0"/>
        <i val="0"/>
        <strike val="0"/>
        <condense val="0"/>
        <extend val="0"/>
        <outline val="0"/>
        <shadow val="0"/>
        <u val="none"/>
        <vertAlign val="baseline"/>
        <sz val="10"/>
        <color theme="1"/>
        <name val="Arial Narrow"/>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Narrow"/>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z val="10"/>
        <name val="Arial Narrow"/>
        <family val="2"/>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sz val="10"/>
        <name val="Arial Narrow"/>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Narrow"/>
        <family val="2"/>
        <scheme val="none"/>
      </font>
      <numFmt numFmtId="0" formatCode="General"/>
      <alignment horizontal="left" vertical="center" textRotation="0" wrapText="0"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alignment horizontal="left" vertical="center" textRotation="0" wrapText="0"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Narrow"/>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alignment horizontal="left" vertical="center" textRotation="0" wrapText="0" indent="0" justifyLastLine="0" shrinkToFit="0" readingOrder="0"/>
      <border diagonalUp="0" diagonalDown="0" outline="0">
        <left style="thick">
          <color indexed="64"/>
        </left>
        <right style="thin">
          <color indexed="64"/>
        </right>
        <top style="thin">
          <color indexed="64"/>
        </top>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font>
        <b/>
        <i val="0"/>
        <strike val="0"/>
        <condense val="0"/>
        <extend val="0"/>
        <outline val="0"/>
        <shadow val="0"/>
        <u val="none"/>
        <vertAlign val="baseline"/>
        <sz val="9"/>
        <color theme="0"/>
        <name val="Arial"/>
        <scheme val="none"/>
      </font>
      <numFmt numFmtId="166"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FF9999"/>
        </patternFill>
      </fill>
    </dxf>
    <dxf>
      <fill>
        <patternFill>
          <bgColor rgb="FFFF9999"/>
        </patternFill>
      </fill>
    </dxf>
    <dxf>
      <font>
        <b val="0"/>
        <i val="0"/>
        <strike val="0"/>
        <condense val="0"/>
        <extend val="0"/>
        <outline val="0"/>
        <shadow val="0"/>
        <u val="none"/>
        <vertAlign val="baseline"/>
        <sz val="10"/>
        <color rgb="FF000000"/>
        <name val="Arial Narrow"/>
        <family val="2"/>
        <scheme val="none"/>
      </font>
      <numFmt numFmtId="13" formatCode="0%"/>
      <alignment horizontal="general" vertical="center" textRotation="0" wrapText="0"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Narrow"/>
        <family val="2"/>
        <scheme val="none"/>
      </font>
      <numFmt numFmtId="1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Narrow"/>
        <family val="2"/>
        <scheme val="none"/>
      </font>
      <numFmt numFmtId="1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Narrow"/>
        <family val="2"/>
        <scheme val="none"/>
      </font>
      <numFmt numFmtId="1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Narrow"/>
        <family val="2"/>
        <scheme val="none"/>
      </font>
      <numFmt numFmtId="1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Narrow"/>
        <family val="2"/>
        <scheme val="none"/>
      </font>
      <numFmt numFmtId="13" formatCode="0%"/>
      <alignment horizontal="general" vertical="center" textRotation="0" wrapText="0" indent="0" justifyLastLine="0" shrinkToFit="0" readingOrder="0"/>
      <border diagonalUp="0" diagonalDown="0">
        <left style="thick">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Narrow"/>
        <family val="2"/>
        <scheme val="none"/>
      </font>
      <numFmt numFmtId="167" formatCode="_ * #,##0_ ;_ * \-#,##0_ ;_ * &quot;-&quot;??_ ;_ @_ "/>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0" indent="0" justifyLastLine="0" shrinkToFit="0" readingOrder="0"/>
      <border diagonalUp="0" diagonalDown="0" outline="0">
        <left style="thick">
          <color indexed="64"/>
        </left>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0"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0" indent="0" justifyLastLine="0" shrinkToFit="0" readingOrder="0"/>
      <border diagonalUp="0" diagonalDown="0">
        <left style="thick">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center"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167" formatCode="_ * #,##0_ ;_ * \-#,##0_ ;_ * &quot;-&quot;??_ ;_ @_ "/>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Arial Narrow"/>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Arial Narrow"/>
        <family val="2"/>
        <scheme val="none"/>
      </font>
      <numFmt numFmtId="0" formatCode="General"/>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Arial Narrow"/>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numFmt numFmtId="0" formatCode="General"/>
      <fill>
        <patternFill patternType="solid">
          <fgColor indexed="64"/>
          <bgColor theme="0"/>
        </patternFill>
      </fill>
      <alignment horizontal="left" vertical="center" textRotation="0" wrapText="0"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Narrow"/>
        <family val="2"/>
        <scheme val="none"/>
      </font>
      <numFmt numFmtId="166" formatCode="_-* #,##0_-;\-* #,##0_-;_-* &quot;-&quot;??_-;_-@_-"/>
      <alignment horizontal="general" vertical="center" textRotation="0" wrapText="0" indent="0" justifyLastLine="0" shrinkToFit="0" readingOrder="0"/>
      <border diagonalUp="0" diagonalDown="0" outline="0">
        <left style="medium">
          <color rgb="FF000000"/>
        </left>
        <right style="medium">
          <color rgb="FF000000"/>
        </right>
        <top style="thin">
          <color rgb="FF000000"/>
        </top>
        <bottom style="thin">
          <color rgb="FF000000"/>
        </bottom>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Narrow"/>
        <family val="2"/>
        <scheme val="none"/>
      </font>
      <numFmt numFmtId="166" formatCode="_-* #,##0_-;\-* #,##0_-;_-* &quot;-&quot;??_-;_-@_-"/>
      <alignment vertical="center" textRotation="0" wrapText="0" indent="0" justifyLastLine="0" shrinkToFit="0" readingOrder="0"/>
    </dxf>
    <dxf>
      <font>
        <b/>
        <i val="0"/>
        <strike val="0"/>
        <condense val="0"/>
        <extend val="0"/>
        <outline val="0"/>
        <shadow val="0"/>
        <u val="none"/>
        <vertAlign val="baseline"/>
        <sz val="10"/>
        <color theme="0"/>
        <name val="Arial Narrow"/>
        <family val="2"/>
        <scheme val="none"/>
      </font>
      <numFmt numFmtId="166" formatCode="_-* #,##0_-;\-* #,##0_-;_-* &quot;-&quot;??_-;_-@_-"/>
      <fill>
        <patternFill patternType="solid">
          <fgColor indexed="64"/>
          <bgColor rgb="FF8FB6C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FF0000"/>
      </font>
      <fill>
        <patternFill patternType="none">
          <bgColor auto="1"/>
        </patternFill>
      </fill>
    </dxf>
    <dxf>
      <font>
        <b val="0"/>
        <i val="0"/>
        <strike val="0"/>
        <condense val="0"/>
        <extend val="0"/>
        <outline val="0"/>
        <shadow val="0"/>
        <u val="none"/>
        <vertAlign val="baseline"/>
        <sz val="10"/>
        <color theme="1"/>
        <name val="Arial Narrow"/>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Narrow"/>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Narrow"/>
        <family val="2"/>
        <scheme val="none"/>
      </font>
    </dxf>
    <dxf>
      <font>
        <b val="0"/>
        <i val="0"/>
        <strike val="0"/>
        <condense val="0"/>
        <extend val="0"/>
        <outline val="0"/>
        <shadow val="0"/>
        <u val="none"/>
        <vertAlign val="baseline"/>
        <sz val="10"/>
        <color auto="1"/>
        <name val="Arial Narrow"/>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Narrow"/>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Arial Narrow"/>
        <family val="2"/>
        <scheme val="none"/>
      </font>
      <border diagonalUp="0" diagonalDown="0" outline="0">
        <left style="thin">
          <color indexed="64"/>
        </left>
        <right style="thin">
          <color indexed="64"/>
        </right>
        <top style="thin">
          <color indexed="64"/>
        </top>
        <bottom style="thin">
          <color indexed="64"/>
        </bottom>
      </border>
    </dxf>
    <dxf>
      <border outline="0">
        <bottom style="thin">
          <color indexed="64"/>
        </bottom>
      </border>
    </dxf>
    <dxf>
      <border outline="0">
        <top style="thin">
          <color indexed="64"/>
        </top>
      </border>
    </dxf>
    <dxf>
      <font>
        <strike val="0"/>
        <outline val="0"/>
        <shadow val="0"/>
        <u val="none"/>
        <vertAlign val="baseline"/>
        <sz val="10"/>
        <name val="Arial Narrow"/>
        <family val="2"/>
        <scheme val="none"/>
      </font>
    </dxf>
    <dxf>
      <font>
        <b val="0"/>
        <strike val="0"/>
        <outline val="0"/>
        <shadow val="0"/>
        <u val="none"/>
        <vertAlign val="baseline"/>
        <sz val="10"/>
        <color auto="1"/>
        <name val="Arial Narrow"/>
        <family val="2"/>
        <scheme val="none"/>
      </font>
      <fill>
        <patternFill patternType="solid">
          <fgColor indexed="64"/>
          <bgColor theme="0" tint="-0.14999847407452621"/>
        </patternFill>
      </fill>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3E60D6E0-BBA1-4AFD-96A9-74F77451F917}"/>
  </tableStyles>
  <colors>
    <mruColors>
      <color rgb="FFE69900"/>
      <color rgb="FF284B70"/>
      <color rgb="FFBB5159"/>
      <color rgb="FFFFFF7D"/>
      <color rgb="FFA7D971"/>
      <color rgb="FFFF6161"/>
      <color rgb="FFFF4747"/>
      <color rgb="FFA24047"/>
      <color rgb="FF772F34"/>
      <color rgb="FFA500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VE" b="1"/>
              <a:t>Conteo de Municipios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VE"/>
        </a:p>
      </c:txPr>
    </c:title>
    <c:autoTitleDeleted val="0"/>
    <c:plotArea>
      <c:layout/>
      <c:barChart>
        <c:barDir val="col"/>
        <c:grouping val="clustered"/>
        <c:varyColors val="0"/>
        <c:ser>
          <c:idx val="0"/>
          <c:order val="0"/>
          <c:tx>
            <c:strRef>
              <c:f>Analysis!$K$45</c:f>
              <c:strCache>
                <c:ptCount val="1"/>
                <c:pt idx="0">
                  <c:v>PiN más alto</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Analysis!$L$44:$P$44</c:f>
              <c:strCache>
                <c:ptCount val="5"/>
                <c:pt idx="0">
                  <c:v>SAL</c:v>
                </c:pt>
                <c:pt idx="1">
                  <c:v>SAMV</c:v>
                </c:pt>
                <c:pt idx="2">
                  <c:v>ASH</c:v>
                </c:pt>
                <c:pt idx="3">
                  <c:v>PRO</c:v>
                </c:pt>
                <c:pt idx="4">
                  <c:v>EDU</c:v>
                </c:pt>
              </c:strCache>
            </c:strRef>
          </c:cat>
          <c:val>
            <c:numRef>
              <c:f>Analysis!$L$45:$P$45</c:f>
              <c:numCache>
                <c:formatCode>General</c:formatCode>
                <c:ptCount val="5"/>
                <c:pt idx="0">
                  <c:v>247</c:v>
                </c:pt>
                <c:pt idx="1">
                  <c:v>36</c:v>
                </c:pt>
                <c:pt idx="2">
                  <c:v>52</c:v>
                </c:pt>
              </c:numCache>
            </c:numRef>
          </c:val>
          <c:extLst>
            <c:ext xmlns:c16="http://schemas.microsoft.com/office/drawing/2014/chart" uri="{C3380CC4-5D6E-409C-BE32-E72D297353CC}">
              <c16:uniqueId val="{00000000-0D47-49C7-8BE3-B981F4F48E75}"/>
            </c:ext>
          </c:extLst>
        </c:ser>
        <c:ser>
          <c:idx val="1"/>
          <c:order val="1"/>
          <c:tx>
            <c:strRef>
              <c:f>Analysis!$K$46</c:f>
              <c:strCache>
                <c:ptCount val="1"/>
                <c:pt idx="0">
                  <c:v>2º PiN más alto</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Analysis!$L$44:$P$44</c:f>
              <c:strCache>
                <c:ptCount val="5"/>
                <c:pt idx="0">
                  <c:v>SAL</c:v>
                </c:pt>
                <c:pt idx="1">
                  <c:v>SAMV</c:v>
                </c:pt>
                <c:pt idx="2">
                  <c:v>ASH</c:v>
                </c:pt>
                <c:pt idx="3">
                  <c:v>PRO</c:v>
                </c:pt>
                <c:pt idx="4">
                  <c:v>EDU</c:v>
                </c:pt>
              </c:strCache>
            </c:strRef>
          </c:cat>
          <c:val>
            <c:numRef>
              <c:f>Analysis!$L$46:$P$46</c:f>
              <c:numCache>
                <c:formatCode>General</c:formatCode>
                <c:ptCount val="5"/>
                <c:pt idx="0">
                  <c:v>83</c:v>
                </c:pt>
                <c:pt idx="1">
                  <c:v>153</c:v>
                </c:pt>
                <c:pt idx="2">
                  <c:v>35</c:v>
                </c:pt>
                <c:pt idx="3">
                  <c:v>60</c:v>
                </c:pt>
                <c:pt idx="4">
                  <c:v>4</c:v>
                </c:pt>
              </c:numCache>
            </c:numRef>
          </c:val>
          <c:extLst>
            <c:ext xmlns:c16="http://schemas.microsoft.com/office/drawing/2014/chart" uri="{C3380CC4-5D6E-409C-BE32-E72D297353CC}">
              <c16:uniqueId val="{00000001-0D47-49C7-8BE3-B981F4F48E75}"/>
            </c:ext>
          </c:extLst>
        </c:ser>
        <c:dLbls>
          <c:showLegendKey val="0"/>
          <c:showVal val="0"/>
          <c:showCatName val="0"/>
          <c:showSerName val="0"/>
          <c:showPercent val="0"/>
          <c:showBubbleSize val="0"/>
        </c:dLbls>
        <c:gapWidth val="219"/>
        <c:overlap val="-27"/>
        <c:axId val="432452032"/>
        <c:axId val="432443392"/>
      </c:barChart>
      <c:catAx>
        <c:axId val="43245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432443392"/>
        <c:crosses val="autoZero"/>
        <c:auto val="1"/>
        <c:lblAlgn val="ctr"/>
        <c:lblOffset val="100"/>
        <c:noMultiLvlLbl val="0"/>
      </c:catAx>
      <c:valAx>
        <c:axId val="43244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432452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997444881569019E-2"/>
          <c:y val="0.10468814700723673"/>
          <c:w val="0.92104391513471229"/>
          <c:h val="0.7286936503255651"/>
        </c:manualLayout>
      </c:layout>
      <c:barChart>
        <c:barDir val="col"/>
        <c:grouping val="clustered"/>
        <c:varyColors val="0"/>
        <c:ser>
          <c:idx val="0"/>
          <c:order val="0"/>
          <c:tx>
            <c:v>1</c:v>
          </c:tx>
          <c:spPr>
            <a:solidFill>
              <a:srgbClr val="A7D971"/>
            </a:solidFill>
            <a:ln>
              <a:noFill/>
            </a:ln>
            <a:effectLst/>
          </c:spPr>
          <c:invertIfNegative val="0"/>
          <c:cat>
            <c:strRef>
              <c:extLst>
                <c:ext xmlns:c15="http://schemas.microsoft.com/office/drawing/2012/chart" uri="{02D57815-91ED-43cb-92C2-25804820EDAC}">
                  <c15:fullRef>
                    <c15:sqref>Analysis!$B$2:$J$2</c15:sqref>
                  </c15:fullRef>
                </c:ext>
              </c:extLst>
              <c:f>Analysis!$C$2:$J$2</c:f>
              <c:strCache>
                <c:ptCount val="8"/>
                <c:pt idx="0">
                  <c:v>SAMV</c:v>
                </c:pt>
                <c:pt idx="1">
                  <c:v>NUT</c:v>
                </c:pt>
                <c:pt idx="2">
                  <c:v>SAL</c:v>
                </c:pt>
                <c:pt idx="3">
                  <c:v>EDU</c:v>
                </c:pt>
                <c:pt idx="4">
                  <c:v>PRO</c:v>
                </c:pt>
                <c:pt idx="5">
                  <c:v>ASH</c:v>
                </c:pt>
                <c:pt idx="6">
                  <c:v>NNA</c:v>
                </c:pt>
                <c:pt idx="7">
                  <c:v>VBG</c:v>
                </c:pt>
              </c:strCache>
            </c:strRef>
          </c:cat>
          <c:val>
            <c:numRef>
              <c:extLst>
                <c:ext xmlns:c15="http://schemas.microsoft.com/office/drawing/2012/chart" uri="{02D57815-91ED-43cb-92C2-25804820EDAC}">
                  <c15:fullRef>
                    <c15:sqref>Analysis!$B$3:$J$3</c15:sqref>
                  </c15:fullRef>
                </c:ext>
              </c:extLst>
              <c:f>Analysis!$C$3:$J$3</c:f>
              <c:numCache>
                <c:formatCode>General</c:formatCode>
                <c:ptCount val="8"/>
                <c:pt idx="0">
                  <c:v>8</c:v>
                </c:pt>
                <c:pt idx="1">
                  <c:v>107</c:v>
                </c:pt>
                <c:pt idx="2">
                  <c:v>0</c:v>
                </c:pt>
                <c:pt idx="3">
                  <c:v>0</c:v>
                </c:pt>
                <c:pt idx="4">
                  <c:v>9</c:v>
                </c:pt>
                <c:pt idx="5">
                  <c:v>12</c:v>
                </c:pt>
                <c:pt idx="6">
                  <c:v>9</c:v>
                </c:pt>
                <c:pt idx="7">
                  <c:v>9</c:v>
                </c:pt>
              </c:numCache>
            </c:numRef>
          </c:val>
          <c:extLst>
            <c:ext xmlns:c16="http://schemas.microsoft.com/office/drawing/2014/chart" uri="{C3380CC4-5D6E-409C-BE32-E72D297353CC}">
              <c16:uniqueId val="{00000000-954D-4C6D-B622-F7A6171442AD}"/>
            </c:ext>
          </c:extLst>
        </c:ser>
        <c:ser>
          <c:idx val="1"/>
          <c:order val="1"/>
          <c:tx>
            <c:v>2</c:v>
          </c:tx>
          <c:spPr>
            <a:solidFill>
              <a:srgbClr val="FFFF7D"/>
            </a:solidFill>
            <a:ln>
              <a:noFill/>
            </a:ln>
            <a:effectLst/>
          </c:spPr>
          <c:invertIfNegative val="0"/>
          <c:cat>
            <c:strRef>
              <c:extLst>
                <c:ext xmlns:c15="http://schemas.microsoft.com/office/drawing/2012/chart" uri="{02D57815-91ED-43cb-92C2-25804820EDAC}">
                  <c15:fullRef>
                    <c15:sqref>Analysis!$B$2:$J$2</c15:sqref>
                  </c15:fullRef>
                </c:ext>
              </c:extLst>
              <c:f>Analysis!$C$2:$J$2</c:f>
              <c:strCache>
                <c:ptCount val="8"/>
                <c:pt idx="0">
                  <c:v>SAMV</c:v>
                </c:pt>
                <c:pt idx="1">
                  <c:v>NUT</c:v>
                </c:pt>
                <c:pt idx="2">
                  <c:v>SAL</c:v>
                </c:pt>
                <c:pt idx="3">
                  <c:v>EDU</c:v>
                </c:pt>
                <c:pt idx="4">
                  <c:v>PRO</c:v>
                </c:pt>
                <c:pt idx="5">
                  <c:v>ASH</c:v>
                </c:pt>
                <c:pt idx="6">
                  <c:v>NNA</c:v>
                </c:pt>
                <c:pt idx="7">
                  <c:v>VBG</c:v>
                </c:pt>
              </c:strCache>
            </c:strRef>
          </c:cat>
          <c:val>
            <c:numRef>
              <c:extLst>
                <c:ext xmlns:c15="http://schemas.microsoft.com/office/drawing/2012/chart" uri="{02D57815-91ED-43cb-92C2-25804820EDAC}">
                  <c15:fullRef>
                    <c15:sqref>Analysis!$B$4:$J$4</c15:sqref>
                  </c15:fullRef>
                </c:ext>
              </c:extLst>
              <c:f>Analysis!$C$4:$J$4</c:f>
              <c:numCache>
                <c:formatCode>General</c:formatCode>
                <c:ptCount val="8"/>
                <c:pt idx="0">
                  <c:v>88</c:v>
                </c:pt>
                <c:pt idx="1">
                  <c:v>173</c:v>
                </c:pt>
                <c:pt idx="2">
                  <c:v>0</c:v>
                </c:pt>
                <c:pt idx="3">
                  <c:v>6</c:v>
                </c:pt>
                <c:pt idx="4">
                  <c:v>77</c:v>
                </c:pt>
                <c:pt idx="5">
                  <c:v>166</c:v>
                </c:pt>
                <c:pt idx="6">
                  <c:v>77</c:v>
                </c:pt>
                <c:pt idx="7">
                  <c:v>77</c:v>
                </c:pt>
              </c:numCache>
            </c:numRef>
          </c:val>
          <c:extLst>
            <c:ext xmlns:c16="http://schemas.microsoft.com/office/drawing/2014/chart" uri="{C3380CC4-5D6E-409C-BE32-E72D297353CC}">
              <c16:uniqueId val="{00000001-954D-4C6D-B622-F7A6171442AD}"/>
            </c:ext>
          </c:extLst>
        </c:ser>
        <c:ser>
          <c:idx val="2"/>
          <c:order val="2"/>
          <c:tx>
            <c:v>3</c:v>
          </c:tx>
          <c:spPr>
            <a:solidFill>
              <a:srgbClr val="E69900"/>
            </a:solidFill>
            <a:ln>
              <a:noFill/>
            </a:ln>
            <a:effectLst/>
          </c:spPr>
          <c:invertIfNegative val="0"/>
          <c:cat>
            <c:strRef>
              <c:extLst>
                <c:ext xmlns:c15="http://schemas.microsoft.com/office/drawing/2012/chart" uri="{02D57815-91ED-43cb-92C2-25804820EDAC}">
                  <c15:fullRef>
                    <c15:sqref>Analysis!$B$2:$J$2</c15:sqref>
                  </c15:fullRef>
                </c:ext>
              </c:extLst>
              <c:f>Analysis!$C$2:$J$2</c:f>
              <c:strCache>
                <c:ptCount val="8"/>
                <c:pt idx="0">
                  <c:v>SAMV</c:v>
                </c:pt>
                <c:pt idx="1">
                  <c:v>NUT</c:v>
                </c:pt>
                <c:pt idx="2">
                  <c:v>SAL</c:v>
                </c:pt>
                <c:pt idx="3">
                  <c:v>EDU</c:v>
                </c:pt>
                <c:pt idx="4">
                  <c:v>PRO</c:v>
                </c:pt>
                <c:pt idx="5">
                  <c:v>ASH</c:v>
                </c:pt>
                <c:pt idx="6">
                  <c:v>NNA</c:v>
                </c:pt>
                <c:pt idx="7">
                  <c:v>VBG</c:v>
                </c:pt>
              </c:strCache>
            </c:strRef>
          </c:cat>
          <c:val>
            <c:numRef>
              <c:extLst>
                <c:ext xmlns:c15="http://schemas.microsoft.com/office/drawing/2012/chart" uri="{02D57815-91ED-43cb-92C2-25804820EDAC}">
                  <c15:fullRef>
                    <c15:sqref>Analysis!$B$5:$J$5</c15:sqref>
                  </c15:fullRef>
                </c:ext>
              </c:extLst>
              <c:f>Analysis!$C$5:$J$5</c:f>
              <c:numCache>
                <c:formatCode>General</c:formatCode>
                <c:ptCount val="8"/>
                <c:pt idx="0">
                  <c:v>184</c:v>
                </c:pt>
                <c:pt idx="1">
                  <c:v>45</c:v>
                </c:pt>
                <c:pt idx="2">
                  <c:v>256</c:v>
                </c:pt>
                <c:pt idx="3">
                  <c:v>232</c:v>
                </c:pt>
                <c:pt idx="4">
                  <c:v>121</c:v>
                </c:pt>
                <c:pt idx="5">
                  <c:v>91</c:v>
                </c:pt>
                <c:pt idx="6">
                  <c:v>121</c:v>
                </c:pt>
                <c:pt idx="7">
                  <c:v>121</c:v>
                </c:pt>
              </c:numCache>
            </c:numRef>
          </c:val>
          <c:extLst>
            <c:ext xmlns:c16="http://schemas.microsoft.com/office/drawing/2014/chart" uri="{C3380CC4-5D6E-409C-BE32-E72D297353CC}">
              <c16:uniqueId val="{00000002-954D-4C6D-B622-F7A6171442AD}"/>
            </c:ext>
          </c:extLst>
        </c:ser>
        <c:ser>
          <c:idx val="3"/>
          <c:order val="3"/>
          <c:tx>
            <c:v>4</c:v>
          </c:tx>
          <c:spPr>
            <a:solidFill>
              <a:srgbClr val="FF6161"/>
            </a:solidFill>
            <a:ln>
              <a:noFill/>
            </a:ln>
            <a:effectLst/>
          </c:spPr>
          <c:invertIfNegative val="0"/>
          <c:cat>
            <c:strRef>
              <c:extLst>
                <c:ext xmlns:c15="http://schemas.microsoft.com/office/drawing/2012/chart" uri="{02D57815-91ED-43cb-92C2-25804820EDAC}">
                  <c15:fullRef>
                    <c15:sqref>Analysis!$B$2:$J$2</c15:sqref>
                  </c15:fullRef>
                </c:ext>
              </c:extLst>
              <c:f>Analysis!$C$2:$J$2</c:f>
              <c:strCache>
                <c:ptCount val="8"/>
                <c:pt idx="0">
                  <c:v>SAMV</c:v>
                </c:pt>
                <c:pt idx="1">
                  <c:v>NUT</c:v>
                </c:pt>
                <c:pt idx="2">
                  <c:v>SAL</c:v>
                </c:pt>
                <c:pt idx="3">
                  <c:v>EDU</c:v>
                </c:pt>
                <c:pt idx="4">
                  <c:v>PRO</c:v>
                </c:pt>
                <c:pt idx="5">
                  <c:v>ASH</c:v>
                </c:pt>
                <c:pt idx="6">
                  <c:v>NNA</c:v>
                </c:pt>
                <c:pt idx="7">
                  <c:v>VBG</c:v>
                </c:pt>
              </c:strCache>
            </c:strRef>
          </c:cat>
          <c:val>
            <c:numRef>
              <c:extLst>
                <c:ext xmlns:c15="http://schemas.microsoft.com/office/drawing/2012/chart" uri="{02D57815-91ED-43cb-92C2-25804820EDAC}">
                  <c15:fullRef>
                    <c15:sqref>Analysis!$B$6:$J$6</c15:sqref>
                  </c15:fullRef>
                </c:ext>
              </c:extLst>
              <c:f>Analysis!$C$6:$J$6</c:f>
              <c:numCache>
                <c:formatCode>General</c:formatCode>
                <c:ptCount val="8"/>
                <c:pt idx="0">
                  <c:v>53</c:v>
                </c:pt>
                <c:pt idx="1">
                  <c:v>9</c:v>
                </c:pt>
                <c:pt idx="2">
                  <c:v>76</c:v>
                </c:pt>
                <c:pt idx="3">
                  <c:v>86</c:v>
                </c:pt>
                <c:pt idx="4">
                  <c:v>118</c:v>
                </c:pt>
                <c:pt idx="5">
                  <c:v>58</c:v>
                </c:pt>
                <c:pt idx="6">
                  <c:v>118</c:v>
                </c:pt>
                <c:pt idx="7">
                  <c:v>118</c:v>
                </c:pt>
              </c:numCache>
            </c:numRef>
          </c:val>
          <c:extLst>
            <c:ext xmlns:c16="http://schemas.microsoft.com/office/drawing/2014/chart" uri="{C3380CC4-5D6E-409C-BE32-E72D297353CC}">
              <c16:uniqueId val="{00000003-954D-4C6D-B622-F7A6171442AD}"/>
            </c:ext>
          </c:extLst>
        </c:ser>
        <c:ser>
          <c:idx val="4"/>
          <c:order val="4"/>
          <c:tx>
            <c:v>5</c:v>
          </c:tx>
          <c:spPr>
            <a:solidFill>
              <a:srgbClr val="BB5159"/>
            </a:solidFill>
            <a:ln>
              <a:noFill/>
            </a:ln>
            <a:effectLst/>
          </c:spPr>
          <c:invertIfNegative val="0"/>
          <c:cat>
            <c:strRef>
              <c:extLst>
                <c:ext xmlns:c15="http://schemas.microsoft.com/office/drawing/2012/chart" uri="{02D57815-91ED-43cb-92C2-25804820EDAC}">
                  <c15:fullRef>
                    <c15:sqref>Analysis!$B$2:$J$2</c15:sqref>
                  </c15:fullRef>
                </c:ext>
              </c:extLst>
              <c:f>Analysis!$C$2:$J$2</c:f>
              <c:strCache>
                <c:ptCount val="8"/>
                <c:pt idx="0">
                  <c:v>SAMV</c:v>
                </c:pt>
                <c:pt idx="1">
                  <c:v>NUT</c:v>
                </c:pt>
                <c:pt idx="2">
                  <c:v>SAL</c:v>
                </c:pt>
                <c:pt idx="3">
                  <c:v>EDU</c:v>
                </c:pt>
                <c:pt idx="4">
                  <c:v>PRO</c:v>
                </c:pt>
                <c:pt idx="5">
                  <c:v>ASH</c:v>
                </c:pt>
                <c:pt idx="6">
                  <c:v>NNA</c:v>
                </c:pt>
                <c:pt idx="7">
                  <c:v>VBG</c:v>
                </c:pt>
              </c:strCache>
            </c:strRef>
          </c:cat>
          <c:val>
            <c:numRef>
              <c:extLst>
                <c:ext xmlns:c15="http://schemas.microsoft.com/office/drawing/2012/chart" uri="{02D57815-91ED-43cb-92C2-25804820EDAC}">
                  <c15:fullRef>
                    <c15:sqref>Analysis!$B$7:$J$7</c15:sqref>
                  </c15:fullRef>
                </c:ext>
              </c:extLst>
              <c:f>Analysis!$C$7:$J$7</c:f>
              <c:numCache>
                <c:formatCode>General</c:formatCode>
                <c:ptCount val="8"/>
                <c:pt idx="0">
                  <c:v>0</c:v>
                </c:pt>
                <c:pt idx="1">
                  <c:v>0</c:v>
                </c:pt>
                <c:pt idx="2">
                  <c:v>0</c:v>
                </c:pt>
                <c:pt idx="3">
                  <c:v>9</c:v>
                </c:pt>
                <c:pt idx="4">
                  <c:v>7</c:v>
                </c:pt>
                <c:pt idx="5">
                  <c:v>5</c:v>
                </c:pt>
                <c:pt idx="6">
                  <c:v>7</c:v>
                </c:pt>
                <c:pt idx="7">
                  <c:v>7</c:v>
                </c:pt>
              </c:numCache>
            </c:numRef>
          </c:val>
          <c:extLst>
            <c:ext xmlns:c16="http://schemas.microsoft.com/office/drawing/2014/chart" uri="{C3380CC4-5D6E-409C-BE32-E72D297353CC}">
              <c16:uniqueId val="{00000004-954D-4C6D-B622-F7A6171442AD}"/>
            </c:ext>
          </c:extLst>
        </c:ser>
        <c:dLbls>
          <c:showLegendKey val="0"/>
          <c:showVal val="0"/>
          <c:showCatName val="0"/>
          <c:showSerName val="0"/>
          <c:showPercent val="0"/>
          <c:showBubbleSize val="0"/>
        </c:dLbls>
        <c:gapWidth val="200"/>
        <c:overlap val="-18"/>
        <c:axId val="931954495"/>
        <c:axId val="931954975"/>
      </c:barChart>
      <c:catAx>
        <c:axId val="93195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931954975"/>
        <c:crosses val="autoZero"/>
        <c:auto val="1"/>
        <c:lblAlgn val="ctr"/>
        <c:lblOffset val="100"/>
        <c:noMultiLvlLbl val="0"/>
      </c:catAx>
      <c:valAx>
        <c:axId val="93195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9319544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Analysis!$L$11</c:f>
              <c:strCache>
                <c:ptCount val="1"/>
                <c:pt idx="0">
                  <c:v>5</c:v>
                </c:pt>
              </c:strCache>
            </c:strRef>
          </c:tx>
          <c:spPr>
            <a:solidFill>
              <a:srgbClr val="BB51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Analysis!$M$11</c:f>
              <c:numCache>
                <c:formatCode>General</c:formatCode>
                <c:ptCount val="1"/>
                <c:pt idx="0">
                  <c:v>2</c:v>
                </c:pt>
              </c:numCache>
            </c:numRef>
          </c:val>
          <c:extLst>
            <c:ext xmlns:c16="http://schemas.microsoft.com/office/drawing/2014/chart" uri="{C3380CC4-5D6E-409C-BE32-E72D297353CC}">
              <c16:uniqueId val="{0000000E-45AC-4509-BB33-FBED02CDE224}"/>
            </c:ext>
          </c:extLst>
        </c:ser>
        <c:ser>
          <c:idx val="1"/>
          <c:order val="1"/>
          <c:tx>
            <c:strRef>
              <c:f>Analysis!$L$12</c:f>
              <c:strCache>
                <c:ptCount val="1"/>
                <c:pt idx="0">
                  <c:v>4</c:v>
                </c:pt>
              </c:strCache>
            </c:strRef>
          </c:tx>
          <c:spPr>
            <a:solidFill>
              <a:srgbClr val="FF61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Analysis!$M$12</c:f>
              <c:numCache>
                <c:formatCode>0</c:formatCode>
                <c:ptCount val="1"/>
                <c:pt idx="0">
                  <c:v>31</c:v>
                </c:pt>
              </c:numCache>
            </c:numRef>
          </c:val>
          <c:extLst>
            <c:ext xmlns:c16="http://schemas.microsoft.com/office/drawing/2014/chart" uri="{C3380CC4-5D6E-409C-BE32-E72D297353CC}">
              <c16:uniqueId val="{0000000F-45AC-4509-BB33-FBED02CDE224}"/>
            </c:ext>
          </c:extLst>
        </c:ser>
        <c:ser>
          <c:idx val="2"/>
          <c:order val="2"/>
          <c:tx>
            <c:strRef>
              <c:f>Analysis!$L$13</c:f>
              <c:strCache>
                <c:ptCount val="1"/>
                <c:pt idx="0">
                  <c:v>3</c:v>
                </c:pt>
              </c:strCache>
            </c:strRef>
          </c:tx>
          <c:spPr>
            <a:solidFill>
              <a:srgbClr val="E6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Analysis!$M$13</c:f>
              <c:numCache>
                <c:formatCode>0</c:formatCode>
                <c:ptCount val="1"/>
                <c:pt idx="0">
                  <c:v>199</c:v>
                </c:pt>
              </c:numCache>
            </c:numRef>
          </c:val>
          <c:extLst>
            <c:ext xmlns:c16="http://schemas.microsoft.com/office/drawing/2014/chart" uri="{C3380CC4-5D6E-409C-BE32-E72D297353CC}">
              <c16:uniqueId val="{00000010-45AC-4509-BB33-FBED02CDE224}"/>
            </c:ext>
          </c:extLst>
        </c:ser>
        <c:ser>
          <c:idx val="3"/>
          <c:order val="3"/>
          <c:tx>
            <c:strRef>
              <c:f>Analysis!$L$14</c:f>
              <c:strCache>
                <c:ptCount val="1"/>
                <c:pt idx="0">
                  <c:v>2</c:v>
                </c:pt>
              </c:strCache>
            </c:strRef>
          </c:tx>
          <c:spPr>
            <a:solidFill>
              <a:srgbClr val="FFFF7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Analysis!$M$14</c:f>
              <c:numCache>
                <c:formatCode>0</c:formatCode>
                <c:ptCount val="1"/>
                <c:pt idx="0">
                  <c:v>101</c:v>
                </c:pt>
              </c:numCache>
            </c:numRef>
          </c:val>
          <c:extLst>
            <c:ext xmlns:c16="http://schemas.microsoft.com/office/drawing/2014/chart" uri="{C3380CC4-5D6E-409C-BE32-E72D297353CC}">
              <c16:uniqueId val="{00000011-45AC-4509-BB33-FBED02CDE224}"/>
            </c:ext>
          </c:extLst>
        </c:ser>
        <c:ser>
          <c:idx val="4"/>
          <c:order val="4"/>
          <c:tx>
            <c:strRef>
              <c:f>Analysis!$L$15</c:f>
              <c:strCache>
                <c:ptCount val="1"/>
                <c:pt idx="0">
                  <c:v>1</c:v>
                </c:pt>
              </c:strCache>
            </c:strRef>
          </c:tx>
          <c:spPr>
            <a:solidFill>
              <a:srgbClr val="A7D9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Analysis!$M$15</c:f>
              <c:numCache>
                <c:formatCode>0</c:formatCode>
                <c:ptCount val="1"/>
                <c:pt idx="0">
                  <c:v>2</c:v>
                </c:pt>
              </c:numCache>
            </c:numRef>
          </c:val>
          <c:extLst>
            <c:ext xmlns:c16="http://schemas.microsoft.com/office/drawing/2014/chart" uri="{C3380CC4-5D6E-409C-BE32-E72D297353CC}">
              <c16:uniqueId val="{00000012-45AC-4509-BB33-FBED02CDE224}"/>
            </c:ext>
          </c:extLst>
        </c:ser>
        <c:dLbls>
          <c:dLblPos val="outEnd"/>
          <c:showLegendKey val="0"/>
          <c:showVal val="1"/>
          <c:showCatName val="0"/>
          <c:showSerName val="0"/>
          <c:showPercent val="0"/>
          <c:showBubbleSize val="0"/>
        </c:dLbls>
        <c:gapWidth val="219"/>
        <c:overlap val="-27"/>
        <c:axId val="1313955903"/>
        <c:axId val="1313944383"/>
      </c:barChart>
      <c:catAx>
        <c:axId val="1313955903"/>
        <c:scaling>
          <c:orientation val="minMax"/>
        </c:scaling>
        <c:delete val="1"/>
        <c:axPos val="b"/>
        <c:majorTickMark val="none"/>
        <c:minorTickMark val="none"/>
        <c:tickLblPos val="nextTo"/>
        <c:crossAx val="1313944383"/>
        <c:crosses val="autoZero"/>
        <c:auto val="1"/>
        <c:lblAlgn val="ctr"/>
        <c:lblOffset val="100"/>
        <c:noMultiLvlLbl val="0"/>
      </c:catAx>
      <c:valAx>
        <c:axId val="131394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13139559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Analysis!$U$7</c:f>
              <c:strCache>
                <c:ptCount val="1"/>
                <c:pt idx="0">
                  <c:v>2025</c:v>
                </c:pt>
              </c:strCache>
            </c:strRef>
          </c:tx>
          <c:spPr>
            <a:solidFill>
              <a:schemeClr val="accent1"/>
            </a:solidFill>
            <a:ln>
              <a:noFill/>
            </a:ln>
            <a:effectLst/>
          </c:spPr>
          <c:invertIfNegative val="0"/>
          <c:cat>
            <c:strRef>
              <c:f>Analysis!$T$8:$T$15</c:f>
              <c:strCache>
                <c:ptCount val="8"/>
                <c:pt idx="0">
                  <c:v>SAMV</c:v>
                </c:pt>
                <c:pt idx="1">
                  <c:v>NUT</c:v>
                </c:pt>
                <c:pt idx="2">
                  <c:v>SAL</c:v>
                </c:pt>
                <c:pt idx="3">
                  <c:v>EDU</c:v>
                </c:pt>
                <c:pt idx="4">
                  <c:v>PRO</c:v>
                </c:pt>
                <c:pt idx="5">
                  <c:v>ASH</c:v>
                </c:pt>
                <c:pt idx="6">
                  <c:v>VBG</c:v>
                </c:pt>
                <c:pt idx="7">
                  <c:v>NNA</c:v>
                </c:pt>
              </c:strCache>
            </c:strRef>
          </c:cat>
          <c:val>
            <c:numRef>
              <c:f>Analysis!$U$8:$U$15</c:f>
              <c:numCache>
                <c:formatCode>_ * #,##0_ ;_ * \-#,##0_ ;_ * "-"??_ ;_ @_ </c:formatCode>
                <c:ptCount val="8"/>
                <c:pt idx="0">
                  <c:v>4384836</c:v>
                </c:pt>
                <c:pt idx="1">
                  <c:v>1172289</c:v>
                </c:pt>
                <c:pt idx="2">
                  <c:v>7088468.9999999925</c:v>
                </c:pt>
                <c:pt idx="3">
                  <c:v>2757468.0836028205</c:v>
                </c:pt>
                <c:pt idx="4">
                  <c:v>5499999.9999999963</c:v>
                </c:pt>
                <c:pt idx="5">
                  <c:v>3616104</c:v>
                </c:pt>
                <c:pt idx="6">
                  <c:v>1633216.5230384283</c:v>
                </c:pt>
                <c:pt idx="7">
                  <c:v>1950657</c:v>
                </c:pt>
              </c:numCache>
            </c:numRef>
          </c:val>
          <c:extLst>
            <c:ext xmlns:c16="http://schemas.microsoft.com/office/drawing/2014/chart" uri="{C3380CC4-5D6E-409C-BE32-E72D297353CC}">
              <c16:uniqueId val="{00000000-14DD-443C-9B92-AFB92D5CB8D4}"/>
            </c:ext>
          </c:extLst>
        </c:ser>
        <c:ser>
          <c:idx val="1"/>
          <c:order val="1"/>
          <c:tx>
            <c:strRef>
              <c:f>Analysis!$V$7</c:f>
              <c:strCache>
                <c:ptCount val="1"/>
                <c:pt idx="0">
                  <c:v>2026</c:v>
                </c:pt>
              </c:strCache>
            </c:strRef>
          </c:tx>
          <c:spPr>
            <a:solidFill>
              <a:schemeClr val="accent1">
                <a:lumMod val="50000"/>
              </a:schemeClr>
            </a:solidFill>
            <a:ln>
              <a:noFill/>
            </a:ln>
            <a:effectLst/>
          </c:spPr>
          <c:invertIfNegative val="0"/>
          <c:cat>
            <c:strRef>
              <c:f>Analysis!$T$8:$T$15</c:f>
              <c:strCache>
                <c:ptCount val="8"/>
                <c:pt idx="0">
                  <c:v>SAMV</c:v>
                </c:pt>
                <c:pt idx="1">
                  <c:v>NUT</c:v>
                </c:pt>
                <c:pt idx="2">
                  <c:v>SAL</c:v>
                </c:pt>
                <c:pt idx="3">
                  <c:v>EDU</c:v>
                </c:pt>
                <c:pt idx="4">
                  <c:v>PRO</c:v>
                </c:pt>
                <c:pt idx="5">
                  <c:v>ASH</c:v>
                </c:pt>
                <c:pt idx="6">
                  <c:v>VBG</c:v>
                </c:pt>
                <c:pt idx="7">
                  <c:v>NNA</c:v>
                </c:pt>
              </c:strCache>
            </c:strRef>
          </c:cat>
          <c:val>
            <c:numRef>
              <c:f>Analysis!$V$8:$V$15</c:f>
              <c:numCache>
                <c:formatCode>_ * #,##0_ ;_ * \-#,##0_ ;_ * "-"??_ ;_ @_ </c:formatCode>
                <c:ptCount val="8"/>
                <c:pt idx="0">
                  <c:v>5099878.6878000004</c:v>
                </c:pt>
                <c:pt idx="1">
                  <c:v>1282418.3584067647</c:v>
                </c:pt>
                <c:pt idx="2">
                  <c:v>10537415.136965141</c:v>
                </c:pt>
                <c:pt idx="3">
                  <c:v>3254789.6794520281</c:v>
                </c:pt>
                <c:pt idx="4">
                  <c:v>5969598.3836873844</c:v>
                </c:pt>
                <c:pt idx="5">
                  <c:v>5179743.3924999991</c:v>
                </c:pt>
                <c:pt idx="6">
                  <c:v>2089359.4342905867</c:v>
                </c:pt>
                <c:pt idx="7">
                  <c:v>1912472.5245164516</c:v>
                </c:pt>
              </c:numCache>
            </c:numRef>
          </c:val>
          <c:extLst>
            <c:ext xmlns:c16="http://schemas.microsoft.com/office/drawing/2014/chart" uri="{C3380CC4-5D6E-409C-BE32-E72D297353CC}">
              <c16:uniqueId val="{00000001-14DD-443C-9B92-AFB92D5CB8D4}"/>
            </c:ext>
          </c:extLst>
        </c:ser>
        <c:ser>
          <c:idx val="2"/>
          <c:order val="2"/>
          <c:tx>
            <c:strRef>
              <c:f>Analysis!$W$7</c:f>
              <c:strCache>
                <c:ptCount val="1"/>
                <c:pt idx="0">
                  <c:v>Change</c:v>
                </c:pt>
              </c:strCache>
            </c:strRef>
          </c:tx>
          <c:spPr>
            <a:solidFill>
              <a:schemeClr val="accent3"/>
            </a:solidFill>
            <a:ln>
              <a:noFill/>
            </a:ln>
            <a:effectLst/>
          </c:spPr>
          <c:invertIfNegative val="0"/>
          <c:cat>
            <c:strRef>
              <c:f>Analysis!$T$8:$T$15</c:f>
              <c:strCache>
                <c:ptCount val="8"/>
                <c:pt idx="0">
                  <c:v>SAMV</c:v>
                </c:pt>
                <c:pt idx="1">
                  <c:v>NUT</c:v>
                </c:pt>
                <c:pt idx="2">
                  <c:v>SAL</c:v>
                </c:pt>
                <c:pt idx="3">
                  <c:v>EDU</c:v>
                </c:pt>
                <c:pt idx="4">
                  <c:v>PRO</c:v>
                </c:pt>
                <c:pt idx="5">
                  <c:v>ASH</c:v>
                </c:pt>
                <c:pt idx="6">
                  <c:v>VBG</c:v>
                </c:pt>
                <c:pt idx="7">
                  <c:v>NNA</c:v>
                </c:pt>
              </c:strCache>
            </c:strRef>
          </c:cat>
          <c:val>
            <c:numRef>
              <c:f>Analysis!$W$8:$W$15</c:f>
              <c:numCache>
                <c:formatCode>0%</c:formatCode>
                <c:ptCount val="8"/>
                <c:pt idx="0">
                  <c:v>0.16307170617099487</c:v>
                </c:pt>
                <c:pt idx="1">
                  <c:v>9.394386401882529E-2</c:v>
                </c:pt>
                <c:pt idx="2">
                  <c:v>0.48655727167109736</c:v>
                </c:pt>
                <c:pt idx="3">
                  <c:v>0.18035443412981336</c:v>
                </c:pt>
                <c:pt idx="4">
                  <c:v>8.5381524306797907E-2</c:v>
                </c:pt>
                <c:pt idx="5">
                  <c:v>0.43240996179866487</c:v>
                </c:pt>
                <c:pt idx="6">
                  <c:v>0.27929114408146716</c:v>
                </c:pt>
                <c:pt idx="7">
                  <c:v>-1.9575186967031293E-2</c:v>
                </c:pt>
              </c:numCache>
            </c:numRef>
          </c:val>
          <c:extLst>
            <c:ext xmlns:c16="http://schemas.microsoft.com/office/drawing/2014/chart" uri="{C3380CC4-5D6E-409C-BE32-E72D297353CC}">
              <c16:uniqueId val="{00000000-E517-4C8C-92F2-D8771C1FA25F}"/>
            </c:ext>
          </c:extLst>
        </c:ser>
        <c:dLbls>
          <c:showLegendKey val="0"/>
          <c:showVal val="0"/>
          <c:showCatName val="0"/>
          <c:showSerName val="0"/>
          <c:showPercent val="0"/>
          <c:showBubbleSize val="0"/>
        </c:dLbls>
        <c:gapWidth val="219"/>
        <c:overlap val="-27"/>
        <c:axId val="473849839"/>
        <c:axId val="473850319"/>
      </c:barChart>
      <c:catAx>
        <c:axId val="47384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850319"/>
        <c:crosses val="autoZero"/>
        <c:auto val="1"/>
        <c:lblAlgn val="ctr"/>
        <c:lblOffset val="100"/>
        <c:noMultiLvlLbl val="0"/>
      </c:catAx>
      <c:valAx>
        <c:axId val="47385031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849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size">
        <cx:f dir="row">_xlchart.v1.1</cx:f>
      </cx:numDim>
    </cx:data>
  </cx:chartData>
  <cx:chart>
    <cx:plotArea>
      <cx:plotAreaRegion>
        <cx:series layoutId="treemap" uniqueId="{E6A37D95-C3C1-458A-9BCD-12F87C7A0906}">
          <cx:dataLabels>
            <cx:txPr>
              <a:bodyPr spcFirstLastPara="1" vertOverflow="ellipsis" horzOverflow="overflow" wrap="square" lIns="0" tIns="0" rIns="0" bIns="0" anchor="ctr" anchorCtr="1"/>
              <a:lstStyle/>
              <a:p>
                <a:pPr algn="ctr" rtl="0">
                  <a:defRPr>
                    <a:solidFill>
                      <a:schemeClr val="tx1">
                        <a:lumMod val="85000"/>
                        <a:lumOff val="15000"/>
                      </a:schemeClr>
                    </a:solidFill>
                  </a:defRPr>
                </a:pPr>
                <a:endParaRPr lang="en-US" sz="900" b="0" i="0" u="none" strike="noStrike" baseline="0">
                  <a:solidFill>
                    <a:schemeClr val="tx1">
                      <a:lumMod val="85000"/>
                      <a:lumOff val="15000"/>
                    </a:schemeClr>
                  </a:solidFill>
                  <a:latin typeface="Calibri" panose="020F0502020204030204"/>
                </a:endParaRPr>
              </a:p>
            </cx:txPr>
            <cx:visibility seriesName="0" categoryName="1" value="1"/>
            <cx:separator>, </cx:separator>
          </cx:dataLabels>
          <cx:dataId val="0"/>
          <cx:layoutPr>
            <cx:parentLabelLayout val="banner"/>
          </cx:layoutPr>
        </cx:series>
      </cx:plotAreaRegion>
    </cx:plotArea>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487018</xdr:colOff>
      <xdr:row>16</xdr:row>
      <xdr:rowOff>6627</xdr:rowOff>
    </xdr:from>
    <xdr:to>
      <xdr:col>12</xdr:col>
      <xdr:colOff>325107</xdr:colOff>
      <xdr:row>17</xdr:row>
      <xdr:rowOff>249879</xdr:rowOff>
    </xdr:to>
    <xdr:pic>
      <xdr:nvPicPr>
        <xdr:cNvPr id="2" name="Picture 1">
          <a:extLst>
            <a:ext uri="{FF2B5EF4-FFF2-40B4-BE49-F238E27FC236}">
              <a16:creationId xmlns:a16="http://schemas.microsoft.com/office/drawing/2014/main" id="{A197C327-93F3-ABB6-4E90-6B63E2F97B2A}"/>
            </a:ext>
          </a:extLst>
        </xdr:cNvPr>
        <xdr:cNvPicPr>
          <a:picLocks noChangeAspect="1"/>
        </xdr:cNvPicPr>
      </xdr:nvPicPr>
      <xdr:blipFill>
        <a:blip xmlns:r="http://schemas.openxmlformats.org/officeDocument/2006/relationships" r:embed="rId1"/>
        <a:stretch>
          <a:fillRect/>
        </a:stretch>
      </xdr:blipFill>
      <xdr:spPr>
        <a:xfrm>
          <a:off x="9949070" y="7752523"/>
          <a:ext cx="6132872" cy="1561015"/>
        </a:xfrm>
        <a:prstGeom prst="rect">
          <a:avLst/>
        </a:prstGeom>
      </xdr:spPr>
    </xdr:pic>
    <xdr:clientData/>
  </xdr:twoCellAnchor>
  <xdr:twoCellAnchor>
    <xdr:from>
      <xdr:col>1</xdr:col>
      <xdr:colOff>7431158</xdr:colOff>
      <xdr:row>16</xdr:row>
      <xdr:rowOff>271668</xdr:rowOff>
    </xdr:from>
    <xdr:to>
      <xdr:col>2</xdr:col>
      <xdr:colOff>311427</xdr:colOff>
      <xdr:row>16</xdr:row>
      <xdr:rowOff>543338</xdr:rowOff>
    </xdr:to>
    <xdr:sp macro="" textlink="">
      <xdr:nvSpPr>
        <xdr:cNvPr id="3" name="Arrow: Right 2">
          <a:extLst>
            <a:ext uri="{FF2B5EF4-FFF2-40B4-BE49-F238E27FC236}">
              <a16:creationId xmlns:a16="http://schemas.microsoft.com/office/drawing/2014/main" id="{4DC80B5F-D4E2-2325-9431-2D914024FC63}"/>
            </a:ext>
          </a:extLst>
        </xdr:cNvPr>
        <xdr:cNvSpPr/>
      </xdr:nvSpPr>
      <xdr:spPr>
        <a:xfrm>
          <a:off x="9064488" y="8017564"/>
          <a:ext cx="708991" cy="27167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24989</xdr:colOff>
      <xdr:row>38</xdr:row>
      <xdr:rowOff>9357</xdr:rowOff>
    </xdr:from>
    <xdr:to>
      <xdr:col>6</xdr:col>
      <xdr:colOff>99508</xdr:colOff>
      <xdr:row>53</xdr:row>
      <xdr:rowOff>47457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9D17E9E-11C5-FDDD-09B2-042C25CC5D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30389</xdr:colOff>
      <xdr:row>50</xdr:row>
      <xdr:rowOff>138706</xdr:rowOff>
    </xdr:from>
    <xdr:to>
      <xdr:col>17</xdr:col>
      <xdr:colOff>360075</xdr:colOff>
      <xdr:row>66</xdr:row>
      <xdr:rowOff>9614</xdr:rowOff>
    </xdr:to>
    <xdr:graphicFrame macro="">
      <xdr:nvGraphicFramePr>
        <xdr:cNvPr id="10" name="Chart 9">
          <a:extLst>
            <a:ext uri="{FF2B5EF4-FFF2-40B4-BE49-F238E27FC236}">
              <a16:creationId xmlns:a16="http://schemas.microsoft.com/office/drawing/2014/main" id="{840B8F23-4B6F-4664-407D-45DE8062E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580896</xdr:colOff>
      <xdr:row>17</xdr:row>
      <xdr:rowOff>38548</xdr:rowOff>
    </xdr:from>
    <xdr:to>
      <xdr:col>22</xdr:col>
      <xdr:colOff>885024</xdr:colOff>
      <xdr:row>42</xdr:row>
      <xdr:rowOff>151056</xdr:rowOff>
    </xdr:to>
    <xdr:graphicFrame macro="">
      <xdr:nvGraphicFramePr>
        <xdr:cNvPr id="4" name="Chart 2">
          <a:extLst>
            <a:ext uri="{FF2B5EF4-FFF2-40B4-BE49-F238E27FC236}">
              <a16:creationId xmlns:a16="http://schemas.microsoft.com/office/drawing/2014/main" id="{A583DF23-8CC6-DDA3-D624-9EFE989F1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237582</xdr:colOff>
      <xdr:row>17</xdr:row>
      <xdr:rowOff>161926</xdr:rowOff>
    </xdr:from>
    <xdr:to>
      <xdr:col>29</xdr:col>
      <xdr:colOff>1703887</xdr:colOff>
      <xdr:row>38</xdr:row>
      <xdr:rowOff>49483</xdr:rowOff>
    </xdr:to>
    <xdr:graphicFrame macro="">
      <xdr:nvGraphicFramePr>
        <xdr:cNvPr id="3" name="Chart 5">
          <a:extLst>
            <a:ext uri="{FF2B5EF4-FFF2-40B4-BE49-F238E27FC236}">
              <a16:creationId xmlns:a16="http://schemas.microsoft.com/office/drawing/2014/main" id="{90C422CD-6E26-013D-5E45-45C9D1172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674034</xdr:colOff>
      <xdr:row>1</xdr:row>
      <xdr:rowOff>22244</xdr:rowOff>
    </xdr:from>
    <xdr:to>
      <xdr:col>28</xdr:col>
      <xdr:colOff>1395132</xdr:colOff>
      <xdr:row>16</xdr:row>
      <xdr:rowOff>22245</xdr:rowOff>
    </xdr:to>
    <xdr:graphicFrame macro="">
      <xdr:nvGraphicFramePr>
        <xdr:cNvPr id="14" name="Chart 4">
          <a:extLst>
            <a:ext uri="{FF2B5EF4-FFF2-40B4-BE49-F238E27FC236}">
              <a16:creationId xmlns:a16="http://schemas.microsoft.com/office/drawing/2014/main" id="{3E1EDC8B-FD8C-35C2-F899-367DC4F03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67CCEF-01F7-4EE1-A8CA-B94FE8BA9FB9}"/>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Steel" refreshedDate="45952.666412152779" createdVersion="8" refreshedVersion="8" minRefreshableVersion="3" recordCount="335" xr:uid="{DC1A8A08-E549-48E1-B8E9-E7F45B077932}">
  <cacheSource type="worksheet">
    <worksheetSource name="tblPiNAnalysis"/>
  </cacheSource>
  <cacheFields count="57">
    <cacheField name="ID" numFmtId="0">
      <sharedItems/>
    </cacheField>
    <cacheField name="Admin1" numFmtId="0">
      <sharedItems/>
    </cacheField>
    <cacheField name="Admin1PCODE" numFmtId="0">
      <sharedItems/>
    </cacheField>
    <cacheField name="Admin2" numFmtId="0">
      <sharedItems/>
    </cacheField>
    <cacheField name="Admin2PCODE" numFmtId="0">
      <sharedItems/>
    </cacheField>
    <cacheField name="Foco de necesidades" numFmtId="0">
      <sharedItems containsNonDate="0" containsString="0" containsBlank="1"/>
    </cacheField>
    <cacheField name="Población" numFmtId="167">
      <sharedItems containsSemiMixedTypes="0" containsString="0" containsNumber="1" containsInteger="1" minValue="2070" maxValue="1987792"/>
    </cacheField>
    <cacheField name="Grupo" numFmtId="167">
      <sharedItems/>
    </cacheField>
    <cacheField name="SAMV" numFmtId="167">
      <sharedItems containsSemiMixedTypes="0" containsString="0" containsNumber="1" minValue="0" maxValue="407399"/>
    </cacheField>
    <cacheField name="NUT" numFmtId="167">
      <sharedItems containsSemiMixedTypes="0" containsString="0" containsNumber="1" minValue="101.06160878920954" maxValue="74440.982456016151"/>
    </cacheField>
    <cacheField name="SAL" numFmtId="167">
      <sharedItems containsSemiMixedTypes="0" containsString="0" containsNumber="1" minValue="898.27255295547968" maxValue="701351.79396878346"/>
    </cacheField>
    <cacheField name="EDU" numFmtId="167">
      <sharedItems containsSemiMixedTypes="0" containsString="0" containsNumber="1" minValue="202.30879295016928" maxValue="276989.54409941752"/>
    </cacheField>
    <cacheField name="PRO" numFmtId="167">
      <sharedItems containsSemiMixedTypes="0" containsString="0" containsNumber="1" minValue="167.27260924729282" maxValue="475623.18"/>
    </cacheField>
    <cacheField name="ASH" numFmtId="167">
      <sharedItems containsSemiMixedTypes="0" containsString="0" containsNumber="1" minValue="0" maxValue="381865.5"/>
    </cacheField>
    <cacheField name="NNA" numFmtId="167">
      <sharedItems containsSemiMixedTypes="0" containsString="0" containsNumber="1" minValue="53.527234959133693" maxValue="152199.41759999999"/>
    </cacheField>
    <cacheField name="VBG" numFmtId="167">
      <sharedItems containsSemiMixedTypes="0" containsString="0" containsNumber="1" minValue="58.545413236552477" maxValue="166468.11299999998"/>
    </cacheField>
    <cacheField name="% SAMV" numFmtId="9">
      <sharedItems containsSemiMixedTypes="0" containsString="0" containsNumber="1" minValue="0" maxValue="0.9"/>
    </cacheField>
    <cacheField name="% NUT" numFmtId="9">
      <sharedItems containsSemiMixedTypes="0" containsString="0" containsNumber="1" minValue="0" maxValue="0.15000000000000002"/>
    </cacheField>
    <cacheField name="% SAL" numFmtId="9">
      <sharedItems containsSemiMixedTypes="0" containsString="0" containsNumber="1" minValue="0.35000000000000003" maxValue="0.55000000000000004"/>
    </cacheField>
    <cacheField name="% EDU" numFmtId="9">
      <sharedItems containsSemiMixedTypes="0" containsString="0" containsNumber="1" minValue="0" maxValue="0.35000000000000003"/>
    </cacheField>
    <cacheField name="% PRO" numFmtId="9">
      <sharedItems containsSemiMixedTypes="0" containsString="0" containsNumber="1" minValue="0.05" maxValue="0.45"/>
    </cacheField>
    <cacheField name="% WASH" numFmtId="9">
      <sharedItems containsSemiMixedTypes="0" containsString="0" containsNumber="1" minValue="0" maxValue="0.8"/>
    </cacheField>
    <cacheField name="% NNA" numFmtId="9">
      <sharedItems containsSemiMixedTypes="0" containsString="0" containsNumber="1" minValue="0" maxValue="0.15000000000000002"/>
    </cacheField>
    <cacheField name="% VBG" numFmtId="9">
      <sharedItems containsSemiMixedTypes="0" containsString="0" containsNumber="1" minValue="0" maxValue="0.15000000000000002"/>
    </cacheField>
    <cacheField name="PiN más alto" numFmtId="166">
      <sharedItems containsSemiMixedTypes="0" containsString="0" containsNumber="1" minValue="898.27255295547968" maxValue="701351.79396878346"/>
    </cacheField>
    <cacheField name="Sectores más altos" numFmtId="166">
      <sharedItems/>
    </cacheField>
    <cacheField name="% PiN Sectores más altos" numFmtId="9">
      <sharedItems containsSemiMixedTypes="0" containsString="0" containsNumber="1" minValue="0.35282956867156295" maxValue="0.88095989895800442"/>
    </cacheField>
    <cacheField name="Número de PiN ausentes/cero superior al umbral - Calidad de los datos" numFmtId="10">
      <sharedItems/>
    </cacheField>
    <cacheField name="PiN superior al 90 % de la población total afectada" numFmtId="9">
      <sharedItems/>
    </cacheField>
    <cacheField name="El sector más alto se dirige a subgrupos de población" numFmtId="9">
      <sharedItems/>
    </cacheField>
    <cacheField name="2º PiN más alto" numFmtId="167">
      <sharedItems containsSemiMixedTypes="0" containsString="0" containsNumber="1" minValue="416" maxValue="475623.18"/>
    </cacheField>
    <cacheField name="2º Sectores más altos" numFmtId="166">
      <sharedItems/>
    </cacheField>
    <cacheField name="2º Sector más alto % PiN" numFmtId="9">
      <sharedItems containsSemiMixedTypes="0" containsString="0" containsNumber="1" minValue="0.10036356554837567" maxValue="0.55480891117822961"/>
    </cacheField>
    <cacheField name="Diferencia de PiN entre el más alto y el segundo más alto" numFmtId="167">
      <sharedItems containsSemiMixedTypes="0" containsString="0" containsNumber="1" minValue="87.036112192459768" maxValue="225728.61396878347"/>
    </cacheField>
    <cacheField name="% Diferencia entre el más alto y el segundo más alto" numFmtId="9">
      <sharedItems containsSemiMixedTypes="0" containsString="0" containsNumber="1" minValue="5.0702783101842413E-3" maxValue="2.5155144871920441"/>
    </cacheField>
    <cacheField name="% de diferencia por encima de un umbral especificado entre el más alto y el segundo más alto" numFmtId="9">
      <sharedItems/>
    </cacheField>
    <cacheField name="3º PiN más alto" numFmtId="167">
      <sharedItems containsSemiMixedTypes="0" containsString="0" containsNumber="1" minValue="292.25911754380951" maxValue="407399"/>
    </cacheField>
    <cacheField name="3º Sectores más altos" numFmtId="9">
      <sharedItems/>
    </cacheField>
    <cacheField name="3º sector con porcentaje de PiN más alto" numFmtId="9">
      <sharedItems containsSemiMixedTypes="0" containsString="0" containsNumber="1" minValue="4.3161261652624447E-2" maxValue="0.38334053898256232"/>
    </cacheField>
    <cacheField name="Diferencia de PiN entre el más alto y el 3º más alto" numFmtId="167">
      <sharedItems containsSemiMixedTypes="0" containsString="0" containsNumber="1" minValue="598.24997715036784" maxValue="293952.79396878346"/>
    </cacheField>
    <cacheField name="Porcentaje de diferencia entre el más alto y el 3º más alto" numFmtId="9">
      <sharedItems containsSemiMixedTypes="0" containsString="0" containsNumber="1" minValue="0.27540331070973706" maxValue="9.3005690270240411"/>
    </cacheField>
    <cacheField name="% de diferencia por encima de un umbral especificado entre el más alto y el 3° más alto" numFmtId="9">
      <sharedItems/>
    </cacheField>
    <cacheField name=" La variación con respecto al año pasado para el sector o sectores más altos" numFmtId="9">
      <sharedItems/>
    </cacheField>
    <cacheField name="La variación con respecto al año pasado para el sector o sectores más altos ha aumentado o disminuido significativamente" numFmtId="167">
      <sharedItems/>
    </cacheField>
    <cacheField name=" La variación con respecto al año pasado para el o los 2º sectores más altos" numFmtId="167">
      <sharedItems/>
    </cacheField>
    <cacheField name=" " numFmtId="9">
      <sharedItems/>
    </cacheField>
    <cacheField name="Severidad" numFmtId="1">
      <sharedItems containsSemiMixedTypes="0" containsString="0" containsNumber="1" containsInteger="1" minValue="1" maxValue="5" count="5">
        <n v="4"/>
        <n v="5"/>
        <n v="3"/>
        <n v="2"/>
        <n v="1"/>
      </sharedItems>
    </cacheField>
    <cacheField name="PiN preliminar" numFmtId="167">
      <sharedItems containsSemiMixedTypes="0" containsString="0" containsNumber="1" minValue="0" maxValue="701351.79396878346"/>
    </cacheField>
    <cacheField name="Marcador manual" numFmtId="9">
      <sharedItems containsNonDate="0" containsString="0" containsBlank="1"/>
    </cacheField>
    <cacheField name="Explicación del marcador manual" numFmtId="9">
      <sharedItems containsNonDate="0" containsString="0" containsBlank="1"/>
    </cacheField>
    <cacheField name="Número de marcadores" numFmtId="167">
      <sharedItems containsSemiMixedTypes="0" containsString="0" containsNumber="1" containsInteger="1" minValue="0" maxValue="3"/>
    </cacheField>
    <cacheField name="Marcado" numFmtId="166">
      <sharedItems/>
    </cacheField>
    <cacheField name="PiN final" numFmtId="166">
      <sharedItems containsSemiMixedTypes="0" containsString="0" containsNumber="1" minValue="0" maxValue="701351.79396878346"/>
    </cacheField>
    <cacheField name="Pruebas y comentarios" numFmtId="166">
      <sharedItems containsNonDate="0" containsString="0" containsBlank="1"/>
    </cacheField>
    <cacheField name="Población meta" numFmtId="166">
      <sharedItems containsSemiMixedTypes="0" containsString="0" containsNumber="1" minValue="0" maxValue="701351.79396878346"/>
    </cacheField>
    <cacheField name="Población priorizada" numFmtId="166">
      <sharedItems containsSemiMixedTypes="0" containsString="0" containsNumber="1" minValue="0" maxValue="701351.79396878346"/>
    </cacheField>
    <cacheField name="PiN final propuesta" numFmtId="166">
      <sharedItems containsSemiMixedTypes="0" containsString="0" containsNumber="1" minValue="0" maxValue="701351.7939687834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
  <r>
    <s v="VenezulanosVE0101"/>
    <s v="Distrito Capital"/>
    <s v="VE01"/>
    <s v="Libertador"/>
    <s v="VE0101"/>
    <m/>
    <n v="1987792"/>
    <s v="Venezulanos"/>
    <n v="407399"/>
    <n v="72481.959421549807"/>
    <n v="701351.79396878346"/>
    <n v="246169.73099071888"/>
    <n v="475623.18"/>
    <n v="268351.92"/>
    <n v="152199.41759999999"/>
    <n v="166468.11299999998"/>
    <n v="0.2"/>
    <n v="0.05"/>
    <n v="0.35000000000000003"/>
    <n v="0.1"/>
    <n v="0.25"/>
    <n v="0.15000000000000002"/>
    <n v="0.1"/>
    <n v="0.1"/>
    <n v="701351.79396878346"/>
    <s v="SAL"/>
    <n v="0.35282956867156295"/>
    <s v=""/>
    <s v=""/>
    <s v=""/>
    <n v="475623.18"/>
    <s v="PRO"/>
    <n v="0.23927210694076642"/>
    <n v="225728.61396878347"/>
    <n v="0.47459548537727592"/>
    <s v=""/>
    <n v="407399"/>
    <s v="SAMV"/>
    <n v="0.20495051796163782"/>
    <n v="293952.79396878346"/>
    <n v="0.72153538415357787"/>
    <s v="Flagged"/>
    <s v=""/>
    <s v=""/>
    <s v=""/>
    <s v=""/>
    <x v="0"/>
    <n v="701351.79396878346"/>
    <m/>
    <m/>
    <n v="1"/>
    <s v="Flagged"/>
    <n v="701351.79396878346"/>
    <m/>
    <n v="701351.79396878346"/>
    <n v="701351.79396878346"/>
    <n v="701351.79396878346"/>
  </r>
  <r>
    <s v="VenezulanosVE0201"/>
    <s v="Amazonas"/>
    <s v="VE02"/>
    <s v="Autónomo Alto Orinoco"/>
    <s v="VE0201"/>
    <m/>
    <n v="12973"/>
    <s v="Venezulanos"/>
    <n v="3964"/>
    <n v="982.13525880133534"/>
    <n v="5774.7285519986035"/>
    <n v="1347.7145588794669"/>
    <n v="2586.5263587700383"/>
    <n v="7783.7999999999993"/>
    <n v="827.68843480641226"/>
    <n v="905.28422556951341"/>
    <n v="0.30000000000000004"/>
    <n v="0.1"/>
    <n v="0.45"/>
    <n v="0.1"/>
    <n v="0.2"/>
    <n v="0.60000000000000009"/>
    <n v="0.05"/>
    <n v="0.05"/>
    <n v="7783.7999999999993"/>
    <s v="ASH"/>
    <n v="0.6"/>
    <s v=""/>
    <s v=""/>
    <s v=""/>
    <n v="5774.7285519986035"/>
    <s v="SAL"/>
    <n v="0.44513439851989545"/>
    <n v="2009.0714480013958"/>
    <n v="0.34790751286587601"/>
    <s v=""/>
    <n v="3964"/>
    <s v="SAMV"/>
    <n v="0.30555769675479844"/>
    <n v="3819.7999999999993"/>
    <n v="0.96362260343087769"/>
    <s v="Flagged"/>
    <s v=""/>
    <s v=""/>
    <s v=""/>
    <s v=""/>
    <x v="0"/>
    <n v="7783.7999999999993"/>
    <m/>
    <m/>
    <n v="1"/>
    <s v="Flagged"/>
    <n v="7783.7999999999993"/>
    <m/>
    <n v="7783.7999999999993"/>
    <n v="7783.7999999999993"/>
    <n v="7783.7999999999993"/>
  </r>
  <r>
    <s v="VenezulanosVE0202"/>
    <s v="Amazonas"/>
    <s v="VE02"/>
    <s v="Autónomo Atabapo"/>
    <s v="VE0202"/>
    <m/>
    <n v="9377"/>
    <s v="Venezulanos"/>
    <n v="1563"/>
    <n v="509.86292503653624"/>
    <n v="4886.3087747680493"/>
    <n v="726.38710305892255"/>
    <n v="2243.4771602115143"/>
    <n v="5626.2"/>
    <n v="717.91269126768452"/>
    <n v="785.21700607403011"/>
    <n v="0.15000000000000002"/>
    <n v="0.05"/>
    <n v="0.5"/>
    <n v="0.1"/>
    <n v="0.25"/>
    <n v="0.60000000000000009"/>
    <n v="0.1"/>
    <n v="0.1"/>
    <n v="5626.2"/>
    <s v="ASH"/>
    <n v="0.6"/>
    <s v=""/>
    <s v=""/>
    <s v=""/>
    <n v="4886.3087747680493"/>
    <s v="SAL"/>
    <n v="0.52109510235342316"/>
    <n v="739.89122523195056"/>
    <n v="0.15142129966337889"/>
    <s v=""/>
    <n v="2243.4771602115143"/>
    <s v="PRO"/>
    <n v="0.23925318974208321"/>
    <n v="3382.7228397884855"/>
    <n v="1.5078035559183334"/>
    <s v="Flagged"/>
    <s v=""/>
    <s v=""/>
    <s v=""/>
    <s v=""/>
    <x v="0"/>
    <n v="5626.2"/>
    <m/>
    <m/>
    <n v="1"/>
    <s v="Flagged"/>
    <n v="5626.2"/>
    <m/>
    <n v="5626.2"/>
    <n v="5626.2"/>
    <n v="5626.2"/>
  </r>
  <r>
    <s v="VenezulanosVE0203"/>
    <s v="Amazonas"/>
    <s v="VE02"/>
    <s v="Autónomo Atures"/>
    <s v="VE0203"/>
    <m/>
    <n v="106577"/>
    <s v="Venezulanos"/>
    <n v="9117"/>
    <n v="5153.499637808698"/>
    <n v="37603.516940309179"/>
    <n v="27513.797680685166"/>
    <n v="25498.887203142003"/>
    <n v="14387.895"/>
    <n v="8159.6439050054414"/>
    <n v="8924.6105210997011"/>
    <n v="0.1"/>
    <n v="0.05"/>
    <n v="0.35000000000000003"/>
    <n v="0.25"/>
    <n v="0.25"/>
    <n v="0.15000000000000002"/>
    <n v="0.1"/>
    <n v="0.1"/>
    <n v="37603.516940309179"/>
    <s v="SAL"/>
    <n v="0.35282956867156307"/>
    <s v=""/>
    <s v=""/>
    <s v=""/>
    <n v="27513.797680685166"/>
    <s v="EDU"/>
    <n v="0.25815886805488208"/>
    <n v="10089.719259624013"/>
    <n v="0.36671488889761844"/>
    <s v=""/>
    <n v="25498.887203142003"/>
    <s v="PRO"/>
    <n v="0.23925318974208323"/>
    <n v="12104.629737167175"/>
    <n v="0.47471207824612943"/>
    <s v=""/>
    <s v=""/>
    <s v=""/>
    <s v=""/>
    <s v=""/>
    <x v="0"/>
    <n v="37603.516940309179"/>
    <m/>
    <m/>
    <n v="0"/>
    <s v=""/>
    <n v="37603.516940309179"/>
    <m/>
    <n v="37603.516940309179"/>
    <n v="37603.516940309179"/>
    <n v="37603.516940309179"/>
  </r>
  <r>
    <s v="VenezulanosVE0204"/>
    <s v="Amazonas"/>
    <s v="VE02"/>
    <s v="Autónomo Autana"/>
    <s v="VE0204"/>
    <m/>
    <n v="8535"/>
    <s v="Venezulanos"/>
    <n v="2024"/>
    <n v="782.46237614377844"/>
    <n v="4759.3916637351131"/>
    <n v="2960.1249813816162"/>
    <n v="2042.0259744486805"/>
    <n v="1152.2249999999999"/>
    <n v="655.49033779802642"/>
    <n v="714.70909105703822"/>
    <n v="0.25"/>
    <n v="0.1"/>
    <n v="0.55000000000000004"/>
    <n v="0.35000000000000003"/>
    <n v="0.25"/>
    <n v="0.15000000000000002"/>
    <n v="0.1"/>
    <n v="0.1"/>
    <n v="4759.3916637351131"/>
    <s v="SAL"/>
    <n v="0.55763229803574843"/>
    <s v=""/>
    <s v=""/>
    <s v=""/>
    <n v="2960.1249813816162"/>
    <s v="EDU"/>
    <n v="0.34682190760182968"/>
    <n v="1799.2666823534969"/>
    <n v="0.60783470078810753"/>
    <s v=""/>
    <n v="2042.0259744486805"/>
    <s v="PRO"/>
    <n v="0.23925318974208323"/>
    <n v="2717.3656892864328"/>
    <n v="1.3307204331816029"/>
    <s v="Flagged"/>
    <s v=""/>
    <s v=""/>
    <s v=""/>
    <s v=""/>
    <x v="0"/>
    <n v="4759.3916637351131"/>
    <m/>
    <m/>
    <n v="1"/>
    <s v="Flagged"/>
    <n v="4759.3916637351131"/>
    <m/>
    <n v="4759.3916637351131"/>
    <n v="4759.3916637351131"/>
    <n v="4759.3916637351131"/>
  </r>
  <r>
    <s v="VenezulanosVE0205"/>
    <s v="Amazonas"/>
    <s v="VE02"/>
    <s v="Autónomo Maroa"/>
    <s v="VE0205"/>
    <m/>
    <n v="2070"/>
    <s v="Venezulanos"/>
    <n v="345"/>
    <n v="140.940754629065"/>
    <n v="1142.2539992964271"/>
    <n v="352.52286114586201"/>
    <n v="495.25410276611228"/>
    <n v="1656"/>
    <n v="157.98605878238982"/>
    <n v="173.33893596813925"/>
    <n v="0.15000000000000002"/>
    <n v="0.05"/>
    <n v="0.55000000000000004"/>
    <n v="0.15000000000000002"/>
    <n v="0.25"/>
    <n v="0.8"/>
    <n v="0.1"/>
    <n v="0.1"/>
    <n v="1656"/>
    <s v="ASH"/>
    <n v="0.8"/>
    <s v=""/>
    <s v=""/>
    <s v=""/>
    <n v="1142.2539992964271"/>
    <s v="SAL"/>
    <n v="0.551813526230158"/>
    <n v="513.74600070357292"/>
    <n v="0.44976511443165484"/>
    <s v=""/>
    <n v="495.25410276611228"/>
    <s v="PRO"/>
    <n v="0.23925318974208323"/>
    <n v="1160.7458972338877"/>
    <n v="2.3437380745577774"/>
    <s v="Flagged"/>
    <s v=""/>
    <s v=""/>
    <s v=""/>
    <s v=""/>
    <x v="0"/>
    <n v="1656"/>
    <m/>
    <m/>
    <n v="1"/>
    <s v="Flagged"/>
    <n v="1656"/>
    <m/>
    <n v="1656"/>
    <n v="1656"/>
    <n v="1656"/>
  </r>
  <r>
    <s v="VenezulanosVE0206"/>
    <s v="Amazonas"/>
    <s v="VE02"/>
    <s v="Autónomo Manapiare"/>
    <s v="VE0206"/>
    <m/>
    <n v="7896"/>
    <s v="Venezulanos"/>
    <n v="2632"/>
    <n v="1275.4925719681594"/>
    <n v="2785.942274230662"/>
    <n v="672.57931585203801"/>
    <n v="1574.2859885029077"/>
    <n v="4737.5999999999995"/>
    <n v="505.3458023094334"/>
    <n v="551.00009597601763"/>
    <n v="0.35000000000000003"/>
    <n v="0.15000000000000002"/>
    <n v="0.35000000000000003"/>
    <n v="0.1"/>
    <n v="0.2"/>
    <n v="0.60000000000000009"/>
    <n v="0.05"/>
    <n v="0.05"/>
    <n v="4737.5999999999995"/>
    <s v="ASH"/>
    <n v="0.6"/>
    <s v=""/>
    <s v=""/>
    <s v=""/>
    <n v="2785.942274230662"/>
    <s v="SAL"/>
    <n v="0.35282956867156307"/>
    <n v="1951.6577257693375"/>
    <n v="0.70053774761298238"/>
    <s v=""/>
    <n v="2632"/>
    <s v="SAMV"/>
    <n v="0.33333333333333331"/>
    <n v="2105.5999999999995"/>
    <n v="0.79999999999999982"/>
    <s v="Flagged"/>
    <s v=""/>
    <s v=""/>
    <s v=""/>
    <s v=""/>
    <x v="1"/>
    <n v="4737.5999999999995"/>
    <m/>
    <m/>
    <n v="1"/>
    <s v="Flagged"/>
    <n v="4737.5999999999995"/>
    <m/>
    <n v="4737.5999999999995"/>
    <n v="4737.5999999999995"/>
    <n v="4737.5999999999995"/>
  </r>
  <r>
    <s v="VenezulanosVE0207"/>
    <s v="Amazonas"/>
    <s v="VE02"/>
    <s v="Autónomo Río Negro"/>
    <s v="VE0207"/>
    <m/>
    <n v="2349"/>
    <s v="Venezulanos"/>
    <n v="392"/>
    <n v="297.91205260869572"/>
    <n v="1269.1711103293633"/>
    <n v="209.70964428889977"/>
    <n v="562.00574270415348"/>
    <n v="1879.2"/>
    <n v="180.40384340803325"/>
    <n v="196.7020099464537"/>
    <n v="0.15000000000000002"/>
    <n v="0.15000000000000002"/>
    <n v="0.55000000000000004"/>
    <n v="0.1"/>
    <n v="0.25"/>
    <n v="0.8"/>
    <n v="0.1"/>
    <n v="0.1"/>
    <n v="1879.2"/>
    <s v="ASH"/>
    <n v="0.8"/>
    <s v=""/>
    <s v=""/>
    <s v=""/>
    <n v="1269.1711103293633"/>
    <s v="SAL"/>
    <n v="0.54030272896098908"/>
    <n v="610.02888967063677"/>
    <n v="0.48065141469563377"/>
    <s v=""/>
    <n v="562.00574270415348"/>
    <s v="PRO"/>
    <n v="0.23925318974208321"/>
    <n v="1317.1942572958465"/>
    <n v="2.3437380745577778"/>
    <s v="Flagged"/>
    <s v=""/>
    <s v=""/>
    <s v=""/>
    <s v=""/>
    <x v="2"/>
    <n v="1879.2"/>
    <m/>
    <m/>
    <n v="1"/>
    <s v="Flagged"/>
    <n v="1879.2"/>
    <m/>
    <n v="939.6"/>
    <n v="0"/>
    <n v="0"/>
  </r>
  <r>
    <s v="VenezulanosVE0301"/>
    <s v="Anzoátegui"/>
    <s v="VE03"/>
    <s v="Anaco"/>
    <s v="VE0301"/>
    <m/>
    <n v="125402"/>
    <s v="Venezulanos"/>
    <n v="28600"/>
    <n v="5142.2235047458289"/>
    <n v="44245.533570551343"/>
    <n v="14539.779756822465"/>
    <n v="29930.871562082062"/>
    <n v="56430.9"/>
    <n v="9607.8097714283431"/>
    <n v="10475.805046728723"/>
    <n v="0.25"/>
    <n v="0.05"/>
    <n v="0.35000000000000003"/>
    <n v="0.1"/>
    <n v="0.25"/>
    <n v="0.45"/>
    <n v="0.1"/>
    <n v="0.1"/>
    <n v="56430.9"/>
    <s v="ASH"/>
    <n v="0.45"/>
    <s v=""/>
    <s v=""/>
    <s v=""/>
    <n v="44245.533570551343"/>
    <s v="SAL"/>
    <n v="0.35282956867156301"/>
    <n v="12185.366429448659"/>
    <n v="0.27540331070973717"/>
    <s v=""/>
    <n v="29930.871562082062"/>
    <s v="PRO"/>
    <n v="0.23867937961182487"/>
    <n v="26500.028437917939"/>
    <n v="0.88537443298141416"/>
    <s v="Flagged"/>
    <s v=""/>
    <s v=""/>
    <s v=""/>
    <s v=""/>
    <x v="2"/>
    <n v="56430.9"/>
    <m/>
    <m/>
    <n v="1"/>
    <s v="Flagged"/>
    <n v="56430.9"/>
    <m/>
    <n v="28215.45"/>
    <n v="0"/>
    <n v="0"/>
  </r>
  <r>
    <s v="VenezulanosVE0302"/>
    <s v="Anzoátegui"/>
    <s v="VE03"/>
    <s v="Aragua"/>
    <s v="VE0302"/>
    <m/>
    <n v="29822"/>
    <s v="Venezulanos"/>
    <n v="7455"/>
    <n v="955.34534042100927"/>
    <n v="10522.083396923352"/>
    <n v="2842.855119104549"/>
    <n v="3558.9482293919218"/>
    <n v="17893.2"/>
    <n v="1138.863433405415"/>
    <n v="1245.6318802871726"/>
    <n v="0.25"/>
    <n v="0.05"/>
    <n v="0.35000000000000003"/>
    <n v="0.1"/>
    <n v="0.1"/>
    <n v="0.60000000000000009"/>
    <n v="0.05"/>
    <n v="0.05"/>
    <n v="17893.2"/>
    <s v="ASH"/>
    <n v="0.6"/>
    <s v=""/>
    <s v=""/>
    <s v=""/>
    <n v="10522.083396923352"/>
    <s v="SAL"/>
    <n v="0.35282956867156301"/>
    <n v="7371.116603076649"/>
    <n v="0.70053774761298293"/>
    <s v=""/>
    <n v="7455"/>
    <s v="SAMV"/>
    <n v="0.2499832338542016"/>
    <n v="10438.200000000001"/>
    <n v="1.4001609657947687"/>
    <s v="Flagged"/>
    <s v=""/>
    <s v=""/>
    <s v=""/>
    <s v=""/>
    <x v="2"/>
    <n v="17893.2"/>
    <m/>
    <m/>
    <n v="1"/>
    <s v="Flagged"/>
    <n v="17893.2"/>
    <m/>
    <n v="8946.6"/>
    <n v="0"/>
    <n v="0"/>
  </r>
  <r>
    <s v="VenezulanosVE0303"/>
    <s v="Anzoátegui"/>
    <s v="VE03"/>
    <s v="Fernando De Peñalver"/>
    <s v="VE0303"/>
    <m/>
    <n v="34186"/>
    <s v="Venezulanos"/>
    <n v="9398"/>
    <n v="1131.4833189646201"/>
    <n v="12061.831634606053"/>
    <n v="2675.0067699306851"/>
    <n v="6799.5777261748708"/>
    <n v="20511.599999999999"/>
    <n v="2175.8648723759588"/>
    <n v="2379.8522041612046"/>
    <n v="0.25"/>
    <n v="0.05"/>
    <n v="0.35000000000000003"/>
    <n v="0.1"/>
    <n v="0.2"/>
    <n v="0.60000000000000009"/>
    <n v="0.05"/>
    <n v="0.05"/>
    <n v="20511.599999999999"/>
    <s v="ASH"/>
    <n v="0.6"/>
    <s v=""/>
    <s v=""/>
    <s v=""/>
    <n v="12061.831634606053"/>
    <s v="SAL"/>
    <n v="0.35282956867156301"/>
    <n v="8449.7683653939457"/>
    <n v="0.70053774761298271"/>
    <s v=""/>
    <n v="9398"/>
    <s v="SAMV"/>
    <n v="0.27490785701749254"/>
    <n v="11113.599999999999"/>
    <n v="1.1825494786124706"/>
    <s v="Flagged"/>
    <s v=""/>
    <s v=""/>
    <s v=""/>
    <s v=""/>
    <x v="2"/>
    <n v="20511.599999999999"/>
    <m/>
    <m/>
    <n v="1"/>
    <s v="Flagged"/>
    <n v="20511.599999999999"/>
    <m/>
    <n v="10255.799999999999"/>
    <n v="0"/>
    <n v="0"/>
  </r>
  <r>
    <s v="VenezulanosVE0304"/>
    <s v="Anzoátegui"/>
    <s v="VE03"/>
    <s v="Francisco Del Carmen Carvajal"/>
    <s v="VE0304"/>
    <m/>
    <n v="14981"/>
    <s v="Venezulanos"/>
    <n v="6492"/>
    <n v="501.35654671603083"/>
    <n v="5285.7397682686851"/>
    <n v="564.32144762904727"/>
    <n v="1787.8278929823746"/>
    <n v="0"/>
    <n v="572.1049257543599"/>
    <n v="625.73976254383103"/>
    <n v="0.45"/>
    <n v="0.05"/>
    <n v="0.35000000000000003"/>
    <n v="0.05"/>
    <n v="0.1"/>
    <n v="0"/>
    <n v="0.05"/>
    <n v="0.05"/>
    <n v="6492"/>
    <s v="SAMV"/>
    <n v="0.4333489086175823"/>
    <s v=""/>
    <s v=""/>
    <s v=""/>
    <n v="5285.7397682686851"/>
    <s v="SAL"/>
    <n v="0.35282956867156301"/>
    <n v="1206.2602317313149"/>
    <n v="0.22821029498514619"/>
    <s v=""/>
    <n v="1787.8278929823746"/>
    <s v="PRO"/>
    <n v="0.11933968980591246"/>
    <n v="4704.1721070176254"/>
    <n v="2.6312220127466159"/>
    <s v="Flagged"/>
    <s v=""/>
    <s v=""/>
    <s v=""/>
    <s v=""/>
    <x v="2"/>
    <n v="6492"/>
    <m/>
    <m/>
    <n v="1"/>
    <s v="Flagged"/>
    <n v="6492"/>
    <m/>
    <n v="3246"/>
    <n v="0"/>
    <n v="0"/>
  </r>
  <r>
    <s v="VenezulanosVE0305"/>
    <s v="Anzoátegui"/>
    <s v="VE03"/>
    <s v="Francisco De Miranda"/>
    <s v="VE0305"/>
    <m/>
    <n v="44142"/>
    <s v="Venezulanos"/>
    <n v="15414"/>
    <n v="1292.0006397623515"/>
    <n v="15574.602820300135"/>
    <n v="3788.8571903945158"/>
    <n v="5267.8925874125889"/>
    <n v="2979.585"/>
    <n v="1685.7256279720286"/>
    <n v="1843.7624055944057"/>
    <n v="0.35000000000000003"/>
    <n v="0.05"/>
    <n v="0.35000000000000003"/>
    <n v="0.1"/>
    <n v="0.1"/>
    <n v="0.05"/>
    <n v="0.05"/>
    <n v="0.05"/>
    <n v="15574.602820300135"/>
    <s v="SAL"/>
    <n v="0.35282956867156301"/>
    <s v=""/>
    <s v=""/>
    <s v=""/>
    <n v="15414"/>
    <s v="SAMV"/>
    <n v="0.34919124643196953"/>
    <n v="160.60282030013514"/>
    <n v="1.0419282489952974E-2"/>
    <s v=""/>
    <n v="5267.8925874125889"/>
    <s v="PRO"/>
    <n v="0.11933968980591249"/>
    <n v="10306.710232887546"/>
    <n v="1.956514879880999"/>
    <s v="Flagged"/>
    <s v=""/>
    <s v=""/>
    <s v=""/>
    <s v=""/>
    <x v="0"/>
    <n v="15574.602820300135"/>
    <m/>
    <m/>
    <n v="1"/>
    <s v="Flagged"/>
    <n v="15574.602820300135"/>
    <m/>
    <n v="15574.602820300135"/>
    <n v="15574.602820300135"/>
    <n v="0"/>
  </r>
  <r>
    <s v="VenezulanosVE0306"/>
    <s v="Anzoátegui"/>
    <s v="VE03"/>
    <s v="Guanta"/>
    <s v="VE0306"/>
    <m/>
    <n v="31591"/>
    <s v="Venezulanos"/>
    <n v="8505"/>
    <n v="1047.3853281418537"/>
    <n v="11146.23890390335"/>
    <n v="2827.5996516653167"/>
    <n v="6283.4335677643003"/>
    <n v="4264.7849999999999"/>
    <n v="2010.6987416845761"/>
    <n v="2199.2017487175049"/>
    <n v="0.25"/>
    <n v="0.05"/>
    <n v="0.35000000000000003"/>
    <n v="0.1"/>
    <n v="0.2"/>
    <n v="0.15000000000000002"/>
    <n v="0.05"/>
    <n v="0.05"/>
    <n v="11146.23890390335"/>
    <s v="SAL"/>
    <n v="0.35282956867156307"/>
    <s v=""/>
    <s v=""/>
    <s v=""/>
    <n v="8505"/>
    <s v="SAMV"/>
    <n v="0.2692222468424551"/>
    <n v="2641.2389039033496"/>
    <n v="0.31055131145248083"/>
    <s v=""/>
    <n v="6283.4335677643003"/>
    <s v="PRO"/>
    <n v="0.19889948300985408"/>
    <n v="4862.8053361390494"/>
    <n v="0.77390892792860022"/>
    <s v="Flagged"/>
    <s v=""/>
    <s v=""/>
    <s v=""/>
    <s v=""/>
    <x v="0"/>
    <n v="11146.23890390335"/>
    <m/>
    <m/>
    <n v="1"/>
    <s v="Flagged"/>
    <n v="11146.23890390335"/>
    <m/>
    <n v="11146.23890390335"/>
    <n v="11146.23890390335"/>
    <n v="0"/>
  </r>
  <r>
    <s v="VenezulanosVE0307"/>
    <s v="Anzoátegui"/>
    <s v="VE03"/>
    <s v="Independencia"/>
    <s v="VE0307"/>
    <m/>
    <n v="30697"/>
    <s v="Venezulanos"/>
    <n v="6806"/>
    <n v="993.16323685153839"/>
    <n v="10830.809269510968"/>
    <n v="2070.5044288934132"/>
    <n v="6105.6174299534896"/>
    <n v="0"/>
    <n v="1953.7975775851169"/>
    <n v="2136.9661004837212"/>
    <n v="0.2"/>
    <n v="0.05"/>
    <n v="0.35000000000000003"/>
    <n v="0.05"/>
    <n v="0.2"/>
    <n v="0"/>
    <n v="0.05"/>
    <n v="0.05"/>
    <n v="10830.809269510968"/>
    <s v="SAL"/>
    <n v="0.35282956867156295"/>
    <s v=""/>
    <s v=""/>
    <s v=""/>
    <n v="6806"/>
    <s v="SAMV"/>
    <n v="0.22171547708245104"/>
    <n v="4024.8092695109681"/>
    <n v="0.59136192616969852"/>
    <s v=""/>
    <n v="6105.6174299534896"/>
    <s v="PRO"/>
    <n v="0.19889948300985405"/>
    <n v="4725.1918395574785"/>
    <n v="0.77390892792859989"/>
    <s v="Flagged"/>
    <s v=""/>
    <s v=""/>
    <s v=""/>
    <s v=""/>
    <x v="0"/>
    <n v="10830.809269510968"/>
    <m/>
    <m/>
    <n v="1"/>
    <s v="Flagged"/>
    <n v="10830.809269510968"/>
    <m/>
    <n v="10830.809269510968"/>
    <n v="10830.809269510968"/>
    <n v="0"/>
  </r>
  <r>
    <s v="VenezulanosVE0308"/>
    <s v="Anzoátegui"/>
    <s v="VE03"/>
    <s v="Juan Antonio Sotillo"/>
    <s v="VE0308"/>
    <m/>
    <n v="250248"/>
    <s v="Venezulanos"/>
    <n v="62744"/>
    <n v="8020.9941589526334"/>
    <n v="88294.893900921306"/>
    <n v="24428.471891261637"/>
    <n v="59729.037389099947"/>
    <n v="0"/>
    <n v="19113.291964511984"/>
    <n v="20905.163086184981"/>
    <n v="0.25"/>
    <n v="0.05"/>
    <n v="0.35000000000000003"/>
    <n v="0.1"/>
    <n v="0.25"/>
    <n v="0"/>
    <n v="0.1"/>
    <n v="0.1"/>
    <n v="88294.893900921306"/>
    <s v="SAL"/>
    <n v="0.35282956867156301"/>
    <s v=""/>
    <s v=""/>
    <s v=""/>
    <n v="62744"/>
    <s v="SAMV"/>
    <n v="0.25072727853968862"/>
    <n v="25550.893900921306"/>
    <n v="0.40722449797464788"/>
    <s v=""/>
    <n v="59729.037389099947"/>
    <s v="PRO"/>
    <n v="0.23867937961182487"/>
    <n v="28565.856511821359"/>
    <n v="0.47825743994050018"/>
    <s v=""/>
    <s v=""/>
    <s v=""/>
    <s v=""/>
    <s v=""/>
    <x v="2"/>
    <n v="88294.893900921306"/>
    <m/>
    <m/>
    <n v="0"/>
    <s v=""/>
    <n v="88294.893900921306"/>
    <m/>
    <n v="44147.446950460653"/>
    <n v="0"/>
    <n v="0"/>
  </r>
  <r>
    <s v="VenezulanosVE0309"/>
    <s v="Anzoátegui"/>
    <s v="VE03"/>
    <s v="Juan Manuel Cajigal"/>
    <s v="VE0309"/>
    <m/>
    <n v="13778"/>
    <s v="Venezulanos"/>
    <n v="4082"/>
    <n v="641.18154432629694"/>
    <n v="7107.358217844434"/>
    <n v="1591.1768315739082"/>
    <n v="1644.2622461458618"/>
    <n v="6200.1"/>
    <n v="526.16391876667569"/>
    <n v="575.49178615105154"/>
    <n v="0.30000000000000004"/>
    <n v="0.05"/>
    <n v="0.5"/>
    <n v="0.1"/>
    <n v="0.1"/>
    <n v="0.45"/>
    <n v="0.05"/>
    <n v="0.05"/>
    <n v="7107.358217844434"/>
    <s v="SAL"/>
    <n v="0.51584832470927811"/>
    <s v=""/>
    <s v=""/>
    <s v=""/>
    <n v="6200.1"/>
    <s v="ASH"/>
    <n v="0.45"/>
    <n v="907.2582178444336"/>
    <n v="0.14632961046506243"/>
    <s v=""/>
    <n v="4082"/>
    <s v="SAMV"/>
    <n v="0.29626941500943532"/>
    <n v="3025.358217844434"/>
    <n v="0.7411460602264659"/>
    <s v="Flagged"/>
    <s v=""/>
    <s v=""/>
    <s v=""/>
    <s v=""/>
    <x v="2"/>
    <n v="7107.358217844434"/>
    <m/>
    <m/>
    <n v="1"/>
    <s v="Flagged"/>
    <n v="7107.358217844434"/>
    <m/>
    <n v="3553.679108922217"/>
    <n v="0"/>
    <n v="0"/>
  </r>
  <r>
    <s v="VenezulanosVE0310"/>
    <s v="Anzoátegui"/>
    <s v="VE03"/>
    <s v="José Gregorio Monagas"/>
    <s v="VE0310"/>
    <m/>
    <n v="17933"/>
    <s v="Venezulanos"/>
    <n v="2989"/>
    <n v="1895.5368817451808"/>
    <n v="8884.1977723055443"/>
    <n v="2082.8416132481525"/>
    <n v="2140.118657289428"/>
    <n v="8069.85"/>
    <n v="684.83797033261703"/>
    <n v="749.04153005129967"/>
    <n v="0.15000000000000002"/>
    <n v="0.1"/>
    <n v="0.5"/>
    <n v="0.1"/>
    <n v="0.1"/>
    <n v="0.45"/>
    <n v="0.05"/>
    <n v="0.05"/>
    <n v="8884.1977723055443"/>
    <s v="SAL"/>
    <n v="0.49541057114289544"/>
    <s v=""/>
    <s v=""/>
    <s v=""/>
    <n v="8069.85"/>
    <s v="ASH"/>
    <n v="0.45"/>
    <n v="814.34777230554391"/>
    <n v="0.10091238031754542"/>
    <s v=""/>
    <n v="2989"/>
    <s v="SAMV"/>
    <n v="0.16667596051971226"/>
    <n v="5895.1977723055443"/>
    <n v="1.9722976822701721"/>
    <s v="Flagged"/>
    <s v=""/>
    <s v=""/>
    <s v=""/>
    <s v=""/>
    <x v="2"/>
    <n v="8884.1977723055443"/>
    <m/>
    <m/>
    <n v="1"/>
    <s v="Flagged"/>
    <n v="8884.1977723055443"/>
    <m/>
    <n v="4442.0988861527721"/>
    <n v="0"/>
    <n v="0"/>
  </r>
  <r>
    <s v="VenezulanosVE0311"/>
    <s v="Anzoátegui"/>
    <s v="VE03"/>
    <s v="Libertad"/>
    <s v="VE0311"/>
    <m/>
    <n v="14766"/>
    <s v="Venezulanos"/>
    <n v="4206"/>
    <n v="536.02058710119832"/>
    <n v="5209.8814110043004"/>
    <n v="978.65629612686234"/>
    <n v="1762.1698596741035"/>
    <n v="0"/>
    <n v="565.65652495538723"/>
    <n v="616.75945088593619"/>
    <n v="0.30000000000000004"/>
    <n v="0.05"/>
    <n v="0.35000000000000003"/>
    <n v="0.05"/>
    <n v="0.1"/>
    <n v="0"/>
    <n v="0.05"/>
    <n v="0.05"/>
    <n v="5209.8814110043004"/>
    <s v="SAL"/>
    <n v="0.35282956867156307"/>
    <s v=""/>
    <s v=""/>
    <s v=""/>
    <n v="4206"/>
    <s v="SAMV"/>
    <n v="0.28484355952864687"/>
    <n v="1003.8814110043004"/>
    <n v="0.23867841440901102"/>
    <s v=""/>
    <n v="1762.1698596741035"/>
    <s v="PRO"/>
    <n v="0.11933968980591246"/>
    <n v="3447.7115513301969"/>
    <n v="1.9565148798809999"/>
    <s v="Flagged"/>
    <s v=""/>
    <s v=""/>
    <s v=""/>
    <s v=""/>
    <x v="3"/>
    <n v="0"/>
    <m/>
    <m/>
    <n v="1"/>
    <s v="Flagged"/>
    <n v="0"/>
    <m/>
    <n v="0"/>
    <n v="0"/>
    <n v="0"/>
  </r>
  <r>
    <s v="VenezulanosVE0312"/>
    <s v="Anzoátegui"/>
    <s v="VE03"/>
    <s v="Manuel Ezequiel Bruzual"/>
    <s v="VE0312"/>
    <m/>
    <n v="33403"/>
    <s v="Venezulanos"/>
    <n v="10784"/>
    <n v="1139.1017697671107"/>
    <n v="11785.56608233622"/>
    <n v="2576.5539253173292"/>
    <n v="3986.3036585868931"/>
    <n v="4509.4049999999997"/>
    <n v="1275.6171707478059"/>
    <n v="1395.2062805054125"/>
    <n v="0.30000000000000004"/>
    <n v="0.05"/>
    <n v="0.35000000000000003"/>
    <n v="0.1"/>
    <n v="0.1"/>
    <n v="0.15000000000000002"/>
    <n v="0.05"/>
    <n v="0.05"/>
    <n v="11785.56608233622"/>
    <s v="SAL"/>
    <n v="0.35282956867156301"/>
    <s v=""/>
    <s v=""/>
    <s v=""/>
    <n v="10784"/>
    <s v="SAMV"/>
    <n v="0.32284525342035147"/>
    <n v="1001.5660823362196"/>
    <n v="9.2875193094975855E-2"/>
    <s v=""/>
    <n v="4509.4049999999997"/>
    <s v="ASH"/>
    <n v="0.13499999999999998"/>
    <n v="7276.1610823362198"/>
    <n v="1.6135523605300965"/>
    <s v="Flagged"/>
    <s v=""/>
    <s v=""/>
    <s v=""/>
    <s v=""/>
    <x v="2"/>
    <n v="11785.56608233622"/>
    <m/>
    <m/>
    <n v="1"/>
    <s v="Flagged"/>
    <n v="11785.56608233622"/>
    <m/>
    <n v="5892.7830411681098"/>
    <n v="0"/>
    <n v="0"/>
  </r>
  <r>
    <s v="VenezulanosVE0313"/>
    <s v="Anzoátegui"/>
    <s v="VE03"/>
    <s v="Pedro María Freites"/>
    <s v="VE0313"/>
    <m/>
    <n v="74776"/>
    <s v="Venezulanos"/>
    <n v="20215"/>
    <n v="2763.9128509916441"/>
    <n v="26383.183826984794"/>
    <n v="7478.7139998815883"/>
    <n v="14872.90774154485"/>
    <n v="10094.76"/>
    <n v="4759.330477294352"/>
    <n v="5205.5177095406971"/>
    <n v="0.25"/>
    <n v="0.05"/>
    <n v="0.35000000000000003"/>
    <n v="0.1"/>
    <n v="0.2"/>
    <n v="0.15000000000000002"/>
    <n v="0.05"/>
    <n v="0.05"/>
    <n v="26383.183826984794"/>
    <s v="SAL"/>
    <n v="0.35282956867156301"/>
    <s v=""/>
    <s v=""/>
    <s v=""/>
    <n v="20215"/>
    <s v="SAMV"/>
    <n v="0.27034075104311545"/>
    <n v="6168.183826984794"/>
    <n v="0.3051290540185404"/>
    <s v=""/>
    <n v="14872.90774154485"/>
    <s v="PRO"/>
    <n v="0.19889948300985411"/>
    <n v="11510.276085439944"/>
    <n v="0.77390892792859955"/>
    <s v="Flagged"/>
    <s v=""/>
    <s v=""/>
    <s v=""/>
    <s v=""/>
    <x v="2"/>
    <n v="26383.183826984794"/>
    <m/>
    <m/>
    <n v="1"/>
    <s v="Flagged"/>
    <n v="26383.183826984794"/>
    <m/>
    <n v="13191.591913492397"/>
    <n v="0"/>
    <n v="0"/>
  </r>
  <r>
    <s v="VenezulanosVE0314"/>
    <s v="Anzoátegui"/>
    <s v="VE03"/>
    <s v="Píritu"/>
    <s v="VE0314"/>
    <m/>
    <n v="23779"/>
    <s v="Venezulanos"/>
    <n v="2869"/>
    <n v="732.2190387289229"/>
    <n v="8389.9343134410974"/>
    <n v="2156.2087348994664"/>
    <n v="5675.5569677895837"/>
    <n v="19023.2"/>
    <n v="1816.1782296926667"/>
    <n v="1986.4449387263544"/>
    <n v="0.1"/>
    <n v="0.05"/>
    <n v="0.35000000000000003"/>
    <n v="0.1"/>
    <n v="0.25"/>
    <n v="0.8"/>
    <n v="0.1"/>
    <n v="0.1"/>
    <n v="19023.2"/>
    <s v="ASH"/>
    <n v="0.8"/>
    <s v=""/>
    <s v=""/>
    <s v=""/>
    <n v="8389.9343134410974"/>
    <s v="SAL"/>
    <n v="0.35282956867156301"/>
    <n v="10633.265686558903"/>
    <n v="1.267383663483977"/>
    <s v="Flagged"/>
    <n v="5675.5569677895837"/>
    <s v="PRO"/>
    <n v="0.23867937961182487"/>
    <n v="13347.643032210417"/>
    <n v="2.351776769744736"/>
    <s v="Flagged"/>
    <s v=""/>
    <s v=""/>
    <s v=""/>
    <s v=""/>
    <x v="2"/>
    <n v="19023.2"/>
    <m/>
    <m/>
    <n v="2"/>
    <s v="Flagged"/>
    <n v="19023.2"/>
    <m/>
    <n v="9511.6"/>
    <n v="0"/>
    <n v="0"/>
  </r>
  <r>
    <s v="VenezulanosVE0315"/>
    <s v="Anzoátegui"/>
    <s v="VE03"/>
    <s v="San José De Guanipa"/>
    <s v="VE0315"/>
    <m/>
    <n v="78118"/>
    <s v="Venezulanos"/>
    <n v="15460"/>
    <n v="2344.6864669370925"/>
    <n v="27562.34024548516"/>
    <n v="6144.3072028704237"/>
    <n v="15537.62981376378"/>
    <n v="5272.9649999999992"/>
    <n v="4972.0415404044097"/>
    <n v="5438.1704348173234"/>
    <n v="0.2"/>
    <n v="0.05"/>
    <n v="0.35000000000000003"/>
    <n v="0.1"/>
    <n v="0.2"/>
    <n v="0.05"/>
    <n v="0.05"/>
    <n v="0.05"/>
    <n v="27562.34024548516"/>
    <s v="SAL"/>
    <n v="0.35282956867156301"/>
    <s v=""/>
    <s v=""/>
    <s v=""/>
    <n v="15537.62981376378"/>
    <s v="PRO"/>
    <n v="0.19889948300985408"/>
    <n v="12024.71043172138"/>
    <n v="0.7739089279286"/>
    <s v=""/>
    <n v="15460"/>
    <s v="SAMV"/>
    <n v="0.19790573235361889"/>
    <n v="12102.34024548516"/>
    <n v="0.78281631600809576"/>
    <s v="Flagged"/>
    <s v=""/>
    <s v=""/>
    <s v=""/>
    <s v=""/>
    <x v="2"/>
    <n v="27562.34024548516"/>
    <m/>
    <m/>
    <n v="1"/>
    <s v="Flagged"/>
    <n v="27562.34024548516"/>
    <m/>
    <n v="13781.17012274258"/>
    <n v="0"/>
    <n v="0"/>
  </r>
  <r>
    <s v="VenezulanosVE0316"/>
    <s v="Anzoátegui"/>
    <s v="VE03"/>
    <s v="San Juan De Capistrano"/>
    <s v="VE0316"/>
    <m/>
    <n v="9257"/>
    <s v="Venezulanos"/>
    <n v="4011"/>
    <n v="333.36352493202162"/>
    <n v="3266.1433171926587"/>
    <n v="1205.5446487473928"/>
    <n v="1104.7275085333315"/>
    <n v="0"/>
    <n v="353.51280273066607"/>
    <n v="386.65462798666601"/>
    <n v="0.45"/>
    <n v="0.05"/>
    <n v="0.35000000000000003"/>
    <n v="0.15000000000000002"/>
    <n v="0.1"/>
    <n v="0"/>
    <n v="0.05"/>
    <n v="0.05"/>
    <n v="4011"/>
    <s v="SAMV"/>
    <n v="0.43329372366857516"/>
    <s v=""/>
    <s v=""/>
    <s v=""/>
    <n v="3266.1433171926587"/>
    <s v="SAL"/>
    <n v="0.35282956867156301"/>
    <n v="744.85668280734126"/>
    <n v="0.2280538881703349"/>
    <s v=""/>
    <n v="1205.5446487473928"/>
    <s v="EDU"/>
    <n v="0.1302305983307111"/>
    <n v="2805.4553512526072"/>
    <n v="2.3271268751162251"/>
    <s v="Flagged"/>
    <s v=""/>
    <s v=""/>
    <s v=""/>
    <s v=""/>
    <x v="2"/>
    <n v="4011"/>
    <m/>
    <m/>
    <n v="1"/>
    <s v="Flagged"/>
    <n v="4011"/>
    <m/>
    <n v="2005.5"/>
    <n v="0"/>
    <n v="0"/>
  </r>
  <r>
    <s v="VenezulanosVE0317"/>
    <s v="Anzoátegui"/>
    <s v="VE03"/>
    <s v="Santa Ana"/>
    <s v="VE0317"/>
    <m/>
    <n v="9843"/>
    <s v="Venezulanos"/>
    <n v="2691"/>
    <n v="289.39969787671231"/>
    <n v="3472.9014444341951"/>
    <n v="1239.8085489569057"/>
    <n v="1174.6605667595963"/>
    <n v="5905.8"/>
    <n v="377.06604192983042"/>
    <n v="411.13119836585867"/>
    <n v="0.25"/>
    <n v="0.05"/>
    <n v="0.35000000000000003"/>
    <n v="0.15000000000000002"/>
    <n v="0.1"/>
    <n v="0.60000000000000009"/>
    <n v="0.05"/>
    <n v="0.05"/>
    <n v="5905.8"/>
    <s v="ASH"/>
    <n v="0.6"/>
    <s v=""/>
    <s v=""/>
    <s v=""/>
    <n v="3472.9014444341951"/>
    <s v="SAL"/>
    <n v="0.35282956867156307"/>
    <n v="2432.8985555658051"/>
    <n v="0.7005377476129826"/>
    <s v=""/>
    <n v="2691"/>
    <s v="SAMV"/>
    <n v="0.27339225845778725"/>
    <n v="3214.8"/>
    <n v="1.1946488294314381"/>
    <s v="Flagged"/>
    <s v=""/>
    <s v=""/>
    <s v=""/>
    <s v=""/>
    <x v="0"/>
    <n v="5905.8"/>
    <m/>
    <m/>
    <n v="1"/>
    <s v="Flagged"/>
    <n v="5905.8"/>
    <m/>
    <n v="5905.8"/>
    <n v="5905.8"/>
    <n v="0"/>
  </r>
  <r>
    <s v="VenezulanosVE0318"/>
    <s v="Anzoátegui"/>
    <s v="VE03"/>
    <s v="Simón Bolívar"/>
    <s v="VE0318"/>
    <m/>
    <n v="430938"/>
    <s v="Venezulanos"/>
    <n v="102118"/>
    <n v="15306.587667368825"/>
    <n v="152047.66866418603"/>
    <n v="47018.271789925355"/>
    <n v="102856.01449116059"/>
    <n v="258562.8"/>
    <n v="32913.924637171389"/>
    <n v="35999.605071906204"/>
    <n v="0.25"/>
    <n v="0.05"/>
    <n v="0.35000000000000003"/>
    <n v="0.1"/>
    <n v="0.25"/>
    <n v="0.60000000000000009"/>
    <n v="0.1"/>
    <n v="0.1"/>
    <n v="258562.8"/>
    <s v="ASH"/>
    <n v="0.6"/>
    <s v=""/>
    <s v=""/>
    <s v=""/>
    <n v="152047.66866418603"/>
    <s v="SAL"/>
    <n v="0.35282956867156301"/>
    <n v="106515.13133581396"/>
    <n v="0.7005377476129826"/>
    <s v=""/>
    <n v="102856.01449116059"/>
    <s v="PRO"/>
    <n v="0.23867937961182487"/>
    <n v="155706.78550883941"/>
    <n v="1.5138325773085521"/>
    <s v="Flagged"/>
    <s v=""/>
    <s v=""/>
    <s v=""/>
    <s v=""/>
    <x v="3"/>
    <n v="0"/>
    <m/>
    <m/>
    <n v="1"/>
    <s v="Flagged"/>
    <n v="0"/>
    <m/>
    <n v="0"/>
    <n v="0"/>
    <n v="0"/>
  </r>
  <r>
    <s v="VenezulanosVE0319"/>
    <s v="Anzoátegui"/>
    <s v="VE03"/>
    <s v="Simón Rodríguez"/>
    <s v="VE0319"/>
    <m/>
    <n v="186595"/>
    <s v="Venezulanos"/>
    <n v="49834"/>
    <n v="6347.9932718436048"/>
    <n v="65836.233366270302"/>
    <n v="21566.181098022618"/>
    <n v="37113.649032223722"/>
    <n v="0"/>
    <n v="11876.367690311592"/>
    <n v="12989.777161278302"/>
    <n v="0.25"/>
    <n v="0.05"/>
    <n v="0.35000000000000003"/>
    <n v="0.1"/>
    <n v="0.2"/>
    <n v="0"/>
    <n v="0.05"/>
    <n v="0.05"/>
    <n v="65836.233366270302"/>
    <s v="SAL"/>
    <n v="0.35282956867156301"/>
    <s v=""/>
    <s v=""/>
    <s v=""/>
    <n v="49834"/>
    <s v="SAMV"/>
    <n v="0.26707039309734987"/>
    <n v="16002.233366270302"/>
    <n v="0.32111075503211267"/>
    <s v=""/>
    <n v="37113.649032223722"/>
    <s v="PRO"/>
    <n v="0.19889948300985408"/>
    <n v="28722.58433404658"/>
    <n v="0.77390892792859989"/>
    <s v="Flagged"/>
    <s v=""/>
    <s v=""/>
    <s v=""/>
    <s v=""/>
    <x v="2"/>
    <n v="65836.233366270302"/>
    <m/>
    <m/>
    <n v="1"/>
    <s v="Flagged"/>
    <n v="65836.233366270302"/>
    <m/>
    <n v="32918.116683135151"/>
    <n v="0"/>
    <n v="0"/>
  </r>
  <r>
    <s v="VenezulanosVE0320"/>
    <s v="Anzoátegui"/>
    <s v="VE03"/>
    <s v="Sir Arthur Mc Gregor"/>
    <s v="VE0320"/>
    <m/>
    <n v="9989"/>
    <s v="Venezulanos"/>
    <n v="0"/>
    <n v="307.67428776412777"/>
    <n v="3524.414561460243"/>
    <n v="849.29883177073134"/>
    <n v="1192.0841614712594"/>
    <n v="5993.4"/>
    <n v="381.46693167080304"/>
    <n v="417.22945651494075"/>
    <n v="0"/>
    <n v="0.05"/>
    <n v="0.35000000000000003"/>
    <n v="0.1"/>
    <n v="0.1"/>
    <n v="0.60000000000000009"/>
    <n v="0.05"/>
    <n v="0.05"/>
    <n v="5993.4"/>
    <s v="ASH"/>
    <n v="0.6"/>
    <s v=""/>
    <s v=""/>
    <s v=""/>
    <n v="3524.414561460243"/>
    <s v="SAL"/>
    <n v="0.35282956867156301"/>
    <n v="2468.9854385397566"/>
    <n v="0.7005377476129826"/>
    <s v=""/>
    <n v="1192.0841614712594"/>
    <s v="PRO"/>
    <n v="0.11933968980591245"/>
    <n v="4801.3158385287406"/>
    <n v="4.0276651546171038"/>
    <s v="Flagged"/>
    <s v=""/>
    <s v=""/>
    <s v=""/>
    <s v=""/>
    <x v="2"/>
    <n v="5993.4"/>
    <m/>
    <m/>
    <n v="1"/>
    <s v="Flagged"/>
    <n v="5993.4"/>
    <m/>
    <n v="2996.7"/>
    <n v="0"/>
    <n v="0"/>
  </r>
  <r>
    <s v="VenezulanosVE0321"/>
    <s v="Anzoátegui"/>
    <s v="VE03"/>
    <s v="Diego Bautista Urbaneja"/>
    <s v="VE0321"/>
    <m/>
    <n v="38686"/>
    <s v="Venezulanos"/>
    <n v="8691"/>
    <n v="1033.4588004943298"/>
    <n v="13649.564693628088"/>
    <n v="5194.9364259822232"/>
    <n v="9233.5504796630576"/>
    <n v="0"/>
    <n v="2954.7361534921783"/>
    <n v="3231.7426678820698"/>
    <n v="0.2"/>
    <n v="0.05"/>
    <n v="0.35000000000000003"/>
    <n v="0.15000000000000002"/>
    <n v="0.25"/>
    <n v="0"/>
    <n v="0.1"/>
    <n v="0.1"/>
    <n v="13649.564693628088"/>
    <s v="SAL"/>
    <n v="0.35282956867156307"/>
    <s v=""/>
    <s v=""/>
    <s v=""/>
    <n v="9233.5504796630576"/>
    <s v="PRO"/>
    <n v="0.23867937961182489"/>
    <n v="4416.0142139650306"/>
    <n v="0.47825743994050013"/>
    <s v=""/>
    <n v="8691"/>
    <s v="SAMV"/>
    <n v="0.22465491392234918"/>
    <n v="4958.5646936280882"/>
    <n v="0.57054017876286833"/>
    <s v="Flagged"/>
    <s v=""/>
    <s v=""/>
    <s v=""/>
    <s v=""/>
    <x v="2"/>
    <n v="13649.564693628088"/>
    <m/>
    <m/>
    <n v="1"/>
    <s v="Flagged"/>
    <n v="13649.564693628088"/>
    <m/>
    <n v="6824.7823468140441"/>
    <n v="0"/>
    <n v="0"/>
  </r>
  <r>
    <s v="VenezulanosVE0401"/>
    <s v="Apure"/>
    <s v="VE04"/>
    <s v="Achaguas"/>
    <s v="VE0401"/>
    <m/>
    <n v="59842"/>
    <s v="Venezulanos"/>
    <n v="21868"/>
    <n v="6344.3324429168088"/>
    <n v="21114.027048443673"/>
    <n v="706.101853914201"/>
    <n v="14370.555676661454"/>
    <n v="35905.199999999997"/>
    <n v="4598.577816531666"/>
    <n v="5029.6944868315077"/>
    <n v="0.35000000000000003"/>
    <n v="0.1"/>
    <n v="0.35000000000000003"/>
    <n v="0"/>
    <n v="0.25"/>
    <n v="0.60000000000000009"/>
    <n v="0.1"/>
    <n v="0.1"/>
    <n v="35905.199999999997"/>
    <s v="ASH"/>
    <n v="0.6"/>
    <s v=""/>
    <s v=""/>
    <s v=""/>
    <n v="21868"/>
    <s v="SAMV"/>
    <n v="0.36542896293573074"/>
    <n v="14037.199999999997"/>
    <n v="0.64190598134260091"/>
    <s v=""/>
    <n v="21114.027048443673"/>
    <s v="SAL"/>
    <n v="0.35282956867156301"/>
    <n v="14791.172951556324"/>
    <n v="0.70053774761298271"/>
    <s v="Flagged"/>
    <s v=""/>
    <s v=""/>
    <s v=""/>
    <s v=""/>
    <x v="2"/>
    <n v="35905.199999999997"/>
    <m/>
    <m/>
    <n v="1"/>
    <s v="Flagged"/>
    <n v="35905.199999999997"/>
    <m/>
    <n v="17952.599999999999"/>
    <n v="0"/>
    <n v="0"/>
  </r>
  <r>
    <s v="VenezulanosVE0402"/>
    <s v="Apure"/>
    <s v="VE04"/>
    <s v="Biruaca"/>
    <s v="VE0402"/>
    <m/>
    <n v="55543"/>
    <s v="Venezulanos"/>
    <n v="2700"/>
    <n v="4932.8788742499491"/>
    <n v="19597.212732724623"/>
    <n v="2091.9090466414323"/>
    <n v="13338.18679102983"/>
    <n v="33325.799999999996"/>
    <n v="4268.2197731295455"/>
    <n v="4668.365376860439"/>
    <n v="0.05"/>
    <n v="0.1"/>
    <n v="0.35000000000000003"/>
    <n v="0.05"/>
    <n v="0.25"/>
    <n v="0.60000000000000009"/>
    <n v="0.1"/>
    <n v="0.1"/>
    <n v="33325.799999999996"/>
    <s v="ASH"/>
    <n v="0.59999999999999987"/>
    <s v=""/>
    <s v=""/>
    <s v=""/>
    <n v="19597.212732724623"/>
    <s v="SAL"/>
    <n v="0.35282956867156301"/>
    <n v="13728.587267275372"/>
    <n v="0.7005377476129826"/>
    <s v=""/>
    <n v="13338.18679102983"/>
    <s v="PRO"/>
    <n v="0.24014163424787696"/>
    <n v="19987.613208970164"/>
    <n v="1.4985255134087785"/>
    <s v="Flagged"/>
    <s v=""/>
    <s v=""/>
    <s v=""/>
    <s v=""/>
    <x v="3"/>
    <n v="0"/>
    <m/>
    <m/>
    <n v="1"/>
    <s v="Flagged"/>
    <n v="0"/>
    <m/>
    <n v="0"/>
    <n v="0"/>
    <n v="0"/>
  </r>
  <r>
    <s v="VenezulanosVE0403"/>
    <s v="Apure"/>
    <s v="VE04"/>
    <s v="Muñoz"/>
    <s v="VE0403"/>
    <m/>
    <n v="28161"/>
    <s v="Venezulanos"/>
    <n v="4693"/>
    <n v="1415.0457714879094"/>
    <n v="9936.0334833598863"/>
    <n v="5529.0919175159233"/>
    <n v="6762.628562054465"/>
    <n v="16896.599999999999"/>
    <n v="2164.0411398574288"/>
    <n v="2366.9199967190625"/>
    <n v="0.15000000000000002"/>
    <n v="0.05"/>
    <n v="0.35000000000000003"/>
    <n v="0.2"/>
    <n v="0.25"/>
    <n v="0.60000000000000009"/>
    <n v="0.1"/>
    <n v="0.1"/>
    <n v="16896.599999999999"/>
    <s v="ASH"/>
    <n v="0.6"/>
    <s v=""/>
    <s v=""/>
    <s v=""/>
    <n v="9936.0334833598863"/>
    <s v="SAL"/>
    <n v="0.35282956867156301"/>
    <n v="6960.5665166401122"/>
    <n v="0.7005377476129826"/>
    <s v=""/>
    <n v="6762.628562054465"/>
    <s v="PRO"/>
    <n v="0.24014163424787702"/>
    <n v="10133.971437945533"/>
    <n v="1.4985255134087778"/>
    <s v="Flagged"/>
    <s v=""/>
    <s v=""/>
    <s v=""/>
    <s v=""/>
    <x v="2"/>
    <n v="16896.599999999999"/>
    <m/>
    <m/>
    <n v="1"/>
    <s v="Flagged"/>
    <n v="16896.599999999999"/>
    <m/>
    <n v="8448.2999999999993"/>
    <n v="0"/>
    <n v="0"/>
  </r>
  <r>
    <s v="VenezulanosVE0404"/>
    <s v="Apure"/>
    <s v="VE04"/>
    <s v="Páez"/>
    <s v="VE0404"/>
    <m/>
    <n v="102386"/>
    <s v="Venezulanos"/>
    <n v="0"/>
    <n v="6340.9934519553926"/>
    <n v="36124.808218006656"/>
    <n v="5822.2852267812905"/>
    <n v="20489.284470085939"/>
    <n v="0"/>
    <n v="6556.5710304274999"/>
    <n v="7171.2495645300778"/>
    <n v="0"/>
    <n v="0.05"/>
    <n v="0.35000000000000003"/>
    <n v="0.05"/>
    <n v="0.2"/>
    <n v="0"/>
    <n v="0.05"/>
    <n v="0.05"/>
    <n v="36124.808218006656"/>
    <s v="SAL"/>
    <n v="0.35282956867156307"/>
    <s v="Flagged"/>
    <s v=""/>
    <s v=""/>
    <n v="20489.284470085939"/>
    <s v="PRO"/>
    <n v="0.20011802853989744"/>
    <n v="15635.523747920717"/>
    <n v="0.76310735842183053"/>
    <s v=""/>
    <n v="6340.9934519553926"/>
    <s v="NUT"/>
    <n v="6.1932231476524061E-2"/>
    <n v="29783.814766051262"/>
    <n v="4.6970265766268424"/>
    <s v="Flagged"/>
    <s v=""/>
    <s v=""/>
    <s v=""/>
    <s v=""/>
    <x v="2"/>
    <n v="36124.808218006656"/>
    <m/>
    <m/>
    <n v="2"/>
    <s v="Flagged"/>
    <n v="36124.808218006656"/>
    <m/>
    <n v="18062.404109003328"/>
    <n v="0"/>
    <n v="0"/>
  </r>
  <r>
    <s v="VenezulanosVE0405"/>
    <s v="Apure"/>
    <s v="VE04"/>
    <s v="Pedro Camejo"/>
    <s v="VE0405"/>
    <m/>
    <n v="29616"/>
    <s v="Venezulanos"/>
    <n v="7019"/>
    <n v="1363.3115695584729"/>
    <n v="10449.40050577701"/>
    <n v="757.95896507376585"/>
    <n v="5926.6955332376046"/>
    <n v="17769.599999999999"/>
    <n v="1896.5425706360334"/>
    <n v="2074.3434366331617"/>
    <n v="0.25"/>
    <n v="0.05"/>
    <n v="0.35000000000000003"/>
    <n v="0.05"/>
    <n v="0.2"/>
    <n v="0.60000000000000009"/>
    <n v="0.05"/>
    <n v="0.05"/>
    <n v="17769.599999999999"/>
    <s v="ASH"/>
    <n v="0.6"/>
    <s v=""/>
    <s v=""/>
    <s v=""/>
    <n v="10449.40050577701"/>
    <s v="SAL"/>
    <n v="0.35282956867156301"/>
    <n v="7320.1994942229885"/>
    <n v="0.70053774761298271"/>
    <s v=""/>
    <n v="7019"/>
    <s v="SAMV"/>
    <n v="0.23700027012425715"/>
    <n v="10750.599999999999"/>
    <n v="1.5316426841430402"/>
    <s v="Flagged"/>
    <s v=""/>
    <s v=""/>
    <s v=""/>
    <s v=""/>
    <x v="2"/>
    <n v="17769.599999999999"/>
    <m/>
    <m/>
    <n v="1"/>
    <s v="Flagged"/>
    <n v="17769.599999999999"/>
    <m/>
    <n v="8884.7999999999993"/>
    <n v="0"/>
    <n v="0"/>
  </r>
  <r>
    <s v="VenezulanosVE0406"/>
    <s v="Apure"/>
    <s v="VE04"/>
    <s v="Rómulo Gallegos"/>
    <s v="VE0406"/>
    <m/>
    <n v="24970"/>
    <s v="Venezulanos"/>
    <n v="3026"/>
    <n v="3417.4794151314604"/>
    <n v="8810.1543297289281"/>
    <n v="386.41111982904505"/>
    <n v="5996.3366071694882"/>
    <n v="19976"/>
    <n v="1924.8240509014058"/>
    <n v="2098.717812509321"/>
    <n v="0.1"/>
    <n v="0.15000000000000002"/>
    <n v="0.35000000000000003"/>
    <n v="0"/>
    <n v="0.25"/>
    <n v="0.8"/>
    <n v="0.1"/>
    <n v="0.1"/>
    <n v="19976"/>
    <s v="ASH"/>
    <n v="0.8"/>
    <s v=""/>
    <s v=""/>
    <s v=""/>
    <n v="8810.1543297289281"/>
    <s v="SAL"/>
    <n v="0.35282956867156301"/>
    <n v="11165.845670271072"/>
    <n v="1.267383663483977"/>
    <s v="Flagged"/>
    <n v="5996.3366071694882"/>
    <s v="PRO"/>
    <n v="0.24014163424787699"/>
    <n v="13979.663392830513"/>
    <n v="2.3313673512117052"/>
    <s v="Flagged"/>
    <s v=""/>
    <s v=""/>
    <s v=""/>
    <s v=""/>
    <x v="2"/>
    <n v="19976"/>
    <m/>
    <m/>
    <n v="2"/>
    <s v="Flagged"/>
    <n v="19976"/>
    <m/>
    <n v="9988"/>
    <n v="0"/>
    <n v="0"/>
  </r>
  <r>
    <s v="VenezulanosVE0407"/>
    <s v="Apure"/>
    <s v="VE04"/>
    <s v="San Fernando"/>
    <s v="VE0407"/>
    <m/>
    <n v="168860"/>
    <s v="Venezulanos"/>
    <n v="6318"/>
    <n v="10039.650037290579"/>
    <n v="59578.800965880131"/>
    <n v="3417.3421638215896"/>
    <n v="40550.316359096505"/>
    <n v="101316"/>
    <n v="12976.101234910882"/>
    <n v="14192.610725683775"/>
    <n v="0.05"/>
    <n v="0.05"/>
    <n v="0.35000000000000003"/>
    <n v="0"/>
    <n v="0.25"/>
    <n v="0.60000000000000009"/>
    <n v="0.1"/>
    <n v="0.1"/>
    <n v="101316"/>
    <s v="ASH"/>
    <n v="0.6"/>
    <s v=""/>
    <s v=""/>
    <s v=""/>
    <n v="59578.800965880131"/>
    <s v="SAL"/>
    <n v="0.35282956867156301"/>
    <n v="41737.199034119869"/>
    <n v="0.70053774761298271"/>
    <s v=""/>
    <n v="40550.316359096505"/>
    <s v="PRO"/>
    <n v="0.24014163424787696"/>
    <n v="60765.683640903495"/>
    <n v="1.4985255134087789"/>
    <s v="Flagged"/>
    <s v=""/>
    <s v=""/>
    <s v=""/>
    <s v=""/>
    <x v="2"/>
    <n v="101316"/>
    <m/>
    <m/>
    <n v="1"/>
    <s v="Flagged"/>
    <n v="101316"/>
    <m/>
    <n v="50658"/>
    <n v="0"/>
    <n v="0"/>
  </r>
  <r>
    <s v="VenezulanosVE0501"/>
    <s v="Aragua"/>
    <s v="VE05"/>
    <s v="Bolívar"/>
    <s v="VE0501"/>
    <m/>
    <n v="38905"/>
    <s v="Venezulanos"/>
    <n v="6484"/>
    <n v="1249.4776991208244"/>
    <n v="13726.834369167158"/>
    <n v="4182.1619709896941"/>
    <n v="4656.918103490163"/>
    <n v="0"/>
    <n v="1490.2137931168522"/>
    <n v="1629.9213362215569"/>
    <n v="0.15000000000000002"/>
    <n v="0.05"/>
    <n v="0.35000000000000003"/>
    <n v="0.1"/>
    <n v="0.1"/>
    <n v="0"/>
    <n v="0.05"/>
    <n v="0.05"/>
    <n v="13726.834369167158"/>
    <s v="SAL"/>
    <n v="0.35282956867156301"/>
    <s v=""/>
    <s v=""/>
    <s v=""/>
    <n v="6484"/>
    <s v="SAMV"/>
    <n v="0.16666238272715589"/>
    <n v="7242.834369167158"/>
    <n v="1.1170318274471249"/>
    <s v="Flagged"/>
    <n v="4656.918103490163"/>
    <s v="PRO"/>
    <n v="0.11969973277188441"/>
    <n v="9069.916265676995"/>
    <n v="1.9476220247204856"/>
    <s v="Flagged"/>
    <s v=""/>
    <s v=""/>
    <s v=""/>
    <s v=""/>
    <x v="0"/>
    <n v="13726.834369167158"/>
    <m/>
    <m/>
    <n v="2"/>
    <s v="Flagged"/>
    <n v="13726.834369167158"/>
    <m/>
    <n v="13726.834369167158"/>
    <n v="13726.834369167158"/>
    <n v="0"/>
  </r>
  <r>
    <s v="VenezulanosVE0502"/>
    <s v="Aragua"/>
    <s v="VE05"/>
    <s v="Camatagua"/>
    <s v="VE0502"/>
    <m/>
    <n v="16999"/>
    <s v="Venezulanos"/>
    <n v="3542"/>
    <n v="522.29015376917062"/>
    <n v="5997.7498378478995"/>
    <n v="1568.0794749023617"/>
    <n v="2034.7757573892627"/>
    <n v="0"/>
    <n v="651.12824236456413"/>
    <n v="712.17151508624181"/>
    <n v="0.2"/>
    <n v="0.05"/>
    <n v="0.35000000000000003"/>
    <n v="0.1"/>
    <n v="0.1"/>
    <n v="0"/>
    <n v="0.05"/>
    <n v="0.05"/>
    <n v="5997.7498378478995"/>
    <s v="SAL"/>
    <n v="0.35282956867156301"/>
    <s v=""/>
    <s v=""/>
    <s v=""/>
    <n v="3542"/>
    <s v="SAMV"/>
    <n v="0.20836519795282074"/>
    <n v="2455.7498378478995"/>
    <n v="0.69332293558664582"/>
    <s v=""/>
    <n v="2034.7757573892627"/>
    <s v="PRO"/>
    <n v="0.11969973277188439"/>
    <n v="3962.9740804586368"/>
    <n v="1.9476220247204863"/>
    <s v="Flagged"/>
    <s v=""/>
    <s v=""/>
    <s v=""/>
    <s v=""/>
    <x v="0"/>
    <n v="5997.7498378478995"/>
    <m/>
    <m/>
    <n v="1"/>
    <s v="Flagged"/>
    <n v="5997.7498378478995"/>
    <m/>
    <n v="5997.7498378478995"/>
    <n v="5997.7498378478995"/>
    <n v="0"/>
  </r>
  <r>
    <s v="VenezulanosVE0503"/>
    <s v="Aragua"/>
    <s v="VE05"/>
    <s v="Girardot"/>
    <s v="VE0503"/>
    <m/>
    <n v="416302"/>
    <s v="Venezulanos"/>
    <n v="54084"/>
    <n v="16279.187688197813"/>
    <n v="146883.655097109"/>
    <n v="52451.343098291385"/>
    <n v="83052.063587334997"/>
    <n v="0"/>
    <n v="26576.6603479472"/>
    <n v="29068.222255567242"/>
    <n v="0.15000000000000002"/>
    <n v="0.05"/>
    <n v="0.35000000000000003"/>
    <n v="0.15000000000000002"/>
    <n v="0.2"/>
    <n v="0"/>
    <n v="0.05"/>
    <n v="0.05"/>
    <n v="146883.655097109"/>
    <s v="SAL"/>
    <n v="0.35282956867156295"/>
    <s v=""/>
    <s v=""/>
    <s v=""/>
    <n v="83052.063587334997"/>
    <s v="PRO"/>
    <n v="0.19949955461980726"/>
    <n v="63831.591509774007"/>
    <n v="0.76857321483229213"/>
    <s v=""/>
    <n v="54084"/>
    <s v="SAMV"/>
    <n v="0.12991530187219855"/>
    <n v="92799.655097109004"/>
    <n v="1.7158430422511095"/>
    <s v="Flagged"/>
    <s v=""/>
    <s v=""/>
    <s v=""/>
    <s v=""/>
    <x v="2"/>
    <n v="146883.655097109"/>
    <m/>
    <m/>
    <n v="1"/>
    <s v="Flagged"/>
    <n v="146883.655097109"/>
    <m/>
    <n v="73441.827548554502"/>
    <n v="0"/>
    <n v="0"/>
  </r>
  <r>
    <s v="VenezulanosVE0504"/>
    <s v="Aragua"/>
    <s v="VE05"/>
    <s v="José Angel Lamas"/>
    <s v="VE0504"/>
    <m/>
    <n v="33724"/>
    <s v="Venezulanos"/>
    <n v="3968"/>
    <n v="966.74603809951179"/>
    <n v="11898.824373879792"/>
    <n v="4566.0120189277332"/>
    <n v="6727.9229799983796"/>
    <n v="2276.37"/>
    <n v="2159.6632765794802"/>
    <n v="2354.7730429994326"/>
    <n v="0.1"/>
    <n v="0.05"/>
    <n v="0.35000000000000003"/>
    <n v="0.15000000000000002"/>
    <n v="0.2"/>
    <n v="0.05"/>
    <n v="0.05"/>
    <n v="0.05"/>
    <n v="11898.824373879792"/>
    <s v="SAL"/>
    <n v="0.35282956867156307"/>
    <s v=""/>
    <s v=""/>
    <s v=""/>
    <n v="6727.9229799983796"/>
    <s v="PRO"/>
    <n v="0.19949955461980726"/>
    <n v="5170.9013938814123"/>
    <n v="0.76857321483229257"/>
    <s v=""/>
    <n v="4566.0120189277332"/>
    <s v="EDU"/>
    <n v="0.13539354818312577"/>
    <n v="7332.8123549520587"/>
    <n v="1.605955552581763"/>
    <s v="Flagged"/>
    <s v=""/>
    <s v=""/>
    <s v=""/>
    <s v=""/>
    <x v="0"/>
    <n v="11898.824373879792"/>
    <m/>
    <m/>
    <n v="1"/>
    <s v="Flagged"/>
    <n v="11898.824373879792"/>
    <m/>
    <n v="11898.824373879792"/>
    <n v="11898.824373879792"/>
    <n v="0"/>
  </r>
  <r>
    <s v="VenezulanosVE0505"/>
    <s v="Aragua"/>
    <s v="VE05"/>
    <s v="José Félix Ribas"/>
    <s v="VE0505"/>
    <m/>
    <n v="146736"/>
    <s v="Venezulanos"/>
    <n v="22545"/>
    <n v="4518.0852922033991"/>
    <n v="51772.799588590475"/>
    <n v="18542.705483909733"/>
    <n v="35128.519976030446"/>
    <n v="0"/>
    <n v="11276.254912305772"/>
    <n v="12294.981991610653"/>
    <n v="0.15000000000000002"/>
    <n v="0.05"/>
    <n v="0.35000000000000003"/>
    <n v="0.15000000000000002"/>
    <n v="0.25"/>
    <n v="0"/>
    <n v="0.1"/>
    <n v="0.1"/>
    <n v="51772.799588590475"/>
    <s v="SAL"/>
    <n v="0.35282956867156307"/>
    <s v=""/>
    <s v=""/>
    <s v=""/>
    <n v="35128.519976030446"/>
    <s v="PRO"/>
    <n v="0.2393994655437687"/>
    <n v="16644.279612560029"/>
    <n v="0.4738110123602437"/>
    <s v=""/>
    <n v="22545"/>
    <s v="SAMV"/>
    <n v="0.15364327772325809"/>
    <n v="29227.799588590475"/>
    <n v="1.296420474100265"/>
    <s v="Flagged"/>
    <s v=""/>
    <s v=""/>
    <s v=""/>
    <s v=""/>
    <x v="0"/>
    <n v="51772.799588590475"/>
    <m/>
    <m/>
    <n v="1"/>
    <s v="Flagged"/>
    <n v="51772.799588590475"/>
    <m/>
    <n v="51772.799588590475"/>
    <n v="51772.799588590475"/>
    <n v="0"/>
  </r>
  <r>
    <s v="VenezulanosVE0506"/>
    <s v="Aragua"/>
    <s v="VE05"/>
    <s v="José Rafael Revenga"/>
    <s v="VE0506"/>
    <m/>
    <n v="49897"/>
    <s v="Venezulanos"/>
    <n v="12096"/>
    <n v="1580.0448921920083"/>
    <n v="17605.136988004982"/>
    <n v="7090.1834771293461"/>
    <n v="9954.4292768645246"/>
    <n v="0"/>
    <n v="3195.3717978735122"/>
    <n v="3484.0502469025832"/>
    <n v="0.25"/>
    <n v="0.05"/>
    <n v="0.35000000000000003"/>
    <n v="0.15000000000000002"/>
    <n v="0.2"/>
    <n v="0"/>
    <n v="0.05"/>
    <n v="0.05"/>
    <n v="17605.136988004982"/>
    <s v="SAL"/>
    <n v="0.35282956867156307"/>
    <s v=""/>
    <s v=""/>
    <s v=""/>
    <n v="12096"/>
    <s v="SAMV"/>
    <n v="0.24241938393089765"/>
    <n v="5509.1369880049824"/>
    <n v="0.45545113988136426"/>
    <s v=""/>
    <n v="9954.4292768645246"/>
    <s v="PRO"/>
    <n v="0.19949955461980728"/>
    <n v="7650.7077111404578"/>
    <n v="0.76857321483229224"/>
    <s v="Flagged"/>
    <s v=""/>
    <s v=""/>
    <s v=""/>
    <s v=""/>
    <x v="2"/>
    <n v="17605.136988004982"/>
    <m/>
    <m/>
    <n v="1"/>
    <s v="Flagged"/>
    <n v="17605.136988004982"/>
    <m/>
    <n v="8802.5684940024912"/>
    <n v="0"/>
    <n v="0"/>
  </r>
  <r>
    <s v="VenezulanosVE0507"/>
    <s v="Aragua"/>
    <s v="VE05"/>
    <s v="Libertador"/>
    <s v="VE0507"/>
    <m/>
    <n v="116940"/>
    <s v="Venezulanos"/>
    <n v="3248"/>
    <n v="3566.8624968842641"/>
    <n v="41259.889760452577"/>
    <n v="14318.871194062362"/>
    <n v="23329.477917240263"/>
    <n v="0"/>
    <n v="7488.7624114341252"/>
    <n v="8165.3172710340914"/>
    <n v="0.05"/>
    <n v="0.05"/>
    <n v="0.35000000000000003"/>
    <n v="0.1"/>
    <n v="0.2"/>
    <n v="0"/>
    <n v="0.05"/>
    <n v="0.05"/>
    <n v="41259.889760452577"/>
    <s v="SAL"/>
    <n v="0.35282956867156301"/>
    <s v=""/>
    <s v=""/>
    <s v=""/>
    <n v="23329.477917240263"/>
    <s v="PRO"/>
    <n v="0.19949955461980728"/>
    <n v="17930.411843212314"/>
    <n v="0.76857321483229202"/>
    <s v=""/>
    <n v="14318.871194062362"/>
    <s v="EDU"/>
    <n v="0.12244630745734875"/>
    <n v="26941.018566390216"/>
    <n v="1.8815043589163585"/>
    <s v="Flagged"/>
    <s v=""/>
    <s v=""/>
    <s v=""/>
    <s v=""/>
    <x v="3"/>
    <n v="0"/>
    <m/>
    <m/>
    <n v="1"/>
    <s v="Flagged"/>
    <n v="0"/>
    <m/>
    <n v="0"/>
    <n v="0"/>
    <n v="0"/>
  </r>
  <r>
    <s v="VenezulanosVE0508"/>
    <s v="Aragua"/>
    <s v="VE05"/>
    <s v="Mario Briceño Iragorry"/>
    <s v="VE0508"/>
    <m/>
    <n v="102107"/>
    <s v="Venezulanos"/>
    <n v="13537"/>
    <n v="2608.6612726427111"/>
    <n v="36026.368768347282"/>
    <n v="16255.918839023729"/>
    <n v="20370.301023564662"/>
    <n v="0"/>
    <n v="6518.4963275406917"/>
    <n v="7129.6053582476316"/>
    <n v="0.15000000000000002"/>
    <n v="0.05"/>
    <n v="0.35000000000000003"/>
    <n v="0.15000000000000002"/>
    <n v="0.2"/>
    <n v="0"/>
    <n v="0.05"/>
    <n v="0.05"/>
    <n v="36026.368768347282"/>
    <s v="SAL"/>
    <n v="0.35282956867156301"/>
    <s v=""/>
    <s v=""/>
    <s v=""/>
    <n v="20370.301023564662"/>
    <s v="PRO"/>
    <n v="0.19949955461980728"/>
    <n v="15656.06774478262"/>
    <n v="0.76857321483229202"/>
    <s v=""/>
    <n v="16255.918839023729"/>
    <s v="EDU"/>
    <n v="0.15920474442519836"/>
    <n v="19770.449929323553"/>
    <n v="1.2162000884172042"/>
    <s v="Flagged"/>
    <s v=""/>
    <s v=""/>
    <s v=""/>
    <s v=""/>
    <x v="3"/>
    <n v="0"/>
    <m/>
    <m/>
    <n v="1"/>
    <s v="Flagged"/>
    <n v="0"/>
    <m/>
    <n v="0"/>
    <n v="0"/>
    <n v="0"/>
  </r>
  <r>
    <s v="VenezulanosVE0509"/>
    <s v="Aragua"/>
    <s v="VE05"/>
    <s v="San Casimiro"/>
    <s v="VE0509"/>
    <m/>
    <n v="26118"/>
    <s v="Venezulanos"/>
    <n v="9711"/>
    <n v="859.46539019577131"/>
    <n v="9215.2026745638832"/>
    <n v="2510.9409208820671"/>
    <n v="5210.5293675601251"/>
    <n v="0"/>
    <n v="1667.3693976192399"/>
    <n v="1823.6852786460433"/>
    <n v="0.35000000000000003"/>
    <n v="0.05"/>
    <n v="0.35000000000000003"/>
    <n v="0.1"/>
    <n v="0.2"/>
    <n v="0"/>
    <n v="0.05"/>
    <n v="0.05"/>
    <n v="9711"/>
    <s v="SAMV"/>
    <n v="0.37181254307374223"/>
    <s v=""/>
    <s v=""/>
    <s v=""/>
    <n v="9215.2026745638832"/>
    <s v="SAL"/>
    <n v="0.35282956867156301"/>
    <n v="495.79732543611681"/>
    <n v="5.3802107554794587E-2"/>
    <s v=""/>
    <n v="5210.5293675601251"/>
    <s v="PRO"/>
    <n v="0.19949955461980723"/>
    <n v="4500.4706324398749"/>
    <n v="0.86372618115522848"/>
    <s v="Flagged"/>
    <s v=""/>
    <s v=""/>
    <s v=""/>
    <s v=""/>
    <x v="3"/>
    <n v="0"/>
    <m/>
    <m/>
    <n v="1"/>
    <s v="Flagged"/>
    <n v="0"/>
    <m/>
    <n v="0"/>
    <n v="0"/>
    <n v="0"/>
  </r>
  <r>
    <s v="VenezulanosVE0510"/>
    <s v="Aragua"/>
    <s v="VE05"/>
    <s v="San Sebastián"/>
    <s v="VE0510"/>
    <m/>
    <n v="23807"/>
    <s v="Venezulanos"/>
    <n v="5411"/>
    <n v="562.20911516388162"/>
    <n v="8399.8135413639011"/>
    <n v="2414.0083062227773"/>
    <n v="4749.4858968337521"/>
    <n v="14284.199999999999"/>
    <n v="1524.5849728836345"/>
    <n v="1662.3200638918131"/>
    <n v="0.25"/>
    <n v="0"/>
    <n v="0.35000000000000003"/>
    <n v="0.1"/>
    <n v="0.2"/>
    <n v="0.60000000000000009"/>
    <n v="0.05"/>
    <n v="0.05"/>
    <n v="14284.199999999999"/>
    <s v="ASH"/>
    <n v="0.6"/>
    <s v=""/>
    <s v=""/>
    <s v=""/>
    <n v="8399.8135413639011"/>
    <s v="SAL"/>
    <n v="0.35282956867156301"/>
    <n v="5884.3864586360978"/>
    <n v="0.7005377476129826"/>
    <s v=""/>
    <n v="5411"/>
    <s v="SAMV"/>
    <n v="0.22728609232578653"/>
    <n v="8873.1999999999989"/>
    <n v="1.6398447606727036"/>
    <s v="Flagged"/>
    <s v=""/>
    <s v=""/>
    <s v=""/>
    <s v=""/>
    <x v="2"/>
    <n v="14284.199999999999"/>
    <m/>
    <m/>
    <n v="1"/>
    <s v="Flagged"/>
    <n v="14284.199999999999"/>
    <m/>
    <n v="7142.0999999999995"/>
    <n v="0"/>
    <n v="0"/>
  </r>
  <r>
    <s v="VenezulanosVE0511"/>
    <s v="Aragua"/>
    <s v="VE05"/>
    <s v="Santiago Mariño"/>
    <s v="VE0511"/>
    <m/>
    <n v="215778"/>
    <s v="Venezulanos"/>
    <n v="38884"/>
    <n v="6392.629447164305"/>
    <n v="76132.858668812536"/>
    <n v="30250.578094044064"/>
    <n v="43047.614896752777"/>
    <n v="0"/>
    <n v="13775.236766960888"/>
    <n v="15066.665213863471"/>
    <n v="0.2"/>
    <n v="0.05"/>
    <n v="0.35000000000000003"/>
    <n v="0.15000000000000002"/>
    <n v="0.2"/>
    <n v="0"/>
    <n v="0.05"/>
    <n v="0.05"/>
    <n v="76132.858668812536"/>
    <s v="SAL"/>
    <n v="0.35282956867156307"/>
    <s v=""/>
    <s v=""/>
    <s v=""/>
    <n v="43047.614896752777"/>
    <s v="PRO"/>
    <n v="0.19949955461980728"/>
    <n v="33085.243772059759"/>
    <n v="0.76857321483229235"/>
    <s v=""/>
    <n v="38884"/>
    <s v="SAMV"/>
    <n v="0.18020372790553255"/>
    <n v="37248.858668812536"/>
    <n v="0.9579482221173885"/>
    <s v="Flagged"/>
    <s v=""/>
    <s v=""/>
    <s v=""/>
    <s v=""/>
    <x v="3"/>
    <n v="0"/>
    <m/>
    <m/>
    <n v="1"/>
    <s v="Flagged"/>
    <n v="0"/>
    <m/>
    <n v="0"/>
    <n v="0"/>
    <n v="0"/>
  </r>
  <r>
    <s v="VenezulanosVE0512"/>
    <s v="Aragua"/>
    <s v="VE05"/>
    <s v="Santos Michelena"/>
    <s v="VE0512"/>
    <m/>
    <n v="39442"/>
    <s v="Venezulanos"/>
    <n v="6228"/>
    <n v="1259.4906836444238"/>
    <n v="13916.303847543788"/>
    <n v="6225.9650139530877"/>
    <n v="7868.6614333144407"/>
    <n v="2662.335"/>
    <n v="2517.971658660621"/>
    <n v="2754.0315016600548"/>
    <n v="0.15000000000000002"/>
    <n v="0.05"/>
    <n v="0.35000000000000003"/>
    <n v="0.15000000000000002"/>
    <n v="0.2"/>
    <n v="0.05"/>
    <n v="0.05"/>
    <n v="0.05"/>
    <n v="13916.303847543788"/>
    <s v="SAL"/>
    <n v="0.35282956867156301"/>
    <s v=""/>
    <s v=""/>
    <s v=""/>
    <n v="7868.6614333144407"/>
    <s v="PRO"/>
    <n v="0.19949955461980734"/>
    <n v="6047.6424142293472"/>
    <n v="0.76857321483229157"/>
    <s v=""/>
    <n v="6228"/>
    <s v="SAMV"/>
    <n v="0.15790274326859693"/>
    <n v="7688.3038475437879"/>
    <n v="1.2344739639601459"/>
    <s v="Flagged"/>
    <s v=""/>
    <s v=""/>
    <s v=""/>
    <s v=""/>
    <x v="3"/>
    <n v="0"/>
    <m/>
    <m/>
    <n v="1"/>
    <s v="Flagged"/>
    <n v="0"/>
    <m/>
    <n v="0"/>
    <n v="0"/>
    <n v="0"/>
  </r>
  <r>
    <s v="VenezulanosVE0513"/>
    <s v="Aragua"/>
    <s v="VE05"/>
    <s v="Sucre"/>
    <s v="VE0513"/>
    <m/>
    <n v="117097"/>
    <s v="Venezulanos"/>
    <n v="2602"/>
    <n v="2820.5739515941978"/>
    <n v="41315.284002734013"/>
    <n v="13587.822532323293"/>
    <n v="23360.799347315569"/>
    <n v="0"/>
    <n v="7498.8165904882981"/>
    <n v="8176.2797715604493"/>
    <n v="0"/>
    <n v="0"/>
    <n v="0.35000000000000003"/>
    <n v="0.1"/>
    <n v="0.2"/>
    <n v="0"/>
    <n v="0.05"/>
    <n v="0.05"/>
    <n v="41315.284002734013"/>
    <s v="SAL"/>
    <n v="0.35282956867156301"/>
    <s v=""/>
    <s v=""/>
    <s v=""/>
    <n v="23360.799347315569"/>
    <s v="PRO"/>
    <n v="0.19949955461980726"/>
    <n v="17954.484655418444"/>
    <n v="0.76857321483229235"/>
    <s v=""/>
    <n v="13587.822532323293"/>
    <s v="EDU"/>
    <n v="0.1160390320189526"/>
    <n v="27727.461470410723"/>
    <n v="2.0406110989786224"/>
    <s v="Flagged"/>
    <s v=""/>
    <s v=""/>
    <s v=""/>
    <s v=""/>
    <x v="3"/>
    <n v="0"/>
    <m/>
    <m/>
    <n v="1"/>
    <s v="Flagged"/>
    <n v="0"/>
    <m/>
    <n v="0"/>
    <n v="0"/>
    <n v="0"/>
  </r>
  <r>
    <s v="VenezulanosVE0514"/>
    <s v="Aragua"/>
    <s v="VE05"/>
    <s v="Tovar"/>
    <s v="VE0514"/>
    <m/>
    <n v="14481"/>
    <s v="Venezulanos"/>
    <n v="3017"/>
    <n v="408.07836554268766"/>
    <n v="5109.3249839329037"/>
    <n v="625.55238667151411"/>
    <n v="2888.9530504494292"/>
    <n v="0"/>
    <n v="924.46497614381735"/>
    <n v="1011.1335676573002"/>
    <n v="0.2"/>
    <n v="0.05"/>
    <n v="0.35000000000000003"/>
    <n v="0.05"/>
    <n v="0.2"/>
    <n v="0"/>
    <n v="0.05"/>
    <n v="0.05"/>
    <n v="5109.3249839329037"/>
    <s v="SAL"/>
    <n v="0.35282956867156301"/>
    <s v=""/>
    <s v=""/>
    <s v=""/>
    <n v="3017"/>
    <s v="SAMV"/>
    <n v="0.20834196533388577"/>
    <n v="2092.3249839329037"/>
    <n v="0.6935117613300974"/>
    <s v=""/>
    <n v="2888.9530504494292"/>
    <s v="PRO"/>
    <n v="0.19949955461980728"/>
    <n v="2220.3719334834745"/>
    <n v="0.76857321483229202"/>
    <s v="Flagged"/>
    <s v=""/>
    <s v=""/>
    <s v=""/>
    <s v=""/>
    <x v="2"/>
    <n v="5109.3249839329037"/>
    <m/>
    <m/>
    <n v="1"/>
    <s v="Flagged"/>
    <n v="5109.3249839329037"/>
    <m/>
    <n v="2554.6624919664519"/>
    <n v="0"/>
    <n v="0"/>
  </r>
  <r>
    <s v="VenezulanosVE0515"/>
    <s v="Aragua"/>
    <s v="VE05"/>
    <s v="Urdaneta"/>
    <s v="VE0515"/>
    <m/>
    <n v="21747"/>
    <s v="Venezulanos"/>
    <n v="5695"/>
    <n v="688.18447739880594"/>
    <n v="7672.9846299004812"/>
    <n v="1785.1604140213531"/>
    <n v="4338.5168143169494"/>
    <n v="0"/>
    <n v="1392.6638973957408"/>
    <n v="1518.4808850109323"/>
    <n v="0.25"/>
    <n v="0.05"/>
    <n v="0.35000000000000003"/>
    <n v="0.1"/>
    <n v="0.2"/>
    <n v="0"/>
    <n v="0.05"/>
    <n v="0.05"/>
    <n v="7672.9846299004812"/>
    <s v="SAL"/>
    <n v="0.35282956867156301"/>
    <s v=""/>
    <s v=""/>
    <s v=""/>
    <n v="5695"/>
    <s v="SAMV"/>
    <n v="0.26187520117717389"/>
    <n v="1977.9846299004812"/>
    <n v="0.3473195135909537"/>
    <s v=""/>
    <n v="4338.5168143169494"/>
    <s v="PRO"/>
    <n v="0.19949955461980731"/>
    <n v="3334.4678155835318"/>
    <n v="0.76857321483229202"/>
    <s v="Flagged"/>
    <s v=""/>
    <s v=""/>
    <s v=""/>
    <s v=""/>
    <x v="2"/>
    <n v="7672.9846299004812"/>
    <m/>
    <m/>
    <n v="1"/>
    <s v="Flagged"/>
    <n v="7672.9846299004812"/>
    <m/>
    <n v="3836.4923149502406"/>
    <n v="0"/>
    <n v="0"/>
  </r>
  <r>
    <s v="VenezulanosVE0516"/>
    <s v="Aragua"/>
    <s v="VE05"/>
    <s v="Zamora"/>
    <s v="VE0516"/>
    <m/>
    <n v="148029"/>
    <s v="Venezulanos"/>
    <n v="31124"/>
    <n v="4506.5957131958357"/>
    <n v="52229.00822088281"/>
    <n v="18335.03499985169"/>
    <n v="29531.719570815454"/>
    <n v="0"/>
    <n v="9479.6819822317611"/>
    <n v="10336.101849785409"/>
    <n v="0.2"/>
    <n v="0.05"/>
    <n v="0.35000000000000003"/>
    <n v="0.1"/>
    <n v="0.2"/>
    <n v="0"/>
    <n v="0.05"/>
    <n v="0.05"/>
    <n v="52229.00822088281"/>
    <s v="SAL"/>
    <n v="0.35282956867156307"/>
    <s v=""/>
    <s v=""/>
    <s v=""/>
    <n v="31124"/>
    <s v="SAMV"/>
    <n v="0.21025609846719223"/>
    <n v="21105.00822088281"/>
    <n v="0.67809433944489172"/>
    <s v=""/>
    <n v="29531.719570815454"/>
    <s v="PRO"/>
    <n v="0.19949955461980728"/>
    <n v="22697.288650067356"/>
    <n v="0.76857321483229224"/>
    <s v="Flagged"/>
    <s v=""/>
    <s v=""/>
    <s v=""/>
    <s v=""/>
    <x v="2"/>
    <n v="52229.00822088281"/>
    <m/>
    <m/>
    <n v="1"/>
    <s v="Flagged"/>
    <n v="52229.00822088281"/>
    <m/>
    <n v="26114.504110441405"/>
    <n v="0"/>
    <n v="0"/>
  </r>
  <r>
    <s v="VenezulanosVE0517"/>
    <s v="Aragua"/>
    <s v="VE05"/>
    <s v="Francisco Linares Alcantara"/>
    <s v="VE0517"/>
    <m/>
    <n v="125901"/>
    <s v="Venezulanos"/>
    <n v="8775"/>
    <n v="3880.6235656391223"/>
    <n v="44421.595525318458"/>
    <n v="15410.149695459808"/>
    <n v="25117.193426188365"/>
    <n v="0"/>
    <n v="8037.5018963802777"/>
    <n v="8791.0176991659282"/>
    <n v="0.05"/>
    <n v="0.05"/>
    <n v="0.35000000000000003"/>
    <n v="0.1"/>
    <n v="0.2"/>
    <n v="0"/>
    <n v="0.05"/>
    <n v="0.05"/>
    <n v="44421.595525318458"/>
    <s v="SAL"/>
    <n v="0.35282956867156307"/>
    <s v=""/>
    <s v=""/>
    <s v=""/>
    <n v="25117.193426188365"/>
    <s v="PRO"/>
    <n v="0.19949955461980734"/>
    <n v="19304.402099130093"/>
    <n v="0.76857321483229157"/>
    <s v=""/>
    <n v="15410.149695459808"/>
    <s v="EDU"/>
    <n v="0.12239894596119021"/>
    <n v="29011.445829858651"/>
    <n v="1.882619338759967"/>
    <s v="Flagged"/>
    <s v=""/>
    <s v=""/>
    <s v=""/>
    <s v=""/>
    <x v="3"/>
    <n v="0"/>
    <m/>
    <m/>
    <n v="1"/>
    <s v="Flagged"/>
    <n v="0"/>
    <m/>
    <n v="0"/>
    <n v="0"/>
    <n v="0"/>
  </r>
  <r>
    <s v="VenezulanosVE0518"/>
    <s v="Aragua"/>
    <s v="VE05"/>
    <s v="Ocumare De La Costa De Oro"/>
    <s v="VE0518"/>
    <m/>
    <n v="13105"/>
    <s v="Venezulanos"/>
    <n v="2184"/>
    <n v="425.99653851825843"/>
    <n v="4623.8314974408331"/>
    <n v="1213.8393721090986"/>
    <n v="2614.441663292575"/>
    <n v="0"/>
    <n v="839.23577391691663"/>
    <n v="915.05458215240117"/>
    <n v="0.15000000000000002"/>
    <n v="0.05"/>
    <n v="0.35000000000000003"/>
    <n v="0.1"/>
    <n v="0.2"/>
    <n v="0"/>
    <n v="0.05"/>
    <n v="0.05"/>
    <n v="4623.8314974408331"/>
    <s v="SAL"/>
    <n v="0.35282956867156301"/>
    <s v=""/>
    <s v=""/>
    <s v=""/>
    <n v="2614.441663292575"/>
    <s v="PRO"/>
    <n v="0.19949955461980731"/>
    <n v="2009.3898341482582"/>
    <n v="0.76857321483229168"/>
    <s v=""/>
    <n v="2184"/>
    <s v="SAMV"/>
    <n v="0.16665394887447538"/>
    <n v="2439.8314974408331"/>
    <n v="1.1171389640296856"/>
    <s v="Flagged"/>
    <s v=""/>
    <s v=""/>
    <s v=""/>
    <s v=""/>
    <x v="2"/>
    <n v="4623.8314974408331"/>
    <m/>
    <m/>
    <n v="1"/>
    <s v="Flagged"/>
    <n v="4623.8314974408331"/>
    <m/>
    <n v="2311.9157487204166"/>
    <n v="0"/>
    <n v="0"/>
  </r>
  <r>
    <s v="VenezulanosVE0601"/>
    <s v="Barinas"/>
    <s v="VE06"/>
    <s v="Alberto Arvelo Torrealba"/>
    <s v="VE0601"/>
    <m/>
    <n v="42163"/>
    <s v="Venezulanos"/>
    <n v="1562"/>
    <n v="1812.6728286743305"/>
    <n v="14876.353103899113"/>
    <n v="1947.0969898683175"/>
    <n v="6055.2513038751149"/>
    <n v="0"/>
    <n v="1937.6804172400368"/>
    <n v="2119.3379563562903"/>
    <n v="0.05"/>
    <n v="0.05"/>
    <n v="0.35000000000000003"/>
    <n v="0.05"/>
    <n v="0.15000000000000002"/>
    <n v="0"/>
    <n v="0.05"/>
    <n v="0.05"/>
    <n v="14876.353103899113"/>
    <s v="SAL"/>
    <n v="0.35282956867156307"/>
    <s v=""/>
    <s v=""/>
    <s v=""/>
    <n v="6055.2513038751149"/>
    <s v="PRO"/>
    <n v="0.14361528600609813"/>
    <n v="8821.1018000239983"/>
    <n v="1.4567689031137074"/>
    <s v="Flagged"/>
    <n v="1947.0969898683175"/>
    <s v="EDU"/>
    <n v="4.6180228870533822E-2"/>
    <n v="12929.256114030795"/>
    <n v="6.6402732793014092"/>
    <s v="Flagged"/>
    <s v=""/>
    <s v=""/>
    <s v=""/>
    <s v=""/>
    <x v="3"/>
    <n v="0"/>
    <m/>
    <m/>
    <n v="2"/>
    <s v="Flagged"/>
    <n v="0"/>
    <m/>
    <n v="0"/>
    <n v="0"/>
    <n v="0"/>
  </r>
  <r>
    <s v="VenezulanosVE0602"/>
    <s v="Barinas"/>
    <s v="VE06"/>
    <s v="Antonio José De Sucre"/>
    <s v="VE0602"/>
    <m/>
    <n v="83507"/>
    <s v="Venezulanos"/>
    <n v="8118"/>
    <n v="3306.2876662788221"/>
    <n v="29463.738791056214"/>
    <n v="8707.8034025486122"/>
    <n v="7195.7290131067421"/>
    <n v="11273.445"/>
    <n v="2302.6332841941576"/>
    <n v="2518.5051545873594"/>
    <n v="0.1"/>
    <n v="0.05"/>
    <n v="0.35000000000000003"/>
    <n v="0.1"/>
    <n v="0.1"/>
    <n v="0.15000000000000002"/>
    <n v="0.05"/>
    <n v="0.05"/>
    <n v="29463.738791056214"/>
    <s v="SAL"/>
    <n v="0.35282956867156301"/>
    <s v=""/>
    <s v=""/>
    <s v=""/>
    <n v="11273.445"/>
    <s v="ASH"/>
    <n v="0.13500000000000001"/>
    <n v="18190.293791056214"/>
    <n v="1.6135523605300965"/>
    <s v="Flagged"/>
    <n v="8707.8034025486122"/>
    <s v="EDU"/>
    <n v="0.10427632896102856"/>
    <n v="20755.935388507602"/>
    <n v="2.3836017453532223"/>
    <s v="Flagged"/>
    <s v=""/>
    <s v=""/>
    <s v=""/>
    <s v=""/>
    <x v="4"/>
    <n v="0"/>
    <m/>
    <m/>
    <n v="2"/>
    <s v="Flagged"/>
    <n v="0"/>
    <m/>
    <n v="0"/>
    <n v="0"/>
    <n v="0"/>
  </r>
  <r>
    <s v="VenezulanosVE0603"/>
    <s v="Barinas"/>
    <s v="VE06"/>
    <s v="Arismendi"/>
    <s v="VE0603"/>
    <m/>
    <n v="24259"/>
    <s v="Venezulanos"/>
    <n v="4906"/>
    <n v="910.18086668605383"/>
    <n v="8559.292506403448"/>
    <n v="1558.6935086411447"/>
    <n v="696.79264464438666"/>
    <n v="0"/>
    <n v="222.97364628620372"/>
    <n v="243.8774256255353"/>
    <n v="0.2"/>
    <n v="0.05"/>
    <n v="0.35000000000000003"/>
    <n v="0.05"/>
    <n v="0.05"/>
    <n v="0"/>
    <n v="0"/>
    <n v="0"/>
    <n v="8559.292506403448"/>
    <s v="SAL"/>
    <n v="0.35282956867156307"/>
    <s v=""/>
    <s v=""/>
    <s v=""/>
    <n v="4906"/>
    <s v="SAMV"/>
    <n v="0.20223422235046787"/>
    <n v="3653.292506403448"/>
    <n v="0.74465807305410681"/>
    <s v=""/>
    <n v="1558.6935086411447"/>
    <s v="EDU"/>
    <n v="6.4252174806922982E-2"/>
    <n v="7000.598997762303"/>
    <n v="4.4913249198460852"/>
    <s v="Flagged"/>
    <s v=""/>
    <s v=""/>
    <s v=""/>
    <s v=""/>
    <x v="2"/>
    <n v="8559.292506403448"/>
    <m/>
    <m/>
    <n v="1"/>
    <s v="Flagged"/>
    <n v="8559.292506403448"/>
    <m/>
    <n v="4279.646253201724"/>
    <n v="0"/>
    <n v="0"/>
  </r>
  <r>
    <s v="VenezulanosVE0604"/>
    <s v="Barinas"/>
    <s v="VE06"/>
    <s v="Barinas"/>
    <s v="VE0604"/>
    <m/>
    <n v="361844"/>
    <s v="Venezulanos"/>
    <n v="60911"/>
    <n v="17693.869597495635"/>
    <n v="127669.26244639306"/>
    <n v="32131.916071263273"/>
    <n v="51966.329549590555"/>
    <n v="0"/>
    <n v="16629.225455868978"/>
    <n v="18188.215342356692"/>
    <n v="0.15000000000000002"/>
    <n v="0.05"/>
    <n v="0.35000000000000003"/>
    <n v="0.1"/>
    <n v="0.15000000000000002"/>
    <n v="0"/>
    <n v="0.05"/>
    <n v="0.05"/>
    <n v="127669.26244639306"/>
    <s v="SAL"/>
    <n v="0.35282956867156301"/>
    <s v=""/>
    <s v=""/>
    <s v=""/>
    <n v="60911"/>
    <s v="SAMV"/>
    <n v="0.16833497308232276"/>
    <n v="66758.262446393055"/>
    <n v="1.0959968223538121"/>
    <s v="Flagged"/>
    <n v="51966.329549590555"/>
    <s v="PRO"/>
    <n v="0.14361528600609808"/>
    <n v="75702.932896802493"/>
    <n v="1.4567689031137079"/>
    <s v="Flagged"/>
    <s v=""/>
    <s v=""/>
    <s v=""/>
    <s v=""/>
    <x v="3"/>
    <n v="0"/>
    <m/>
    <m/>
    <n v="2"/>
    <s v="Flagged"/>
    <n v="0"/>
    <m/>
    <n v="0"/>
    <n v="0"/>
    <n v="0"/>
  </r>
  <r>
    <s v="VenezulanosVE0605"/>
    <s v="Barinas"/>
    <s v="VE06"/>
    <s v="Bolívar"/>
    <s v="VE0605"/>
    <m/>
    <n v="54059"/>
    <s v="Venezulanos"/>
    <n v="17100"/>
    <n v="2112.0067110644577"/>
    <n v="30269.730981355318"/>
    <n v="4205.5268157862192"/>
    <n v="7763.698746203655"/>
    <n v="0"/>
    <n v="2484.3835987851699"/>
    <n v="2717.2945611712789"/>
    <n v="0.30000000000000004"/>
    <n v="0.05"/>
    <n v="0.55000000000000004"/>
    <n v="0.1"/>
    <n v="0.15000000000000002"/>
    <n v="0"/>
    <n v="0.05"/>
    <n v="0.05"/>
    <n v="30269.730981355318"/>
    <s v="SAL"/>
    <n v="0.55993878875590219"/>
    <s v=""/>
    <s v=""/>
    <s v=""/>
    <n v="17100"/>
    <s v="SAMV"/>
    <n v="0.31632105662331894"/>
    <n v="13169.730981355318"/>
    <n v="0.77015970651200694"/>
    <s v=""/>
    <n v="7763.698746203655"/>
    <s v="PRO"/>
    <n v="0.14361528600609805"/>
    <n v="22506.032235151662"/>
    <n v="2.8988801563374431"/>
    <s v="Flagged"/>
    <s v=""/>
    <s v=""/>
    <s v=""/>
    <s v=""/>
    <x v="3"/>
    <n v="0"/>
    <m/>
    <m/>
    <n v="1"/>
    <s v="Flagged"/>
    <n v="0"/>
    <m/>
    <n v="0"/>
    <n v="0"/>
    <n v="0"/>
  </r>
  <r>
    <s v="VenezulanosVE0606"/>
    <s v="Barinas"/>
    <s v="VE06"/>
    <s v="Cruz Paredes"/>
    <s v="VE0606"/>
    <m/>
    <n v="26629"/>
    <s v="Venezulanos"/>
    <n v="5055"/>
    <n v="1231.0694342439137"/>
    <n v="13326.296658458316"/>
    <n v="1763.0692104279424"/>
    <n v="2294.5988706338317"/>
    <n v="0"/>
    <n v="734.27163860282621"/>
    <n v="803.10960472184104"/>
    <n v="0.2"/>
    <n v="0.05"/>
    <n v="0.5"/>
    <n v="0.05"/>
    <n v="0.1"/>
    <n v="0"/>
    <n v="0.05"/>
    <n v="0.05"/>
    <n v="13326.296658458316"/>
    <s v="SAL"/>
    <n v="0.50044300043029466"/>
    <s v=""/>
    <s v=""/>
    <s v=""/>
    <n v="5055"/>
    <s v="SAMV"/>
    <n v="0.18983063577302942"/>
    <n v="8271.2966584583155"/>
    <n v="1.6362604665595084"/>
    <s v="Flagged"/>
    <n v="2294.5988706338317"/>
    <s v="PRO"/>
    <n v="8.6169171603658862E-2"/>
    <n v="11031.697787824483"/>
    <n v="4.8076803004689106"/>
    <s v="Flagged"/>
    <s v=""/>
    <s v=""/>
    <s v=""/>
    <s v=""/>
    <x v="2"/>
    <n v="13326.296658458316"/>
    <m/>
    <m/>
    <n v="2"/>
    <s v="Flagged"/>
    <n v="13326.296658458316"/>
    <m/>
    <n v="6663.1483292291578"/>
    <n v="0"/>
    <n v="0"/>
  </r>
  <r>
    <s v="VenezulanosVE0607"/>
    <s v="Barinas"/>
    <s v="VE06"/>
    <s v="Ezequiel Zamora"/>
    <s v="VE0607"/>
    <m/>
    <n v="54787"/>
    <s v="Venezulanos"/>
    <n v="5870"/>
    <n v="2350.918913724151"/>
    <n v="19330.47357880892"/>
    <n v="4358.0776772139025"/>
    <n v="9441.9008092993136"/>
    <n v="0"/>
    <n v="3030.8501597850795"/>
    <n v="3304.6652832547597"/>
    <n v="0.1"/>
    <n v="0.05"/>
    <n v="0.35000000000000003"/>
    <n v="0.1"/>
    <n v="0.15000000000000002"/>
    <n v="0"/>
    <n v="0.05"/>
    <n v="0.05"/>
    <n v="19330.47357880892"/>
    <s v="SAL"/>
    <n v="0.35282956867156295"/>
    <s v=""/>
    <s v=""/>
    <s v=""/>
    <n v="9441.9008092993136"/>
    <s v="PRO"/>
    <n v="0.17233834320731767"/>
    <n v="9888.5727695096066"/>
    <n v="1.0473074192614231"/>
    <s v="Flagged"/>
    <n v="5870"/>
    <s v="SAMV"/>
    <n v="0.10714220526767299"/>
    <n v="13460.47357880892"/>
    <n v="2.2930960100185556"/>
    <s v="Flagged"/>
    <s v=""/>
    <s v=""/>
    <s v=""/>
    <s v=""/>
    <x v="3"/>
    <n v="0"/>
    <m/>
    <m/>
    <n v="2"/>
    <s v="Flagged"/>
    <n v="0"/>
    <m/>
    <n v="0"/>
    <n v="0"/>
    <n v="0"/>
  </r>
  <r>
    <s v="VenezulanosVE0608"/>
    <s v="Barinas"/>
    <s v="VE06"/>
    <s v="Obispos"/>
    <s v="VE0608"/>
    <m/>
    <n v="38344"/>
    <s v="Venezulanos"/>
    <n v="7736"/>
    <n v="1587.675273980743"/>
    <n v="13528.896981142412"/>
    <n v="2906.6436473137446"/>
    <n v="5506.7845266178247"/>
    <n v="0"/>
    <n v="1767.6778330443217"/>
    <n v="1927.3745843162387"/>
    <n v="0.2"/>
    <n v="0.05"/>
    <n v="0.35000000000000003"/>
    <n v="0.1"/>
    <n v="0.15000000000000002"/>
    <n v="0"/>
    <n v="0.05"/>
    <n v="0.05"/>
    <n v="13528.896981142412"/>
    <s v="SAL"/>
    <n v="0.35282956867156301"/>
    <s v=""/>
    <s v=""/>
    <s v=""/>
    <n v="7736"/>
    <s v="SAMV"/>
    <n v="0.20175255581055707"/>
    <n v="5792.8969811424122"/>
    <n v="0.74882329125418978"/>
    <s v=""/>
    <n v="5506.7845266178247"/>
    <s v="PRO"/>
    <n v="0.14361528600609808"/>
    <n v="8022.1124545245875"/>
    <n v="1.4567689031137079"/>
    <s v="Flagged"/>
    <s v=""/>
    <s v=""/>
    <s v=""/>
    <s v=""/>
    <x v="2"/>
    <n v="13528.896981142412"/>
    <m/>
    <m/>
    <n v="1"/>
    <s v="Flagged"/>
    <n v="13528.896981142412"/>
    <m/>
    <n v="6764.4484905712061"/>
    <n v="0"/>
    <n v="0"/>
  </r>
  <r>
    <s v="VenezulanosVE0609"/>
    <s v="Barinas"/>
    <s v="VE06"/>
    <s v="Pedraza"/>
    <s v="VE0609"/>
    <m/>
    <n v="66873"/>
    <s v="Venezulanos"/>
    <n v="3843"/>
    <n v="2735.4918458675638"/>
    <n v="23594.77174577344"/>
    <n v="3993.8365335946228"/>
    <n v="5762.3910126514802"/>
    <n v="9027.8549999999996"/>
    <n v="1849.7275150611254"/>
    <n v="2016.8368544280179"/>
    <n v="0.05"/>
    <n v="0.05"/>
    <n v="0.35000000000000003"/>
    <n v="0.05"/>
    <n v="0.1"/>
    <n v="0.15000000000000002"/>
    <n v="0.05"/>
    <n v="0.05"/>
    <n v="23594.77174577344"/>
    <s v="SAL"/>
    <n v="0.35282956867156312"/>
    <s v=""/>
    <s v=""/>
    <s v=""/>
    <n v="9027.8549999999996"/>
    <s v="ASH"/>
    <n v="0.13499999999999998"/>
    <n v="14566.91674577344"/>
    <n v="1.6135523605300972"/>
    <s v="Flagged"/>
    <n v="5762.3910126514802"/>
    <s v="PRO"/>
    <n v="8.6169171603658876E-2"/>
    <n v="17832.380733121958"/>
    <n v="3.0946148385228458"/>
    <s v="Flagged"/>
    <s v=""/>
    <s v=""/>
    <s v=""/>
    <s v=""/>
    <x v="3"/>
    <n v="0"/>
    <m/>
    <m/>
    <n v="2"/>
    <s v="Flagged"/>
    <n v="0"/>
    <m/>
    <n v="0"/>
    <n v="0"/>
    <n v="0"/>
  </r>
  <r>
    <s v="VenezulanosVE0610"/>
    <s v="Barinas"/>
    <s v="VE06"/>
    <s v="Rojas"/>
    <s v="VE0610"/>
    <m/>
    <n v="41032"/>
    <s v="Venezulanos"/>
    <n v="5699"/>
    <n v="1722.2307831849673"/>
    <n v="14477.302861731576"/>
    <n v="1658.9896070815421"/>
    <n v="5892.8224154022146"/>
    <n v="5539.3200000000006"/>
    <n v="1891.5959953441111"/>
    <n v="2062.487845390775"/>
    <n v="0.15000000000000002"/>
    <n v="0.05"/>
    <n v="0.35000000000000003"/>
    <n v="0.05"/>
    <n v="0.15000000000000002"/>
    <n v="0.15000000000000002"/>
    <n v="0.05"/>
    <n v="0.05"/>
    <n v="14477.302861731576"/>
    <s v="SAL"/>
    <n v="0.35282956867156307"/>
    <s v=""/>
    <s v=""/>
    <s v=""/>
    <n v="5892.8224154022146"/>
    <s v="PRO"/>
    <n v="0.14361528600609805"/>
    <n v="8584.4804463293622"/>
    <n v="1.4567689031137092"/>
    <s v="Flagged"/>
    <n v="5699"/>
    <s v="SAMV"/>
    <n v="0.1388915968024956"/>
    <n v="8778.3028617315758"/>
    <n v="1.5403233658065583"/>
    <s v="Flagged"/>
    <s v=""/>
    <s v=""/>
    <s v=""/>
    <s v=""/>
    <x v="2"/>
    <n v="14477.302861731576"/>
    <m/>
    <m/>
    <n v="2"/>
    <s v="Flagged"/>
    <n v="14477.302861731576"/>
    <m/>
    <n v="7238.6514308657879"/>
    <n v="0"/>
    <n v="0"/>
  </r>
  <r>
    <s v="VenezulanosVE0611"/>
    <s v="Barinas"/>
    <s v="VE06"/>
    <s v="Sosa"/>
    <s v="VE0611"/>
    <m/>
    <n v="24685"/>
    <s v="Venezulanos"/>
    <n v="4452"/>
    <n v="1025.3949492626957"/>
    <n v="8709.5979026575333"/>
    <n v="1095.9410729399117"/>
    <n v="709.02866701210633"/>
    <n v="0"/>
    <n v="226.88917344387403"/>
    <n v="248.16003345423721"/>
    <n v="0.2"/>
    <n v="0.05"/>
    <n v="0.35000000000000003"/>
    <n v="0.05"/>
    <n v="0.05"/>
    <n v="0"/>
    <n v="0"/>
    <n v="0"/>
    <n v="8709.5979026575333"/>
    <s v="SAL"/>
    <n v="0.35282956867156301"/>
    <s v=""/>
    <s v=""/>
    <s v=""/>
    <n v="4452"/>
    <s v="SAMV"/>
    <n v="0.18035244075349402"/>
    <n v="4257.5979026575333"/>
    <n v="0.95633376070474696"/>
    <s v=""/>
    <n v="1095.9410729399117"/>
    <s v="EDU"/>
    <n v="4.4397045693332457E-2"/>
    <n v="7613.6568297176218"/>
    <n v="6.9471406973493943"/>
    <s v="Flagged"/>
    <s v=""/>
    <s v=""/>
    <s v=""/>
    <s v=""/>
    <x v="3"/>
    <n v="0"/>
    <m/>
    <m/>
    <n v="1"/>
    <s v="Flagged"/>
    <n v="0"/>
    <m/>
    <n v="0"/>
    <n v="0"/>
    <n v="0"/>
  </r>
  <r>
    <s v="VenezulanosVE0612"/>
    <s v="Barinas"/>
    <s v="VE06"/>
    <s v="Andrés Eloy Blanco"/>
    <s v="VE0612"/>
    <m/>
    <n v="16503"/>
    <s v="Venezulanos"/>
    <n v="2477"/>
    <n v="651.86717274777004"/>
    <n v="6218.9384406138806"/>
    <n v="234.60195846867936"/>
    <n v="2370.0830649586369"/>
    <n v="0"/>
    <n v="758.42658078676368"/>
    <n v="829.52907273552273"/>
    <n v="0.15000000000000002"/>
    <n v="0.05"/>
    <n v="0.4"/>
    <n v="0"/>
    <n v="0.15000000000000002"/>
    <n v="0"/>
    <n v="0.05"/>
    <n v="0.05"/>
    <n v="6218.9384406138806"/>
    <s v="SAL"/>
    <n v="0.37683684424734171"/>
    <s v=""/>
    <s v=""/>
    <s v=""/>
    <n v="2477"/>
    <s v="SAMV"/>
    <n v="0.15009392231715446"/>
    <n v="3741.9384406138806"/>
    <n v="1.5106735731182401"/>
    <s v="Flagged"/>
    <n v="2370.0830649586369"/>
    <s v="PRO"/>
    <n v="0.1436152860060981"/>
    <n v="3848.8553756552437"/>
    <n v="1.6239326935667611"/>
    <s v="Flagged"/>
    <s v=""/>
    <s v=""/>
    <s v=""/>
    <s v=""/>
    <x v="3"/>
    <n v="0"/>
    <m/>
    <m/>
    <n v="2"/>
    <s v="Flagged"/>
    <n v="0"/>
    <m/>
    <n v="0"/>
    <n v="0"/>
    <n v="0"/>
  </r>
  <r>
    <s v="VenezulanosVE0701"/>
    <s v="Bolívar"/>
    <s v="VE07"/>
    <s v="Caroní"/>
    <s v="VE0701"/>
    <m/>
    <n v="722701"/>
    <s v="Venezulanos"/>
    <n v="146423"/>
    <n v="55309.995561158947"/>
    <n v="254990.28210850726"/>
    <n v="84391.477761359143"/>
    <n v="173168.10367716607"/>
    <n v="325215.45"/>
    <n v="55586.961280370306"/>
    <n v="60608.836287008126"/>
    <n v="0.2"/>
    <n v="0.1"/>
    <n v="0.35000000000000003"/>
    <n v="0.1"/>
    <n v="0.25"/>
    <n v="0.45"/>
    <n v="0.1"/>
    <n v="0.1"/>
    <n v="325215.45"/>
    <s v="ASH"/>
    <n v="0.45"/>
    <s v=""/>
    <s v=""/>
    <s v=""/>
    <n v="254990.28210850726"/>
    <s v="SAL"/>
    <n v="0.35282956867156301"/>
    <n v="70225.167891492747"/>
    <n v="0.27540331070973711"/>
    <s v=""/>
    <n v="173168.10367716607"/>
    <s v="PRO"/>
    <n v="0.23961237590257392"/>
    <n v="152047.34632283394"/>
    <n v="0.87803321220340236"/>
    <s v="Flagged"/>
    <s v=""/>
    <s v=""/>
    <s v=""/>
    <s v=""/>
    <x v="3"/>
    <n v="0"/>
    <m/>
    <m/>
    <n v="1"/>
    <s v="Flagged"/>
    <n v="0"/>
    <m/>
    <n v="0"/>
    <n v="0"/>
    <n v="0"/>
  </r>
  <r>
    <s v="VenezulanosVE0702"/>
    <s v="Bolívar"/>
    <s v="VE07"/>
    <s v="Cedeño"/>
    <s v="VE0702"/>
    <m/>
    <n v="68514"/>
    <s v="Venezulanos"/>
    <n v="6471"/>
    <n v="4003.4646790787765"/>
    <n v="24431.543873840244"/>
    <n v="4618.1501085536829"/>
    <n v="13680.668602157461"/>
    <n v="41108.400000000001"/>
    <n v="4377.8139526903869"/>
    <n v="4788.2340107551108"/>
    <n v="0.1"/>
    <n v="0.05"/>
    <n v="0.35000000000000003"/>
    <n v="0.05"/>
    <n v="0.2"/>
    <n v="0.60000000000000009"/>
    <n v="0.05"/>
    <n v="0.05"/>
    <n v="41108.400000000001"/>
    <s v="ASH"/>
    <n v="0.6"/>
    <s v=""/>
    <s v=""/>
    <s v=""/>
    <n v="24431.543873840244"/>
    <s v="SAL"/>
    <n v="0.35659199395510766"/>
    <n v="16676.856126159757"/>
    <n v="0.68259526341338916"/>
    <s v=""/>
    <n v="13680.668602157461"/>
    <s v="PRO"/>
    <n v="0.19967697991881164"/>
    <n v="27427.731397842541"/>
    <n v="2.004853139525443"/>
    <s v="Flagged"/>
    <s v=""/>
    <s v=""/>
    <s v=""/>
    <s v=""/>
    <x v="2"/>
    <n v="41108.400000000001"/>
    <m/>
    <m/>
    <n v="1"/>
    <s v="Flagged"/>
    <n v="41108.400000000001"/>
    <m/>
    <n v="20554.2"/>
    <n v="0"/>
    <n v="0"/>
  </r>
  <r>
    <s v="VenezulanosVE0703"/>
    <s v="Bolívar"/>
    <s v="VE07"/>
    <s v="El Callao"/>
    <s v="VE0703"/>
    <m/>
    <n v="22263"/>
    <s v="Venezulanos"/>
    <n v="9894"/>
    <n v="1291.7422728640395"/>
    <n v="7855.0446873350083"/>
    <n v="2363.3583442033496"/>
    <n v="4445.408603932503"/>
    <n v="17810.400000000001"/>
    <n v="1422.5307532584011"/>
    <n v="1555.8930113763761"/>
    <n v="0.45"/>
    <n v="0.05"/>
    <n v="0.35000000000000003"/>
    <n v="0.1"/>
    <n v="0.2"/>
    <n v="0.8"/>
    <n v="0.05"/>
    <n v="0.05"/>
    <n v="17810.400000000001"/>
    <s v="ASH"/>
    <n v="0.8"/>
    <s v=""/>
    <s v=""/>
    <s v=""/>
    <n v="9894"/>
    <s v="SAMV"/>
    <n v="0.44441449939361272"/>
    <n v="7916.4000000000015"/>
    <n v="0.80012128562765328"/>
    <s v=""/>
    <n v="7855.0446873350083"/>
    <s v="SAL"/>
    <n v="0.35282956867156307"/>
    <n v="9955.3553126649931"/>
    <n v="1.267383663483977"/>
    <s v="Flagged"/>
    <s v=""/>
    <s v=""/>
    <s v=""/>
    <s v=""/>
    <x v="3"/>
    <n v="0"/>
    <m/>
    <m/>
    <n v="1"/>
    <s v="Flagged"/>
    <n v="0"/>
    <m/>
    <n v="0"/>
    <n v="0"/>
    <n v="0"/>
  </r>
  <r>
    <s v="VenezulanosVE0704"/>
    <s v="Bolívar"/>
    <s v="VE07"/>
    <s v="Gran Sabana"/>
    <s v="VE0704"/>
    <m/>
    <n v="29091"/>
    <s v="Venezulanos"/>
    <n v="1763"/>
    <n v="1991.3478835207732"/>
    <n v="14214.716435688868"/>
    <n v="7128.4096028049971"/>
    <n v="6970.563627381779"/>
    <n v="3927.2849999999999"/>
    <n v="2230.5803607621692"/>
    <n v="2439.6972695836225"/>
    <n v="0.05"/>
    <n v="0.05"/>
    <n v="0.5"/>
    <n v="0.25"/>
    <n v="0.25"/>
    <n v="0.15000000000000002"/>
    <n v="0.1"/>
    <n v="0.1"/>
    <n v="14214.716435688868"/>
    <s v="SAL"/>
    <n v="0.48862935051008449"/>
    <s v=""/>
    <s v=""/>
    <s v=""/>
    <n v="7128.4096028049971"/>
    <s v="EDU"/>
    <n v="0.24503831435168943"/>
    <n v="7086.3068328838708"/>
    <n v="0.9940936657309144"/>
    <s v=""/>
    <n v="6970.563627381779"/>
    <s v="PRO"/>
    <n v="0.23961237590257395"/>
    <n v="7244.1528083070889"/>
    <n v="1.0392492193673688"/>
    <s v="Flagged"/>
    <s v=""/>
    <s v=""/>
    <s v=""/>
    <s v=""/>
    <x v="2"/>
    <n v="14214.716435688868"/>
    <m/>
    <m/>
    <n v="1"/>
    <s v="Flagged"/>
    <n v="14214.716435688868"/>
    <m/>
    <n v="7107.358217844434"/>
    <n v="0"/>
    <n v="0"/>
  </r>
  <r>
    <s v="VenezulanosVE0705"/>
    <s v="Bolívar"/>
    <s v="VE07"/>
    <s v="Angostura Del Orinoco"/>
    <s v="VE0705"/>
    <m/>
    <n v="350010"/>
    <s v="Venezulanos"/>
    <n v="112245"/>
    <n v="12970.93718897102"/>
    <n v="123493.87733073377"/>
    <n v="44158.500390264089"/>
    <n v="83866.727689659892"/>
    <n v="210006"/>
    <n v="26837.352860691164"/>
    <n v="29353.354691380962"/>
    <n v="0.30000000000000004"/>
    <n v="0.05"/>
    <n v="0.35000000000000003"/>
    <n v="0.15000000000000002"/>
    <n v="0.25"/>
    <n v="0.60000000000000009"/>
    <n v="0.1"/>
    <n v="0.1"/>
    <n v="210006"/>
    <s v="ASH"/>
    <n v="0.6"/>
    <s v=""/>
    <s v=""/>
    <s v=""/>
    <n v="123493.87733073377"/>
    <s v="SAL"/>
    <n v="0.35282956867156301"/>
    <n v="86512.122669266231"/>
    <n v="0.70053774761298282"/>
    <s v=""/>
    <n v="112245"/>
    <s v="SAMV"/>
    <n v="0.3206908374046456"/>
    <n v="97761"/>
    <n v="0.87096084458105039"/>
    <s v="Flagged"/>
    <s v=""/>
    <s v=""/>
    <s v=""/>
    <s v=""/>
    <x v="3"/>
    <n v="0"/>
    <m/>
    <m/>
    <n v="1"/>
    <s v="Flagged"/>
    <n v="0"/>
    <m/>
    <n v="0"/>
    <n v="0"/>
    <n v="0"/>
  </r>
  <r>
    <s v="VenezulanosVE0706"/>
    <s v="Bolívar"/>
    <s v="VE07"/>
    <s v="Piar"/>
    <s v="VE0706"/>
    <m/>
    <n v="100488"/>
    <s v="Venezulanos"/>
    <n v="2512"/>
    <n v="7859.3203884388549"/>
    <n v="35455.137696668025"/>
    <n v="6927.7815860897972"/>
    <n v="24078.168429697846"/>
    <n v="45219.6"/>
    <n v="7705.0138975033105"/>
    <n v="8427.3589503942458"/>
    <n v="0"/>
    <n v="0.1"/>
    <n v="0.35000000000000003"/>
    <n v="0.05"/>
    <n v="0.25"/>
    <n v="0.45"/>
    <n v="0.1"/>
    <n v="0.1"/>
    <n v="45219.6"/>
    <s v="ASH"/>
    <n v="0.45"/>
    <s v=""/>
    <s v=""/>
    <s v=""/>
    <n v="35455.137696668025"/>
    <s v="SAL"/>
    <n v="0.35282956867156301"/>
    <n v="9764.4623033319731"/>
    <n v="0.275403310709737"/>
    <s v=""/>
    <n v="24078.168429697846"/>
    <s v="PRO"/>
    <n v="0.23961237590257389"/>
    <n v="21141.431570302153"/>
    <n v="0.87803321220340236"/>
    <s v="Flagged"/>
    <s v=""/>
    <s v=""/>
    <s v=""/>
    <s v=""/>
    <x v="2"/>
    <n v="45219.6"/>
    <m/>
    <m/>
    <n v="1"/>
    <s v="Flagged"/>
    <n v="45219.6"/>
    <m/>
    <n v="22609.8"/>
    <n v="0"/>
    <n v="0"/>
  </r>
  <r>
    <s v="VenezulanosVE0707"/>
    <s v="Bolívar"/>
    <s v="VE07"/>
    <s v="Bolivariano Angostura"/>
    <s v="VE0707"/>
    <m/>
    <n v="41853"/>
    <s v="Venezulanos"/>
    <n v="21591"/>
    <n v="1297.1731768772693"/>
    <n v="17768.395544611089"/>
    <n v="3621.390173575317"/>
    <n v="10028.49676865043"/>
    <n v="2825.0775000000003"/>
    <n v="3219.1474627367879"/>
    <n v="3509.9738690276508"/>
    <n v="0.5"/>
    <n v="0.05"/>
    <n v="0.4"/>
    <n v="0.1"/>
    <n v="0.25"/>
    <n v="0.05"/>
    <n v="0.1"/>
    <n v="0.1"/>
    <n v="21591"/>
    <s v="SAMV"/>
    <n v="0.51587699806465481"/>
    <s v=""/>
    <s v=""/>
    <s v=""/>
    <n v="17768.395544611089"/>
    <s v="SAL"/>
    <n v="0.42454293705615104"/>
    <n v="3822.6044553889114"/>
    <n v="0.21513503826451313"/>
    <s v=""/>
    <n v="10028.49676865043"/>
    <s v="PRO"/>
    <n v="0.239612375902574"/>
    <n v="11562.50323134957"/>
    <n v="1.1529647461715817"/>
    <s v="Flagged"/>
    <s v=""/>
    <s v=""/>
    <s v=""/>
    <s v=""/>
    <x v="2"/>
    <n v="21591"/>
    <m/>
    <m/>
    <n v="1"/>
    <s v="Flagged"/>
    <n v="21591"/>
    <m/>
    <n v="10795.5"/>
    <n v="0"/>
    <n v="0"/>
  </r>
  <r>
    <s v="VenezulanosVE0708"/>
    <s v="Bolívar"/>
    <s v="VE07"/>
    <s v="Roscio"/>
    <s v="VE0708"/>
    <m/>
    <n v="22248"/>
    <s v="Venezulanos"/>
    <n v="7045"/>
    <n v="1855.7296584467563"/>
    <n v="7849.7522438049346"/>
    <n v="3844.302297622447"/>
    <n v="5330.8961390804643"/>
    <n v="13348.8"/>
    <n v="1705.8867645057487"/>
    <n v="1865.8136486781621"/>
    <n v="0.30000000000000004"/>
    <n v="0.1"/>
    <n v="0.35000000000000003"/>
    <n v="0.15000000000000002"/>
    <n v="0.25"/>
    <n v="0.60000000000000009"/>
    <n v="0.1"/>
    <n v="0.1"/>
    <n v="13348.8"/>
    <s v="ASH"/>
    <n v="0.6"/>
    <s v=""/>
    <s v=""/>
    <s v=""/>
    <n v="7849.7522438049346"/>
    <s v="SAL"/>
    <n v="0.35282956867156307"/>
    <n v="5499.0477561950647"/>
    <n v="0.7005377476129826"/>
    <s v=""/>
    <n v="7045"/>
    <s v="SAMV"/>
    <n v="0.31665767709457032"/>
    <n v="6303.7999999999993"/>
    <n v="0.89479063165365502"/>
    <s v="Flagged"/>
    <s v=""/>
    <s v=""/>
    <s v=""/>
    <s v=""/>
    <x v="0"/>
    <n v="13348.8"/>
    <m/>
    <m/>
    <n v="1"/>
    <s v="Flagged"/>
    <n v="13348.8"/>
    <m/>
    <n v="13348.8"/>
    <n v="13348.8"/>
    <n v="0"/>
  </r>
  <r>
    <s v="VenezulanosVE0709"/>
    <s v="Bolívar"/>
    <s v="VE07"/>
    <s v="Sifontes"/>
    <s v="VE0709"/>
    <m/>
    <n v="51214"/>
    <s v="Venezulanos"/>
    <n v="8130"/>
    <n v="2832.2792786890295"/>
    <n v="24600.978217069216"/>
    <n v="11016.833570855109"/>
    <n v="12271.508219474423"/>
    <n v="30728.399999999998"/>
    <n v="3926.8826302318153"/>
    <n v="4295.0278768160479"/>
    <n v="0.15000000000000002"/>
    <n v="0.05"/>
    <n v="0.5"/>
    <n v="0.2"/>
    <n v="0.25"/>
    <n v="0.60000000000000009"/>
    <n v="0.1"/>
    <n v="0.1"/>
    <n v="30728.399999999998"/>
    <s v="ASH"/>
    <n v="0.6"/>
    <s v=""/>
    <s v=""/>
    <s v=""/>
    <n v="24600.978217069216"/>
    <s v="SAL"/>
    <n v="0.48035650831938953"/>
    <n v="6127.4217829307818"/>
    <n v="0.24907228195825618"/>
    <s v=""/>
    <n v="12271.508219474423"/>
    <s v="PRO"/>
    <n v="0.23961237590257395"/>
    <n v="18456.891780525577"/>
    <n v="1.5040442829378693"/>
    <s v="Flagged"/>
    <s v=""/>
    <s v=""/>
    <s v=""/>
    <s v=""/>
    <x v="2"/>
    <n v="30728.399999999998"/>
    <m/>
    <m/>
    <n v="1"/>
    <s v="Flagged"/>
    <n v="30728.399999999998"/>
    <m/>
    <n v="15364.199999999999"/>
    <n v="0"/>
    <n v="0"/>
  </r>
  <r>
    <s v="VenezulanosVE0710"/>
    <s v="Bolívar"/>
    <s v="VE07"/>
    <s v="Sucre"/>
    <s v="VE0710"/>
    <m/>
    <n v="20817"/>
    <s v="Venezulanos"/>
    <n v="7980"/>
    <n v="1849.4484320327797"/>
    <n v="11549.457103997207"/>
    <n v="1194.7859218025274"/>
    <n v="4988.0108291638817"/>
    <n v="12490.199999999999"/>
    <n v="1596.1634653324422"/>
    <n v="1745.8037902073586"/>
    <n v="0.4"/>
    <n v="0.1"/>
    <n v="0.55000000000000004"/>
    <n v="0.05"/>
    <n v="0.25"/>
    <n v="0.60000000000000009"/>
    <n v="0.1"/>
    <n v="0.1"/>
    <n v="12490.199999999999"/>
    <s v="ASH"/>
    <n v="0.6"/>
    <s v=""/>
    <s v=""/>
    <s v=""/>
    <n v="11549.457103997207"/>
    <s v="SAL"/>
    <n v="0.55480891117822961"/>
    <n v="940.74289600279189"/>
    <n v="8.1453430021157069E-2"/>
    <s v=""/>
    <n v="7980"/>
    <s v="SAMV"/>
    <n v="0.38334053898256232"/>
    <n v="4510.1999999999989"/>
    <n v="0.56518796992481191"/>
    <s v="Flagged"/>
    <s v=""/>
    <s v=""/>
    <s v=""/>
    <s v=""/>
    <x v="2"/>
    <n v="12490.199999999999"/>
    <m/>
    <m/>
    <n v="1"/>
    <s v="Flagged"/>
    <n v="12490.199999999999"/>
    <m/>
    <n v="6245.0999999999995"/>
    <n v="0"/>
    <n v="0"/>
  </r>
  <r>
    <s v="VenezulanosVE0711"/>
    <s v="Bolívar"/>
    <s v="VE07"/>
    <s v="Padre Pedro Chien"/>
    <s v="VE0711"/>
    <m/>
    <n v="15835"/>
    <s v="Venezulanos"/>
    <n v="13950"/>
    <n v="597.86705223600529"/>
    <n v="5587.0562199141996"/>
    <n v="1818.0582824920004"/>
    <n v="3794.2619724172582"/>
    <n v="1068.8625"/>
    <n v="1214.1638311735226"/>
    <n v="1327.9916903460405"/>
    <n v="0.9"/>
    <n v="0.05"/>
    <n v="0.35000000000000003"/>
    <n v="0.1"/>
    <n v="0.25"/>
    <n v="0.05"/>
    <n v="0.1"/>
    <n v="0.1"/>
    <n v="13950"/>
    <s v="SAMV"/>
    <n v="0.88095989895800442"/>
    <s v=""/>
    <s v=""/>
    <s v=""/>
    <n v="5587.0562199141996"/>
    <s v="SAL"/>
    <n v="0.35282956867156295"/>
    <n v="8362.9437800857995"/>
    <n v="1.496842603852343"/>
    <s v="Flagged"/>
    <n v="3794.2619724172582"/>
    <s v="PRO"/>
    <n v="0.23961237590257392"/>
    <n v="10155.738027582742"/>
    <n v="2.6766043308055236"/>
    <s v="Flagged"/>
    <s v=""/>
    <s v=""/>
    <s v=""/>
    <s v=""/>
    <x v="2"/>
    <n v="13950"/>
    <m/>
    <m/>
    <n v="2"/>
    <s v="Flagged"/>
    <n v="13950"/>
    <m/>
    <n v="6975"/>
    <n v="0"/>
    <n v="0"/>
  </r>
  <r>
    <s v="VenezulanosVE0801"/>
    <s v="Carabobo"/>
    <s v="VE08"/>
    <s v="Bejuma"/>
    <s v="VE0801"/>
    <m/>
    <n v="49631"/>
    <s v="Venezulanos"/>
    <n v="6633"/>
    <n v="2740.1407555150554"/>
    <n v="17511.284322738342"/>
    <n v="6869.3296573939679"/>
    <n v="9858.3672104852449"/>
    <n v="0"/>
    <n v="3164.5358745657636"/>
    <n v="3450.4285236698356"/>
    <n v="0.15000000000000002"/>
    <n v="0.05"/>
    <n v="0.35000000000000003"/>
    <n v="0.15000000000000002"/>
    <n v="0.2"/>
    <n v="0"/>
    <n v="0.05"/>
    <n v="0.05"/>
    <n v="17511.284322738342"/>
    <s v="SAL"/>
    <n v="0.35282956867156295"/>
    <s v=""/>
    <s v=""/>
    <s v=""/>
    <n v="9858.3672104852449"/>
    <s v="PRO"/>
    <n v="0.19863325765117054"/>
    <n v="7652.917112253097"/>
    <n v="0.77628647308993959"/>
    <s v=""/>
    <n v="6869.3296573939679"/>
    <s v="EDU"/>
    <n v="0.13840804451641048"/>
    <n v="10641.954665344374"/>
    <n v="1.549198421987166"/>
    <s v="Flagged"/>
    <s v=""/>
    <s v=""/>
    <s v=""/>
    <s v=""/>
    <x v="0"/>
    <n v="17511.284322738342"/>
    <m/>
    <m/>
    <n v="1"/>
    <s v="Flagged"/>
    <n v="17511.284322738342"/>
    <m/>
    <n v="17511.284322738342"/>
    <n v="17511.284322738342"/>
    <n v="0"/>
  </r>
  <r>
    <s v="VenezulanosVE0802"/>
    <s v="Carabobo"/>
    <s v="VE08"/>
    <s v="Carlos Arvelo"/>
    <s v="VE0802"/>
    <m/>
    <n v="153665"/>
    <s v="Venezulanos"/>
    <n v="21230"/>
    <n v="10679.864389374021"/>
    <n v="54217.555669915731"/>
    <n v="19383.11853008662"/>
    <n v="30522.979536967126"/>
    <n v="0"/>
    <n v="9797.8764313664469"/>
    <n v="10683.042837938494"/>
    <n v="0.15000000000000002"/>
    <n v="0.05"/>
    <n v="0.35000000000000003"/>
    <n v="0.15000000000000002"/>
    <n v="0.2"/>
    <n v="0"/>
    <n v="0.05"/>
    <n v="0.05"/>
    <n v="54217.555669915731"/>
    <s v="SAL"/>
    <n v="0.35282956867156301"/>
    <s v=""/>
    <s v=""/>
    <s v=""/>
    <n v="30522.979536967126"/>
    <s v="PRO"/>
    <n v="0.19863325765117057"/>
    <n v="23694.576132948605"/>
    <n v="0.77628647308993948"/>
    <s v=""/>
    <n v="21230"/>
    <s v="SAMV"/>
    <n v="0.13815768066898773"/>
    <n v="32987.555669915731"/>
    <n v="1.5538179778575474"/>
    <s v="Flagged"/>
    <s v=""/>
    <s v=""/>
    <s v=""/>
    <s v=""/>
    <x v="2"/>
    <n v="54217.555669915731"/>
    <m/>
    <m/>
    <n v="1"/>
    <s v="Flagged"/>
    <n v="54217.555669915731"/>
    <m/>
    <n v="27108.777834957866"/>
    <n v="0"/>
    <n v="0"/>
  </r>
  <r>
    <s v="VenezulanosVE0803"/>
    <s v="Carabobo"/>
    <s v="VE08"/>
    <s v="Diego Ibarra"/>
    <s v="VE0803"/>
    <m/>
    <n v="106893"/>
    <s v="Venezulanos"/>
    <n v="4157"/>
    <n v="3921.4168690948582"/>
    <n v="37715.011084009384"/>
    <n v="17343.303575727121"/>
    <n v="25479.00577212789"/>
    <n v="0"/>
    <n v="8153.2818470809252"/>
    <n v="8917.6520202447609"/>
    <n v="0.05"/>
    <n v="0.05"/>
    <n v="0.35000000000000003"/>
    <n v="0.15000000000000002"/>
    <n v="0.25"/>
    <n v="0"/>
    <n v="0.1"/>
    <n v="0.1"/>
    <n v="37715.011084009384"/>
    <s v="SAL"/>
    <n v="0.35282956867156301"/>
    <s v=""/>
    <s v=""/>
    <s v=""/>
    <n v="25479.00577212789"/>
    <s v="PRO"/>
    <n v="0.23835990918140468"/>
    <n v="12236.005311881494"/>
    <n v="0.48023872757494962"/>
    <s v=""/>
    <n v="17343.303575727121"/>
    <s v="EDU"/>
    <n v="0.16224919850436531"/>
    <n v="20371.707508282263"/>
    <n v="1.1746151717481066"/>
    <s v="Flagged"/>
    <s v=""/>
    <s v=""/>
    <s v=""/>
    <s v=""/>
    <x v="0"/>
    <n v="37715.011084009384"/>
    <m/>
    <m/>
    <n v="1"/>
    <s v="Flagged"/>
    <n v="37715.011084009384"/>
    <m/>
    <n v="37715.011084009384"/>
    <n v="37715.011084009384"/>
    <n v="0"/>
  </r>
  <r>
    <s v="VenezulanosVE0804"/>
    <s v="Carabobo"/>
    <s v="VE08"/>
    <s v="Guacara"/>
    <s v="VE0804"/>
    <m/>
    <n v="180200"/>
    <s v="Venezulanos"/>
    <n v="9408"/>
    <n v="6357.5386841085128"/>
    <n v="63579.888274615652"/>
    <n v="25902.874823037222"/>
    <n v="42952.455634489117"/>
    <n v="0"/>
    <n v="13787.738258671006"/>
    <n v="15033.359472071188"/>
    <n v="0.05"/>
    <n v="0.05"/>
    <n v="0.35000000000000003"/>
    <n v="0.15000000000000002"/>
    <n v="0.25"/>
    <n v="0"/>
    <n v="0.1"/>
    <n v="0.1"/>
    <n v="63579.888274615652"/>
    <s v="SAL"/>
    <n v="0.35282956867156301"/>
    <s v=""/>
    <s v=""/>
    <s v=""/>
    <n v="42952.455634489117"/>
    <s v="PRO"/>
    <n v="0.23835990918140465"/>
    <n v="20627.432640126535"/>
    <n v="0.48023872757494979"/>
    <s v=""/>
    <n v="25902.874823037222"/>
    <s v="EDU"/>
    <n v="0.14374514330209334"/>
    <n v="37677.01345157843"/>
    <n v="1.4545494934048653"/>
    <s v="Flagged"/>
    <s v=""/>
    <s v=""/>
    <s v=""/>
    <s v=""/>
    <x v="0"/>
    <n v="63579.888274615652"/>
    <m/>
    <m/>
    <n v="1"/>
    <s v="Flagged"/>
    <n v="63579.888274615652"/>
    <m/>
    <n v="63579.888274615652"/>
    <n v="63579.888274615652"/>
    <n v="0"/>
  </r>
  <r>
    <s v="VenezulanosVE0805"/>
    <s v="Carabobo"/>
    <s v="VE08"/>
    <s v="Juan José Mora"/>
    <s v="VE0805"/>
    <m/>
    <n v="70800"/>
    <s v="Venezulanos"/>
    <n v="16276"/>
    <n v="2532.9927315847249"/>
    <n v="24980.333461946662"/>
    <n v="9444.4968576447445"/>
    <n v="14063.234641702875"/>
    <n v="9558"/>
    <n v="4500.2350853449207"/>
    <n v="4922.1321245960062"/>
    <n v="0.25"/>
    <n v="0.05"/>
    <n v="0.35000000000000003"/>
    <n v="0.15000000000000002"/>
    <n v="0.2"/>
    <n v="0.15000000000000002"/>
    <n v="0.05"/>
    <n v="0.05"/>
    <n v="24980.333461946662"/>
    <s v="SAL"/>
    <n v="0.35282956867156301"/>
    <s v=""/>
    <s v=""/>
    <s v=""/>
    <n v="16276"/>
    <s v="SAMV"/>
    <n v="0.22988700564971751"/>
    <n v="8704.3334619466623"/>
    <n v="0.53479561697878242"/>
    <s v=""/>
    <n v="14063.234641702875"/>
    <s v="PRO"/>
    <n v="0.19863325765117054"/>
    <n v="10917.098820243787"/>
    <n v="0.77628647308993981"/>
    <s v="Flagged"/>
    <s v=""/>
    <s v=""/>
    <s v=""/>
    <s v=""/>
    <x v="2"/>
    <n v="24980.333461946662"/>
    <m/>
    <m/>
    <n v="1"/>
    <s v="Flagged"/>
    <n v="24980.333461946662"/>
    <m/>
    <n v="12490.166730973331"/>
    <n v="0"/>
    <n v="0"/>
  </r>
  <r>
    <s v="VenezulanosVE0806"/>
    <s v="Carabobo"/>
    <s v="VE08"/>
    <s v="Libertador"/>
    <s v="VE0806"/>
    <m/>
    <n v="169912"/>
    <s v="Venezulanos"/>
    <n v="16022"/>
    <n v="7038.7984495794626"/>
    <n v="59949.977672122623"/>
    <n v="20993.755731756064"/>
    <n v="40500.208888830828"/>
    <n v="0"/>
    <n v="13000.567053314697"/>
    <n v="14175.073111090787"/>
    <n v="0.1"/>
    <n v="0.05"/>
    <n v="0.35000000000000003"/>
    <n v="0.1"/>
    <n v="0.25"/>
    <n v="0"/>
    <n v="0.1"/>
    <n v="0.1"/>
    <n v="59949.977672122623"/>
    <s v="SAL"/>
    <n v="0.35282956867156307"/>
    <s v=""/>
    <s v=""/>
    <s v=""/>
    <n v="40500.208888830828"/>
    <s v="PRO"/>
    <n v="0.23835990918140465"/>
    <n v="19449.768783291795"/>
    <n v="0.48023872757494995"/>
    <s v=""/>
    <n v="20993.755731756064"/>
    <s v="EDU"/>
    <n v="0.12355663950607411"/>
    <n v="38956.221940366559"/>
    <n v="1.8556099460297946"/>
    <s v="Flagged"/>
    <s v=""/>
    <s v=""/>
    <s v=""/>
    <s v=""/>
    <x v="3"/>
    <n v="0"/>
    <m/>
    <m/>
    <n v="1"/>
    <s v="Flagged"/>
    <n v="0"/>
    <m/>
    <n v="0"/>
    <n v="0"/>
    <n v="0"/>
  </r>
  <r>
    <s v="VenezulanosVE0807"/>
    <s v="Carabobo"/>
    <s v="VE08"/>
    <s v="Los Guayos"/>
    <s v="VE0807"/>
    <m/>
    <n v="152983"/>
    <s v="Venezulanos"/>
    <n v="18724"/>
    <n v="10060.005388640791"/>
    <n v="53976.925904081727"/>
    <n v="23020.03479357472"/>
    <n v="36465.013986298829"/>
    <n v="68842.350000000006"/>
    <n v="11705.269489601924"/>
    <n v="12762.754895204589"/>
    <n v="0.1"/>
    <n v="0.05"/>
    <n v="0.35000000000000003"/>
    <n v="0.15000000000000002"/>
    <n v="0.25"/>
    <n v="0.45"/>
    <n v="0.1"/>
    <n v="0.1"/>
    <n v="68842.350000000006"/>
    <s v="ASH"/>
    <n v="0.45"/>
    <s v=""/>
    <s v=""/>
    <s v=""/>
    <n v="53976.925904081727"/>
    <s v="SAL"/>
    <n v="0.35282956867156301"/>
    <n v="14865.424095918279"/>
    <n v="0.27540331070973711"/>
    <s v=""/>
    <n v="36465.013986298829"/>
    <s v="PRO"/>
    <n v="0.23835990918140465"/>
    <n v="32377.336013701177"/>
    <n v="0.88790137378985967"/>
    <s v="Flagged"/>
    <s v=""/>
    <s v=""/>
    <s v=""/>
    <s v=""/>
    <x v="2"/>
    <n v="68842.350000000006"/>
    <m/>
    <m/>
    <n v="1"/>
    <s v="Flagged"/>
    <n v="68842.350000000006"/>
    <m/>
    <n v="34421.175000000003"/>
    <n v="0"/>
    <n v="0"/>
  </r>
  <r>
    <s v="VenezulanosVE0808"/>
    <s v="Carabobo"/>
    <s v="VE08"/>
    <s v="Miranda"/>
    <s v="VE0808"/>
    <m/>
    <n v="29749"/>
    <s v="Venezulanos"/>
    <n v="7272"/>
    <n v="1225.5224837356045"/>
    <n v="10496.32683841033"/>
    <n v="3570.2601250770635"/>
    <n v="5909.1407818646749"/>
    <n v="0"/>
    <n v="1896.8341909785606"/>
    <n v="2068.1992736526358"/>
    <n v="0.25"/>
    <n v="0.05"/>
    <n v="0.35000000000000003"/>
    <n v="0.1"/>
    <n v="0.2"/>
    <n v="0"/>
    <n v="0.05"/>
    <n v="0.05"/>
    <n v="10496.32683841033"/>
    <s v="SAL"/>
    <n v="0.35282956867156307"/>
    <s v=""/>
    <s v=""/>
    <s v=""/>
    <n v="7272"/>
    <s v="SAMV"/>
    <n v="0.24444519143500623"/>
    <n v="3224.3268384103303"/>
    <n v="0.44338927920934135"/>
    <s v=""/>
    <n v="5909.1407818646749"/>
    <s v="PRO"/>
    <n v="0.19863325765117062"/>
    <n v="4587.1860565456554"/>
    <n v="0.77628647308993937"/>
    <s v="Flagged"/>
    <s v=""/>
    <s v=""/>
    <s v=""/>
    <s v=""/>
    <x v="3"/>
    <n v="0"/>
    <m/>
    <m/>
    <n v="1"/>
    <s v="Flagged"/>
    <n v="0"/>
    <m/>
    <n v="0"/>
    <n v="0"/>
    <n v="0"/>
  </r>
  <r>
    <s v="VenezulanosVE0809"/>
    <s v="Carabobo"/>
    <s v="VE08"/>
    <s v="Montalbán"/>
    <s v="VE0809"/>
    <m/>
    <n v="25468"/>
    <s v="Venezulanos"/>
    <n v="5518"/>
    <n v="1062.1235955794591"/>
    <n v="8985.8634549273665"/>
    <n v="3731.5934749367134"/>
    <n v="5058.7918058600098"/>
    <n v="0"/>
    <n v="1618.8133778752031"/>
    <n v="1770.577132051003"/>
    <n v="0.2"/>
    <n v="0.05"/>
    <n v="0.35000000000000003"/>
    <n v="0.15000000000000002"/>
    <n v="0.2"/>
    <n v="0"/>
    <n v="0.05"/>
    <n v="0.05"/>
    <n v="8985.8634549273665"/>
    <s v="SAL"/>
    <n v="0.35282956867156301"/>
    <s v=""/>
    <s v=""/>
    <s v=""/>
    <n v="5518"/>
    <s v="SAMV"/>
    <n v="0.21666404900267003"/>
    <n v="3467.8634549273665"/>
    <n v="0.62846383742793888"/>
    <s v=""/>
    <n v="5058.7918058600098"/>
    <s v="PRO"/>
    <n v="0.19863325765117049"/>
    <n v="3927.0716490673567"/>
    <n v="0.77628647308994025"/>
    <s v="Flagged"/>
    <s v=""/>
    <s v=""/>
    <s v=""/>
    <s v=""/>
    <x v="3"/>
    <n v="0"/>
    <m/>
    <m/>
    <n v="1"/>
    <s v="Flagged"/>
    <n v="0"/>
    <m/>
    <n v="0"/>
    <n v="0"/>
    <n v="0"/>
  </r>
  <r>
    <s v="VenezulanosVE0810"/>
    <s v="Carabobo"/>
    <s v="VE08"/>
    <s v="Naguanagua"/>
    <s v="VE0810"/>
    <m/>
    <n v="160991"/>
    <s v="Venezulanos"/>
    <n v="6373"/>
    <n v="7704.3234166661578"/>
    <n v="56802.385090003598"/>
    <n v="27407.382433939973"/>
    <n v="38373.800139023515"/>
    <n v="0"/>
    <n v="12279.616044487524"/>
    <n v="13430.830048658228"/>
    <n v="0.05"/>
    <n v="0.05"/>
    <n v="0.35000000000000003"/>
    <n v="0.15000000000000002"/>
    <n v="0.25"/>
    <n v="0"/>
    <n v="0.1"/>
    <n v="0.1"/>
    <n v="56802.385090003598"/>
    <s v="SAL"/>
    <n v="0.35282956867156301"/>
    <s v=""/>
    <s v=""/>
    <s v=""/>
    <n v="38373.800139023515"/>
    <s v="PRO"/>
    <n v="0.23835990918140465"/>
    <n v="18428.584950980083"/>
    <n v="0.48023872757494973"/>
    <s v=""/>
    <n v="27407.382433939973"/>
    <s v="EDU"/>
    <n v="0.17024170564776897"/>
    <n v="29395.002656063625"/>
    <n v="1.0725213444558017"/>
    <s v="Flagged"/>
    <s v=""/>
    <s v=""/>
    <s v=""/>
    <s v=""/>
    <x v="2"/>
    <n v="56802.385090003598"/>
    <m/>
    <m/>
    <n v="1"/>
    <s v="Flagged"/>
    <n v="56802.385090003598"/>
    <m/>
    <n v="28401.192545001799"/>
    <n v="0"/>
    <n v="0"/>
  </r>
  <r>
    <s v="VenezulanosVE0811"/>
    <s v="Carabobo"/>
    <s v="VE08"/>
    <s v="Puerto Cabello"/>
    <s v="VE0811"/>
    <m/>
    <n v="186622"/>
    <s v="Venezulanos"/>
    <n v="16330"/>
    <n v="8367.4211679149848"/>
    <n v="65845.759764624439"/>
    <n v="25367.005990331818"/>
    <n v="44483.202971252096"/>
    <n v="0"/>
    <n v="14234.624950800671"/>
    <n v="15569.121039938234"/>
    <n v="0.1"/>
    <n v="0.05"/>
    <n v="0.35000000000000003"/>
    <n v="0.15000000000000002"/>
    <n v="0.25"/>
    <n v="0"/>
    <n v="0.1"/>
    <n v="0.1"/>
    <n v="65845.759764624439"/>
    <s v="SAL"/>
    <n v="0.35282956867156307"/>
    <s v=""/>
    <s v=""/>
    <s v=""/>
    <n v="44483.202971252096"/>
    <s v="PRO"/>
    <n v="0.23835990918140465"/>
    <n v="21362.556793372343"/>
    <n v="0.48023872757495001"/>
    <s v=""/>
    <n v="25367.005990331818"/>
    <s v="EDU"/>
    <n v="0.13592720038544126"/>
    <n v="40478.753774292622"/>
    <n v="1.5957245324781482"/>
    <s v="Flagged"/>
    <s v=""/>
    <s v=""/>
    <s v=""/>
    <s v=""/>
    <x v="3"/>
    <n v="0"/>
    <m/>
    <m/>
    <n v="1"/>
    <s v="Flagged"/>
    <n v="0"/>
    <m/>
    <n v="0"/>
    <n v="0"/>
    <n v="0"/>
  </r>
  <r>
    <s v="VenezulanosVE0812"/>
    <s v="Carabobo"/>
    <s v="VE08"/>
    <s v="San Diego"/>
    <s v="VE0812"/>
    <m/>
    <n v="95367"/>
    <s v="Venezulanos"/>
    <n v="3885"/>
    <n v="2979.6105942653098"/>
    <n v="33648.297475500956"/>
    <n v="14705.995417972239"/>
    <n v="22731.669458903019"/>
    <n v="0"/>
    <n v="7274.1342268489661"/>
    <n v="7956.0843106160555"/>
    <n v="0.05"/>
    <n v="0.05"/>
    <n v="0.35000000000000003"/>
    <n v="0.15000000000000002"/>
    <n v="0.25"/>
    <n v="0"/>
    <n v="0.1"/>
    <n v="0.1"/>
    <n v="33648.297475500956"/>
    <s v="SAL"/>
    <n v="0.35282956867156307"/>
    <s v=""/>
    <s v=""/>
    <s v=""/>
    <n v="22731.669458903019"/>
    <s v="PRO"/>
    <n v="0.23835990918140468"/>
    <n v="10916.628016597937"/>
    <n v="0.48023872757494995"/>
    <s v=""/>
    <n v="14705.995417972239"/>
    <s v="EDU"/>
    <n v="0.1542042364546671"/>
    <n v="18942.302057528716"/>
    <n v="1.2880666367119409"/>
    <s v="Flagged"/>
    <s v=""/>
    <s v=""/>
    <s v=""/>
    <s v=""/>
    <x v="2"/>
    <n v="33648.297475500956"/>
    <m/>
    <m/>
    <n v="1"/>
    <s v="Flagged"/>
    <n v="33648.297475500956"/>
    <m/>
    <n v="16824.148737750478"/>
    <n v="0"/>
    <n v="0"/>
  </r>
  <r>
    <s v="VenezulanosVE0813"/>
    <s v="Carabobo"/>
    <s v="VE08"/>
    <s v="San Joaquín"/>
    <s v="VE0813"/>
    <m/>
    <n v="65575"/>
    <s v="Venezulanos"/>
    <n v="4857"/>
    <n v="2247.6550118364421"/>
    <n v="23136.798965637743"/>
    <n v="9984.748005802081"/>
    <n v="15630.451044570606"/>
    <n v="0"/>
    <n v="5017.3747853071645"/>
    <n v="5470.6578655997118"/>
    <n v="0.05"/>
    <n v="0.05"/>
    <n v="0.35000000000000003"/>
    <n v="0.15000000000000002"/>
    <n v="0.25"/>
    <n v="0"/>
    <n v="0.1"/>
    <n v="0.1"/>
    <n v="23136.798965637743"/>
    <s v="SAL"/>
    <n v="0.35282956867156301"/>
    <s v=""/>
    <s v=""/>
    <s v=""/>
    <n v="15630.451044570606"/>
    <s v="PRO"/>
    <n v="0.23835990918140459"/>
    <n v="7506.3479210671376"/>
    <n v="0.48023872757495012"/>
    <s v=""/>
    <n v="9984.748005802081"/>
    <s v="EDU"/>
    <n v="0.15226455212812934"/>
    <n v="13152.050959835662"/>
    <n v="1.3172141101801547"/>
    <s v="Flagged"/>
    <s v=""/>
    <s v=""/>
    <s v=""/>
    <s v=""/>
    <x v="3"/>
    <n v="0"/>
    <m/>
    <m/>
    <n v="1"/>
    <s v="Flagged"/>
    <n v="0"/>
    <m/>
    <n v="0"/>
    <n v="0"/>
    <n v="0"/>
  </r>
  <r>
    <s v="VenezulanosVE0814"/>
    <s v="Carabobo"/>
    <s v="VE08"/>
    <s v="Valencia"/>
    <s v="VE0814"/>
    <m/>
    <n v="848590"/>
    <s v="Venezulanos"/>
    <n v="112537"/>
    <n v="42739.615875855197"/>
    <n v="299407.64367900166"/>
    <n v="128658.03014161903"/>
    <n v="202269.83533224816"/>
    <n v="381865.5"/>
    <n v="64928.617141651659"/>
    <n v="70794.442366286865"/>
    <n v="0.15000000000000002"/>
    <n v="0.05"/>
    <n v="0.35000000000000003"/>
    <n v="0.15000000000000002"/>
    <n v="0.25"/>
    <n v="0.45"/>
    <n v="0.1"/>
    <n v="0.1"/>
    <n v="381865.5"/>
    <s v="ASH"/>
    <n v="0.45"/>
    <s v=""/>
    <s v=""/>
    <s v=""/>
    <n v="299407.64367900166"/>
    <s v="SAL"/>
    <n v="0.35282956867156301"/>
    <n v="82457.85632099834"/>
    <n v="0.27540331070973706"/>
    <s v=""/>
    <n v="202269.83533224816"/>
    <s v="PRO"/>
    <n v="0.23835990918140462"/>
    <n v="179595.66466775184"/>
    <n v="0.88790137378985967"/>
    <s v="Flagged"/>
    <s v=""/>
    <s v=""/>
    <s v=""/>
    <s v=""/>
    <x v="3"/>
    <n v="0"/>
    <m/>
    <m/>
    <n v="1"/>
    <s v="Flagged"/>
    <n v="0"/>
    <m/>
    <n v="0"/>
    <n v="0"/>
    <n v="0"/>
  </r>
  <r>
    <s v="VenezulanosVE0901"/>
    <s v="Cojedes"/>
    <s v="VE09"/>
    <s v="Anzoátegui"/>
    <s v="VE0901"/>
    <m/>
    <n v="17417"/>
    <s v="Venezulanos"/>
    <n v="1613"/>
    <n v="697.61988669560958"/>
    <n v="6145.2325975526128"/>
    <n v="429.39301219337653"/>
    <n v="4481.9202736243888"/>
    <n v="0"/>
    <n v="1434.2144875598046"/>
    <n v="1568.6720957685359"/>
    <n v="0.1"/>
    <n v="0.05"/>
    <n v="0.35000000000000003"/>
    <n v="0"/>
    <n v="0.25"/>
    <n v="0"/>
    <n v="0.1"/>
    <n v="0.1"/>
    <n v="6145.2325975526128"/>
    <s v="SAL"/>
    <n v="0.35282956867156301"/>
    <s v=""/>
    <s v=""/>
    <s v=""/>
    <n v="4481.9202736243888"/>
    <s v="PRO"/>
    <n v="0.25733021034761377"/>
    <n v="1663.312323928224"/>
    <n v="0.37111599992454919"/>
    <s v=""/>
    <n v="1613"/>
    <s v="SAMV"/>
    <n v="9.2610667738416488E-2"/>
    <n v="4532.2325975526128"/>
    <n v="2.8098156215453272"/>
    <s v="Flagged"/>
    <s v=""/>
    <s v=""/>
    <s v=""/>
    <s v=""/>
    <x v="3"/>
    <n v="0"/>
    <m/>
    <m/>
    <n v="1"/>
    <s v="Flagged"/>
    <n v="0"/>
    <m/>
    <n v="0"/>
    <n v="0"/>
    <n v="0"/>
  </r>
  <r>
    <s v="VenezulanosVE0902"/>
    <s v="Cojedes"/>
    <s v="VE09"/>
    <s v="Tinaquillo"/>
    <s v="VE0902"/>
    <m/>
    <n v="99893"/>
    <s v="Venezulanos"/>
    <n v="0"/>
    <n v="2746.9106472440089"/>
    <n v="35245.204103308446"/>
    <n v="6729.1439243947816"/>
    <n v="25705.486702254173"/>
    <n v="0"/>
    <n v="8225.7557447213348"/>
    <n v="8996.9203457889598"/>
    <n v="0"/>
    <n v="0.05"/>
    <n v="0.35000000000000003"/>
    <n v="0.05"/>
    <n v="0.25"/>
    <n v="0"/>
    <n v="0.1"/>
    <n v="0.1"/>
    <n v="35245.204103308446"/>
    <s v="SAL"/>
    <n v="0.35282956867156301"/>
    <s v="Flagged"/>
    <s v=""/>
    <s v=""/>
    <n v="25705.486702254173"/>
    <s v="PRO"/>
    <n v="0.25733021034761366"/>
    <n v="9539.7174010542731"/>
    <n v="0.37111599992454969"/>
    <s v=""/>
    <n v="6729.1439243947816"/>
    <s v="EDU"/>
    <n v="6.7363518208430839E-2"/>
    <n v="28516.060178913664"/>
    <n v="4.2376950915756186"/>
    <s v="Flagged"/>
    <s v=""/>
    <s v=""/>
    <s v=""/>
    <s v=""/>
    <x v="3"/>
    <n v="0"/>
    <m/>
    <m/>
    <n v="2"/>
    <s v="Flagged"/>
    <n v="0"/>
    <m/>
    <n v="0"/>
    <n v="0"/>
    <n v="0"/>
  </r>
  <r>
    <s v="VenezulanosVE0903"/>
    <s v="Cojedes"/>
    <s v="VE09"/>
    <s v="Girardot"/>
    <s v="VE0903"/>
    <m/>
    <n v="12180"/>
    <s v="Venezulanos"/>
    <n v="2030"/>
    <n v="408.33944637997649"/>
    <n v="4297.4641464196375"/>
    <n v="359.83107966044281"/>
    <n v="3134.281962033936"/>
    <n v="0"/>
    <n v="1002.9702278508596"/>
    <n v="1096.9986867118778"/>
    <n v="0.15000000000000002"/>
    <n v="0.05"/>
    <n v="0.35000000000000003"/>
    <n v="0.05"/>
    <n v="0.25"/>
    <n v="0"/>
    <n v="0.1"/>
    <n v="0.1"/>
    <n v="4297.4641464196375"/>
    <s v="SAL"/>
    <n v="0.35282956867156301"/>
    <s v=""/>
    <s v=""/>
    <s v=""/>
    <n v="3134.281962033936"/>
    <s v="PRO"/>
    <n v="0.25733021034761377"/>
    <n v="1163.1821843857015"/>
    <n v="0.37111599992454902"/>
    <s v=""/>
    <n v="2030"/>
    <s v="SAMV"/>
    <n v="0.16666666666666666"/>
    <n v="2267.4641464196375"/>
    <n v="1.1169774120293781"/>
    <s v="Flagged"/>
    <s v=""/>
    <s v=""/>
    <s v=""/>
    <s v=""/>
    <x v="3"/>
    <n v="0"/>
    <m/>
    <m/>
    <n v="1"/>
    <s v="Flagged"/>
    <n v="0"/>
    <m/>
    <n v="0"/>
    <n v="0"/>
    <n v="0"/>
  </r>
  <r>
    <s v="VenezulanosVE0904"/>
    <s v="Cojedes"/>
    <s v="VE09"/>
    <s v="Lima Blanco"/>
    <s v="VE0904"/>
    <m/>
    <n v="9664"/>
    <s v="Venezulanos"/>
    <n v="1611"/>
    <n v="264.11224350327905"/>
    <n v="3997.8889975374946"/>
    <n v="226.56538299061805"/>
    <n v="2486.839152799339"/>
    <n v="1304.6400000000001"/>
    <n v="795.78852889578843"/>
    <n v="870.39370347976865"/>
    <n v="0.15000000000000002"/>
    <n v="0.05"/>
    <n v="0.4"/>
    <n v="0"/>
    <n v="0.25"/>
    <n v="0.15000000000000002"/>
    <n v="0.1"/>
    <n v="0.1"/>
    <n v="3997.8889975374946"/>
    <s v="SAL"/>
    <n v="0.41368884494386327"/>
    <s v=""/>
    <s v=""/>
    <s v=""/>
    <n v="2486.839152799339"/>
    <s v="PRO"/>
    <n v="0.25733021034761372"/>
    <n v="1511.0498447381556"/>
    <n v="0.60761864837025148"/>
    <s v=""/>
    <n v="1611"/>
    <s v="SAMV"/>
    <n v="0.16670115894039736"/>
    <n v="2386.8889975374946"/>
    <n v="1.4816194894708221"/>
    <s v="Flagged"/>
    <s v=""/>
    <s v=""/>
    <s v=""/>
    <s v=""/>
    <x v="3"/>
    <n v="0"/>
    <m/>
    <m/>
    <n v="1"/>
    <s v="Flagged"/>
    <n v="0"/>
    <m/>
    <n v="0"/>
    <n v="0"/>
    <n v="0"/>
  </r>
  <r>
    <s v="VenezulanosVE0905"/>
    <s v="Cojedes"/>
    <s v="VE09"/>
    <s v="Pao De San Juan Bautista"/>
    <s v="VE0905"/>
    <m/>
    <n v="17187"/>
    <s v="Venezulanos"/>
    <n v="2865"/>
    <n v="805.34152665643967"/>
    <n v="7107.358217844434"/>
    <n v="1531.6189700667658"/>
    <n v="4422.7343252444371"/>
    <n v="0"/>
    <n v="1419.697718403464"/>
    <n v="1547.9570138355527"/>
    <n v="0.15000000000000002"/>
    <n v="0.05"/>
    <n v="0.4"/>
    <n v="0.1"/>
    <n v="0.25"/>
    <n v="0"/>
    <n v="0.1"/>
    <n v="0.1"/>
    <n v="7107.358217844434"/>
    <s v="SAL"/>
    <n v="0.41353105357796205"/>
    <s v=""/>
    <s v=""/>
    <s v=""/>
    <n v="4422.7343252444371"/>
    <s v="PRO"/>
    <n v="0.25733021034761372"/>
    <n v="2684.6238925999969"/>
    <n v="0.60700546204561412"/>
    <s v=""/>
    <n v="2865"/>
    <s v="SAMV"/>
    <n v="0.16669575842206319"/>
    <n v="4242.358217844434"/>
    <n v="1.480753304657743"/>
    <s v="Flagged"/>
    <s v=""/>
    <s v=""/>
    <s v=""/>
    <s v=""/>
    <x v="0"/>
    <n v="7107.358217844434"/>
    <m/>
    <m/>
    <n v="1"/>
    <s v="Flagged"/>
    <n v="7107.358217844434"/>
    <m/>
    <n v="7107.358217844434"/>
    <n v="7107.358217844434"/>
    <n v="0"/>
  </r>
  <r>
    <s v="VenezulanosVE0906"/>
    <s v="Cojedes"/>
    <s v="VE09"/>
    <s v="Ricaurte"/>
    <s v="VE0906"/>
    <m/>
    <n v="12936"/>
    <s v="Venezulanos"/>
    <n v="4312"/>
    <n v="314.40830904005691"/>
    <n v="4886.3087747680493"/>
    <n v="303.65470564064265"/>
    <n v="5548.0393350945496"/>
    <n v="0"/>
    <n v="1780.9206265653504"/>
    <n v="1941.8137672830919"/>
    <n v="0.35000000000000003"/>
    <n v="0"/>
    <n v="0.4"/>
    <n v="0"/>
    <n v="0.45"/>
    <n v="0"/>
    <n v="0.15000000000000002"/>
    <n v="0.15000000000000002"/>
    <n v="5548.0393350945496"/>
    <s v="PRO"/>
    <n v="0.42888368391268938"/>
    <s v=""/>
    <s v=""/>
    <s v=""/>
    <n v="4886.3087747680493"/>
    <s v="SAL"/>
    <n v="0.37772949712183435"/>
    <n v="661.73056032650038"/>
    <n v="0.13542544911274307"/>
    <s v=""/>
    <n v="4312"/>
    <s v="SAMV"/>
    <n v="0.33333333333333331"/>
    <n v="1236.0393350945496"/>
    <n v="0.2866510517380681"/>
    <s v=""/>
    <s v=""/>
    <s v=""/>
    <s v=""/>
    <s v=""/>
    <x v="3"/>
    <n v="0"/>
    <m/>
    <m/>
    <n v="0"/>
    <s v=""/>
    <n v="0"/>
    <m/>
    <n v="0"/>
    <n v="0"/>
    <n v="0"/>
  </r>
  <r>
    <s v="VenezulanosVE0907"/>
    <s v="Cojedes"/>
    <s v="VE09"/>
    <s v="Rómulo Gallegos"/>
    <s v="VE0907"/>
    <m/>
    <n v="18712"/>
    <s v="Venezulanos"/>
    <n v="6238"/>
    <n v="778.64504700271868"/>
    <n v="6602.1468889822872"/>
    <n v="871.52670008632879"/>
    <n v="8025.2714933742463"/>
    <n v="0"/>
    <n v="2576.1121493731334"/>
    <n v="2808.8450226809864"/>
    <n v="0.35000000000000003"/>
    <n v="0.05"/>
    <n v="0.35000000000000003"/>
    <n v="0.05"/>
    <n v="0.45"/>
    <n v="0"/>
    <n v="0.15000000000000002"/>
    <n v="0.15000000000000002"/>
    <n v="8025.2714933742463"/>
    <s v="PRO"/>
    <n v="0.4288836839126895"/>
    <s v=""/>
    <s v=""/>
    <s v=""/>
    <n v="6602.1468889822872"/>
    <s v="SAL"/>
    <n v="0.35282956867156301"/>
    <n v="1423.1246043919591"/>
    <n v="0.21555482304807247"/>
    <s v=""/>
    <n v="6238"/>
    <s v="SAMV"/>
    <n v="0.33336896109448483"/>
    <n v="1787.2714933742463"/>
    <n v="0.28651354494617609"/>
    <s v=""/>
    <s v=""/>
    <s v=""/>
    <s v=""/>
    <s v=""/>
    <x v="3"/>
    <n v="0"/>
    <m/>
    <m/>
    <n v="0"/>
    <s v=""/>
    <n v="0"/>
    <m/>
    <n v="0"/>
    <n v="0"/>
    <n v="0"/>
  </r>
  <r>
    <s v="VenezulanosVE0908"/>
    <s v="Cojedes"/>
    <s v="VE09"/>
    <s v="Ezequiel Zamora"/>
    <s v="VE0908"/>
    <m/>
    <n v="109167"/>
    <s v="Venezulanos"/>
    <n v="31933"/>
    <n v="4544.6124012872333"/>
    <n v="38517.345523168522"/>
    <n v="7246.9228898259717"/>
    <n v="46819.945121696583"/>
    <n v="0"/>
    <n v="14982.382438942906"/>
    <n v="16386.980792593804"/>
    <n v="0.30000000000000004"/>
    <n v="0.05"/>
    <n v="0.35000000000000003"/>
    <n v="0.05"/>
    <n v="0.45"/>
    <n v="0"/>
    <n v="0.15000000000000002"/>
    <n v="0.15000000000000002"/>
    <n v="46819.945121696583"/>
    <s v="PRO"/>
    <n v="0.42888368391268955"/>
    <s v=""/>
    <s v=""/>
    <s v=""/>
    <n v="38517.345523168522"/>
    <s v="SAL"/>
    <n v="0.35282956867156301"/>
    <n v="8302.5995985280606"/>
    <n v="0.21555482304807255"/>
    <s v=""/>
    <n v="31933"/>
    <s v="SAMV"/>
    <n v="0.29251513735835921"/>
    <n v="14886.945121696583"/>
    <n v="0.46619312691249126"/>
    <s v=""/>
    <s v=""/>
    <s v=""/>
    <s v=""/>
    <s v=""/>
    <x v="3"/>
    <n v="0"/>
    <m/>
    <m/>
    <n v="0"/>
    <s v=""/>
    <n v="0"/>
    <m/>
    <n v="0"/>
    <n v="0"/>
    <n v="0"/>
  </r>
  <r>
    <s v="VenezulanosVE0909"/>
    <s v="Cojedes"/>
    <s v="VE09"/>
    <s v="Tinaco"/>
    <s v="VE0909"/>
    <m/>
    <n v="33297"/>
    <s v="Venezulanos"/>
    <n v="740"/>
    <n v="1054.3717550327922"/>
    <n v="11748.166148057031"/>
    <n v="1687.606030139551"/>
    <n v="8568.3240139444952"/>
    <n v="19978.2"/>
    <n v="2750.432008476183"/>
    <n v="2998.9134048805736"/>
    <n v="0"/>
    <n v="0.05"/>
    <n v="0.35000000000000003"/>
    <n v="0.05"/>
    <n v="0.25"/>
    <n v="0.60000000000000009"/>
    <n v="0.1"/>
    <n v="0.1"/>
    <n v="19978.2"/>
    <s v="ASH"/>
    <n v="0.6"/>
    <s v=""/>
    <s v=""/>
    <s v=""/>
    <n v="11748.166148057031"/>
    <s v="SAL"/>
    <n v="0.35282956867156295"/>
    <n v="8230.0338519429697"/>
    <n v="0.70053774761298326"/>
    <s v=""/>
    <n v="8568.3240139444952"/>
    <s v="PRO"/>
    <n v="0.25733021034761377"/>
    <n v="11409.875986055506"/>
    <n v="1.3316345142278156"/>
    <s v="Flagged"/>
    <s v=""/>
    <s v=""/>
    <s v=""/>
    <s v=""/>
    <x v="3"/>
    <n v="0"/>
    <m/>
    <m/>
    <n v="1"/>
    <s v="Flagged"/>
    <n v="0"/>
    <m/>
    <n v="0"/>
    <n v="0"/>
    <n v="0"/>
  </r>
  <r>
    <s v="VenezulanosVE1001"/>
    <s v="Delta Amacuro"/>
    <s v="VE10"/>
    <s v="Antonio Díaz"/>
    <s v="VE1001"/>
    <m/>
    <n v="27250"/>
    <s v="Venezulanos"/>
    <n v="9669"/>
    <n v="3020.7010416679373"/>
    <n v="14214.716435688868"/>
    <n v="2224.6410759086475"/>
    <n v="6507.468808159284"/>
    <n v="16350"/>
    <n v="2082.3900186109709"/>
    <n v="2277.6140828557491"/>
    <n v="0.35000000000000003"/>
    <n v="0.1"/>
    <n v="0.5"/>
    <n v="0.1"/>
    <n v="0.25"/>
    <n v="0.60000000000000009"/>
    <n v="0.1"/>
    <n v="0.1"/>
    <n v="16350"/>
    <s v="ASH"/>
    <n v="0.6"/>
    <s v=""/>
    <s v=""/>
    <s v=""/>
    <n v="14214.716435688868"/>
    <s v="SAL"/>
    <n v="0.52164097011702271"/>
    <n v="2135.2835643111321"/>
    <n v="0.1502164024144779"/>
    <s v=""/>
    <n v="9669"/>
    <s v="SAMV"/>
    <n v="0.35482568807339449"/>
    <n v="6681"/>
    <n v="0.6909711448960596"/>
    <s v="Flagged"/>
    <s v=""/>
    <s v=""/>
    <s v=""/>
    <s v=""/>
    <x v="3"/>
    <n v="0"/>
    <m/>
    <m/>
    <n v="1"/>
    <s v="Flagged"/>
    <n v="0"/>
    <m/>
    <n v="0"/>
    <n v="0"/>
    <n v="0"/>
  </r>
  <r>
    <s v="VenezulanosVE1002"/>
    <s v="Delta Amacuro"/>
    <s v="VE10"/>
    <s v="Casacoima"/>
    <s v="VE1002"/>
    <m/>
    <n v="30221"/>
    <s v="Venezulanos"/>
    <n v="7524"/>
    <n v="1153.0693155530209"/>
    <n v="10662.862394823305"/>
    <n v="1694.8917954765736"/>
    <n v="7216.9620128947436"/>
    <n v="18132.599999999999"/>
    <n v="2309.4278441263177"/>
    <n v="2525.9367045131603"/>
    <n v="0.25"/>
    <n v="0.05"/>
    <n v="0.35000000000000003"/>
    <n v="0.05"/>
    <n v="0.25"/>
    <n v="0.60000000000000009"/>
    <n v="0.1"/>
    <n v="0.1"/>
    <n v="18132.599999999999"/>
    <s v="ASH"/>
    <n v="0.6"/>
    <s v=""/>
    <s v=""/>
    <s v=""/>
    <n v="10662.862394823305"/>
    <s v="SAL"/>
    <n v="0.35282956867156301"/>
    <n v="7469.7376051766933"/>
    <n v="0.70053774761298271"/>
    <s v=""/>
    <n v="7524"/>
    <s v="SAMV"/>
    <n v="0.24896595082889381"/>
    <n v="10608.599999999999"/>
    <n v="1.409968102073365"/>
    <s v="Flagged"/>
    <s v=""/>
    <s v=""/>
    <s v=""/>
    <s v=""/>
    <x v="3"/>
    <n v="0"/>
    <m/>
    <m/>
    <n v="1"/>
    <s v="Flagged"/>
    <n v="0"/>
    <m/>
    <n v="0"/>
    <n v="0"/>
    <n v="0"/>
  </r>
  <r>
    <s v="VenezulanosVE1003"/>
    <s v="Delta Amacuro"/>
    <s v="VE10"/>
    <s v="Pedernales"/>
    <s v="VE1003"/>
    <m/>
    <n v="6582"/>
    <s v="Venezulanos"/>
    <n v="2808"/>
    <n v="772.55810387521024"/>
    <n v="2322.3242209962277"/>
    <n v="1642.1886787801559"/>
    <n v="1571.8223741396118"/>
    <n v="3949.2"/>
    <n v="502.98315972467583"/>
    <n v="550.13783094886412"/>
    <n v="0.45"/>
    <n v="0.1"/>
    <n v="0.35000000000000003"/>
    <n v="0.25"/>
    <n v="0.25"/>
    <n v="0.60000000000000009"/>
    <n v="0.1"/>
    <n v="0.1"/>
    <n v="3949.2"/>
    <s v="ASH"/>
    <n v="0.6"/>
    <s v=""/>
    <s v=""/>
    <s v=""/>
    <n v="2808"/>
    <s v="SAMV"/>
    <n v="0.4266180492251595"/>
    <n v="1141.1999999999998"/>
    <n v="0.40641025641025635"/>
    <s v=""/>
    <n v="2322.3242209962277"/>
    <s v="SAL"/>
    <n v="0.35282956867156301"/>
    <n v="1626.8757790037721"/>
    <n v="0.70053774761298271"/>
    <s v="Flagged"/>
    <s v=""/>
    <s v=""/>
    <s v=""/>
    <s v=""/>
    <x v="2"/>
    <n v="3949.2"/>
    <m/>
    <m/>
    <n v="1"/>
    <s v="Flagged"/>
    <n v="3949.2"/>
    <m/>
    <n v="1974.6"/>
    <n v="0"/>
    <n v="0"/>
  </r>
  <r>
    <s v="VenezulanosVE1004"/>
    <s v="Delta Amacuro"/>
    <s v="VE10"/>
    <s v="Tucupita"/>
    <s v="VE1004"/>
    <m/>
    <n v="105202"/>
    <s v="Venezulanos"/>
    <n v="41026"/>
    <n v="5893.3736835116115"/>
    <n v="37118.376283385776"/>
    <n v="18662.554054976968"/>
    <n v="25122.889304806355"/>
    <n v="14202.27"/>
    <n v="8039.3245775380328"/>
    <n v="8793.0112566822227"/>
    <n v="0.4"/>
    <n v="0.05"/>
    <n v="0.35000000000000003"/>
    <n v="0.2"/>
    <n v="0.25"/>
    <n v="0.15000000000000002"/>
    <n v="0.1"/>
    <n v="0.1"/>
    <n v="41026"/>
    <s v="SAMV"/>
    <n v="0.38997357464686982"/>
    <s v=""/>
    <s v=""/>
    <s v=""/>
    <n v="37118.376283385776"/>
    <s v="SAL"/>
    <n v="0.35282956867156307"/>
    <n v="3907.6237166142237"/>
    <n v="0.10527464043095226"/>
    <s v=""/>
    <n v="25122.889304806355"/>
    <s v="PRO"/>
    <n v="0.23880619479483617"/>
    <n v="15903.110695193645"/>
    <n v="0.63301280765310541"/>
    <s v="Flagged"/>
    <s v=""/>
    <s v=""/>
    <s v=""/>
    <s v=""/>
    <x v="2"/>
    <n v="41026"/>
    <m/>
    <m/>
    <n v="1"/>
    <s v="Flagged"/>
    <n v="41026"/>
    <m/>
    <n v="20513"/>
    <n v="0"/>
    <n v="0"/>
  </r>
  <r>
    <s v="VenezulanosVE1101"/>
    <s v="Falcón"/>
    <s v="VE11"/>
    <s v="Acosta"/>
    <s v="VE1101"/>
    <m/>
    <n v="19478"/>
    <s v="Venezulanos"/>
    <n v="5681"/>
    <n v="946.55745059070625"/>
    <n v="6872.4143385847046"/>
    <n v="1729.9533770724106"/>
    <n v="3884.6496349898516"/>
    <n v="2629.53"/>
    <n v="1243.0878831967525"/>
    <n v="1359.6273722464477"/>
    <n v="0.30000000000000004"/>
    <n v="0.05"/>
    <n v="0.35000000000000003"/>
    <n v="0.1"/>
    <n v="0.2"/>
    <n v="0.15000000000000002"/>
    <n v="0.05"/>
    <n v="0.05"/>
    <n v="6872.4143385847046"/>
    <s v="SAL"/>
    <n v="0.35282956867156301"/>
    <s v=""/>
    <s v=""/>
    <s v=""/>
    <n v="5681"/>
    <s v="SAMV"/>
    <n v="0.29166238833555808"/>
    <n v="1191.4143385847046"/>
    <n v="0.20971912314464083"/>
    <s v=""/>
    <n v="3884.6496349898516"/>
    <s v="PRO"/>
    <n v="0.19943780855271853"/>
    <n v="2987.764703594853"/>
    <n v="0.76912076617758052"/>
    <s v="Flagged"/>
    <s v=""/>
    <s v=""/>
    <s v=""/>
    <s v=""/>
    <x v="3"/>
    <n v="0"/>
    <m/>
    <m/>
    <n v="1"/>
    <s v="Flagged"/>
    <n v="0"/>
    <m/>
    <n v="0"/>
    <n v="0"/>
    <n v="0"/>
  </r>
  <r>
    <s v="VenezulanosVE1102"/>
    <s v="Falcón"/>
    <s v="VE11"/>
    <s v="Bolívar"/>
    <s v="VE1102"/>
    <m/>
    <n v="8733"/>
    <s v="Venezulanos"/>
    <n v="1456"/>
    <n v="283.34738935940982"/>
    <n v="4886.3087747680493"/>
    <n v="597.02342153398752"/>
    <n v="1741.690382090891"/>
    <n v="1178.9549999999999"/>
    <n v="557.34092226908513"/>
    <n v="609.59163373181184"/>
    <n v="0.15000000000000002"/>
    <n v="0.05"/>
    <n v="0.55000000000000004"/>
    <n v="0.05"/>
    <n v="0.2"/>
    <n v="0.15000000000000002"/>
    <n v="0.05"/>
    <n v="0.05"/>
    <n v="4886.3087747680493"/>
    <s v="SAL"/>
    <n v="0.55952236055972171"/>
    <s v=""/>
    <s v=""/>
    <s v=""/>
    <n v="1741.690382090891"/>
    <s v="PRO"/>
    <n v="0.19943780855271853"/>
    <n v="3144.6183926771582"/>
    <n v="1.8054979375278279"/>
    <s v="Flagged"/>
    <n v="1456"/>
    <s v="SAMV"/>
    <n v="0.16672392076033438"/>
    <n v="3430.3087747680493"/>
    <n v="2.3559813013516822"/>
    <s v="Flagged"/>
    <s v=""/>
    <s v=""/>
    <s v=""/>
    <s v=""/>
    <x v="0"/>
    <n v="4886.3087747680493"/>
    <m/>
    <m/>
    <n v="2"/>
    <s v="Flagged"/>
    <n v="4886.3087747680493"/>
    <m/>
    <n v="4886.3087747680493"/>
    <n v="4886.3087747680493"/>
    <n v="0"/>
  </r>
  <r>
    <s v="VenezulanosVE1103"/>
    <s v="Falcón"/>
    <s v="VE11"/>
    <s v="Buchivacoa"/>
    <s v="VE1103"/>
    <m/>
    <n v="23419"/>
    <s v="Venezulanos"/>
    <n v="5074"/>
    <n v="1100.3675741232016"/>
    <n v="8262.9156687193354"/>
    <n v="2099.4869681318678"/>
    <n v="4670.634038496115"/>
    <n v="10538.550000000001"/>
    <n v="1494.6028923187569"/>
    <n v="1634.7219134736401"/>
    <n v="0.2"/>
    <n v="0.05"/>
    <n v="0.35000000000000003"/>
    <n v="0.1"/>
    <n v="0.2"/>
    <n v="0.45"/>
    <n v="0.05"/>
    <n v="0.05"/>
    <n v="10538.550000000001"/>
    <s v="ASH"/>
    <n v="0.45000000000000007"/>
    <s v=""/>
    <s v=""/>
    <s v=""/>
    <n v="8262.9156687193354"/>
    <s v="SAL"/>
    <n v="0.35282956867156307"/>
    <n v="2275.6343312806657"/>
    <n v="0.27540331070973706"/>
    <s v=""/>
    <n v="5074"/>
    <s v="SAMV"/>
    <n v="0.21666168495665913"/>
    <n v="5464.5500000000011"/>
    <n v="1.0769708316909739"/>
    <s v="Flagged"/>
    <s v=""/>
    <s v=""/>
    <s v=""/>
    <s v=""/>
    <x v="0"/>
    <n v="10538.550000000001"/>
    <m/>
    <m/>
    <n v="1"/>
    <s v="Flagged"/>
    <n v="10538.550000000001"/>
    <m/>
    <n v="10538.550000000001"/>
    <n v="10538.550000000001"/>
    <n v="0"/>
  </r>
  <r>
    <s v="VenezulanosVE1104"/>
    <s v="Falcón"/>
    <s v="VE11"/>
    <s v="Cacique Manaure"/>
    <s v="VE1104"/>
    <m/>
    <n v="11110"/>
    <s v="Venezulanos"/>
    <n v="370"/>
    <n v="373.09920837778191"/>
    <n v="3919.936507941065"/>
    <n v="364.77624849130399"/>
    <n v="2215.7540530207029"/>
    <n v="749.92499999999995"/>
    <n v="711.25705101964559"/>
    <n v="775.51391855724603"/>
    <n v="0.05"/>
    <n v="0.05"/>
    <n v="0.35000000000000003"/>
    <n v="0.05"/>
    <n v="0.2"/>
    <n v="0.05"/>
    <n v="0.05"/>
    <n v="0.05"/>
    <n v="3919.936507941065"/>
    <s v="SAL"/>
    <n v="0.35282956867156301"/>
    <s v=""/>
    <s v=""/>
    <s v=""/>
    <n v="2215.7540530207029"/>
    <s v="PRO"/>
    <n v="0.19943780855271853"/>
    <n v="1704.182454920362"/>
    <n v="0.7691207661775803"/>
    <s v=""/>
    <n v="749.92499999999995"/>
    <s v="ASH"/>
    <n v="6.7499999999999991E-2"/>
    <n v="3170.0115079410652"/>
    <n v="4.2271047210601935"/>
    <s v="Flagged"/>
    <s v=""/>
    <s v=""/>
    <s v=""/>
    <s v=""/>
    <x v="0"/>
    <n v="3919.936507941065"/>
    <m/>
    <m/>
    <n v="1"/>
    <s v="Flagged"/>
    <n v="3919.936507941065"/>
    <m/>
    <n v="3919.936507941065"/>
    <n v="3919.936507941065"/>
    <n v="0"/>
  </r>
  <r>
    <s v="VenezulanosVE1105"/>
    <s v="Falcón"/>
    <s v="VE11"/>
    <s v="Carirubana"/>
    <s v="VE1105"/>
    <m/>
    <n v="244856"/>
    <s v="Venezulanos"/>
    <n v="38160"/>
    <n v="8347.3800908109988"/>
    <n v="86392.436866644217"/>
    <n v="29910.209550073934"/>
    <n v="58600.25286118134"/>
    <n v="146913.60000000001"/>
    <n v="18810.681168439209"/>
    <n v="20510.088501413466"/>
    <n v="0.15000000000000002"/>
    <n v="0.05"/>
    <n v="0.35000000000000003"/>
    <n v="0.1"/>
    <n v="0.25"/>
    <n v="0.60000000000000009"/>
    <n v="0.1"/>
    <n v="0.1"/>
    <n v="146913.60000000001"/>
    <s v="ASH"/>
    <n v="0.6"/>
    <s v=""/>
    <s v=""/>
    <s v=""/>
    <n v="86392.436866644217"/>
    <s v="SAL"/>
    <n v="0.35282956867156295"/>
    <n v="60521.163133355789"/>
    <n v="0.70053774761298315"/>
    <s v=""/>
    <n v="58600.25286118134"/>
    <s v="PRO"/>
    <n v="0.23932537026326225"/>
    <n v="88313.347138818674"/>
    <n v="1.5070472024758144"/>
    <s v="Flagged"/>
    <s v=""/>
    <s v=""/>
    <s v=""/>
    <s v=""/>
    <x v="2"/>
    <n v="146913.60000000001"/>
    <m/>
    <m/>
    <n v="1"/>
    <s v="Flagged"/>
    <n v="146913.60000000001"/>
    <m/>
    <n v="73456.800000000003"/>
    <n v="0"/>
    <n v="0"/>
  </r>
  <r>
    <s v="VenezulanosVE1106"/>
    <s v="Falcón"/>
    <s v="VE11"/>
    <s v="Colina"/>
    <s v="VE1106"/>
    <m/>
    <n v="42442"/>
    <s v="Venezulanos"/>
    <n v="3979"/>
    <n v="2741.6181750233609"/>
    <n v="14974.792553558478"/>
    <n v="4309.9988029649658"/>
    <n v="10157.447364713376"/>
    <n v="25465.200000000001"/>
    <n v="3250.3831567082807"/>
    <n v="3555.1065776496816"/>
    <n v="0.1"/>
    <n v="0.05"/>
    <n v="0.35000000000000003"/>
    <n v="0.1"/>
    <n v="0.25"/>
    <n v="0.60000000000000009"/>
    <n v="0.1"/>
    <n v="0.1"/>
    <n v="25465.200000000001"/>
    <s v="ASH"/>
    <n v="0.6"/>
    <s v=""/>
    <s v=""/>
    <s v=""/>
    <n v="14974.792553558478"/>
    <s v="SAL"/>
    <n v="0.35282956867156301"/>
    <n v="10490.407446441523"/>
    <n v="0.70053774761298271"/>
    <s v=""/>
    <n v="10157.447364713376"/>
    <s v="PRO"/>
    <n v="0.23932537026326225"/>
    <n v="15307.752635286624"/>
    <n v="1.5070472024758141"/>
    <s v="Flagged"/>
    <s v=""/>
    <s v=""/>
    <s v=""/>
    <s v=""/>
    <x v="2"/>
    <n v="25465.200000000001"/>
    <m/>
    <m/>
    <n v="1"/>
    <s v="Flagged"/>
    <n v="25465.200000000001"/>
    <m/>
    <n v="12732.6"/>
    <n v="0"/>
    <n v="0"/>
  </r>
  <r>
    <s v="VenezulanosVE1107"/>
    <s v="Falcón"/>
    <s v="VE11"/>
    <s v="Dabajuro"/>
    <s v="VE1107"/>
    <m/>
    <n v="23921"/>
    <s v="Venezulanos"/>
    <n v="8353"/>
    <n v="1212.5576831221138"/>
    <n v="8440.0361121924598"/>
    <n v="1269.8432502383553"/>
    <n v="4770.75181838958"/>
    <n v="0"/>
    <n v="1531.4113337030553"/>
    <n v="1669.7631364363529"/>
    <n v="0.35000000000000003"/>
    <n v="0.05"/>
    <n v="0.35000000000000003"/>
    <n v="0.05"/>
    <n v="0.2"/>
    <n v="0"/>
    <n v="0.05"/>
    <n v="0.05"/>
    <n v="8440.0361121924598"/>
    <s v="SAL"/>
    <n v="0.35282956867156307"/>
    <s v=""/>
    <s v=""/>
    <s v=""/>
    <n v="8353"/>
    <s v="SAMV"/>
    <n v="0.34919108732912502"/>
    <n v="87.036112192459768"/>
    <n v="1.0419742869922156E-2"/>
    <s v=""/>
    <n v="4770.75181838958"/>
    <s v="PRO"/>
    <n v="0.19943780855271853"/>
    <n v="3669.2842938028798"/>
    <n v="0.76912076617758063"/>
    <s v="Flagged"/>
    <s v=""/>
    <s v=""/>
    <s v=""/>
    <s v=""/>
    <x v="2"/>
    <n v="8440.0361121924598"/>
    <m/>
    <m/>
    <n v="1"/>
    <s v="Flagged"/>
    <n v="8440.0361121924598"/>
    <m/>
    <n v="4220.0180560962299"/>
    <n v="0"/>
    <n v="0"/>
  </r>
  <r>
    <s v="VenezulanosVE1108"/>
    <s v="Falcón"/>
    <s v="VE11"/>
    <s v="Democracia"/>
    <s v="VE1108"/>
    <m/>
    <n v="10168"/>
    <s v="Venezulanos"/>
    <n v="2034"/>
    <n v="354.05141062751409"/>
    <n v="4442.0988861527721"/>
    <n v="967.18391296109689"/>
    <n v="2027.8836373640422"/>
    <n v="6100.8"/>
    <n v="648.92276395649355"/>
    <n v="709.75927307741472"/>
    <n v="0.2"/>
    <n v="0.05"/>
    <n v="0.45"/>
    <n v="0.1"/>
    <n v="0.2"/>
    <n v="0.60000000000000009"/>
    <n v="0.05"/>
    <n v="0.05"/>
    <n v="6100.8"/>
    <s v="ASH"/>
    <n v="0.6"/>
    <s v=""/>
    <s v=""/>
    <s v=""/>
    <n v="4442.0988861527721"/>
    <s v="SAL"/>
    <n v="0.43687046480652753"/>
    <n v="1658.701113847228"/>
    <n v="0.37340481523674529"/>
    <s v=""/>
    <n v="2034"/>
    <s v="SAMV"/>
    <n v="0.20003933910306845"/>
    <n v="4066.8"/>
    <n v="1.9994100294985251"/>
    <s v="Flagged"/>
    <s v=""/>
    <s v=""/>
    <s v=""/>
    <s v=""/>
    <x v="2"/>
    <n v="6100.8"/>
    <m/>
    <m/>
    <n v="1"/>
    <s v="Flagged"/>
    <n v="6100.8"/>
    <m/>
    <n v="3050.4"/>
    <n v="0"/>
    <n v="0"/>
  </r>
  <r>
    <s v="VenezulanosVE1109"/>
    <s v="Falcón"/>
    <s v="VE11"/>
    <s v="Falcón"/>
    <s v="VE1109"/>
    <m/>
    <n v="47260"/>
    <s v="Venezulanos"/>
    <n v="8303"/>
    <n v="2335.1810107225751"/>
    <n v="16674.725415418066"/>
    <n v="4467.9959280783969"/>
    <n v="9425.4308322014749"/>
    <n v="28356"/>
    <n v="3025.5632971366736"/>
    <n v="3298.9007912705165"/>
    <n v="0.2"/>
    <n v="0.05"/>
    <n v="0.35000000000000003"/>
    <n v="0.1"/>
    <n v="0.2"/>
    <n v="0.60000000000000009"/>
    <n v="0.05"/>
    <n v="0.05"/>
    <n v="28356"/>
    <s v="ASH"/>
    <n v="0.6"/>
    <s v=""/>
    <s v=""/>
    <s v=""/>
    <n v="16674.725415418066"/>
    <s v="SAL"/>
    <n v="0.35282956867156295"/>
    <n v="11681.274584581934"/>
    <n v="0.70053774761298293"/>
    <s v=""/>
    <n v="9425.4308322014749"/>
    <s v="PRO"/>
    <n v="0.19943780855271848"/>
    <n v="18930.569167798523"/>
    <n v="2.0084566429709776"/>
    <s v="Flagged"/>
    <s v=""/>
    <s v=""/>
    <s v=""/>
    <s v=""/>
    <x v="2"/>
    <n v="28356"/>
    <m/>
    <m/>
    <n v="1"/>
    <s v="Flagged"/>
    <n v="28356"/>
    <m/>
    <n v="14178"/>
    <n v="0"/>
    <n v="0"/>
  </r>
  <r>
    <s v="VenezulanosVE1110"/>
    <s v="Falcón"/>
    <s v="VE11"/>
    <s v="Federación"/>
    <s v="VE1110"/>
    <m/>
    <n v="29908"/>
    <s v="Venezulanos"/>
    <n v="4601"/>
    <n v="2085.6017894958804"/>
    <n v="10552.426739829109"/>
    <n v="1798.3335056182759"/>
    <n v="7157.7431738336463"/>
    <n v="13458.6"/>
    <n v="2290.4778156267666"/>
    <n v="2505.210110841776"/>
    <n v="0.15000000000000002"/>
    <n v="0.05"/>
    <n v="0.35000000000000003"/>
    <n v="0.05"/>
    <n v="0.25"/>
    <n v="0.45"/>
    <n v="0.1"/>
    <n v="0.1"/>
    <n v="13458.6"/>
    <s v="ASH"/>
    <n v="0.45"/>
    <s v=""/>
    <s v=""/>
    <s v=""/>
    <n v="10552.426739829109"/>
    <s v="SAL"/>
    <n v="0.35282956867156307"/>
    <n v="2906.1732601708918"/>
    <n v="0.27540331070973689"/>
    <s v=""/>
    <n v="7157.7431738336463"/>
    <s v="PRO"/>
    <n v="0.23932537026326223"/>
    <n v="6300.856826166354"/>
    <n v="0.88028540185686088"/>
    <s v="Flagged"/>
    <s v=""/>
    <s v=""/>
    <s v=""/>
    <s v=""/>
    <x v="2"/>
    <n v="13458.6"/>
    <m/>
    <m/>
    <n v="1"/>
    <s v="Flagged"/>
    <n v="13458.6"/>
    <m/>
    <n v="6729.3"/>
    <n v="0"/>
    <n v="0"/>
  </r>
  <r>
    <s v="VenezulanosVE1111"/>
    <s v="Falcón"/>
    <s v="VE11"/>
    <s v="Jacura"/>
    <s v="VE1111"/>
    <m/>
    <n v="11484"/>
    <s v="Venezulanos"/>
    <n v="3063"/>
    <n v="424.67871277834007"/>
    <n v="4051.8947666242298"/>
    <n v="881.64855293492519"/>
    <n v="2290.3437934194194"/>
    <n v="0"/>
    <n v="732.91001389421422"/>
    <n v="801.62032769679672"/>
    <n v="0.25"/>
    <n v="0.05"/>
    <n v="0.35000000000000003"/>
    <n v="0.1"/>
    <n v="0.2"/>
    <n v="0"/>
    <n v="0.05"/>
    <n v="0.05"/>
    <n v="4051.8947666242298"/>
    <s v="SAL"/>
    <n v="0.35282956867156301"/>
    <s v=""/>
    <s v=""/>
    <s v=""/>
    <n v="3063"/>
    <s v="SAMV"/>
    <n v="0.2667189132706374"/>
    <n v="988.89476662422976"/>
    <n v="0.32285170310944489"/>
    <s v=""/>
    <n v="2290.3437934194194"/>
    <s v="PRO"/>
    <n v="0.1994378085527185"/>
    <n v="1761.5509732048104"/>
    <n v="0.76912076617758063"/>
    <s v="Flagged"/>
    <s v=""/>
    <s v=""/>
    <s v=""/>
    <s v=""/>
    <x v="2"/>
    <n v="4051.8947666242298"/>
    <m/>
    <m/>
    <n v="1"/>
    <s v="Flagged"/>
    <n v="4051.8947666242298"/>
    <m/>
    <n v="2025.9473833121149"/>
    <n v="0"/>
    <n v="0"/>
  </r>
  <r>
    <s v="VenezulanosVE1112"/>
    <s v="Falcón"/>
    <s v="VE11"/>
    <s v="Los Taques"/>
    <s v="VE1112"/>
    <m/>
    <n v="42517"/>
    <s v="Venezulanos"/>
    <n v="3335"/>
    <n v="2597.1737913962606"/>
    <n v="15001.254771208844"/>
    <n v="2855.8989631766344"/>
    <n v="8479.497306235935"/>
    <n v="25510.2"/>
    <n v="2713.4391379954991"/>
    <n v="2967.8240571825777"/>
    <n v="0.1"/>
    <n v="0.05"/>
    <n v="0.35000000000000003"/>
    <n v="0.05"/>
    <n v="0.2"/>
    <n v="0.60000000000000009"/>
    <n v="0.05"/>
    <n v="0.05"/>
    <n v="25510.2"/>
    <s v="ASH"/>
    <n v="0.6"/>
    <s v=""/>
    <s v=""/>
    <s v=""/>
    <n v="15001.254771208844"/>
    <s v="SAL"/>
    <n v="0.35282956867156301"/>
    <n v="10508.945228791157"/>
    <n v="0.70053774761298293"/>
    <s v=""/>
    <n v="8479.497306235935"/>
    <s v="PRO"/>
    <n v="0.19943780855271856"/>
    <n v="17030.702693764066"/>
    <n v="2.0084566429709767"/>
    <s v="Flagged"/>
    <s v=""/>
    <s v=""/>
    <s v=""/>
    <s v=""/>
    <x v="2"/>
    <n v="25510.2"/>
    <m/>
    <m/>
    <n v="1"/>
    <s v="Flagged"/>
    <n v="25510.2"/>
    <m/>
    <n v="12755.1"/>
    <n v="0"/>
    <n v="0"/>
  </r>
  <r>
    <s v="VenezulanosVE1113"/>
    <s v="Falcón"/>
    <s v="VE11"/>
    <s v="Mauroa"/>
    <s v="VE1113"/>
    <m/>
    <n v="25491"/>
    <s v="Venezulanos"/>
    <n v="3089"/>
    <n v="1434.2983296366374"/>
    <n v="8993.9785350068123"/>
    <n v="1658.8970476193463"/>
    <n v="6100.6430133808199"/>
    <n v="11470.95"/>
    <n v="1958.3064072952432"/>
    <n v="2135.225054683287"/>
    <n v="0.1"/>
    <n v="0.05"/>
    <n v="0.35000000000000003"/>
    <n v="0.05"/>
    <n v="0.25"/>
    <n v="0.45"/>
    <n v="0.1"/>
    <n v="0.1"/>
    <n v="11470.95"/>
    <s v="ASH"/>
    <n v="0.45"/>
    <s v=""/>
    <s v=""/>
    <s v=""/>
    <n v="8993.9785350068123"/>
    <s v="SAL"/>
    <n v="0.35282956867156301"/>
    <n v="2476.9714649931884"/>
    <n v="0.27540331070973723"/>
    <s v=""/>
    <n v="6100.6430133808199"/>
    <s v="PRO"/>
    <n v="0.23932537026326231"/>
    <n v="5370.3069866191809"/>
    <n v="0.88028540185686011"/>
    <s v="Flagged"/>
    <s v=""/>
    <s v=""/>
    <s v=""/>
    <s v=""/>
    <x v="2"/>
    <n v="11470.95"/>
    <m/>
    <m/>
    <n v="1"/>
    <s v="Flagged"/>
    <n v="11470.95"/>
    <m/>
    <n v="5735.4750000000004"/>
    <n v="0"/>
    <n v="0"/>
  </r>
  <r>
    <s v="VenezulanosVE1114"/>
    <s v="Falcón"/>
    <s v="VE11"/>
    <s v="Miranda"/>
    <s v="VE1114"/>
    <m/>
    <n v="216316"/>
    <s v="Venezulanos"/>
    <n v="60234"/>
    <n v="13084.568833454498"/>
    <n v="76322.680976757823"/>
    <n v="18116.337224203919"/>
    <n v="51769.906793867834"/>
    <n v="0"/>
    <n v="16566.370174037707"/>
    <n v="18119.46737785374"/>
    <n v="0.30000000000000004"/>
    <n v="0.05"/>
    <n v="0.35000000000000003"/>
    <n v="0.1"/>
    <n v="0.25"/>
    <n v="0"/>
    <n v="0.1"/>
    <n v="0.1"/>
    <n v="76322.680976757823"/>
    <s v="SAL"/>
    <n v="0.35282956867156301"/>
    <s v=""/>
    <s v=""/>
    <s v=""/>
    <n v="60234"/>
    <s v="SAMV"/>
    <n v="0.27845374359732983"/>
    <n v="16088.680976757823"/>
    <n v="0.26710298131882032"/>
    <s v=""/>
    <n v="51769.906793867834"/>
    <s v="PRO"/>
    <n v="0.23932537026326223"/>
    <n v="24552.774182889989"/>
    <n v="0.47426730514798365"/>
    <s v=""/>
    <s v=""/>
    <s v=""/>
    <s v=""/>
    <s v=""/>
    <x v="2"/>
    <n v="76322.680976757823"/>
    <m/>
    <m/>
    <n v="0"/>
    <s v=""/>
    <n v="76322.680976757823"/>
    <m/>
    <n v="38161.340488378912"/>
    <n v="0"/>
    <n v="0"/>
  </r>
  <r>
    <s v="VenezulanosVE1115"/>
    <s v="Falcón"/>
    <s v="VE11"/>
    <s v="Monseñor Iturriza"/>
    <s v="VE1115"/>
    <m/>
    <n v="19740"/>
    <s v="Venezulanos"/>
    <n v="0"/>
    <n v="1509.786920248705"/>
    <n v="6964.8556855766537"/>
    <n v="1104.3965335057878"/>
    <n v="3936.9023408306639"/>
    <n v="11844"/>
    <n v="1259.8087490658124"/>
    <n v="1377.9158192907323"/>
    <n v="0"/>
    <n v="0.1"/>
    <n v="0.35000000000000003"/>
    <n v="0.05"/>
    <n v="0.2"/>
    <n v="0.60000000000000009"/>
    <n v="0.05"/>
    <n v="0.05"/>
    <n v="11844"/>
    <s v="ASH"/>
    <n v="0.6"/>
    <s v=""/>
    <s v=""/>
    <s v=""/>
    <n v="6964.8556855766537"/>
    <s v="SAL"/>
    <n v="0.35282956867156301"/>
    <n v="4879.1443144233463"/>
    <n v="0.70053774761298282"/>
    <s v=""/>
    <n v="3936.9023408306639"/>
    <s v="PRO"/>
    <n v="0.19943780855271853"/>
    <n v="7907.0976591693361"/>
    <n v="2.0084566429709771"/>
    <s v="Flagged"/>
    <s v=""/>
    <s v=""/>
    <s v=""/>
    <s v=""/>
    <x v="2"/>
    <n v="11844"/>
    <m/>
    <m/>
    <n v="1"/>
    <s v="Flagged"/>
    <n v="11844"/>
    <m/>
    <n v="5922"/>
    <n v="0"/>
    <n v="0"/>
  </r>
  <r>
    <s v="VenezulanosVE1116"/>
    <s v="Falcón"/>
    <s v="VE11"/>
    <s v="Palmasola"/>
    <s v="VE1116"/>
    <m/>
    <n v="7236"/>
    <s v="Venezulanos"/>
    <n v="1025"/>
    <n v="257.8809837219161"/>
    <n v="2553.0747589074304"/>
    <n v="966.93994402349165"/>
    <n v="1443.131982687471"/>
    <n v="0"/>
    <n v="463.24536644267823"/>
    <n v="505.09619394061485"/>
    <n v="0.15000000000000002"/>
    <n v="0.05"/>
    <n v="0.35000000000000003"/>
    <n v="0.15000000000000002"/>
    <n v="0.2"/>
    <n v="0"/>
    <n v="0.05"/>
    <n v="0.05"/>
    <n v="2553.0747589074304"/>
    <s v="SAL"/>
    <n v="0.35282956867156307"/>
    <s v=""/>
    <s v=""/>
    <s v=""/>
    <n v="1443.131982687471"/>
    <s v="PRO"/>
    <n v="0.1994378085527185"/>
    <n v="1109.9427762199593"/>
    <n v="0.76912076617758107"/>
    <s v=""/>
    <n v="1025"/>
    <s v="SAMV"/>
    <n v="0.14165284687672747"/>
    <n v="1528.0747589074304"/>
    <n v="1.4908046428365174"/>
    <s v="Flagged"/>
    <s v=""/>
    <s v=""/>
    <s v=""/>
    <s v=""/>
    <x v="2"/>
    <n v="2553.0747589074304"/>
    <m/>
    <m/>
    <n v="1"/>
    <s v="Flagged"/>
    <n v="2553.0747589074304"/>
    <m/>
    <n v="1276.5373794537152"/>
    <n v="0"/>
    <n v="0"/>
  </r>
  <r>
    <s v="VenezulanosVE1117"/>
    <s v="Falcón"/>
    <s v="VE11"/>
    <s v="Petit"/>
    <s v="VE1117"/>
    <m/>
    <n v="14026"/>
    <s v="Venezulanos"/>
    <n v="2727"/>
    <n v="540.28139075847002"/>
    <n v="4948.7875301873428"/>
    <n v="867.92845520858828"/>
    <n v="2797.31470276043"/>
    <n v="1893.5099999999998"/>
    <n v="895.14070488333755"/>
    <n v="979.06014596615046"/>
    <n v="0.2"/>
    <n v="0.05"/>
    <n v="0.35000000000000003"/>
    <n v="0.05"/>
    <n v="0.2"/>
    <n v="0.15000000000000002"/>
    <n v="0.05"/>
    <n v="0.05"/>
    <n v="4948.7875301873428"/>
    <s v="SAL"/>
    <n v="0.35282956867156301"/>
    <s v=""/>
    <s v=""/>
    <s v=""/>
    <n v="2797.31470276043"/>
    <s v="PRO"/>
    <n v="0.19943780855271853"/>
    <n v="2151.4728274269128"/>
    <n v="0.76912076617758052"/>
    <s v=""/>
    <n v="2727"/>
    <s v="SAMV"/>
    <n v="0.19442463995437045"/>
    <n v="2221.7875301873428"/>
    <n v="0.81473690142550159"/>
    <s v="Flagged"/>
    <s v=""/>
    <s v=""/>
    <s v=""/>
    <s v=""/>
    <x v="0"/>
    <n v="4948.7875301873428"/>
    <m/>
    <m/>
    <n v="1"/>
    <s v="Flagged"/>
    <n v="4948.7875301873428"/>
    <m/>
    <n v="4948.7875301873428"/>
    <n v="4948.7875301873428"/>
    <n v="0"/>
  </r>
  <r>
    <s v="VenezulanosVE1118"/>
    <s v="Falcón"/>
    <s v="VE11"/>
    <s v="Píritu"/>
    <s v="VE1118"/>
    <m/>
    <n v="10869"/>
    <s v="Venezulanos"/>
    <n v="1418"/>
    <n v="916.92668144987113"/>
    <n v="5330.5186633833255"/>
    <n v="932.3776863418052"/>
    <n v="2167.6895411594974"/>
    <n v="6521.4"/>
    <n v="693.66065317103926"/>
    <n v="758.69133940582401"/>
    <n v="0.15000000000000002"/>
    <n v="0.1"/>
    <n v="0.5"/>
    <n v="0.1"/>
    <n v="0.2"/>
    <n v="0.60000000000000009"/>
    <n v="0.05"/>
    <n v="0.05"/>
    <n v="6521.4"/>
    <s v="ASH"/>
    <n v="0.6"/>
    <s v=""/>
    <s v=""/>
    <s v=""/>
    <n v="5330.5186633833255"/>
    <s v="SAL"/>
    <n v="0.49043321955868302"/>
    <n v="1190.8813366166742"/>
    <n v="0.22340815440665049"/>
    <s v=""/>
    <n v="2167.6895411594974"/>
    <s v="PRO"/>
    <n v="0.1994378085527185"/>
    <n v="4353.7104588405018"/>
    <n v="2.0084566429709771"/>
    <s v="Flagged"/>
    <s v=""/>
    <s v=""/>
    <s v=""/>
    <s v=""/>
    <x v="2"/>
    <n v="6521.4"/>
    <m/>
    <m/>
    <n v="1"/>
    <s v="Flagged"/>
    <n v="6521.4"/>
    <m/>
    <n v="3260.7"/>
    <n v="0"/>
    <n v="0"/>
  </r>
  <r>
    <s v="VenezulanosVE1119"/>
    <s v="Falcón"/>
    <s v="VE11"/>
    <s v="San Francisco"/>
    <s v="VE1119"/>
    <m/>
    <n v="11285"/>
    <s v="Venezulanos"/>
    <n v="1504"/>
    <n v="305.44893935630103"/>
    <n v="3981.6816824585885"/>
    <n v="835.38964084982274"/>
    <n v="2250.6556695174286"/>
    <n v="6771"/>
    <n v="720.20981424557715"/>
    <n v="787.72948433109991"/>
    <n v="0.15000000000000002"/>
    <n v="0.05"/>
    <n v="0.35000000000000003"/>
    <n v="0.05"/>
    <n v="0.2"/>
    <n v="0.60000000000000009"/>
    <n v="0.05"/>
    <n v="0.05"/>
    <n v="6771"/>
    <s v="ASH"/>
    <n v="0.6"/>
    <s v=""/>
    <s v=""/>
    <s v=""/>
    <n v="3981.6816824585885"/>
    <s v="SAL"/>
    <n v="0.35282956867156301"/>
    <n v="2789.3183175414115"/>
    <n v="0.70053774761298282"/>
    <s v=""/>
    <n v="2250.6556695174286"/>
    <s v="PRO"/>
    <n v="0.19943780855271853"/>
    <n v="4520.3443304825714"/>
    <n v="2.0084566429709771"/>
    <s v="Flagged"/>
    <s v=""/>
    <s v=""/>
    <s v=""/>
    <s v=""/>
    <x v="2"/>
    <n v="6771"/>
    <m/>
    <m/>
    <n v="1"/>
    <s v="Flagged"/>
    <n v="6771"/>
    <m/>
    <n v="3385.5"/>
    <n v="0"/>
    <n v="0"/>
  </r>
  <r>
    <s v="VenezulanosVE1120"/>
    <s v="Falcón"/>
    <s v="VE11"/>
    <s v="Silva"/>
    <s v="VE1120"/>
    <m/>
    <n v="32925"/>
    <s v="Venezulanos"/>
    <n v="4116"/>
    <n v="1218.0103305609914"/>
    <n v="11616.913548511213"/>
    <n v="6168.3385142026182"/>
    <n v="6566.489846598256"/>
    <n v="0"/>
    <n v="2101.2767509114419"/>
    <n v="2298.2714463093894"/>
    <n v="0.15000000000000002"/>
    <n v="0.05"/>
    <n v="0.35000000000000003"/>
    <n v="0.2"/>
    <n v="0.2"/>
    <n v="0"/>
    <n v="0.05"/>
    <n v="0.05"/>
    <n v="11616.913548511213"/>
    <s v="SAL"/>
    <n v="0.35282956867156301"/>
    <s v=""/>
    <s v=""/>
    <s v=""/>
    <n v="6566.489846598256"/>
    <s v="PRO"/>
    <n v="0.19943780855271848"/>
    <n v="5050.4237019129569"/>
    <n v="0.76912076617758096"/>
    <s v=""/>
    <n v="6168.3385142026182"/>
    <s v="EDU"/>
    <n v="0.1873451333091152"/>
    <n v="5448.5750343085947"/>
    <n v="0.88331323285245034"/>
    <s v="Flagged"/>
    <s v=""/>
    <s v=""/>
    <s v=""/>
    <s v=""/>
    <x v="2"/>
    <n v="11616.913548511213"/>
    <m/>
    <m/>
    <n v="1"/>
    <s v="Flagged"/>
    <n v="11616.913548511213"/>
    <m/>
    <n v="5808.4567742556064"/>
    <n v="0"/>
    <n v="0"/>
  </r>
  <r>
    <s v="VenezulanosVE1121"/>
    <s v="Falcón"/>
    <s v="VE11"/>
    <s v="Sucre"/>
    <s v="VE1121"/>
    <m/>
    <n v="5909"/>
    <s v="Venezulanos"/>
    <n v="1314"/>
    <n v="210.86923722366373"/>
    <n v="2084.8699212802662"/>
    <n v="359.99597372483004"/>
    <n v="1414.1736128856162"/>
    <n v="3545.4"/>
    <n v="452.53555612339721"/>
    <n v="494.96076450996566"/>
    <n v="0.2"/>
    <n v="0.05"/>
    <n v="0.35000000000000003"/>
    <n v="0.05"/>
    <n v="0.25"/>
    <n v="0.60000000000000009"/>
    <n v="0.1"/>
    <n v="0.1"/>
    <n v="3545.4"/>
    <s v="ASH"/>
    <n v="0.6"/>
    <s v=""/>
    <s v=""/>
    <s v=""/>
    <n v="2084.8699212802662"/>
    <s v="SAL"/>
    <n v="0.35282956867156307"/>
    <n v="1460.5300787197339"/>
    <n v="0.70053774761298249"/>
    <s v=""/>
    <n v="1414.1736128856162"/>
    <s v="PRO"/>
    <n v="0.23932537026326217"/>
    <n v="2131.2263871143841"/>
    <n v="1.507047202475815"/>
    <s v="Flagged"/>
    <s v=""/>
    <s v=""/>
    <s v=""/>
    <s v=""/>
    <x v="2"/>
    <n v="3545.4"/>
    <m/>
    <m/>
    <n v="1"/>
    <s v="Flagged"/>
    <n v="3545.4"/>
    <m/>
    <n v="1772.7"/>
    <n v="0"/>
    <n v="0"/>
  </r>
  <r>
    <s v="VenezulanosVE1122"/>
    <s v="Falcón"/>
    <s v="VE11"/>
    <s v="Tocópero"/>
    <s v="VE1122"/>
    <m/>
    <n v="5646"/>
    <s v="Venezulanos"/>
    <n v="1255"/>
    <n v="180.5503454248958"/>
    <n v="1992.0757447196449"/>
    <n v="235.61749526304493"/>
    <n v="1126.0258670886487"/>
    <n v="3387.6"/>
    <n v="361.45430333545625"/>
    <n v="394.10905348102699"/>
    <n v="0.2"/>
    <n v="0.05"/>
    <n v="0.35000000000000003"/>
    <n v="0.05"/>
    <n v="0.2"/>
    <n v="0.60000000000000009"/>
    <n v="0.05"/>
    <n v="0.05"/>
    <n v="3387.6"/>
    <s v="ASH"/>
    <n v="0.6"/>
    <s v=""/>
    <s v=""/>
    <s v=""/>
    <n v="1992.0757447196449"/>
    <s v="SAL"/>
    <n v="0.35282956867156307"/>
    <n v="1395.524255280355"/>
    <n v="0.7005377476129826"/>
    <s v=""/>
    <n v="1255"/>
    <s v="SAMV"/>
    <n v="0.22228126106978391"/>
    <n v="2132.6"/>
    <n v="1.6992828685258963"/>
    <s v="Flagged"/>
    <s v=""/>
    <s v=""/>
    <s v=""/>
    <s v=""/>
    <x v="2"/>
    <n v="3387.6"/>
    <m/>
    <m/>
    <n v="1"/>
    <s v="Flagged"/>
    <n v="3387.6"/>
    <m/>
    <n v="1693.8"/>
    <n v="0"/>
    <n v="0"/>
  </r>
  <r>
    <s v="VenezulanosVE1123"/>
    <s v="Falcón"/>
    <s v="VE11"/>
    <s v="Unión"/>
    <s v="VE1123"/>
    <m/>
    <n v="16013"/>
    <s v="Venezulanos"/>
    <n v="2669"/>
    <n v="623.97613362068967"/>
    <n v="5649.8598831377385"/>
    <n v="526.55138078333516"/>
    <n v="3832.3171540256176"/>
    <n v="9607.7999999999993"/>
    <n v="1230.1738064422234"/>
    <n v="1341.3110039089661"/>
    <n v="0.15000000000000002"/>
    <n v="0.05"/>
    <n v="0.35000000000000003"/>
    <n v="0.05"/>
    <n v="0.25"/>
    <n v="0.60000000000000009"/>
    <n v="0.1"/>
    <n v="0.1"/>
    <n v="9607.7999999999993"/>
    <s v="ASH"/>
    <n v="0.6"/>
    <s v=""/>
    <s v=""/>
    <s v=""/>
    <n v="5649.8598831377385"/>
    <s v="SAL"/>
    <n v="0.35282956867156301"/>
    <n v="3957.9401168622608"/>
    <n v="0.70053774761298271"/>
    <s v=""/>
    <n v="3832.3171540256176"/>
    <s v="PRO"/>
    <n v="0.2393253702632622"/>
    <n v="5775.4828459743821"/>
    <n v="1.5070472024758146"/>
    <s v="Flagged"/>
    <s v=""/>
    <s v=""/>
    <s v=""/>
    <s v=""/>
    <x v="2"/>
    <n v="9607.7999999999993"/>
    <m/>
    <m/>
    <n v="1"/>
    <s v="Flagged"/>
    <n v="9607.7999999999993"/>
    <m/>
    <n v="4803.8999999999996"/>
    <n v="0"/>
    <n v="0"/>
  </r>
  <r>
    <s v="VenezulanosVE1124"/>
    <s v="Falcón"/>
    <s v="VE11"/>
    <s v="Urumaco"/>
    <s v="VE1124"/>
    <m/>
    <n v="8543"/>
    <s v="Venezulanos"/>
    <n v="1384"/>
    <n v="301.29848694933526"/>
    <n v="4442.0988861527721"/>
    <n v="996.43837198321842"/>
    <n v="1703.7971984658748"/>
    <n v="1153.3049999999998"/>
    <n v="546.91890070754584"/>
    <n v="596.32901946305617"/>
    <n v="0.15000000000000002"/>
    <n v="0.05"/>
    <n v="0.5"/>
    <n v="0.1"/>
    <n v="0.2"/>
    <n v="0.15000000000000002"/>
    <n v="0.05"/>
    <n v="0.05"/>
    <n v="4442.0988861527721"/>
    <s v="SAL"/>
    <n v="0.51996943534505113"/>
    <s v=""/>
    <s v=""/>
    <s v=""/>
    <n v="1703.7971984658748"/>
    <s v="PRO"/>
    <n v="0.19943780855271856"/>
    <n v="2738.3016876868974"/>
    <n v="1.6071758365094779"/>
    <s v="Flagged"/>
    <n v="1384"/>
    <s v="SAMV"/>
    <n v="0.1620039798665574"/>
    <n v="3058.0988861527721"/>
    <n v="2.2096090217866853"/>
    <s v="Flagged"/>
    <s v=""/>
    <s v=""/>
    <s v=""/>
    <s v=""/>
    <x v="2"/>
    <n v="4442.0988861527721"/>
    <m/>
    <m/>
    <n v="2"/>
    <s v="Flagged"/>
    <n v="4442.0988861527721"/>
    <m/>
    <n v="2221.0494430763861"/>
    <n v="0"/>
    <n v="0"/>
  </r>
  <r>
    <s v="VenezulanosVE1125"/>
    <s v="Falcón"/>
    <s v="VE11"/>
    <s v="Zamora"/>
    <s v="VE1125"/>
    <m/>
    <n v="33967"/>
    <s v="Venezulanos"/>
    <n v="3019"/>
    <n v="806.86685380035101"/>
    <n v="11984.561959066979"/>
    <n v="3734.0644683244968"/>
    <n v="8129.1648517322274"/>
    <n v="2292.7725"/>
    <n v="2609.4619174060449"/>
    <n v="2845.2076981062792"/>
    <n v="0.1"/>
    <n v="0"/>
    <n v="0.35000000000000003"/>
    <n v="0.1"/>
    <n v="0.25"/>
    <n v="0.05"/>
    <n v="0.1"/>
    <n v="0.1"/>
    <n v="11984.561959066979"/>
    <s v="SAL"/>
    <n v="0.35282956867156295"/>
    <s v=""/>
    <s v=""/>
    <s v=""/>
    <n v="8129.1648517322274"/>
    <s v="PRO"/>
    <n v="0.2393253702632622"/>
    <n v="3855.397107334752"/>
    <n v="0.47426730514798371"/>
    <s v=""/>
    <n v="3734.0644683244968"/>
    <s v="EDU"/>
    <n v="0.10993212436554588"/>
    <n v="8250.4974907424821"/>
    <n v="2.2095219728342137"/>
    <s v="Flagged"/>
    <s v=""/>
    <s v=""/>
    <s v=""/>
    <s v=""/>
    <x v="2"/>
    <n v="11984.561959066979"/>
    <m/>
    <m/>
    <n v="1"/>
    <s v="Flagged"/>
    <n v="11984.561959066979"/>
    <m/>
    <n v="5992.2809795334897"/>
    <n v="0"/>
    <n v="0"/>
  </r>
  <r>
    <s v="VenezulanosVE1201"/>
    <s v="Guárico"/>
    <s v="VE12"/>
    <s v="Camaguán"/>
    <s v="VE1201"/>
    <m/>
    <n v="24937"/>
    <s v="Venezulanos"/>
    <n v="8312"/>
    <n v="1375.8079489869829"/>
    <n v="8798.5109539627665"/>
    <n v="1825.0416204597836"/>
    <n v="4622.189804478041"/>
    <n v="0"/>
    <n v="1483.7229272374511"/>
    <n v="1617.7664315673142"/>
    <n v="0.35000000000000003"/>
    <n v="0.05"/>
    <n v="0.35000000000000003"/>
    <n v="0.05"/>
    <n v="0.2"/>
    <n v="0"/>
    <n v="0.05"/>
    <n v="0.05"/>
    <n v="8798.5109539627665"/>
    <s v="SAL"/>
    <n v="0.35282956867156301"/>
    <s v=""/>
    <s v=""/>
    <s v=""/>
    <n v="8312"/>
    <s v="SAMV"/>
    <n v="0.33331996631511407"/>
    <n v="486.51095396276651"/>
    <n v="5.8531154230361704E-2"/>
    <s v=""/>
    <n v="4622.189804478041"/>
    <s v="PRO"/>
    <n v="0.18535468598781094"/>
    <n v="4176.3211494847255"/>
    <n v="0.90353735483528785"/>
    <s v="Flagged"/>
    <s v=""/>
    <s v=""/>
    <s v=""/>
    <s v=""/>
    <x v="2"/>
    <n v="8798.5109539627665"/>
    <m/>
    <m/>
    <n v="1"/>
    <s v="Flagged"/>
    <n v="8798.5109539627665"/>
    <m/>
    <n v="4399.2554769813833"/>
    <n v="0"/>
    <n v="0"/>
  </r>
  <r>
    <s v="VenezulanosVE1202"/>
    <s v="Guárico"/>
    <s v="VE12"/>
    <s v="Chaguaramas"/>
    <s v="VE1202"/>
    <m/>
    <n v="13263"/>
    <s v="Venezulanos"/>
    <n v="5053"/>
    <n v="678.01838861406759"/>
    <n v="4679.5785692909403"/>
    <n v="976.78145024549997"/>
    <n v="2458.3592002563364"/>
    <n v="7957.7999999999993"/>
    <n v="786.67494408202765"/>
    <n v="860.42572008971774"/>
    <n v="0.4"/>
    <n v="0.05"/>
    <n v="0.35000000000000003"/>
    <n v="0.05"/>
    <n v="0.2"/>
    <n v="0.60000000000000009"/>
    <n v="0.05"/>
    <n v="0.05"/>
    <n v="7957.7999999999993"/>
    <s v="ASH"/>
    <n v="0.6"/>
    <s v=""/>
    <s v=""/>
    <s v=""/>
    <n v="5053"/>
    <s v="SAMV"/>
    <n v="0.3809846942622333"/>
    <n v="2904.7999999999993"/>
    <n v="0.57486641599050059"/>
    <s v=""/>
    <n v="4679.5785692909403"/>
    <s v="SAL"/>
    <n v="0.35282956867156301"/>
    <n v="3278.221430709059"/>
    <n v="0.7005377476129826"/>
    <s v="Flagged"/>
    <s v=""/>
    <s v=""/>
    <s v=""/>
    <s v=""/>
    <x v="2"/>
    <n v="7957.7999999999993"/>
    <m/>
    <m/>
    <n v="1"/>
    <s v="Flagged"/>
    <n v="7957.7999999999993"/>
    <m/>
    <n v="3978.8999999999996"/>
    <n v="0"/>
    <n v="0"/>
  </r>
  <r>
    <s v="VenezulanosVE1203"/>
    <s v="Guárico"/>
    <s v="VE12"/>
    <s v="El Socorro"/>
    <s v="VE1203"/>
    <m/>
    <n v="17475"/>
    <s v="Venezulanos"/>
    <n v="3102"/>
    <n v="1020.2898625197403"/>
    <n v="6165.6967125355641"/>
    <n v="1352.440333635805"/>
    <n v="1943.4438825821976"/>
    <n v="7863.75"/>
    <n v="621.9020424263033"/>
    <n v="680.20535890376914"/>
    <n v="0.2"/>
    <n v="0.05"/>
    <n v="0.35000000000000003"/>
    <n v="0.1"/>
    <n v="0.1"/>
    <n v="0.45"/>
    <n v="0.05"/>
    <n v="0.05"/>
    <n v="7863.75"/>
    <s v="ASH"/>
    <n v="0.45"/>
    <s v=""/>
    <s v=""/>
    <s v=""/>
    <n v="6165.6967125355641"/>
    <s v="SAL"/>
    <n v="0.35282956867156301"/>
    <n v="1698.0532874644359"/>
    <n v="0.275403310709737"/>
    <s v=""/>
    <n v="3102"/>
    <s v="SAMV"/>
    <n v="0.1775107296137339"/>
    <n v="4761.75"/>
    <n v="1.5350580270793037"/>
    <s v="Flagged"/>
    <s v=""/>
    <s v=""/>
    <s v=""/>
    <s v=""/>
    <x v="2"/>
    <n v="7863.75"/>
    <m/>
    <m/>
    <n v="1"/>
    <s v="Flagged"/>
    <n v="7863.75"/>
    <m/>
    <n v="3931.875"/>
    <n v="0"/>
    <n v="0"/>
  </r>
  <r>
    <s v="VenezulanosVE1204"/>
    <s v="Guárico"/>
    <s v="VE12"/>
    <s v="San Gerónimo De Guayabal"/>
    <s v="VE1204"/>
    <m/>
    <n v="20661"/>
    <s v="Venezulanos"/>
    <n v="0"/>
    <n v="1127.6680384267049"/>
    <n v="7289.8117183231643"/>
    <n v="1499.7524248814229"/>
    <n v="3829.6131671941616"/>
    <n v="2789.2350000000001"/>
    <n v="1229.3058266693261"/>
    <n v="1340.3646085179564"/>
    <n v="0"/>
    <n v="0.05"/>
    <n v="0.35000000000000003"/>
    <n v="0.05"/>
    <n v="0.2"/>
    <n v="0.15000000000000002"/>
    <n v="0.05"/>
    <n v="0.05"/>
    <n v="7289.8117183231643"/>
    <s v="SAL"/>
    <n v="0.35282956867156307"/>
    <s v=""/>
    <s v=""/>
    <s v=""/>
    <n v="3829.6131671941616"/>
    <s v="PRO"/>
    <n v="0.18535468598781094"/>
    <n v="3460.1985511290027"/>
    <n v="0.90353735483528808"/>
    <s v=""/>
    <n v="2789.2350000000001"/>
    <s v="ASH"/>
    <n v="0.13500000000000001"/>
    <n v="4500.5767183231637"/>
    <n v="1.6135523605300965"/>
    <s v="Flagged"/>
    <s v=""/>
    <s v=""/>
    <s v=""/>
    <s v=""/>
    <x v="2"/>
    <n v="7289.8117183231643"/>
    <m/>
    <m/>
    <n v="1"/>
    <s v="Flagged"/>
    <n v="7289.8117183231643"/>
    <m/>
    <n v="3644.9058591615822"/>
    <n v="0"/>
    <n v="0"/>
  </r>
  <r>
    <s v="VenezulanosVE1205"/>
    <s v="Guárico"/>
    <s v="VE12"/>
    <s v="Leonardo Infante"/>
    <s v="VE1205"/>
    <m/>
    <n v="123622"/>
    <s v="Venezulanos"/>
    <n v="21943"/>
    <n v="6207.3295043550697"/>
    <n v="43617.496938315962"/>
    <n v="14355.36541941502"/>
    <n v="13748.350194711096"/>
    <n v="16688.97"/>
    <n v="4399.4720623075509"/>
    <n v="4811.9225681488833"/>
    <n v="0.2"/>
    <n v="0.05"/>
    <n v="0.35000000000000003"/>
    <n v="0.1"/>
    <n v="0.1"/>
    <n v="0.15000000000000002"/>
    <n v="0.05"/>
    <n v="0.05"/>
    <n v="43617.496938315962"/>
    <s v="SAL"/>
    <n v="0.35282956867156301"/>
    <s v=""/>
    <s v=""/>
    <s v=""/>
    <n v="21943"/>
    <s v="SAMV"/>
    <n v="0.17750076847163127"/>
    <n v="21674.496938315962"/>
    <n v="0.98776361200911278"/>
    <s v=""/>
    <n v="16688.97"/>
    <s v="ASH"/>
    <n v="0.13500000000000001"/>
    <n v="26928.526938315961"/>
    <n v="1.6135523605300961"/>
    <s v="Flagged"/>
    <s v=""/>
    <s v=""/>
    <s v=""/>
    <s v=""/>
    <x v="2"/>
    <n v="43617.496938315962"/>
    <m/>
    <m/>
    <n v="1"/>
    <s v="Flagged"/>
    <n v="43617.496938315962"/>
    <m/>
    <n v="21808.748469157981"/>
    <n v="0"/>
    <n v="0"/>
  </r>
  <r>
    <s v="VenezulanosVE1206"/>
    <s v="Guárico"/>
    <s v="VE12"/>
    <s v="Las Mercedes"/>
    <s v="VE1206"/>
    <m/>
    <n v="33770"/>
    <s v="Venezulanos"/>
    <n v="11256"/>
    <n v="1890.2845536139289"/>
    <n v="11915.054534038682"/>
    <n v="3419.9121158152179"/>
    <n v="7511.3132949700503"/>
    <n v="0"/>
    <n v="2403.620254390416"/>
    <n v="2628.9596532395171"/>
    <n v="0.35000000000000003"/>
    <n v="0.05"/>
    <n v="0.35000000000000003"/>
    <n v="0.1"/>
    <n v="0.2"/>
    <n v="0"/>
    <n v="0.05"/>
    <n v="0.1"/>
    <n v="11915.054534038682"/>
    <s v="SAL"/>
    <n v="0.35282956867156295"/>
    <s v=""/>
    <s v=""/>
    <s v=""/>
    <n v="11256"/>
    <s v="SAMV"/>
    <n v="0.33331359194551374"/>
    <n v="659.0545340386816"/>
    <n v="5.8551397835703768E-2"/>
    <s v=""/>
    <n v="7511.3132949700503"/>
    <s v="PRO"/>
    <n v="0.22242562318537312"/>
    <n v="4403.7412390686313"/>
    <n v="0.58628112902940632"/>
    <s v="Flagged"/>
    <s v=""/>
    <s v=""/>
    <s v=""/>
    <s v=""/>
    <x v="2"/>
    <n v="11915.054534038682"/>
    <m/>
    <m/>
    <n v="1"/>
    <s v="Flagged"/>
    <n v="11915.054534038682"/>
    <m/>
    <n v="5957.5272670193408"/>
    <n v="0"/>
    <n v="0"/>
  </r>
  <r>
    <s v="VenezulanosVE1207"/>
    <s v="Guárico"/>
    <s v="VE12"/>
    <s v="Julián Mellado"/>
    <s v="VE1207"/>
    <m/>
    <n v="28291"/>
    <s v="Venezulanos"/>
    <n v="5022"/>
    <n v="1437.5561402678572"/>
    <n v="9981.9013272871889"/>
    <n v="2807.2836822234208"/>
    <n v="3146.3216527686955"/>
    <n v="0"/>
    <n v="1006.8229288859826"/>
    <n v="1101.2125784690434"/>
    <n v="0.2"/>
    <n v="0.05"/>
    <n v="0.35000000000000003"/>
    <n v="0.1"/>
    <n v="0.1"/>
    <n v="0"/>
    <n v="0.05"/>
    <n v="0.05"/>
    <n v="9981.9013272871889"/>
    <s v="SAL"/>
    <n v="0.35282956867156301"/>
    <s v=""/>
    <s v=""/>
    <s v=""/>
    <n v="5022"/>
    <s v="SAMV"/>
    <n v="0.1775122830582164"/>
    <n v="4959.9013272871889"/>
    <n v="0.98763467289669238"/>
    <s v=""/>
    <n v="3146.3216527686955"/>
    <s v="PRO"/>
    <n v="0.11121281159268656"/>
    <n v="6835.5796745184934"/>
    <n v="2.1725622580588131"/>
    <s v="Flagged"/>
    <s v=""/>
    <s v=""/>
    <s v=""/>
    <s v=""/>
    <x v="2"/>
    <n v="9981.9013272871889"/>
    <m/>
    <m/>
    <n v="1"/>
    <s v="Flagged"/>
    <n v="9981.9013272871889"/>
    <m/>
    <n v="4990.9506636435945"/>
    <n v="0"/>
    <n v="0"/>
  </r>
  <r>
    <s v="VenezulanosVE1208"/>
    <s v="Guárico"/>
    <s v="VE12"/>
    <s v="Francisco De Miranda"/>
    <s v="VE1208"/>
    <m/>
    <n v="145194"/>
    <s v="Venezulanos"/>
    <n v="28513"/>
    <n v="5638.6621941758949"/>
    <n v="51228.73639369892"/>
    <n v="14944.294423882566"/>
    <n v="32294.865932777066"/>
    <n v="0"/>
    <n v="10366.651964421439"/>
    <n v="11303.203076471973"/>
    <n v="0.2"/>
    <n v="0.05"/>
    <n v="0.35000000000000003"/>
    <n v="0.1"/>
    <n v="0.2"/>
    <n v="0"/>
    <n v="0.05"/>
    <n v="0.1"/>
    <n v="51228.73639369892"/>
    <s v="SAL"/>
    <n v="0.35282956867156301"/>
    <s v=""/>
    <s v=""/>
    <s v=""/>
    <n v="32294.865932777066"/>
    <s v="PRO"/>
    <n v="0.22242562318537312"/>
    <n v="18933.870460921855"/>
    <n v="0.58628112902940654"/>
    <s v=""/>
    <n v="28513"/>
    <s v="SAMV"/>
    <n v="0.19637863823573976"/>
    <n v="22715.73639369892"/>
    <n v="0.7966799843474528"/>
    <s v="Flagged"/>
    <s v=""/>
    <s v=""/>
    <s v=""/>
    <s v=""/>
    <x v="2"/>
    <n v="51228.73639369892"/>
    <m/>
    <m/>
    <n v="1"/>
    <s v="Flagged"/>
    <n v="51228.73639369892"/>
    <m/>
    <n v="25614.36819684946"/>
    <n v="0"/>
    <n v="0"/>
  </r>
  <r>
    <s v="VenezulanosVE1209"/>
    <s v="Guárico"/>
    <s v="VE12"/>
    <s v="José Tadeo Monagas"/>
    <s v="VE1209"/>
    <m/>
    <n v="76246"/>
    <s v="Venezulanos"/>
    <n v="13534"/>
    <n v="3862.6008584669858"/>
    <n v="26901.843292931997"/>
    <n v="9043.2888174120781"/>
    <n v="16959.064065391955"/>
    <n v="10293.210000000001"/>
    <n v="5443.8595649908175"/>
    <n v="5935.6724228871835"/>
    <n v="0.2"/>
    <n v="0.05"/>
    <n v="0.35000000000000003"/>
    <n v="0.1"/>
    <n v="0.2"/>
    <n v="0.15000000000000002"/>
    <n v="0.05"/>
    <n v="0.1"/>
    <n v="26901.843292931997"/>
    <s v="SAL"/>
    <n v="0.35282956867156307"/>
    <s v=""/>
    <s v=""/>
    <s v=""/>
    <n v="16959.064065391955"/>
    <s v="PRO"/>
    <n v="0.22242562318537307"/>
    <n v="9942.7792275400425"/>
    <n v="0.5862811290294071"/>
    <s v=""/>
    <n v="13534"/>
    <s v="SAMV"/>
    <n v="0.17750439367311072"/>
    <n v="13367.843292931997"/>
    <n v="0.98772301558534037"/>
    <s v="Flagged"/>
    <s v=""/>
    <s v=""/>
    <s v=""/>
    <s v=""/>
    <x v="2"/>
    <n v="26901.843292931997"/>
    <m/>
    <m/>
    <n v="1"/>
    <s v="Flagged"/>
    <n v="26901.843292931997"/>
    <m/>
    <n v="13450.921646465998"/>
    <n v="0"/>
    <n v="0"/>
  </r>
  <r>
    <s v="VenezulanosVE1210"/>
    <s v="Guárico"/>
    <s v="VE12"/>
    <s v="Ortiz"/>
    <s v="VE1210"/>
    <m/>
    <n v="24281"/>
    <s v="Venezulanos"/>
    <n v="0"/>
    <n v="1261.2460013428754"/>
    <n v="8567.0547569142218"/>
    <n v="2579.0220908425704"/>
    <n v="4500.597130470037"/>
    <n v="0"/>
    <n v="1444.6916788808819"/>
    <n v="1575.2089956645129"/>
    <n v="0"/>
    <n v="0.05"/>
    <n v="0.35000000000000003"/>
    <n v="0.1"/>
    <n v="0.2"/>
    <n v="0"/>
    <n v="0.05"/>
    <n v="0.05"/>
    <n v="8567.0547569142218"/>
    <s v="SAL"/>
    <n v="0.35282956867156301"/>
    <s v="Flagged"/>
    <s v=""/>
    <s v=""/>
    <n v="4500.597130470037"/>
    <s v="PRO"/>
    <n v="0.18535468598781091"/>
    <n v="4066.4576264441848"/>
    <n v="0.90353735483528796"/>
    <s v=""/>
    <n v="2579.0220908425704"/>
    <s v="EDU"/>
    <n v="0.10621564560119313"/>
    <n v="5988.032666071651"/>
    <n v="2.3218229449579284"/>
    <s v="Flagged"/>
    <s v=""/>
    <s v=""/>
    <s v=""/>
    <s v=""/>
    <x v="2"/>
    <n v="8567.0547569142218"/>
    <m/>
    <m/>
    <n v="2"/>
    <s v="Flagged"/>
    <n v="8567.0547569142218"/>
    <m/>
    <n v="4283.5273784571109"/>
    <n v="0"/>
    <n v="0"/>
  </r>
  <r>
    <s v="VenezulanosVE1211"/>
    <s v="Guárico"/>
    <s v="VE12"/>
    <s v="José Félix Ribas"/>
    <s v="VE1211"/>
    <m/>
    <n v="39282"/>
    <s v="Venezulanos"/>
    <n v="6973"/>
    <n v="2565.9408945649348"/>
    <n v="13859.85111655634"/>
    <n v="3248.3825137372783"/>
    <n v="4368.6616649839143"/>
    <n v="17676.900000000001"/>
    <n v="1397.9717327948524"/>
    <n v="1529.0315827443701"/>
    <n v="0.2"/>
    <n v="0.05"/>
    <n v="0.35000000000000003"/>
    <n v="0.1"/>
    <n v="0.1"/>
    <n v="0.45"/>
    <n v="0.05"/>
    <n v="0.05"/>
    <n v="17676.900000000001"/>
    <s v="ASH"/>
    <n v="0.45"/>
    <s v=""/>
    <s v=""/>
    <s v=""/>
    <n v="13859.85111655634"/>
    <s v="SAL"/>
    <n v="0.35282956867156307"/>
    <n v="3817.0488834436619"/>
    <n v="0.27540331070973706"/>
    <s v=""/>
    <n v="6973"/>
    <s v="SAMV"/>
    <n v="0.17751132834377067"/>
    <n v="10703.900000000001"/>
    <n v="1.5350494765524167"/>
    <s v="Flagged"/>
    <s v=""/>
    <s v=""/>
    <s v=""/>
    <s v=""/>
    <x v="3"/>
    <n v="0"/>
    <m/>
    <m/>
    <n v="1"/>
    <s v="Flagged"/>
    <n v="0"/>
    <m/>
    <n v="0"/>
    <n v="0"/>
    <n v="0"/>
  </r>
  <r>
    <s v="VenezulanosVE1212"/>
    <s v="Guárico"/>
    <s v="VE12"/>
    <s v="Juan Germán Roscio"/>
    <s v="VE1212"/>
    <m/>
    <n v="129028"/>
    <s v="Venezulanos"/>
    <n v="0"/>
    <n v="4996.6350896594977"/>
    <n v="45524.893586554434"/>
    <n v="15897.48084798592"/>
    <n v="28699.133308362321"/>
    <n v="17418.78"/>
    <n v="9183.7226586759425"/>
    <n v="10044.696657926812"/>
    <n v="0"/>
    <n v="0.05"/>
    <n v="0.35000000000000003"/>
    <n v="0.1"/>
    <n v="0.2"/>
    <n v="0.15000000000000002"/>
    <n v="0.05"/>
    <n v="0.1"/>
    <n v="45524.893586554434"/>
    <s v="SAL"/>
    <n v="0.35282956867156301"/>
    <s v=""/>
    <s v=""/>
    <s v=""/>
    <n v="28699.133308362321"/>
    <s v="PRO"/>
    <n v="0.22242562318537309"/>
    <n v="16825.760278192112"/>
    <n v="0.58628112902940666"/>
    <s v=""/>
    <n v="17418.78"/>
    <s v="ASH"/>
    <n v="0.13499999999999998"/>
    <n v="28106.113586554435"/>
    <n v="1.6135523605300965"/>
    <s v="Flagged"/>
    <s v=""/>
    <s v=""/>
    <s v=""/>
    <s v=""/>
    <x v="2"/>
    <n v="45524.893586554434"/>
    <m/>
    <m/>
    <n v="1"/>
    <s v="Flagged"/>
    <n v="45524.893586554434"/>
    <m/>
    <n v="22762.446793277217"/>
    <n v="0"/>
    <n v="0"/>
  </r>
  <r>
    <s v="VenezulanosVE1213"/>
    <s v="Guárico"/>
    <s v="VE12"/>
    <s v="San José De Guaribe"/>
    <s v="VE1213"/>
    <m/>
    <n v="11680"/>
    <s v="Venezulanos"/>
    <n v="2073"/>
    <n v="625.45348391388063"/>
    <n v="4121.0493620838561"/>
    <n v="859.20182473808234"/>
    <n v="1298.9656394025792"/>
    <n v="7008"/>
    <n v="415.66900460882539"/>
    <n v="454.63797379090266"/>
    <n v="0.2"/>
    <n v="0.05"/>
    <n v="0.35000000000000003"/>
    <n v="0.05"/>
    <n v="0.1"/>
    <n v="0.60000000000000009"/>
    <n v="0.05"/>
    <n v="0.05"/>
    <n v="7008"/>
    <s v="ASH"/>
    <n v="0.6"/>
    <s v=""/>
    <s v=""/>
    <s v=""/>
    <n v="4121.0493620838561"/>
    <s v="SAL"/>
    <n v="0.35282956867156301"/>
    <n v="2886.9506379161439"/>
    <n v="0.70053774761298271"/>
    <s v=""/>
    <n v="2073"/>
    <s v="SAMV"/>
    <n v="0.17748287671232876"/>
    <n v="4935"/>
    <n v="2.3806078147612157"/>
    <s v="Flagged"/>
    <s v=""/>
    <s v=""/>
    <s v=""/>
    <s v=""/>
    <x v="2"/>
    <n v="7008"/>
    <m/>
    <m/>
    <n v="1"/>
    <s v="Flagged"/>
    <n v="7008"/>
    <m/>
    <n v="3504"/>
    <n v="0"/>
    <n v="0"/>
  </r>
  <r>
    <s v="VenezulanosVE1214"/>
    <s v="Guárico"/>
    <s v="VE12"/>
    <s v="Santa María De Ipire"/>
    <s v="VE1214"/>
    <m/>
    <n v="13464"/>
    <s v="Venezulanos"/>
    <n v="2390"/>
    <n v="729.7478730795533"/>
    <n v="4750.497312593925"/>
    <n v="1238.2303048707349"/>
    <n v="1497.3692952839319"/>
    <n v="0"/>
    <n v="479.15817449085819"/>
    <n v="524.07925334937613"/>
    <n v="0.2"/>
    <n v="0.05"/>
    <n v="0.35000000000000003"/>
    <n v="0.1"/>
    <n v="0.1"/>
    <n v="0"/>
    <n v="0.05"/>
    <n v="0.05"/>
    <n v="4750.497312593925"/>
    <s v="SAL"/>
    <n v="0.35282956867156307"/>
    <s v=""/>
    <s v=""/>
    <s v=""/>
    <n v="2390"/>
    <s v="SAMV"/>
    <n v="0.17751039809863339"/>
    <n v="2360.497312593925"/>
    <n v="0.98765577932800208"/>
    <s v=""/>
    <n v="1497.3692952839319"/>
    <s v="PRO"/>
    <n v="0.11121281159268656"/>
    <n v="3253.1280173099931"/>
    <n v="2.1725622580588131"/>
    <s v="Flagged"/>
    <s v=""/>
    <s v=""/>
    <s v=""/>
    <s v=""/>
    <x v="3"/>
    <n v="0"/>
    <m/>
    <m/>
    <n v="1"/>
    <s v="Flagged"/>
    <n v="0"/>
    <m/>
    <n v="0"/>
    <n v="0"/>
    <n v="0"/>
  </r>
  <r>
    <s v="VenezulanosVE1215"/>
    <s v="Guárico"/>
    <s v="VE12"/>
    <s v="Pedro Zaraza"/>
    <s v="VE1215"/>
    <m/>
    <n v="63426"/>
    <s v="Venezulanos"/>
    <n v="11258"/>
    <n v="3592.7632025827461"/>
    <n v="22378.568222562557"/>
    <n v="6657.7792676099816"/>
    <n v="14107.567576155474"/>
    <n v="28541.7"/>
    <n v="4514.421624369752"/>
    <n v="4937.6486516544155"/>
    <n v="0.2"/>
    <n v="0.05"/>
    <n v="0.35000000000000003"/>
    <n v="0.1"/>
    <n v="0.2"/>
    <n v="0.45"/>
    <n v="0.05"/>
    <n v="0.1"/>
    <n v="28541.7"/>
    <s v="ASH"/>
    <n v="0.45"/>
    <s v=""/>
    <s v=""/>
    <s v=""/>
    <n v="22378.568222562557"/>
    <s v="SAL"/>
    <n v="0.35282956867156301"/>
    <n v="6163.1317774374438"/>
    <n v="0.27540331070973706"/>
    <s v=""/>
    <n v="14107.567576155474"/>
    <s v="PRO"/>
    <n v="0.22242562318537309"/>
    <n v="14434.132423844527"/>
    <n v="1.0231482036804851"/>
    <s v="Flagged"/>
    <s v=""/>
    <s v=""/>
    <s v=""/>
    <s v=""/>
    <x v="2"/>
    <n v="28541.7"/>
    <m/>
    <m/>
    <n v="1"/>
    <s v="Flagged"/>
    <n v="28541.7"/>
    <m/>
    <n v="14270.85"/>
    <n v="0"/>
    <n v="0"/>
  </r>
  <r>
    <s v="VenezulanosVE1301"/>
    <s v="Lara"/>
    <s v="VE13"/>
    <s v="Andrés Eloy Blanco"/>
    <s v="VE1301"/>
    <m/>
    <n v="48313"/>
    <s v="Venezulanos"/>
    <n v="5510"/>
    <n v="2015.750991920838"/>
    <n v="17046.254951229224"/>
    <n v="7159.9278576803681"/>
    <n v="9594.9363090728602"/>
    <n v="6522.2550000000001"/>
    <n v="3070.3796189033155"/>
    <n v="3358.2277081755014"/>
    <n v="0.1"/>
    <n v="0.05"/>
    <n v="0.35000000000000003"/>
    <n v="0.15000000000000002"/>
    <n v="0.2"/>
    <n v="0.15000000000000002"/>
    <n v="0.05"/>
    <n v="0.05"/>
    <n v="17046.254951229224"/>
    <s v="SAL"/>
    <n v="0.35282956867156301"/>
    <s v=""/>
    <s v=""/>
    <s v=""/>
    <n v="9594.9363090728602"/>
    <s v="PRO"/>
    <n v="0.19859947237954298"/>
    <n v="7451.3186421563641"/>
    <n v="0.77658865073554306"/>
    <s v=""/>
    <n v="7159.9278576803681"/>
    <s v="EDU"/>
    <n v="0.14819878413015891"/>
    <n v="9886.3270935488563"/>
    <n v="1.3807858528831283"/>
    <s v="Flagged"/>
    <s v=""/>
    <s v=""/>
    <s v=""/>
    <s v=""/>
    <x v="2"/>
    <n v="17046.254951229224"/>
    <m/>
    <m/>
    <n v="1"/>
    <s v="Flagged"/>
    <n v="17046.254951229224"/>
    <m/>
    <n v="8523.1274756146122"/>
    <n v="0"/>
    <n v="0"/>
  </r>
  <r>
    <s v="VenezulanosVE1302"/>
    <s v="Lara"/>
    <s v="VE13"/>
    <s v="Crespo"/>
    <s v="VE1302"/>
    <m/>
    <n v="51079"/>
    <s v="Venezulanos"/>
    <n v="3870"/>
    <n v="1663.6718543774771"/>
    <n v="18022.181538174766"/>
    <n v="4302.0118652724377"/>
    <n v="10144.26244967467"/>
    <n v="0"/>
    <n v="3246.1639838958945"/>
    <n v="3550.4918573861346"/>
    <n v="0.1"/>
    <n v="0.05"/>
    <n v="0.35000000000000003"/>
    <n v="0.1"/>
    <n v="0.2"/>
    <n v="0"/>
    <n v="0.05"/>
    <n v="0.05"/>
    <n v="18022.181538174766"/>
    <s v="SAL"/>
    <n v="0.35282956867156301"/>
    <s v=""/>
    <s v=""/>
    <s v=""/>
    <n v="10144.26244967467"/>
    <s v="PRO"/>
    <n v="0.19859947237954287"/>
    <n v="7877.9190885000953"/>
    <n v="0.77658865073554384"/>
    <s v=""/>
    <n v="4302.0118652724377"/>
    <s v="EDU"/>
    <n v="8.4222711197800226E-2"/>
    <n v="13720.169672902328"/>
    <n v="3.189244963189672"/>
    <s v="Flagged"/>
    <s v=""/>
    <s v=""/>
    <s v=""/>
    <s v=""/>
    <x v="2"/>
    <n v="18022.181538174766"/>
    <m/>
    <m/>
    <n v="1"/>
    <s v="Flagged"/>
    <n v="18022.181538174766"/>
    <m/>
    <n v="9011.0907690873828"/>
    <n v="0"/>
    <n v="0"/>
  </r>
  <r>
    <s v="VenezulanosVE1303"/>
    <s v="Lara"/>
    <s v="VE13"/>
    <s v="Iribarren"/>
    <s v="VE1303"/>
    <m/>
    <n v="1018728"/>
    <s v="Venezulanos"/>
    <n v="92924"/>
    <n v="43618.730557566108"/>
    <n v="359437.36083364411"/>
    <n v="106430.13227180515"/>
    <n v="202318.84329826702"/>
    <n v="0"/>
    <n v="64944.348698743721"/>
    <n v="70811.59515439345"/>
    <n v="0.1"/>
    <n v="0.05"/>
    <n v="0.35000000000000003"/>
    <n v="0.1"/>
    <n v="0.2"/>
    <n v="0"/>
    <n v="0.05"/>
    <n v="0.05"/>
    <n v="359437.36083364411"/>
    <s v="SAL"/>
    <n v="0.35282956867156307"/>
    <s v=""/>
    <s v=""/>
    <s v=""/>
    <n v="202318.84329826702"/>
    <s v="PRO"/>
    <n v="0.19859947237954295"/>
    <n v="157118.51753537709"/>
    <n v="0.77658865073554373"/>
    <s v=""/>
    <n v="106430.13227180515"/>
    <s v="EDU"/>
    <n v="0.1044735515974874"/>
    <n v="253007.22856183897"/>
    <n v="2.3772142640554077"/>
    <s v="Flagged"/>
    <s v=""/>
    <s v=""/>
    <s v=""/>
    <s v=""/>
    <x v="2"/>
    <n v="359437.36083364411"/>
    <m/>
    <m/>
    <n v="1"/>
    <s v="Flagged"/>
    <n v="359437.36083364411"/>
    <m/>
    <n v="179718.68041682206"/>
    <n v="0"/>
    <n v="0"/>
  </r>
  <r>
    <s v="VenezulanosVE1304"/>
    <s v="Lara"/>
    <s v="VE13"/>
    <s v="Jiménez"/>
    <s v="VE1304"/>
    <m/>
    <n v="103280"/>
    <s v="Venezulanos"/>
    <n v="36625"/>
    <n v="5174.8080732378194"/>
    <n v="36440.237852399026"/>
    <n v="7697.8646659721835"/>
    <n v="24613.624208831036"/>
    <n v="0"/>
    <n v="7900.9733710347627"/>
    <n v="8614.7684730908622"/>
    <n v="0.35000000000000003"/>
    <n v="0.05"/>
    <n v="0.35000000000000003"/>
    <n v="0.05"/>
    <n v="0.25"/>
    <n v="0"/>
    <n v="0.1"/>
    <n v="0.1"/>
    <n v="36625"/>
    <s v="SAMV"/>
    <n v="0.3546185127807901"/>
    <s v=""/>
    <s v=""/>
    <s v=""/>
    <n v="36440.237852399026"/>
    <s v="SAL"/>
    <n v="0.35282956867156301"/>
    <n v="184.76214760097355"/>
    <n v="5.0702783101842413E-3"/>
    <s v=""/>
    <n v="24613.624208831036"/>
    <s v="PRO"/>
    <n v="0.23831936685545155"/>
    <n v="12011.375791168964"/>
    <n v="0.48799704136457261"/>
    <s v=""/>
    <s v=""/>
    <s v=""/>
    <s v=""/>
    <s v=""/>
    <x v="2"/>
    <n v="36625"/>
    <m/>
    <m/>
    <n v="0"/>
    <s v=""/>
    <n v="36625"/>
    <m/>
    <n v="18312.5"/>
    <n v="0"/>
    <n v="0"/>
  </r>
  <r>
    <s v="VenezulanosVE1305"/>
    <s v="Lara"/>
    <s v="VE13"/>
    <s v="Morán"/>
    <s v="VE1305"/>
    <m/>
    <n v="126675"/>
    <s v="Venezulanos"/>
    <n v="16538"/>
    <n v="4123.4214478426702"/>
    <n v="44694.685611470253"/>
    <n v="8754.3366301038095"/>
    <n v="30189.105796414318"/>
    <n v="8550.5625"/>
    <n v="9690.7029606489959"/>
    <n v="10566.187028745009"/>
    <n v="0.15000000000000002"/>
    <n v="0.05"/>
    <n v="0.35000000000000003"/>
    <n v="0.05"/>
    <n v="0.25"/>
    <n v="0.05"/>
    <n v="0.1"/>
    <n v="0.1"/>
    <n v="44694.685611470253"/>
    <s v="SAL"/>
    <n v="0.35282956867156307"/>
    <s v=""/>
    <s v=""/>
    <s v=""/>
    <n v="30189.105796414318"/>
    <s v="PRO"/>
    <n v="0.23831936685545149"/>
    <n v="14505.579815055935"/>
    <n v="0.48049054227962001"/>
    <s v=""/>
    <n v="16538"/>
    <s v="SAMV"/>
    <n v="0.13055456877836985"/>
    <n v="28156.685611470253"/>
    <n v="1.7025447824084081"/>
    <s v="Flagged"/>
    <s v=""/>
    <s v=""/>
    <s v=""/>
    <s v=""/>
    <x v="2"/>
    <n v="44694.685611470253"/>
    <m/>
    <m/>
    <n v="1"/>
    <s v="Flagged"/>
    <n v="44694.685611470253"/>
    <m/>
    <n v="22347.342805735127"/>
    <n v="0"/>
    <n v="0"/>
  </r>
  <r>
    <s v="VenezulanosVE1306"/>
    <s v="Lara"/>
    <s v="VE13"/>
    <s v="Palavecino"/>
    <s v="VE1306"/>
    <m/>
    <n v="178035"/>
    <s v="Venezulanos"/>
    <n v="44156"/>
    <n v="5023.1804908069553"/>
    <n v="62816.012258441726"/>
    <n v="26944.260546227328"/>
    <n v="21214.594239055157"/>
    <n v="0"/>
    <n v="6788.6701564976502"/>
    <n v="7425.1079836693043"/>
    <n v="0.25"/>
    <n v="0.05"/>
    <n v="0.35000000000000003"/>
    <n v="0.15000000000000002"/>
    <n v="0.1"/>
    <n v="0"/>
    <n v="0.05"/>
    <n v="0.05"/>
    <n v="62816.012258441726"/>
    <s v="SAL"/>
    <n v="0.35282956867156307"/>
    <s v=""/>
    <s v=""/>
    <s v=""/>
    <n v="44156"/>
    <s v="SAMV"/>
    <n v="0.24801864801864801"/>
    <n v="18660.012258441726"/>
    <n v="0.42259290376034347"/>
    <s v=""/>
    <n v="26944.260546227328"/>
    <s v="EDU"/>
    <n v="0.15134249190455432"/>
    <n v="35871.751712214398"/>
    <n v="1.3313318304159985"/>
    <s v="Flagged"/>
    <s v=""/>
    <s v=""/>
    <s v=""/>
    <s v=""/>
    <x v="2"/>
    <n v="62816.012258441726"/>
    <m/>
    <m/>
    <n v="1"/>
    <s v="Flagged"/>
    <n v="62816.012258441726"/>
    <m/>
    <n v="31408.006129220863"/>
    <n v="0"/>
    <n v="0"/>
  </r>
  <r>
    <s v="VenezulanosVE1307"/>
    <s v="Lara"/>
    <s v="VE13"/>
    <s v="Simón Planas"/>
    <s v="VE1307"/>
    <m/>
    <n v="36605"/>
    <s v="Venezulanos"/>
    <n v="3589"/>
    <n v="1189.1478528783309"/>
    <n v="12915.326361222566"/>
    <n v="2387.1514870308474"/>
    <n v="7269.7336864531699"/>
    <n v="0"/>
    <n v="2333.5845133514676"/>
    <n v="2544.4067902586098"/>
    <n v="0.1"/>
    <n v="0.05"/>
    <n v="0.35000000000000003"/>
    <n v="0.05"/>
    <n v="0.2"/>
    <n v="0"/>
    <n v="0.05"/>
    <n v="0.05"/>
    <n v="12915.326361222566"/>
    <s v="SAL"/>
    <n v="0.35282956867156307"/>
    <s v=""/>
    <s v=""/>
    <s v=""/>
    <n v="7269.7336864531699"/>
    <s v="PRO"/>
    <n v="0.19859947237954295"/>
    <n v="5645.5926747693957"/>
    <n v="0.77658865073554351"/>
    <s v=""/>
    <n v="3589"/>
    <s v="SAMV"/>
    <n v="9.8046714929654416E-2"/>
    <n v="9326.3263612225655"/>
    <n v="2.5985863363673909"/>
    <s v="Flagged"/>
    <s v=""/>
    <s v=""/>
    <s v=""/>
    <s v=""/>
    <x v="2"/>
    <n v="12915.326361222566"/>
    <m/>
    <m/>
    <n v="1"/>
    <s v="Flagged"/>
    <n v="12915.326361222566"/>
    <m/>
    <n v="6457.6631806112828"/>
    <n v="0"/>
    <n v="0"/>
  </r>
  <r>
    <s v="VenezulanosVE1308"/>
    <s v="Lara"/>
    <s v="VE13"/>
    <s v="Torres"/>
    <s v="VE1308"/>
    <m/>
    <n v="189462"/>
    <s v="Venezulanos"/>
    <n v="54312"/>
    <n v="5970.6197077205234"/>
    <n v="66847.795739651687"/>
    <n v="15525.041553659696"/>
    <n v="22576.231941583777"/>
    <n v="12788.685000000001"/>
    <n v="7224.3942213068094"/>
    <n v="7901.6811795543217"/>
    <n v="0.30000000000000004"/>
    <n v="0.05"/>
    <n v="0.35000000000000003"/>
    <n v="0.1"/>
    <n v="0.1"/>
    <n v="0.05"/>
    <n v="0.05"/>
    <n v="0.05"/>
    <n v="66847.795739651687"/>
    <s v="SAL"/>
    <n v="0.35282956867156312"/>
    <s v=""/>
    <s v=""/>
    <s v=""/>
    <n v="54312"/>
    <s v="SAMV"/>
    <n v="0.28666434430123189"/>
    <n v="12535.795739651687"/>
    <n v="0.23081079208373262"/>
    <s v=""/>
    <n v="22576.231941583777"/>
    <s v="PRO"/>
    <n v="0.11915968342772576"/>
    <n v="44271.563798067909"/>
    <n v="1.9609810845592399"/>
    <s v="Flagged"/>
    <s v=""/>
    <s v=""/>
    <s v=""/>
    <s v=""/>
    <x v="2"/>
    <n v="66847.795739651687"/>
    <m/>
    <m/>
    <n v="1"/>
    <s v="Flagged"/>
    <n v="66847.795739651687"/>
    <m/>
    <n v="33423.897869825843"/>
    <n v="0"/>
    <n v="0"/>
  </r>
  <r>
    <s v="VenezulanosVE1309"/>
    <s v="Lara"/>
    <s v="VE13"/>
    <s v="Urdaneta"/>
    <s v="VE1309"/>
    <m/>
    <n v="62764"/>
    <s v="Venezulanos"/>
    <n v="7113"/>
    <n v="2625.1246631407112"/>
    <n v="22144.995048101981"/>
    <n v="3212.5750178089393"/>
    <n v="7478.9383706577783"/>
    <n v="8473.14"/>
    <n v="2393.260278610489"/>
    <n v="2617.6284297302227"/>
    <n v="0.1"/>
    <n v="0.05"/>
    <n v="0.35000000000000003"/>
    <n v="0.05"/>
    <n v="0.1"/>
    <n v="0.15000000000000002"/>
    <n v="0.05"/>
    <n v="0.05"/>
    <n v="22144.995048101981"/>
    <s v="SAL"/>
    <n v="0.35282956867156301"/>
    <s v=""/>
    <s v=""/>
    <s v=""/>
    <n v="8473.14"/>
    <s v="ASH"/>
    <n v="0.13499999999999998"/>
    <n v="13671.855048101981"/>
    <n v="1.6135523605300965"/>
    <s v="Flagged"/>
    <n v="7478.9383706577783"/>
    <s v="PRO"/>
    <n v="0.11915968342772573"/>
    <n v="14666.056677444201"/>
    <n v="1.9609810845592395"/>
    <s v="Flagged"/>
    <s v=""/>
    <s v=""/>
    <s v=""/>
    <s v=""/>
    <x v="2"/>
    <n v="22144.995048101981"/>
    <m/>
    <m/>
    <n v="2"/>
    <s v="Flagged"/>
    <n v="22144.995048101981"/>
    <m/>
    <n v="11072.49752405099"/>
    <n v="0"/>
    <n v="0"/>
  </r>
  <r>
    <s v="VenezulanosVE1401"/>
    <s v="Mérida"/>
    <s v="VE14"/>
    <s v="Alberto Adriani"/>
    <s v="VE1401"/>
    <m/>
    <n v="135683"/>
    <s v="Venezulanos"/>
    <n v="32790"/>
    <n v="5774.6494437724832"/>
    <n v="47872.974366063681"/>
    <n v="15747.790952202507"/>
    <n v="22696.049440500428"/>
    <n v="18317.204999999998"/>
    <n v="7262.7358209601371"/>
    <n v="7943.617304175149"/>
    <n v="0.25"/>
    <n v="0.05"/>
    <n v="0.35000000000000003"/>
    <n v="0.1"/>
    <n v="0.15000000000000002"/>
    <n v="0.15000000000000002"/>
    <n v="0.05"/>
    <n v="0.05"/>
    <n v="47872.974366063681"/>
    <s v="SAL"/>
    <n v="0.35282956867156301"/>
    <s v=""/>
    <s v=""/>
    <s v=""/>
    <n v="32790"/>
    <s v="SAMV"/>
    <n v="0.24166623674299653"/>
    <n v="15082.974366063681"/>
    <n v="0.45998701939809944"/>
    <s v=""/>
    <n v="22696.049440500428"/>
    <s v="PRO"/>
    <n v="0.16727260924729279"/>
    <n v="25176.924925563253"/>
    <n v="1.1093086923152262"/>
    <s v="Flagged"/>
    <s v=""/>
    <s v=""/>
    <s v=""/>
    <s v=""/>
    <x v="3"/>
    <n v="0"/>
    <m/>
    <m/>
    <n v="1"/>
    <s v="Flagged"/>
    <n v="0"/>
    <m/>
    <n v="0"/>
    <n v="0"/>
    <n v="0"/>
  </r>
  <r>
    <s v="VenezulanosVE1402"/>
    <s v="Mérida"/>
    <s v="VE14"/>
    <s v="Andrés Bello"/>
    <s v="VE1402"/>
    <m/>
    <n v="14555"/>
    <s v="Venezulanos"/>
    <n v="4245"/>
    <n v="469.55532719131901"/>
    <n v="5135.4343720145998"/>
    <n v="1424.1678098333255"/>
    <n v="1460.7916965566078"/>
    <n v="0"/>
    <n v="468.91413459467111"/>
    <n v="511.27709379481269"/>
    <n v="0.30000000000000004"/>
    <n v="0.05"/>
    <n v="0.35000000000000003"/>
    <n v="0.1"/>
    <n v="0.1"/>
    <n v="0"/>
    <n v="0.05"/>
    <n v="0.05"/>
    <n v="5135.4343720145998"/>
    <s v="SAL"/>
    <n v="0.35282956867156301"/>
    <s v=""/>
    <s v=""/>
    <s v=""/>
    <n v="4245"/>
    <s v="SAMV"/>
    <n v="0.29165235314324972"/>
    <n v="890.43437201459983"/>
    <n v="0.209760747235477"/>
    <s v=""/>
    <n v="1460.7916965566078"/>
    <s v="PRO"/>
    <n v="0.10036356554837567"/>
    <n v="3674.642675457992"/>
    <n v="2.5155144871920445"/>
    <s v="Flagged"/>
    <s v=""/>
    <s v=""/>
    <s v=""/>
    <s v=""/>
    <x v="3"/>
    <n v="0"/>
    <m/>
    <m/>
    <n v="1"/>
    <s v="Flagged"/>
    <n v="0"/>
    <m/>
    <n v="0"/>
    <n v="0"/>
    <n v="0"/>
  </r>
  <r>
    <s v="VenezulanosVE1403"/>
    <s v="Mérida"/>
    <s v="VE14"/>
    <s v="Antonio Pinto Salinas"/>
    <s v="VE1403"/>
    <m/>
    <n v="24553"/>
    <s v="Venezulanos"/>
    <n v="8556"/>
    <n v="805.38895250687324"/>
    <n v="11041.788659865462"/>
    <n v="2479.4893026590148"/>
    <n v="4107.0443748487796"/>
    <n v="0"/>
    <n v="1314.2541999516095"/>
    <n v="1437.4655311970728"/>
    <n v="0.35000000000000003"/>
    <n v="0.05"/>
    <n v="0.45"/>
    <n v="0.1"/>
    <n v="0.15000000000000002"/>
    <n v="0"/>
    <n v="0.05"/>
    <n v="0.05"/>
    <n v="11041.788659865462"/>
    <s v="SAL"/>
    <n v="0.44971240418138159"/>
    <s v=""/>
    <s v=""/>
    <s v=""/>
    <n v="8556"/>
    <s v="SAMV"/>
    <n v="0.34847065531706922"/>
    <n v="2485.7886598654623"/>
    <n v="0.29053163392536957"/>
    <s v=""/>
    <n v="4107.0443748487796"/>
    <s v="PRO"/>
    <n v="0.16727260924729279"/>
    <n v="6934.7442850166826"/>
    <n v="1.6884999654458368"/>
    <s v="Flagged"/>
    <s v=""/>
    <s v=""/>
    <s v=""/>
    <s v=""/>
    <x v="2"/>
    <n v="11041.788659865462"/>
    <m/>
    <m/>
    <n v="1"/>
    <s v="Flagged"/>
    <n v="11041.788659865462"/>
    <m/>
    <n v="5520.8943299327311"/>
    <n v="0"/>
    <n v="0"/>
  </r>
  <r>
    <s v="VenezulanosVE1404"/>
    <s v="Mérida"/>
    <s v="VE14"/>
    <s v="Aricagua"/>
    <s v="VE1404"/>
    <m/>
    <n v="4335"/>
    <s v="Venezulanos"/>
    <n v="733"/>
    <n v="189.82809688826026"/>
    <n v="2221.0494430763861"/>
    <n v="445.31725736203504"/>
    <n v="435.07605665220876"/>
    <n v="0"/>
    <n v="139.659414185359"/>
    <n v="152.27661982827306"/>
    <n v="0.15000000000000002"/>
    <n v="0.05"/>
    <n v="0.5"/>
    <n v="0.1"/>
    <n v="0.1"/>
    <n v="0"/>
    <n v="0.05"/>
    <n v="0.05"/>
    <n v="2221.0494430763861"/>
    <s v="SAL"/>
    <n v="0.51235281270504873"/>
    <s v=""/>
    <s v=""/>
    <s v=""/>
    <n v="733"/>
    <s v="SAMV"/>
    <n v="0.16908881199538639"/>
    <n v="1488.0494430763861"/>
    <n v="2.030081095602164"/>
    <s v="Flagged"/>
    <n v="445.31725736203504"/>
    <s v="EDU"/>
    <n v="0.10272601092549828"/>
    <n v="1775.7321857143511"/>
    <n v="3.9875665188306688"/>
    <s v="Flagged"/>
    <s v=""/>
    <s v=""/>
    <s v=""/>
    <s v=""/>
    <x v="2"/>
    <n v="2221.0494430763861"/>
    <m/>
    <m/>
    <n v="2"/>
    <s v="Flagged"/>
    <n v="2221.0494430763861"/>
    <m/>
    <n v="1110.524721538193"/>
    <n v="0"/>
    <n v="0"/>
  </r>
  <r>
    <s v="VenezulanosVE1405"/>
    <s v="Mérida"/>
    <s v="VE14"/>
    <s v="Arzobispo Chacón"/>
    <s v="VE1405"/>
    <m/>
    <n v="13375"/>
    <s v="Venezulanos"/>
    <n v="2260"/>
    <n v="528.83147596117101"/>
    <n v="5330.5186633833255"/>
    <n v="1330.934324580694"/>
    <n v="1342.3626892095244"/>
    <n v="0"/>
    <n v="430.89842323625732"/>
    <n v="469.82694122333356"/>
    <n v="0.15000000000000002"/>
    <n v="0.05"/>
    <n v="0.4"/>
    <n v="0.1"/>
    <n v="0.1"/>
    <n v="0"/>
    <n v="0.05"/>
    <n v="0.05"/>
    <n v="5330.5186633833255"/>
    <s v="SAL"/>
    <n v="0.3985434514679122"/>
    <s v=""/>
    <s v=""/>
    <s v=""/>
    <n v="2260"/>
    <s v="SAMV"/>
    <n v="0.16897196261682243"/>
    <n v="3070.5186633833255"/>
    <n v="1.3586365767182855"/>
    <s v="Flagged"/>
    <n v="1342.3626892095244"/>
    <s v="PRO"/>
    <n v="0.10036356554837565"/>
    <n v="3988.155974173801"/>
    <n v="2.970997336436922"/>
    <s v="Flagged"/>
    <s v=""/>
    <s v=""/>
    <s v=""/>
    <s v=""/>
    <x v="2"/>
    <n v="5330.5186633833255"/>
    <m/>
    <m/>
    <n v="2"/>
    <s v="Flagged"/>
    <n v="5330.5186633833255"/>
    <m/>
    <n v="2665.2593316916627"/>
    <n v="0"/>
    <n v="0"/>
  </r>
  <r>
    <s v="VenezulanosVE1406"/>
    <s v="Mérida"/>
    <s v="VE14"/>
    <s v="Campo Elías"/>
    <s v="VE1406"/>
    <m/>
    <n v="102133"/>
    <s v="Venezulanos"/>
    <n v="4642"/>
    <n v="2466.1111424030519"/>
    <n v="36035.542337132742"/>
    <n v="13344.091291575234"/>
    <n v="17084.053400253753"/>
    <n v="0"/>
    <n v="5483.9811414814549"/>
    <n v="5979.4186900888135"/>
    <n v="0.05"/>
    <n v="0"/>
    <n v="0.35000000000000003"/>
    <n v="0.15000000000000002"/>
    <n v="0.15000000000000002"/>
    <n v="0"/>
    <n v="0.05"/>
    <n v="0.05"/>
    <n v="36035.542337132742"/>
    <s v="SAL"/>
    <n v="0.35282956867156295"/>
    <s v=""/>
    <s v=""/>
    <s v=""/>
    <n v="17084.053400253753"/>
    <s v="PRO"/>
    <n v="0.16727260924729279"/>
    <n v="18951.488936878988"/>
    <n v="1.1093086923152264"/>
    <s v="Flagged"/>
    <n v="13344.091291575234"/>
    <s v="EDU"/>
    <n v="0.13065406177802702"/>
    <n v="22691.451045557507"/>
    <n v="1.700486795971166"/>
    <s v="Flagged"/>
    <s v=""/>
    <s v=""/>
    <s v=""/>
    <s v=""/>
    <x v="3"/>
    <n v="0"/>
    <m/>
    <m/>
    <n v="2"/>
    <s v="Flagged"/>
    <n v="0"/>
    <m/>
    <n v="0"/>
    <n v="0"/>
    <n v="0"/>
  </r>
  <r>
    <s v="VenezulanosVE1407"/>
    <s v="Mérida"/>
    <s v="VE14"/>
    <s v="Caracciolo Parra Olmedo"/>
    <s v="VE1407"/>
    <m/>
    <n v="28255"/>
    <s v="Venezulanos"/>
    <n v="4775"/>
    <n v="945.87224101947027"/>
    <n v="10019.924605891703"/>
    <n v="1981.1064038764769"/>
    <n v="2835.772544569355"/>
    <n v="0"/>
    <n v="907.4472142621936"/>
    <n v="992.52039059927426"/>
    <n v="0.15000000000000002"/>
    <n v="0.05"/>
    <n v="0.35000000000000003"/>
    <n v="0.05"/>
    <n v="0.1"/>
    <n v="0"/>
    <n v="0.05"/>
    <n v="0.05"/>
    <n v="10019.924605891703"/>
    <s v="SAL"/>
    <n v="0.35462483121188121"/>
    <s v=""/>
    <s v=""/>
    <s v=""/>
    <n v="4775"/>
    <s v="SAMV"/>
    <n v="0.16899663776322774"/>
    <n v="5244.9246058917033"/>
    <n v="1.098413530029676"/>
    <s v="Flagged"/>
    <n v="2835.772544569355"/>
    <s v="PRO"/>
    <n v="0.10036356554837568"/>
    <n v="7184.1520613223483"/>
    <n v="2.5334020794722609"/>
    <s v="Flagged"/>
    <s v=""/>
    <s v=""/>
    <s v=""/>
    <s v=""/>
    <x v="2"/>
    <n v="10019.924605891703"/>
    <m/>
    <m/>
    <n v="2"/>
    <s v="Flagged"/>
    <n v="10019.924605891703"/>
    <m/>
    <n v="5009.9623029458517"/>
    <n v="0"/>
    <n v="0"/>
  </r>
  <r>
    <s v="VenezulanosVE1408"/>
    <s v="Mérida"/>
    <s v="VE14"/>
    <s v="Cardenal Quintero"/>
    <s v="VE1408"/>
    <m/>
    <n v="9655"/>
    <s v="Venezulanos"/>
    <n v="0"/>
    <n v="318.523220257388"/>
    <n v="3406.5694855239412"/>
    <n v="889.06114501106993"/>
    <n v="969.01022536956725"/>
    <n v="0"/>
    <n v="311.05228234363108"/>
    <n v="339.15357887934852"/>
    <n v="0"/>
    <n v="0.05"/>
    <n v="0.35000000000000003"/>
    <n v="0.1"/>
    <n v="0.1"/>
    <n v="0"/>
    <n v="0.05"/>
    <n v="0.05"/>
    <n v="3406.5694855239412"/>
    <s v="SAL"/>
    <n v="0.35282956867156307"/>
    <s v="Flagged"/>
    <s v=""/>
    <s v=""/>
    <n v="969.01022536956725"/>
    <s v="PRO"/>
    <n v="0.10036356554837568"/>
    <n v="2437.559260154374"/>
    <n v="2.5155144871920441"/>
    <s v="Flagged"/>
    <n v="889.06114501106993"/>
    <s v="EDU"/>
    <n v="9.2082977215025369E-2"/>
    <n v="2517.5083405128712"/>
    <n v="2.8316481432573739"/>
    <s v="Flagged"/>
    <s v=""/>
    <s v=""/>
    <s v=""/>
    <s v=""/>
    <x v="3"/>
    <n v="0"/>
    <m/>
    <m/>
    <n v="3"/>
    <s v="Flagged"/>
    <n v="0"/>
    <m/>
    <n v="0"/>
    <n v="0"/>
    <n v="0"/>
  </r>
  <r>
    <s v="VenezulanosVE1409"/>
    <s v="Mérida"/>
    <s v="VE14"/>
    <s v="Guaraque"/>
    <s v="VE1409"/>
    <m/>
    <n v="9262"/>
    <s v="Venezulanos"/>
    <n v="1158"/>
    <n v="305.16899987864076"/>
    <n v="3267.9074650360171"/>
    <n v="868.78559646071756"/>
    <n v="929.56734410905574"/>
    <n v="0"/>
    <n v="297.46155011489782"/>
    <n v="325.34857043816947"/>
    <n v="0.15000000000000002"/>
    <n v="0.05"/>
    <n v="0.35000000000000003"/>
    <n v="0.1"/>
    <n v="0.1"/>
    <n v="0"/>
    <n v="0.05"/>
    <n v="0.05"/>
    <n v="3267.9074650360171"/>
    <s v="SAL"/>
    <n v="0.35282956867156307"/>
    <s v=""/>
    <s v=""/>
    <s v=""/>
    <n v="1158"/>
    <s v="SAMV"/>
    <n v="0.12502699201036493"/>
    <n v="2109.9074650360171"/>
    <n v="1.8220271718791168"/>
    <s v="Flagged"/>
    <n v="929.56734410905574"/>
    <s v="PRO"/>
    <n v="0.10036356554837569"/>
    <n v="2338.3401209269614"/>
    <n v="2.5155144871920436"/>
    <s v="Flagged"/>
    <s v=""/>
    <s v=""/>
    <s v=""/>
    <s v=""/>
    <x v="3"/>
    <n v="0"/>
    <m/>
    <m/>
    <n v="2"/>
    <s v="Flagged"/>
    <n v="0"/>
    <m/>
    <n v="0"/>
    <n v="0"/>
    <n v="0"/>
  </r>
  <r>
    <s v="VenezulanosVE1410"/>
    <s v="Mérida"/>
    <s v="VE14"/>
    <s v="Julio César Salas"/>
    <s v="VE1410"/>
    <m/>
    <n v="14996"/>
    <s v="Venezulanos"/>
    <n v="2534"/>
    <n v="522.72420593754259"/>
    <n v="5291.0322117987589"/>
    <n v="1002.8945037551084"/>
    <n v="1505.0520289634417"/>
    <n v="0"/>
    <n v="481.61664926830133"/>
    <n v="526.76821013720451"/>
    <n v="0.15000000000000002"/>
    <n v="0.05"/>
    <n v="0.35000000000000003"/>
    <n v="0.05"/>
    <n v="0.1"/>
    <n v="0"/>
    <n v="0.05"/>
    <n v="0.05"/>
    <n v="5291.0322117987589"/>
    <s v="SAL"/>
    <n v="0.35282956867156301"/>
    <s v=""/>
    <s v=""/>
    <s v=""/>
    <n v="2534"/>
    <s v="SAMV"/>
    <n v="0.16897839423846359"/>
    <n v="2757.0322117987589"/>
    <n v="1.0880158689024304"/>
    <s v="Flagged"/>
    <n v="1505.0520289634417"/>
    <s v="PRO"/>
    <n v="0.10036356554837568"/>
    <n v="3785.9801828353175"/>
    <n v="2.5155144871920441"/>
    <s v="Flagged"/>
    <s v=""/>
    <s v=""/>
    <s v=""/>
    <s v=""/>
    <x v="3"/>
    <n v="0"/>
    <m/>
    <m/>
    <n v="2"/>
    <s v="Flagged"/>
    <n v="0"/>
    <m/>
    <n v="0"/>
    <n v="0"/>
    <n v="0"/>
  </r>
  <r>
    <s v="VenezulanosVE1411"/>
    <s v="Mérida"/>
    <s v="VE14"/>
    <s v="Justo Briceño"/>
    <s v="VE1411"/>
    <m/>
    <n v="5000"/>
    <s v="Venezulanos"/>
    <n v="845"/>
    <n v="207.64490296220634"/>
    <n v="2852.4620704652443"/>
    <n v="292.25911754380951"/>
    <n v="167.27260924729282"/>
    <n v="0"/>
    <n v="53.527234959133693"/>
    <n v="58.545413236552477"/>
    <n v="0.15000000000000002"/>
    <n v="0.05"/>
    <n v="0.55000000000000004"/>
    <n v="0.05"/>
    <n v="0.05"/>
    <n v="0"/>
    <n v="0"/>
    <n v="0"/>
    <n v="2852.4620704652443"/>
    <s v="SAL"/>
    <n v="0.57049241409304885"/>
    <s v=""/>
    <s v=""/>
    <s v=""/>
    <n v="845"/>
    <s v="SAMV"/>
    <n v="0.16900000000000001"/>
    <n v="2007.4620704652443"/>
    <n v="2.3756947579470347"/>
    <s v="Flagged"/>
    <n v="292.25911754380951"/>
    <s v="EDU"/>
    <n v="5.8451823508761901E-2"/>
    <n v="2560.2029529214346"/>
    <n v="8.7600447658836895"/>
    <s v="Flagged"/>
    <s v=""/>
    <s v=""/>
    <s v=""/>
    <s v=""/>
    <x v="3"/>
    <n v="0"/>
    <m/>
    <m/>
    <n v="2"/>
    <s v="Flagged"/>
    <n v="0"/>
    <m/>
    <n v="0"/>
    <n v="0"/>
    <n v="0"/>
  </r>
  <r>
    <s v="VenezulanosVE1412"/>
    <s v="Mérida"/>
    <s v="VE14"/>
    <s v="Libertador"/>
    <s v="VE1412"/>
    <m/>
    <n v="222451"/>
    <s v="Venezulanos"/>
    <n v="48872"/>
    <n v="7548.0190967110184"/>
    <n v="78487.290380557868"/>
    <n v="29208.222446137479"/>
    <n v="37209.959199669524"/>
    <n v="0"/>
    <n v="11944.396903093917"/>
    <n v="13023.485719884333"/>
    <n v="0.2"/>
    <n v="0.05"/>
    <n v="0.35000000000000003"/>
    <n v="0.15000000000000002"/>
    <n v="0.15000000000000002"/>
    <n v="0"/>
    <n v="0.05"/>
    <n v="0.05"/>
    <n v="78487.290380557868"/>
    <s v="SAL"/>
    <n v="0.35282956867156301"/>
    <s v=""/>
    <s v=""/>
    <s v=""/>
    <n v="48872"/>
    <s v="SAMV"/>
    <n v="0.21969782109318456"/>
    <n v="29615.290380557868"/>
    <n v="0.60597664062362633"/>
    <s v=""/>
    <n v="37209.959199669524"/>
    <s v="PRO"/>
    <n v="0.16727260924729276"/>
    <n v="41277.331180888345"/>
    <n v="1.1093086923152269"/>
    <s v="Flagged"/>
    <s v=""/>
    <s v=""/>
    <s v=""/>
    <s v=""/>
    <x v="3"/>
    <n v="0"/>
    <m/>
    <m/>
    <n v="1"/>
    <s v="Flagged"/>
    <n v="0"/>
    <m/>
    <n v="0"/>
    <n v="0"/>
    <n v="0"/>
  </r>
  <r>
    <s v="VenezulanosVE1413"/>
    <s v="Mérida"/>
    <s v="VE14"/>
    <s v="Miranda"/>
    <s v="VE1413"/>
    <m/>
    <n v="22370"/>
    <s v="Venezulanos"/>
    <n v="746"/>
    <n v="693.6631542500686"/>
    <n v="7892.7974511828634"/>
    <n v="1868.6308938031632"/>
    <n v="2245.1329613171638"/>
    <n v="0"/>
    <n v="718.44254762149239"/>
    <n v="785.79653646100724"/>
    <n v="0.05"/>
    <n v="0.05"/>
    <n v="0.35000000000000003"/>
    <n v="0.1"/>
    <n v="0.1"/>
    <n v="0"/>
    <n v="0.05"/>
    <n v="0.05"/>
    <n v="7892.7974511828634"/>
    <s v="SAL"/>
    <n v="0.35282956867156295"/>
    <s v=""/>
    <s v=""/>
    <s v=""/>
    <n v="2245.1329613171638"/>
    <s v="PRO"/>
    <n v="0.10036356554837567"/>
    <n v="5647.6644898656996"/>
    <n v="2.5155144871920436"/>
    <s v="Flagged"/>
    <n v="1868.6308938031632"/>
    <s v="EDU"/>
    <n v="8.3532896459685438E-2"/>
    <n v="6024.1665573797"/>
    <n v="3.2238397520651665"/>
    <s v="Flagged"/>
    <s v=""/>
    <s v=""/>
    <s v=""/>
    <s v=""/>
    <x v="3"/>
    <n v="0"/>
    <m/>
    <m/>
    <n v="2"/>
    <s v="Flagged"/>
    <n v="0"/>
    <m/>
    <n v="0"/>
    <n v="0"/>
    <n v="0"/>
  </r>
  <r>
    <s v="VenezulanosVE1414"/>
    <s v="Mérida"/>
    <s v="VE14"/>
    <s v="Obispo Ramos De Lora"/>
    <s v="VE1414"/>
    <m/>
    <n v="25338"/>
    <s v="Venezulanos"/>
    <n v="7679"/>
    <n v="857.33692726325989"/>
    <n v="8939.9956110000639"/>
    <n v="1349.8584867288907"/>
    <n v="2543.0120238647428"/>
    <n v="0"/>
    <n v="813.76384763671763"/>
    <n v="890.05420835265988"/>
    <n v="0.30000000000000004"/>
    <n v="0.05"/>
    <n v="0.35000000000000003"/>
    <n v="0.05"/>
    <n v="0.1"/>
    <n v="0"/>
    <n v="0.05"/>
    <n v="0.05"/>
    <n v="8939.9956110000639"/>
    <s v="SAL"/>
    <n v="0.35282956867156301"/>
    <s v=""/>
    <s v=""/>
    <s v=""/>
    <n v="7679"/>
    <s v="SAMV"/>
    <n v="0.30306259373273342"/>
    <n v="1260.9956110000639"/>
    <n v="0.16421351881756269"/>
    <s v=""/>
    <n v="2543.0120238647428"/>
    <s v="PRO"/>
    <n v="0.10036356554837567"/>
    <n v="6396.9835871353207"/>
    <n v="2.5155144871920441"/>
    <s v="Flagged"/>
    <s v=""/>
    <s v=""/>
    <s v=""/>
    <s v=""/>
    <x v="3"/>
    <n v="0"/>
    <m/>
    <m/>
    <n v="1"/>
    <s v="Flagged"/>
    <n v="0"/>
    <m/>
    <n v="0"/>
    <n v="0"/>
    <n v="0"/>
  </r>
  <r>
    <s v="VenezulanosVE1415"/>
    <s v="Mérida"/>
    <s v="VE14"/>
    <s v="Padre Noguera"/>
    <s v="VE1415"/>
    <m/>
    <n v="3259"/>
    <s v="Venezulanos"/>
    <n v="551"/>
    <n v="101.06160878920954"/>
    <n v="1618.4469998920042"/>
    <n v="349.47561915041911"/>
    <n v="327.0848601221565"/>
    <n v="0"/>
    <n v="104.99424009921225"/>
    <n v="114.47970104275477"/>
    <n v="0.15000000000000002"/>
    <n v="0.05"/>
    <n v="0.5"/>
    <n v="0.1"/>
    <n v="0.1"/>
    <n v="0"/>
    <n v="0.05"/>
    <n v="0.05"/>
    <n v="1618.4469998920042"/>
    <s v="SAL"/>
    <n v="0.49660846882233944"/>
    <s v=""/>
    <s v=""/>
    <s v=""/>
    <n v="551"/>
    <s v="SAMV"/>
    <n v="0.16907026695305308"/>
    <n v="1067.4469998920042"/>
    <n v="1.9372903809292272"/>
    <s v="Flagged"/>
    <n v="349.47561915041911"/>
    <s v="EDU"/>
    <n v="0.10723400403510866"/>
    <n v="1268.9713807415851"/>
    <n v="3.6310727020856994"/>
    <s v="Flagged"/>
    <s v=""/>
    <s v=""/>
    <s v=""/>
    <s v=""/>
    <x v="3"/>
    <n v="0"/>
    <m/>
    <m/>
    <n v="2"/>
    <s v="Flagged"/>
    <n v="0"/>
    <m/>
    <n v="0"/>
    <n v="0"/>
    <n v="0"/>
  </r>
  <r>
    <s v="VenezulanosVE1416"/>
    <s v="Mérida"/>
    <s v="VE14"/>
    <s v="Pueblo Llano"/>
    <s v="VE1416"/>
    <m/>
    <n v="10959"/>
    <s v="Venezulanos"/>
    <n v="731"/>
    <n v="361.92584057595525"/>
    <n v="3866.6592430716591"/>
    <n v="568.89259314690139"/>
    <n v="1099.884314844649"/>
    <n v="0"/>
    <n v="351.96298075028767"/>
    <n v="384.9595101956271"/>
    <n v="0.05"/>
    <n v="0.05"/>
    <n v="0.35000000000000003"/>
    <n v="0.05"/>
    <n v="0.1"/>
    <n v="0"/>
    <n v="0.05"/>
    <n v="0.05"/>
    <n v="3866.6592430716591"/>
    <s v="SAL"/>
    <n v="0.35282956867156301"/>
    <s v=""/>
    <s v=""/>
    <s v=""/>
    <n v="1099.884314844649"/>
    <s v="PRO"/>
    <n v="0.10036356554837567"/>
    <n v="2766.7749282270102"/>
    <n v="2.5155144871920441"/>
    <s v="Flagged"/>
    <n v="731"/>
    <s v="SAMV"/>
    <n v="6.6703166347294465E-2"/>
    <n v="3135.6592430716591"/>
    <n v="4.2895475281418047"/>
    <s v="Flagged"/>
    <s v=""/>
    <s v=""/>
    <s v=""/>
    <s v=""/>
    <x v="2"/>
    <n v="3866.6592430716591"/>
    <m/>
    <m/>
    <n v="2"/>
    <s v="Flagged"/>
    <n v="3866.6592430716591"/>
    <m/>
    <n v="1933.3296215358296"/>
    <n v="0"/>
    <n v="0"/>
  </r>
  <r>
    <s v="VenezulanosVE1417"/>
    <s v="Mérida"/>
    <s v="VE14"/>
    <s v="Rangel"/>
    <s v="VE1417"/>
    <m/>
    <n v="19441"/>
    <s v="Venezulanos"/>
    <n v="1215"/>
    <n v="618.26089629892681"/>
    <n v="8884.1977723055443"/>
    <n v="1588.824253037423"/>
    <n v="3251.9467963766192"/>
    <n v="1312.2675000000002"/>
    <n v="1040.6229748405181"/>
    <n v="1138.1813787318165"/>
    <n v="0.05"/>
    <n v="0.05"/>
    <n v="0.45"/>
    <n v="0.1"/>
    <n v="0.15000000000000002"/>
    <n v="0.05"/>
    <n v="0.05"/>
    <n v="0.05"/>
    <n v="8884.1977723055443"/>
    <s v="SAL"/>
    <n v="0.45698255091330409"/>
    <s v=""/>
    <s v=""/>
    <s v=""/>
    <n v="3251.9467963766192"/>
    <s v="PRO"/>
    <n v="0.16727260924729279"/>
    <n v="5632.2509759289251"/>
    <n v="1.7319628298361112"/>
    <s v="Flagged"/>
    <n v="1588.824253037423"/>
    <s v="EDU"/>
    <n v="8.1725438662487673E-2"/>
    <n v="7295.3735192681215"/>
    <n v="4.5916806124536711"/>
    <s v="Flagged"/>
    <s v=""/>
    <s v=""/>
    <s v=""/>
    <s v=""/>
    <x v="3"/>
    <n v="0"/>
    <m/>
    <m/>
    <n v="2"/>
    <s v="Flagged"/>
    <n v="0"/>
    <m/>
    <n v="0"/>
    <n v="0"/>
    <n v="0"/>
  </r>
  <r>
    <s v="VenezulanosVE1418"/>
    <s v="Mérida"/>
    <s v="VE14"/>
    <s v="Rivas Dávila"/>
    <s v="VE1418"/>
    <m/>
    <n v="20581"/>
    <s v="Venezulanos"/>
    <n v="5038"/>
    <n v="601.39446715371628"/>
    <n v="7261.5853528294383"/>
    <n v="2287.1514982759304"/>
    <n v="3442.6375709185327"/>
    <n v="1389.2175"/>
    <n v="1105.0866602648489"/>
    <n v="1204.9231498214863"/>
    <n v="0.25"/>
    <n v="0.05"/>
    <n v="0.35000000000000003"/>
    <n v="0.1"/>
    <n v="0.15000000000000002"/>
    <n v="0.05"/>
    <n v="0.05"/>
    <n v="0.05"/>
    <n v="7261.5853528294383"/>
    <s v="SAL"/>
    <n v="0.35282956867156301"/>
    <s v=""/>
    <s v=""/>
    <s v=""/>
    <n v="5038"/>
    <s v="SAMV"/>
    <n v="0.24478888295029397"/>
    <n v="2223.5853528294383"/>
    <n v="0.44136271393994408"/>
    <s v=""/>
    <n v="3442.6375709185327"/>
    <s v="PRO"/>
    <n v="0.16727260924729279"/>
    <n v="3818.9477819109056"/>
    <n v="1.1093086923152267"/>
    <s v="Flagged"/>
    <s v=""/>
    <s v=""/>
    <s v=""/>
    <s v=""/>
    <x v="3"/>
    <n v="0"/>
    <m/>
    <m/>
    <n v="1"/>
    <s v="Flagged"/>
    <n v="0"/>
    <m/>
    <n v="0"/>
    <n v="0"/>
    <n v="0"/>
  </r>
  <r>
    <s v="VenezulanosVE1419"/>
    <s v="Mérida"/>
    <s v="VE14"/>
    <s v="Santos Marquina"/>
    <s v="VE1419"/>
    <m/>
    <n v="18439"/>
    <s v="Venezulanos"/>
    <n v="307"/>
    <n v="442.62210821644396"/>
    <n v="6505.8244167349512"/>
    <n v="2817.5361394400416"/>
    <n v="1850.6037851464991"/>
    <n v="0"/>
    <n v="592.19321124687974"/>
    <n v="647.71132480127471"/>
    <n v="0"/>
    <n v="0"/>
    <n v="0.35000000000000003"/>
    <n v="0.15000000000000002"/>
    <n v="0.1"/>
    <n v="0"/>
    <n v="0.05"/>
    <n v="0.05"/>
    <n v="6505.8244167349512"/>
    <s v="SAL"/>
    <n v="0.35282956867156307"/>
    <s v=""/>
    <s v=""/>
    <s v=""/>
    <n v="2817.5361394400416"/>
    <s v="EDU"/>
    <n v="0.15280308798958955"/>
    <n v="3688.2882772949097"/>
    <n v="1.3090473714484179"/>
    <s v="Flagged"/>
    <n v="1850.6037851464991"/>
    <s v="PRO"/>
    <n v="0.10036356554837568"/>
    <n v="4655.2206315884523"/>
    <n v="2.5155144871920445"/>
    <s v="Flagged"/>
    <s v=""/>
    <s v=""/>
    <s v=""/>
    <s v=""/>
    <x v="3"/>
    <n v="0"/>
    <m/>
    <m/>
    <n v="2"/>
    <s v="Flagged"/>
    <n v="0"/>
    <m/>
    <n v="0"/>
    <n v="0"/>
    <n v="0"/>
  </r>
  <r>
    <s v="VenezulanosVE1420"/>
    <s v="Mérida"/>
    <s v="VE14"/>
    <s v="Sucre"/>
    <s v="VE1420"/>
    <m/>
    <n v="57096"/>
    <s v="Venezulanos"/>
    <n v="4964"/>
    <n v="1808.2568163481376"/>
    <n v="20145.15705287156"/>
    <n v="6752.5322016719847"/>
    <n v="9550.5968975834294"/>
    <n v="0"/>
    <n v="3056.1910072266974"/>
    <n v="3342.7089141542001"/>
    <n v="0.1"/>
    <n v="0.05"/>
    <n v="0.35000000000000003"/>
    <n v="0.1"/>
    <n v="0.15000000000000002"/>
    <n v="0"/>
    <n v="0.05"/>
    <n v="0.05"/>
    <n v="20145.15705287156"/>
    <s v="SAL"/>
    <n v="0.35282956867156301"/>
    <s v=""/>
    <s v=""/>
    <s v=""/>
    <n v="9550.5968975834294"/>
    <s v="PRO"/>
    <n v="0.16727260924729279"/>
    <n v="10594.560155288131"/>
    <n v="1.1093086923152262"/>
    <s v="Flagged"/>
    <n v="6752.5322016719847"/>
    <s v="EDU"/>
    <n v="0.11826629188860839"/>
    <n v="13392.624851199576"/>
    <n v="1.9833485352181583"/>
    <s v="Flagged"/>
    <s v=""/>
    <s v=""/>
    <s v=""/>
    <s v=""/>
    <x v="3"/>
    <n v="0"/>
    <m/>
    <m/>
    <n v="2"/>
    <s v="Flagged"/>
    <n v="0"/>
    <m/>
    <n v="0"/>
    <n v="0"/>
    <n v="0"/>
  </r>
  <r>
    <s v="VenezulanosVE1421"/>
    <s v="Mérida"/>
    <s v="VE14"/>
    <s v="Tovar"/>
    <s v="VE1421"/>
    <m/>
    <n v="39330"/>
    <s v="Venezulanos"/>
    <n v="11018"/>
    <n v="1286.4335878708293"/>
    <n v="13876.786935852573"/>
    <n v="4434.8305882454169"/>
    <n v="6578.8317216960249"/>
    <n v="0"/>
    <n v="2105.2261509427281"/>
    <n v="2302.5911025936089"/>
    <n v="0.30000000000000004"/>
    <n v="0.05"/>
    <n v="0.35000000000000003"/>
    <n v="0.1"/>
    <n v="0.15000000000000002"/>
    <n v="0"/>
    <n v="0.05"/>
    <n v="0.05"/>
    <n v="13876.786935852573"/>
    <s v="SAL"/>
    <n v="0.35282956867156301"/>
    <s v=""/>
    <s v=""/>
    <s v=""/>
    <n v="11018"/>
    <s v="SAMV"/>
    <n v="0.28014238494787697"/>
    <n v="2858.7869358525732"/>
    <n v="0.25946514211767774"/>
    <s v=""/>
    <n v="6578.8317216960249"/>
    <s v="PRO"/>
    <n v="0.16727260924729279"/>
    <n v="7297.9552141565482"/>
    <n v="1.1093086923152267"/>
    <s v="Flagged"/>
    <s v=""/>
    <s v=""/>
    <s v=""/>
    <s v=""/>
    <x v="2"/>
    <n v="13876.786935852573"/>
    <m/>
    <m/>
    <n v="1"/>
    <s v="Flagged"/>
    <n v="13876.786935852573"/>
    <m/>
    <n v="6938.3934679262866"/>
    <n v="0"/>
    <n v="0"/>
  </r>
  <r>
    <s v="VenezulanosVE1422"/>
    <s v="Mérida"/>
    <s v="VE14"/>
    <s v="Tulio Febres Cordero"/>
    <s v="VE1422"/>
    <m/>
    <n v="34796"/>
    <s v="Venezulanos"/>
    <n v="5881"/>
    <n v="1184.7913139759037"/>
    <n v="12277.057671495706"/>
    <n v="2484.0380892054091"/>
    <n v="3492.2506268212801"/>
    <n v="2348.73"/>
    <n v="1121.0124512096309"/>
    <n v="1222.2877193874479"/>
    <n v="0.15000000000000002"/>
    <n v="0.05"/>
    <n v="0.35000000000000003"/>
    <n v="0.05"/>
    <n v="0.1"/>
    <n v="0.05"/>
    <n v="0.05"/>
    <n v="0.05"/>
    <n v="12277.057671495706"/>
    <s v="SAL"/>
    <n v="0.35282956867156301"/>
    <s v=""/>
    <s v=""/>
    <s v=""/>
    <n v="5881"/>
    <s v="SAMV"/>
    <n v="0.16901367973330267"/>
    <n v="6396.057671495706"/>
    <n v="1.0875799475422048"/>
    <s v="Flagged"/>
    <n v="3492.2506268212801"/>
    <s v="PRO"/>
    <n v="0.10036356554837568"/>
    <n v="8784.8070446744259"/>
    <n v="2.5155144871920436"/>
    <s v="Flagged"/>
    <s v=""/>
    <s v=""/>
    <s v=""/>
    <s v=""/>
    <x v="2"/>
    <n v="12277.057671495706"/>
    <m/>
    <m/>
    <n v="2"/>
    <s v="Flagged"/>
    <n v="12277.057671495706"/>
    <m/>
    <n v="6138.528835747853"/>
    <n v="0"/>
    <n v="0"/>
  </r>
  <r>
    <s v="VenezulanosVE1423"/>
    <s v="Mérida"/>
    <s v="VE14"/>
    <s v="Zea"/>
    <s v="VE1423"/>
    <m/>
    <n v="11413"/>
    <s v="Venezulanos"/>
    <n v="3804"/>
    <n v="360.08565603655256"/>
    <n v="4026.843867248549"/>
    <n v="1296.6873932481874"/>
    <n v="1145.4493736036115"/>
    <n v="770.37750000000005"/>
    <n v="366.54379955315574"/>
    <n v="400.90728076126402"/>
    <n v="0.35000000000000003"/>
    <n v="0.05"/>
    <n v="0.35000000000000003"/>
    <n v="0.1"/>
    <n v="0.1"/>
    <n v="0.05"/>
    <n v="0.05"/>
    <n v="0.05"/>
    <n v="4026.843867248549"/>
    <s v="SAL"/>
    <n v="0.35282956867156307"/>
    <s v=""/>
    <s v=""/>
    <s v=""/>
    <n v="3804"/>
    <s v="SAMV"/>
    <n v="0.33330412687286426"/>
    <n v="222.84386724854903"/>
    <n v="5.8581458267231608E-2"/>
    <s v=""/>
    <n v="1296.6873932481874"/>
    <s v="EDU"/>
    <n v="0.11361494727487842"/>
    <n v="2730.1564740003614"/>
    <n v="2.105485476465804"/>
    <s v="Flagged"/>
    <s v=""/>
    <s v=""/>
    <s v=""/>
    <s v=""/>
    <x v="3"/>
    <n v="0"/>
    <m/>
    <m/>
    <n v="1"/>
    <s v="Flagged"/>
    <n v="0"/>
    <m/>
    <n v="0"/>
    <n v="0"/>
    <n v="0"/>
  </r>
  <r>
    <s v="VenezulanosVE1501"/>
    <s v="Miranda"/>
    <s v="VE15"/>
    <s v="Acevedo"/>
    <s v="VE1501"/>
    <m/>
    <n v="89335"/>
    <s v="Venezulanos"/>
    <n v="22136"/>
    <n v="3597.6361967716234"/>
    <n v="31520.029517274084"/>
    <n v="9296.5220466373139"/>
    <n v="17809.644481572828"/>
    <n v="12060.225"/>
    <n v="5699.0862341033053"/>
    <n v="6233.3755685504902"/>
    <n v="0.25"/>
    <n v="0.05"/>
    <n v="0.35000000000000003"/>
    <n v="0.1"/>
    <n v="0.2"/>
    <n v="0.15000000000000002"/>
    <n v="0.05"/>
    <n v="0.05"/>
    <n v="31520.029517274084"/>
    <s v="SAL"/>
    <n v="0.35282956867156307"/>
    <s v=""/>
    <s v=""/>
    <s v=""/>
    <n v="22136"/>
    <s v="SAMV"/>
    <n v="0.24778642189511391"/>
    <n v="9384.0295172740844"/>
    <n v="0.42392616178505982"/>
    <s v=""/>
    <n v="17809.644481572828"/>
    <s v="PRO"/>
    <n v="0.19935797259274449"/>
    <n v="13710.385035701256"/>
    <n v="0.76982923774177703"/>
    <s v="Flagged"/>
    <s v=""/>
    <s v=""/>
    <s v=""/>
    <s v=""/>
    <x v="2"/>
    <n v="31520.029517274084"/>
    <m/>
    <m/>
    <n v="1"/>
    <s v="Flagged"/>
    <n v="31520.029517274084"/>
    <m/>
    <n v="15760.014758637042"/>
    <n v="0"/>
    <n v="0"/>
  </r>
  <r>
    <s v="VenezulanosVE1502"/>
    <s v="Miranda"/>
    <s v="VE15"/>
    <s v="Andrés Bello"/>
    <s v="VE1502"/>
    <m/>
    <n v="21447"/>
    <s v="Venezulanos"/>
    <n v="4874"/>
    <n v="1001.1743397731281"/>
    <n v="7567.1357592990107"/>
    <n v="801.64078710332751"/>
    <n v="4275.6304381965929"/>
    <n v="2895.3449999999998"/>
    <n v="1368.2017402229098"/>
    <n v="1496.4706533688075"/>
    <n v="0.25"/>
    <n v="0.05"/>
    <n v="0.35000000000000003"/>
    <n v="0.05"/>
    <n v="0.2"/>
    <n v="0.15000000000000002"/>
    <n v="0.05"/>
    <n v="0.05"/>
    <n v="7567.1357592990107"/>
    <s v="SAL"/>
    <n v="0.35282956867156295"/>
    <s v=""/>
    <s v=""/>
    <s v=""/>
    <n v="4874"/>
    <s v="SAMV"/>
    <n v="0.22725789154660325"/>
    <n v="2693.1357592990107"/>
    <n v="0.55255144835843473"/>
    <s v=""/>
    <n v="4275.6304381965929"/>
    <s v="PRO"/>
    <n v="0.19935797259274457"/>
    <n v="3291.5053211024178"/>
    <n v="0.76982923774177581"/>
    <s v="Flagged"/>
    <s v=""/>
    <s v=""/>
    <s v=""/>
    <s v=""/>
    <x v="2"/>
    <n v="7567.1357592990107"/>
    <m/>
    <m/>
    <n v="1"/>
    <s v="Flagged"/>
    <n v="7567.1357592990107"/>
    <m/>
    <n v="3783.5678796495054"/>
    <n v="0"/>
    <n v="0"/>
  </r>
  <r>
    <s v="VenezulanosVE1503"/>
    <s v="Miranda"/>
    <s v="VE15"/>
    <s v="Baruta"/>
    <s v="VE1503"/>
    <m/>
    <n v="246194"/>
    <s v="Venezulanos"/>
    <n v="4924"/>
    <n v="7633.7607358854439"/>
    <n v="86864.522829526788"/>
    <n v="36531.301399839474"/>
    <n v="49080.736704498151"/>
    <n v="16618.095000000001"/>
    <n v="15705.83574543941"/>
    <n v="17178.25784657435"/>
    <n v="0"/>
    <n v="0.05"/>
    <n v="0.35000000000000003"/>
    <n v="0.15000000000000002"/>
    <n v="0.2"/>
    <n v="0.05"/>
    <n v="0.05"/>
    <n v="0.05"/>
    <n v="86864.522829526788"/>
    <s v="SAL"/>
    <n v="0.35282956867156301"/>
    <s v=""/>
    <s v=""/>
    <s v=""/>
    <n v="49080.736704498151"/>
    <s v="PRO"/>
    <n v="0.19935797259274454"/>
    <n v="37783.786125028637"/>
    <n v="0.76982923774177636"/>
    <s v=""/>
    <n v="36531.301399839474"/>
    <s v="EDU"/>
    <n v="0.14838420676311964"/>
    <n v="50333.221429687314"/>
    <n v="1.3778107951530161"/>
    <s v="Flagged"/>
    <s v=""/>
    <s v=""/>
    <s v=""/>
    <s v=""/>
    <x v="2"/>
    <n v="86864.522829526788"/>
    <m/>
    <m/>
    <n v="1"/>
    <s v="Flagged"/>
    <n v="86864.522829526788"/>
    <m/>
    <n v="43432.261414763394"/>
    <n v="0"/>
    <n v="0"/>
  </r>
  <r>
    <s v="VenezulanosVE1504"/>
    <s v="Miranda"/>
    <s v="VE15"/>
    <s v="Brión"/>
    <s v="VE1504"/>
    <m/>
    <n v="60274"/>
    <s v="Venezulanos"/>
    <n v="2184"/>
    <n v="3179.7856799341707"/>
    <n v="21266.449422109788"/>
    <n v="5643.4249558007468"/>
    <n v="14419.322928066102"/>
    <n v="0"/>
    <n v="4614.183336981152"/>
    <n v="5046.7630248231353"/>
    <n v="0.05"/>
    <n v="0.05"/>
    <n v="0.35000000000000003"/>
    <n v="0.1"/>
    <n v="0.25"/>
    <n v="0"/>
    <n v="0.1"/>
    <n v="0.1"/>
    <n v="21266.449422109788"/>
    <s v="SAL"/>
    <n v="0.35282956867156301"/>
    <s v=""/>
    <s v=""/>
    <s v=""/>
    <n v="14419.322928066102"/>
    <s v="PRO"/>
    <n v="0.23922956711129345"/>
    <n v="6847.1264940436868"/>
    <n v="0.47485769811814688"/>
    <s v=""/>
    <n v="5643.4249558007468"/>
    <s v="EDU"/>
    <n v="9.3629507844190649E-2"/>
    <n v="15623.024466309042"/>
    <n v="2.7683586808841136"/>
    <s v="Flagged"/>
    <s v=""/>
    <s v=""/>
    <s v=""/>
    <s v=""/>
    <x v="2"/>
    <n v="21266.449422109788"/>
    <m/>
    <m/>
    <n v="1"/>
    <s v="Flagged"/>
    <n v="21266.449422109788"/>
    <m/>
    <n v="10633.224711054894"/>
    <n v="0"/>
    <n v="0"/>
  </r>
  <r>
    <s v="VenezulanosVE1505"/>
    <s v="Miranda"/>
    <s v="VE15"/>
    <s v="Buroz"/>
    <s v="VE1505"/>
    <m/>
    <n v="28135"/>
    <s v="Venezulanos"/>
    <n v="5158"/>
    <n v="1432.7110070311301"/>
    <n v="9926.8599145744247"/>
    <n v="1771.5963990566322"/>
    <n v="6730.7238706762373"/>
    <n v="12660.75"/>
    <n v="2153.831638616396"/>
    <n v="2355.7533547366834"/>
    <n v="0.2"/>
    <n v="0.05"/>
    <n v="0.35000000000000003"/>
    <n v="0.05"/>
    <n v="0.25"/>
    <n v="0.45"/>
    <n v="0.1"/>
    <n v="0.1"/>
    <n v="12660.75"/>
    <s v="ASH"/>
    <n v="0.45"/>
    <s v=""/>
    <s v=""/>
    <s v=""/>
    <n v="9926.8599145744247"/>
    <s v="SAL"/>
    <n v="0.35282956867156301"/>
    <n v="2733.8900854255753"/>
    <n v="0.27540331070973717"/>
    <s v=""/>
    <n v="6730.7238706762373"/>
    <s v="PRO"/>
    <n v="0.23922956711129331"/>
    <n v="5930.0261293237627"/>
    <n v="0.88103839100562775"/>
    <s v="Flagged"/>
    <s v=""/>
    <s v=""/>
    <s v=""/>
    <s v=""/>
    <x v="0"/>
    <n v="12660.75"/>
    <m/>
    <m/>
    <n v="1"/>
    <s v="Flagged"/>
    <n v="12660.75"/>
    <m/>
    <n v="12660.75"/>
    <n v="12660.75"/>
    <n v="0"/>
  </r>
  <r>
    <s v="VenezulanosVE1506"/>
    <s v="Miranda"/>
    <s v="VE15"/>
    <s v="Carrizal"/>
    <s v="VE1506"/>
    <m/>
    <n v="52877"/>
    <s v="Venezulanos"/>
    <n v="2005"/>
    <n v="1528.0685771064743"/>
    <n v="18656.569102646237"/>
    <n v="6999.6638382914334"/>
    <n v="12649.74182014386"/>
    <n v="3569.1975000000002"/>
    <n v="4060.5671242661788"/>
    <n v="4427.4096370503503"/>
    <n v="0.05"/>
    <n v="0.05"/>
    <n v="0.35000000000000003"/>
    <n v="0.15000000000000002"/>
    <n v="0.25"/>
    <n v="0.05"/>
    <n v="0.1"/>
    <n v="0.1"/>
    <n v="18656.569102646237"/>
    <s v="SAL"/>
    <n v="0.35282956867156301"/>
    <s v=""/>
    <s v=""/>
    <s v=""/>
    <n v="12649.74182014386"/>
    <s v="PRO"/>
    <n v="0.23922956711129337"/>
    <n v="6006.8272825023778"/>
    <n v="0.47485769811814743"/>
    <s v=""/>
    <n v="6999.6638382914334"/>
    <s v="EDU"/>
    <n v="0.13237634204458334"/>
    <n v="11656.905264354804"/>
    <n v="1.6653521559972755"/>
    <s v="Flagged"/>
    <s v=""/>
    <s v=""/>
    <s v=""/>
    <s v=""/>
    <x v="2"/>
    <n v="18656.569102646237"/>
    <m/>
    <m/>
    <n v="1"/>
    <s v="Flagged"/>
    <n v="18656.569102646237"/>
    <m/>
    <n v="9328.2845513231186"/>
    <n v="0"/>
    <n v="0"/>
  </r>
  <r>
    <s v="VenezulanosVE1507"/>
    <s v="Miranda"/>
    <s v="VE15"/>
    <s v="Chacao"/>
    <s v="VE1507"/>
    <m/>
    <n v="62597"/>
    <s v="Venezulanos"/>
    <n v="5738"/>
    <n v="1793.4293125195629"/>
    <n v="22086.072510133828"/>
    <n v="4359.3628028084731"/>
    <n v="12479.21101038803"/>
    <n v="0"/>
    <n v="3993.3475233241697"/>
    <n v="4367.7238536358091"/>
    <n v="0.1"/>
    <n v="0.05"/>
    <n v="0.35000000000000003"/>
    <n v="0.05"/>
    <n v="0.2"/>
    <n v="0"/>
    <n v="0.05"/>
    <n v="0.05"/>
    <n v="22086.072510133828"/>
    <s v="SAL"/>
    <n v="0.35282956867156301"/>
    <s v=""/>
    <s v=""/>
    <s v=""/>
    <n v="12479.21101038803"/>
    <s v="PRO"/>
    <n v="0.19935797259274454"/>
    <n v="9606.8614997457989"/>
    <n v="0.76982923774177636"/>
    <s v=""/>
    <n v="5738"/>
    <s v="SAMV"/>
    <n v="9.1665734779622032E-2"/>
    <n v="16348.072510133828"/>
    <n v="2.8490889700477218"/>
    <s v="Flagged"/>
    <s v=""/>
    <s v=""/>
    <s v=""/>
    <s v=""/>
    <x v="2"/>
    <n v="22086.072510133828"/>
    <m/>
    <m/>
    <n v="1"/>
    <s v="Flagged"/>
    <n v="22086.072510133828"/>
    <m/>
    <n v="11043.036255066914"/>
    <n v="0"/>
    <n v="0"/>
  </r>
  <r>
    <s v="VenezulanosVE1508"/>
    <s v="Miranda"/>
    <s v="VE15"/>
    <s v="Cristóbal Rojas"/>
    <s v="VE1508"/>
    <m/>
    <n v="120553"/>
    <s v="Venezulanos"/>
    <n v="11592"/>
    <n v="3999.3011938744403"/>
    <n v="42534.662992062928"/>
    <n v="10037.878729624295"/>
    <n v="28839.842003967755"/>
    <n v="0"/>
    <n v="9257.5892832736499"/>
    <n v="10093.944701388713"/>
    <n v="0.1"/>
    <n v="0.05"/>
    <n v="0.35000000000000003"/>
    <n v="0.1"/>
    <n v="0.25"/>
    <n v="0"/>
    <n v="0.1"/>
    <n v="0.1"/>
    <n v="42534.662992062928"/>
    <s v="SAL"/>
    <n v="0.35282956867156295"/>
    <s v=""/>
    <s v=""/>
    <s v=""/>
    <n v="28839.842003967755"/>
    <s v="PRO"/>
    <n v="0.23922956711129342"/>
    <n v="13694.820988095173"/>
    <n v="0.47485769811814688"/>
    <s v=""/>
    <n v="11592"/>
    <s v="SAMV"/>
    <n v="9.6156877058223358E-2"/>
    <n v="30942.662992062928"/>
    <n v="2.6693118523173678"/>
    <s v="Flagged"/>
    <s v=""/>
    <s v=""/>
    <s v=""/>
    <s v=""/>
    <x v="2"/>
    <n v="42534.662992062928"/>
    <m/>
    <m/>
    <n v="1"/>
    <s v="Flagged"/>
    <n v="42534.662992062928"/>
    <m/>
    <n v="21267.331496031464"/>
    <n v="0"/>
    <n v="0"/>
  </r>
  <r>
    <s v="VenezulanosVE1509"/>
    <s v="Miranda"/>
    <s v="VE15"/>
    <s v="El Hatillo"/>
    <s v="VE1509"/>
    <m/>
    <n v="59467"/>
    <s v="Venezulanos"/>
    <n v="17179"/>
    <n v="1827.1077707490199"/>
    <n v="20981.715960191839"/>
    <n v="10280.43031349696"/>
    <n v="11855.220556172742"/>
    <n v="4014.0225"/>
    <n v="3793.6705779752774"/>
    <n v="4149.32719466046"/>
    <n v="0.30000000000000004"/>
    <n v="0.05"/>
    <n v="0.35000000000000003"/>
    <n v="0.15000000000000002"/>
    <n v="0.2"/>
    <n v="0.05"/>
    <n v="0.05"/>
    <n v="0.05"/>
    <n v="20981.715960191839"/>
    <s v="SAL"/>
    <n v="0.35282956867156307"/>
    <s v=""/>
    <s v=""/>
    <s v=""/>
    <n v="17179"/>
    <s v="SAMV"/>
    <n v="0.28888290984916004"/>
    <n v="3802.7159601918393"/>
    <n v="0.22135840038371496"/>
    <s v=""/>
    <n v="11855.220556172742"/>
    <s v="PRO"/>
    <n v="0.1993579725927446"/>
    <n v="9126.4954040190969"/>
    <n v="0.76982923774177603"/>
    <s v="Flagged"/>
    <s v=""/>
    <s v=""/>
    <s v=""/>
    <s v=""/>
    <x v="2"/>
    <n v="20981.715960191839"/>
    <m/>
    <m/>
    <n v="1"/>
    <s v="Flagged"/>
    <n v="20981.715960191839"/>
    <m/>
    <n v="10490.85798009592"/>
    <n v="0"/>
    <n v="0"/>
  </r>
  <r>
    <s v="VenezulanosVE1510"/>
    <s v="Miranda"/>
    <s v="VE15"/>
    <s v="Bolivariano Guaicaipuro"/>
    <s v="VE1510"/>
    <m/>
    <n v="257935"/>
    <s v="Venezulanos"/>
    <n v="35886"/>
    <n v="10643.490049850534"/>
    <n v="91007.094795299607"/>
    <n v="33543.140159372037"/>
    <n v="61705.678392851456"/>
    <n v="154761"/>
    <n v="19745.817085712464"/>
    <n v="21596.987437498006"/>
    <n v="0.15000000000000002"/>
    <n v="0.05"/>
    <n v="0.35000000000000003"/>
    <n v="0.15000000000000002"/>
    <n v="0.25"/>
    <n v="0.60000000000000009"/>
    <n v="0.1"/>
    <n v="0.1"/>
    <n v="154761"/>
    <s v="ASH"/>
    <n v="0.6"/>
    <s v=""/>
    <s v=""/>
    <s v=""/>
    <n v="91007.094795299607"/>
    <s v="SAL"/>
    <n v="0.35282956867156301"/>
    <n v="63753.905204700393"/>
    <n v="0.70053774761298282"/>
    <s v=""/>
    <n v="61705.678392851456"/>
    <s v="PRO"/>
    <n v="0.23922956711129337"/>
    <n v="93055.321607148537"/>
    <n v="1.5080511880075029"/>
    <s v="Flagged"/>
    <s v=""/>
    <s v=""/>
    <s v=""/>
    <s v=""/>
    <x v="2"/>
    <n v="154761"/>
    <m/>
    <m/>
    <n v="1"/>
    <s v="Flagged"/>
    <n v="154761"/>
    <m/>
    <n v="77380.5"/>
    <n v="0"/>
    <n v="0"/>
  </r>
  <r>
    <s v="VenezulanosVE1511"/>
    <s v="Miranda"/>
    <s v="VE15"/>
    <s v="Independencia"/>
    <s v="VE1511"/>
    <m/>
    <n v="141913"/>
    <s v="Venezulanos"/>
    <n v="19075"/>
    <n v="7370.8181050802659"/>
    <n v="50071.102578887519"/>
    <n v="13051.285569376869"/>
    <n v="33949.78555746498"/>
    <n v="19158.254999999997"/>
    <n v="10863.931378388796"/>
    <n v="11882.424945112743"/>
    <n v="0.15000000000000002"/>
    <n v="0.05"/>
    <n v="0.35000000000000003"/>
    <n v="0.1"/>
    <n v="0.25"/>
    <n v="0.15000000000000002"/>
    <n v="0.1"/>
    <n v="0.1"/>
    <n v="50071.102578887519"/>
    <s v="SAL"/>
    <n v="0.35282956867156301"/>
    <s v=""/>
    <s v=""/>
    <s v=""/>
    <n v="33949.78555746498"/>
    <s v="PRO"/>
    <n v="0.2392295671112934"/>
    <n v="16121.317021422539"/>
    <n v="0.47485769811814721"/>
    <s v=""/>
    <n v="19158.254999999997"/>
    <s v="ASH"/>
    <n v="0.13499999999999998"/>
    <n v="30912.847578887522"/>
    <n v="1.6135523605300965"/>
    <s v="Flagged"/>
    <s v=""/>
    <s v=""/>
    <s v=""/>
    <s v=""/>
    <x v="2"/>
    <n v="50071.102578887519"/>
    <m/>
    <m/>
    <n v="1"/>
    <s v="Flagged"/>
    <n v="50071.102578887519"/>
    <m/>
    <n v="25035.55128944376"/>
    <n v="0"/>
    <n v="0"/>
  </r>
  <r>
    <s v="VenezulanosVE1512"/>
    <s v="Miranda"/>
    <s v="VE15"/>
    <s v="Lander"/>
    <s v="VE1512"/>
    <m/>
    <n v="148218"/>
    <s v="Venezulanos"/>
    <n v="16036"/>
    <n v="11441.380194558114"/>
    <n v="52295.693009361727"/>
    <n v="13405.051233996901"/>
    <n v="35458.127978101686"/>
    <n v="66698.100000000006"/>
    <n v="11346.60095299254"/>
    <n v="12410.344792335587"/>
    <n v="0.1"/>
    <n v="0.1"/>
    <n v="0.35000000000000003"/>
    <n v="0.1"/>
    <n v="0.25"/>
    <n v="0.45"/>
    <n v="0.1"/>
    <n v="0.1"/>
    <n v="66698.100000000006"/>
    <s v="ASH"/>
    <n v="0.45000000000000007"/>
    <s v=""/>
    <s v=""/>
    <s v=""/>
    <n v="52295.693009361727"/>
    <s v="SAL"/>
    <n v="0.35282956867156301"/>
    <n v="14402.406990638279"/>
    <n v="0.27540331070973723"/>
    <s v=""/>
    <n v="35458.127978101686"/>
    <s v="PRO"/>
    <n v="0.2392295671112934"/>
    <n v="31239.97202189832"/>
    <n v="0.8810383910056272"/>
    <s v="Flagged"/>
    <s v=""/>
    <s v=""/>
    <s v=""/>
    <s v=""/>
    <x v="2"/>
    <n v="66698.100000000006"/>
    <m/>
    <m/>
    <n v="1"/>
    <s v="Flagged"/>
    <n v="66698.100000000006"/>
    <m/>
    <n v="33349.050000000003"/>
    <n v="0"/>
    <n v="0"/>
  </r>
  <r>
    <s v="VenezulanosVE1513"/>
    <s v="Miranda"/>
    <s v="VE15"/>
    <s v="Los Salias"/>
    <s v="VE1513"/>
    <m/>
    <n v="69787"/>
    <s v="Venezulanos"/>
    <n v="684"/>
    <n v="1624.1428270476888"/>
    <n v="24622.917108882368"/>
    <n v="12153.83749973066"/>
    <n v="13912.59483332986"/>
    <n v="0"/>
    <n v="4452.030346665555"/>
    <n v="4869.4081916654504"/>
    <n v="0"/>
    <n v="0"/>
    <n v="0.35000000000000003"/>
    <n v="0.15000000000000002"/>
    <n v="0.2"/>
    <n v="0"/>
    <n v="0.05"/>
    <n v="0.05"/>
    <n v="24622.917108882368"/>
    <s v="SAL"/>
    <n v="0.35282956867156301"/>
    <s v=""/>
    <s v=""/>
    <s v=""/>
    <n v="13912.59483332986"/>
    <s v="PRO"/>
    <n v="0.19935797259274449"/>
    <n v="10710.322275552508"/>
    <n v="0.7698292377417767"/>
    <s v=""/>
    <n v="12153.83749973066"/>
    <s v="EDU"/>
    <n v="0.17415618237967903"/>
    <n v="12469.079609151708"/>
    <n v="1.0259376603832357"/>
    <s v="Flagged"/>
    <s v=""/>
    <s v=""/>
    <s v=""/>
    <s v=""/>
    <x v="2"/>
    <n v="24622.917108882368"/>
    <m/>
    <m/>
    <n v="1"/>
    <s v="Flagged"/>
    <n v="24622.917108882368"/>
    <m/>
    <n v="12311.458554441184"/>
    <n v="0"/>
    <n v="0"/>
  </r>
  <r>
    <s v="VenezulanosVE1514"/>
    <s v="Miranda"/>
    <s v="VE15"/>
    <s v="Páez"/>
    <s v="VE1514"/>
    <m/>
    <n v="38798"/>
    <s v="Venezulanos"/>
    <n v="4445"/>
    <n v="1829.0509454631263"/>
    <n v="13689.081605319303"/>
    <n v="2198.4547173935935"/>
    <n v="9281.6287447839604"/>
    <n v="0"/>
    <n v="2979.4028270756512"/>
    <n v="3248.5700606743858"/>
    <n v="0.1"/>
    <n v="0.05"/>
    <n v="0.35000000000000003"/>
    <n v="0.05"/>
    <n v="0.25"/>
    <n v="0"/>
    <n v="0.1"/>
    <n v="0.1"/>
    <n v="13689.081605319303"/>
    <s v="SAL"/>
    <n v="0.35282956867156307"/>
    <s v=""/>
    <s v=""/>
    <s v=""/>
    <n v="9281.6287447839604"/>
    <s v="PRO"/>
    <n v="0.23922956711129337"/>
    <n v="4407.4528605353426"/>
    <n v="0.47485769811814754"/>
    <s v=""/>
    <n v="4445"/>
    <s v="SAMV"/>
    <n v="0.1145677612248054"/>
    <n v="9244.081605319303"/>
    <n v="2.0796584038963561"/>
    <s v="Flagged"/>
    <s v=""/>
    <s v=""/>
    <s v=""/>
    <s v=""/>
    <x v="2"/>
    <n v="13689.081605319303"/>
    <m/>
    <m/>
    <n v="1"/>
    <s v="Flagged"/>
    <n v="13689.081605319303"/>
    <m/>
    <n v="6844.5408026596515"/>
    <n v="0"/>
    <n v="0"/>
  </r>
  <r>
    <s v="VenezulanosVE1515"/>
    <s v="Miranda"/>
    <s v="VE15"/>
    <s v="Paz Castillo"/>
    <s v="VE1515"/>
    <m/>
    <n v="113706"/>
    <s v="Venezulanos"/>
    <n v="14782"/>
    <n v="8814.0211796490003"/>
    <n v="40118.838935368753"/>
    <n v="14852.772180237374"/>
    <n v="27201.837157956728"/>
    <n v="51167.700000000004"/>
    <n v="8731.7897277041102"/>
    <n v="9520.6430052848536"/>
    <n v="0.15000000000000002"/>
    <n v="0.1"/>
    <n v="0.35000000000000003"/>
    <n v="0.15000000000000002"/>
    <n v="0.25"/>
    <n v="0.45"/>
    <n v="0.1"/>
    <n v="0.1"/>
    <n v="51167.700000000004"/>
    <s v="ASH"/>
    <n v="0.45"/>
    <s v=""/>
    <s v=""/>
    <s v=""/>
    <n v="40118.838935368753"/>
    <s v="SAL"/>
    <n v="0.35282956867156307"/>
    <n v="11048.861064631252"/>
    <n v="0.27540331070973695"/>
    <s v=""/>
    <n v="27201.837157956728"/>
    <s v="PRO"/>
    <n v="0.2392295671112934"/>
    <n v="23965.862842043276"/>
    <n v="0.88103839100562709"/>
    <s v="Flagged"/>
    <s v=""/>
    <s v=""/>
    <s v=""/>
    <s v=""/>
    <x v="2"/>
    <n v="51167.700000000004"/>
    <m/>
    <m/>
    <n v="1"/>
    <s v="Flagged"/>
    <n v="51167.700000000004"/>
    <m/>
    <n v="25583.850000000002"/>
    <n v="0"/>
    <n v="0"/>
  </r>
  <r>
    <s v="VenezulanosVE1516"/>
    <s v="Miranda"/>
    <s v="VE15"/>
    <s v="Pedro Gual"/>
    <s v="VE1516"/>
    <m/>
    <n v="22331"/>
    <s v="Venezulanos"/>
    <n v="4839"/>
    <n v="856.93726003331824"/>
    <n v="7995.7779950749891"/>
    <n v="2826.2169632002428"/>
    <n v="5342.2354631622929"/>
    <n v="3014.6849999999999"/>
    <n v="1709.5153482119338"/>
    <n v="1869.7824121068022"/>
    <n v="0.2"/>
    <n v="0.05"/>
    <n v="0.35000000000000003"/>
    <n v="0.15000000000000002"/>
    <n v="0.25"/>
    <n v="0.15000000000000002"/>
    <n v="0.1"/>
    <n v="0.1"/>
    <n v="7995.7779950749891"/>
    <s v="SAL"/>
    <n v="0.35805731920088618"/>
    <s v=""/>
    <s v=""/>
    <s v=""/>
    <n v="5342.2354631622929"/>
    <s v="PRO"/>
    <n v="0.2392295671112934"/>
    <n v="2653.5425319126962"/>
    <n v="0.49671014132760694"/>
    <s v=""/>
    <n v="4839"/>
    <s v="SAMV"/>
    <n v="0.21669428149209619"/>
    <n v="3156.7779950749891"/>
    <n v="0.65236164395019403"/>
    <s v="Flagged"/>
    <s v=""/>
    <s v=""/>
    <s v=""/>
    <s v=""/>
    <x v="2"/>
    <n v="7995.7779950749891"/>
    <m/>
    <m/>
    <n v="1"/>
    <s v="Flagged"/>
    <n v="7995.7779950749891"/>
    <m/>
    <n v="3997.8889975374946"/>
    <n v="0"/>
    <n v="0"/>
  </r>
  <r>
    <s v="VenezulanosVE1517"/>
    <s v="Miranda"/>
    <s v="VE15"/>
    <s v="Plaza"/>
    <s v="VE1517"/>
    <m/>
    <n v="214736"/>
    <s v="Venezulanos"/>
    <n v="5423"/>
    <n v="5456.6570784762444"/>
    <n v="75765.21025825676"/>
    <n v="30147.151139031852"/>
    <n v="51371.200323210702"/>
    <n v="0"/>
    <n v="16438.784103427424"/>
    <n v="17979.920113123746"/>
    <n v="0.05"/>
    <n v="0.05"/>
    <n v="0.35000000000000003"/>
    <n v="0.15000000000000002"/>
    <n v="0.25"/>
    <n v="0"/>
    <n v="0.1"/>
    <n v="0.1"/>
    <n v="75765.21025825676"/>
    <s v="SAL"/>
    <n v="0.35282956867156307"/>
    <s v=""/>
    <s v=""/>
    <s v=""/>
    <n v="51371.200323210702"/>
    <s v="PRO"/>
    <n v="0.23922956711129342"/>
    <n v="24394.009935046059"/>
    <n v="0.47485769811814732"/>
    <s v=""/>
    <n v="30147.151139031852"/>
    <s v="EDU"/>
    <n v="0.14039169556586623"/>
    <n v="45618.059119224912"/>
    <n v="1.5131797664344708"/>
    <s v="Flagged"/>
    <s v=""/>
    <s v=""/>
    <s v=""/>
    <s v=""/>
    <x v="3"/>
    <n v="0"/>
    <m/>
    <m/>
    <n v="1"/>
    <s v="Flagged"/>
    <n v="0"/>
    <m/>
    <n v="0"/>
    <n v="0"/>
    <n v="0"/>
  </r>
  <r>
    <s v="VenezulanosVE1518"/>
    <s v="Miranda"/>
    <s v="VE15"/>
    <s v="Simón Bolívar"/>
    <s v="VE1518"/>
    <m/>
    <n v="43559"/>
    <s v="Venezulanos"/>
    <n v="7260"/>
    <n v="1270.4765280160575"/>
    <n v="15368.903181764612"/>
    <n v="4535.1505941661726"/>
    <n v="10420.600713800832"/>
    <n v="0"/>
    <n v="3334.5922284162662"/>
    <n v="3647.2102498302911"/>
    <n v="0.15000000000000002"/>
    <n v="0.05"/>
    <n v="0.35000000000000003"/>
    <n v="0.1"/>
    <n v="0.25"/>
    <n v="0"/>
    <n v="0.1"/>
    <n v="0.1"/>
    <n v="15368.903181764612"/>
    <s v="SAL"/>
    <n v="0.35282956867156295"/>
    <s v=""/>
    <s v=""/>
    <s v=""/>
    <n v="10420.600713800832"/>
    <s v="PRO"/>
    <n v="0.23922956711129345"/>
    <n v="4948.3024679637801"/>
    <n v="0.47485769811814676"/>
    <s v=""/>
    <n v="7260"/>
    <s v="SAMV"/>
    <n v="0.16667049289469454"/>
    <n v="8108.9031817646119"/>
    <n v="1.1169288129152357"/>
    <s v="Flagged"/>
    <s v=""/>
    <s v=""/>
    <s v=""/>
    <s v=""/>
    <x v="2"/>
    <n v="15368.903181764612"/>
    <m/>
    <m/>
    <n v="1"/>
    <s v="Flagged"/>
    <n v="15368.903181764612"/>
    <m/>
    <n v="7684.4515908823059"/>
    <n v="0"/>
    <n v="0"/>
  </r>
  <r>
    <s v="VenezulanosVE1519"/>
    <s v="Miranda"/>
    <s v="VE15"/>
    <s v="Sucre"/>
    <s v="VE1519"/>
    <m/>
    <n v="613902"/>
    <s v="Venezulanos"/>
    <n v="95637"/>
    <n v="32923.262776657502"/>
    <n v="216602.77786660992"/>
    <n v="89542.975049871617"/>
    <n v="146863.50970875725"/>
    <n v="276255.90000000002"/>
    <n v="46996.323106802316"/>
    <n v="51402.228398065039"/>
    <n v="0.15000000000000002"/>
    <n v="0.05"/>
    <n v="0.35000000000000003"/>
    <n v="0.15000000000000002"/>
    <n v="0.25"/>
    <n v="0.45"/>
    <n v="0.1"/>
    <n v="0.1"/>
    <n v="276255.90000000002"/>
    <s v="ASH"/>
    <n v="0.45"/>
    <s v=""/>
    <s v=""/>
    <s v=""/>
    <n v="216602.77786660992"/>
    <s v="SAL"/>
    <n v="0.35282956867156307"/>
    <n v="59653.122133390105"/>
    <n v="0.27540331070973695"/>
    <s v=""/>
    <n v="146863.50970875725"/>
    <s v="PRO"/>
    <n v="0.23922956711129342"/>
    <n v="129392.39029124277"/>
    <n v="0.88103839100562709"/>
    <s v="Flagged"/>
    <s v=""/>
    <s v=""/>
    <s v=""/>
    <s v=""/>
    <x v="0"/>
    <n v="276255.90000000002"/>
    <m/>
    <m/>
    <n v="1"/>
    <s v="Flagged"/>
    <n v="276255.90000000002"/>
    <m/>
    <n v="276255.90000000002"/>
    <n v="276255.90000000002"/>
    <n v="0"/>
  </r>
  <r>
    <s v="VenezulanosVE1520"/>
    <s v="Miranda"/>
    <s v="VE15"/>
    <s v="Urdaneta"/>
    <s v="VE1520"/>
    <m/>
    <n v="138489"/>
    <s v="Venezulanos"/>
    <n v="23851"/>
    <n v="4641.3726721507173"/>
    <n v="48863.014135756093"/>
    <n v="14074.076193286957"/>
    <n v="33130.663519675916"/>
    <n v="9348.0074999999997"/>
    <n v="10601.812326296294"/>
    <n v="11595.73223188657"/>
    <n v="0.15000000000000002"/>
    <n v="0.05"/>
    <n v="0.35000000000000003"/>
    <n v="0.1"/>
    <n v="0.25"/>
    <n v="0.05"/>
    <n v="0.1"/>
    <n v="0.1"/>
    <n v="48863.014135756093"/>
    <s v="SAL"/>
    <n v="0.35282956867156301"/>
    <s v=""/>
    <s v=""/>
    <s v=""/>
    <n v="33130.663519675916"/>
    <s v="PRO"/>
    <n v="0.23922956711129342"/>
    <n v="15732.350616080177"/>
    <n v="0.47485769811814715"/>
    <s v=""/>
    <n v="23851"/>
    <s v="SAMV"/>
    <n v="0.17222306464773376"/>
    <n v="25012.014135756093"/>
    <n v="1.0486777969794179"/>
    <s v="Flagged"/>
    <s v=""/>
    <s v=""/>
    <s v=""/>
    <s v=""/>
    <x v="2"/>
    <n v="48863.014135756093"/>
    <m/>
    <m/>
    <n v="1"/>
    <s v="Flagged"/>
    <n v="48863.014135756093"/>
    <m/>
    <n v="24431.507067878047"/>
    <n v="0"/>
    <n v="0"/>
  </r>
  <r>
    <s v="VenezulanosVE1521"/>
    <s v="Miranda"/>
    <s v="VE15"/>
    <s v="Zamora"/>
    <s v="VE1521"/>
    <m/>
    <n v="191300"/>
    <s v="Venezulanos"/>
    <n v="3543"/>
    <n v="8570.8188499345197"/>
    <n v="67496.296486870007"/>
    <n v="22396.212342262392"/>
    <n v="45764.616188390435"/>
    <n v="0"/>
    <n v="14644.67718028494"/>
    <n v="16017.615665936652"/>
    <n v="0"/>
    <n v="0.05"/>
    <n v="0.35000000000000003"/>
    <n v="0.1"/>
    <n v="0.25"/>
    <n v="0"/>
    <n v="0.1"/>
    <n v="0.1"/>
    <n v="67496.296486870007"/>
    <s v="SAL"/>
    <n v="0.35282956867156301"/>
    <s v=""/>
    <s v=""/>
    <s v=""/>
    <n v="45764.616188390435"/>
    <s v="PRO"/>
    <n v="0.23922956711129345"/>
    <n v="21731.680298479572"/>
    <n v="0.4748576981181471"/>
    <s v=""/>
    <n v="22396.212342262392"/>
    <s v="EDU"/>
    <n v="0.11707377073843384"/>
    <n v="45100.084144607616"/>
    <n v="2.0137371201603704"/>
    <s v="Flagged"/>
    <s v=""/>
    <s v=""/>
    <s v=""/>
    <s v=""/>
    <x v="3"/>
    <n v="0"/>
    <m/>
    <m/>
    <n v="1"/>
    <s v="Flagged"/>
    <n v="0"/>
    <m/>
    <n v="0"/>
    <n v="0"/>
    <n v="0"/>
  </r>
  <r>
    <s v="VenezulanosVE1601"/>
    <s v="Monagas"/>
    <s v="VE16"/>
    <s v="Acosta"/>
    <s v="VE1601"/>
    <m/>
    <n v="18632"/>
    <s v="Venezulanos"/>
    <n v="6599"/>
    <n v="666.48086845537387"/>
    <n v="7995.7779950749891"/>
    <n v="859.03253717400207"/>
    <n v="3720.558464639003"/>
    <n v="0"/>
    <n v="1190.5787086844809"/>
    <n v="1302.1954626236509"/>
    <n v="0.35000000000000003"/>
    <n v="0.05"/>
    <n v="0.45"/>
    <n v="0.05"/>
    <n v="0.2"/>
    <n v="0"/>
    <n v="0.05"/>
    <n v="0.05"/>
    <n v="7995.7779950749891"/>
    <s v="SAL"/>
    <n v="0.42914222815988562"/>
    <s v=""/>
    <s v=""/>
    <s v=""/>
    <n v="6599"/>
    <s v="SAMV"/>
    <n v="0.35417561185057966"/>
    <n v="1396.7779950749891"/>
    <n v="0.21166510002651753"/>
    <s v=""/>
    <n v="3720.558464639003"/>
    <s v="PRO"/>
    <n v="0.19968647835117018"/>
    <n v="4275.2195304359866"/>
    <n v="1.149080056413198"/>
    <s v="Flagged"/>
    <s v=""/>
    <s v=""/>
    <s v=""/>
    <s v=""/>
    <x v="2"/>
    <n v="7995.7779950749891"/>
    <m/>
    <m/>
    <n v="1"/>
    <s v="Flagged"/>
    <n v="7995.7779950749891"/>
    <m/>
    <n v="3997.8889975374946"/>
    <n v="0"/>
    <n v="0"/>
  </r>
  <r>
    <s v="VenezulanosVE1602"/>
    <s v="Monagas"/>
    <s v="VE16"/>
    <s v="Aguasay"/>
    <s v="VE1602"/>
    <m/>
    <n v="12116"/>
    <s v="Venezulanos"/>
    <n v="3365"/>
    <n v="903.27898301169591"/>
    <n v="6345.8555516468168"/>
    <n v="246.88168184300008"/>
    <n v="2419.4013717027783"/>
    <n v="0"/>
    <n v="774.20843894488905"/>
    <n v="846.79048009597227"/>
    <n v="0.30000000000000004"/>
    <n v="0.05"/>
    <n v="0.5"/>
    <n v="0"/>
    <n v="0.2"/>
    <n v="0"/>
    <n v="0.05"/>
    <n v="0.05"/>
    <n v="6345.8555516468168"/>
    <s v="SAL"/>
    <n v="0.52375829907946658"/>
    <s v=""/>
    <s v=""/>
    <s v=""/>
    <n v="3365"/>
    <s v="SAMV"/>
    <n v="0.27773192472763286"/>
    <n v="2980.8555516468168"/>
    <n v="0.8858411743378356"/>
    <s v=""/>
    <n v="2419.4013717027783"/>
    <s v="PRO"/>
    <n v="0.1996864783511702"/>
    <n v="3926.4541799440385"/>
    <n v="1.6229031800459772"/>
    <s v="Flagged"/>
    <s v=""/>
    <s v=""/>
    <s v=""/>
    <s v=""/>
    <x v="2"/>
    <n v="6345.8555516468168"/>
    <m/>
    <m/>
    <n v="1"/>
    <s v="Flagged"/>
    <n v="6345.8555516468168"/>
    <m/>
    <n v="3172.9277758234084"/>
    <n v="0"/>
    <n v="0"/>
  </r>
  <r>
    <s v="VenezulanosVE1603"/>
    <s v="Monagas"/>
    <s v="VE16"/>
    <s v="Bolívar"/>
    <s v="VE1603"/>
    <m/>
    <n v="39522"/>
    <s v="Venezulanos"/>
    <n v="32935"/>
    <n v="1556.4735311369282"/>
    <n v="13944.530213037515"/>
    <n v="2847.4822893862083"/>
    <n v="7892.0089973949462"/>
    <n v="5335.47"/>
    <n v="2533.3348881637776"/>
    <n v="2762.2031490882309"/>
    <n v="0.85000000000000009"/>
    <n v="0.05"/>
    <n v="0.35000000000000003"/>
    <n v="0.05"/>
    <n v="0.2"/>
    <n v="0.15000000000000002"/>
    <n v="0.05"/>
    <n v="0.05"/>
    <n v="32935"/>
    <s v="SAMV"/>
    <n v="0.83333333333333337"/>
    <s v=""/>
    <s v=""/>
    <s v=""/>
    <n v="13944.530213037515"/>
    <s v="SAL"/>
    <n v="0.35282956867156307"/>
    <n v="18990.469786962487"/>
    <n v="1.3618579827958093"/>
    <s v="Flagged"/>
    <n v="7892.0089973949462"/>
    <s v="PRO"/>
    <n v="0.19968647835117015"/>
    <n v="25042.991002605053"/>
    <n v="3.173208622908493"/>
    <s v="Flagged"/>
    <s v=""/>
    <s v=""/>
    <s v=""/>
    <s v=""/>
    <x v="2"/>
    <n v="32935"/>
    <m/>
    <m/>
    <n v="2"/>
    <s v="Flagged"/>
    <n v="32935"/>
    <m/>
    <n v="16467.5"/>
    <n v="0"/>
    <n v="0"/>
  </r>
  <r>
    <s v="VenezulanosVE1604"/>
    <s v="Monagas"/>
    <s v="VE16"/>
    <s v="Caripe"/>
    <s v="VE1604"/>
    <m/>
    <n v="34496"/>
    <s v="Venezulanos"/>
    <n v="10823"/>
    <n v="1338.3356306597902"/>
    <n v="12171.208800894239"/>
    <n v="2134.9111339864476"/>
    <n v="6888.3847572019658"/>
    <n v="0"/>
    <n v="2204.2831223046287"/>
    <n v="2410.934665020688"/>
    <n v="0.30000000000000004"/>
    <n v="0.05"/>
    <n v="0.35000000000000003"/>
    <n v="0.05"/>
    <n v="0.2"/>
    <n v="0"/>
    <n v="0.05"/>
    <n v="0.05"/>
    <n v="12171.208800894239"/>
    <s v="SAL"/>
    <n v="0.35282956867156307"/>
    <s v=""/>
    <s v=""/>
    <s v=""/>
    <n v="10823"/>
    <s v="SAMV"/>
    <n v="0.31374652133580705"/>
    <n v="1348.2088008942392"/>
    <n v="0.12456886269003412"/>
    <s v=""/>
    <n v="6888.3847572019658"/>
    <s v="PRO"/>
    <n v="0.19968647835117015"/>
    <n v="5282.8240436922733"/>
    <n v="0.7669176780767013"/>
    <s v="Flagged"/>
    <s v=""/>
    <s v=""/>
    <s v=""/>
    <s v=""/>
    <x v="3"/>
    <n v="0"/>
    <m/>
    <m/>
    <n v="1"/>
    <s v="Flagged"/>
    <n v="0"/>
    <m/>
    <n v="0"/>
    <n v="0"/>
    <n v="0"/>
  </r>
  <r>
    <s v="VenezulanosVE1605"/>
    <s v="Monagas"/>
    <s v="VE16"/>
    <s v="Cedeño"/>
    <s v="VE1605"/>
    <m/>
    <n v="35245"/>
    <s v="Venezulanos"/>
    <n v="11748"/>
    <n v="1863.5224573282942"/>
    <n v="12435.478147829239"/>
    <n v="1309.4217816871515"/>
    <n v="8445.5399153843882"/>
    <n v="4758.0749999999998"/>
    <n v="2702.5727729230043"/>
    <n v="2955.9389703845359"/>
    <n v="0.35000000000000003"/>
    <n v="0.05"/>
    <n v="0.35000000000000003"/>
    <n v="0.05"/>
    <n v="0.25"/>
    <n v="0.15000000000000002"/>
    <n v="0.1"/>
    <n v="0.1"/>
    <n v="12435.478147829239"/>
    <s v="SAL"/>
    <n v="0.35282956867156301"/>
    <s v=""/>
    <s v=""/>
    <s v=""/>
    <n v="11748"/>
    <s v="SAMV"/>
    <n v="0.33332387572705346"/>
    <n v="687.47814782923888"/>
    <n v="5.8518739175113965E-2"/>
    <s v=""/>
    <n v="8445.5399153843882"/>
    <s v="PRO"/>
    <n v="0.23962377402140411"/>
    <n v="3989.9382324448507"/>
    <n v="0.4724313983972514"/>
    <s v=""/>
    <s v=""/>
    <s v=""/>
    <s v=""/>
    <s v=""/>
    <x v="2"/>
    <n v="12435.478147829239"/>
    <m/>
    <m/>
    <n v="0"/>
    <s v=""/>
    <n v="12435.478147829239"/>
    <m/>
    <n v="6217.7390739146194"/>
    <n v="0"/>
    <n v="0"/>
  </r>
  <r>
    <s v="VenezulanosVE1606"/>
    <s v="Monagas"/>
    <s v="VE16"/>
    <s v="Ezequiel Zamora"/>
    <s v="VE1606"/>
    <m/>
    <n v="64175"/>
    <s v="Venezulanos"/>
    <n v="11092"/>
    <n v="2362.2506272927922"/>
    <n v="22642.837569497558"/>
    <n v="4636.9914419492197"/>
    <n v="12814.879748186348"/>
    <n v="0"/>
    <n v="4100.7615194196314"/>
    <n v="4485.2079118652209"/>
    <n v="0.15000000000000002"/>
    <n v="0.05"/>
    <n v="0.35000000000000003"/>
    <n v="0.05"/>
    <n v="0.2"/>
    <n v="0"/>
    <n v="0.05"/>
    <n v="0.05"/>
    <n v="22642.837569497558"/>
    <s v="SAL"/>
    <n v="0.35282956867156307"/>
    <s v=""/>
    <s v=""/>
    <s v=""/>
    <n v="12814.879748186348"/>
    <s v="PRO"/>
    <n v="0.1996864783511702"/>
    <n v="9827.9578213112109"/>
    <n v="0.76691767807670086"/>
    <s v=""/>
    <n v="11092"/>
    <s v="SAMV"/>
    <n v="0.17283989092325672"/>
    <n v="11550.837569497558"/>
    <n v="1.0413665316892857"/>
    <s v="Flagged"/>
    <s v=""/>
    <s v=""/>
    <s v=""/>
    <s v=""/>
    <x v="2"/>
    <n v="22642.837569497558"/>
    <m/>
    <m/>
    <n v="1"/>
    <s v="Flagged"/>
    <n v="22642.837569497558"/>
    <m/>
    <n v="11321.418784748779"/>
    <n v="0"/>
    <n v="0"/>
  </r>
  <r>
    <s v="VenezulanosVE1607"/>
    <s v="Monagas"/>
    <s v="VE16"/>
    <s v="Libertador"/>
    <s v="VE1607"/>
    <m/>
    <n v="46295"/>
    <s v="Venezulanos"/>
    <n v="22258"/>
    <n v="2231.7423237660842"/>
    <n v="16334.244881650011"/>
    <n v="2414.548858930661"/>
    <n v="11093.382618320909"/>
    <n v="0"/>
    <n v="3549.8824378626914"/>
    <n v="3882.6839164123185"/>
    <n v="0.5"/>
    <n v="0.05"/>
    <n v="0.35000000000000003"/>
    <n v="0.05"/>
    <n v="0.25"/>
    <n v="0"/>
    <n v="0.1"/>
    <n v="0.1"/>
    <n v="22258"/>
    <s v="SAMV"/>
    <n v="0.48078626201533642"/>
    <s v=""/>
    <s v=""/>
    <s v=""/>
    <n v="16334.244881650011"/>
    <s v="SAL"/>
    <n v="0.35282956867156307"/>
    <n v="5923.7551183499891"/>
    <n v="0.36265864515137586"/>
    <s v=""/>
    <n v="11093.382618320909"/>
    <s v="PRO"/>
    <n v="0.23962377402140425"/>
    <n v="11164.617381679091"/>
    <n v="1.0064213744183435"/>
    <s v="Flagged"/>
    <s v=""/>
    <s v=""/>
    <s v=""/>
    <s v=""/>
    <x v="2"/>
    <n v="22258"/>
    <m/>
    <m/>
    <n v="1"/>
    <s v="Flagged"/>
    <n v="22258"/>
    <m/>
    <n v="11129"/>
    <n v="0"/>
    <n v="0"/>
  </r>
  <r>
    <s v="VenezulanosVE1608"/>
    <s v="Monagas"/>
    <s v="VE16"/>
    <s v="Maturín"/>
    <s v="VE1608"/>
    <m/>
    <n v="554507"/>
    <s v="Venezulanos"/>
    <n v="161344"/>
    <n v="21117.765311778934"/>
    <n v="195646.4656353624"/>
    <n v="43027.272228408598"/>
    <n v="110727.55005107232"/>
    <n v="0"/>
    <n v="35432.816016343146"/>
    <n v="38754.642517875305"/>
    <n v="0.30000000000000004"/>
    <n v="0.05"/>
    <n v="0.35000000000000003"/>
    <n v="0.1"/>
    <n v="0.2"/>
    <n v="0"/>
    <n v="0.05"/>
    <n v="0.05"/>
    <n v="195646.4656353624"/>
    <s v="SAL"/>
    <n v="0.35282956867156301"/>
    <s v=""/>
    <s v=""/>
    <s v=""/>
    <n v="161344"/>
    <s v="SAMV"/>
    <n v="0.29096837370853751"/>
    <n v="34302.465635362401"/>
    <n v="0.21260453215094705"/>
    <s v=""/>
    <n v="110727.55005107232"/>
    <s v="PRO"/>
    <n v="0.19968647835117018"/>
    <n v="84918.91558429008"/>
    <n v="0.76691767807670097"/>
    <s v="Flagged"/>
    <s v=""/>
    <s v=""/>
    <s v=""/>
    <s v=""/>
    <x v="2"/>
    <n v="195646.4656353624"/>
    <m/>
    <m/>
    <n v="1"/>
    <s v="Flagged"/>
    <n v="195646.4656353624"/>
    <m/>
    <n v="97823.232817681201"/>
    <n v="0"/>
    <n v="0"/>
  </r>
  <r>
    <s v="VenezulanosVE1609"/>
    <s v="Monagas"/>
    <s v="VE16"/>
    <s v="Piar"/>
    <s v="VE1609"/>
    <m/>
    <n v="47660"/>
    <s v="Venezulanos"/>
    <n v="36142"/>
    <n v="1875.4144491096331"/>
    <n v="16815.857242886694"/>
    <n v="2571.6372799130027"/>
    <n v="9517.0575582167694"/>
    <n v="0"/>
    <n v="3045.458418629366"/>
    <n v="3330.9701453758694"/>
    <n v="0.75"/>
    <n v="0.05"/>
    <n v="0.35000000000000003"/>
    <n v="0.05"/>
    <n v="0.2"/>
    <n v="0"/>
    <n v="0.05"/>
    <n v="0.05"/>
    <n v="36142"/>
    <s v="SAMV"/>
    <n v="0.75832983634074691"/>
    <s v=""/>
    <s v=""/>
    <s v=""/>
    <n v="16815.857242886694"/>
    <s v="SAL"/>
    <n v="0.35282956867156301"/>
    <n v="19326.142757113306"/>
    <n v="1.1492808530643595"/>
    <s v="Flagged"/>
    <n v="9517.0575582167694"/>
    <s v="PRO"/>
    <n v="0.19968647835117015"/>
    <n v="26624.942441783231"/>
    <n v="2.7976023344311893"/>
    <s v="Flagged"/>
    <s v=""/>
    <s v=""/>
    <s v=""/>
    <s v=""/>
    <x v="2"/>
    <n v="36142"/>
    <m/>
    <m/>
    <n v="2"/>
    <s v="Flagged"/>
    <n v="36142"/>
    <m/>
    <n v="18071"/>
    <n v="0"/>
    <n v="0"/>
  </r>
  <r>
    <s v="VenezulanosVE1610"/>
    <s v="Monagas"/>
    <s v="VE16"/>
    <s v="Punceres"/>
    <s v="VE1610"/>
    <m/>
    <n v="28594"/>
    <s v="Venezulanos"/>
    <n v="8737"/>
    <n v="898.68985601416614"/>
    <n v="10088.808686594672"/>
    <n v="2770.1186547035877"/>
    <n v="5709.8351619733603"/>
    <n v="0"/>
    <n v="1827.1472518314754"/>
    <n v="1998.4423066906759"/>
    <n v="0.30000000000000004"/>
    <n v="0.05"/>
    <n v="0.35000000000000003"/>
    <n v="0.1"/>
    <n v="0.2"/>
    <n v="0"/>
    <n v="0.05"/>
    <n v="0.05"/>
    <n v="10088.808686594672"/>
    <s v="SAL"/>
    <n v="0.35282956867156295"/>
    <s v=""/>
    <s v=""/>
    <s v=""/>
    <n v="8737"/>
    <s v="SAMV"/>
    <n v="0.30555361264600966"/>
    <n v="1351.8086865946716"/>
    <n v="0.15472229444828564"/>
    <s v=""/>
    <n v="5709.8351619733603"/>
    <s v="PRO"/>
    <n v="0.19968647835117018"/>
    <n v="4378.9735246213113"/>
    <n v="0.76691767807670064"/>
    <s v="Flagged"/>
    <s v=""/>
    <s v=""/>
    <s v=""/>
    <s v=""/>
    <x v="2"/>
    <n v="10088.808686594672"/>
    <m/>
    <m/>
    <n v="1"/>
    <s v="Flagged"/>
    <n v="10088.808686594672"/>
    <m/>
    <n v="5044.4043432973358"/>
    <n v="0"/>
    <n v="0"/>
  </r>
  <r>
    <s v="VenezulanosVE1611"/>
    <s v="Monagas"/>
    <s v="VE16"/>
    <s v="Santa Bárbara"/>
    <s v="VE1611"/>
    <m/>
    <n v="10027"/>
    <s v="Venezulanos"/>
    <n v="2005"/>
    <n v="352.89594895911921"/>
    <n v="5584.3528854491988"/>
    <n v="682.39534427035653"/>
    <n v="2402.70758211262"/>
    <n v="0"/>
    <n v="768.8664262760384"/>
    <n v="840.94765373941698"/>
    <n v="0.2"/>
    <n v="0.05"/>
    <n v="0.55000000000000004"/>
    <n v="0.05"/>
    <n v="0.25"/>
    <n v="0"/>
    <n v="0.1"/>
    <n v="0.1"/>
    <n v="5584.3528854491988"/>
    <s v="SAL"/>
    <n v="0.55693157329701792"/>
    <s v=""/>
    <s v=""/>
    <s v=""/>
    <n v="2402.70758211262"/>
    <s v="PRO"/>
    <n v="0.2396237740214042"/>
    <n v="3181.6453033365788"/>
    <n v="1.3241916440531083"/>
    <s v="Flagged"/>
    <n v="2005"/>
    <s v="SAMV"/>
    <n v="0.19996010770918521"/>
    <n v="3579.3528854491988"/>
    <n v="1.7852134092015954"/>
    <s v="Flagged"/>
    <s v=""/>
    <s v=""/>
    <s v=""/>
    <s v=""/>
    <x v="2"/>
    <n v="5584.3528854491988"/>
    <m/>
    <m/>
    <n v="2"/>
    <s v="Flagged"/>
    <n v="5584.3528854491988"/>
    <m/>
    <n v="2792.1764427245994"/>
    <n v="0"/>
    <n v="0"/>
  </r>
  <r>
    <s v="VenezulanosVE1612"/>
    <s v="Monagas"/>
    <s v="VE16"/>
    <s v="Sotillo"/>
    <s v="VE1612"/>
    <m/>
    <n v="24788"/>
    <s v="Venezulanos"/>
    <n v="10099"/>
    <n v="1264.1302403729683"/>
    <n v="8745.9393482307041"/>
    <n v="3127.6448794487815"/>
    <n v="4949.8284253688062"/>
    <n v="0"/>
    <n v="1583.945096118018"/>
    <n v="1732.4399488790818"/>
    <n v="0.4"/>
    <n v="0.05"/>
    <n v="0.35000000000000003"/>
    <n v="0.15000000000000002"/>
    <n v="0.2"/>
    <n v="0"/>
    <n v="0.05"/>
    <n v="0.05"/>
    <n v="10099"/>
    <s v="SAMV"/>
    <n v="0.40741487816685495"/>
    <s v=""/>
    <s v=""/>
    <s v=""/>
    <n v="8745.9393482307041"/>
    <s v="SAL"/>
    <n v="0.35282956867156301"/>
    <n v="1353.0606517692959"/>
    <n v="0.1547072987698021"/>
    <s v=""/>
    <n v="4949.8284253688062"/>
    <s v="PRO"/>
    <n v="0.19968647835117018"/>
    <n v="5149.1715746311938"/>
    <n v="1.0402727392005582"/>
    <s v="Flagged"/>
    <s v=""/>
    <s v=""/>
    <s v=""/>
    <s v=""/>
    <x v="2"/>
    <n v="10099"/>
    <m/>
    <m/>
    <n v="1"/>
    <s v="Flagged"/>
    <n v="10099"/>
    <m/>
    <n v="5049.5"/>
    <n v="0"/>
    <n v="0"/>
  </r>
  <r>
    <s v="VenezulanosVE1613"/>
    <s v="Monagas"/>
    <s v="VE16"/>
    <s v="Uracoa"/>
    <s v="VE1613"/>
    <m/>
    <n v="9836"/>
    <s v="Venezulanos"/>
    <n v="3279"/>
    <n v="750.37548371693617"/>
    <n v="4899.0004858713419"/>
    <n v="1234.5802627612934"/>
    <n v="1178.4697206372657"/>
    <n v="0"/>
    <n v="377.11031060392509"/>
    <n v="412.46440222304295"/>
    <n v="0.35000000000000003"/>
    <n v="0.1"/>
    <n v="0.5"/>
    <n v="0.15000000000000002"/>
    <n v="0.1"/>
    <n v="0"/>
    <n v="0.05"/>
    <n v="0.05"/>
    <n v="4899.0004858713419"/>
    <s v="SAL"/>
    <n v="0.4980683698527188"/>
    <s v=""/>
    <s v=""/>
    <s v=""/>
    <n v="3279"/>
    <s v="SAMV"/>
    <n v="0.33336722244814965"/>
    <n v="1620.0004858713419"/>
    <n v="0.49405321313551143"/>
    <s v=""/>
    <n v="1234.5802627612934"/>
    <s v="EDU"/>
    <n v="0.12551649682404364"/>
    <n v="3664.4202231100485"/>
    <n v="2.9681506611114239"/>
    <s v="Flagged"/>
    <s v=""/>
    <s v=""/>
    <s v=""/>
    <s v=""/>
    <x v="2"/>
    <n v="4899.0004858713419"/>
    <m/>
    <m/>
    <n v="1"/>
    <s v="Flagged"/>
    <n v="4899.0004858713419"/>
    <m/>
    <n v="2449.5002429356709"/>
    <n v="0"/>
    <n v="0"/>
  </r>
  <r>
    <s v="VenezulanosVE1701"/>
    <s v="Nueva Esparta"/>
    <s v="VE17"/>
    <s v="Antolín Del Campo"/>
    <s v="VE1701"/>
    <m/>
    <n v="28930"/>
    <s v="Venezulanos"/>
    <n v="5193"/>
    <n v="828.7233462712943"/>
    <n v="10207.359421668318"/>
    <n v="3703.9087406533395"/>
    <n v="1161.6912499055102"/>
    <n v="17358"/>
    <n v="371.74119996976322"/>
    <n v="406.59193746692858"/>
    <n v="0.2"/>
    <n v="0.05"/>
    <n v="0.35000000000000003"/>
    <n v="0.15000000000000002"/>
    <n v="0.05"/>
    <n v="0.60000000000000009"/>
    <n v="0"/>
    <n v="0"/>
    <n v="17358"/>
    <s v="ASH"/>
    <n v="0.6"/>
    <s v=""/>
    <s v=""/>
    <s v=""/>
    <n v="10207.359421668318"/>
    <s v="SAL"/>
    <n v="0.35282956867156301"/>
    <n v="7150.6405783316823"/>
    <n v="0.70053774761298282"/>
    <s v=""/>
    <n v="5193"/>
    <s v="SAMV"/>
    <n v="0.17950224680262702"/>
    <n v="12165"/>
    <n v="2.3425765453495089"/>
    <s v="Flagged"/>
    <s v=""/>
    <s v=""/>
    <s v=""/>
    <s v=""/>
    <x v="2"/>
    <n v="17358"/>
    <m/>
    <m/>
    <n v="1"/>
    <s v="Flagged"/>
    <n v="17358"/>
    <m/>
    <n v="8679"/>
    <n v="0"/>
    <n v="0"/>
  </r>
  <r>
    <s v="VenezulanosVE1702"/>
    <s v="Nueva Esparta"/>
    <s v="VE17"/>
    <s v="Arismendi"/>
    <s v="VE1702"/>
    <m/>
    <n v="28948"/>
    <s v="Venezulanos"/>
    <n v="2227"/>
    <n v="825.50543134974737"/>
    <n v="10213.710353904406"/>
    <n v="1866.5807147718033"/>
    <n v="5812.0702216150503"/>
    <n v="17368.8"/>
    <n v="1859.8624709168162"/>
    <n v="2034.2245775652677"/>
    <n v="0.1"/>
    <n v="0.05"/>
    <n v="0.35000000000000003"/>
    <n v="0.05"/>
    <n v="0.2"/>
    <n v="0.60000000000000009"/>
    <n v="0.05"/>
    <n v="0.05"/>
    <n v="17368.8"/>
    <s v="ASH"/>
    <n v="0.6"/>
    <s v=""/>
    <s v=""/>
    <s v=""/>
    <n v="10213.710353904406"/>
    <s v="SAL"/>
    <n v="0.35282956867156301"/>
    <n v="7155.0896460955937"/>
    <n v="0.70053774761298282"/>
    <s v=""/>
    <n v="5812.0702216150503"/>
    <s v="PRO"/>
    <n v="0.20077622708356538"/>
    <n v="11556.72977838495"/>
    <n v="1.9884016086738852"/>
    <s v="Flagged"/>
    <s v=""/>
    <s v=""/>
    <s v=""/>
    <s v=""/>
    <x v="2"/>
    <n v="17368.8"/>
    <m/>
    <m/>
    <n v="1"/>
    <s v="Flagged"/>
    <n v="17368.8"/>
    <m/>
    <n v="8684.4"/>
    <n v="0"/>
    <n v="0"/>
  </r>
  <r>
    <s v="VenezulanosVE1703"/>
    <s v="Nueva Esparta"/>
    <s v="VE17"/>
    <s v="Díaz"/>
    <s v="VE1703"/>
    <m/>
    <n v="73078"/>
    <s v="Venezulanos"/>
    <n v="2610"/>
    <n v="1948.696026563121"/>
    <n v="25784.079219380485"/>
    <n v="9683.3668470724515"/>
    <n v="8803.3950736876777"/>
    <n v="43846.799999999996"/>
    <n v="2825.8898186537444"/>
    <n v="3081.1882757906874"/>
    <n v="0.05"/>
    <n v="0.05"/>
    <n v="0.35000000000000003"/>
    <n v="0.15000000000000002"/>
    <n v="0.1"/>
    <n v="0.60000000000000009"/>
    <n v="0.05"/>
    <n v="0.05"/>
    <n v="43846.799999999996"/>
    <s v="ASH"/>
    <n v="0.6"/>
    <s v=""/>
    <s v=""/>
    <s v=""/>
    <n v="25784.079219380485"/>
    <s v="SAL"/>
    <n v="0.35282956867156307"/>
    <n v="18062.720780619511"/>
    <n v="0.70053774761298249"/>
    <s v=""/>
    <n v="9683.3668470724515"/>
    <s v="EDU"/>
    <n v="0.13250727780005545"/>
    <n v="34163.433152927544"/>
    <n v="3.5280531753535795"/>
    <s v="Flagged"/>
    <s v=""/>
    <s v=""/>
    <s v=""/>
    <s v=""/>
    <x v="2"/>
    <n v="43846.799999999996"/>
    <m/>
    <m/>
    <n v="1"/>
    <s v="Flagged"/>
    <n v="43846.799999999996"/>
    <m/>
    <n v="21923.399999999998"/>
    <n v="0"/>
    <n v="0"/>
  </r>
  <r>
    <s v="VenezulanosVE1704"/>
    <s v="Nueva Esparta"/>
    <s v="VE17"/>
    <s v="García"/>
    <s v="VE1704"/>
    <m/>
    <n v="70041"/>
    <s v="Venezulanos"/>
    <n v="15565"/>
    <n v="1866.381352977661"/>
    <n v="24712.535819324945"/>
    <n v="9979.9957340485653"/>
    <n v="8437.5406326960037"/>
    <n v="42024.6"/>
    <n v="2700.0130024627215"/>
    <n v="2953.1392214436009"/>
    <n v="0.2"/>
    <n v="0.05"/>
    <n v="0.35000000000000003"/>
    <n v="0.15000000000000002"/>
    <n v="0.1"/>
    <n v="0.60000000000000009"/>
    <n v="0.05"/>
    <n v="0.05"/>
    <n v="42024.6"/>
    <s v="ASH"/>
    <n v="0.6"/>
    <s v=""/>
    <s v=""/>
    <s v=""/>
    <n v="24712.535819324945"/>
    <s v="SAL"/>
    <n v="0.35282956867156301"/>
    <n v="17312.064180675054"/>
    <n v="0.70053774761298271"/>
    <s v=""/>
    <n v="15565"/>
    <s v="SAMV"/>
    <n v="0.22222698133950114"/>
    <n v="26459.599999999999"/>
    <n v="1.6999421779633792"/>
    <s v="Flagged"/>
    <s v=""/>
    <s v=""/>
    <s v=""/>
    <s v=""/>
    <x v="2"/>
    <n v="42024.6"/>
    <m/>
    <m/>
    <n v="1"/>
    <s v="Flagged"/>
    <n v="42024.6"/>
    <m/>
    <n v="21012.3"/>
    <n v="0"/>
    <n v="0"/>
  </r>
  <r>
    <s v="VenezulanosVE1705"/>
    <s v="Nueva Esparta"/>
    <s v="VE17"/>
    <s v="Gómez"/>
    <s v="VE1705"/>
    <m/>
    <n v="41323"/>
    <s v="Venezulanos"/>
    <n v="5165"/>
    <n v="1201.0811480764187"/>
    <n v="14579.976266215001"/>
    <n v="5321.9602595917095"/>
    <n v="4978.0056190645055"/>
    <n v="24793.8"/>
    <n v="1592.9617981006418"/>
    <n v="1742.3019666725768"/>
    <n v="0.1"/>
    <n v="0.05"/>
    <n v="0.35000000000000003"/>
    <n v="0.15000000000000002"/>
    <n v="0.1"/>
    <n v="0.60000000000000009"/>
    <n v="0.05"/>
    <n v="0.05"/>
    <n v="24793.8"/>
    <s v="ASH"/>
    <n v="0.6"/>
    <s v=""/>
    <s v=""/>
    <s v=""/>
    <n v="14579.976266215001"/>
    <s v="SAL"/>
    <n v="0.35282956867156307"/>
    <n v="10213.823733784999"/>
    <n v="0.70053774761298249"/>
    <s v=""/>
    <n v="5321.9602595917095"/>
    <s v="EDU"/>
    <n v="0.12878930037973307"/>
    <n v="19471.83974040829"/>
    <n v="3.6587721047548993"/>
    <s v="Flagged"/>
    <s v=""/>
    <s v=""/>
    <s v=""/>
    <s v=""/>
    <x v="3"/>
    <n v="0"/>
    <m/>
    <m/>
    <n v="1"/>
    <s v="Flagged"/>
    <n v="0"/>
    <m/>
    <n v="0"/>
    <n v="0"/>
    <n v="0"/>
  </r>
  <r>
    <s v="VenezulanosVE1706"/>
    <s v="Nueva Esparta"/>
    <s v="VE17"/>
    <s v="Maneiro"/>
    <s v="VE1706"/>
    <m/>
    <n v="50050"/>
    <s v="Venezulanos"/>
    <n v="8008"/>
    <n v="1364.7572244034973"/>
    <n v="17659.119912011727"/>
    <n v="6015.0133949058263"/>
    <n v="2009.7700331064902"/>
    <n v="30030"/>
    <n v="643.1264105940769"/>
    <n v="703.41951158727159"/>
    <n v="0.15000000000000002"/>
    <n v="0.05"/>
    <n v="0.35000000000000003"/>
    <n v="0.1"/>
    <n v="0.05"/>
    <n v="0.60000000000000009"/>
    <n v="0"/>
    <n v="0"/>
    <n v="30030"/>
    <s v="ASH"/>
    <n v="0.6"/>
    <s v=""/>
    <s v=""/>
    <s v=""/>
    <n v="17659.119912011727"/>
    <s v="SAL"/>
    <n v="0.35282956867156295"/>
    <n v="12370.880087988273"/>
    <n v="0.70053774761298293"/>
    <s v=""/>
    <n v="8008"/>
    <s v="SAMV"/>
    <n v="0.16"/>
    <n v="22022"/>
    <n v="2.75"/>
    <s v="Flagged"/>
    <s v=""/>
    <s v=""/>
    <s v=""/>
    <s v=""/>
    <x v="2"/>
    <n v="30030"/>
    <m/>
    <m/>
    <n v="1"/>
    <s v="Flagged"/>
    <n v="30030"/>
    <m/>
    <n v="15015"/>
    <n v="0"/>
    <n v="0"/>
  </r>
  <r>
    <s v="VenezulanosVE1707"/>
    <s v="Nueva Esparta"/>
    <s v="VE17"/>
    <s v="Marcano"/>
    <s v="VE1707"/>
    <m/>
    <n v="36496"/>
    <s v="Venezulanos"/>
    <n v="5725"/>
    <n v="1042.5382410310722"/>
    <n v="12876.867938237365"/>
    <n v="2403.5124428855265"/>
    <n v="1465.5058367283609"/>
    <n v="21897.599999999999"/>
    <n v="470.42737358980389"/>
    <n v="512.9270428549263"/>
    <n v="0.15000000000000002"/>
    <n v="0.05"/>
    <n v="0.35000000000000003"/>
    <n v="0.05"/>
    <n v="0.05"/>
    <n v="0.60000000000000009"/>
    <n v="0"/>
    <n v="0"/>
    <n v="21897.599999999999"/>
    <s v="ASH"/>
    <n v="0.6"/>
    <s v=""/>
    <s v=""/>
    <s v=""/>
    <n v="12876.867938237365"/>
    <s v="SAL"/>
    <n v="0.35282956867156307"/>
    <n v="9020.7320617626337"/>
    <n v="0.70053774761298249"/>
    <s v=""/>
    <n v="5725"/>
    <s v="SAMV"/>
    <n v="0.15686650591845683"/>
    <n v="16172.599999999999"/>
    <n v="2.8249082969432311"/>
    <s v="Flagged"/>
    <s v=""/>
    <s v=""/>
    <s v=""/>
    <s v=""/>
    <x v="2"/>
    <n v="21897.599999999999"/>
    <m/>
    <m/>
    <n v="1"/>
    <s v="Flagged"/>
    <n v="21897.599999999999"/>
    <m/>
    <n v="10948.8"/>
    <n v="0"/>
    <n v="0"/>
  </r>
  <r>
    <s v="VenezulanosVE1708"/>
    <s v="Nueva Esparta"/>
    <s v="VE17"/>
    <s v="Mariño"/>
    <s v="VE1708"/>
    <m/>
    <n v="99867"/>
    <s v="Venezulanos"/>
    <n v="19419"/>
    <n v="2890.6980307975059"/>
    <n v="35236.030534522986"/>
    <n v="6781.7569346061528"/>
    <n v="12030.551682092657"/>
    <n v="59920.2"/>
    <n v="3849.7765382696502"/>
    <n v="4210.6930887324297"/>
    <n v="0.2"/>
    <n v="0.05"/>
    <n v="0.35000000000000003"/>
    <n v="0.05"/>
    <n v="0.1"/>
    <n v="0.60000000000000009"/>
    <n v="0.05"/>
    <n v="0.05"/>
    <n v="59920.2"/>
    <s v="ASH"/>
    <n v="0.6"/>
    <s v=""/>
    <s v=""/>
    <s v=""/>
    <n v="35236.030534522986"/>
    <s v="SAL"/>
    <n v="0.35282956867156307"/>
    <n v="24684.169465477011"/>
    <n v="0.7005377476129826"/>
    <s v=""/>
    <n v="19419"/>
    <s v="SAMV"/>
    <n v="0.194448616660158"/>
    <n v="40501.199999999997"/>
    <n v="2.0856480766259846"/>
    <s v="Flagged"/>
    <s v=""/>
    <s v=""/>
    <s v=""/>
    <s v=""/>
    <x v="2"/>
    <n v="59920.2"/>
    <m/>
    <m/>
    <n v="1"/>
    <s v="Flagged"/>
    <n v="59920.2"/>
    <m/>
    <n v="29960.1"/>
    <n v="0"/>
    <n v="0"/>
  </r>
  <r>
    <s v="VenezulanosVE1709"/>
    <s v="Nueva Esparta"/>
    <s v="VE17"/>
    <s v="Península De Macanao"/>
    <s v="VE1709"/>
    <m/>
    <n v="27023"/>
    <s v="Venezulanos"/>
    <n v="450"/>
    <n v="1000.7781082326004"/>
    <n v="9534.5134342116471"/>
    <n v="1166.3467736388704"/>
    <n v="1085.1151968958382"/>
    <n v="3648.105"/>
    <n v="347.23686300666822"/>
    <n v="379.79031891354339"/>
    <n v="0"/>
    <n v="0.05"/>
    <n v="0.35000000000000003"/>
    <n v="0.05"/>
    <n v="0.05"/>
    <n v="0.15000000000000002"/>
    <n v="0"/>
    <n v="0"/>
    <n v="9534.5134342116471"/>
    <s v="SAL"/>
    <n v="0.35282956867156301"/>
    <s v=""/>
    <s v=""/>
    <s v=""/>
    <n v="3648.105"/>
    <s v="ASH"/>
    <n v="0.13500000000000001"/>
    <n v="5886.4084342116475"/>
    <n v="1.6135523605300965"/>
    <s v="Flagged"/>
    <n v="1166.3467736388704"/>
    <s v="EDU"/>
    <n v="4.3161261652624447E-2"/>
    <n v="8368.1666605727769"/>
    <n v="7.1746815352907785"/>
    <s v="Flagged"/>
    <s v=""/>
    <s v=""/>
    <s v=""/>
    <s v=""/>
    <x v="3"/>
    <n v="0"/>
    <m/>
    <m/>
    <n v="2"/>
    <s v="Flagged"/>
    <n v="0"/>
    <m/>
    <n v="0"/>
    <n v="0"/>
    <n v="0"/>
  </r>
  <r>
    <s v="VenezulanosVE1710"/>
    <s v="Nueva Esparta"/>
    <s v="VE17"/>
    <s v="Tubores"/>
    <s v="VE1710"/>
    <m/>
    <n v="37758"/>
    <s v="Venezulanos"/>
    <n v="0"/>
    <n v="1103.2166846083849"/>
    <n v="13322.138853900879"/>
    <n v="2402.4245040400083"/>
    <n v="4548.5452693327561"/>
    <n v="22654.799999999999"/>
    <n v="1455.5344861864819"/>
    <n v="1591.9908442664644"/>
    <n v="0"/>
    <n v="0.05"/>
    <n v="0.35000000000000003"/>
    <n v="0.05"/>
    <n v="0.1"/>
    <n v="0.60000000000000009"/>
    <n v="0.05"/>
    <n v="0.05"/>
    <n v="22654.799999999999"/>
    <s v="ASH"/>
    <n v="0.6"/>
    <s v=""/>
    <s v=""/>
    <s v=""/>
    <n v="13322.138853900879"/>
    <s v="SAL"/>
    <n v="0.35282956867156307"/>
    <n v="9332.6611460991207"/>
    <n v="0.70053774761298249"/>
    <s v=""/>
    <n v="4548.5452693327561"/>
    <s v="PRO"/>
    <n v="0.1204657362501392"/>
    <n v="18106.254730667242"/>
    <n v="3.9806693477898087"/>
    <s v="Flagged"/>
    <s v=""/>
    <s v=""/>
    <s v=""/>
    <s v=""/>
    <x v="3"/>
    <n v="0"/>
    <m/>
    <m/>
    <n v="1"/>
    <s v="Flagged"/>
    <n v="0"/>
    <m/>
    <n v="0"/>
    <n v="0"/>
    <n v="0"/>
  </r>
  <r>
    <s v="VenezulanosVE1711"/>
    <s v="Nueva Esparta"/>
    <s v="VE17"/>
    <s v="Villalba"/>
    <s v="VE1711"/>
    <m/>
    <n v="9182"/>
    <s v="Venezulanos"/>
    <n v="874"/>
    <n v="283.07551045075127"/>
    <n v="3239.6810995422916"/>
    <n v="548.50316720818068"/>
    <n v="368.70546341625953"/>
    <n v="5509.2"/>
    <n v="117.98574829320305"/>
    <n v="129.04691219569082"/>
    <n v="0.1"/>
    <n v="0.05"/>
    <n v="0.35000000000000003"/>
    <n v="0.05"/>
    <n v="0.05"/>
    <n v="0.60000000000000009"/>
    <n v="0"/>
    <n v="0"/>
    <n v="5509.2"/>
    <s v="ASH"/>
    <n v="0.6"/>
    <s v=""/>
    <s v=""/>
    <s v=""/>
    <n v="3239.6810995422916"/>
    <s v="SAL"/>
    <n v="0.35282956867156301"/>
    <n v="2269.5189004577082"/>
    <n v="0.70053774761298271"/>
    <s v=""/>
    <n v="874"/>
    <s v="SAMV"/>
    <n v="9.5186233935961664E-2"/>
    <n v="4635.2"/>
    <n v="5.3034324942791757"/>
    <s v="Flagged"/>
    <s v=""/>
    <s v=""/>
    <s v=""/>
    <s v=""/>
    <x v="3"/>
    <n v="0"/>
    <m/>
    <m/>
    <n v="1"/>
    <s v="Flagged"/>
    <n v="0"/>
    <m/>
    <n v="0"/>
    <n v="0"/>
    <n v="0"/>
  </r>
  <r>
    <s v="VenezulanosVE1801"/>
    <s v="Portuguesa"/>
    <s v="VE18"/>
    <s v="Agua Blanca"/>
    <s v="VE1801"/>
    <m/>
    <n v="21185"/>
    <s v="Venezulanos"/>
    <n v="11556"/>
    <n v="790.32703456896263"/>
    <n v="7474.6944123070625"/>
    <n v="1456.9017377648943"/>
    <n v="2009.9342229665276"/>
    <n v="0"/>
    <n v="643.17895134928881"/>
    <n v="703.47697803828476"/>
    <n v="0.55000000000000004"/>
    <n v="0.05"/>
    <n v="0.35000000000000003"/>
    <n v="0.05"/>
    <n v="0.1"/>
    <n v="0"/>
    <n v="0.05"/>
    <n v="0.05"/>
    <n v="11556"/>
    <s v="SAMV"/>
    <n v="0.54548029265990083"/>
    <s v=""/>
    <s v=""/>
    <s v=""/>
    <n v="7474.6944123070625"/>
    <s v="SAL"/>
    <n v="0.35282956867156301"/>
    <n v="4081.3055876929375"/>
    <n v="0.54601638041189748"/>
    <s v=""/>
    <n v="2009.9342229665276"/>
    <s v="PRO"/>
    <n v="9.4875346847605735E-2"/>
    <n v="9546.0657770334728"/>
    <n v="4.7494418812094867"/>
    <s v="Flagged"/>
    <s v=""/>
    <s v=""/>
    <s v=""/>
    <s v=""/>
    <x v="3"/>
    <n v="0"/>
    <m/>
    <m/>
    <n v="1"/>
    <s v="Flagged"/>
    <n v="0"/>
    <m/>
    <n v="0"/>
    <n v="0"/>
    <n v="0"/>
  </r>
  <r>
    <s v="VenezulanosVE1802"/>
    <s v="Portuguesa"/>
    <s v="VE18"/>
    <s v="Araure"/>
    <s v="VE1802"/>
    <m/>
    <n v="154747"/>
    <s v="Venezulanos"/>
    <n v="71091"/>
    <n v="10325.885254931716"/>
    <n v="54599.31726321837"/>
    <n v="14899.692363806806"/>
    <n v="29363.350597252887"/>
    <n v="69636.150000000009"/>
    <n v="9396.2721911209246"/>
    <n v="10277.17270903851"/>
    <n v="0.45"/>
    <n v="0.05"/>
    <n v="0.35000000000000003"/>
    <n v="0.1"/>
    <n v="0.2"/>
    <n v="0.45"/>
    <n v="0.05"/>
    <n v="0.05"/>
    <n v="71091"/>
    <s v="SAMV"/>
    <n v="0.45940147466509851"/>
    <s v=""/>
    <s v=""/>
    <s v=""/>
    <n v="69636.150000000009"/>
    <s v="ASH"/>
    <n v="0.45000000000000007"/>
    <n v="1454.8499999999913"/>
    <n v="2.0892165922441017E-2"/>
    <s v=""/>
    <n v="54599.31726321837"/>
    <s v="SAL"/>
    <n v="0.35282956867156307"/>
    <n v="16491.68273678163"/>
    <n v="0.30204924829511548"/>
    <s v=""/>
    <s v=""/>
    <s v=""/>
    <s v=""/>
    <s v=""/>
    <x v="2"/>
    <n v="71091"/>
    <m/>
    <m/>
    <n v="0"/>
    <s v=""/>
    <n v="71091"/>
    <m/>
    <n v="35545.5"/>
    <n v="0"/>
    <n v="0"/>
  </r>
  <r>
    <s v="VenezulanosVE1803"/>
    <s v="Portuguesa"/>
    <s v="VE18"/>
    <s v="Esteller"/>
    <s v="VE1803"/>
    <m/>
    <n v="45965"/>
    <s v="Venezulanos"/>
    <n v="29434"/>
    <n v="1302.5412101897991"/>
    <n v="16217.811123988393"/>
    <n v="3212.9177316097021"/>
    <n v="7268.2421964169953"/>
    <n v="0"/>
    <n v="2325.8375028534383"/>
    <n v="2543.8847687459483"/>
    <n v="0.65"/>
    <n v="0.05"/>
    <n v="0.35000000000000003"/>
    <n v="0.05"/>
    <n v="0.15000000000000002"/>
    <n v="0"/>
    <n v="0.05"/>
    <n v="0.05"/>
    <n v="29434"/>
    <s v="SAMV"/>
    <n v="0.64035679321222672"/>
    <s v=""/>
    <s v=""/>
    <s v=""/>
    <n v="16217.811123988393"/>
    <s v="SAL"/>
    <n v="0.35282956867156301"/>
    <n v="13216.188876011607"/>
    <n v="0.81491816466298772"/>
    <s v=""/>
    <n v="7268.2421964169953"/>
    <s v="PRO"/>
    <n v="0.15812557807934288"/>
    <n v="22165.757803583005"/>
    <n v="3.0496724248553515"/>
    <s v="Flagged"/>
    <s v=""/>
    <s v=""/>
    <s v=""/>
    <s v=""/>
    <x v="2"/>
    <n v="29434"/>
    <m/>
    <m/>
    <n v="1"/>
    <s v="Flagged"/>
    <n v="29434"/>
    <m/>
    <n v="14717"/>
    <n v="0"/>
    <n v="0"/>
  </r>
  <r>
    <s v="VenezulanosVE1804"/>
    <s v="Portuguesa"/>
    <s v="VE18"/>
    <s v="Guanare"/>
    <s v="VE1804"/>
    <m/>
    <n v="196996"/>
    <s v="Venezulanos"/>
    <n v="107958"/>
    <n v="8696.0417474611477"/>
    <n v="69506.013710023224"/>
    <n v="17762.778481389076"/>
    <n v="18690.063827590944"/>
    <n v="0"/>
    <n v="5980.8204248291022"/>
    <n v="6541.5223396568299"/>
    <n v="0.55000000000000004"/>
    <n v="0.05"/>
    <n v="0.35000000000000003"/>
    <n v="0.1"/>
    <n v="0.1"/>
    <n v="0"/>
    <n v="0.05"/>
    <n v="0.05"/>
    <n v="107958"/>
    <s v="SAMV"/>
    <n v="0.54802127961989078"/>
    <s v=""/>
    <s v=""/>
    <s v=""/>
    <n v="69506.013710023224"/>
    <s v="SAL"/>
    <n v="0.35282956867156301"/>
    <n v="38451.986289976776"/>
    <n v="0.55321812081465616"/>
    <s v=""/>
    <n v="18690.063827590944"/>
    <s v="PRO"/>
    <n v="9.4875346847605763E-2"/>
    <n v="89267.936172409056"/>
    <n v="4.7762242545490148"/>
    <s v="Flagged"/>
    <s v=""/>
    <s v=""/>
    <s v=""/>
    <s v=""/>
    <x v="2"/>
    <n v="107958"/>
    <m/>
    <m/>
    <n v="1"/>
    <s v="Flagged"/>
    <n v="107958"/>
    <m/>
    <n v="53979"/>
    <n v="0"/>
    <n v="0"/>
  </r>
  <r>
    <s v="VenezulanosVE1805"/>
    <s v="Portuguesa"/>
    <s v="VE18"/>
    <s v="Guanarito"/>
    <s v="VE1805"/>
    <m/>
    <n v="38403"/>
    <s v="Venezulanos"/>
    <n v="18840.6878"/>
    <n v="1664.5379794024445"/>
    <n v="13549.713925694035"/>
    <n v="1829.0919414811497"/>
    <n v="1214.4993149962011"/>
    <n v="0"/>
    <n v="388.63978079878439"/>
    <n v="425.07476024867037"/>
    <n v="0.5"/>
    <n v="0.05"/>
    <n v="0.35000000000000003"/>
    <n v="0.05"/>
    <n v="0.05"/>
    <n v="0"/>
    <n v="0"/>
    <n v="0"/>
    <n v="18840.6878"/>
    <s v="SAMV"/>
    <n v="0.49060458297528836"/>
    <s v=""/>
    <s v=""/>
    <s v=""/>
    <n v="13549.713925694035"/>
    <s v="SAL"/>
    <n v="0.35282956867156307"/>
    <n v="5290.9738743059643"/>
    <n v="0.39048602083567258"/>
    <s v=""/>
    <n v="1829.0919414811497"/>
    <s v="EDU"/>
    <n v="4.7628881636360434E-2"/>
    <n v="17011.595858518849"/>
    <n v="9.3005690270240411"/>
    <s v="Flagged"/>
    <s v=""/>
    <s v=""/>
    <s v=""/>
    <s v=""/>
    <x v="3"/>
    <n v="0"/>
    <m/>
    <m/>
    <n v="1"/>
    <s v="Flagged"/>
    <n v="0"/>
    <m/>
    <n v="0"/>
    <n v="0"/>
    <n v="0"/>
  </r>
  <r>
    <s v="VenezulanosVE1806"/>
    <s v="Portuguesa"/>
    <s v="VE18"/>
    <s v="Monseñor José Vicente De Unda"/>
    <s v="VE1806"/>
    <m/>
    <n v="24287"/>
    <s v="Venezulanos"/>
    <n v="9445"/>
    <n v="1096.4043039980627"/>
    <n v="8569.1717343262517"/>
    <n v="4128.5936195182403"/>
    <n v="3840.3959148130007"/>
    <n v="0"/>
    <n v="1228.9266927401602"/>
    <n v="1344.1385701845502"/>
    <n v="0.4"/>
    <n v="0.05"/>
    <n v="0.35000000000000003"/>
    <n v="0.15000000000000002"/>
    <n v="0.15000000000000002"/>
    <n v="0"/>
    <n v="0.05"/>
    <n v="0.05"/>
    <n v="9445"/>
    <s v="SAMV"/>
    <n v="0.38889117634948739"/>
    <s v=""/>
    <s v=""/>
    <s v=""/>
    <n v="8569.1717343262517"/>
    <s v="SAL"/>
    <n v="0.35282956867156307"/>
    <n v="875.82826567374832"/>
    <n v="0.10220687515986748"/>
    <s v=""/>
    <n v="4128.5936195182403"/>
    <s v="EDU"/>
    <n v="0.1699919141729419"/>
    <n v="5316.4063804817597"/>
    <n v="1.2877039666360099"/>
    <s v="Flagged"/>
    <s v=""/>
    <s v=""/>
    <s v=""/>
    <s v=""/>
    <x v="2"/>
    <n v="9445"/>
    <m/>
    <m/>
    <n v="1"/>
    <s v="Flagged"/>
    <n v="9445"/>
    <m/>
    <n v="4722.5"/>
    <n v="0"/>
    <n v="0"/>
  </r>
  <r>
    <s v="VenezulanosVE1807"/>
    <s v="Portuguesa"/>
    <s v="VE18"/>
    <s v="Ospino"/>
    <s v="VE1807"/>
    <m/>
    <n v="50334"/>
    <s v="Venezulanos"/>
    <n v="22117"/>
    <n v="1747.0312648443976"/>
    <n v="17759.323509514452"/>
    <n v="2612.3250879443831"/>
    <n v="7959.0928470456447"/>
    <n v="0"/>
    <n v="2554.868803901652"/>
    <n v="2785.6824964659754"/>
    <n v="0.45"/>
    <n v="0.05"/>
    <n v="0.35000000000000003"/>
    <n v="0.05"/>
    <n v="0.15000000000000002"/>
    <n v="0"/>
    <n v="0.05"/>
    <n v="0.05"/>
    <n v="22117"/>
    <s v="SAMV"/>
    <n v="0.43940477609568085"/>
    <s v=""/>
    <s v=""/>
    <s v=""/>
    <n v="17759.323509514452"/>
    <s v="SAL"/>
    <n v="0.35282956867156301"/>
    <n v="4357.6764904855481"/>
    <n v="0.24537401372022694"/>
    <s v=""/>
    <n v="7959.0928470456447"/>
    <s v="PRO"/>
    <n v="0.15812557807934288"/>
    <n v="14157.907152954354"/>
    <n v="1.7788342748394577"/>
    <s v="Flagged"/>
    <s v=""/>
    <s v=""/>
    <s v=""/>
    <s v=""/>
    <x v="2"/>
    <n v="22117"/>
    <m/>
    <m/>
    <n v="1"/>
    <s v="Flagged"/>
    <n v="22117"/>
    <m/>
    <n v="11058.5"/>
    <n v="0"/>
    <n v="0"/>
  </r>
  <r>
    <s v="VenezulanosVE1808"/>
    <s v="Portuguesa"/>
    <s v="VE18"/>
    <s v="Páez"/>
    <s v="VE1808"/>
    <m/>
    <n v="181169"/>
    <s v="Venezulanos"/>
    <n v="72468"/>
    <n v="6790.738386966309"/>
    <n v="63921.780126658407"/>
    <n v="15418.335225793078"/>
    <n v="34376.943426067759"/>
    <n v="0"/>
    <n v="11000.621896341683"/>
    <n v="12031.930199123717"/>
    <n v="0.4"/>
    <n v="0.05"/>
    <n v="0.35000000000000003"/>
    <n v="0.1"/>
    <n v="0.2"/>
    <n v="0"/>
    <n v="0.05"/>
    <n v="0.05"/>
    <n v="72468"/>
    <s v="SAMV"/>
    <n v="0.40000220788324714"/>
    <s v=""/>
    <s v=""/>
    <s v=""/>
    <n v="63921.780126658407"/>
    <s v="SAL"/>
    <n v="0.35282956867156307"/>
    <n v="8546.2198733415935"/>
    <n v="0.13369808938999519"/>
    <s v=""/>
    <n v="34376.943426067759"/>
    <s v="PRO"/>
    <n v="0.18975069369521141"/>
    <n v="38091.056573932241"/>
    <n v="1.108040819738735"/>
    <s v="Flagged"/>
    <s v=""/>
    <s v=""/>
    <s v=""/>
    <s v=""/>
    <x v="3"/>
    <n v="0"/>
    <m/>
    <m/>
    <n v="1"/>
    <s v="Flagged"/>
    <n v="0"/>
    <m/>
    <n v="0"/>
    <n v="0"/>
    <n v="0"/>
  </r>
  <r>
    <s v="VenezulanosVE1809"/>
    <s v="Portuguesa"/>
    <s v="VE18"/>
    <s v="Papelón"/>
    <s v="VE1809"/>
    <m/>
    <n v="16550"/>
    <s v="Venezulanos"/>
    <n v="7586"/>
    <n v="898.4298243468595"/>
    <n v="6409.3141071632845"/>
    <n v="1075.9238296589212"/>
    <n v="1570.1869903278748"/>
    <n v="0"/>
    <n v="504.03002389524778"/>
    <n v="549.56544661475607"/>
    <n v="0.45"/>
    <n v="0.05"/>
    <n v="0.4"/>
    <n v="0.05"/>
    <n v="0.1"/>
    <n v="0"/>
    <n v="0.05"/>
    <n v="0.05"/>
    <n v="7586"/>
    <s v="SAMV"/>
    <n v="0.45836858006042297"/>
    <s v=""/>
    <s v=""/>
    <s v=""/>
    <n v="6409.3141071632845"/>
    <s v="SAL"/>
    <n v="0.38726973457179964"/>
    <n v="1176.6858928367155"/>
    <n v="0.18358998687887806"/>
    <s v=""/>
    <n v="1570.1869903278748"/>
    <s v="PRO"/>
    <n v="9.4875346847605735E-2"/>
    <n v="6015.8130096721252"/>
    <n v="3.8312717190555423"/>
    <s v="Flagged"/>
    <s v=""/>
    <s v=""/>
    <s v=""/>
    <s v=""/>
    <x v="3"/>
    <n v="0"/>
    <m/>
    <m/>
    <n v="1"/>
    <s v="Flagged"/>
    <n v="0"/>
    <m/>
    <n v="0"/>
    <n v="0"/>
    <n v="0"/>
  </r>
  <r>
    <s v="VenezulanosVE1810"/>
    <s v="Portuguesa"/>
    <s v="VE18"/>
    <s v="San Genaro De Boconoíto"/>
    <s v="VE1810"/>
    <m/>
    <n v="24296"/>
    <s v="Venezulanos"/>
    <n v="8467"/>
    <n v="1319.2623032302058"/>
    <n v="8572.3472004442956"/>
    <n v="1225.8096815621477"/>
    <n v="2305.091427009429"/>
    <n v="0"/>
    <n v="737.62925664301724"/>
    <n v="806.78199945330005"/>
    <n v="0.35000000000000003"/>
    <n v="0.05"/>
    <n v="0.35000000000000003"/>
    <n v="0.05"/>
    <n v="0.1"/>
    <n v="0"/>
    <n v="0.05"/>
    <n v="0.05"/>
    <n v="8572.3472004442956"/>
    <s v="SAL"/>
    <n v="0.35282956867156307"/>
    <s v=""/>
    <s v=""/>
    <s v=""/>
    <n v="8467"/>
    <s v="SAMV"/>
    <n v="0.34849357918999013"/>
    <n v="105.34720044429559"/>
    <n v="1.2442092883464697E-2"/>
    <s v=""/>
    <n v="2305.091427009429"/>
    <s v="PRO"/>
    <n v="9.4875346847605735E-2"/>
    <n v="6267.2557734348666"/>
    <n v="2.7188751387470367"/>
    <s v="Flagged"/>
    <s v=""/>
    <s v=""/>
    <s v=""/>
    <s v=""/>
    <x v="2"/>
    <n v="8572.3472004442956"/>
    <m/>
    <m/>
    <n v="1"/>
    <s v="Flagged"/>
    <n v="8572.3472004442956"/>
    <m/>
    <n v="4286.1736002221478"/>
    <n v="0"/>
    <n v="0"/>
  </r>
  <r>
    <s v="VenezulanosVE1811"/>
    <s v="Portuguesa"/>
    <s v="VE18"/>
    <s v="San Rafael De Onoto"/>
    <s v="VE1811"/>
    <m/>
    <n v="18020"/>
    <s v="Venezulanos"/>
    <n v="13015"/>
    <n v="804.34030044827784"/>
    <n v="6357.988827461566"/>
    <n v="936.40127438740296"/>
    <n v="1709.6537501938551"/>
    <n v="0"/>
    <n v="547.08920006203368"/>
    <n v="598.3788125678492"/>
    <n v="0.70000000000000007"/>
    <n v="0.05"/>
    <n v="0.35000000000000003"/>
    <n v="0.05"/>
    <n v="0.1"/>
    <n v="0"/>
    <n v="0.05"/>
    <n v="0.05"/>
    <n v="13015"/>
    <s v="SAMV"/>
    <n v="0.72225305216426194"/>
    <s v=""/>
    <s v=""/>
    <s v=""/>
    <n v="6357.988827461566"/>
    <s v="SAL"/>
    <n v="0.35282956867156307"/>
    <n v="6657.011172538434"/>
    <n v="1.0470309642233602"/>
    <s v="Flagged"/>
    <n v="1709.6537501938551"/>
    <s v="PRO"/>
    <n v="9.4875346847605721E-2"/>
    <n v="11305.346249806145"/>
    <n v="6.6126525610956302"/>
    <s v="Flagged"/>
    <s v=""/>
    <s v=""/>
    <s v=""/>
    <s v=""/>
    <x v="2"/>
    <n v="13015"/>
    <m/>
    <m/>
    <n v="2"/>
    <s v="Flagged"/>
    <n v="13015"/>
    <m/>
    <n v="6507.5"/>
    <n v="0"/>
    <n v="0"/>
  </r>
  <r>
    <s v="VenezulanosVE1812"/>
    <s v="Portuguesa"/>
    <s v="VE18"/>
    <s v="Santa Rosalía"/>
    <s v="VE1812"/>
    <m/>
    <n v="18002"/>
    <s v="Venezulanos"/>
    <n v="7125"/>
    <n v="576.86059030059187"/>
    <n v="6351.6378952254781"/>
    <n v="607.0968860992474"/>
    <n v="2846.5766565843305"/>
    <n v="0"/>
    <n v="910.90453010698582"/>
    <n v="996.30182980451559"/>
    <n v="0.4"/>
    <n v="0.05"/>
    <n v="0.35000000000000003"/>
    <n v="0.05"/>
    <n v="0.15000000000000002"/>
    <n v="0"/>
    <n v="0.05"/>
    <n v="0.05"/>
    <n v="7125"/>
    <s v="SAMV"/>
    <n v="0.3957893567381402"/>
    <s v=""/>
    <s v=""/>
    <s v=""/>
    <n v="6351.6378952254781"/>
    <s v="SAL"/>
    <n v="0.35282956867156307"/>
    <n v="773.36210477452187"/>
    <n v="0.12175790206111366"/>
    <s v=""/>
    <n v="2846.5766565843305"/>
    <s v="PRO"/>
    <n v="0.15812557807934288"/>
    <n v="4278.4233434156695"/>
    <n v="1.5030065442008658"/>
    <s v="Flagged"/>
    <s v=""/>
    <s v=""/>
    <s v=""/>
    <s v=""/>
    <x v="2"/>
    <n v="7125"/>
    <m/>
    <m/>
    <n v="1"/>
    <s v="Flagged"/>
    <n v="7125"/>
    <m/>
    <n v="3562.5"/>
    <n v="0"/>
    <n v="0"/>
  </r>
  <r>
    <s v="VenezulanosVE1813"/>
    <s v="Portuguesa"/>
    <s v="VE18"/>
    <s v="Sucre"/>
    <s v="VE1813"/>
    <m/>
    <n v="41965"/>
    <s v="Venezulanos"/>
    <n v="22381"/>
    <n v="1706.8130058593465"/>
    <n v="14806.492849302142"/>
    <n v="1612.6245805246131"/>
    <n v="3981.4439304597754"/>
    <n v="0"/>
    <n v="1274.0620577471282"/>
    <n v="1393.5053756609209"/>
    <n v="0.55000000000000004"/>
    <n v="0.05"/>
    <n v="0.35000000000000003"/>
    <n v="0.05"/>
    <n v="0.1"/>
    <n v="0"/>
    <n v="0.05"/>
    <n v="0.05"/>
    <n v="22381"/>
    <s v="SAMV"/>
    <n v="0.53332539020612413"/>
    <s v=""/>
    <s v=""/>
    <s v=""/>
    <n v="14806.492849302142"/>
    <s v="SAL"/>
    <n v="0.35282956867156301"/>
    <n v="7574.5071506978584"/>
    <n v="0.51156659634322921"/>
    <s v=""/>
    <n v="3981.4439304597754"/>
    <s v="PRO"/>
    <n v="9.4875346847605749E-2"/>
    <n v="18399.556069540224"/>
    <n v="4.6213274357013114"/>
    <s v="Flagged"/>
    <s v=""/>
    <s v=""/>
    <s v=""/>
    <s v=""/>
    <x v="3"/>
    <n v="0"/>
    <m/>
    <m/>
    <n v="1"/>
    <s v="Flagged"/>
    <n v="0"/>
    <m/>
    <n v="0"/>
    <n v="0"/>
    <n v="0"/>
  </r>
  <r>
    <s v="VenezulanosVE1814"/>
    <s v="Portuguesa"/>
    <s v="VE18"/>
    <s v="Turén"/>
    <s v="VE1814"/>
    <m/>
    <n v="64368"/>
    <s v="Venezulanos"/>
    <n v="34866"/>
    <n v="2425.0194820477091"/>
    <n v="22710.93367625117"/>
    <n v="4300.5296577383288"/>
    <n v="12213.872651773372"/>
    <n v="0"/>
    <n v="3908.4392485674789"/>
    <n v="4274.8554281206798"/>
    <n v="0.55000000000000004"/>
    <n v="0.05"/>
    <n v="0.35000000000000003"/>
    <n v="0.05"/>
    <n v="0.2"/>
    <n v="0"/>
    <n v="0.05"/>
    <n v="0.05"/>
    <n v="34866"/>
    <s v="SAMV"/>
    <n v="0.54166666666666663"/>
    <s v=""/>
    <s v=""/>
    <s v=""/>
    <n v="22710.93367625117"/>
    <s v="SAL"/>
    <n v="0.35282956867156307"/>
    <n v="12155.06632374883"/>
    <n v="0.53520768881727598"/>
    <s v=""/>
    <n v="12213.872651773372"/>
    <s v="PRO"/>
    <n v="0.18975069369521147"/>
    <n v="22652.127348226626"/>
    <n v="1.8546228533779325"/>
    <s v="Flagged"/>
    <s v=""/>
    <s v=""/>
    <s v=""/>
    <s v=""/>
    <x v="3"/>
    <n v="0"/>
    <m/>
    <m/>
    <n v="1"/>
    <s v="Flagged"/>
    <n v="0"/>
    <m/>
    <n v="0"/>
    <n v="0"/>
    <n v="0"/>
  </r>
  <r>
    <s v="VenezulanosVE1901"/>
    <s v="Sucre"/>
    <s v="VE19"/>
    <s v="Andrés Eloy Blanco"/>
    <s v="VE1901"/>
    <m/>
    <n v="26228"/>
    <s v="Venezulanos"/>
    <n v="3995"/>
    <n v="1256.7226782629036"/>
    <n v="9254.0139271177541"/>
    <n v="1499.9332107983814"/>
    <n v="5232.1632431114303"/>
    <n v="3540.78"/>
    <n v="1674.2922377956579"/>
    <n v="1831.2571350890003"/>
    <n v="0.15000000000000002"/>
    <n v="0.05"/>
    <n v="0.35000000000000003"/>
    <n v="0.05"/>
    <n v="0.2"/>
    <n v="0.15000000000000002"/>
    <n v="0.05"/>
    <n v="0.05"/>
    <n v="9254.0139271177541"/>
    <s v="SAL"/>
    <n v="0.35282956867156301"/>
    <s v=""/>
    <s v=""/>
    <s v=""/>
    <n v="5232.1632431114303"/>
    <s v="PRO"/>
    <n v="0.19948769418603898"/>
    <n v="4021.8506840063237"/>
    <n v="0.76867836440336956"/>
    <s v=""/>
    <n v="3995"/>
    <s v="SAMV"/>
    <n v="0.15231813329266433"/>
    <n v="5259.0139271177541"/>
    <n v="1.3163989805050698"/>
    <s v="Flagged"/>
    <s v=""/>
    <s v=""/>
    <s v=""/>
    <s v=""/>
    <x v="3"/>
    <n v="0"/>
    <m/>
    <m/>
    <n v="1"/>
    <s v="Flagged"/>
    <n v="0"/>
    <m/>
    <n v="0"/>
    <n v="0"/>
    <n v="0"/>
  </r>
  <r>
    <s v="VenezulanosVE1902"/>
    <s v="Sucre"/>
    <s v="VE19"/>
    <s v="Andrés Mata"/>
    <s v="VE1902"/>
    <m/>
    <n v="20531"/>
    <s v="Venezulanos"/>
    <n v="6501"/>
    <n v="1216.7153240588023"/>
    <n v="7243.9438743958608"/>
    <n v="774.02808328521144"/>
    <n v="4914.8182192002769"/>
    <n v="0"/>
    <n v="1577.6566483632889"/>
    <n v="1720.1863767200966"/>
    <n v="0.30000000000000004"/>
    <n v="0.05"/>
    <n v="0.35000000000000003"/>
    <n v="0.05"/>
    <n v="0.25"/>
    <n v="0"/>
    <n v="0.1"/>
    <n v="0.1"/>
    <n v="7243.9438743958608"/>
    <s v="SAL"/>
    <n v="0.35282956867156307"/>
    <s v=""/>
    <s v=""/>
    <s v=""/>
    <n v="6501"/>
    <s v="SAMV"/>
    <n v="0.31664312503044179"/>
    <n v="742.9438743958608"/>
    <n v="0.1142814758338503"/>
    <s v=""/>
    <n v="4914.8182192002769"/>
    <s v="PRO"/>
    <n v="0.23938523302324666"/>
    <n v="2329.1256551955839"/>
    <n v="0.47389863700280893"/>
    <s v=""/>
    <s v=""/>
    <s v=""/>
    <s v=""/>
    <s v=""/>
    <x v="2"/>
    <n v="7243.9438743958608"/>
    <m/>
    <m/>
    <n v="0"/>
    <s v=""/>
    <n v="7243.9438743958608"/>
    <m/>
    <n v="3621.9719371979304"/>
    <n v="0"/>
    <n v="0"/>
  </r>
  <r>
    <s v="VenezulanosVE1903"/>
    <s v="Sucre"/>
    <s v="VE19"/>
    <s v="Arismendi"/>
    <s v="VE1903"/>
    <m/>
    <n v="48268"/>
    <s v="Venezulanos"/>
    <n v="10773"/>
    <n v="5570.5708381610048"/>
    <n v="17030.377620639007"/>
    <n v="3108.3234911339991"/>
    <n v="11554.646427566071"/>
    <n v="0"/>
    <n v="3697.4868568211432"/>
    <n v="4044.1262496481249"/>
    <n v="0.2"/>
    <n v="0.1"/>
    <n v="0.35000000000000003"/>
    <n v="0.05"/>
    <n v="0.25"/>
    <n v="0"/>
    <n v="0.1"/>
    <n v="0.1"/>
    <n v="17030.377620639007"/>
    <s v="SAL"/>
    <n v="0.35282956867156307"/>
    <s v=""/>
    <s v=""/>
    <s v=""/>
    <n v="11554.646427566071"/>
    <s v="PRO"/>
    <n v="0.23938523302324669"/>
    <n v="5475.7311930729356"/>
    <n v="0.47389863700280888"/>
    <s v=""/>
    <n v="10773"/>
    <s v="SAMV"/>
    <n v="0.22319134830529544"/>
    <n v="6257.3776206390066"/>
    <n v="0.58083891401086107"/>
    <s v="Flagged"/>
    <s v=""/>
    <s v=""/>
    <s v=""/>
    <s v=""/>
    <x v="3"/>
    <n v="0"/>
    <m/>
    <m/>
    <n v="1"/>
    <s v="Flagged"/>
    <n v="0"/>
    <m/>
    <n v="0"/>
    <n v="0"/>
    <n v="0"/>
  </r>
  <r>
    <s v="VenezulanosVE1904"/>
    <s v="Sucre"/>
    <s v="VE19"/>
    <s v="Benítez"/>
    <s v="VE1904"/>
    <m/>
    <n v="31809"/>
    <s v="Venezulanos"/>
    <n v="7583"/>
    <n v="3776.3076856644811"/>
    <n v="11223.155749873749"/>
    <n v="902.69684372307597"/>
    <n v="6345.5040643637112"/>
    <n v="4294.2150000000001"/>
    <n v="2030.5613005963874"/>
    <n v="2220.9264225272987"/>
    <n v="0.25"/>
    <n v="0.1"/>
    <n v="0.35000000000000003"/>
    <n v="0.05"/>
    <n v="0.2"/>
    <n v="0.15000000000000002"/>
    <n v="0.05"/>
    <n v="0.05"/>
    <n v="11223.155749873749"/>
    <s v="SAL"/>
    <n v="0.35282956867156307"/>
    <s v=""/>
    <s v=""/>
    <s v=""/>
    <n v="7583"/>
    <s v="SAMV"/>
    <n v="0.23839165016190386"/>
    <n v="3640.1557498737493"/>
    <n v="0.4800416391762824"/>
    <s v=""/>
    <n v="6345.5040643637112"/>
    <s v="PRO"/>
    <n v="0.1994876941860389"/>
    <n v="4877.6516855100381"/>
    <n v="0.76867836440337056"/>
    <s v="Flagged"/>
    <s v=""/>
    <s v=""/>
    <s v=""/>
    <s v=""/>
    <x v="2"/>
    <n v="11223.155749873749"/>
    <m/>
    <m/>
    <n v="1"/>
    <s v="Flagged"/>
    <n v="11223.155749873749"/>
    <m/>
    <n v="5611.5778749368747"/>
    <n v="0"/>
    <n v="0"/>
  </r>
  <r>
    <s v="VenezulanosVE1905"/>
    <s v="Sucre"/>
    <s v="VE19"/>
    <s v="Bermúdez"/>
    <s v="VE1905"/>
    <m/>
    <n v="141932"/>
    <s v="Venezulanos"/>
    <n v="28066"/>
    <n v="13156.614991851757"/>
    <n v="50077.806340692281"/>
    <n v="10767.604768487316"/>
    <n v="33976.424893455449"/>
    <n v="85159.2"/>
    <n v="10872.455965905743"/>
    <n v="11891.748712709406"/>
    <n v="0.2"/>
    <n v="0.1"/>
    <n v="0.35000000000000003"/>
    <n v="0.1"/>
    <n v="0.25"/>
    <n v="0.60000000000000009"/>
    <n v="0.1"/>
    <n v="0.1"/>
    <n v="85159.2"/>
    <s v="ASH"/>
    <n v="0.6"/>
    <s v=""/>
    <s v=""/>
    <s v=""/>
    <n v="50077.806340692281"/>
    <s v="SAL"/>
    <n v="0.35282956867156301"/>
    <n v="35081.393659307716"/>
    <n v="0.70053774761298271"/>
    <s v=""/>
    <n v="33976.424893455449"/>
    <s v="PRO"/>
    <n v="0.23938523302324669"/>
    <n v="51182.775106544548"/>
    <n v="1.5064202683786012"/>
    <s v="Flagged"/>
    <s v=""/>
    <s v=""/>
    <s v=""/>
    <s v=""/>
    <x v="2"/>
    <n v="85159.2"/>
    <m/>
    <m/>
    <n v="1"/>
    <s v="Flagged"/>
    <n v="85159.2"/>
    <m/>
    <n v="42579.6"/>
    <n v="0"/>
    <n v="0"/>
  </r>
  <r>
    <s v="VenezulanosVE1906"/>
    <s v="Sucre"/>
    <s v="VE19"/>
    <s v="Bolívar"/>
    <s v="VE1906"/>
    <m/>
    <n v="22365"/>
    <s v="Venezulanos"/>
    <n v="3313"/>
    <n v="834.19808545334001"/>
    <n v="7891.0333033395073"/>
    <n v="1008.1076222661311"/>
    <n v="4461.5422804707596"/>
    <n v="0"/>
    <n v="1427.6935297506429"/>
    <n v="1561.5397981647659"/>
    <n v="0.15000000000000002"/>
    <n v="0.05"/>
    <n v="0.35000000000000003"/>
    <n v="0.05"/>
    <n v="0.2"/>
    <n v="0"/>
    <n v="0.05"/>
    <n v="0.05"/>
    <n v="7891.0333033395073"/>
    <s v="SAL"/>
    <n v="0.35282956867156301"/>
    <s v=""/>
    <s v=""/>
    <s v=""/>
    <n v="4461.5422804707596"/>
    <s v="PRO"/>
    <n v="0.19948769418603887"/>
    <n v="3429.4910228687477"/>
    <n v="0.76867836440337056"/>
    <s v=""/>
    <n v="3313"/>
    <s v="SAMV"/>
    <n v="0.14813324390789179"/>
    <n v="4578.0333033395073"/>
    <n v="1.3818392101839745"/>
    <s v="Flagged"/>
    <s v=""/>
    <s v=""/>
    <s v=""/>
    <s v=""/>
    <x v="3"/>
    <n v="0"/>
    <m/>
    <m/>
    <n v="1"/>
    <s v="Flagged"/>
    <n v="0"/>
    <m/>
    <n v="0"/>
    <n v="0"/>
    <n v="0"/>
  </r>
  <r>
    <s v="VenezulanosVE1907"/>
    <s v="Sucre"/>
    <s v="VE19"/>
    <s v="Cajigal"/>
    <s v="VE1907"/>
    <m/>
    <n v="21381"/>
    <s v="Venezulanos"/>
    <n v="4276"/>
    <n v="3126.436574519882"/>
    <n v="7543.8490077666893"/>
    <n v="340.2867341397673"/>
    <n v="5118.2956672700366"/>
    <n v="9621.4500000000007"/>
    <n v="1642.972909193682"/>
    <n v="1791.4034835445127"/>
    <n v="0.2"/>
    <n v="0.15000000000000002"/>
    <n v="0.35000000000000003"/>
    <n v="0"/>
    <n v="0.25"/>
    <n v="0.45"/>
    <n v="0.1"/>
    <n v="0.1"/>
    <n v="9621.4500000000007"/>
    <s v="ASH"/>
    <n v="0.45"/>
    <s v=""/>
    <s v=""/>
    <s v=""/>
    <n v="7543.8490077666893"/>
    <s v="SAL"/>
    <n v="0.35282956867156301"/>
    <n v="2077.6009922333114"/>
    <n v="0.27540331070973711"/>
    <s v=""/>
    <n v="5118.2956672700366"/>
    <s v="PRO"/>
    <n v="0.23938523302324666"/>
    <n v="4503.1543327299642"/>
    <n v="0.87981520128395152"/>
    <s v="Flagged"/>
    <s v=""/>
    <s v=""/>
    <s v=""/>
    <s v=""/>
    <x v="2"/>
    <n v="9621.4500000000007"/>
    <m/>
    <m/>
    <n v="1"/>
    <s v="Flagged"/>
    <n v="9621.4500000000007"/>
    <m/>
    <n v="4810.7250000000004"/>
    <n v="0"/>
    <n v="0"/>
  </r>
  <r>
    <s v="VenezulanosVE1908"/>
    <s v="Sucre"/>
    <s v="VE19"/>
    <s v="Cruz Salmerón Acosta"/>
    <s v="VE1908"/>
    <m/>
    <n v="35731"/>
    <s v="Venezulanos"/>
    <n v="6414"/>
    <n v="1537.2418604392319"/>
    <n v="12606.953318203618"/>
    <n v="1978.4485672164108"/>
    <n v="8553.4737611536257"/>
    <n v="21438.6"/>
    <n v="2745.6650773303136"/>
    <n v="2993.7158164037687"/>
    <n v="0.2"/>
    <n v="0.05"/>
    <n v="0.35000000000000003"/>
    <n v="0.05"/>
    <n v="0.25"/>
    <n v="0.60000000000000009"/>
    <n v="0.1"/>
    <n v="0.1"/>
    <n v="21438.6"/>
    <s v="ASH"/>
    <n v="0.6"/>
    <s v=""/>
    <s v=""/>
    <s v=""/>
    <n v="12606.953318203618"/>
    <s v="SAL"/>
    <n v="0.35282956867156301"/>
    <n v="8831.646681796381"/>
    <n v="0.70053774761298271"/>
    <s v=""/>
    <n v="8553.4737611536257"/>
    <s v="PRO"/>
    <n v="0.23938523302324663"/>
    <n v="12885.126238846373"/>
    <n v="1.5064202683786017"/>
    <s v="Flagged"/>
    <s v=""/>
    <s v=""/>
    <s v=""/>
    <s v=""/>
    <x v="2"/>
    <n v="21438.6"/>
    <m/>
    <m/>
    <n v="1"/>
    <s v="Flagged"/>
    <n v="21438.6"/>
    <m/>
    <n v="10719.3"/>
    <n v="0"/>
    <n v="0"/>
  </r>
  <r>
    <s v="VenezulanosVE1909"/>
    <s v="Sucre"/>
    <s v="VE19"/>
    <s v="Libertador"/>
    <s v="VE1909"/>
    <m/>
    <n v="9796"/>
    <s v="Venezulanos"/>
    <n v="2041"/>
    <n v="296.04012024201961"/>
    <n v="3456.3184547066317"/>
    <n v="1191.3681633360216"/>
    <n v="1954.1814522464369"/>
    <n v="0"/>
    <n v="627.29224617110629"/>
    <n v="683.96350828625282"/>
    <n v="0.2"/>
    <n v="0.05"/>
    <n v="0.35000000000000003"/>
    <n v="0.1"/>
    <n v="0.2"/>
    <n v="0"/>
    <n v="0.05"/>
    <n v="0.05"/>
    <n v="3456.3184547066317"/>
    <s v="SAL"/>
    <n v="0.35282956867156307"/>
    <s v=""/>
    <s v=""/>
    <s v=""/>
    <n v="2041"/>
    <s v="SAMV"/>
    <n v="0.20835034708044101"/>
    <n v="1415.3184547066317"/>
    <n v="0.69344363287929034"/>
    <s v=""/>
    <n v="1954.1814522464369"/>
    <s v="PRO"/>
    <n v="0.1994876941860389"/>
    <n v="1502.1370024601947"/>
    <n v="0.76867836440337067"/>
    <s v="Flagged"/>
    <s v=""/>
    <s v=""/>
    <s v=""/>
    <s v=""/>
    <x v="2"/>
    <n v="3456.3184547066317"/>
    <m/>
    <m/>
    <n v="1"/>
    <s v="Flagged"/>
    <n v="3456.3184547066317"/>
    <m/>
    <n v="1728.1592273533158"/>
    <n v="0"/>
    <n v="0"/>
  </r>
  <r>
    <s v="VenezulanosVE1910"/>
    <s v="Sucre"/>
    <s v="VE19"/>
    <s v="Mariño"/>
    <s v="VE1910"/>
    <m/>
    <n v="22838"/>
    <s v="Venezulanos"/>
    <n v="5057"/>
    <n v="2066.5821854677597"/>
    <n v="8057.921689321156"/>
    <n v="557.68394852382698"/>
    <n v="4555.8999598207565"/>
    <n v="0"/>
    <n v="1457.887987142642"/>
    <n v="1594.5649859372645"/>
    <n v="0.2"/>
    <n v="0.1"/>
    <n v="0.35000000000000003"/>
    <n v="0"/>
    <n v="0.2"/>
    <n v="0"/>
    <n v="0.05"/>
    <n v="0.05"/>
    <n v="8057.921689321156"/>
    <s v="SAL"/>
    <n v="0.35282956867156301"/>
    <s v=""/>
    <s v=""/>
    <s v=""/>
    <n v="5057"/>
    <s v="SAMV"/>
    <n v="0.22142919695244767"/>
    <n v="3000.921689321156"/>
    <n v="0.5934193571922397"/>
    <s v=""/>
    <n v="4555.8999598207565"/>
    <s v="PRO"/>
    <n v="0.1994876941860389"/>
    <n v="3502.0217295003995"/>
    <n v="0.76867836440337023"/>
    <s v="Flagged"/>
    <s v=""/>
    <s v=""/>
    <s v=""/>
    <s v=""/>
    <x v="2"/>
    <n v="8057.921689321156"/>
    <m/>
    <m/>
    <n v="1"/>
    <s v="Flagged"/>
    <n v="8057.921689321156"/>
    <m/>
    <n v="4028.960844660578"/>
    <n v="0"/>
    <n v="0"/>
  </r>
  <r>
    <s v="VenezulanosVE1911"/>
    <s v="Sucre"/>
    <s v="VE19"/>
    <s v="Mejia"/>
    <s v="VE1911"/>
    <m/>
    <n v="14627"/>
    <s v="Venezulanos"/>
    <n v="813"/>
    <n v="559.55234364825174"/>
    <n v="5160.838100958953"/>
    <n v="1034.4343188909027"/>
    <n v="2917.9065028591913"/>
    <n v="0"/>
    <n v="933.73008091494125"/>
    <n v="1021.2672760007168"/>
    <n v="0.05"/>
    <n v="0.05"/>
    <n v="0.35000000000000003"/>
    <n v="0.05"/>
    <n v="0.2"/>
    <n v="0"/>
    <n v="0.05"/>
    <n v="0.05"/>
    <n v="5160.838100958953"/>
    <s v="SAL"/>
    <n v="0.35282956867156307"/>
    <s v=""/>
    <s v=""/>
    <s v=""/>
    <n v="2917.9065028591913"/>
    <s v="PRO"/>
    <n v="0.19948769418603893"/>
    <n v="2242.9315980997617"/>
    <n v="0.76867836440337045"/>
    <s v=""/>
    <n v="1034.4343188909027"/>
    <s v="EDU"/>
    <n v="7.0720880487516416E-2"/>
    <n v="4126.4037820680505"/>
    <n v="3.9890437765950075"/>
    <s v="Flagged"/>
    <s v=""/>
    <s v=""/>
    <s v=""/>
    <s v=""/>
    <x v="2"/>
    <n v="5160.838100958953"/>
    <m/>
    <m/>
    <n v="1"/>
    <s v="Flagged"/>
    <n v="5160.838100958953"/>
    <m/>
    <n v="2580.4190504794765"/>
    <n v="0"/>
    <n v="0"/>
  </r>
  <r>
    <s v="VenezulanosVE1912"/>
    <s v="Sucre"/>
    <s v="VE19"/>
    <s v="Montes"/>
    <s v="VE1912"/>
    <m/>
    <n v="55104"/>
    <s v="Venezulanos"/>
    <n v="13011"/>
    <n v="2518.6704656282359"/>
    <n v="19442.32055207781"/>
    <n v="2239.9969085969688"/>
    <n v="10992.569900427487"/>
    <n v="0"/>
    <n v="3517.6223681367956"/>
    <n v="3847.39946514962"/>
    <n v="0.25"/>
    <n v="0.05"/>
    <n v="0.35000000000000003"/>
    <n v="0.05"/>
    <n v="0.2"/>
    <n v="0"/>
    <n v="0.05"/>
    <n v="0.05"/>
    <n v="19442.32055207781"/>
    <s v="SAL"/>
    <n v="0.35282956867156307"/>
    <s v=""/>
    <s v=""/>
    <s v=""/>
    <n v="13011"/>
    <s v="SAMV"/>
    <n v="0.23611716027874566"/>
    <n v="6431.3205520778101"/>
    <n v="0.49429871278747289"/>
    <s v=""/>
    <n v="10992.569900427487"/>
    <s v="PRO"/>
    <n v="0.19948769418603887"/>
    <n v="8449.7506516503236"/>
    <n v="0.76867836440337067"/>
    <s v="Flagged"/>
    <s v=""/>
    <s v=""/>
    <s v=""/>
    <s v=""/>
    <x v="0"/>
    <n v="19442.32055207781"/>
    <m/>
    <m/>
    <n v="1"/>
    <s v="Flagged"/>
    <n v="19442.32055207781"/>
    <m/>
    <n v="19442.32055207781"/>
    <n v="19442.32055207781"/>
    <n v="0"/>
  </r>
  <r>
    <s v="VenezulanosVE1913"/>
    <s v="Sucre"/>
    <s v="VE19"/>
    <s v="Ribero"/>
    <s v="VE1913"/>
    <m/>
    <n v="59508"/>
    <s v="Venezulanos"/>
    <n v="7731"/>
    <n v="2441.753786154798"/>
    <n v="20996.181972507373"/>
    <n v="1885.123341986196"/>
    <n v="11871.113705622807"/>
    <n v="0"/>
    <n v="3798.7563857992982"/>
    <n v="4154.8897969679829"/>
    <n v="0.15000000000000002"/>
    <n v="0.05"/>
    <n v="0.35000000000000003"/>
    <n v="0.05"/>
    <n v="0.2"/>
    <n v="0"/>
    <n v="0.05"/>
    <n v="0.05"/>
    <n v="20996.181972507373"/>
    <s v="SAL"/>
    <n v="0.35282956867156301"/>
    <s v=""/>
    <s v=""/>
    <s v=""/>
    <n v="11871.113705622807"/>
    <s v="PRO"/>
    <n v="0.19948769418603898"/>
    <n v="9125.0682668845657"/>
    <n v="0.76867836440336978"/>
    <s v=""/>
    <n v="7731"/>
    <s v="SAMV"/>
    <n v="0.12991530550514216"/>
    <n v="13265.181972507373"/>
    <n v="1.7158429663054422"/>
    <s v="Flagged"/>
    <s v=""/>
    <s v=""/>
    <s v=""/>
    <s v=""/>
    <x v="2"/>
    <n v="20996.181972507373"/>
    <m/>
    <m/>
    <n v="1"/>
    <s v="Flagged"/>
    <n v="20996.181972507373"/>
    <m/>
    <n v="10498.090986253686"/>
    <n v="0"/>
    <n v="0"/>
  </r>
  <r>
    <s v="VenezulanosVE1914"/>
    <s v="Sucre"/>
    <s v="VE19"/>
    <s v="Sucre"/>
    <s v="VE1914"/>
    <m/>
    <n v="367023"/>
    <s v="Venezulanos"/>
    <n v="65550"/>
    <n v="18143.747461477506"/>
    <n v="129496.56678254307"/>
    <n v="30150.587126316201"/>
    <n v="87859.886379891061"/>
    <n v="49548.105000000003"/>
    <n v="28203.023527945032"/>
    <n v="30750.960232961868"/>
    <n v="0.2"/>
    <n v="0.05"/>
    <n v="0.35000000000000003"/>
    <n v="0.1"/>
    <n v="0.25"/>
    <n v="0.15000000000000002"/>
    <n v="0.1"/>
    <n v="0.1"/>
    <n v="129496.56678254307"/>
    <s v="SAL"/>
    <n v="0.35282956867156301"/>
    <s v=""/>
    <s v=""/>
    <s v=""/>
    <n v="87859.886379891061"/>
    <s v="PRO"/>
    <n v="0.23938523302324666"/>
    <n v="41636.680402652011"/>
    <n v="0.47389863700280871"/>
    <s v=""/>
    <n v="65550"/>
    <s v="SAMV"/>
    <n v="0.1785991613604597"/>
    <n v="63946.566782543072"/>
    <n v="0.97553877624016894"/>
    <s v="Flagged"/>
    <s v=""/>
    <s v=""/>
    <s v=""/>
    <s v=""/>
    <x v="2"/>
    <n v="129496.56678254307"/>
    <m/>
    <m/>
    <n v="1"/>
    <s v="Flagged"/>
    <n v="129496.56678254307"/>
    <m/>
    <n v="64748.283391271536"/>
    <n v="0"/>
    <n v="0"/>
  </r>
  <r>
    <s v="VenezulanosVE1915"/>
    <s v="Sucre"/>
    <s v="VE19"/>
    <s v="Valdez"/>
    <s v="VE1915"/>
    <m/>
    <n v="39377"/>
    <s v="Venezulanos"/>
    <n v="11398"/>
    <n v="2531.4080645362196"/>
    <n v="13893.369925580137"/>
    <n v="2065.9507327970409"/>
    <n v="7855.226933963655"/>
    <n v="23626.2"/>
    <n v="2513.6726188683697"/>
    <n v="2749.3294268872792"/>
    <n v="0.30000000000000004"/>
    <n v="0.05"/>
    <n v="0.35000000000000003"/>
    <n v="0.05"/>
    <n v="0.2"/>
    <n v="0.60000000000000009"/>
    <n v="0.05"/>
    <n v="0.05"/>
    <n v="23626.2"/>
    <s v="ASH"/>
    <n v="0.6"/>
    <s v=""/>
    <s v=""/>
    <s v=""/>
    <n v="13893.369925580137"/>
    <s v="SAL"/>
    <n v="0.35282956867156301"/>
    <n v="9732.8300744198641"/>
    <n v="0.70053774761298282"/>
    <s v=""/>
    <n v="11398"/>
    <s v="SAMV"/>
    <n v="0.28945831322853444"/>
    <n v="12228.2"/>
    <n v="1.0728373398841902"/>
    <s v="Flagged"/>
    <s v=""/>
    <s v=""/>
    <s v=""/>
    <s v=""/>
    <x v="2"/>
    <n v="23626.2"/>
    <m/>
    <m/>
    <n v="1"/>
    <s v="Flagged"/>
    <n v="23626.2"/>
    <m/>
    <n v="11813.1"/>
    <n v="0"/>
    <n v="0"/>
  </r>
  <r>
    <s v="VenezulanosVE2001"/>
    <s v="Táchira"/>
    <s v="VE20"/>
    <s v="Andrés Bello"/>
    <s v="VE2001"/>
    <m/>
    <n v="20820"/>
    <s v="Venezulanos"/>
    <n v="5205"/>
    <n v="617.64677181813954"/>
    <n v="7345.9116197419416"/>
    <n v="1512.7607018517988"/>
    <n v="4167.6474701510706"/>
    <n v="0"/>
    <n v="1333.6471904483426"/>
    <n v="1458.6766145528745"/>
    <n v="0.25"/>
    <n v="0.05"/>
    <n v="0.35000000000000003"/>
    <n v="0.05"/>
    <n v="0.2"/>
    <n v="0"/>
    <n v="0.05"/>
    <n v="0.05"/>
    <n v="7345.9116197419416"/>
    <s v="SAL"/>
    <n v="0.35282956867156301"/>
    <s v=""/>
    <s v=""/>
    <s v=""/>
    <n v="5205"/>
    <s v="SAMV"/>
    <n v="0.25"/>
    <n v="2140.9116197419416"/>
    <n v="0.41131827468625198"/>
    <s v=""/>
    <n v="4167.6474701510706"/>
    <s v="PRO"/>
    <n v="0.20017519068929254"/>
    <n v="3178.2641495908711"/>
    <n v="0.76260388441051707"/>
    <s v="Flagged"/>
    <s v=""/>
    <s v=""/>
    <s v=""/>
    <s v=""/>
    <x v="2"/>
    <n v="7345.9116197419416"/>
    <m/>
    <m/>
    <n v="1"/>
    <s v="Flagged"/>
    <n v="7345.9116197419416"/>
    <m/>
    <n v="3672.9558098709708"/>
    <n v="0"/>
    <n v="0"/>
  </r>
  <r>
    <s v="VenezulanosVE2002"/>
    <s v="Táchira"/>
    <s v="VE20"/>
    <s v="Antonio Rómulo Costa"/>
    <s v="VE2002"/>
    <m/>
    <n v="10284"/>
    <s v="Venezulanos"/>
    <n v="3085"/>
    <n v="411.79607385815615"/>
    <n v="5203.6015523503902"/>
    <n v="782.74782937169016"/>
    <n v="1235.1609966292108"/>
    <n v="0"/>
    <n v="395.2515189213475"/>
    <n v="432.30634882022372"/>
    <n v="0.30000000000000004"/>
    <n v="0.05"/>
    <n v="0.5"/>
    <n v="0.1"/>
    <n v="0.1"/>
    <n v="0"/>
    <n v="0.05"/>
    <n v="0.05"/>
    <n v="5203.6015523503902"/>
    <s v="SAL"/>
    <n v="0.50599003815153543"/>
    <s v=""/>
    <s v=""/>
    <s v=""/>
    <n v="3085"/>
    <s v="SAMV"/>
    <n v="0.29998055231427462"/>
    <n v="2118.6015523503902"/>
    <n v="0.68674280465166615"/>
    <s v=""/>
    <n v="1235.1609966292108"/>
    <s v="PRO"/>
    <n v="0.12010511441357553"/>
    <n v="3968.4405557211794"/>
    <n v="3.2128933528108203"/>
    <s v="Flagged"/>
    <s v=""/>
    <s v=""/>
    <s v=""/>
    <s v=""/>
    <x v="2"/>
    <n v="5203.6015523503902"/>
    <m/>
    <m/>
    <n v="1"/>
    <s v="Flagged"/>
    <n v="5203.6015523503902"/>
    <m/>
    <n v="2601.8007761751951"/>
    <n v="0"/>
    <n v="0"/>
  </r>
  <r>
    <s v="VenezulanosVE2003"/>
    <s v="Táchira"/>
    <s v="VE20"/>
    <s v="Ayacucho"/>
    <s v="VE2003"/>
    <m/>
    <n v="60678"/>
    <s v="Venezulanos"/>
    <n v="14448"/>
    <n v="2212.9798862816215"/>
    <n v="21408.9925678531"/>
    <n v="7493.618245715983"/>
    <n v="7287.7381323869377"/>
    <n v="8191.5300000000007"/>
    <n v="2332.0762023638199"/>
    <n v="2550.7083463354279"/>
    <n v="0.25"/>
    <n v="0.05"/>
    <n v="0.35000000000000003"/>
    <n v="0.1"/>
    <n v="0.1"/>
    <n v="0.15000000000000002"/>
    <n v="0.05"/>
    <n v="0.05"/>
    <n v="21408.9925678531"/>
    <s v="SAL"/>
    <n v="0.35282956867156301"/>
    <s v=""/>
    <s v=""/>
    <s v=""/>
    <n v="14448"/>
    <s v="SAMV"/>
    <n v="0.23810936418471274"/>
    <n v="6960.9925678530999"/>
    <n v="0.48179627407621123"/>
    <s v=""/>
    <n v="8191.5300000000007"/>
    <s v="ASH"/>
    <n v="0.13500000000000001"/>
    <n v="13217.462567853099"/>
    <n v="1.6135523605300961"/>
    <s v="Flagged"/>
    <s v=""/>
    <s v=""/>
    <s v=""/>
    <s v=""/>
    <x v="2"/>
    <n v="21408.9925678531"/>
    <m/>
    <m/>
    <n v="1"/>
    <s v="Flagged"/>
    <n v="21408.9925678531"/>
    <m/>
    <n v="10704.49628392655"/>
    <n v="0"/>
    <n v="0"/>
  </r>
  <r>
    <s v="VenezulanosVE2004"/>
    <s v="Táchira"/>
    <s v="VE20"/>
    <s v="Bolívar"/>
    <s v="VE2004"/>
    <m/>
    <n v="63020"/>
    <s v="Venezulanos"/>
    <n v="21357"/>
    <n v="6500.6362125534288"/>
    <n v="22235.319417681902"/>
    <n v="8705.1525610777862"/>
    <n v="15138.048620687057"/>
    <n v="37812"/>
    <n v="4844.1755586198578"/>
    <n v="5298.3170172404698"/>
    <n v="0.35000000000000003"/>
    <n v="0.1"/>
    <n v="0.35000000000000003"/>
    <n v="0.15000000000000002"/>
    <n v="0.25"/>
    <n v="0.60000000000000009"/>
    <n v="0.1"/>
    <n v="0.1"/>
    <n v="37812"/>
    <s v="ASH"/>
    <n v="0.6"/>
    <s v=""/>
    <s v=""/>
    <s v=""/>
    <n v="22235.319417681902"/>
    <s v="SAL"/>
    <n v="0.35282956867156301"/>
    <n v="15576.680582318098"/>
    <n v="0.70053774761298271"/>
    <s v=""/>
    <n v="21357"/>
    <s v="SAMV"/>
    <n v="0.33889241510631546"/>
    <n v="16455"/>
    <n v="0.77047338109285013"/>
    <s v="Flagged"/>
    <s v=""/>
    <s v=""/>
    <s v=""/>
    <s v=""/>
    <x v="0"/>
    <n v="37812"/>
    <m/>
    <m/>
    <n v="1"/>
    <s v="Flagged"/>
    <n v="37812"/>
    <m/>
    <n v="37812"/>
    <n v="37812"/>
    <n v="0"/>
  </r>
  <r>
    <s v="VenezulanosVE2005"/>
    <s v="Táchira"/>
    <s v="VE20"/>
    <s v="Cárdenas"/>
    <s v="VE2005"/>
    <m/>
    <n v="124803"/>
    <s v="Venezulanos"/>
    <n v="7664"/>
    <n v="2855.4371760479462"/>
    <n v="44034.188658917068"/>
    <n v="21180.136763199589"/>
    <n v="24982.464323595777"/>
    <n v="0"/>
    <n v="7994.3885835506489"/>
    <n v="8743.8625132585203"/>
    <n v="0.05"/>
    <n v="0"/>
    <n v="0.35000000000000003"/>
    <n v="0.15000000000000002"/>
    <n v="0.2"/>
    <n v="0"/>
    <n v="0.05"/>
    <n v="0.05"/>
    <n v="44034.188658917068"/>
    <s v="SAL"/>
    <n v="0.35282956867156295"/>
    <s v=""/>
    <s v=""/>
    <s v=""/>
    <n v="24982.464323595777"/>
    <s v="PRO"/>
    <n v="0.20017519068929254"/>
    <n v="19051.724335321291"/>
    <n v="0.76260388441051663"/>
    <s v=""/>
    <n v="21180.136763199589"/>
    <s v="EDU"/>
    <n v="0.1697085547879425"/>
    <n v="22854.051895717479"/>
    <n v="1.0790323099058696"/>
    <s v="Flagged"/>
    <s v=""/>
    <s v=""/>
    <s v=""/>
    <s v=""/>
    <x v="3"/>
    <n v="0"/>
    <m/>
    <m/>
    <n v="1"/>
    <s v="Flagged"/>
    <n v="0"/>
    <m/>
    <n v="0"/>
    <n v="0"/>
    <n v="0"/>
  </r>
  <r>
    <s v="VenezulanosVE2006"/>
    <s v="Táchira"/>
    <s v="VE20"/>
    <s v="Córdoba"/>
    <s v="VE2006"/>
    <m/>
    <n v="33872"/>
    <s v="Venezulanos"/>
    <n v="806"/>
    <n v="974.30231466457576"/>
    <n v="11951.043150043181"/>
    <n v="5596.0528667103608"/>
    <n v="4068.2004354166324"/>
    <n v="0"/>
    <n v="1305.892339768739"/>
    <n v="1423.8701523958214"/>
    <n v="0"/>
    <n v="0.05"/>
    <n v="0.35000000000000003"/>
    <n v="0.15000000000000002"/>
    <n v="0.1"/>
    <n v="0"/>
    <n v="0.05"/>
    <n v="0.05"/>
    <n v="11951.043150043181"/>
    <s v="SAL"/>
    <n v="0.35282956867156295"/>
    <s v=""/>
    <s v=""/>
    <s v=""/>
    <n v="5596.0528667103608"/>
    <s v="EDU"/>
    <n v="0.16521176389673953"/>
    <n v="6354.9902833328197"/>
    <n v="1.1356201298842625"/>
    <s v="Flagged"/>
    <n v="4068.2004354166324"/>
    <s v="PRO"/>
    <n v="0.12010511441357559"/>
    <n v="7882.8427146265476"/>
    <n v="1.9376731406841929"/>
    <s v="Flagged"/>
    <s v=""/>
    <s v=""/>
    <s v=""/>
    <s v=""/>
    <x v="3"/>
    <n v="0"/>
    <m/>
    <m/>
    <n v="2"/>
    <s v="Flagged"/>
    <n v="0"/>
    <m/>
    <n v="0"/>
    <n v="0"/>
    <n v="0"/>
  </r>
  <r>
    <s v="VenezulanosVE2007"/>
    <s v="Táchira"/>
    <s v="VE20"/>
    <s v="Fernández Feo"/>
    <s v="VE2007"/>
    <m/>
    <n v="46923"/>
    <s v="Venezulanos"/>
    <n v="6331"/>
    <n v="2100.7307218983515"/>
    <n v="16555.821850775752"/>
    <n v="3926.0622671970582"/>
    <n v="11271.384567256409"/>
    <n v="0"/>
    <n v="3606.8430615220514"/>
    <n v="3944.9845985397428"/>
    <n v="0.15000000000000002"/>
    <n v="0.05"/>
    <n v="0.35000000000000003"/>
    <n v="0.1"/>
    <n v="0.25"/>
    <n v="0"/>
    <n v="0.1"/>
    <n v="0.1"/>
    <n v="16555.821850775752"/>
    <s v="SAL"/>
    <n v="0.35282956867156301"/>
    <s v=""/>
    <s v=""/>
    <s v=""/>
    <n v="11271.384567256409"/>
    <s v="PRO"/>
    <n v="0.24021022882715107"/>
    <n v="5284.4372835193426"/>
    <n v="0.46883657034209758"/>
    <s v=""/>
    <n v="6331"/>
    <s v="SAMV"/>
    <n v="0.13492317200520001"/>
    <n v="10224.821850775752"/>
    <n v="1.6150405703326096"/>
    <s v="Flagged"/>
    <s v=""/>
    <s v=""/>
    <s v=""/>
    <s v=""/>
    <x v="2"/>
    <n v="16555.821850775752"/>
    <m/>
    <m/>
    <n v="1"/>
    <s v="Flagged"/>
    <n v="16555.821850775752"/>
    <m/>
    <n v="8277.910925387876"/>
    <n v="0"/>
    <n v="0"/>
  </r>
  <r>
    <s v="VenezulanosVE2008"/>
    <s v="Táchira"/>
    <s v="VE20"/>
    <s v="Francisco De Miranda"/>
    <s v="VE2008"/>
    <m/>
    <n v="4224"/>
    <s v="Venezulanos"/>
    <n v="0"/>
    <n v="136.085768063969"/>
    <n v="1490.3520980686819"/>
    <n v="340.19368156891676"/>
    <n v="507.32400328294295"/>
    <n v="0"/>
    <n v="162.34368105054176"/>
    <n v="177.56340114903"/>
    <n v="0"/>
    <n v="0.05"/>
    <n v="0.35000000000000003"/>
    <n v="0.1"/>
    <n v="0.1"/>
    <n v="0"/>
    <n v="0.05"/>
    <n v="0.05"/>
    <n v="1490.3520980686819"/>
    <s v="SAL"/>
    <n v="0.35282956867156295"/>
    <s v="Flagged"/>
    <s v=""/>
    <s v=""/>
    <n v="507.32400328294295"/>
    <s v="PRO"/>
    <n v="0.12010511441357551"/>
    <n v="983.02809478573897"/>
    <n v="1.9376731406841952"/>
    <s v="Flagged"/>
    <n v="340.19368156891676"/>
    <s v="EDU"/>
    <n v="8.0538276886580676E-2"/>
    <n v="1150.1584164997653"/>
    <n v="3.3808929407372461"/>
    <s v="Flagged"/>
    <s v=""/>
    <s v=""/>
    <s v=""/>
    <s v=""/>
    <x v="0"/>
    <n v="1490.3520980686819"/>
    <m/>
    <m/>
    <n v="3"/>
    <s v="Flagged"/>
    <n v="1490.3520980686819"/>
    <m/>
    <n v="1490.3520980686819"/>
    <n v="1490.3520980686819"/>
    <n v="0"/>
  </r>
  <r>
    <s v="VenezulanosVE2009"/>
    <s v="Táchira"/>
    <s v="VE20"/>
    <s v="García De Hevia"/>
    <s v="VE2009"/>
    <m/>
    <n v="49570"/>
    <s v="Venezulanos"/>
    <n v="19152"/>
    <n v="2284.2050741202611"/>
    <n v="17489.76171904938"/>
    <n v="4021.2830935506327"/>
    <n v="11907.221042961875"/>
    <n v="0"/>
    <n v="3810.3107337478"/>
    <n v="4167.5273650366571"/>
    <n v="0.4"/>
    <n v="0.05"/>
    <n v="0.35000000000000003"/>
    <n v="0.1"/>
    <n v="0.25"/>
    <n v="0"/>
    <n v="0.1"/>
    <n v="0.1"/>
    <n v="19152"/>
    <s v="SAMV"/>
    <n v="0.38636271938672584"/>
    <s v=""/>
    <s v=""/>
    <s v=""/>
    <n v="17489.76171904938"/>
    <s v="SAL"/>
    <n v="0.35282956867156307"/>
    <n v="1662.2382809506198"/>
    <n v="9.50406476458827E-2"/>
    <s v=""/>
    <n v="11907.221042961875"/>
    <s v="PRO"/>
    <n v="0.24021022882715101"/>
    <n v="7244.7789570381246"/>
    <n v="0.60843574927336819"/>
    <s v="Flagged"/>
    <s v=""/>
    <s v=""/>
    <s v=""/>
    <s v=""/>
    <x v="3"/>
    <n v="0"/>
    <m/>
    <m/>
    <n v="1"/>
    <s v="Flagged"/>
    <n v="0"/>
    <m/>
    <n v="0"/>
    <n v="0"/>
    <n v="0"/>
  </r>
  <r>
    <s v="VenezulanosVE2010"/>
    <s v="Táchira"/>
    <s v="VE20"/>
    <s v="Guásimos"/>
    <s v="VE2010"/>
    <m/>
    <n v="44214"/>
    <s v="Venezulanos"/>
    <n v="11422"/>
    <n v="1154.498159594782"/>
    <n v="15600.006549244488"/>
    <n v="7429.7611499163168"/>
    <n v="8850.5458811363824"/>
    <n v="0"/>
    <n v="2841.0252278447788"/>
    <n v="3097.6910583977333"/>
    <n v="0.25"/>
    <n v="0.05"/>
    <n v="0.35000000000000003"/>
    <n v="0.15000000000000002"/>
    <n v="0.2"/>
    <n v="0"/>
    <n v="0.05"/>
    <n v="0.05"/>
    <n v="15600.006549244488"/>
    <s v="SAL"/>
    <n v="0.35282956867156307"/>
    <s v=""/>
    <s v=""/>
    <s v=""/>
    <n v="11422"/>
    <s v="SAMV"/>
    <n v="0.25833446419686074"/>
    <n v="4178.0065492444883"/>
    <n v="0.36578589995136473"/>
    <s v=""/>
    <n v="8850.5458811363824"/>
    <s v="PRO"/>
    <n v="0.2001751906892926"/>
    <n v="6749.4606681081059"/>
    <n v="0.76260388441051685"/>
    <s v="Flagged"/>
    <s v=""/>
    <s v=""/>
    <s v=""/>
    <s v=""/>
    <x v="3"/>
    <n v="0"/>
    <m/>
    <m/>
    <n v="1"/>
    <s v="Flagged"/>
    <n v="0"/>
    <m/>
    <n v="0"/>
    <n v="0"/>
    <n v="0"/>
  </r>
  <r>
    <s v="VenezulanosVE2011"/>
    <s v="Táchira"/>
    <s v="VE20"/>
    <s v="Independencia"/>
    <s v="VE2011"/>
    <m/>
    <n v="37797"/>
    <s v="Venezulanos"/>
    <n v="18199"/>
    <n v="1084.5786496147603"/>
    <n v="13335.899207079068"/>
    <n v="5616.0317417153929"/>
    <n v="9079.2260189798271"/>
    <n v="0"/>
    <n v="2905.3523260735446"/>
    <n v="3177.7291066429393"/>
    <n v="0.5"/>
    <n v="0.05"/>
    <n v="0.35000000000000003"/>
    <n v="0.15000000000000002"/>
    <n v="0.25"/>
    <n v="0"/>
    <n v="0.1"/>
    <n v="0.1"/>
    <n v="18199"/>
    <s v="SAMV"/>
    <n v="0.481493240204249"/>
    <s v=""/>
    <s v=""/>
    <s v=""/>
    <n v="13335.899207079068"/>
    <s v="SAL"/>
    <n v="0.35282956867156307"/>
    <n v="4863.1007929209318"/>
    <n v="0.36466238364635073"/>
    <s v=""/>
    <n v="9079.2260189798271"/>
    <s v="PRO"/>
    <n v="0.24021022882715101"/>
    <n v="9119.7739810201729"/>
    <n v="1.004466015269978"/>
    <s v="Flagged"/>
    <s v=""/>
    <s v=""/>
    <s v=""/>
    <s v=""/>
    <x v="2"/>
    <n v="18199"/>
    <m/>
    <m/>
    <n v="1"/>
    <s v="Flagged"/>
    <n v="18199"/>
    <m/>
    <n v="9099.5"/>
    <n v="0"/>
    <n v="0"/>
  </r>
  <r>
    <s v="VenezulanosVE2012"/>
    <s v="Táchira"/>
    <s v="VE20"/>
    <s v="Jáuregui"/>
    <s v="VE2012"/>
    <m/>
    <n v="41927"/>
    <s v="Venezulanos"/>
    <n v="6988"/>
    <n v="1314.45144744"/>
    <n v="14793.085325692622"/>
    <n v="4054.6957429376753"/>
    <n v="5035.6471320179826"/>
    <n v="0"/>
    <n v="1611.4070822457543"/>
    <n v="1762.4764962062939"/>
    <n v="0.15000000000000002"/>
    <n v="0.05"/>
    <n v="0.35000000000000003"/>
    <n v="0.1"/>
    <n v="0.1"/>
    <n v="0"/>
    <n v="0.05"/>
    <n v="0.05"/>
    <n v="14793.085325692622"/>
    <s v="SAL"/>
    <n v="0.35282956867156301"/>
    <s v=""/>
    <s v=""/>
    <s v=""/>
    <n v="6988"/>
    <s v="SAMV"/>
    <n v="0.16667064182984712"/>
    <n v="7805.0853256926221"/>
    <n v="1.1169269212496598"/>
    <s v="Flagged"/>
    <n v="5035.6471320179826"/>
    <s v="PRO"/>
    <n v="0.12010511441357556"/>
    <n v="9757.4381936746395"/>
    <n v="1.9376731406841943"/>
    <s v="Flagged"/>
    <s v=""/>
    <s v=""/>
    <s v=""/>
    <s v=""/>
    <x v="3"/>
    <n v="0"/>
    <m/>
    <m/>
    <n v="2"/>
    <s v="Flagged"/>
    <n v="0"/>
    <m/>
    <n v="0"/>
    <n v="0"/>
    <n v="0"/>
  </r>
  <r>
    <s v="VenezulanosVE2013"/>
    <s v="Táchira"/>
    <s v="VE20"/>
    <s v="José María Vargas"/>
    <s v="VE2013"/>
    <m/>
    <n v="10097"/>
    <s v="Venezulanos"/>
    <n v="337"/>
    <n v="397.40872664439723"/>
    <n v="3562.5201548767723"/>
    <n v="676.12951401902478"/>
    <n v="1212.7013402338721"/>
    <n v="0"/>
    <n v="388.06442887483911"/>
    <n v="424.44546908185521"/>
    <n v="0.05"/>
    <n v="0.05"/>
    <n v="0.35000000000000003"/>
    <n v="0.05"/>
    <n v="0.1"/>
    <n v="0"/>
    <n v="0.05"/>
    <n v="0.05"/>
    <n v="3562.5201548767723"/>
    <s v="SAL"/>
    <n v="0.35282956867156307"/>
    <s v=""/>
    <s v=""/>
    <s v=""/>
    <n v="1212.7013402338721"/>
    <s v="PRO"/>
    <n v="0.12010511441357552"/>
    <n v="2349.8188146429002"/>
    <n v="1.9376731406841956"/>
    <s v="Flagged"/>
    <n v="676.12951401902478"/>
    <s v="EDU"/>
    <n v="6.6963406360208449E-2"/>
    <n v="2886.3906408577477"/>
    <n v="4.2689907495689221"/>
    <s v="Flagged"/>
    <s v=""/>
    <s v=""/>
    <s v=""/>
    <s v=""/>
    <x v="2"/>
    <n v="3562.5201548767723"/>
    <m/>
    <m/>
    <n v="2"/>
    <s v="Flagged"/>
    <n v="3562.5201548767723"/>
    <m/>
    <n v="1781.2600774383861"/>
    <n v="0"/>
    <n v="0"/>
  </r>
  <r>
    <s v="VenezulanosVE2014"/>
    <s v="Táchira"/>
    <s v="VE20"/>
    <s v="Junín"/>
    <s v="VE2014"/>
    <m/>
    <n v="82497"/>
    <s v="Venezulanos"/>
    <n v="33817"/>
    <n v="7923.4663576178737"/>
    <n v="29107.380926697933"/>
    <n v="9122.0082799226893"/>
    <n v="16513.852706294569"/>
    <n v="11137.094999999999"/>
    <n v="5284.4328660142619"/>
    <n v="5779.8484472030996"/>
    <n v="0.4"/>
    <n v="0.1"/>
    <n v="0.35000000000000003"/>
    <n v="0.1"/>
    <n v="0.2"/>
    <n v="0.15000000000000002"/>
    <n v="0.05"/>
    <n v="0.05"/>
    <n v="33817"/>
    <s v="SAMV"/>
    <n v="0.40991793640980884"/>
    <s v=""/>
    <s v=""/>
    <s v=""/>
    <n v="29107.380926697933"/>
    <s v="SAL"/>
    <n v="0.35282956867156301"/>
    <n v="4709.6190733020667"/>
    <n v="0.16180154048083042"/>
    <s v=""/>
    <n v="16513.852706294569"/>
    <s v="PRO"/>
    <n v="0.20017519068929257"/>
    <n v="17303.147293705431"/>
    <n v="1.0477959081656341"/>
    <s v="Flagged"/>
    <s v=""/>
    <s v=""/>
    <s v=""/>
    <s v=""/>
    <x v="2"/>
    <n v="33817"/>
    <m/>
    <m/>
    <n v="1"/>
    <s v="Flagged"/>
    <n v="33817"/>
    <m/>
    <n v="16908.5"/>
    <n v="0"/>
    <n v="0"/>
  </r>
  <r>
    <s v="VenezulanosVE2015"/>
    <s v="Táchira"/>
    <s v="VE20"/>
    <s v="Libertad"/>
    <s v="VE2015"/>
    <m/>
    <n v="28167"/>
    <s v="Venezulanos"/>
    <n v="10833"/>
    <n v="834.42130302973101"/>
    <n v="9938.1504607719162"/>
    <n v="3814.8835926432689"/>
    <n v="5638.3345961453051"/>
    <n v="0"/>
    <n v="1809.905405362643"/>
    <n v="1973.4171086508568"/>
    <n v="0.4"/>
    <n v="0.05"/>
    <n v="0.35000000000000003"/>
    <n v="0.15000000000000002"/>
    <n v="0.2"/>
    <n v="0"/>
    <n v="0.05"/>
    <n v="0.05"/>
    <n v="10833"/>
    <s v="SAMV"/>
    <n v="0.38459899882841625"/>
    <s v=""/>
    <s v=""/>
    <s v=""/>
    <n v="9938.1504607719162"/>
    <s v="SAL"/>
    <n v="0.35282956867156307"/>
    <n v="894.84953922808381"/>
    <n v="9.0041858669805144E-2"/>
    <s v=""/>
    <n v="5638.3345961453051"/>
    <s v="PRO"/>
    <n v="0.20017519068929263"/>
    <n v="5194.6654038546949"/>
    <n v="0.92131201426145792"/>
    <s v="Flagged"/>
    <s v=""/>
    <s v=""/>
    <s v=""/>
    <s v=""/>
    <x v="2"/>
    <n v="10833"/>
    <m/>
    <m/>
    <n v="1"/>
    <s v="Flagged"/>
    <n v="10833"/>
    <m/>
    <n v="5416.5"/>
    <n v="0"/>
    <n v="0"/>
  </r>
  <r>
    <s v="VenezulanosVE2016"/>
    <s v="Táchira"/>
    <s v="VE20"/>
    <s v="Libertador"/>
    <s v="VE2016"/>
    <m/>
    <n v="22976"/>
    <s v="Venezulanos"/>
    <n v="6063"/>
    <n v="2444.3455748165311"/>
    <n v="8106.6121697978324"/>
    <n v="2433.6208823545603"/>
    <n v="4599.2251812771865"/>
    <n v="0"/>
    <n v="1471.7520580086998"/>
    <n v="1609.7288134470152"/>
    <n v="0.25"/>
    <n v="0.1"/>
    <n v="0.35000000000000003"/>
    <n v="0.1"/>
    <n v="0.2"/>
    <n v="0"/>
    <n v="0.05"/>
    <n v="0.05"/>
    <n v="8106.6121697978324"/>
    <s v="SAL"/>
    <n v="0.35282956867156307"/>
    <s v=""/>
    <s v=""/>
    <s v=""/>
    <n v="6063"/>
    <s v="SAMV"/>
    <n v="0.26388405292479111"/>
    <n v="2043.6121697978324"/>
    <n v="0.33706286818370979"/>
    <s v=""/>
    <n v="4599.2251812771865"/>
    <s v="PRO"/>
    <n v="0.2001751906892926"/>
    <n v="3507.3869885206459"/>
    <n v="0.76260388441051685"/>
    <s v="Flagged"/>
    <s v=""/>
    <s v=""/>
    <s v=""/>
    <s v=""/>
    <x v="3"/>
    <n v="0"/>
    <m/>
    <m/>
    <n v="1"/>
    <s v="Flagged"/>
    <n v="0"/>
    <m/>
    <n v="0"/>
    <n v="0"/>
    <n v="0"/>
  </r>
  <r>
    <s v="VenezulanosVE2017"/>
    <s v="Táchira"/>
    <s v="VE20"/>
    <s v="Lobatera"/>
    <s v="VE2017"/>
    <m/>
    <n v="13862"/>
    <s v="Venezulanos"/>
    <n v="4364"/>
    <n v="328.35682092048978"/>
    <n v="4890.9234809252075"/>
    <n v="2079.4913569233327"/>
    <n v="2774.8284933349732"/>
    <n v="0"/>
    <n v="887.94511786719136"/>
    <n v="971.18997266724068"/>
    <n v="0.30000000000000004"/>
    <n v="0"/>
    <n v="0.35000000000000003"/>
    <n v="0.15000000000000002"/>
    <n v="0.2"/>
    <n v="0"/>
    <n v="0.05"/>
    <n v="0.05"/>
    <n v="4890.9234809252075"/>
    <s v="SAL"/>
    <n v="0.35282956867156307"/>
    <s v=""/>
    <s v=""/>
    <s v=""/>
    <n v="4364"/>
    <s v="SAMV"/>
    <n v="0.31481748665416248"/>
    <n v="526.92348092520751"/>
    <n v="0.12074323577571208"/>
    <s v=""/>
    <n v="2774.8284933349732"/>
    <s v="PRO"/>
    <n v="0.20017519068929254"/>
    <n v="2116.0949875902343"/>
    <n v="0.76260388441051752"/>
    <s v="Flagged"/>
    <s v=""/>
    <s v=""/>
    <s v=""/>
    <s v=""/>
    <x v="3"/>
    <n v="0"/>
    <m/>
    <m/>
    <n v="1"/>
    <s v="Flagged"/>
    <n v="0"/>
    <m/>
    <n v="0"/>
    <n v="0"/>
    <n v="0"/>
  </r>
  <r>
    <s v="VenezulanosVE2018"/>
    <s v="Táchira"/>
    <s v="VE20"/>
    <s v="Michelena"/>
    <s v="VE2018"/>
    <m/>
    <n v="19993"/>
    <s v="Venezulanos"/>
    <n v="6665"/>
    <n v="606.48514632526735"/>
    <n v="7054.1215664505589"/>
    <n v="2442.2626103369207"/>
    <n v="4002.1025874510265"/>
    <n v="0"/>
    <n v="1280.6728279843285"/>
    <n v="1400.7359056078594"/>
    <n v="0.35000000000000003"/>
    <n v="0.05"/>
    <n v="0.35000000000000003"/>
    <n v="0.1"/>
    <n v="0.2"/>
    <n v="0"/>
    <n v="0.05"/>
    <n v="0.05"/>
    <n v="7054.1215664505589"/>
    <s v="SAL"/>
    <n v="0.35282956867156301"/>
    <s v=""/>
    <s v=""/>
    <s v=""/>
    <n v="6665"/>
    <s v="SAMV"/>
    <n v="0.33336667833741812"/>
    <n v="389.12156645055893"/>
    <n v="5.8382830675252656E-2"/>
    <s v=""/>
    <n v="4002.1025874510265"/>
    <s v="PRO"/>
    <n v="0.20017519068929257"/>
    <n v="3052.0189789995325"/>
    <n v="0.76260388441051674"/>
    <s v="Flagged"/>
    <s v=""/>
    <s v=""/>
    <s v=""/>
    <s v=""/>
    <x v="2"/>
    <n v="7054.1215664505589"/>
    <m/>
    <m/>
    <n v="1"/>
    <s v="Flagged"/>
    <n v="7054.1215664505589"/>
    <m/>
    <n v="3527.0607832252795"/>
    <n v="0"/>
    <n v="0"/>
  </r>
  <r>
    <s v="VenezulanosVE2019"/>
    <s v="Táchira"/>
    <s v="VE20"/>
    <s v="Panamericano"/>
    <s v="VE2019"/>
    <m/>
    <n v="32901"/>
    <s v="Venezulanos"/>
    <n v="9400"/>
    <n v="1249.2733867399661"/>
    <n v="11608.445638863095"/>
    <n v="2659.5132413567894"/>
    <n v="6585.9639488684161"/>
    <n v="4441.6350000000002"/>
    <n v="2107.5084636378933"/>
    <n v="2305.0873821039459"/>
    <n v="0.30000000000000004"/>
    <n v="0.05"/>
    <n v="0.35000000000000003"/>
    <n v="0.1"/>
    <n v="0.2"/>
    <n v="0.15000000000000002"/>
    <n v="0.05"/>
    <n v="0.05"/>
    <n v="11608.445638863095"/>
    <s v="SAL"/>
    <n v="0.35282956867156301"/>
    <s v=""/>
    <s v=""/>
    <s v=""/>
    <n v="9400"/>
    <s v="SAMV"/>
    <n v="0.28570560165344516"/>
    <n v="2208.4456388630952"/>
    <n v="0.23494102541096756"/>
    <s v=""/>
    <n v="6585.9639488684161"/>
    <s v="PRO"/>
    <n v="0.2001751906892926"/>
    <n v="5022.4816899946791"/>
    <n v="0.76260388441051663"/>
    <s v="Flagged"/>
    <s v=""/>
    <s v=""/>
    <s v=""/>
    <s v=""/>
    <x v="2"/>
    <n v="11608.445638863095"/>
    <m/>
    <m/>
    <n v="1"/>
    <s v="Flagged"/>
    <n v="11608.445638863095"/>
    <m/>
    <n v="5804.2228194315476"/>
    <n v="0"/>
    <n v="0"/>
  </r>
  <r>
    <s v="VenezulanosVE2020"/>
    <s v="Táchira"/>
    <s v="VE20"/>
    <s v="Pedro María Ureña"/>
    <s v="VE2020"/>
    <m/>
    <n v="53049"/>
    <s v="Venezulanos"/>
    <n v="28225"/>
    <n v="1783.518817212745"/>
    <n v="18717.255788457744"/>
    <n v="9320.8238035168688"/>
    <n v="12742.912429051536"/>
    <n v="31829.399999999998"/>
    <n v="4077.7319772964916"/>
    <n v="4460.0193501680369"/>
    <n v="0.55000000000000004"/>
    <n v="0.05"/>
    <n v="0.35000000000000003"/>
    <n v="0.2"/>
    <n v="0.25"/>
    <n v="0.60000000000000009"/>
    <n v="0.1"/>
    <n v="0.1"/>
    <n v="31829.399999999998"/>
    <s v="ASH"/>
    <n v="0.6"/>
    <s v=""/>
    <s v=""/>
    <s v=""/>
    <n v="28225"/>
    <s v="SAMV"/>
    <n v="0.53205526965635541"/>
    <n v="3604.3999999999978"/>
    <n v="0.12770239149689983"/>
    <s v=""/>
    <n v="18717.255788457744"/>
    <s v="SAL"/>
    <n v="0.35282956867156295"/>
    <n v="13112.144211542254"/>
    <n v="0.70053774761298293"/>
    <s v="Flagged"/>
    <s v=""/>
    <s v=""/>
    <s v=""/>
    <s v=""/>
    <x v="2"/>
    <n v="31829.399999999998"/>
    <m/>
    <m/>
    <n v="1"/>
    <s v="Flagged"/>
    <n v="31829.399999999998"/>
    <m/>
    <n v="15914.699999999999"/>
    <n v="0"/>
    <n v="0"/>
  </r>
  <r>
    <s v="VenezulanosVE2021"/>
    <s v="Táchira"/>
    <s v="VE20"/>
    <s v="Rafael Urdaneta"/>
    <s v="VE2021"/>
    <m/>
    <n v="6030"/>
    <s v="Venezulanos"/>
    <n v="2010"/>
    <n v="265.02125379108611"/>
    <n v="2127.5622990895249"/>
    <n v="658.45090590077473"/>
    <n v="1207.0563998564339"/>
    <n v="0"/>
    <n v="386.25804795405884"/>
    <n v="422.46973994975184"/>
    <n v="0.35000000000000003"/>
    <n v="0.05"/>
    <n v="0.35000000000000003"/>
    <n v="0.1"/>
    <n v="0.2"/>
    <n v="0"/>
    <n v="0.05"/>
    <n v="0.05"/>
    <n v="2127.5622990895249"/>
    <s v="SAL"/>
    <n v="0.35282956867156301"/>
    <s v=""/>
    <s v=""/>
    <s v=""/>
    <n v="2010"/>
    <s v="SAMV"/>
    <n v="0.33333333333333331"/>
    <n v="117.56229908952491"/>
    <n v="5.8488706014689008E-2"/>
    <s v=""/>
    <n v="1207.0563998564339"/>
    <s v="PRO"/>
    <n v="0.20017519068929251"/>
    <n v="920.50589923309099"/>
    <n v="0.76260388441051719"/>
    <s v="Flagged"/>
    <s v=""/>
    <s v=""/>
    <s v=""/>
    <s v=""/>
    <x v="3"/>
    <n v="0"/>
    <m/>
    <m/>
    <n v="1"/>
    <s v="Flagged"/>
    <n v="0"/>
    <m/>
    <n v="0"/>
    <n v="0"/>
    <n v="0"/>
  </r>
  <r>
    <s v="VenezulanosVE2022"/>
    <s v="Táchira"/>
    <s v="VE20"/>
    <s v="Samuel Darío Maldonado"/>
    <s v="VE2022"/>
    <m/>
    <n v="18316"/>
    <s v="Venezulanos"/>
    <n v="6869"/>
    <n v="541.97979722789773"/>
    <n v="6462.4263797883486"/>
    <n v="1230.2589417867293"/>
    <n v="3666.4087926650827"/>
    <n v="0"/>
    <n v="1173.2508136528265"/>
    <n v="1283.243077432779"/>
    <n v="0.4"/>
    <n v="0.05"/>
    <n v="0.35000000000000003"/>
    <n v="0.05"/>
    <n v="0.2"/>
    <n v="0"/>
    <n v="0.05"/>
    <n v="0.05"/>
    <n v="6869"/>
    <s v="SAMV"/>
    <n v="0.37502729853679845"/>
    <s v=""/>
    <s v=""/>
    <s v=""/>
    <n v="6462.4263797883486"/>
    <s v="SAL"/>
    <n v="0.35282956867156307"/>
    <n v="406.57362021165136"/>
    <n v="6.2913462578581367E-2"/>
    <s v=""/>
    <n v="3666.4087926650827"/>
    <s v="PRO"/>
    <n v="0.20017519068929257"/>
    <n v="3202.5912073349173"/>
    <n v="0.87349539793324027"/>
    <s v="Flagged"/>
    <s v=""/>
    <s v=""/>
    <s v=""/>
    <s v=""/>
    <x v="3"/>
    <n v="0"/>
    <m/>
    <m/>
    <n v="1"/>
    <s v="Flagged"/>
    <n v="0"/>
    <m/>
    <n v="0"/>
    <n v="0"/>
    <n v="0"/>
  </r>
  <r>
    <s v="VenezulanosVE2023"/>
    <s v="Táchira"/>
    <s v="VE20"/>
    <s v="San Cristóbal"/>
    <s v="VE2023"/>
    <m/>
    <n v="269720"/>
    <s v="Venezulanos"/>
    <n v="54165"/>
    <n v="21209.378874243779"/>
    <n v="95165.191262093984"/>
    <n v="35479.946217767319"/>
    <n v="53991.252432715999"/>
    <n v="0"/>
    <n v="17277.20077846912"/>
    <n v="18896.938351450597"/>
    <n v="0.2"/>
    <n v="0.1"/>
    <n v="0.35000000000000003"/>
    <n v="0.15000000000000002"/>
    <n v="0.2"/>
    <n v="0"/>
    <n v="0.05"/>
    <n v="0.05"/>
    <n v="95165.191262093984"/>
    <s v="SAL"/>
    <n v="0.35282956867156307"/>
    <s v=""/>
    <s v=""/>
    <s v=""/>
    <n v="54165"/>
    <s v="SAMV"/>
    <n v="0.20081936823372387"/>
    <n v="41000.191262093984"/>
    <n v="0.75694989868169449"/>
    <s v=""/>
    <n v="53991.252432715999"/>
    <s v="PRO"/>
    <n v="0.2001751906892926"/>
    <n v="41173.938829377985"/>
    <n v="0.76260388441051674"/>
    <s v="Flagged"/>
    <s v=""/>
    <s v=""/>
    <s v=""/>
    <s v=""/>
    <x v="2"/>
    <n v="95165.191262093984"/>
    <m/>
    <m/>
    <n v="1"/>
    <s v="Flagged"/>
    <n v="95165.191262093984"/>
    <m/>
    <n v="47582.595631046992"/>
    <n v="0"/>
    <n v="0"/>
  </r>
  <r>
    <s v="VenezulanosVE2024"/>
    <s v="Táchira"/>
    <s v="VE20"/>
    <s v="Seboruco"/>
    <s v="VE2024"/>
    <m/>
    <n v="10470"/>
    <s v="Venezulanos"/>
    <n v="3839"/>
    <n v="345.52603913440515"/>
    <n v="3694.1255839912642"/>
    <n v="994.09074375115142"/>
    <n v="1257.500547910136"/>
    <n v="0"/>
    <n v="403.65767587915366"/>
    <n v="440.1251917685475"/>
    <n v="0.35000000000000003"/>
    <n v="0.05"/>
    <n v="0.35000000000000003"/>
    <n v="0.1"/>
    <n v="0.1"/>
    <n v="0"/>
    <n v="0.05"/>
    <n v="0.05"/>
    <n v="3839"/>
    <s v="SAMV"/>
    <n v="0.36666666666666664"/>
    <s v=""/>
    <s v=""/>
    <s v=""/>
    <n v="3694.1255839912642"/>
    <s v="SAL"/>
    <n v="0.35282956867156295"/>
    <n v="144.87441600873581"/>
    <n v="3.9217512430156302E-2"/>
    <s v=""/>
    <n v="1257.500547910136"/>
    <s v="PRO"/>
    <n v="0.12010511441357555"/>
    <n v="2581.499452089864"/>
    <n v="2.0528813735947127"/>
    <s v="Flagged"/>
    <s v=""/>
    <s v=""/>
    <s v=""/>
    <s v=""/>
    <x v="3"/>
    <n v="0"/>
    <m/>
    <m/>
    <n v="1"/>
    <s v="Flagged"/>
    <n v="0"/>
    <m/>
    <n v="0"/>
    <n v="0"/>
    <n v="0"/>
  </r>
  <r>
    <s v="VenezulanosVE2025"/>
    <s v="Táchira"/>
    <s v="VE20"/>
    <s v="Simón Rodríguez"/>
    <s v="VE2025"/>
    <m/>
    <n v="2498"/>
    <s v="Venezulanos"/>
    <n v="416"/>
    <n v="105.62325593337326"/>
    <n v="898.27255295547968"/>
    <n v="202.30879295016928"/>
    <n v="300.02257580511184"/>
    <n v="0"/>
    <n v="96.3072468334409"/>
    <n v="105.00790153178914"/>
    <n v="0.15000000000000002"/>
    <n v="0.05"/>
    <n v="0.35000000000000003"/>
    <n v="0.1"/>
    <n v="0.1"/>
    <n v="0"/>
    <n v="0.05"/>
    <n v="0.05"/>
    <n v="898.27255295547968"/>
    <s v="SAL"/>
    <n v="0.35959669854102472"/>
    <s v=""/>
    <s v=""/>
    <s v=""/>
    <n v="416"/>
    <s v="SAMV"/>
    <n v="0.16653322658126501"/>
    <n v="482.27255295547968"/>
    <n v="1.1593090215275954"/>
    <s v="Flagged"/>
    <n v="300.02257580511184"/>
    <s v="PRO"/>
    <n v="0.1201051144135756"/>
    <n v="598.24997715036784"/>
    <n v="1.9940165354055825"/>
    <s v="Flagged"/>
    <s v=""/>
    <s v=""/>
    <s v=""/>
    <s v=""/>
    <x v="2"/>
    <n v="898.27255295547968"/>
    <m/>
    <m/>
    <n v="2"/>
    <s v="Flagged"/>
    <n v="898.27255295547968"/>
    <m/>
    <n v="449.13627647773984"/>
    <n v="0"/>
    <n v="0"/>
  </r>
  <r>
    <s v="VenezulanosVE2026"/>
    <s v="Táchira"/>
    <s v="VE20"/>
    <s v="Sucre"/>
    <s v="VE2026"/>
    <m/>
    <n v="7480"/>
    <s v="Venezulanos"/>
    <n v="623"/>
    <n v="252.1395101639344"/>
    <n v="2639.1651736632916"/>
    <n v="671.37460056665236"/>
    <n v="898.38625581354472"/>
    <n v="0"/>
    <n v="287.48360186033426"/>
    <n v="314.43518953474063"/>
    <n v="0.1"/>
    <n v="0.05"/>
    <n v="0.35000000000000003"/>
    <n v="0.1"/>
    <n v="0.1"/>
    <n v="0"/>
    <n v="0.05"/>
    <n v="0.05"/>
    <n v="2639.1651736632916"/>
    <s v="SAL"/>
    <n v="0.35282956867156307"/>
    <s v=""/>
    <s v=""/>
    <s v=""/>
    <n v="898.38625581354472"/>
    <s v="PRO"/>
    <n v="0.12010511441357549"/>
    <n v="1740.7789178497469"/>
    <n v="1.9376731406841963"/>
    <s v="Flagged"/>
    <n v="671.37460056665236"/>
    <s v="EDU"/>
    <n v="8.9755962642600579E-2"/>
    <n v="1967.7905730966393"/>
    <n v="2.9309875164115358"/>
    <s v="Flagged"/>
    <s v=""/>
    <s v=""/>
    <s v=""/>
    <s v=""/>
    <x v="2"/>
    <n v="2639.1651736632916"/>
    <m/>
    <m/>
    <n v="2"/>
    <s v="Flagged"/>
    <n v="2639.1651736632916"/>
    <m/>
    <n v="1319.5825868316458"/>
    <n v="0"/>
    <n v="0"/>
  </r>
  <r>
    <s v="VenezulanosVE2027"/>
    <s v="Táchira"/>
    <s v="VE20"/>
    <s v="Torbes"/>
    <s v="VE2027"/>
    <m/>
    <n v="50693"/>
    <s v="Venezulanos"/>
    <n v="9985"/>
    <n v="3359.3773568367869"/>
    <n v="17885.989324667546"/>
    <n v="7907.3921391003178"/>
    <n v="10147.48094161231"/>
    <n v="3421.7775000000001"/>
    <n v="3257.3413822575512"/>
    <n v="3551.6183295643077"/>
    <n v="0.2"/>
    <n v="0.05"/>
    <n v="0.35000000000000003"/>
    <n v="0.15000000000000002"/>
    <n v="0.2"/>
    <n v="0.05"/>
    <n v="0.05"/>
    <n v="0.05"/>
    <n v="17885.989324667546"/>
    <s v="SAL"/>
    <n v="0.35282956867156307"/>
    <s v=""/>
    <s v=""/>
    <s v=""/>
    <n v="10147.48094161231"/>
    <s v="PRO"/>
    <n v="0.2001751906892926"/>
    <n v="7738.5083830552358"/>
    <n v="0.76260388441051674"/>
    <s v=""/>
    <n v="9985"/>
    <s v="SAMV"/>
    <n v="0.1969699958574162"/>
    <n v="7900.9893246675456"/>
    <n v="0.79128586125864253"/>
    <s v="Flagged"/>
    <s v=""/>
    <s v=""/>
    <s v=""/>
    <s v=""/>
    <x v="3"/>
    <n v="0"/>
    <m/>
    <m/>
    <n v="1"/>
    <s v="Flagged"/>
    <n v="0"/>
    <m/>
    <n v="0"/>
    <n v="0"/>
    <n v="0"/>
  </r>
  <r>
    <s v="VenezulanosVE2028"/>
    <s v="Táchira"/>
    <s v="VE20"/>
    <s v="Uribante"/>
    <s v="VE2028"/>
    <m/>
    <n v="20562"/>
    <s v="Venezulanos"/>
    <n v="343"/>
    <n v="856.51694393951448"/>
    <n v="7254.8815910246785"/>
    <n v="2268.489856391257"/>
    <n v="2469.6013625719402"/>
    <n v="0"/>
    <n v="790.27243602302087"/>
    <n v="864.36047690017892"/>
    <n v="0"/>
    <n v="0.05"/>
    <n v="0.35000000000000003"/>
    <n v="0.1"/>
    <n v="0.1"/>
    <n v="0"/>
    <n v="0.05"/>
    <n v="0.05"/>
    <n v="7254.8815910246785"/>
    <s v="SAL"/>
    <n v="0.35282956867156301"/>
    <s v=""/>
    <s v=""/>
    <s v=""/>
    <n v="2469.6013625719402"/>
    <s v="PRO"/>
    <n v="0.12010511441357553"/>
    <n v="4785.2802284527388"/>
    <n v="1.9376731406841949"/>
    <s v="Flagged"/>
    <n v="2268.489856391257"/>
    <s v="EDU"/>
    <n v="0.11032437780329039"/>
    <n v="4986.3917346334219"/>
    <n v="2.1981106596464302"/>
    <s v="Flagged"/>
    <s v=""/>
    <s v=""/>
    <s v=""/>
    <s v=""/>
    <x v="3"/>
    <n v="0"/>
    <m/>
    <m/>
    <n v="2"/>
    <s v="Flagged"/>
    <n v="0"/>
    <m/>
    <n v="0"/>
    <n v="0"/>
    <n v="0"/>
  </r>
  <r>
    <s v="VenezulanosVE2029"/>
    <s v="Táchira"/>
    <s v="VE20"/>
    <s v="San Judas Tadeo"/>
    <s v="VE2029"/>
    <m/>
    <n v="7826"/>
    <s v="Venezulanos"/>
    <n v="3261"/>
    <n v="210.86653352856581"/>
    <n v="2761.2442044236523"/>
    <n v="531.95229840460456"/>
    <n v="939.9426254006421"/>
    <n v="0"/>
    <n v="300.78164012820548"/>
    <n v="328.97991889022472"/>
    <n v="0.4"/>
    <n v="0.05"/>
    <n v="0.35000000000000003"/>
    <n v="0.05"/>
    <n v="0.1"/>
    <n v="0"/>
    <n v="0.05"/>
    <n v="0.05"/>
    <n v="3261"/>
    <s v="SAMV"/>
    <n v="0.41668796319959112"/>
    <s v=""/>
    <s v=""/>
    <s v=""/>
    <n v="2761.2442044236523"/>
    <s v="SAL"/>
    <n v="0.35282956867156301"/>
    <n v="499.75579557634774"/>
    <n v="0.1809893506614568"/>
    <s v=""/>
    <n v="939.9426254006421"/>
    <s v="PRO"/>
    <n v="0.12010511441357553"/>
    <n v="2321.0573745993579"/>
    <n v="2.46936069487223"/>
    <s v="Flagged"/>
    <s v=""/>
    <s v=""/>
    <s v=""/>
    <s v=""/>
    <x v="4"/>
    <n v="0"/>
    <m/>
    <m/>
    <n v="1"/>
    <s v="Flagged"/>
    <n v="0"/>
    <m/>
    <n v="0"/>
    <n v="0"/>
    <n v="0"/>
  </r>
  <r>
    <s v="VenezulanosVE2101"/>
    <s v="Trujillo"/>
    <s v="VE21"/>
    <s v="Andrés Bello"/>
    <s v="VE2101"/>
    <m/>
    <n v="15030"/>
    <s v="Venezulanos"/>
    <n v="939"/>
    <n v="511.81434141098032"/>
    <n v="5303.0284171335916"/>
    <n v="754.88110316700897"/>
    <n v="1818.061279817965"/>
    <n v="0"/>
    <n v="581.77960954174887"/>
    <n v="636.32144793628777"/>
    <n v="0.05"/>
    <n v="0.05"/>
    <n v="0.35000000000000003"/>
    <n v="0.05"/>
    <n v="0.1"/>
    <n v="0"/>
    <n v="0.05"/>
    <n v="0.05"/>
    <n v="5303.0284171335916"/>
    <s v="SAL"/>
    <n v="0.35282956867156295"/>
    <s v=""/>
    <s v=""/>
    <s v=""/>
    <n v="1818.061279817965"/>
    <s v="PRO"/>
    <n v="0.12096216099919926"/>
    <n v="3484.9671373156266"/>
    <n v="1.9168590058001576"/>
    <s v="Flagged"/>
    <n v="939"/>
    <s v="SAMV"/>
    <n v="6.24750499001996E-2"/>
    <n v="4364.0284171335916"/>
    <n v="4.647527600781248"/>
    <s v="Flagged"/>
    <s v=""/>
    <s v=""/>
    <s v=""/>
    <s v=""/>
    <x v="2"/>
    <n v="5303.0284171335916"/>
    <m/>
    <m/>
    <n v="2"/>
    <s v="Flagged"/>
    <n v="5303.0284171335916"/>
    <m/>
    <n v="2651.5142085667958"/>
    <n v="0"/>
    <n v="0"/>
  </r>
  <r>
    <s v="VenezulanosVE2102"/>
    <s v="Trujillo"/>
    <s v="VE21"/>
    <s v="Boconó"/>
    <s v="VE2102"/>
    <m/>
    <n v="85054"/>
    <s v="Venezulanos"/>
    <n v="8743"/>
    <n v="2879.0113153763104"/>
    <n v="30009.566133791122"/>
    <n v="7406.9908114573846"/>
    <n v="20576.631283251783"/>
    <n v="0"/>
    <n v="6605.0986419238225"/>
    <n v="7201.820949138124"/>
    <n v="0.1"/>
    <n v="0.05"/>
    <n v="0.35000000000000003"/>
    <n v="0.1"/>
    <n v="0.25"/>
    <n v="0"/>
    <n v="0.1"/>
    <n v="0.1"/>
    <n v="30009.566133791122"/>
    <s v="SAL"/>
    <n v="0.35282956867156301"/>
    <s v=""/>
    <s v=""/>
    <s v=""/>
    <n v="20576.631283251783"/>
    <s v="PRO"/>
    <n v="0.24192432199839847"/>
    <n v="9432.9348505393391"/>
    <n v="0.45842950290007944"/>
    <s v=""/>
    <n v="8743"/>
    <s v="SAMV"/>
    <n v="0.10279351941119759"/>
    <n v="21266.566133791122"/>
    <n v="2.4324106295083063"/>
    <s v="Flagged"/>
    <s v=""/>
    <s v=""/>
    <s v=""/>
    <s v=""/>
    <x v="3"/>
    <n v="0"/>
    <m/>
    <m/>
    <n v="1"/>
    <s v="Flagged"/>
    <n v="0"/>
    <m/>
    <n v="0"/>
    <n v="0"/>
    <n v="0"/>
  </r>
  <r>
    <s v="VenezulanosVE2103"/>
    <s v="Trujillo"/>
    <s v="VE21"/>
    <s v="Bolívar"/>
    <s v="VE2103"/>
    <m/>
    <n v="15635"/>
    <s v="Venezulanos"/>
    <n v="1563"/>
    <n v="574.09574535819434"/>
    <n v="5516.4903061798877"/>
    <n v="888.82925459418493"/>
    <n v="1891.2433872224806"/>
    <n v="1055.3625"/>
    <n v="605.1978839111938"/>
    <n v="661.93518552786816"/>
    <n v="0.1"/>
    <n v="0.05"/>
    <n v="0.35000000000000003"/>
    <n v="0.05"/>
    <n v="0.1"/>
    <n v="0.05"/>
    <n v="0.05"/>
    <n v="0.05"/>
    <n v="5516.4903061798877"/>
    <s v="SAL"/>
    <n v="0.35282956867156301"/>
    <s v=""/>
    <s v=""/>
    <s v=""/>
    <n v="1891.2433872224806"/>
    <s v="PRO"/>
    <n v="0.12096216099919926"/>
    <n v="3625.2469189574072"/>
    <n v="1.916859005800158"/>
    <s v="Flagged"/>
    <n v="1563"/>
    <s v="SAMV"/>
    <n v="9.9968020466901189E-2"/>
    <n v="3953.4903061798877"/>
    <n v="2.529424380153479"/>
    <s v="Flagged"/>
    <s v=""/>
    <s v=""/>
    <s v=""/>
    <s v=""/>
    <x v="3"/>
    <n v="0"/>
    <m/>
    <m/>
    <n v="2"/>
    <s v="Flagged"/>
    <n v="0"/>
    <m/>
    <n v="0"/>
    <n v="0"/>
    <n v="0"/>
  </r>
  <r>
    <s v="VenezulanosVE2104"/>
    <s v="Trujillo"/>
    <s v="VE21"/>
    <s v="Candelaria"/>
    <s v="VE2104"/>
    <m/>
    <n v="28441"/>
    <s v="Venezulanos"/>
    <n v="7657"/>
    <n v="1001.228516096149"/>
    <n v="10034.825762587923"/>
    <n v="2668.9726598559719"/>
    <n v="3440.2848209782264"/>
    <n v="0"/>
    <n v="1104.3314275340108"/>
    <n v="1204.0996873423794"/>
    <n v="0.25"/>
    <n v="0.05"/>
    <n v="0.35000000000000003"/>
    <n v="0.1"/>
    <n v="0.1"/>
    <n v="0"/>
    <n v="0.05"/>
    <n v="0.05"/>
    <n v="10034.825762587923"/>
    <s v="SAL"/>
    <n v="0.35282956867156301"/>
    <s v=""/>
    <s v=""/>
    <s v=""/>
    <n v="7657"/>
    <s v="SAMV"/>
    <n v="0.26922400759466969"/>
    <n v="2377.8257625879232"/>
    <n v="0.31054274031447343"/>
    <s v=""/>
    <n v="3440.2848209782264"/>
    <s v="PRO"/>
    <n v="0.12096216099919926"/>
    <n v="6594.5409416096973"/>
    <n v="1.9168590058001578"/>
    <s v="Flagged"/>
    <s v=""/>
    <s v=""/>
    <s v=""/>
    <s v=""/>
    <x v="3"/>
    <n v="0"/>
    <m/>
    <m/>
    <n v="1"/>
    <s v="Flagged"/>
    <n v="0"/>
    <m/>
    <n v="0"/>
    <n v="0"/>
    <n v="0"/>
  </r>
  <r>
    <s v="VenezulanosVE2105"/>
    <s v="Trujillo"/>
    <s v="VE21"/>
    <s v="Carache"/>
    <s v="VE2105"/>
    <m/>
    <n v="27976"/>
    <s v="Venezulanos"/>
    <n v="2564"/>
    <n v="961.64863789458286"/>
    <n v="9870.7600131556483"/>
    <n v="2688.4705912453178"/>
    <n v="6768.0748322271966"/>
    <n v="0"/>
    <n v="2165.7839463127029"/>
    <n v="2368.8261912795188"/>
    <n v="0.1"/>
    <n v="0.05"/>
    <n v="0.35000000000000003"/>
    <n v="0.1"/>
    <n v="0.25"/>
    <n v="0"/>
    <n v="0.1"/>
    <n v="0.1"/>
    <n v="9870.7600131556483"/>
    <s v="SAL"/>
    <n v="0.35282956867156307"/>
    <s v=""/>
    <s v=""/>
    <s v=""/>
    <n v="6768.0748322271966"/>
    <s v="PRO"/>
    <n v="0.2419243219983985"/>
    <n v="3102.6851809284517"/>
    <n v="0.45842950290007933"/>
    <s v=""/>
    <n v="2688.4705912453178"/>
    <s v="EDU"/>
    <n v="9.6099177553807466E-2"/>
    <n v="7182.2894219103309"/>
    <n v="2.6715149666500335"/>
    <s v="Flagged"/>
    <s v=""/>
    <s v=""/>
    <s v=""/>
    <s v=""/>
    <x v="3"/>
    <n v="0"/>
    <m/>
    <m/>
    <n v="1"/>
    <s v="Flagged"/>
    <n v="0"/>
    <m/>
    <n v="0"/>
    <n v="0"/>
    <n v="0"/>
  </r>
  <r>
    <s v="VenezulanosVE2106"/>
    <s v="Trujillo"/>
    <s v="VE21"/>
    <s v="Escuque"/>
    <s v="VE2106"/>
    <m/>
    <n v="27739"/>
    <s v="Venezulanos"/>
    <n v="3536"/>
    <n v="898.455174473238"/>
    <n v="9787.139405380487"/>
    <n v="3330.8621270632366"/>
    <n v="6710.7387679135736"/>
    <n v="0"/>
    <n v="2154.1471445002571"/>
    <n v="2348.7585687697506"/>
    <n v="0.15000000000000002"/>
    <n v="0.05"/>
    <n v="0.35000000000000003"/>
    <n v="0.1"/>
    <n v="0.25"/>
    <n v="0"/>
    <n v="0.1"/>
    <n v="0.1"/>
    <n v="9787.139405380487"/>
    <s v="SAL"/>
    <n v="0.35282956867156301"/>
    <s v=""/>
    <s v=""/>
    <s v=""/>
    <n v="6710.7387679135736"/>
    <s v="PRO"/>
    <n v="0.24192432199839842"/>
    <n v="3076.4006374669134"/>
    <n v="0.45842950290007978"/>
    <s v=""/>
    <n v="3536"/>
    <s v="SAMV"/>
    <n v="0.12747395363928044"/>
    <n v="6251.139405380487"/>
    <n v="1.7678561666800019"/>
    <s v="Flagged"/>
    <s v=""/>
    <s v=""/>
    <s v=""/>
    <s v=""/>
    <x v="2"/>
    <n v="9787.139405380487"/>
    <m/>
    <m/>
    <n v="1"/>
    <s v="Flagged"/>
    <n v="9787.139405380487"/>
    <m/>
    <n v="4893.5697026902435"/>
    <n v="0"/>
    <n v="0"/>
  </r>
  <r>
    <s v="VenezulanosVE2107"/>
    <s v="Trujillo"/>
    <s v="VE21"/>
    <s v="José Felipe Márquez Cañizales"/>
    <s v="VE2107"/>
    <m/>
    <n v="4656"/>
    <s v="Venezulanos"/>
    <n v="1108"/>
    <n v="154.43348450889914"/>
    <n v="1642.7744717347975"/>
    <n v="937.93561225383792"/>
    <n v="563.19982161227165"/>
    <n v="0"/>
    <n v="180.22394291592693"/>
    <n v="197.11993756429504"/>
    <n v="0.25"/>
    <n v="0.05"/>
    <n v="0.35000000000000003"/>
    <n v="0.2"/>
    <n v="0.1"/>
    <n v="0"/>
    <n v="0.05"/>
    <n v="0.05"/>
    <n v="1642.7744717347975"/>
    <s v="SAL"/>
    <n v="0.35282956867156307"/>
    <s v=""/>
    <s v=""/>
    <s v=""/>
    <n v="1108"/>
    <s v="SAMV"/>
    <n v="0.23797250859106528"/>
    <n v="534.77447173479754"/>
    <n v="0.48264844019386061"/>
    <s v=""/>
    <n v="937.93561225383792"/>
    <s v="EDU"/>
    <n v="0.20144665211637414"/>
    <n v="704.83885948095963"/>
    <n v="0.75147893978270841"/>
    <s v="Flagged"/>
    <s v=""/>
    <s v=""/>
    <s v=""/>
    <s v=""/>
    <x v="3"/>
    <n v="0"/>
    <m/>
    <m/>
    <n v="1"/>
    <s v="Flagged"/>
    <n v="0"/>
    <m/>
    <n v="0"/>
    <n v="0"/>
    <n v="0"/>
  </r>
  <r>
    <s v="VenezulanosVE2108"/>
    <s v="Trujillo"/>
    <s v="VE21"/>
    <s v="Juan Vicente Campo Elías"/>
    <s v="VE2108"/>
    <m/>
    <n v="5449"/>
    <s v="Venezulanos"/>
    <n v="665"/>
    <n v="191.19198544738322"/>
    <n v="1922.5683196913469"/>
    <n v="423.40729764383741"/>
    <n v="659.12281528463677"/>
    <n v="0"/>
    <n v="210.91930089108376"/>
    <n v="230.69298534962286"/>
    <n v="0.1"/>
    <n v="0.05"/>
    <n v="0.35000000000000003"/>
    <n v="0.1"/>
    <n v="0.1"/>
    <n v="0"/>
    <n v="0.05"/>
    <n v="0.05"/>
    <n v="1922.5683196913469"/>
    <s v="SAL"/>
    <n v="0.35282956867156301"/>
    <s v=""/>
    <s v=""/>
    <s v=""/>
    <n v="665"/>
    <s v="SAMV"/>
    <n v="0.12204074142044412"/>
    <n v="1257.5683196913469"/>
    <n v="1.8910801799869879"/>
    <s v="Flagged"/>
    <n v="659.12281528463677"/>
    <s v="PRO"/>
    <n v="0.12096216099919926"/>
    <n v="1263.4455044067101"/>
    <n v="1.9168590058001582"/>
    <s v="Flagged"/>
    <s v=""/>
    <s v=""/>
    <s v=""/>
    <s v=""/>
    <x v="2"/>
    <n v="1922.5683196913469"/>
    <m/>
    <m/>
    <n v="2"/>
    <s v="Flagged"/>
    <n v="1922.5683196913469"/>
    <m/>
    <n v="961.28415984567346"/>
    <n v="0"/>
    <n v="0"/>
  </r>
  <r>
    <s v="VenezulanosVE2109"/>
    <s v="Trujillo"/>
    <s v="VE21"/>
    <s v="La Ceiba"/>
    <s v="VE2109"/>
    <m/>
    <n v="19460"/>
    <s v="Venezulanos"/>
    <n v="1441"/>
    <n v="694.48460611633641"/>
    <n v="6866.0634063486159"/>
    <n v="592.15632997733667"/>
    <n v="4707.8473060888346"/>
    <n v="0"/>
    <n v="1511.2189852545159"/>
    <n v="1647.7465571310918"/>
    <n v="0.05"/>
    <n v="0.05"/>
    <n v="0.35000000000000003"/>
    <n v="0.05"/>
    <n v="0.25"/>
    <n v="0"/>
    <n v="0.1"/>
    <n v="0.1"/>
    <n v="6866.0634063486159"/>
    <s v="SAL"/>
    <n v="0.35282956867156301"/>
    <s v=""/>
    <s v=""/>
    <s v=""/>
    <n v="4707.8473060888346"/>
    <s v="PRO"/>
    <n v="0.2419243219983985"/>
    <n v="2158.2161002597813"/>
    <n v="0.45842950290007917"/>
    <s v=""/>
    <n v="1441"/>
    <s v="SAMV"/>
    <n v="7.4049331963001022E-2"/>
    <n v="5425.0634063486159"/>
    <n v="3.7647907053078526"/>
    <s v="Flagged"/>
    <s v=""/>
    <s v=""/>
    <s v=""/>
    <s v=""/>
    <x v="2"/>
    <n v="6866.0634063486159"/>
    <m/>
    <m/>
    <n v="1"/>
    <s v="Flagged"/>
    <n v="6866.0634063486159"/>
    <m/>
    <n v="3433.0317031743079"/>
    <n v="0"/>
    <n v="0"/>
  </r>
  <r>
    <s v="VenezulanosVE2110"/>
    <s v="Trujillo"/>
    <s v="VE21"/>
    <s v="Miranda"/>
    <s v="VE2110"/>
    <m/>
    <n v="21776"/>
    <s v="Venezulanos"/>
    <n v="259"/>
    <n v="743.2191414822812"/>
    <n v="7683.2166873919559"/>
    <n v="1742.9427233950278"/>
    <n v="2634.0720179185632"/>
    <n v="0"/>
    <n v="842.90304573394019"/>
    <n v="921.92520627149713"/>
    <n v="0"/>
    <n v="0.05"/>
    <n v="0.35000000000000003"/>
    <n v="0.1"/>
    <n v="0.1"/>
    <n v="0"/>
    <n v="0.05"/>
    <n v="0.05"/>
    <n v="7683.2166873919559"/>
    <s v="SAL"/>
    <n v="0.35282956867156301"/>
    <s v=""/>
    <s v=""/>
    <s v=""/>
    <n v="2634.0720179185632"/>
    <s v="PRO"/>
    <n v="0.12096216099919926"/>
    <n v="5049.1446694733932"/>
    <n v="1.916859005800158"/>
    <s v="Flagged"/>
    <n v="1742.9427233950278"/>
    <s v="EDU"/>
    <n v="8.0039618083900976E-2"/>
    <n v="5940.2739639969277"/>
    <n v="3.4081865595824281"/>
    <s v="Flagged"/>
    <s v=""/>
    <s v=""/>
    <s v=""/>
    <s v=""/>
    <x v="3"/>
    <n v="0"/>
    <m/>
    <m/>
    <n v="2"/>
    <s v="Flagged"/>
    <n v="0"/>
    <m/>
    <n v="0"/>
    <n v="0"/>
    <n v="0"/>
  </r>
  <r>
    <s v="VenezulanosVE2111"/>
    <s v="Trujillo"/>
    <s v="VE21"/>
    <s v="Monte Carmelo"/>
    <s v="VE2111"/>
    <m/>
    <n v="12891"/>
    <s v="Venezulanos"/>
    <n v="2241"/>
    <n v="474.06319783198478"/>
    <n v="6250.6677183721149"/>
    <n v="1690.5300263777835"/>
    <n v="1559.3232174406776"/>
    <n v="870.14249999999993"/>
    <n v="498.98342958101682"/>
    <n v="545.76312610423713"/>
    <n v="0.15000000000000002"/>
    <n v="0.05"/>
    <n v="0.5"/>
    <n v="0.15000000000000002"/>
    <n v="0.1"/>
    <n v="0.05"/>
    <n v="0.05"/>
    <n v="0.05"/>
    <n v="6250.6677183721149"/>
    <s v="SAL"/>
    <n v="0.48488617782733029"/>
    <s v=""/>
    <s v=""/>
    <s v=""/>
    <n v="2241"/>
    <s v="SAMV"/>
    <n v="0.17384221549918547"/>
    <n v="4009.6677183721149"/>
    <n v="1.7892314673681904"/>
    <s v="Flagged"/>
    <n v="1690.5300263777835"/>
    <s v="EDU"/>
    <n v="0.13114033250933083"/>
    <n v="4560.1376919943314"/>
    <n v="2.6974603354222086"/>
    <s v="Flagged"/>
    <s v=""/>
    <s v=""/>
    <s v=""/>
    <s v=""/>
    <x v="3"/>
    <n v="0"/>
    <m/>
    <m/>
    <n v="2"/>
    <s v="Flagged"/>
    <n v="0"/>
    <m/>
    <n v="0"/>
    <n v="0"/>
    <n v="0"/>
  </r>
  <r>
    <s v="VenezulanosVE2112"/>
    <s v="Trujillo"/>
    <s v="VE21"/>
    <s v="Motatán"/>
    <s v="VE2112"/>
    <m/>
    <n v="20218"/>
    <s v="Venezulanos"/>
    <n v="749"/>
    <n v="642.5012691935076"/>
    <n v="7133.5082194016613"/>
    <n v="1976.8928440547584"/>
    <n v="4891.2259421636199"/>
    <n v="0"/>
    <n v="1565.1923014923584"/>
    <n v="1711.9290797572671"/>
    <n v="0.05"/>
    <n v="0.05"/>
    <n v="0.35000000000000003"/>
    <n v="0.1"/>
    <n v="0.25"/>
    <n v="0"/>
    <n v="0.1"/>
    <n v="0.1"/>
    <n v="7133.5082194016613"/>
    <s v="SAL"/>
    <n v="0.35282956867156301"/>
    <s v=""/>
    <s v=""/>
    <s v=""/>
    <n v="4891.2259421636199"/>
    <s v="PRO"/>
    <n v="0.24192432199839844"/>
    <n v="2242.2822772380414"/>
    <n v="0.4584295029000795"/>
    <s v=""/>
    <n v="1976.8928440547584"/>
    <s v="EDU"/>
    <n v="9.7778852708218345E-2"/>
    <n v="5156.6153753469025"/>
    <n v="2.6084445552295543"/>
    <s v="Flagged"/>
    <s v=""/>
    <s v=""/>
    <s v=""/>
    <s v=""/>
    <x v="2"/>
    <n v="7133.5082194016613"/>
    <m/>
    <m/>
    <n v="1"/>
    <s v="Flagged"/>
    <n v="7133.5082194016613"/>
    <m/>
    <n v="3566.7541097008307"/>
    <n v="0"/>
    <n v="0"/>
  </r>
  <r>
    <s v="VenezulanosVE2113"/>
    <s v="Trujillo"/>
    <s v="VE21"/>
    <s v="Pampán"/>
    <s v="VE2113"/>
    <m/>
    <n v="48623"/>
    <s v="Venezulanos"/>
    <n v="2917"/>
    <n v="1571.4522412250521"/>
    <n v="17155.632117517409"/>
    <n v="4229.6640949479497"/>
    <n v="5881.5431542640636"/>
    <n v="0"/>
    <n v="1882.0938093645004"/>
    <n v="2058.5401039924218"/>
    <n v="0.05"/>
    <n v="0.05"/>
    <n v="0.35000000000000003"/>
    <n v="0.1"/>
    <n v="0.1"/>
    <n v="0"/>
    <n v="0.05"/>
    <n v="0.05"/>
    <n v="17155.632117517409"/>
    <s v="SAL"/>
    <n v="0.35282956867156301"/>
    <s v=""/>
    <s v=""/>
    <s v=""/>
    <n v="5881.5431542640636"/>
    <s v="PRO"/>
    <n v="0.12096216099919922"/>
    <n v="11274.088963253345"/>
    <n v="1.9168590058001591"/>
    <s v="Flagged"/>
    <n v="4229.6640949479497"/>
    <s v="EDU"/>
    <n v="8.6988957796679547E-2"/>
    <n v="12925.968022569459"/>
    <n v="3.0560270821526139"/>
    <s v="Flagged"/>
    <s v=""/>
    <s v=""/>
    <s v=""/>
    <s v=""/>
    <x v="3"/>
    <n v="0"/>
    <m/>
    <m/>
    <n v="2"/>
    <s v="Flagged"/>
    <n v="0"/>
    <m/>
    <n v="0"/>
    <n v="0"/>
    <n v="0"/>
  </r>
  <r>
    <s v="VenezulanosVE2114"/>
    <s v="Trujillo"/>
    <s v="VE21"/>
    <s v="Pampanito"/>
    <s v="VE2114"/>
    <m/>
    <n v="29160"/>
    <s v="Venezulanos"/>
    <n v="663"/>
    <n v="869.01905017355637"/>
    <n v="10288.510222462775"/>
    <n v="3570.5693405609359"/>
    <n v="5878.7610245610849"/>
    <n v="0"/>
    <n v="1887.0822888841083"/>
    <n v="2057.5663585963794"/>
    <n v="0"/>
    <n v="0.05"/>
    <n v="0.35000000000000003"/>
    <n v="0.1"/>
    <n v="0.2"/>
    <n v="0"/>
    <n v="0.05"/>
    <n v="0.05"/>
    <n v="10288.510222462775"/>
    <s v="SAL"/>
    <n v="0.35282956867156295"/>
    <s v=""/>
    <s v=""/>
    <s v=""/>
    <n v="5878.7610245610849"/>
    <s v="PRO"/>
    <n v="0.20160360166533214"/>
    <n v="4409.7491979016904"/>
    <n v="0.7501154034800942"/>
    <s v=""/>
    <n v="3570.5693405609359"/>
    <s v="EDU"/>
    <n v="0.12244750824968915"/>
    <n v="6717.940881901839"/>
    <n v="1.8814761011885157"/>
    <s v="Flagged"/>
    <s v=""/>
    <s v=""/>
    <s v=""/>
    <s v=""/>
    <x v="3"/>
    <n v="0"/>
    <m/>
    <m/>
    <n v="1"/>
    <s v="Flagged"/>
    <n v="0"/>
    <m/>
    <n v="0"/>
    <n v="0"/>
    <n v="0"/>
  </r>
  <r>
    <s v="VenezulanosVE2115"/>
    <s v="Trujillo"/>
    <s v="VE21"/>
    <s v="Rafael Rangel"/>
    <s v="VE2115"/>
    <m/>
    <n v="22649"/>
    <s v="Venezulanos"/>
    <n v="3303"/>
    <n v="741.48890425405136"/>
    <n v="7991.236900842232"/>
    <n v="2372.8880785709603"/>
    <n v="4566.1199741181063"/>
    <n v="0"/>
    <n v="1461.1583917177941"/>
    <n v="1598.1419909413371"/>
    <n v="0.15000000000000002"/>
    <n v="0.05"/>
    <n v="0.35000000000000003"/>
    <n v="0.1"/>
    <n v="0.2"/>
    <n v="0"/>
    <n v="0.05"/>
    <n v="0.05"/>
    <n v="7991.236900842232"/>
    <s v="SAL"/>
    <n v="0.35282956867156307"/>
    <s v=""/>
    <s v=""/>
    <s v=""/>
    <n v="4566.1199741181063"/>
    <s v="PRO"/>
    <n v="0.20160360166533209"/>
    <n v="3425.1169267241257"/>
    <n v="0.75011540348009531"/>
    <s v=""/>
    <n v="3303"/>
    <s v="SAMV"/>
    <n v="0.14583425316791029"/>
    <n v="4688.236900842232"/>
    <n v="1.4193874964705515"/>
    <s v="Flagged"/>
    <s v=""/>
    <s v=""/>
    <s v=""/>
    <s v=""/>
    <x v="2"/>
    <n v="7991.236900842232"/>
    <m/>
    <m/>
    <n v="1"/>
    <s v="Flagged"/>
    <n v="7991.236900842232"/>
    <m/>
    <n v="3995.618450421116"/>
    <n v="0"/>
    <n v="0"/>
  </r>
  <r>
    <s v="VenezulanosVE2116"/>
    <s v="Trujillo"/>
    <s v="VE21"/>
    <s v="San Rafael De Carvajal"/>
    <s v="VE2116"/>
    <m/>
    <n v="56658"/>
    <s v="Venezulanos"/>
    <n v="1836"/>
    <n v="2694.311065042511"/>
    <n v="19990.617701793417"/>
    <n v="8724.4156836071579"/>
    <n v="13706.948235785261"/>
    <n v="0"/>
    <n v="4386.2234354512839"/>
    <n v="4797.4318825248411"/>
    <n v="0.05"/>
    <n v="0.05"/>
    <n v="0.35000000000000003"/>
    <n v="0.15000000000000002"/>
    <n v="0.25"/>
    <n v="0"/>
    <n v="0.1"/>
    <n v="0.1"/>
    <n v="19990.617701793417"/>
    <s v="SAL"/>
    <n v="0.35282956867156301"/>
    <s v=""/>
    <s v=""/>
    <s v=""/>
    <n v="13706.948235785261"/>
    <s v="PRO"/>
    <n v="0.24192432199839847"/>
    <n v="6283.6694660081557"/>
    <n v="0.45842950290007928"/>
    <s v=""/>
    <n v="8724.4156836071579"/>
    <s v="EDU"/>
    <n v="0.1539838272372332"/>
    <n v="11266.202018186259"/>
    <n v="1.2913417272580237"/>
    <s v="Flagged"/>
    <s v=""/>
    <s v=""/>
    <s v=""/>
    <s v=""/>
    <x v="3"/>
    <n v="0"/>
    <m/>
    <m/>
    <n v="1"/>
    <s v="Flagged"/>
    <n v="0"/>
    <m/>
    <n v="0"/>
    <n v="0"/>
    <n v="0"/>
  </r>
  <r>
    <s v="VenezulanosVE2117"/>
    <s v="Trujillo"/>
    <s v="VE21"/>
    <s v="Sucre"/>
    <s v="VE2117"/>
    <m/>
    <n v="31412"/>
    <s v="Venezulanos"/>
    <n v="2443"/>
    <n v="1032.2732347856095"/>
    <n v="11083.082411111138"/>
    <n v="2214.0888526971544"/>
    <n v="3799.6634013068465"/>
    <n v="2120.31"/>
    <n v="1219.6919518194977"/>
    <n v="1329.8821904573963"/>
    <n v="0.1"/>
    <n v="0.05"/>
    <n v="0.35000000000000003"/>
    <n v="0.05"/>
    <n v="0.1"/>
    <n v="0.05"/>
    <n v="0.05"/>
    <n v="0.05"/>
    <n v="11083.082411111138"/>
    <s v="SAL"/>
    <n v="0.35282956867156301"/>
    <s v=""/>
    <s v=""/>
    <s v=""/>
    <n v="3799.6634013068465"/>
    <s v="PRO"/>
    <n v="0.12096216099919924"/>
    <n v="7283.4190098042909"/>
    <n v="1.9168590058001587"/>
    <s v="Flagged"/>
    <n v="2443"/>
    <s v="SAMV"/>
    <n v="7.777282567171781E-2"/>
    <n v="8640.0824111111378"/>
    <n v="3.5366690180561351"/>
    <s v="Flagged"/>
    <s v=""/>
    <s v=""/>
    <s v=""/>
    <s v=""/>
    <x v="3"/>
    <n v="0"/>
    <m/>
    <m/>
    <n v="2"/>
    <s v="Flagged"/>
    <n v="0"/>
    <m/>
    <n v="0"/>
    <n v="0"/>
    <n v="0"/>
  </r>
  <r>
    <s v="VenezulanosVE2118"/>
    <s v="Trujillo"/>
    <s v="VE21"/>
    <s v="Trujillo"/>
    <s v="VE2118"/>
    <m/>
    <n v="55431"/>
    <s v="Venezulanos"/>
    <n v="9366"/>
    <n v="2478.0140410177223"/>
    <n v="19557.695821033412"/>
    <n v="6118.5979452721185"/>
    <n v="6705.0535463466149"/>
    <n v="0"/>
    <n v="2145.6171348309172"/>
    <n v="2346.7687412213149"/>
    <n v="0.15000000000000002"/>
    <n v="0.05"/>
    <n v="0.35000000000000003"/>
    <n v="0.1"/>
    <n v="0.1"/>
    <n v="0"/>
    <n v="0.05"/>
    <n v="0.05"/>
    <n v="19557.695821033412"/>
    <s v="SAL"/>
    <n v="0.35282956867156307"/>
    <s v=""/>
    <s v=""/>
    <s v=""/>
    <n v="9366"/>
    <s v="SAMV"/>
    <n v="0.16896682361855281"/>
    <n v="10191.695821033412"/>
    <n v="1.0881588534095037"/>
    <s v="Flagged"/>
    <n v="6705.0535463466149"/>
    <s v="PRO"/>
    <n v="0.12096216099919928"/>
    <n v="12852.642274686797"/>
    <n v="1.9168590058001582"/>
    <s v="Flagged"/>
    <s v=""/>
    <s v=""/>
    <s v=""/>
    <s v=""/>
    <x v="2"/>
    <n v="19557.695821033412"/>
    <m/>
    <m/>
    <n v="2"/>
    <s v="Flagged"/>
    <n v="19557.695821033412"/>
    <m/>
    <n v="9778.8479105167062"/>
    <n v="0"/>
    <n v="0"/>
  </r>
  <r>
    <s v="VenezulanosVE2119"/>
    <s v="Trujillo"/>
    <s v="VE21"/>
    <s v="Urdaneta"/>
    <s v="VE2119"/>
    <m/>
    <n v="34380"/>
    <s v="Venezulanos"/>
    <n v="12824"/>
    <n v="1187.199274164188"/>
    <n v="12130.280570928335"/>
    <n v="2620.5657708745589"/>
    <n v="8317.358190304938"/>
    <n v="0"/>
    <n v="2661.5546208975802"/>
    <n v="2911.075366606728"/>
    <n v="0.35000000000000003"/>
    <n v="0.05"/>
    <n v="0.35000000000000003"/>
    <n v="0.1"/>
    <n v="0.25"/>
    <n v="0"/>
    <n v="0.1"/>
    <n v="0.1"/>
    <n v="12824"/>
    <s v="SAMV"/>
    <n v="0.37300756253635836"/>
    <s v=""/>
    <s v=""/>
    <s v=""/>
    <n v="12130.280570928335"/>
    <s v="SAL"/>
    <n v="0.35282956867156295"/>
    <n v="693.71942907166522"/>
    <n v="5.7189067063646216E-2"/>
    <s v=""/>
    <n v="8317.358190304938"/>
    <s v="PRO"/>
    <n v="0.24192432199839842"/>
    <n v="4506.641809695062"/>
    <n v="0.54183572554903225"/>
    <s v="Flagged"/>
    <s v=""/>
    <s v=""/>
    <s v=""/>
    <s v=""/>
    <x v="3"/>
    <n v="0"/>
    <m/>
    <m/>
    <n v="1"/>
    <s v="Flagged"/>
    <n v="0"/>
    <m/>
    <n v="0"/>
    <n v="0"/>
    <n v="0"/>
  </r>
  <r>
    <s v="VenezulanosVE2120"/>
    <s v="Trujillo"/>
    <s v="VE21"/>
    <s v="Valera"/>
    <s v="VE2120"/>
    <m/>
    <n v="139204"/>
    <s v="Venezulanos"/>
    <n v="12392"/>
    <n v="20776.441349154215"/>
    <n v="49115.287277356256"/>
    <n v="14544.995300628078"/>
    <n v="33676.833319465062"/>
    <n v="0"/>
    <n v="10776.586662228819"/>
    <n v="11786.89166181277"/>
    <n v="0.1"/>
    <n v="0.15000000000000002"/>
    <n v="0.35000000000000003"/>
    <n v="0.1"/>
    <n v="0.25"/>
    <n v="0"/>
    <n v="0.1"/>
    <n v="0.1"/>
    <n v="49115.287277356256"/>
    <s v="SAL"/>
    <n v="0.35282956867156301"/>
    <s v=""/>
    <s v=""/>
    <s v=""/>
    <n v="33676.833319465062"/>
    <s v="PRO"/>
    <n v="0.24192432199839847"/>
    <n v="15438.453957891194"/>
    <n v="0.45842950290007922"/>
    <s v=""/>
    <n v="20776.441349154215"/>
    <s v="NUT"/>
    <n v="0.14925175533141444"/>
    <n v="28338.845928202041"/>
    <n v="1.3639894076160297"/>
    <s v="Flagged"/>
    <s v=""/>
    <s v=""/>
    <s v=""/>
    <s v=""/>
    <x v="2"/>
    <n v="49115.287277356256"/>
    <m/>
    <m/>
    <n v="1"/>
    <s v="Flagged"/>
    <n v="49115.287277356256"/>
    <m/>
    <n v="24557.643638678128"/>
    <n v="0"/>
    <n v="0"/>
  </r>
  <r>
    <s v="VenezulanosVE2201"/>
    <s v="Yaracuy"/>
    <s v="VE22"/>
    <s v="Arístides Bastidas"/>
    <s v="VE2201"/>
    <m/>
    <n v="20943"/>
    <s v="Venezulanos"/>
    <n v="4654"/>
    <n v="575.83036183599347"/>
    <n v="7389.3096566885442"/>
    <n v="1494.9659260213348"/>
    <n v="4163.1709137784565"/>
    <n v="0"/>
    <n v="1332.2146924091062"/>
    <n v="1457.1098198224595"/>
    <n v="0.2"/>
    <n v="0.05"/>
    <n v="0.35000000000000003"/>
    <n v="0.05"/>
    <n v="0.2"/>
    <n v="0"/>
    <n v="0.05"/>
    <n v="0.05"/>
    <n v="7389.3096566885442"/>
    <s v="SAL"/>
    <n v="0.35282956867156301"/>
    <s v=""/>
    <s v=""/>
    <s v=""/>
    <n v="4654"/>
    <s v="SAMV"/>
    <n v="0.22222222222222221"/>
    <n v="2735.3096566885442"/>
    <n v="0.58773305902203354"/>
    <s v=""/>
    <n v="4163.1709137784565"/>
    <s v="PRO"/>
    <n v="0.19878579543420027"/>
    <n v="3226.1387429100878"/>
    <n v="0.77492344410671177"/>
    <s v="Flagged"/>
    <s v=""/>
    <s v=""/>
    <s v=""/>
    <s v=""/>
    <x v="2"/>
    <n v="7389.3096566885442"/>
    <m/>
    <m/>
    <n v="1"/>
    <s v="Flagged"/>
    <n v="7389.3096566885442"/>
    <m/>
    <n v="3694.6548283442721"/>
    <n v="0"/>
    <n v="0"/>
  </r>
  <r>
    <s v="VenezulanosVE2202"/>
    <s v="Yaracuy"/>
    <s v="VE22"/>
    <s v="Bolívar"/>
    <s v="VE2202"/>
    <m/>
    <n v="31883"/>
    <s v="Venezulanos"/>
    <n v="4637"/>
    <n v="817.84521050715773"/>
    <n v="11249.265137955445"/>
    <n v="1700.2718086262826"/>
    <n v="6337.8875158286055"/>
    <n v="0"/>
    <n v="2028.1240050651536"/>
    <n v="2218.2606305400118"/>
    <n v="0.15000000000000002"/>
    <n v="0.05"/>
    <n v="0.35000000000000003"/>
    <n v="0.05"/>
    <n v="0.2"/>
    <n v="0"/>
    <n v="0.05"/>
    <n v="0.05"/>
    <n v="11249.265137955445"/>
    <s v="SAL"/>
    <n v="0.35282956867156307"/>
    <s v=""/>
    <s v=""/>
    <s v=""/>
    <n v="6337.8875158286055"/>
    <s v="PRO"/>
    <n v="0.19878579543420022"/>
    <n v="4911.377622126839"/>
    <n v="0.77492344410671243"/>
    <s v=""/>
    <n v="4637"/>
    <s v="SAMV"/>
    <n v="0.14543800771571055"/>
    <n v="6612.2651379554445"/>
    <n v="1.4259791110535787"/>
    <s v="Flagged"/>
    <s v=""/>
    <s v=""/>
    <s v=""/>
    <s v=""/>
    <x v="3"/>
    <n v="0"/>
    <m/>
    <m/>
    <n v="1"/>
    <s v="Flagged"/>
    <n v="0"/>
    <m/>
    <n v="0"/>
    <n v="0"/>
    <n v="0"/>
  </r>
  <r>
    <s v="VenezulanosVE2203"/>
    <s v="Yaracuy"/>
    <s v="VE22"/>
    <s v="Bruzual"/>
    <s v="VE2203"/>
    <m/>
    <n v="71311"/>
    <s v="Venezulanos"/>
    <n v="11299"/>
    <n v="1690.1065796166481"/>
    <n v="25160.629371537831"/>
    <n v="6297.3319012244301"/>
    <n v="14175.613858208251"/>
    <n v="0"/>
    <n v="4536.1964346266404"/>
    <n v="4961.4648503728877"/>
    <n v="0.15000000000000002"/>
    <n v="0"/>
    <n v="0.35000000000000003"/>
    <n v="0.1"/>
    <n v="0.2"/>
    <n v="0"/>
    <n v="0.05"/>
    <n v="0.05"/>
    <n v="25160.629371537831"/>
    <s v="SAL"/>
    <n v="0.35282956867156301"/>
    <s v=""/>
    <s v=""/>
    <s v=""/>
    <n v="14175.613858208251"/>
    <s v="PRO"/>
    <n v="0.19878579543420022"/>
    <n v="10985.015513329579"/>
    <n v="0.77492344410671243"/>
    <s v=""/>
    <n v="11299"/>
    <s v="SAMV"/>
    <n v="0.15844680343845971"/>
    <n v="13861.629371537831"/>
    <n v="1.2268014312362006"/>
    <s v="Flagged"/>
    <s v=""/>
    <s v=""/>
    <s v=""/>
    <s v=""/>
    <x v="3"/>
    <n v="0"/>
    <m/>
    <m/>
    <n v="1"/>
    <s v="Flagged"/>
    <n v="0"/>
    <m/>
    <n v="0"/>
    <n v="0"/>
    <n v="0"/>
  </r>
  <r>
    <s v="VenezulanosVE2204"/>
    <s v="Yaracuy"/>
    <s v="VE22"/>
    <s v="Cocorote"/>
    <s v="VE2204"/>
    <m/>
    <n v="42416"/>
    <s v="Venezulanos"/>
    <n v="2693"/>
    <n v="1058.7697482615831"/>
    <n v="14965.618984773017"/>
    <n v="4953.3977725632158"/>
    <n v="8431.6982991370351"/>
    <n v="0"/>
    <n v="2698.1434557238513"/>
    <n v="2951.0944046979625"/>
    <n v="0.05"/>
    <n v="0"/>
    <n v="0.35000000000000003"/>
    <n v="0.1"/>
    <n v="0.2"/>
    <n v="0"/>
    <n v="0.05"/>
    <n v="0.05"/>
    <n v="14965.618984773017"/>
    <s v="SAL"/>
    <n v="0.35282956867156301"/>
    <s v=""/>
    <s v=""/>
    <s v=""/>
    <n v="8431.6982991370351"/>
    <s v="PRO"/>
    <n v="0.19878579543420019"/>
    <n v="6533.9206856359815"/>
    <n v="0.77492344410671254"/>
    <s v=""/>
    <n v="4953.3977725632158"/>
    <s v="EDU"/>
    <n v="0.11678135072998906"/>
    <n v="10012.221212209801"/>
    <n v="2.0212835051663567"/>
    <s v="Flagged"/>
    <s v=""/>
    <s v=""/>
    <s v=""/>
    <s v=""/>
    <x v="3"/>
    <n v="0"/>
    <m/>
    <m/>
    <n v="1"/>
    <s v="Flagged"/>
    <n v="0"/>
    <m/>
    <n v="0"/>
    <n v="0"/>
    <n v="0"/>
  </r>
  <r>
    <s v="VenezulanosVE2205"/>
    <s v="Yaracuy"/>
    <s v="VE22"/>
    <s v="Independencia"/>
    <s v="VE2205"/>
    <m/>
    <n v="59114"/>
    <s v="Venezulanos"/>
    <n v="11709"/>
    <n v="1176.967145846462"/>
    <n v="20857.167122450774"/>
    <n v="10136.559796715932"/>
    <n v="14101.228213556771"/>
    <n v="0"/>
    <n v="4512.3930283381669"/>
    <n v="4935.4298747448702"/>
    <n v="0.2"/>
    <n v="0"/>
    <n v="0.35000000000000003"/>
    <n v="0.15000000000000002"/>
    <n v="0.25"/>
    <n v="0"/>
    <n v="0.1"/>
    <n v="0.1"/>
    <n v="20857.167122450774"/>
    <s v="SAL"/>
    <n v="0.35282956867156295"/>
    <s v=""/>
    <s v=""/>
    <s v=""/>
    <n v="14101.228213556771"/>
    <s v="PRO"/>
    <n v="0.23854295452104021"/>
    <n v="6755.9389088940025"/>
    <n v="0.47910287008892705"/>
    <s v=""/>
    <n v="11709"/>
    <s v="SAMV"/>
    <n v="0.19807490611361098"/>
    <n v="9148.1671224507736"/>
    <n v="0.78129363074991665"/>
    <s v="Flagged"/>
    <s v=""/>
    <s v=""/>
    <s v=""/>
    <s v=""/>
    <x v="2"/>
    <n v="20857.167122450774"/>
    <m/>
    <m/>
    <n v="1"/>
    <s v="Flagged"/>
    <n v="20857.167122450774"/>
    <m/>
    <n v="10428.583561225387"/>
    <n v="0"/>
    <n v="0"/>
  </r>
  <r>
    <s v="VenezulanosVE2206"/>
    <s v="Yaracuy"/>
    <s v="VE22"/>
    <s v="José Antonio Páez"/>
    <s v="VE2206"/>
    <m/>
    <n v="20113"/>
    <s v="Venezulanos"/>
    <n v="7822"/>
    <n v="1011.0992329205294"/>
    <n v="7096.4611146911484"/>
    <n v="1116.9085374350739"/>
    <n v="3998.1787035680691"/>
    <n v="0"/>
    <n v="1279.4171851417823"/>
    <n v="1399.3625462488242"/>
    <n v="0.4"/>
    <n v="0.05"/>
    <n v="0.35000000000000003"/>
    <n v="0.05"/>
    <n v="0.2"/>
    <n v="0"/>
    <n v="0.05"/>
    <n v="0.05"/>
    <n v="7822"/>
    <s v="SAMV"/>
    <n v="0.38890269974643266"/>
    <s v=""/>
    <s v=""/>
    <s v=""/>
    <n v="7096.4611146911484"/>
    <s v="SAL"/>
    <n v="0.35282956867156307"/>
    <n v="725.5388853088516"/>
    <n v="0.10223953511234429"/>
    <s v=""/>
    <n v="3998.1787035680691"/>
    <s v="PRO"/>
    <n v="0.19878579543420022"/>
    <n v="3823.8212964319309"/>
    <n v="0.9563907918921839"/>
    <s v="Flagged"/>
    <s v=""/>
    <s v=""/>
    <s v=""/>
    <s v=""/>
    <x v="3"/>
    <n v="0"/>
    <m/>
    <m/>
    <n v="1"/>
    <s v="Flagged"/>
    <n v="0"/>
    <m/>
    <n v="0"/>
    <n v="0"/>
    <n v="0"/>
  </r>
  <r>
    <s v="VenezulanosVE2207"/>
    <s v="Yaracuy"/>
    <s v="VE22"/>
    <s v="La Trinidad"/>
    <s v="VE2207"/>
    <m/>
    <n v="17586"/>
    <s v="Venezulanos"/>
    <n v="3908"/>
    <n v="978.79765969788377"/>
    <n v="6204.8607946581069"/>
    <n v="1504.7730863603952"/>
    <n v="3495.846998505845"/>
    <n v="0"/>
    <n v="1122.1668865203762"/>
    <n v="1223.5464494770456"/>
    <n v="0.2"/>
    <n v="0.05"/>
    <n v="0.35000000000000003"/>
    <n v="0.1"/>
    <n v="0.2"/>
    <n v="0"/>
    <n v="0.05"/>
    <n v="0.05"/>
    <n v="6204.8607946581069"/>
    <s v="SAL"/>
    <n v="0.35282956867156301"/>
    <s v=""/>
    <s v=""/>
    <s v=""/>
    <n v="3908"/>
    <s v="SAMV"/>
    <n v="0.22222222222222221"/>
    <n v="2296.8607946581069"/>
    <n v="0.58773305902203354"/>
    <s v=""/>
    <n v="3495.846998505845"/>
    <s v="PRO"/>
    <n v="0.19878579543420022"/>
    <n v="2709.0137961522619"/>
    <n v="0.77492344410671221"/>
    <s v="Flagged"/>
    <s v=""/>
    <s v=""/>
    <s v=""/>
    <s v=""/>
    <x v="2"/>
    <n v="6204.8607946581069"/>
    <m/>
    <m/>
    <n v="1"/>
    <s v="Flagged"/>
    <n v="6204.8607946581069"/>
    <m/>
    <n v="3102.4303973290534"/>
    <n v="0"/>
    <n v="0"/>
  </r>
  <r>
    <s v="VenezulanosVE2208"/>
    <s v="Yaracuy"/>
    <s v="VE22"/>
    <s v="Manuel Monge"/>
    <s v="VE2208"/>
    <m/>
    <n v="13474"/>
    <s v="Venezulanos"/>
    <n v="1892"/>
    <n v="315.33108204809508"/>
    <n v="7361.1924399103073"/>
    <n v="1779.1048479114643"/>
    <n v="3214.1277692164963"/>
    <n v="0"/>
    <n v="1031.7350139184955"/>
    <n v="1124.9447192257737"/>
    <n v="0.15000000000000002"/>
    <n v="0"/>
    <n v="0.55000000000000004"/>
    <n v="0.15000000000000002"/>
    <n v="0.25"/>
    <n v="0"/>
    <n v="0.1"/>
    <n v="0.1"/>
    <n v="7361.1924399103073"/>
    <s v="SAL"/>
    <n v="0.54632569689107224"/>
    <s v=""/>
    <s v=""/>
    <s v=""/>
    <n v="3214.1277692164963"/>
    <s v="PRO"/>
    <n v="0.23854295452104024"/>
    <n v="4147.0646706938114"/>
    <n v="1.2902612990101312"/>
    <s v="Flagged"/>
    <n v="1892"/>
    <s v="SAMV"/>
    <n v="0.14041858393943893"/>
    <n v="5469.1924399103073"/>
    <n v="2.8906936785995283"/>
    <s v="Flagged"/>
    <s v=""/>
    <s v=""/>
    <s v=""/>
    <s v=""/>
    <x v="2"/>
    <n v="7361.1924399103073"/>
    <m/>
    <m/>
    <n v="2"/>
    <s v="Flagged"/>
    <n v="7361.1924399103073"/>
    <m/>
    <n v="3680.5962199551536"/>
    <n v="0"/>
    <n v="0"/>
  </r>
  <r>
    <s v="VenezulanosVE2209"/>
    <s v="Yaracuy"/>
    <s v="VE22"/>
    <s v="Nirgua"/>
    <s v="VE2209"/>
    <m/>
    <n v="60255"/>
    <s v="Venezulanos"/>
    <n v="15063"/>
    <n v="3140.3300244250358"/>
    <n v="21259.74566030503"/>
    <n v="6639.3574819902069"/>
    <n v="14373.405724665281"/>
    <n v="0"/>
    <n v="4613.8632376175556"/>
    <n v="5030.6920036328484"/>
    <n v="0.25"/>
    <n v="0.05"/>
    <n v="0.35000000000000003"/>
    <n v="0.1"/>
    <n v="0.25"/>
    <n v="0"/>
    <n v="0.1"/>
    <n v="0.1"/>
    <n v="21259.74566030503"/>
    <s v="SAL"/>
    <n v="0.35282956867156301"/>
    <s v=""/>
    <s v=""/>
    <s v=""/>
    <n v="15063"/>
    <s v="SAMV"/>
    <n v="0.24998755290017427"/>
    <n v="6196.7456603050305"/>
    <n v="0.41138854546272524"/>
    <s v=""/>
    <n v="14373.405724665281"/>
    <s v="PRO"/>
    <n v="0.23854295452104027"/>
    <n v="6886.3399356397495"/>
    <n v="0.47910287008892699"/>
    <s v=""/>
    <s v=""/>
    <s v=""/>
    <s v=""/>
    <s v=""/>
    <x v="2"/>
    <n v="21259.74566030503"/>
    <m/>
    <m/>
    <n v="0"/>
    <s v=""/>
    <n v="21259.74566030503"/>
    <m/>
    <n v="10629.872830152515"/>
    <n v="0"/>
    <n v="0"/>
  </r>
  <r>
    <s v="VenezulanosVE2210"/>
    <s v="Yaracuy"/>
    <s v="VE22"/>
    <s v="Peña"/>
    <s v="VE2210"/>
    <m/>
    <n v="103917"/>
    <s v="Venezulanos"/>
    <n v="32561"/>
    <n v="3623.5597150443477"/>
    <n v="36664.99028764281"/>
    <n v="11254.360580322158"/>
    <n v="24788.668204962938"/>
    <n v="0"/>
    <n v="7932.3738255881408"/>
    <n v="8676.0338717370269"/>
    <n v="0.30000000000000004"/>
    <n v="0.05"/>
    <n v="0.35000000000000003"/>
    <n v="0.1"/>
    <n v="0.25"/>
    <n v="0"/>
    <n v="0.1"/>
    <n v="0.1"/>
    <n v="36664.99028764281"/>
    <s v="SAL"/>
    <n v="0.35282956867156295"/>
    <s v=""/>
    <s v=""/>
    <s v=""/>
    <n v="32561"/>
    <s v="SAMV"/>
    <n v="0.31333660517528411"/>
    <n v="4103.9902876428096"/>
    <n v="0.12604005674404378"/>
    <s v=""/>
    <n v="24788.668204962938"/>
    <s v="PRO"/>
    <n v="0.23854295452104024"/>
    <n v="11876.322082679872"/>
    <n v="0.47910287008892694"/>
    <s v=""/>
    <s v=""/>
    <s v=""/>
    <s v=""/>
    <s v=""/>
    <x v="3"/>
    <n v="0"/>
    <m/>
    <m/>
    <n v="0"/>
    <s v=""/>
    <n v="0"/>
    <m/>
    <n v="0"/>
    <n v="0"/>
    <n v="0"/>
  </r>
  <r>
    <s v="VenezulanosVE2211"/>
    <s v="Yaracuy"/>
    <s v="VE22"/>
    <s v="San Felipe"/>
    <s v="VE2211"/>
    <m/>
    <n v="103036"/>
    <s v="Venezulanos"/>
    <n v="1762"/>
    <n v="3848.9964002932934"/>
    <n v="36354.147437643165"/>
    <n v="4886.9141415836402"/>
    <n v="24578.511862029907"/>
    <n v="0"/>
    <n v="7889.702307711601"/>
    <n v="8602.4791517104677"/>
    <n v="0"/>
    <n v="0.05"/>
    <n v="0.35000000000000003"/>
    <n v="0.05"/>
    <n v="0.25"/>
    <n v="0"/>
    <n v="0.1"/>
    <n v="0.1"/>
    <n v="36354.147437643165"/>
    <s v="SAL"/>
    <n v="0.35282956867156301"/>
    <s v=""/>
    <s v=""/>
    <s v=""/>
    <n v="24578.511862029907"/>
    <s v="PRO"/>
    <n v="0.2385429545210403"/>
    <n v="11775.635575613258"/>
    <n v="0.47910287008892666"/>
    <s v=""/>
    <n v="4886.9141415836402"/>
    <s v="EDU"/>
    <n v="4.7429191171858773E-2"/>
    <n v="31467.233296059523"/>
    <n v="6.4390804471679006"/>
    <s v="Flagged"/>
    <s v=""/>
    <s v=""/>
    <s v=""/>
    <s v=""/>
    <x v="2"/>
    <n v="36354.147437643165"/>
    <m/>
    <m/>
    <n v="1"/>
    <s v="Flagged"/>
    <n v="36354.147437643165"/>
    <m/>
    <n v="18177.073718821583"/>
    <n v="0"/>
    <n v="0"/>
  </r>
  <r>
    <s v="VenezulanosVE2212"/>
    <s v="Yaracuy"/>
    <s v="VE22"/>
    <s v="Sucre"/>
    <s v="VE2212"/>
    <m/>
    <n v="19418"/>
    <s v="Venezulanos"/>
    <n v="3236"/>
    <n v="719.34171979746759"/>
    <n v="6851.2445644644113"/>
    <n v="1718.854180887447"/>
    <n v="3860.0225757413"/>
    <n v="0"/>
    <n v="1239.0672468129574"/>
    <n v="1351.0079015094548"/>
    <n v="0.15000000000000002"/>
    <n v="0.05"/>
    <n v="0.35000000000000003"/>
    <n v="0.1"/>
    <n v="0.2"/>
    <n v="0"/>
    <n v="0.05"/>
    <n v="0.05"/>
    <n v="6851.2445644644113"/>
    <s v="SAL"/>
    <n v="0.35282956867156307"/>
    <s v=""/>
    <s v=""/>
    <s v=""/>
    <n v="3860.0225757413"/>
    <s v="PRO"/>
    <n v="0.19878579543420022"/>
    <n v="2991.2219887231113"/>
    <n v="0.77492344410671243"/>
    <s v=""/>
    <n v="3236"/>
    <s v="SAMV"/>
    <n v="0.16664950046348748"/>
    <n v="3615.2445644644113"/>
    <n v="1.1171954772757759"/>
    <s v="Flagged"/>
    <s v=""/>
    <s v=""/>
    <s v=""/>
    <s v=""/>
    <x v="3"/>
    <n v="0"/>
    <m/>
    <m/>
    <n v="1"/>
    <s v="Flagged"/>
    <n v="0"/>
    <m/>
    <n v="0"/>
    <n v="0"/>
    <n v="0"/>
  </r>
  <r>
    <s v="VenezulanosVE2213"/>
    <s v="Yaracuy"/>
    <s v="VE22"/>
    <s v="Urachiche"/>
    <s v="VE2213"/>
    <m/>
    <n v="22462"/>
    <s v="Venezulanos"/>
    <n v="3816"/>
    <n v="1776.5089459650733"/>
    <n v="7925.2577715006482"/>
    <n v="1709.8437548794254"/>
    <n v="5358.1518444516068"/>
    <n v="10107.9"/>
    <n v="1714.6085902245143"/>
    <n v="1875.3531455580624"/>
    <n v="0.15000000000000002"/>
    <n v="0.1"/>
    <n v="0.35000000000000003"/>
    <n v="0.1"/>
    <n v="0.25"/>
    <n v="0.45"/>
    <n v="0.1"/>
    <n v="0.1"/>
    <n v="10107.9"/>
    <s v="ASH"/>
    <n v="0.45"/>
    <s v=""/>
    <s v=""/>
    <s v=""/>
    <n v="7925.2577715006482"/>
    <s v="SAL"/>
    <n v="0.35282956867156301"/>
    <n v="2182.6422284993514"/>
    <n v="0.27540331070973706"/>
    <s v=""/>
    <n v="5358.1518444516068"/>
    <s v="PRO"/>
    <n v="0.2385429545210403"/>
    <n v="4749.7481555483928"/>
    <n v="0.8864526973916913"/>
    <s v="Flagged"/>
    <s v=""/>
    <s v=""/>
    <s v=""/>
    <s v=""/>
    <x v="3"/>
    <n v="0"/>
    <m/>
    <m/>
    <n v="1"/>
    <s v="Flagged"/>
    <n v="0"/>
    <m/>
    <n v="0"/>
    <n v="0"/>
    <n v="0"/>
  </r>
  <r>
    <s v="VenezulanosVE2214"/>
    <s v="Yaracuy"/>
    <s v="VE22"/>
    <s v="Veroes"/>
    <s v="VE2214"/>
    <m/>
    <n v="28466"/>
    <s v="Venezulanos"/>
    <n v="4744"/>
    <n v="619.609644587086"/>
    <n v="10043.646501804713"/>
    <n v="1742.9051091990448"/>
    <n v="5658.6364528299455"/>
    <n v="0"/>
    <n v="1810.7636649055826"/>
    <n v="1980.5227584904806"/>
    <n v="0.15000000000000002"/>
    <n v="0"/>
    <n v="0.35000000000000003"/>
    <n v="0.05"/>
    <n v="0.2"/>
    <n v="0"/>
    <n v="0.05"/>
    <n v="0.05"/>
    <n v="10043.646501804713"/>
    <s v="SAL"/>
    <n v="0.35282956867156301"/>
    <s v=""/>
    <s v=""/>
    <s v=""/>
    <n v="5658.6364528299455"/>
    <s v="PRO"/>
    <n v="0.1987857954342003"/>
    <n v="4385.0100489747674"/>
    <n v="0.77492344410671166"/>
    <s v=""/>
    <n v="4744"/>
    <s v="SAMV"/>
    <n v="0.16665495679055717"/>
    <n v="5299.6465018047129"/>
    <n v="1.1171261597396107"/>
    <s v="Flagged"/>
    <s v=""/>
    <s v=""/>
    <s v=""/>
    <s v=""/>
    <x v="2"/>
    <n v="10043.646501804713"/>
    <m/>
    <m/>
    <n v="1"/>
    <s v="Flagged"/>
    <n v="10043.646501804713"/>
    <m/>
    <n v="5021.8232509023564"/>
    <n v="0"/>
    <n v="0"/>
  </r>
  <r>
    <s v="VenezulanosVE2301"/>
    <s v="Zulia"/>
    <s v="VE23"/>
    <s v="Almirante Padilla"/>
    <s v="VE2301"/>
    <m/>
    <n v="12198"/>
    <s v="Venezulanos"/>
    <n v="4066"/>
    <n v="988.64560982563501"/>
    <n v="4759.3916637351131"/>
    <n v="2203.3600343207081"/>
    <n v="2907.3030004094485"/>
    <n v="7318.8"/>
    <n v="930.33696013102349"/>
    <n v="1017.5560501433068"/>
    <n v="0.35000000000000003"/>
    <n v="0.1"/>
    <n v="0.4"/>
    <n v="0.2"/>
    <n v="0.25"/>
    <n v="0.60000000000000009"/>
    <n v="0.1"/>
    <n v="0.1"/>
    <n v="7318.8"/>
    <s v="ASH"/>
    <n v="0.6"/>
    <s v=""/>
    <s v=""/>
    <s v=""/>
    <n v="4759.3916637351131"/>
    <s v="SAL"/>
    <n v="0.39017803441015847"/>
    <n v="2559.4083362648871"/>
    <n v="0.53775955355107175"/>
    <s v=""/>
    <n v="4066"/>
    <s v="SAMV"/>
    <n v="0.33333333333333331"/>
    <n v="3252.8"/>
    <n v="0.8"/>
    <s v="Flagged"/>
    <s v=""/>
    <s v=""/>
    <s v=""/>
    <s v=""/>
    <x v="2"/>
    <n v="7318.8"/>
    <m/>
    <m/>
    <n v="1"/>
    <s v="Flagged"/>
    <n v="7318.8"/>
    <m/>
    <n v="3659.4"/>
    <n v="0"/>
    <n v="0"/>
  </r>
  <r>
    <s v="VenezulanosVE2302"/>
    <s v="Zulia"/>
    <s v="VE23"/>
    <s v="Baralt"/>
    <s v="VE2302"/>
    <m/>
    <n v="91875"/>
    <s v="Venezulanos"/>
    <n v="13497"/>
    <n v="3796.9556356222247"/>
    <n v="32416.216621699848"/>
    <n v="12126.705141717055"/>
    <n v="18248.105096642761"/>
    <n v="55125"/>
    <n v="5857.6417360223268"/>
    <n v="6386.836783824966"/>
    <n v="0.15000000000000002"/>
    <n v="0.05"/>
    <n v="0.35000000000000003"/>
    <n v="0.15000000000000002"/>
    <n v="0.2"/>
    <n v="0.60000000000000009"/>
    <n v="0.05"/>
    <n v="0.05"/>
    <n v="55125"/>
    <s v="ASH"/>
    <n v="0.6"/>
    <s v=""/>
    <s v=""/>
    <s v=""/>
    <n v="32416.216621699848"/>
    <s v="SAL"/>
    <n v="0.35282956867156295"/>
    <n v="22708.783378300152"/>
    <n v="0.70053774761298293"/>
    <s v=""/>
    <n v="18248.105096642761"/>
    <s v="PRO"/>
    <n v="0.19861883098386679"/>
    <n v="36876.894903357243"/>
    <n v="2.0208616022351689"/>
    <s v="Flagged"/>
    <s v=""/>
    <s v=""/>
    <s v=""/>
    <s v=""/>
    <x v="3"/>
    <n v="0"/>
    <m/>
    <m/>
    <n v="1"/>
    <s v="Flagged"/>
    <n v="0"/>
    <m/>
    <n v="0"/>
    <n v="0"/>
    <n v="0"/>
  </r>
  <r>
    <s v="VenezulanosVE2303"/>
    <s v="Zulia"/>
    <s v="VE23"/>
    <s v="Cabimas"/>
    <s v="VE2303"/>
    <m/>
    <n v="268988"/>
    <s v="Venezulanos"/>
    <n v="14759"/>
    <n v="12650.699210643514"/>
    <n v="94906.9200178264"/>
    <n v="45790.255526923123"/>
    <n v="64111.298530426022"/>
    <n v="161392.79999999999"/>
    <n v="20579.726828266754"/>
    <n v="22438.954485649108"/>
    <n v="0.05"/>
    <n v="0.05"/>
    <n v="0.35000000000000003"/>
    <n v="0.15000000000000002"/>
    <n v="0.25"/>
    <n v="0.60000000000000009"/>
    <n v="0.1"/>
    <n v="0.1"/>
    <n v="161392.79999999999"/>
    <s v="ASH"/>
    <n v="0.6"/>
    <s v=""/>
    <s v=""/>
    <s v=""/>
    <n v="94906.9200178264"/>
    <s v="SAL"/>
    <n v="0.35282956867156307"/>
    <n v="66485.879982173588"/>
    <n v="0.70053774761298249"/>
    <s v=""/>
    <n v="64111.298530426022"/>
    <s v="PRO"/>
    <n v="0.2383425971806401"/>
    <n v="97281.501469573966"/>
    <n v="1.5173846685293075"/>
    <s v="Flagged"/>
    <s v=""/>
    <s v=""/>
    <s v=""/>
    <s v=""/>
    <x v="2"/>
    <n v="161392.79999999999"/>
    <m/>
    <m/>
    <n v="1"/>
    <s v="Flagged"/>
    <n v="161392.79999999999"/>
    <m/>
    <n v="80696.399999999994"/>
    <n v="0"/>
    <n v="0"/>
  </r>
  <r>
    <s v="VenezulanosVE2304"/>
    <s v="Zulia"/>
    <s v="VE23"/>
    <s v="Catatumbo"/>
    <s v="VE2304"/>
    <m/>
    <n v="41616"/>
    <s v="Venezulanos"/>
    <n v="1734"/>
    <n v="3113.2588394437125"/>
    <n v="14683.355329835766"/>
    <n v="6960.4254978717099"/>
    <n v="8265.7212702245997"/>
    <n v="18727.2"/>
    <n v="2645.030806471872"/>
    <n v="2893.0024445786098"/>
    <n v="0.05"/>
    <n v="0.05"/>
    <n v="0.35000000000000003"/>
    <n v="0.15000000000000002"/>
    <n v="0.2"/>
    <n v="0.45"/>
    <n v="0.05"/>
    <n v="0.05"/>
    <n v="18727.2"/>
    <s v="ASH"/>
    <n v="0.45"/>
    <s v=""/>
    <s v=""/>
    <s v=""/>
    <n v="14683.355329835766"/>
    <s v="SAL"/>
    <n v="0.35282956867156301"/>
    <n v="4043.8446701642351"/>
    <n v="0.27540331070973723"/>
    <s v=""/>
    <n v="8265.7212702245997"/>
    <s v="PRO"/>
    <n v="0.19861883098386676"/>
    <n v="10461.478729775401"/>
    <n v="1.2656462016763768"/>
    <s v="Flagged"/>
    <s v=""/>
    <s v=""/>
    <s v=""/>
    <s v=""/>
    <x v="2"/>
    <n v="18727.2"/>
    <m/>
    <m/>
    <n v="1"/>
    <s v="Flagged"/>
    <n v="18727.2"/>
    <m/>
    <n v="9363.6"/>
    <n v="0"/>
    <n v="0"/>
  </r>
  <r>
    <s v="VenezulanosVE2305"/>
    <s v="Zulia"/>
    <s v="VE23"/>
    <s v="Colón"/>
    <s v="VE2305"/>
    <m/>
    <n v="131637"/>
    <s v="Venezulanos"/>
    <n v="9609"/>
    <n v="8392.6171726725388"/>
    <n v="46445.425931218546"/>
    <n v="20046.072436259514"/>
    <n v="31374.704465067924"/>
    <n v="17770.994999999999"/>
    <n v="10071.280133286804"/>
    <n v="10981.146562773774"/>
    <n v="0.05"/>
    <n v="0.05"/>
    <n v="0.35000000000000003"/>
    <n v="0.15000000000000002"/>
    <n v="0.25"/>
    <n v="0.15000000000000002"/>
    <n v="0.1"/>
    <n v="0.1"/>
    <n v="46445.425931218546"/>
    <s v="SAL"/>
    <n v="0.35282956867156307"/>
    <s v=""/>
    <s v=""/>
    <s v=""/>
    <n v="31374.704465067924"/>
    <s v="PRO"/>
    <n v="0.23834259718064013"/>
    <n v="15070.721466150622"/>
    <n v="0.48034624462933551"/>
    <s v=""/>
    <n v="20046.072436259514"/>
    <s v="EDU"/>
    <n v="0.15228296327217661"/>
    <n v="26399.353494959032"/>
    <n v="1.3169339569584537"/>
    <s v="Flagged"/>
    <s v=""/>
    <s v=""/>
    <s v=""/>
    <s v=""/>
    <x v="2"/>
    <n v="46445.425931218546"/>
    <m/>
    <m/>
    <n v="1"/>
    <s v="Flagged"/>
    <n v="46445.425931218546"/>
    <m/>
    <n v="23222.712965609273"/>
    <n v="0"/>
    <n v="0"/>
  </r>
  <r>
    <s v="VenezulanosVE2306"/>
    <s v="Zulia"/>
    <s v="VE23"/>
    <s v="Francisco Javier Pulgar"/>
    <s v="VE2306"/>
    <m/>
    <n v="34710"/>
    <s v="Venezulanos"/>
    <n v="14463"/>
    <n v="1496.6943562930883"/>
    <n v="12246.714328589951"/>
    <n v="5524.6626052729607"/>
    <n v="6894.0596234500163"/>
    <n v="4685.8499999999995"/>
    <n v="2212.9931391274549"/>
    <n v="2412.9208682075055"/>
    <n v="0.4"/>
    <n v="0.05"/>
    <n v="0.35000000000000003"/>
    <n v="0.15000000000000002"/>
    <n v="0.2"/>
    <n v="0.15000000000000002"/>
    <n v="0.05"/>
    <n v="0.05"/>
    <n v="14463"/>
    <s v="SAMV"/>
    <n v="0.4166810717372515"/>
    <s v=""/>
    <s v=""/>
    <s v=""/>
    <n v="12246.714328589951"/>
    <s v="SAL"/>
    <n v="0.35282956867156295"/>
    <n v="2216.285671410049"/>
    <n v="0.18096981867504908"/>
    <s v=""/>
    <n v="6894.0596234500163"/>
    <s v="PRO"/>
    <n v="0.19861883098386679"/>
    <n v="7568.9403765499837"/>
    <n v="1.0978930833154348"/>
    <s v="Flagged"/>
    <s v=""/>
    <s v=""/>
    <s v=""/>
    <s v=""/>
    <x v="0"/>
    <n v="14463"/>
    <m/>
    <m/>
    <n v="1"/>
    <s v="Flagged"/>
    <n v="14463"/>
    <m/>
    <n v="14463"/>
    <n v="14463"/>
    <n v="0"/>
  </r>
  <r>
    <s v="VenezulanosVE2307"/>
    <s v="Zulia"/>
    <s v="VE23"/>
    <s v="Jesus Enrique Lossada"/>
    <s v="VE2307"/>
    <m/>
    <n v="121430"/>
    <s v="Venezulanos"/>
    <n v="8260"/>
    <n v="12507.198520837803"/>
    <n v="42844.094523787891"/>
    <n v="18768.889521901765"/>
    <n v="28941.941575645134"/>
    <n v="72858"/>
    <n v="9290.3632457820895"/>
    <n v="10129.679551475796"/>
    <n v="0.05"/>
    <n v="0.1"/>
    <n v="0.35000000000000003"/>
    <n v="0.15000000000000002"/>
    <n v="0.25"/>
    <n v="0.60000000000000009"/>
    <n v="0.1"/>
    <n v="0.1"/>
    <n v="72858"/>
    <s v="ASH"/>
    <n v="0.6"/>
    <s v=""/>
    <s v=""/>
    <s v=""/>
    <n v="42844.094523787891"/>
    <s v="SAL"/>
    <n v="0.35282956867156295"/>
    <n v="30013.905476212109"/>
    <n v="0.70053774761298304"/>
    <s v=""/>
    <n v="28941.941575645134"/>
    <s v="PRO"/>
    <n v="0.23834259718064016"/>
    <n v="43916.058424354866"/>
    <n v="1.5173846685293071"/>
    <s v="Flagged"/>
    <s v=""/>
    <s v=""/>
    <s v=""/>
    <s v=""/>
    <x v="2"/>
    <n v="72858"/>
    <m/>
    <m/>
    <n v="1"/>
    <s v="Flagged"/>
    <n v="72858"/>
    <m/>
    <n v="36429"/>
    <n v="0"/>
    <n v="0"/>
  </r>
  <r>
    <s v="VenezulanosVE2308"/>
    <s v="Zulia"/>
    <s v="VE23"/>
    <s v="Jesus Maria Semprum"/>
    <s v="VE2308"/>
    <m/>
    <n v="31175"/>
    <s v="Venezulanos"/>
    <n v="3247"/>
    <n v="2467.22718487559"/>
    <n v="10999.461803335975"/>
    <n v="4984.6427237542912"/>
    <n v="7430.3304671064543"/>
    <n v="18705"/>
    <n v="2377.7057494740652"/>
    <n v="2600.6156634872591"/>
    <n v="0.1"/>
    <n v="0.1"/>
    <n v="0.35000000000000003"/>
    <n v="0.15000000000000002"/>
    <n v="0.25"/>
    <n v="0.60000000000000009"/>
    <n v="0.1"/>
    <n v="0.1"/>
    <n v="18705"/>
    <s v="ASH"/>
    <n v="0.6"/>
    <s v=""/>
    <s v=""/>
    <s v=""/>
    <n v="10999.461803335975"/>
    <s v="SAL"/>
    <n v="0.35282956867156295"/>
    <n v="7705.5381966640252"/>
    <n v="0.70053774761298315"/>
    <s v=""/>
    <n v="7430.3304671064543"/>
    <s v="PRO"/>
    <n v="0.23834259718064008"/>
    <n v="11274.669532893546"/>
    <n v="1.517384668529308"/>
    <s v="Flagged"/>
    <s v=""/>
    <s v=""/>
    <s v=""/>
    <s v=""/>
    <x v="2"/>
    <n v="18705"/>
    <m/>
    <m/>
    <n v="1"/>
    <s v="Flagged"/>
    <n v="18705"/>
    <m/>
    <n v="9352.5"/>
    <n v="0"/>
    <n v="0"/>
  </r>
  <r>
    <s v="VenezulanosVE2309"/>
    <s v="Zulia"/>
    <s v="VE23"/>
    <s v="La Cañada De Urdaneta"/>
    <s v="VE2309"/>
    <m/>
    <n v="84064"/>
    <s v="Venezulanos"/>
    <n v="43129"/>
    <n v="4837.3462624284148"/>
    <n v="29660.264860806274"/>
    <n v="15186.218220147404"/>
    <n v="20036.032089393328"/>
    <n v="37828.800000000003"/>
    <n v="6411.5302686058649"/>
    <n v="7012.6112312876639"/>
    <n v="0.5"/>
    <n v="0.05"/>
    <n v="0.35000000000000003"/>
    <n v="0.2"/>
    <n v="0.25"/>
    <n v="0.45"/>
    <n v="0.1"/>
    <n v="0.1"/>
    <n v="43129"/>
    <s v="SAMV"/>
    <n v="0.5130495812714122"/>
    <s v=""/>
    <s v=""/>
    <s v=""/>
    <n v="37828.800000000003"/>
    <s v="ASH"/>
    <n v="0.45"/>
    <n v="5300.1999999999971"/>
    <n v="0.14011018060313826"/>
    <s v=""/>
    <n v="29660.264860806274"/>
    <s v="SAL"/>
    <n v="0.35282956867156301"/>
    <n v="13468.735139193726"/>
    <n v="0.45410029891511888"/>
    <s v=""/>
    <s v=""/>
    <s v=""/>
    <s v=""/>
    <s v=""/>
    <x v="0"/>
    <n v="43129"/>
    <m/>
    <m/>
    <n v="0"/>
    <s v=""/>
    <n v="43129"/>
    <m/>
    <n v="43129"/>
    <n v="43129"/>
    <n v="0"/>
  </r>
  <r>
    <s v="VenezulanosVE2310"/>
    <s v="Zulia"/>
    <s v="VE23"/>
    <s v="Lagunillas"/>
    <s v="VE2310"/>
    <m/>
    <n v="208025"/>
    <s v="Venezulanos"/>
    <n v="30285"/>
    <n v="9525.9719389903403"/>
    <n v="73397.371022901891"/>
    <n v="36216.495686004047"/>
    <n v="49581.218778502669"/>
    <n v="28083.375"/>
    <n v="15865.990009120855"/>
    <n v="17353.426572475935"/>
    <n v="0.15000000000000002"/>
    <n v="0.05"/>
    <n v="0.35000000000000003"/>
    <n v="0.15000000000000002"/>
    <n v="0.25"/>
    <n v="0.15000000000000002"/>
    <n v="0.1"/>
    <n v="0.1"/>
    <n v="73397.371022901891"/>
    <s v="SAL"/>
    <n v="0.35282956867156301"/>
    <s v=""/>
    <s v=""/>
    <s v=""/>
    <n v="49581.218778502669"/>
    <s v="PRO"/>
    <n v="0.23834259718064016"/>
    <n v="23816.152244399222"/>
    <n v="0.48034624462933501"/>
    <s v=""/>
    <n v="36216.495686004047"/>
    <s v="EDU"/>
    <n v="0.17409684261989689"/>
    <n v="37180.875336897843"/>
    <n v="1.0266281878637553"/>
    <s v="Flagged"/>
    <s v=""/>
    <s v=""/>
    <s v=""/>
    <s v=""/>
    <x v="2"/>
    <n v="73397.371022901891"/>
    <m/>
    <m/>
    <n v="1"/>
    <s v="Flagged"/>
    <n v="73397.371022901891"/>
    <m/>
    <n v="36698.685511450945"/>
    <n v="0"/>
    <n v="0"/>
  </r>
  <r>
    <s v="VenezulanosVE2311"/>
    <s v="Zulia"/>
    <s v="VE23"/>
    <s v="Machiques De Perijá"/>
    <s v="VE2311"/>
    <m/>
    <n v="125501"/>
    <s v="Venezulanos"/>
    <n v="0"/>
    <n v="6512.8598284746859"/>
    <n v="44280.463697849838"/>
    <n v="15704.379175137039"/>
    <n v="29912.234288767508"/>
    <n v="16942.635000000002"/>
    <n v="9571.9149724056024"/>
    <n v="10469.282001068626"/>
    <n v="0"/>
    <n v="0.05"/>
    <n v="0.35000000000000003"/>
    <n v="0.15000000000000002"/>
    <n v="0.25"/>
    <n v="0.15000000000000002"/>
    <n v="0.1"/>
    <n v="0.1"/>
    <n v="44280.463697849838"/>
    <s v="SAL"/>
    <n v="0.35282956867156307"/>
    <s v=""/>
    <s v=""/>
    <s v=""/>
    <n v="29912.234288767508"/>
    <s v="PRO"/>
    <n v="0.23834259718064005"/>
    <n v="14368.229409082331"/>
    <n v="0.48034624462933606"/>
    <s v=""/>
    <n v="16942.635000000002"/>
    <s v="ASH"/>
    <n v="0.13500000000000001"/>
    <n v="27337.828697849836"/>
    <n v="1.6135523605300965"/>
    <s v="Flagged"/>
    <s v=""/>
    <s v=""/>
    <s v=""/>
    <s v=""/>
    <x v="2"/>
    <n v="44280.463697849838"/>
    <m/>
    <m/>
    <n v="1"/>
    <s v="Flagged"/>
    <n v="44280.463697849838"/>
    <m/>
    <n v="22140.231848924919"/>
    <n v="0"/>
    <n v="0"/>
  </r>
  <r>
    <s v="VenezulanosVE2312"/>
    <s v="Zulia"/>
    <s v="VE23"/>
    <s v="Mara"/>
    <s v="VE2312"/>
    <m/>
    <n v="211898"/>
    <s v="Venezulanos"/>
    <n v="48863"/>
    <n v="10935.196591865748"/>
    <n v="74763.879942366853"/>
    <n v="22957.155262497428"/>
    <n v="50504.319657383283"/>
    <n v="127138.79999999999"/>
    <n v="16161.382290362651"/>
    <n v="17676.511880084148"/>
    <n v="0.25"/>
    <n v="0.05"/>
    <n v="0.35000000000000003"/>
    <n v="0.1"/>
    <n v="0.25"/>
    <n v="0.60000000000000009"/>
    <n v="0.1"/>
    <n v="0.1"/>
    <n v="127138.79999999999"/>
    <s v="ASH"/>
    <n v="0.6"/>
    <s v=""/>
    <s v=""/>
    <s v=""/>
    <n v="74763.879942366853"/>
    <s v="SAL"/>
    <n v="0.35282956867156301"/>
    <n v="52374.920057633135"/>
    <n v="0.70053774761298271"/>
    <s v=""/>
    <n v="50504.319657383283"/>
    <s v="PRO"/>
    <n v="0.23834259718064013"/>
    <n v="76634.480342616705"/>
    <n v="1.5173846685293071"/>
    <s v="Flagged"/>
    <s v=""/>
    <s v=""/>
    <s v=""/>
    <s v=""/>
    <x v="2"/>
    <n v="127138.79999999999"/>
    <m/>
    <m/>
    <n v="1"/>
    <s v="Flagged"/>
    <n v="127138.79999999999"/>
    <m/>
    <n v="63569.399999999994"/>
    <n v="0"/>
    <n v="0"/>
  </r>
  <r>
    <s v="VenezulanosVE2313"/>
    <s v="Zulia"/>
    <s v="VE23"/>
    <s v="Maracaibo"/>
    <s v="VE2313"/>
    <m/>
    <n v="1492399"/>
    <s v="Venezulanos"/>
    <n v="236854"/>
    <n v="74440.982456016151"/>
    <n v="526562.49545587203"/>
    <n v="276989.54409941752"/>
    <n v="355702.25368979014"/>
    <n v="201473.86500000002"/>
    <n v="114180.42343442264"/>
    <n v="124495.78879142654"/>
    <n v="0.15000000000000002"/>
    <n v="0.05"/>
    <n v="0.35000000000000003"/>
    <n v="0.2"/>
    <n v="0.25"/>
    <n v="0.15000000000000002"/>
    <n v="0.1"/>
    <n v="0.1"/>
    <n v="526562.49545587203"/>
    <s v="SAL"/>
    <n v="0.35282956867156307"/>
    <s v=""/>
    <s v=""/>
    <s v=""/>
    <n v="355702.25368979014"/>
    <s v="PRO"/>
    <n v="0.23834259718064013"/>
    <n v="170860.24176608189"/>
    <n v="0.48034624462933551"/>
    <s v=""/>
    <n v="276989.54409941752"/>
    <s v="EDU"/>
    <n v="0.18560019411659853"/>
    <n v="249572.95135645452"/>
    <n v="0.90101939467750236"/>
    <s v="Flagged"/>
    <s v=""/>
    <s v=""/>
    <s v=""/>
    <s v=""/>
    <x v="0"/>
    <n v="526562.49545587203"/>
    <m/>
    <m/>
    <n v="1"/>
    <s v="Flagged"/>
    <n v="526562.49545587203"/>
    <m/>
    <n v="526562.49545587203"/>
    <n v="526562.49545587203"/>
    <n v="0"/>
  </r>
  <r>
    <s v="VenezulanosVE2314"/>
    <s v="Zulia"/>
    <s v="VE23"/>
    <s v="Miranda"/>
    <s v="VE2314"/>
    <m/>
    <n v="99665"/>
    <s v="Venezulanos"/>
    <n v="16834"/>
    <n v="4756.3259010896445"/>
    <n v="35164.758961651321"/>
    <n v="14982.530651763009"/>
    <n v="23754.414948008503"/>
    <n v="13454.775"/>
    <n v="7601.4127833627208"/>
    <n v="8314.0452318029766"/>
    <n v="0.15000000000000002"/>
    <n v="0.05"/>
    <n v="0.35000000000000003"/>
    <n v="0.15000000000000002"/>
    <n v="0.25"/>
    <n v="0.15000000000000002"/>
    <n v="0.1"/>
    <n v="0.1"/>
    <n v="35164.758961651321"/>
    <s v="SAL"/>
    <n v="0.35282956867156295"/>
    <s v=""/>
    <s v=""/>
    <s v=""/>
    <n v="23754.414948008503"/>
    <s v="PRO"/>
    <n v="0.23834259718064019"/>
    <n v="11410.344013642818"/>
    <n v="0.48034624462933473"/>
    <s v=""/>
    <n v="16834"/>
    <s v="SAMV"/>
    <n v="0.16890583454572819"/>
    <n v="18330.758961651321"/>
    <n v="1.0889128526583891"/>
    <s v="Flagged"/>
    <s v=""/>
    <s v=""/>
    <s v=""/>
    <s v=""/>
    <x v="2"/>
    <n v="35164.758961651321"/>
    <m/>
    <m/>
    <n v="1"/>
    <s v="Flagged"/>
    <n v="35164.758961651321"/>
    <m/>
    <n v="17582.379480825661"/>
    <n v="0"/>
    <n v="0"/>
  </r>
  <r>
    <s v="VenezulanosVE2315"/>
    <s v="Zulia"/>
    <s v="VE23"/>
    <s v="Indígena Bolivariano Guajira"/>
    <s v="VE2315"/>
    <m/>
    <n v="67026"/>
    <s v="Venezulanos"/>
    <n v="28723"/>
    <n v="2943.3221117728585"/>
    <n v="23648.754669780181"/>
    <n v="11444.747850492135"/>
    <n v="15975.150918629586"/>
    <n v="40215.599999999999"/>
    <n v="5128.0234448800966"/>
    <n v="5591.3028215203549"/>
    <n v="0.45"/>
    <n v="0.05"/>
    <n v="0.35000000000000003"/>
    <n v="0.15000000000000002"/>
    <n v="0.25"/>
    <n v="0.60000000000000009"/>
    <n v="0.1"/>
    <n v="0.1"/>
    <n v="40215.599999999999"/>
    <s v="ASH"/>
    <n v="0.6"/>
    <s v=""/>
    <s v=""/>
    <s v=""/>
    <n v="28723"/>
    <s v="SAMV"/>
    <n v="0.42853519529734729"/>
    <n v="11492.599999999999"/>
    <n v="0.40011837203634715"/>
    <s v=""/>
    <n v="23648.754669780181"/>
    <s v="SAL"/>
    <n v="0.35282956867156301"/>
    <n v="16566.845330219818"/>
    <n v="0.70053774761298282"/>
    <s v="Flagged"/>
    <s v=""/>
    <s v=""/>
    <s v=""/>
    <s v=""/>
    <x v="2"/>
    <n v="40215.599999999999"/>
    <m/>
    <m/>
    <n v="1"/>
    <s v="Flagged"/>
    <n v="40215.599999999999"/>
    <m/>
    <n v="20107.8"/>
    <n v="0"/>
    <n v="0"/>
  </r>
  <r>
    <s v="VenezulanosVE2316"/>
    <s v="Zulia"/>
    <s v="VE23"/>
    <s v="Rosario De Perijá"/>
    <s v="VE2316"/>
    <m/>
    <n v="86923"/>
    <s v="Venezulanos"/>
    <n v="27117"/>
    <n v="5305.9819661901165"/>
    <n v="30669.004597638268"/>
    <n v="11214.09236011016"/>
    <n v="20717.453574732779"/>
    <n v="39115.35"/>
    <n v="6650.3025974892225"/>
    <n v="7251.108751156472"/>
    <n v="0.30000000000000004"/>
    <n v="0.05"/>
    <n v="0.35000000000000003"/>
    <n v="0.15000000000000002"/>
    <n v="0.25"/>
    <n v="0.45"/>
    <n v="0.1"/>
    <n v="0.1"/>
    <n v="39115.35"/>
    <s v="ASH"/>
    <n v="0.44999999999999996"/>
    <s v=""/>
    <s v=""/>
    <s v=""/>
    <n v="30669.004597638268"/>
    <s v="SAL"/>
    <n v="0.35282956867156295"/>
    <n v="8446.3454023617305"/>
    <n v="0.27540331070973717"/>
    <s v=""/>
    <n v="27117"/>
    <s v="SAMV"/>
    <n v="0.31196576280156002"/>
    <n v="11998.349999999999"/>
    <n v="0.44246598075008292"/>
    <s v=""/>
    <s v=""/>
    <s v=""/>
    <s v=""/>
    <s v=""/>
    <x v="1"/>
    <n v="39115.35"/>
    <m/>
    <m/>
    <n v="0"/>
    <s v=""/>
    <n v="39115.35"/>
    <m/>
    <n v="39115.35"/>
    <n v="39115.35"/>
    <n v="0"/>
  </r>
  <r>
    <s v="VenezulanosVE2317"/>
    <s v="Zulia"/>
    <s v="VE23"/>
    <s v="San Francisco"/>
    <s v="VE2317"/>
    <m/>
    <n v="456843"/>
    <s v="Venezulanos"/>
    <n v="137605"/>
    <n v="27277.488562299386"/>
    <n v="161187.71864062286"/>
    <n v="78557.706051057874"/>
    <n v="108885.14712379516"/>
    <n v="61673.805"/>
    <n v="34843.247079614448"/>
    <n v="38109.801493328305"/>
    <n v="0.30000000000000004"/>
    <n v="0.05"/>
    <n v="0.35000000000000003"/>
    <n v="0.15000000000000002"/>
    <n v="0.25"/>
    <n v="0.15000000000000002"/>
    <n v="0.1"/>
    <n v="0.1"/>
    <n v="161187.71864062286"/>
    <s v="SAL"/>
    <n v="0.35282956867156301"/>
    <s v=""/>
    <s v=""/>
    <s v=""/>
    <n v="137605"/>
    <s v="SAMV"/>
    <n v="0.3012085114579845"/>
    <n v="23582.718640622857"/>
    <n v="0.17137980916843762"/>
    <s v=""/>
    <n v="108885.14712379516"/>
    <s v="PRO"/>
    <n v="0.2383425971806401"/>
    <n v="52302.571516827695"/>
    <n v="0.48034624462933545"/>
    <s v=""/>
    <s v=""/>
    <s v=""/>
    <s v=""/>
    <s v=""/>
    <x v="2"/>
    <n v="161187.71864062286"/>
    <m/>
    <m/>
    <n v="0"/>
    <s v=""/>
    <n v="161187.71864062286"/>
    <m/>
    <n v="80593.859320311429"/>
    <n v="0"/>
    <n v="0"/>
  </r>
  <r>
    <s v="VenezulanosVE2318"/>
    <s v="Zulia"/>
    <s v="VE23"/>
    <s v="Santa Rita"/>
    <s v="VE2318"/>
    <m/>
    <n v="61213"/>
    <s v="Venezulanos"/>
    <n v="29382"/>
    <n v="2910.0553634650723"/>
    <n v="21597.756387092384"/>
    <n v="10800.898750522818"/>
    <n v="14589.665401218521"/>
    <n v="36727.799999999996"/>
    <n v="4668.6929283899262"/>
    <n v="5106.3828904264819"/>
    <n v="0.5"/>
    <n v="0.05"/>
    <n v="0.35000000000000003"/>
    <n v="0.2"/>
    <n v="0.25"/>
    <n v="0.60000000000000009"/>
    <n v="0.1"/>
    <n v="0.1"/>
    <n v="36727.799999999996"/>
    <s v="ASH"/>
    <n v="0.6"/>
    <s v=""/>
    <s v=""/>
    <s v=""/>
    <n v="29382"/>
    <s v="SAMV"/>
    <n v="0.47999607926420856"/>
    <n v="7345.7999999999956"/>
    <n v="0.2500102103328567"/>
    <s v=""/>
    <n v="21597.756387092384"/>
    <s v="SAL"/>
    <n v="0.35282956867156295"/>
    <n v="15130.043612907612"/>
    <n v="0.70053774761298282"/>
    <s v="Flagged"/>
    <s v=""/>
    <s v=""/>
    <s v=""/>
    <s v=""/>
    <x v="2"/>
    <n v="36727.799999999996"/>
    <m/>
    <m/>
    <n v="1"/>
    <s v="Flagged"/>
    <n v="36727.799999999996"/>
    <m/>
    <n v="18363.899999999998"/>
    <n v="0"/>
    <n v="0"/>
  </r>
  <r>
    <s v="VenezulanosVE2319"/>
    <s v="Zulia"/>
    <s v="VE23"/>
    <s v="Simón Bolívar"/>
    <s v="VE2319"/>
    <m/>
    <n v="44823"/>
    <s v="Venezulanos"/>
    <n v="13368"/>
    <n v="1852.225308282038"/>
    <n v="15814.879756565471"/>
    <n v="6940.3432415920124"/>
    <n v="10683.230233427832"/>
    <n v="6051.1050000000005"/>
    <n v="3418.6336746969064"/>
    <n v="3739.1305816997406"/>
    <n v="0.30000000000000004"/>
    <n v="0.05"/>
    <n v="0.35000000000000003"/>
    <n v="0.15000000000000002"/>
    <n v="0.25"/>
    <n v="0.15000000000000002"/>
    <n v="0.1"/>
    <n v="0.1"/>
    <n v="15814.879756565471"/>
    <s v="SAL"/>
    <n v="0.35282956867156307"/>
    <s v=""/>
    <s v=""/>
    <s v=""/>
    <n v="13368"/>
    <s v="SAMV"/>
    <n v="0.2982397429890904"/>
    <n v="2446.8797565654713"/>
    <n v="0.18304007754080426"/>
    <s v=""/>
    <n v="10683.230233427832"/>
    <s v="PRO"/>
    <n v="0.23834259718064013"/>
    <n v="5131.6495231376393"/>
    <n v="0.48034624462933556"/>
    <s v=""/>
    <s v=""/>
    <s v=""/>
    <s v=""/>
    <s v=""/>
    <x v="2"/>
    <n v="15814.879756565471"/>
    <m/>
    <m/>
    <n v="0"/>
    <s v=""/>
    <n v="15814.879756565471"/>
    <m/>
    <n v="7907.4398782827357"/>
    <n v="0"/>
    <n v="0"/>
  </r>
  <r>
    <s v="VenezulanosVE2320"/>
    <s v="Zulia"/>
    <s v="VE23"/>
    <s v="Sucre"/>
    <s v="VE2320"/>
    <m/>
    <n v="62202"/>
    <s v="Venezulanos"/>
    <n v="691"/>
    <n v="2649.657498886203"/>
    <n v="21946.704830508566"/>
    <n v="8064.0540727214702"/>
    <n v="14825.386229830176"/>
    <n v="0"/>
    <n v="4758.9489797754868"/>
    <n v="5188.8851804405604"/>
    <n v="0"/>
    <n v="0.05"/>
    <n v="0.35000000000000003"/>
    <n v="0.15000000000000002"/>
    <n v="0.25"/>
    <n v="0"/>
    <n v="0.1"/>
    <n v="0.1"/>
    <n v="21946.704830508566"/>
    <s v="SAL"/>
    <n v="0.35282956867156307"/>
    <s v=""/>
    <s v=""/>
    <s v=""/>
    <n v="14825.386229830176"/>
    <s v="PRO"/>
    <n v="0.2383425971806401"/>
    <n v="7121.3186006783908"/>
    <n v="0.48034624462933573"/>
    <s v=""/>
    <n v="8064.0540727214702"/>
    <s v="EDU"/>
    <n v="0.12964300300185638"/>
    <n v="13882.650757787096"/>
    <n v="1.7215473299898094"/>
    <s v="Flagged"/>
    <s v=""/>
    <s v=""/>
    <s v=""/>
    <s v=""/>
    <x v="3"/>
    <n v="0"/>
    <m/>
    <m/>
    <n v="1"/>
    <s v="Flagged"/>
    <n v="0"/>
    <m/>
    <n v="0"/>
    <n v="0"/>
    <n v="0"/>
  </r>
  <r>
    <s v="VenezulanosVE2321"/>
    <s v="Zulia"/>
    <s v="VE23"/>
    <s v="Valmore Rodríguez"/>
    <s v="VE2321"/>
    <m/>
    <n v="53812"/>
    <s v="Venezulanos"/>
    <n v="0"/>
    <n v="2216.227866304348"/>
    <n v="18986.464749354149"/>
    <n v="7118.3492301004626"/>
    <n v="12825.691839484609"/>
    <n v="7264.62"/>
    <n v="4117.0470804745601"/>
    <n v="4488.9921438196125"/>
    <n v="0"/>
    <n v="0.05"/>
    <n v="0.35000000000000003"/>
    <n v="0.15000000000000002"/>
    <n v="0.25"/>
    <n v="0.15000000000000002"/>
    <n v="0.1"/>
    <n v="0.1"/>
    <n v="18986.464749354149"/>
    <s v="SAL"/>
    <n v="0.35282956867156301"/>
    <s v=""/>
    <s v=""/>
    <s v=""/>
    <n v="12825.691839484609"/>
    <s v="PRO"/>
    <n v="0.23834259718064016"/>
    <n v="6160.7729098695399"/>
    <n v="0.48034624462933501"/>
    <s v=""/>
    <n v="7264.62"/>
    <s v="ASH"/>
    <n v="0.13500000000000001"/>
    <n v="11721.84474935415"/>
    <n v="1.6135523605300965"/>
    <s v="Flagged"/>
    <s v=""/>
    <s v=""/>
    <s v=""/>
    <s v=""/>
    <x v="2"/>
    <n v="18986.464749354149"/>
    <m/>
    <m/>
    <n v="1"/>
    <s v="Flagged"/>
    <n v="18986.464749354149"/>
    <m/>
    <n v="9493.2323746770744"/>
    <n v="0"/>
    <n v="0"/>
  </r>
  <r>
    <s v="VenezulanosVE2401"/>
    <s v="La Guaira"/>
    <s v="VE24"/>
    <s v="Vargas"/>
    <s v="VE2401"/>
    <m/>
    <n v="360888"/>
    <s v="Venezulanos"/>
    <n v="16275"/>
    <n v="18458.621817052488"/>
    <n v="127331.95737874304"/>
    <n v="30713.05727595514"/>
    <n v="143848.22999999998"/>
    <n v="162399.6"/>
    <n v="46031.433599999997"/>
    <n v="50346.880499999999"/>
    <n v="0.05"/>
    <n v="0.05"/>
    <n v="0.35000000000000003"/>
    <n v="0.1"/>
    <n v="0.4"/>
    <n v="0.45"/>
    <n v="0.15000000000000002"/>
    <n v="0.15000000000000002"/>
    <n v="162399.6"/>
    <s v="ASH"/>
    <n v="0.45"/>
    <s v=""/>
    <s v=""/>
    <s v=""/>
    <n v="143848.22999999998"/>
    <s v="PRO"/>
    <n v="0.39859521513599783"/>
    <n v="18551.370000000024"/>
    <n v="0.12896488194536718"/>
    <s v=""/>
    <n v="127331.95737874304"/>
    <s v="SAL"/>
    <n v="0.35282956867156307"/>
    <n v="35067.642621256964"/>
    <n v="0.27540331070973706"/>
    <s v=""/>
    <s v=""/>
    <s v=""/>
    <s v=""/>
    <s v=""/>
    <x v="2"/>
    <n v="162399.6"/>
    <m/>
    <m/>
    <n v="0"/>
    <s v=""/>
    <n v="162399.6"/>
    <m/>
    <n v="81199.8"/>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5ED14D-0D5B-4CB3-8D1D-EA9340213E32}" name="PivotTable1" cacheId="87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349:AW355" firstHeaderRow="0" firstDataRow="1" firstDataCol="1"/>
  <pivotFields count="57">
    <pivotField showAll="0"/>
    <pivotField showAll="0"/>
    <pivotField showAll="0"/>
    <pivotField showAll="0"/>
    <pivotField dataField="1" showAll="0"/>
    <pivotField showAll="0"/>
    <pivotField numFmtId="167" showAll="0"/>
    <pivotField showAll="0"/>
    <pivotField numFmtId="167" showAll="0"/>
    <pivotField numFmtId="167" showAll="0"/>
    <pivotField numFmtId="167" showAll="0"/>
    <pivotField numFmtId="167" showAll="0"/>
    <pivotField numFmtId="167" showAll="0"/>
    <pivotField numFmtId="167" showAll="0"/>
    <pivotField numFmtId="167" showAll="0"/>
    <pivotField numFmtId="167" showAll="0"/>
    <pivotField numFmtId="9" showAll="0"/>
    <pivotField numFmtId="9" showAll="0"/>
    <pivotField numFmtId="9" showAll="0"/>
    <pivotField numFmtId="9" showAll="0"/>
    <pivotField numFmtId="9" showAll="0"/>
    <pivotField numFmtId="9" showAll="0"/>
    <pivotField numFmtId="9" showAll="0"/>
    <pivotField numFmtId="9" showAll="0"/>
    <pivotField numFmtId="166" showAll="0"/>
    <pivotField showAll="0"/>
    <pivotField numFmtId="9" showAll="0"/>
    <pivotField showAll="0"/>
    <pivotField showAll="0"/>
    <pivotField showAll="0"/>
    <pivotField numFmtId="167" showAll="0"/>
    <pivotField showAll="0"/>
    <pivotField numFmtId="9" showAll="0"/>
    <pivotField numFmtId="167" showAll="0"/>
    <pivotField numFmtId="9" showAll="0"/>
    <pivotField showAll="0"/>
    <pivotField numFmtId="167" showAll="0"/>
    <pivotField showAll="0"/>
    <pivotField numFmtId="9" showAll="0"/>
    <pivotField numFmtId="167" showAll="0"/>
    <pivotField numFmtId="9" showAll="0"/>
    <pivotField showAll="0"/>
    <pivotField showAll="0"/>
    <pivotField showAll="0"/>
    <pivotField showAll="0"/>
    <pivotField showAll="0"/>
    <pivotField axis="axisRow" numFmtId="1" showAll="0" sortType="descending">
      <items count="6">
        <item x="1"/>
        <item x="0"/>
        <item x="2"/>
        <item x="3"/>
        <item x="4"/>
        <item t="default"/>
      </items>
    </pivotField>
    <pivotField numFmtId="167" showAll="0"/>
    <pivotField showAll="0"/>
    <pivotField showAll="0"/>
    <pivotField numFmtId="167" showAll="0"/>
    <pivotField showAll="0"/>
    <pivotField dataField="1" numFmtId="166" showAll="0"/>
    <pivotField showAll="0"/>
    <pivotField numFmtId="166" showAll="0"/>
    <pivotField numFmtId="166" showAll="0"/>
    <pivotField numFmtId="166" showAll="0"/>
  </pivotFields>
  <rowFields count="1">
    <field x="46"/>
  </rowFields>
  <rowItems count="6">
    <i>
      <x/>
    </i>
    <i>
      <x v="1"/>
    </i>
    <i>
      <x v="2"/>
    </i>
    <i>
      <x v="3"/>
    </i>
    <i>
      <x v="4"/>
    </i>
    <i t="grand">
      <x/>
    </i>
  </rowItems>
  <colFields count="1">
    <field x="-2"/>
  </colFields>
  <colItems count="2">
    <i>
      <x/>
    </i>
    <i i="1">
      <x v="1"/>
    </i>
  </colItems>
  <dataFields count="2">
    <dataField name="Count of Admin2PCODE" fld="4" subtotal="count" baseField="0" baseItem="0"/>
    <dataField name="Sum of PiN final" fld="5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1B2E729-C4CB-4990-8130-69B8BDF0ADD8}" name="tblSubSectorPopulation" displayName="tblSubSectorPopulation" ref="B17:C21" totalsRowShown="0" headerRowDxfId="350" dataDxfId="349" headerRowBorderDxfId="347" tableBorderDxfId="348">
  <autoFilter ref="B17:C21" xr:uid="{00EC1285-A7DF-434F-A470-6874D5630451}"/>
  <tableColumns count="2">
    <tableColumn id="1" xr3:uid="{6F9626FB-B046-4FA6-904A-8BB4B957CB86}" name="Sector" dataDxfId="346"/>
    <tableColumn id="2" xr3:uid="{88B372FE-9A02-42DE-9216-ADA6FDC49EF0}" name="Proportion of sector target population in overall population" dataDxfId="3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BA02FA4-D22E-4C99-BCE9-7238505316C0}" name="tblThresholds" displayName="tblThresholds" ref="B7:F14" totalsRowShown="0" headerRowDxfId="344" dataDxfId="343" headerRowBorderDxfId="341" tableBorderDxfId="342" totalsRowBorderDxfId="340">
  <autoFilter ref="B7:F14" xr:uid="{0DE4E12E-91D1-4306-9474-A7F058008BD9}"/>
  <tableColumns count="5">
    <tableColumn id="1" xr3:uid="{5E3DD8AF-1226-4011-B808-49265632B755}" name="Descripción del marcador " dataDxfId="339"/>
    <tableColumn id="2" xr3:uid="{CE07FA20-4A30-4068-9EE9-D2C5FA1F0238}" name="Umbral recomendado" dataDxfId="338"/>
    <tableColumn id="3" xr3:uid="{7C9E4D63-8010-4899-8DBC-3ECAEEB1F411}" name="Umbral País" dataDxfId="337"/>
    <tableColumn id="4" xr3:uid="{9BE9BB1C-324E-4B22-8F47-34B9FEFC219F}" name="Explicación de la propuesta de otro umbral " dataDxfId="336"/>
    <tableColumn id="5" xr3:uid="{0A46C68D-C00F-49A0-91D8-05C1B4548EF3}" name="Propósito" dataDxfId="33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F25301-D0EB-4466-8610-593D4070A226}" name="tblPiNHistorical" displayName="tblPiNHistorical" ref="A3:AF338" totalsRowShown="0" headerRowDxfId="333" dataDxfId="332" headerRowBorderDxfId="330" tableBorderDxfId="331" totalsRowBorderDxfId="329" headerRowCellStyle="Comma 2">
  <autoFilter ref="A3:AF338" xr:uid="{62F25301-D0EB-4466-8610-593D4070A226}"/>
  <sortState xmlns:xlrd2="http://schemas.microsoft.com/office/spreadsheetml/2017/richdata2" ref="A5:AF7">
    <sortCondition ref="E3:E7"/>
  </sortState>
  <tableColumns count="32">
    <tableColumn id="1" xr3:uid="{EBEDD39D-0803-488F-B264-37F11E97AA0A}" name="ID" dataDxfId="328">
      <calculatedColumnFormula>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calculatedColumnFormula>
    </tableColumn>
    <tableColumn id="2" xr3:uid="{F6E6FC1E-F46B-4373-A498-70FBD8D55403}" name="Admin 1" dataDxfId="327"/>
    <tableColumn id="15" xr3:uid="{7205F2A9-2D90-4E82-AA2B-9E03B32722F5}" name="Admin 1 Código P" dataDxfId="326"/>
    <tableColumn id="14" xr3:uid="{3C82ABBD-107D-4174-A0E8-A34A809196B4}" name="Admin 2" dataDxfId="325"/>
    <tableColumn id="3" xr3:uid="{7AADCFA6-7AD6-4673-AADF-84C1095146FD}" name="Admin 2 Código P" dataDxfId="324"/>
    <tableColumn id="28" xr3:uid="{DA4A3A7E-3781-4C07-89F1-E4DB304DAE5C}" name="Foco de necesidades" dataDxfId="323"/>
    <tableColumn id="4" xr3:uid="{0F1C3EBE-F260-40F3-9FBE-0D21DA819B8C}" name="Población" dataDxfId="322"/>
    <tableColumn id="29" xr3:uid="{88EA9ED2-9C4C-4000-80ED-6F73E1829DE6}" name="Grupo de población" dataDxfId="321"/>
    <tableColumn id="8" xr3:uid="{030C5973-1707-4485-A6B1-521E6912BBFE}" name="SAMV25" dataDxfId="320"/>
    <tableColumn id="18" xr3:uid="{8E881CE5-2E7E-413E-A529-FC4AF564AF52}" name="NUT25" dataDxfId="319"/>
    <tableColumn id="10" xr3:uid="{8754FC3D-E4A5-41DD-BB52-C1AA3AF08FB5}" name="SAL25" dataDxfId="318"/>
    <tableColumn id="31" xr3:uid="{769C8193-6632-41B7-B237-D48D3062C82B}" name="EDU25" dataDxfId="317"/>
    <tableColumn id="33" xr3:uid="{B3A5DF0D-28A2-477B-881E-23313A01BA60}" name="PRO25" dataDxfId="316"/>
    <tableColumn id="17" xr3:uid="{BE065327-F485-4EA1-86E5-9B34975EB75D}" name="ASH25" dataDxfId="315"/>
    <tableColumn id="13" xr3:uid="{4CC9CDCA-F7C8-4F2B-A54C-CC17517583F3}" name="SAMV26" dataDxfId="314">
      <calculatedColumnFormula>tblPiNAnalysis[[#This Row],[SAMV]]</calculatedColumnFormula>
    </tableColumn>
    <tableColumn id="27" xr3:uid="{90CBBEA2-52CD-4938-A731-A3039A83AA27}" name="NUT26" dataDxfId="313">
      <calculatedColumnFormula>tblPiNAnalysis[[#This Row],[NUT]]</calculatedColumnFormula>
    </tableColumn>
    <tableColumn id="39" xr3:uid="{79049057-4CB6-4344-B8AE-D043DE348509}" name="SAL26" dataDxfId="312">
      <calculatedColumnFormula>tblPiNAnalysis[[#This Row],[SAL]]</calculatedColumnFormula>
    </tableColumn>
    <tableColumn id="16" xr3:uid="{AB91784D-784E-470B-9B6B-0C5C96DE7BC3}" name="EDU26" dataDxfId="311">
      <calculatedColumnFormula>tblPiNAnalysis[[#This Row],[EDU]]</calculatedColumnFormula>
    </tableColumn>
    <tableColumn id="19" xr3:uid="{DF836EFA-4D5C-4A76-A230-CFE18E7635C8}" name="PRO26" dataDxfId="310">
      <calculatedColumnFormula>tblPiNAnalysis[[#This Row],[PRO]]</calculatedColumnFormula>
    </tableColumn>
    <tableColumn id="35" xr3:uid="{2967BDE4-A11B-4005-A24B-D9CFBB6026D1}" name="ASH26" dataDxfId="309">
      <calculatedColumnFormula>tblPiNAnalysis[[#This Row],[ASH]]</calculatedColumnFormula>
    </tableColumn>
    <tableColumn id="32" xr3:uid="{112BC0F4-3EB6-4905-B067-C9CFE2267560}" name="Diferencia PiN para SAM" dataDxfId="308">
      <calculatedColumnFormula>IF(OR(tblPiNHistorical[[#This Row],[SAMV25]]="", tblPiNHistorical[[#This Row],[SAMV25]]=0, tblPiNHistorical[[#This Row],[SAMV26]]="", tblPiNHistorical[[#This Row],[SAMV26]]=0), "", tblPiNHistorical[[#This Row],[SAMV26]]-tblPiNHistorical[[#This Row],[SAMV25]])</calculatedColumnFormula>
    </tableColumn>
    <tableColumn id="25" xr3:uid="{794F3A76-2CF2-4DB6-B3A7-A8FBC4A039A4}" name="Diferencia PiN para NUT" dataDxfId="307">
      <calculatedColumnFormula>IF(OR(tblPiNHistorical[[#This Row],[NUT25]]="", tblPiNHistorical[[#This Row],[NUT25]]=0, tblPiNHistorical[[#This Row],[NUT26]]="", tblPiNHistorical[[#This Row],[NUT26]]=0), "", tblPiNHistorical[[#This Row],[NUT26]]-tblPiNHistorical[[#This Row],[NUT25]])</calculatedColumnFormula>
    </tableColumn>
    <tableColumn id="23" xr3:uid="{208EA54B-C721-4CC7-8278-0241C2CF01E7}" name="Diferencia PiN para SAL" dataDxfId="306">
      <calculatedColumnFormula>IF(OR(tblPiNHistorical[[#This Row],[SAL25]]="", tblPiNHistorical[[#This Row],[SAL25]]=0, tblPiNHistorical[[#This Row],[SAL26]]="", tblPiNHistorical[[#This Row],[SAL26]]=0), "", tblPiNHistorical[[#This Row],[SAL26]]-tblPiNHistorical[[#This Row],[SAL25]])</calculatedColumnFormula>
    </tableColumn>
    <tableColumn id="21" xr3:uid="{40533A56-0681-449E-B1DB-61A403CAF744}" name="Diferencia PiN para EDU" dataDxfId="305">
      <calculatedColumnFormula>IF(OR(tblPiNHistorical[[#This Row],[EDU25]]="", tblPiNHistorical[[#This Row],[EDU25]]=0, tblPiNHistorical[[#This Row],[EDU26]]="", tblPiNHistorical[[#This Row],[EDU26]]=0), "", tblPiNHistorical[[#This Row],[EDU26]]-tblPiNHistorical[[#This Row],[EDU25]])</calculatedColumnFormula>
    </tableColumn>
    <tableColumn id="38" xr3:uid="{0E421EF8-4E9C-4FDD-9078-6F037F6B5AAE}" name="Diferencia PiN para PRO" dataDxfId="304">
      <calculatedColumnFormula>IF(OR(tblPiNHistorical[[#This Row],[PRO25]]="", tblPiNHistorical[[#This Row],[PRO25]]=0, tblPiNHistorical[[#This Row],[PRO26]]="", tblPiNHistorical[[#This Row],[PRO26]]=0), "", tblPiNHistorical[[#This Row],[PRO26]]-tblPiNHistorical[[#This Row],[PRO25]])</calculatedColumnFormula>
    </tableColumn>
    <tableColumn id="5" xr3:uid="{5E99E83B-21D7-4AB9-9389-9E3FBBB916EE}" name="Diferencia PiN para ASH" dataDxfId="303">
      <calculatedColumnFormula>IF(OR(tblPiNHistorical[[#This Row],[ASH25]]="", tblPiNHistorical[[#This Row],[ASH25]]=0, tblPiNHistorical[[#This Row],[ASH26]]="", tblPiNHistorical[[#This Row],[ASH26]]=0), "", tblPiNHistorical[[#This Row],[ASH26]]-tblPiNHistorical[[#This Row],[ASH25]])</calculatedColumnFormula>
    </tableColumn>
    <tableColumn id="37" xr3:uid="{7D7EBA8D-F540-446F-90A8-354EDCB9EA65}" name="SAMV" dataDxfId="302">
      <calculatedColumnFormula>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calculatedColumnFormula>
    </tableColumn>
    <tableColumn id="26" xr3:uid="{10261328-1C0B-4D45-98A3-77FF935B86EE}" name="NUT" dataDxfId="301">
      <calculatedColumnFormula>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calculatedColumnFormula>
    </tableColumn>
    <tableColumn id="24" xr3:uid="{E1D42502-F0CC-4C4E-9DB3-2544989D2B90}" name="SAL" dataDxfId="300">
      <calculatedColumnFormula>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calculatedColumnFormula>
    </tableColumn>
    <tableColumn id="22" xr3:uid="{1B7E3635-614A-4EA6-B272-7391D69C00F2}" name="EDU" dataDxfId="299">
      <calculatedColumnFormula>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calculatedColumnFormula>
    </tableColumn>
    <tableColumn id="42" xr3:uid="{FC34482E-E387-497E-8003-2417B5E19C46}" name="PRO" dataDxfId="298">
      <calculatedColumnFormula>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calculatedColumnFormula>
    </tableColumn>
    <tableColumn id="7" xr3:uid="{3CD32DEE-C0B2-4756-8061-4C4FC7A219E4}" name="ASH" dataDxfId="297">
      <calculatedColumnFormula>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calculatedColumnFormula>
    </tableColumn>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1C7DAF7-37A5-437D-A71A-78BDE7153DE7}" name="tblPiNAnalysis" displayName="tblPiNAnalysis" ref="A3:BD338" headerRowDxfId="294" dataDxfId="293" headerRowBorderDxfId="291" tableBorderDxfId="292" totalsRowBorderDxfId="290" headerRowCellStyle="Comma 2">
  <autoFilter ref="A3:BD338" xr:uid="{11C7DAF7-37A5-437D-A71A-78BDE7153DE7}"/>
  <sortState xmlns:xlrd2="http://schemas.microsoft.com/office/spreadsheetml/2017/richdata2" ref="A4:BD338">
    <sortCondition descending="1" ref="BA3:BA338"/>
  </sortState>
  <tableColumns count="56">
    <tableColumn id="1" xr3:uid="{54AEF9E4-9BDD-4CFB-A31A-26775997174F}" name="ID" totalsRowLabel="Total" dataDxfId="288" totalsRowDxfId="289">
      <calculatedColumnFormula>IFERROR(_xlfn.CONCAT(IF(tblPiNAnalysis[[#This Row],[Grupo]]="", "",tblPiNAnalysis[[#This Row],[Grupo]] ),  _xlfn.IFS(tblPiNAnalysis[[#This Row],[Admin2PCODE]]&lt;&gt;"", tblPiNAnalysis[[#This Row],[Admin2PCODE]], tblPiNAnalysis[[#This Row],[Admin1PCODE]]&lt;&gt;"", tblPiNAnalysis[[#This Row],[Admin1PCODE]])),"")</calculatedColumnFormula>
    </tableColumn>
    <tableColumn id="2" xr3:uid="{90C30682-CC85-4A40-8C59-3DE4818FD180}" name="Admin1" dataDxfId="286" totalsRowDxfId="287"/>
    <tableColumn id="15" xr3:uid="{7B726629-BA89-49F5-8F57-2B9EB4CDD021}" name="Admin1PCODE" dataDxfId="284" totalsRowDxfId="285"/>
    <tableColumn id="14" xr3:uid="{BAE67459-66F5-4493-A91C-9D2B08E6B8EC}" name="Admin2" dataDxfId="282" totalsRowDxfId="283"/>
    <tableColumn id="3" xr3:uid="{19F61B87-5E5C-480C-970D-62A72E5FF1E6}" name="Admin2PCODE" dataDxfId="280" totalsRowDxfId="281"/>
    <tableColumn id="11" xr3:uid="{6FB8E33E-2FD3-4E16-B910-AFBE857C0A9E}" name="Foco de necesidades" dataDxfId="278" totalsRowDxfId="279"/>
    <tableColumn id="4" xr3:uid="{C3D266F4-08AD-4E59-ACFC-6FCB92954911}" name="Población" dataDxfId="276" totalsRowDxfId="277"/>
    <tableColumn id="29" xr3:uid="{E0F650EC-BD3F-4798-948C-937FC547C3AC}" name="Grupo" dataDxfId="274" totalsRowDxfId="275"/>
    <tableColumn id="8" xr3:uid="{F9A63AE1-604E-42EF-A449-294D1C9BA734}" name="SAMV" totalsRowFunction="sum" dataDxfId="272" totalsRowDxfId="273"/>
    <tableColumn id="31" xr3:uid="{C853B6B0-0D51-4D27-A0DE-8BBED5DB5DBC}" name="NUT" totalsRowFunction="sum" dataDxfId="270" totalsRowDxfId="271"/>
    <tableColumn id="32" xr3:uid="{56EE9F16-B087-4DC5-9E34-9168FFDBAB16}" name="SAL" totalsRowFunction="sum" dataDxfId="269"/>
    <tableColumn id="10" xr3:uid="{C2D31B2E-F8B2-40B5-B8BE-579B6F858303}" name="EDU" totalsRowFunction="sum" dataDxfId="267" totalsRowDxfId="268"/>
    <tableColumn id="33" xr3:uid="{EA7D01DC-FF04-481D-832D-E586DCE04584}" name="PRO" totalsRowFunction="sum" dataDxfId="265" totalsRowDxfId="266"/>
    <tableColumn id="17" xr3:uid="{BB2853C7-D9DD-4C35-A144-B7DE9E3D8429}" name="ASH" totalsRowFunction="sum" dataDxfId="263" totalsRowDxfId="264"/>
    <tableColumn id="66" xr3:uid="{A3B5A376-64B2-4BCD-AEDF-EAA9FEEA0CF0}" name="NNA" totalsRowFunction="sum" dataDxfId="261" totalsRowDxfId="262"/>
    <tableColumn id="65" xr3:uid="{560FC162-D3A5-42CC-BD97-D595B39B18E3}" name="VBG" totalsRowFunction="sum" dataDxfId="259" totalsRowDxfId="260"/>
    <tableColumn id="13" xr3:uid="{84EB6432-4FF9-4406-915E-0C0FFA9C3B31}" name="% SAMV" dataDxfId="257" totalsRowDxfId="258">
      <calculatedColumnFormula>IFERROR(IF(tblPiNAnalysis[[#This Row],[SAMV]]="", "", MROUND(tblPiNAnalysis[[#This Row],[SAMV]]/tblPiNAnalysis[[#This Row],[Población]], 0.05)), "")</calculatedColumnFormula>
    </tableColumn>
    <tableColumn id="16" xr3:uid="{614333A2-B706-4F70-9C4F-9CC17D604920}" name="% NUT" dataDxfId="255" totalsRowDxfId="256">
      <calculatedColumnFormula>IFERROR(IF(tblPiNAnalysis[[#This Row],[NUT]]="", "", MROUND(tblPiNAnalysis[[#This Row],[NUT]]/tblPiNAnalysis[[#This Row],[Población]], 0.05)), "")</calculatedColumnFormula>
    </tableColumn>
    <tableColumn id="19" xr3:uid="{2D3BACE2-BF35-4152-A515-D3C0068BE785}" name="% SAL" dataDxfId="253" totalsRowDxfId="254">
      <calculatedColumnFormula>IFERROR(IF(tblPiNAnalysis[[#This Row],[SAL]]="", "", MROUND(tblPiNAnalysis[[#This Row],[SAL]]/tblPiNAnalysis[[#This Row],[Población]], 0.05)), "")</calculatedColumnFormula>
    </tableColumn>
    <tableColumn id="41" xr3:uid="{B00207D5-50EC-44D1-BB96-A8C43B705FF2}" name="% EDU" dataDxfId="251" totalsRowDxfId="252">
      <calculatedColumnFormula>IFERROR(IF(tblPiNAnalysis[[#This Row],[EDU]]="", "", MROUND(tblPiNAnalysis[[#This Row],[EDU]]/tblPiNAnalysis[[#This Row],[Población]], 0.05)), "")</calculatedColumnFormula>
    </tableColumn>
    <tableColumn id="18" xr3:uid="{274587A6-D19C-4004-9BE3-EEF2BF4636E0}" name="% PRO" dataDxfId="249" totalsRowDxfId="250">
      <calculatedColumnFormula>IFERROR(IF(tblPiNAnalysis[[#This Row],[PRO]]="", "", MROUND(tblPiNAnalysis[[#This Row],[PRO]]/tblPiNAnalysis[[#This Row],[Población]], 0.05)), "")</calculatedColumnFormula>
    </tableColumn>
    <tableColumn id="35" xr3:uid="{3C23AE7E-5AB3-47CF-9EA0-02463685ADA4}" name="% WASH" dataDxfId="247" totalsRowDxfId="248">
      <calculatedColumnFormula>IFERROR(IF(tblPiNAnalysis[[#This Row],[ASH]]="", "", MROUND(tblPiNAnalysis[[#This Row],[ASH]]/tblPiNAnalysis[[#This Row],[Población]], 0.05)), "")</calculatedColumnFormula>
    </tableColumn>
    <tableColumn id="61" xr3:uid="{112CF96E-9F13-544B-A245-73545238CFF5}" name="% NNA" dataDxfId="245" totalsRowDxfId="246">
      <calculatedColumnFormula>IFERROR(MROUND(tblPiNAnalysis[[#This Row],[NNA]]/tblPiNAnalysis[[#This Row],[Población]], 0.05), "")</calculatedColumnFormula>
    </tableColumn>
    <tableColumn id="62" xr3:uid="{C41733D8-6D32-2F4D-99C1-0BACA483FAB4}" name="% VBG" dataDxfId="243" totalsRowDxfId="244">
      <calculatedColumnFormula>IFERROR(MROUND(tblPiNAnalysis[[#This Row],[VBG]]/tblPiNAnalysis[[#This Row],[Población]], 0.05), "")</calculatedColumnFormula>
    </tableColumn>
    <tableColumn id="12" xr3:uid="{F51CCB8C-B7B3-49F6-B2F6-2ABEDE72599E}" name="PiN más alto" dataDxfId="241" totalsRowDxfId="242">
      <calculatedColumnFormula>IFERROR(LARGE(tblPiNAnalysis[[#This Row],[SAMV]:[ASH]], 1), "")</calculatedColumnFormula>
    </tableColumn>
    <tableColumn id="20" xr3:uid="{EE7E5C5D-8DD5-4982-8D9F-B98888048773}" name="Sectores más altos" dataDxfId="239" totalsRowDxfId="240">
      <calculatedColumnFormula array="1">IF(tblPiNAnalysis[[#This Row],[PiN más alto]]="", "", _xlfn.TEXTJOIN(CHAR(10), TRUE, IF(tblPiNAnalysis[[#This Row],[PiN más alto]]=tblPiNAnalysis[[#This Row],[SAMV]:[ASH]], tblPiNAnalysis[[#Headers],[SAMV]:[ASH]], "")))</calculatedColumnFormula>
    </tableColumn>
    <tableColumn id="27" xr3:uid="{5BDD9F1E-13DE-4906-8856-160E9BE502BA}" name="% PiN Sectores más altos" dataDxfId="237" totalsRowDxfId="238">
      <calculatedColumnFormula>IF(tblPiNAnalysis[[#This Row],[PiN más alto]]="", "", tblPiNAnalysis[[#This Row],[PiN más alto]]/tblPiNAnalysis[[#This Row],[Población]])</calculatedColumnFormula>
    </tableColumn>
    <tableColumn id="50" xr3:uid="{BF376171-8A95-4AAD-A80E-E0B2F59D8B94}" name="Número de PiN ausentes/cero superior al umbral - Calidad de los datos" dataDxfId="235" totalsRowDxfId="236">
      <calculatedColumnFormula>IF(SUM(tblPiNAnalysis[[#This Row],[SAMV]:[ASH]])=0, "",IF(COUNTIF(tblPiNAnalysis[[#This Row],[SAMV]:[ASH]],"=0")+COUNTIF(tblPiNAnalysis[[#This Row],[SAMV]:[ASH]],"")&gt;=zero_pin_thresh, "Flagged", ""))</calculatedColumnFormula>
    </tableColumn>
    <tableColumn id="45" xr3:uid="{6223ED00-19BF-42C3-A58C-3611DAB4D294}" name="PiN superior al 90 % de la población total afectada" dataDxfId="233" totalsRowDxfId="234">
      <calculatedColumnFormula>IFERROR(IF(tblPiNAnalysis[[#This Row],[PiN más alto]]="", "", IF(tblPiNAnalysis[[#This Row],[% PiN Sectores más altos]]&gt;=flag_pin_perc, "Flagged", "")), "")</calculatedColumnFormula>
    </tableColumn>
    <tableColumn id="24" xr3:uid="{0A335051-02C6-487B-8072-88B6D80285FC}" name="El sector más alto se dirige a subgrupos de población" dataDxfId="231" totalsRowDxfId="232">
      <calculatedColumnFormula array="1">IF(tblPiNAnalysis[[#This Row],[PiN más alto]]=0, "",  IF(OR(COUNTIF(tblPiNAnalysis[[#This Row],[Sectores más altos]],tblSubSectorPopulation[Sector])), "Flagged", ""))</calculatedColumnFormula>
    </tableColumn>
    <tableColumn id="21" xr3:uid="{AFD138FA-405D-4253-8B62-242D86672B24}" name="2º PiN más alto" dataDxfId="229" totalsRowDxfId="230">
      <calculatedColumnFormula array="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calculatedColumnFormula>
    </tableColumn>
    <tableColumn id="22" xr3:uid="{9AF1A09D-DE69-44D5-9BBD-930114D52CC6}" name="2º Sectores más altos" dataDxfId="227" totalsRowDxfId="228">
      <calculatedColumnFormula array="1">IF(tblPiNAnalysis[[#This Row],[2º PiN más alto]]="", "", _xlfn.TEXTJOIN(CHAR(10), TRUE, IF(tblPiNAnalysis[[#This Row],[2º PiN más alto]]=tblPiNAnalysis[[#This Row],[SAMV]:[ASH]], tblPiNAnalysis[[#Headers],[SAMV]:[ASH]], "")))</calculatedColumnFormula>
    </tableColumn>
    <tableColumn id="23" xr3:uid="{9B412B06-DB20-499A-923F-93A9D074723E}" name="2º Sector más alto % PiN" dataDxfId="225" totalsRowDxfId="226">
      <calculatedColumnFormula>IFERROR(tblPiNAnalysis[[#This Row],[2º PiN más alto]]/tblPiNAnalysis[[#This Row],[Población]], "")</calculatedColumnFormula>
    </tableColumn>
    <tableColumn id="25" xr3:uid="{B380F038-9191-4339-80BF-41DB7772018A}" name="Diferencia de PiN entre el más alto y el segundo más alto" dataDxfId="223" totalsRowDxfId="224">
      <calculatedColumnFormula>IFERROR(tblPiNAnalysis[[#This Row],[PiN más alto]]-tblPiNAnalysis[[#This Row],[2º PiN más alto]], "")</calculatedColumnFormula>
    </tableColumn>
    <tableColumn id="26" xr3:uid="{321F52D6-AAC0-4898-ABE0-58D30ADD9109}" name="% Diferencia entre el más alto y el segundo más alto" dataDxfId="221" totalsRowDxfId="222">
      <calculatedColumnFormula>IFERROR(((tblPiNAnalysis[[#This Row],[PiN más alto]]-tblPiNAnalysis[[#This Row],[2º PiN más alto]])/tblPiNAnalysis[[#This Row],[2º PiN más alto]]),"")</calculatedColumnFormula>
    </tableColumn>
    <tableColumn id="7" xr3:uid="{7CC3128D-723E-40AA-BA15-5A26C53727C1}" name="% de diferencia por encima de un umbral especificado entre el más alto y el segundo más alto" dataDxfId="219" totalsRowDxfId="220">
      <calculatedColumnFormula array="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calculatedColumnFormula>
    </tableColumn>
    <tableColumn id="49" xr3:uid="{88B9779E-AADD-48C6-BAA4-BD1417FF03CA}" name="3º PiN más alto" dataDxfId="217" totalsRowDxfId="218">
      <calculatedColumnFormula array="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calculatedColumnFormula>
    </tableColumn>
    <tableColumn id="51" xr3:uid="{A05FB10D-6128-4237-B011-FCDD3211239F}" name="3º Sectores más altos" dataDxfId="215" totalsRowDxfId="216">
      <calculatedColumnFormula array="1">IF(tblPiNAnalysis[[#This Row],[3º PiN más alto]]="", "", _xlfn.TEXTJOIN(CHAR(10), TRUE, IF(tblPiNAnalysis[[#This Row],[3º PiN más alto]]=tblPiNAnalysis[[#This Row],[SAMV]:[ASH]], tblPiNAnalysis[[#Headers],[SAMV]:[ASH]], "")))</calculatedColumnFormula>
    </tableColumn>
    <tableColumn id="52" xr3:uid="{994A81BE-6DA1-4B93-9693-EE185E5560A0}" name="3º sector con porcentaje de PiN más alto" dataDxfId="213" totalsRowDxfId="214">
      <calculatedColumnFormula>IFERROR(tblPiNAnalysis[[#This Row],[3º PiN más alto]]/tblPiNAnalysis[[#This Row],[Población]], "")</calculatedColumnFormula>
    </tableColumn>
    <tableColumn id="54" xr3:uid="{842D2CFE-79B7-49FF-A2EC-799DFCD95490}" name="Diferencia de PiN entre el más alto y el 3º más alto" dataDxfId="211" totalsRowDxfId="212">
      <calculatedColumnFormula>IFERROR(tblPiNAnalysis[[#This Row],[PiN más alto]]-tblPiNAnalysis[[#This Row],[3º PiN más alto]],"")</calculatedColumnFormula>
    </tableColumn>
    <tableColumn id="58" xr3:uid="{DE68B50D-DC7A-4947-8BAA-B53F0E3BABE0}" name="Porcentaje de diferencia entre el más alto y el 3º más alto" dataDxfId="209" totalsRowDxfId="210">
      <calculatedColumnFormula>IFERROR(tblPiNAnalysis[[#This Row],[Diferencia de PiN entre el más alto y el 3º más alto]]/tblPiNAnalysis[[#This Row],[3º PiN más alto]], "")</calculatedColumnFormula>
    </tableColumn>
    <tableColumn id="59" xr3:uid="{39E4DD04-652F-421B-AD59-CB32A95C5E58}" name="% de diferencia por encima de un umbral especificado entre el más alto y el 3° más alto" dataDxfId="207" totalsRowDxfId="208">
      <calculatedColumnFormula array="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calculatedColumnFormula>
    </tableColumn>
    <tableColumn id="38" xr3:uid="{55D3F4B6-0C81-47B6-9C29-FD9110513E4F}" name=" La variación con respecto al año pasado para el sector o sectores más altos" dataDxfId="205" totalsRowDxfId="206">
      <calculatedColumnFormula array="1">IFERROR(IF(tblPiNAnalysis[[#This Row],[ID]]="", "", INDEX(tblPiNHistorical[[SAMV]:[ASH]], MATCH(tblPiNAnalysis[[#This Row],[ID]],tblPiNHistorical[ID], 0),MATCH(_xlfn._xlws.FILTER(tblPiNAnalysis[[#Headers],[SAMV]:[ASH]], tblPiNAnalysis[[#This Row],[PiN más alto]]=tblPiNAnalysis[[#This Row],[SAMV]:[ASH]]), tblPiNHistorical[[#Headers],[SAMV]:[ASH]], 0))), "")</calculatedColumnFormula>
    </tableColumn>
    <tableColumn id="28" xr3:uid="{1B12C2BF-8164-4E79-A2A3-3FD89A7D05A0}" name="La variación con respecto al año pasado para el sector o sectores más altos ha aumentado o disminuido significativamente" dataDxfId="203" totalsRowDxfId="204">
      <calculatedColumnFormula array="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calculatedColumnFormula>
    </tableColumn>
    <tableColumn id="39" xr3:uid="{95788CC6-87F0-4242-8F75-BB77F49FDEF1}" name=" La variación con respecto al año pasado para el o los 2º sectores más altos" dataDxfId="201" totalsRowDxfId="202">
      <calculatedColumnFormula array="1">IFERROR(IF(tblPiNAnalysis[[#This Row],[ID]]="", "", INDEX(tblPiNHistorical[[SAMV]:[ASH]], MATCH(tblPiNAnalysis[[#This Row],[ID]],tblPiNHistorical[ID], 0),MATCH(_xlfn._xlws.FILTER(tblPiNAnalysis[[#Headers],[SAMV]:[ASH]], tblPiNAnalysis[[#This Row],[2º PiN más alto]]=tblPiNAnalysis[[#This Row],[SAMV]:[ASH]]), tblPiNHistorical[[#Headers],[SAMV]:[ASH]], 0))), "")</calculatedColumnFormula>
    </tableColumn>
    <tableColumn id="40" xr3:uid="{6E12C916-37E1-467C-ABE0-CED4F871E2EE}" name=" " dataDxfId="199" totalsRowDxfId="200">
      <calculatedColumnFormula array="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calculatedColumnFormula>
    </tableColumn>
    <tableColumn id="42" xr3:uid="{AC08177C-B4D1-4340-AEAF-71C4643EE413}" name="Severidad" dataDxfId="197" totalsRowDxfId="198">
      <calculatedColumnFormula>INDEX(tblSeverityAnalysis[Severidad final], MATCH(tblPiNAnalysis[[#This Row],[ID]],tblSeverityAnalysis[ID], 0))</calculatedColumnFormula>
    </tableColumn>
    <tableColumn id="56" xr3:uid="{CF7DC092-BFB4-4899-987D-F32FC1BAACB2}" name="PiN preliminar" dataDxfId="195" totalsRowDxfId="196">
      <calculatedColumnFormula>IF(tblPiNAnalysis[[#This Row],[Severidad]]&gt;2,tblPiNAnalysis[[#This Row],[PiN más alto]],)</calculatedColumnFormula>
    </tableColumn>
    <tableColumn id="53" xr3:uid="{7C03EE48-EEA9-4476-A6DD-4158C12C4F8E}" name="Marcador manual" dataDxfId="193" totalsRowDxfId="194"/>
    <tableColumn id="55" xr3:uid="{11CE3DCA-E095-40B8-A7E6-2E4D874070E9}" name="Explicación del marcador manual" dataDxfId="191" totalsRowDxfId="192"/>
    <tableColumn id="43" xr3:uid="{CFE4F24F-8A37-42E8-9228-246259204EF1}" name="Número de marcadores" dataDxfId="189" totalsRowDxfId="190">
      <calculatedColumnFormula>COUNTIFS(tblPiNAnalysis[[#This Row],[Número de PiN ausentes/cero superior al umbral - Calidad de los datos]:[Marcador manual]],"Flagged")</calculatedColumnFormula>
    </tableColumn>
    <tableColumn id="37" xr3:uid="{2AC961A8-EBC6-4B58-950C-076CC926484C}" name="Marcado" dataDxfId="187" totalsRowDxfId="188">
      <calculatedColumnFormula>IF(tblPiNAnalysis[[#This Row],[Número de marcadores]]&gt;0, "Flagged", "")</calculatedColumnFormula>
    </tableColumn>
    <tableColumn id="44" xr3:uid="{F0A6E442-5E92-474E-A531-A201AC702C5A}" name="PiN final" dataDxfId="185" totalsRowDxfId="186">
      <calculatedColumnFormula>tblPiNAnalysis[[#This Row],[PiN preliminar]]</calculatedColumnFormula>
    </tableColumn>
    <tableColumn id="5" xr3:uid="{CCDCA844-1C62-445A-A508-2D171AEA612C}" name="Pruebas y comentarios" dataDxfId="183" totalsRowDxfId="184"/>
    <tableColumn id="6" xr3:uid="{018BC3B3-E3AD-478A-A453-1A0E25CD0E39}" name="Población meta" dataDxfId="181" totalsRowDxfId="182">
      <calculatedColumnFormula>IFERROR(IF(tblPiNAnalysis[[#This Row],[Severidad]]=3,tblPiNAnalysis[[#This Row],[PiN final]]*Umbrales!$D$33,tblPiNAnalysis[[#This Row],[PiN final]]*Umbrales!$D$34),)</calculatedColumnFormula>
    </tableColumn>
    <tableColumn id="9" xr3:uid="{5B597190-CF24-49EC-85DB-9EC42EBEAE33}" name="Población priorizada" totalsRowFunction="sum" dataDxfId="179" totalsRowDxfId="180">
      <calculatedColumnFormula>IFERROR(IF(tblPiNAnalysis[[#This Row],[Severidad]]&gt;3,tblPiNAnalysis[[#This Row],[PiN final]]*Umbrales!$D$34,),)</calculatedColumnFormula>
    </tableColumn>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C62CB9-79E0-497E-A079-06B621BAA7FA}" name="tblSeverityAnalysis" displayName="tblSeverityAnalysis" ref="A3:AR338" totalsRowShown="0" headerRowDxfId="177" dataDxfId="176" tableBorderDxfId="175" totalsRowBorderDxfId="174" headerRowCellStyle="Comma 2">
  <autoFilter ref="A3:AR338" xr:uid="{C1C62CB9-79E0-497E-A079-06B621BAA7FA}">
    <filterColumn colId="40">
      <filters>
        <filter val="5"/>
      </filters>
    </filterColumn>
  </autoFilter>
  <tableColumns count="44">
    <tableColumn id="7" xr3:uid="{12E8B687-B3A9-47AD-878D-880B213B4194}" name="ID" dataDxfId="172" totalsRowDxfId="173">
      <calculatedColumnFormula>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calculatedColumnFormula>
    </tableColumn>
    <tableColumn id="2" xr3:uid="{DE5C2973-C3F7-4CA7-A76B-64D8D90C3D11}" name="Admin 1" dataDxfId="170" totalsRowDxfId="171"/>
    <tableColumn id="15" xr3:uid="{B194334C-81FA-4EF2-9AE3-5E75730B9BF4}" name="Admin 1 Código P" dataDxfId="168" totalsRowDxfId="169"/>
    <tableColumn id="14" xr3:uid="{3DF13833-849E-4712-95EC-D8335688FB50}" name="Admin 2" dataDxfId="166" totalsRowDxfId="167"/>
    <tableColumn id="3" xr3:uid="{D7B62F2F-A63B-44BE-AE4E-30223A2CCBFD}" name="Admin 2 Código P" dataDxfId="164" totalsRowDxfId="165"/>
    <tableColumn id="9" xr3:uid="{5DDCD193-B518-4337-8C86-30765FCF0C17}" name="Foco de necesidades" dataDxfId="162" totalsRowDxfId="163"/>
    <tableColumn id="4" xr3:uid="{A48A17EA-68C0-4A1F-9FBF-4FDCF8A3B119}" name="Población" dataDxfId="160" totalsRowDxfId="161"/>
    <tableColumn id="29" xr3:uid="{F731F25E-5448-4170-BE76-BCA9E8A21DF1}" name="Grupo de población" dataDxfId="158" totalsRowDxfId="159"/>
    <tableColumn id="8" xr3:uid="{2EAA504B-FE48-494A-8CCF-FE05D7E55168}" name="SAMV" dataDxfId="156" totalsRowDxfId="157"/>
    <tableColumn id="10" xr3:uid="{8E2042EE-1CD5-45A3-A0F4-6E648C2C2C9A}" name="NUT" dataDxfId="154" totalsRowDxfId="155"/>
    <tableColumn id="31" xr3:uid="{623EB35B-A873-438D-B4FC-568020B0E314}" name="SAL" dataDxfId="152" totalsRowDxfId="153"/>
    <tableColumn id="33" xr3:uid="{A3845C6F-B00A-4D3D-BCD9-7001DF7C2BF3}" name="EDU" dataDxfId="150" totalsRowDxfId="151"/>
    <tableColumn id="16" xr3:uid="{CCC771BB-071E-462D-BAD3-7ECDFD8BA39C}" name="PRO" dataDxfId="148" totalsRowDxfId="149"/>
    <tableColumn id="17" xr3:uid="{E84A9292-43B6-4C5B-94DA-076D49B68338}" name="ASH" dataDxfId="146" totalsRowDxfId="147"/>
    <tableColumn id="21" xr3:uid="{C48240FC-85EC-B548-BDBE-D7ECF22A8C33}" name="NNA" dataDxfId="144" totalsRowDxfId="145"/>
    <tableColumn id="23" xr3:uid="{BE6A09F9-4A73-E54A-BF31-9F855B209A36}" name="VBG" dataDxfId="142" totalsRowDxfId="143"/>
    <tableColumn id="32" xr3:uid="{A49C4B3C-7EE7-47B7-8956-A2E6603DB966}" name=" 1 " dataDxfId="140" totalsRowDxfId="141">
      <calculatedColumnFormula>IF(COUNTIF(tblSeverityAnalysis[[#This Row],[SAMV]:[ASH]], 1)=0, "", COUNTIF(tblSeverityAnalysis[[#This Row],[SAMV]:[ASH]], 1))</calculatedColumnFormula>
    </tableColumn>
    <tableColumn id="38" xr3:uid="{6D27F5BF-2269-470D-AB93-ECADB389B60C}" name=" 2 " dataDxfId="138" totalsRowDxfId="139">
      <calculatedColumnFormula>IF(COUNTIF(tblSeverityAnalysis[[#This Row],[SAMV]:[ASH]], 2)=0, "", COUNTIF(tblSeverityAnalysis[[#This Row],[SAMV]:[ASH]], 2))</calculatedColumnFormula>
    </tableColumn>
    <tableColumn id="39" xr3:uid="{1E74531A-C61A-413B-B1BC-92F41D56542F}" name=" 3 " dataDxfId="136" totalsRowDxfId="137">
      <calculatedColumnFormula>IF(COUNTIF(tblSeverityAnalysis[[#This Row],[SAMV]:[ASH]], 3)=0, "", COUNTIF(tblSeverityAnalysis[[#This Row],[SAMV]:[ASH]], 3))</calculatedColumnFormula>
    </tableColumn>
    <tableColumn id="45" xr3:uid="{18DBAD4C-1868-4113-B9B0-5C9A2BE963EB}" name=" 4 " dataDxfId="134" totalsRowDxfId="135">
      <calculatedColumnFormula>IF(COUNTIF(tblSeverityAnalysis[[#This Row],[SAMV]:[ASH]], 4)=0, "", COUNTIF(tblSeverityAnalysis[[#This Row],[SAMV]:[ASH]], 4))</calculatedColumnFormula>
    </tableColumn>
    <tableColumn id="50" xr3:uid="{32158D2A-FFD3-47A5-BAD2-0E76DE3E6ECB}" name="5" dataDxfId="132" totalsRowDxfId="133">
      <calculatedColumnFormula>IF(COUNTIF(tblSeverityAnalysis[[#This Row],[SAMV]:[ASH]], 5)=0, "", COUNTIF(tblSeverityAnalysis[[#This Row],[SAMV]:[ASH]], 5))</calculatedColumnFormula>
    </tableColumn>
    <tableColumn id="56" xr3:uid="{BCD5170C-CF9D-4191-BCCB-28922DB24DAD}" name="Severidad preliminar basada en la superposición de privaciones sectoriales" dataDxfId="130" totalsRowDxfId="131">
      <calculatedColumnFormula array="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calculatedColumnFormula>
    </tableColumn>
    <tableColumn id="30" xr3:uid="{898C226D-603A-4B03-8AB3-F1B1EC15F4D3}" name="Mortalidad" dataDxfId="129">
      <calculatedColumnFormula>IFERROR(IF(INDEX(tblSeverityReference[Muerte o Severidad inminente de Riesgo de muerte],MATCH(tblSeverityAnalysis[[#This Row],[ID]], tblSeverityReference[ID], 0))= "", "",INDEX(tblSeverityReference[Muerte o Severidad inminente de Riesgo de muerte],MATCH(tblSeverityAnalysis[[#This Row],[ID]], tblSeverityReference[ID], 0)) ), "")</calculatedColumnFormula>
    </tableColumn>
    <tableColumn id="35" xr3:uid="{52915851-B9BD-417C-9D89-D537647E1C1F}" name="Malnutrición" dataDxfId="127" totalsRowDxfId="128">
      <calculatedColumnFormula>IFERROR(IF(INDEX(tblSeverityReference[Severidad de la desnutrición],MATCH(tblSeverityAnalysis[[#This Row],[ID]], tblSeverityReference[ID], 0))= "", "",INDEX(tblSeverityReference[Severidad de la desnutrición],MATCH(tblSeverityAnalysis[[#This Row],[ID]], tblSeverityReference[ID], 0)) ), "")</calculatedColumnFormula>
    </tableColumn>
    <tableColumn id="34" xr3:uid="{BDB14026-41EC-4A9C-A4E8-BAA7D3A952B2}" name="Epidemias" dataDxfId="125" totalsRowDxfId="126">
      <calculatedColumnFormula>IFERROR(IF(INDEX(tblSeverityReference[Severidad epidémica],MATCH(tblSeverityAnalysis[[#This Row],[ID]], tblSeverityReference[ID], 0))= "", "",INDEX(tblSeverityReference[Severidad epidémica],MATCH(tblSeverityAnalysis[[#This Row],[ID]], tblSeverityReference[ID], 0)) ), "")</calculatedColumnFormula>
    </tableColumn>
    <tableColumn id="13" xr3:uid="{91890E29-2CD2-4CF5-965E-648927B4CD6E}" name="Medios de subsistencia" dataDxfId="123" totalsRowDxfId="124">
      <calculatedColumnFormula>IFERROR(IF(INDEX(tblSeverityReference[Severidad de la Estrategia de afrontamiento],MATCH(tblSeverityAnalysis[[#This Row],[ID]], tblSeverityReference[ID], 0))= "", "",INDEX(tblSeverityReference[Severidad de la Estrategia de afrontamiento],MATCH(tblSeverityAnalysis[[#This Row],[ID]], tblSeverityReference[ID], 0)) ), "")</calculatedColumnFormula>
    </tableColumn>
    <tableColumn id="18" xr3:uid="{06E2A20B-4EBA-4551-95F0-A0BB49DFCB92}" name="HR/IHL Violation" dataDxfId="121" totalsRowDxfId="122">
      <calculatedColumnFormula>IFERROR(IF(INDEX(tblSeverityReference[HR/IHL Violation],MATCH(tblSeverityAnalysis[[#This Row],[ID]], tblSeverityReference[ID], 0))= "", "",INDEX(tblSeverityReference[HR/IHL Violation],MATCH(tblSeverityAnalysis[[#This Row],[ID]], tblSeverityReference[ID], 0)) ), "")</calculatedColumnFormula>
    </tableColumn>
    <tableColumn id="12" xr3:uid="{BDDA1786-6073-428A-A7AF-90CE142A8E41}" name="Severidad media" dataDxfId="119" totalsRowDxfId="120">
      <calculatedColumnFormula>IFERROR(AVERAGE(tblSeverityAnalysis[[#This Row],[SAMV]:[ASH]]), "")</calculatedColumnFormula>
    </tableColumn>
    <tableColumn id="57" xr3:uid="{B4AA718F-F9E7-4A38-939F-5CF3AC13993E}" name="Severidad máxima" dataDxfId="117" totalsRowDxfId="118">
      <calculatedColumnFormula>IF(SUM(tblSeverityAnalysis[[#This Row],[SAMV]:[ASH]])=0, "", MAX(tblSeverityAnalysis[[#This Row],[SAMV]:[ASH]]))</calculatedColumnFormula>
    </tableColumn>
    <tableColumn id="20" xr3:uid="{B0D41582-83E1-494A-B553-BD98ABC0A586}" name="Sectores de mayor severidad" dataDxfId="115" totalsRowDxfId="116">
      <calculatedColumnFormula array="1">IFERROR(IF(tblSeverityAnalysis[[#This Row],[Severidad máxima]]="", "", _xlfn.TEXTJOIN(CHAR(10), TRUE, IF(tblSeverityAnalysis[[#This Row],[SAMV]:[ASH]]=tblSeverityAnalysis[[#This Row],[Severidad máxima]], tblSeverityAnalysis[[#Headers],[SAMV]:[ASH]], ""), "")), "")</calculatedColumnFormula>
    </tableColumn>
    <tableColumn id="27" xr3:uid="{97CE0432-3503-4907-89A1-126532EAE14B}" name="2ª mayor severidad" dataDxfId="113" totalsRowDxfId="114">
      <calculatedColumnFormula array="1">IFERROR(MAX(_xlfn._xlws.FILTER(tblSeverityAnalysis[[#This Row],[SAMV]:[ASH]], tblSeverityAnalysis[[#This Row],[SAMV]:[ASH]]&lt;tblSeverityAnalysis[[#This Row],[Severidad máxima]])), "")</calculatedColumnFormula>
    </tableColumn>
    <tableColumn id="24" xr3:uid="{7908F3B1-A685-4D7E-8B68-BDDAB612B082}" name="Sectores con la 2ª mayor severidad" dataDxfId="111" totalsRowDxfId="112">
      <calculatedColumnFormula array="1">IFERROR(IF(tblSeverityAnalysis[[#This Row],[2ª mayor severidad]]="", "", _xlfn.TEXTJOIN(CHAR(10), TRUE, IF(tblSeverityAnalysis[[#This Row],[SAMV]:[ASH]]=tblSeverityAnalysis[[#This Row],[2ª mayor severidad]], tblSeverityAnalysis[[#Headers],[SAMV]:[ASH]], ""), "")), "")</calculatedColumnFormula>
    </tableColumn>
    <tableColumn id="1" xr3:uid="{E5324947-EF33-46C6-9A5F-4E4B0271CA4A}" name="1 sectores en fase de severidad 5 [modificar el umbral]" dataDxfId="109" totalsRowDxfId="110">
      <calculatedColumnFormula>IFERROR(IF(AND(tblSeverityAnalysis[[#This Row],[5]] &lt;&gt; "", tblSeverityAnalysis[[#This Row],[5]]&gt;=sectors_sev_5), "Flagged", ""), "")</calculatedColumnFormula>
    </tableColumn>
    <tableColumn id="6" xr3:uid="{04E92991-ACD3-46CA-BF57-66EC74948A62}" name="Más de 4 sectores en 4 o peor mientras que la preliminar es 4 o inferior [modificar el umbral]" dataDxfId="107" totalsRowDxfId="108">
      <calculatedColumnFormula>IFERROR(IF(AND(tblSeverityAnalysis[[#This Row],[Severidad preliminar basada en la superposición de privaciones sectoriales]]=5, SUM(tblSeverityAnalysis[[#This Row],[ 1 ]:[ 4 ]])&gt;=sectors_sev_5), "Flagged", ""), "")</calculatedColumnFormula>
    </tableColumn>
    <tableColumn id="42" xr3:uid="{CF7F22EC-2B20-46A7-9ECE-38202C063A99}" name="Variación de 2+ fases entre la severidad preliminar y la severidad de cualquiera de los indicadores de resultados" dataDxfId="105" totalsRowDxfId="106">
      <calculatedColumnFormula array="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calculatedColumnFormula>
    </tableColumn>
    <tableColumn id="46" xr3:uid="{477EA2A8-3464-463B-B14F-E6C50EACD0C0}" name="Variación de 1+ fases entre la severidad preliminar y la severidad de al menos dos de los indicadores de resultados - en la misma dirección" dataDxfId="103" totalsRowDxfId="104">
      <calculatedColumnFormula>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calculatedColumnFormula>
    </tableColumn>
    <tableColumn id="52" xr3:uid="{F4C98AEA-A2B9-4138-8DCA-1D09D65131D5}" name="Marcador manual" dataDxfId="101" totalsRowDxfId="102"/>
    <tableColumn id="19" xr3:uid="{39A8E2D8-7EAA-4F67-B221-8BADB133E700}" name="Valor de Severidad recomendado por el nivel sub-nacional " dataDxfId="99" totalsRowDxfId="100"/>
    <tableColumn id="54" xr3:uid="{8AF44857-9B03-4E29-90F4-7BAB96595ABB}" name="Explicación del marcador manual" dataDxfId="97" totalsRowDxfId="98"/>
    <tableColumn id="43" xr3:uid="{3627B379-5857-4DE8-97E3-98B77B9F16ED}" name="Número de banderas" dataDxfId="95" totalsRowDxfId="96">
      <calculatedColumnFormula>COUNTIF(tblSeverityAnalysis[[#This Row],[1 sectores en fase de severidad 5 '[modificar el umbral']]:[Marcador manual]], "Flagged")</calculatedColumnFormula>
    </tableColumn>
    <tableColumn id="44" xr3:uid="{03F94C7E-8EDA-4018-9837-589E65ECA95C}" name="Severidad final" dataDxfId="93" totalsRowDxfId="94">
      <calculatedColumnFormula>tblSeverityAnalysis[[#This Row],[Severidad preliminar basada en la superposición de privaciones sectoriales]]</calculatedColumnFormula>
    </tableColumn>
    <tableColumn id="5" xr3:uid="{8C5B51FE-2FF3-4432-A4F9-72475869B3BB}" name="Pruebas y comentarios" dataDxfId="91" totalsRowDxfId="92"/>
    <tableColumn id="11" xr3:uid="{1776C3B8-4E18-4623-A8A6-D367615ECC08}" name="Priorización Final 2025" dataDxfId="90" dataCellStyle="Comma"/>
    <tableColumn id="22" xr3:uid="{E4E24C11-9EE6-4EE0-B829-78DF501FF639}" name="Severidad Ttotal 2025" dataDxfId="89"/>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BF5B1A-B6A1-484D-BF81-A5488E04A560}" name="tblSeverityReference" displayName="tblSeverityReference" ref="A3:AA338" totalsRowShown="0" headerRowDxfId="88" dataDxfId="87" headerRowBorderDxfId="85" tableBorderDxfId="86" totalsRowBorderDxfId="84" headerRowCellStyle="Comma 2">
  <autoFilter ref="A3:AA338" xr:uid="{85BF5B1A-B6A1-484D-BF81-A5488E04A560}"/>
  <sortState xmlns:xlrd2="http://schemas.microsoft.com/office/spreadsheetml/2017/richdata2" ref="A4:AA6">
    <sortCondition ref="B4:B6"/>
    <sortCondition ref="D4:D6"/>
  </sortState>
  <tableColumns count="27">
    <tableColumn id="1" xr3:uid="{24C66158-02F3-400E-BC52-87559454F3BD}" name="ID" dataDxfId="83">
      <calculatedColumnFormula>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calculatedColumnFormula>
    </tableColumn>
    <tableColumn id="2" xr3:uid="{5DC6AC69-6C07-4315-BBEA-5918E5448609}" name="Admin 1" dataDxfId="82"/>
    <tableColumn id="15" xr3:uid="{4EA63701-0CB2-4A55-8370-61E80E5899C0}" name="Admin 1 Código P" dataDxfId="81"/>
    <tableColumn id="14" xr3:uid="{885AD3D6-0994-4B7D-AE97-97E6A7FE1CDF}" name="Admin 2" dataDxfId="80"/>
    <tableColumn id="3" xr3:uid="{42D64701-C39F-4754-8AE0-045A3E355FD5}" name="Admin 2 Código P" dataDxfId="79"/>
    <tableColumn id="6" xr3:uid="{BAEC7335-E660-40A9-8E82-00CFB139FF39}" name="Admin 3" dataDxfId="78"/>
    <tableColumn id="36" xr3:uid="{1758CEF1-5355-4EFB-AE03-CB8C83E5918C}" name="Admin 3 Código P" dataDxfId="77"/>
    <tableColumn id="13" xr3:uid="{1C6FD3C8-269C-4A1D-A882-290CC0470B3B}" name="Foco de necesidades" dataDxfId="76"/>
    <tableColumn id="4" xr3:uid="{02B5914B-C0BE-4235-BF9C-915E2B509B37}" name="Población" dataDxfId="75"/>
    <tableColumn id="29" xr3:uid="{FB41FEF7-F374-4CF1-A22B-AD36EB766BE2}" name="Grupo de población" dataDxfId="74"/>
    <tableColumn id="45" xr3:uid="{557BE843-F5AF-4BDC-ACF8-03C6F968B99F}" name="CDR x/10 000/día" dataDxfId="73"/>
    <tableColumn id="7" xr3:uid="{5F9388E3-72A2-4AA4-A2B3-30F1F64F1CE8}" name="Tasa de mortalidad de menores de 5 años" dataDxfId="72"/>
    <tableColumn id="5" xr3:uid="{7DEA85F9-5885-491C-88E2-890AAB2E80E7}" name="Víctimas civiles" dataDxfId="71"/>
    <tableColumn id="8" xr3:uid="{E32D3781-4602-4E73-95EB-DA2705ACBF62}" name="Muerte o Severidad inminente de Riesgo de muerte" dataDxfId="70">
      <calculatedColumnFormula array="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calculatedColumnFormula>
    </tableColumn>
    <tableColumn id="31" xr3:uid="{23922B33-0085-45F2-BB44-B33A144B1C54}" name="WHZ" dataDxfId="69"/>
    <tableColumn id="12" xr3:uid="{C6C12292-1F2C-403A-9912-DB64FC439D74}" name="Perímetro braquial" dataDxfId="68"/>
    <tableColumn id="33" xr3:uid="{7203C1C9-945E-4F25-B27B-179E5D0F90BD}" name="Severidad de la desnutrición" dataDxfId="67">
      <calculatedColumnFormula array="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calculatedColumnFormula>
    </tableColumn>
    <tableColumn id="18" xr3:uid="{D0C4B065-CC30-4233-B8B6-C90883EA4916}" name="Epidemia 1" dataDxfId="66"/>
    <tableColumn id="9" xr3:uid="{9F9DE9AB-5588-48E7-BA26-4FB6BCD4482A}" name="Epidemia 2" dataDxfId="65"/>
    <tableColumn id="10" xr3:uid="{83B53DC6-75D9-431D-B235-F3E11C44957B}" name="Severidad epidémica" dataDxfId="64"/>
    <tableColumn id="11" xr3:uid="{44BC475A-D95D-4D15-923C-DA24B4FA24BC}" name="HR/IHL Violation" dataDxfId="63"/>
    <tableColumn id="17" xr3:uid="{BCE88250-BB8E-4C8A-9C03-E7022A09521F}" name="Estrategia de afrontamiento (mínima)" dataDxfId="62"/>
    <tableColumn id="46" xr3:uid="{373BD611-D9B0-4066-AB33-A7859A6D501D}" name="Estrategia de afrontamiento (estresada)" dataDxfId="61"/>
    <tableColumn id="47" xr3:uid="{05DFD7E1-7704-4386-A5E9-816CD3B72724}" name="Estrategia de afrontamiento (severa)" dataDxfId="60"/>
    <tableColumn id="48" xr3:uid="{9C31F5FC-D186-4677-A497-48B112788A30}" name="Estrategia de afrontamiento (extrema)" dataDxfId="59"/>
    <tableColumn id="49" xr3:uid="{25DA146F-5FA1-4712-894A-54C6A8219859}" name="Estrategia de afrontamiento (catastrófica)" dataDxfId="58"/>
    <tableColumn id="50" xr3:uid="{E1913089-62D2-4264-96D2-08B70EFDBB72}" name="Severidad de la Estrategia de afrontamiento" dataDxfId="57">
      <calculatedColumnFormula array="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calculatedColumnFormula>
    </tableColumn>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001DFF0-E273-4E85-890A-A67EDE029317}" name="Table8" displayName="Table8" ref="A1:BA336" totalsRowShown="0" headerRowDxfId="56">
  <autoFilter ref="A1:BA336" xr:uid="{B001DFF0-E273-4E85-890A-A67EDE029317}"/>
  <tableColumns count="53">
    <tableColumn id="1" xr3:uid="{C6FE3012-997D-4631-BB76-5D82845DC3D4}" name="Admin1"/>
    <tableColumn id="2" xr3:uid="{4F6F1A25-A222-431D-92EC-BB72FCB40AEB}" name="Admin1PCODE"/>
    <tableColumn id="3" xr3:uid="{F921D5B9-87D7-4705-8ADD-93D79BFF6878}" name="Admin2"/>
    <tableColumn id="4" xr3:uid="{97C62246-D75F-4CC4-8F82-E35ECB271B8A}" name="Admin2PCODE"/>
    <tableColumn id="6" xr3:uid="{0EA921EE-B458-4745-A538-E4F043A3C4A4}" name=" Población " dataDxfId="55" dataCellStyle="Comma"/>
    <tableColumn id="8" xr3:uid="{D4F3C0BF-2774-41AA-BB2E-C393CED7F97D}" name=" SAMV " dataDxfId="54" dataCellStyle="Comma"/>
    <tableColumn id="9" xr3:uid="{E98FE8AF-06D1-4B9F-A147-78A1E7DBC544}" name=" NUT " dataDxfId="53" dataCellStyle="Comma"/>
    <tableColumn id="10" xr3:uid="{0A3E939F-D4CD-4704-ACFA-D46D73B86237}" name=" SAL " dataDxfId="52" dataCellStyle="Comma"/>
    <tableColumn id="11" xr3:uid="{202E23B1-3316-4199-81F5-DAA7FB3336B2}" name=" EDU " dataDxfId="51" dataCellStyle="Comma"/>
    <tableColumn id="12" xr3:uid="{415F49E4-6577-47E1-8EE5-1B7192C19D92}" name=" PRO " dataDxfId="50" dataCellStyle="Comma"/>
    <tableColumn id="13" xr3:uid="{E5BE6CCB-8053-4747-BB13-7B08F15C0F8A}" name=" ASH " dataDxfId="49" dataCellStyle="Comma"/>
    <tableColumn id="14" xr3:uid="{650400BB-6781-4012-BC41-2FFE63F07F7E}" name=" NNA " dataDxfId="48" dataCellStyle="Comma"/>
    <tableColumn id="15" xr3:uid="{D823A8E3-40CB-4230-AA3B-6357E914EDBC}" name=" VBG " dataDxfId="47" dataCellStyle="Comma"/>
    <tableColumn id="16" xr3:uid="{5575BC25-946F-44DF-BA8C-C37D3F9C40A5}" name=" % SAMV " dataDxfId="46" dataCellStyle="Percent">
      <calculatedColumnFormula array="1">_xlfn.XLOOKUP(Table8[[#This Row],[Admin2PCODE]],tblPiNAnalysis[Admin2PCODE],tblPiNAnalysis[% SAMV],0,0)</calculatedColumnFormula>
    </tableColumn>
    <tableColumn id="17" xr3:uid="{E3622433-E54E-4868-9F92-915B07579706}" name=" % NUT " dataDxfId="45" dataCellStyle="Percent">
      <calculatedColumnFormula array="1">_xlfn.XLOOKUP(Table8[[#This Row],[Admin2PCODE]],tblPiNAnalysis[Admin2PCODE],tblPiNAnalysis[% NUT],0,0)</calculatedColumnFormula>
    </tableColumn>
    <tableColumn id="18" xr3:uid="{E43D1885-6BAE-4F95-B03C-67DC39FCCD04}" name=" % SAL " dataDxfId="44" dataCellStyle="Percent">
      <calculatedColumnFormula array="1">_xlfn.XLOOKUP(Table8[[#This Row],[Admin2PCODE]],tblPiNAnalysis[Admin2PCODE],tblPiNAnalysis[% SAL],0,0)</calculatedColumnFormula>
    </tableColumn>
    <tableColumn id="19" xr3:uid="{DA02B55B-91A7-4A29-AC0B-889CC14DF189}" name=" % EDU " dataDxfId="43" dataCellStyle="Percent">
      <calculatedColumnFormula array="1">_xlfn.XLOOKUP(Table8[[#This Row],[Admin2PCODE]],tblPiNAnalysis[Admin2PCODE],tblPiNAnalysis[% EDU],0,0)</calculatedColumnFormula>
    </tableColumn>
    <tableColumn id="20" xr3:uid="{FABC3AE3-DDA4-4FC0-9E7B-B8C4AE185B1D}" name=" % PRO " dataDxfId="42" dataCellStyle="Percent">
      <calculatedColumnFormula array="1">_xlfn.XLOOKUP(Table8[[#This Row],[Admin2PCODE]],tblPiNAnalysis[Admin2PCODE],tblPiNAnalysis[% PRO],0,0)</calculatedColumnFormula>
    </tableColumn>
    <tableColumn id="21" xr3:uid="{E5A6A464-3341-48B1-A04A-8CD6C1FE2F0E}" name=" % WASH " dataDxfId="41" dataCellStyle="Percent">
      <calculatedColumnFormula array="1">_xlfn.XLOOKUP(Table8[[#This Row],[Admin2PCODE]],tblPiNAnalysis[Admin2PCODE],tblPiNAnalysis[% WASH],0,0)</calculatedColumnFormula>
    </tableColumn>
    <tableColumn id="22" xr3:uid="{000C373E-B46E-4583-B39C-F6BD652B3BC0}" name=" % NNA " dataDxfId="40" dataCellStyle="Percent">
      <calculatedColumnFormula array="1">_xlfn.XLOOKUP(Table8[[#This Row],[Admin2PCODE]],tblPiNAnalysis[Admin2PCODE],tblPiNAnalysis[% NNA],0,0)</calculatedColumnFormula>
    </tableColumn>
    <tableColumn id="23" xr3:uid="{1E265DB4-95D5-4700-9CCD-0BBE4AFBB256}" name=" % VBG " dataDxfId="39" dataCellStyle="Percent">
      <calculatedColumnFormula array="1">_xlfn.XLOOKUP(Table8[[#This Row],[Admin2PCODE]],tblPiNAnalysis[Admin2PCODE],tblPiNAnalysis[% VBG],0,0)</calculatedColumnFormula>
    </tableColumn>
    <tableColumn id="25" xr3:uid="{14DE9825-CE78-47DC-A6F1-193D82CFCE4E}" name=" PiN preliminar " dataDxfId="38" dataCellStyle="Comma">
      <calculatedColumnFormula array="1">_xlfn.XLOOKUP(Table8[[#This Row],[Admin2PCODE]],tblPiNAnalysis[Admin2PCODE],tblPiNAnalysis[PiN preliminar],0,0)</calculatedColumnFormula>
    </tableColumn>
    <tableColumn id="26" xr3:uid="{68B72413-E0E3-495A-ADD2-B41F3F0B99B4}" name="Severidad media" dataDxfId="37">
      <calculatedColumnFormula array="1">_xlfn.XLOOKUP(Table8[[#This Row],[Admin2PCODE]],tblPiNAnalysis[Admin2PCODE],tblSeverityAnalysis[Severidad media],0,0)</calculatedColumnFormula>
    </tableColumn>
    <tableColumn id="28" xr3:uid="{2D8DE65B-C9FB-4972-9F9B-9CD9FB715999}" name="Severidad Sum" dataDxfId="36">
      <calculatedColumnFormula>Table8[[#This Row],[Severidad media]]*6</calculatedColumnFormula>
    </tableColumn>
    <tableColumn id="27" xr3:uid="{DAF1F9DD-931B-4D63-89C2-99B0FFA0E891}" name=" % Pob en el PiN" dataDxfId="35" dataCellStyle="Percent">
      <calculatedColumnFormula array="1">_xlfn.XLOOKUP(Table8[[#This Row],[Admin2PCODE]],tblPiNAnalysis[Admin2PCODE],tblPiNAnalysis[% PiN Sectores más altos],0,0)</calculatedColumnFormula>
    </tableColumn>
    <tableColumn id="24" xr3:uid="{1ED31932-DC34-489A-A341-0A2FA34E6FF9}" name="Severidad 2026" dataDxfId="34">
      <calculatedColumnFormula array="1">_xlfn.XLOOKUP(Table8[[#This Row],[Admin2PCODE]:[Admin2PCODE]],tblPiNAnalysis[[Admin2PCODE]:[Admin2PCODE]],tblPiNAnalysis[Severidad],0,0)</calculatedColumnFormula>
    </tableColumn>
    <tableColumn id="29" xr3:uid="{6F1BD6AD-7553-4C10-9944-5976E43B08AC}" name="Severidad 2025">
      <calculatedColumnFormula>_xlfn.XLOOKUP(Table8[[#This Row],[Admin2PCODE]],tblSeverityAnalysis[Admin 2 Código P],tblSeverityAnalysis[Severidad Ttotal 2025],0,0)</calculatedColumnFormula>
    </tableColumn>
    <tableColumn id="30" xr3:uid="{41F225B7-1552-4C1B-BFD8-5C7EFCA26002}" name="Priorización 2025">
      <calculatedColumnFormula>_xlfn.XLOOKUP(Table8[[#This Row],[Admin2PCODE]],tblSeverityAnalysis[Admin 2 Código P],tblSeverityAnalysis[Priorización Final 2025],0,0)</calculatedColumnFormula>
    </tableColumn>
    <tableColumn id="7" xr3:uid="{9D95F3A9-CF69-4922-BBC7-4163E81FC6F8}" name="N° Clústeres con respuesta" dataDxfId="33"/>
    <tableColumn id="31" xr3:uid="{F47E012E-6761-48AD-9E4E-B21FF4B30C17}" name="Clústeres" dataDxfId="32"/>
    <tableColumn id="5" xr3:uid="{AEF67651-0810-4B69-8B28-08287B64D44A}" name="Org Total" dataDxfId="31"/>
    <tableColumn id="54" xr3:uid="{0183CA3F-A611-4806-8940-273D15EE153A}" name="Org_AEE"/>
    <tableColumn id="53" xr3:uid="{7927B4F4-8FB2-4706-8D20-5792B729CBA6}" name="Org ASH"/>
    <tableColumn id="52" xr3:uid="{F60538FE-2DB8-4F88-8082-003201BE01FC}" name="Org EDU"/>
    <tableColumn id="51" xr3:uid="{9F230106-E67F-4CDC-BA1B-31E4D47265E7}" name="Org NUT"/>
    <tableColumn id="50" xr3:uid="{56B08807-DDEE-4F59-B533-67512950D6EA}" name="Org PRONNA"/>
    <tableColumn id="49" xr3:uid="{E30EBBBE-8DDB-46E7-AC5E-6F3A4268027A}" name="Org PROPG"/>
    <tableColumn id="48" xr3:uid="{D2C48BB4-1B40-4755-A1B7-DCDDE726A57B}" name="Org PROVBG"/>
    <tableColumn id="47" xr3:uid="{089151AA-7435-43F9-88AC-B96ABB43410B}" name="Org SAL"/>
    <tableColumn id="46" xr3:uid="{21495657-7666-4CA5-B030-47DA765DC28C}" name="Org SAMV"/>
    <tableColumn id="33" xr3:uid="{4C1D6741-5FBB-4FBC-AB40-ACC3B27010CD}" name="X" dataDxfId="30" dataCellStyle="Comma">
      <calculatedColumnFormula>Table8[[#This Row],[N° Clústeres con respuesta]]/Table8[[#This Row],[Org Total]]</calculatedColumnFormula>
    </tableColumn>
    <tableColumn id="34" xr3:uid="{8D4850CC-4EE9-4964-95DD-922B03D18CBD}" name="Meta 2025" dataDxfId="29" dataCellStyle="Comma"/>
    <tableColumn id="35" xr3:uid="{825CBC3C-8177-4546-B9AE-8FB52CD0B562}" name="Alcanzados Oct 2025" dataDxfId="28" dataCellStyle="Comma"/>
    <tableColumn id="36" xr3:uid="{7AE88BE0-A69A-49B0-86F2-DD2CB8EBFDAB}" name="% Alcanzados" dataDxfId="27" dataCellStyle="Percent">
      <calculatedColumnFormula>Table8[[#This Row],[Alcanzados Oct 2025]]/Table8[[#This Row],[Meta 2025]]</calculatedColumnFormula>
    </tableColumn>
    <tableColumn id="45" xr3:uid="{22F70D0A-4675-4EE8-B7EE-745BC9B9A696}" name="Alc_AEE" dataDxfId="26" dataCellStyle="Percent"/>
    <tableColumn id="44" xr3:uid="{BBE3E9BB-FC46-4802-AF6C-7FFCFE45BB04}" name="Alc ASH" dataDxfId="25" dataCellStyle="Percent"/>
    <tableColumn id="43" xr3:uid="{EEB3ECF9-843F-497D-A00B-FB25C91623B7}" name="Alc EDU" dataDxfId="24" dataCellStyle="Percent"/>
    <tableColumn id="42" xr3:uid="{F5EA9196-78C9-4374-AF17-D8658227AFD5}" name="Alc NUT" dataDxfId="23" dataCellStyle="Percent"/>
    <tableColumn id="41" xr3:uid="{25D45529-F9A0-4B5C-9E02-CC8B763A4932}" name="Alc PRONNA" dataDxfId="22" dataCellStyle="Percent"/>
    <tableColumn id="40" xr3:uid="{B72D1DA6-00B5-4316-BEAE-DAC383931B79}" name="Alc PROPG" dataDxfId="21" dataCellStyle="Percent"/>
    <tableColumn id="39" xr3:uid="{5F183901-55F9-43CD-A973-8A7B94BC2E63}" name="Alc PROVBG" dataDxfId="20" dataCellStyle="Percent"/>
    <tableColumn id="38" xr3:uid="{D6C29A25-B14F-4D8D-B990-067656951710}" name="Alc SAL" dataDxfId="19" dataCellStyle="Percent"/>
    <tableColumn id="37" xr3:uid="{84DF355A-E717-4EB4-9368-7C81F98849E8}" name="Alc SAMV" dataDxfId="1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AAB4BA-048A-4773-8E03-0886B3EC7575}" name="Table5" displayName="Table5" ref="E61:F70" totalsRowShown="0">
  <autoFilter ref="E61:F70" xr:uid="{15AAB4BA-048A-4773-8E03-0886B3EC7575}"/>
  <tableColumns count="2">
    <tableColumn id="1" xr3:uid="{00FF9397-3634-46FA-9E2E-DE92C61A3DDE}" name="ASH"/>
    <tableColumn id="2" xr3:uid="{4015C736-177E-46C1-AC5F-C980BBB59312}" name="ABC"/>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BF9EB2-81C3-47C0-B42F-B8C142BC9F14}" name="Table6" displayName="Table6" ref="K44:P46" totalsRowShown="0">
  <autoFilter ref="K44:P46" xr:uid="{8EBF9EB2-81C3-47C0-B42F-B8C142BC9F14}"/>
  <tableColumns count="6">
    <tableColumn id="1" xr3:uid="{F4B10181-1817-419B-96B9-724B38E545A7}" name="Sectores"/>
    <tableColumn id="2" xr3:uid="{3093E0AA-E35F-4E43-B9F3-657F75FC9896}" name="SAL"/>
    <tableColumn id="3" xr3:uid="{A64A7A3D-D4FC-4D3E-9C30-B83EA2237204}" name="SAMV"/>
    <tableColumn id="4" xr3:uid="{2C6F019A-354D-4780-9705-DF9A25EE4D52}" name="ASH"/>
    <tableColumn id="5" xr3:uid="{7B35DF7B-7451-4003-BBCF-D52F4B6131F7}" name="PRO"/>
    <tableColumn id="6" xr3:uid="{9529E361-0EB4-4E33-8093-BF1B3D6B022B}" name="EDU"/>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C00CC5-A334-4AF3-B211-5EAA1C22A867}" name="Table4" displayName="Table4" ref="T7:W15" totalsRowShown="0">
  <autoFilter ref="T7:W15" xr:uid="{F4C00CC5-A334-4AF3-B211-5EAA1C22A867}"/>
  <tableColumns count="4">
    <tableColumn id="1" xr3:uid="{BE882B61-E576-4FA9-A8C5-29652350BBAD}" name="Cluster"/>
    <tableColumn id="2" xr3:uid="{3AFAF4EA-F30C-4BA4-B897-0413E23C41FF}" name="2025" dataDxfId="17" dataCellStyle="Comma"/>
    <tableColumn id="3" xr3:uid="{0FB15B2C-D343-4EC8-B859-C38892C4EF31}" name="2026" dataDxfId="16" dataCellStyle="Comma"/>
    <tableColumn id="4" xr3:uid="{71A02741-30F2-41BF-9C19-FD53D316BD79}" name="Change" dataCellStyle="Percent">
      <calculatedColumnFormula>(Table4[[#This Row],[2026]]-Table4[[#This Row],[2025]])/Table4[[#This Row],[2025]]</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24F34BE-1923-4763-8943-854C22636912}" name="Table11" displayName="Table11" ref="A1:AA336" totalsRowShown="0" headerRowDxfId="15">
  <autoFilter ref="A1:AA336" xr:uid="{824F34BE-1923-4763-8943-854C22636912}"/>
  <tableColumns count="27">
    <tableColumn id="1" xr3:uid="{94ED93B4-9649-4AAE-AC6D-C408A84F1CF2}" name="Admin1"/>
    <tableColumn id="2" xr3:uid="{E1AAA5FF-2CCC-4008-BBF2-69FAFD8BA61F}" name="Admin1PCODE"/>
    <tableColumn id="3" xr3:uid="{2A90CAD7-77B6-427A-A049-CAB7490C99F4}" name="Admin2" dataDxfId="14"/>
    <tableColumn id="4" xr3:uid="{30BE57C4-668B-4A93-99DC-CA435C579D38}" name="Admin2PCODE"/>
    <tableColumn id="6" xr3:uid="{FBBBC238-F217-430E-8C78-D29F903ABF3E}" name="Población" dataDxfId="13" dataCellStyle="Comma">
      <calculatedColumnFormula array="1">_xlfn.XLOOKUP(Table11[[#This Row],[Admin2PCODE]], tblPiNAnalysis[Admin2PCODE], INDIRECT("tblPiNAnalysis[" &amp; Table11[[#Headers],[Población]] &amp; "]"), "NOT FOUND", 0, 1)</calculatedColumnFormula>
    </tableColumn>
    <tableColumn id="8" xr3:uid="{DF082657-1B93-4D28-9C41-6F851519498C}" name="SAMV" dataDxfId="12" dataCellStyle="Comma">
      <calculatedColumnFormula array="1">_xlfn.XLOOKUP(Table11[[#This Row],[Admin2PCODE]], tblPiNAnalysis[Admin2PCODE], INDIRECT("tblPiNAnalysis[" &amp; Table11[[#Headers],[SAMV]] &amp; "]"), "NOT FOUND", 0, 1)</calculatedColumnFormula>
    </tableColumn>
    <tableColumn id="9" xr3:uid="{93DB388C-F05E-4AA3-8F77-3049F4C3D9E5}" name="NUT" dataDxfId="11" dataCellStyle="Comma">
      <calculatedColumnFormula array="1">_xlfn.XLOOKUP(Table11[[#This Row],[Admin2PCODE]], tblPiNAnalysis[Admin2PCODE], INDIRECT("tblPiNAnalysis[" &amp; Table11[[#Headers],[NUT]] &amp; "]"), "NOT FOUND", 0, 1)</calculatedColumnFormula>
    </tableColumn>
    <tableColumn id="10" xr3:uid="{6159DD5E-41F8-41C4-8C8A-39CB0C01753E}" name="SAL" dataDxfId="10" dataCellStyle="Comma">
      <calculatedColumnFormula array="1">_xlfn.XLOOKUP(Table11[[#This Row],[Admin2PCODE]], tblPiNAnalysis[Admin2PCODE], INDIRECT("tblPiNAnalysis[" &amp; Table11[[#Headers],[SAL]] &amp; "]"), "NOT FOUND", 0, 1)</calculatedColumnFormula>
    </tableColumn>
    <tableColumn id="11" xr3:uid="{89282766-C400-48D2-8F07-A9A2DF0875D8}" name="EDU" dataDxfId="9" dataCellStyle="Comma">
      <calculatedColumnFormula array="1">_xlfn.XLOOKUP(Table11[[#This Row],[Admin2PCODE]], tblPiNAnalysis[Admin2PCODE], INDIRECT("tblPiNAnalysis[" &amp; Table11[[#Headers],[EDU]] &amp; "]"), "NOT FOUND", 0, 1)</calculatedColumnFormula>
    </tableColumn>
    <tableColumn id="12" xr3:uid="{E17682CF-13A5-4A23-B0BB-B88D26ADC7F8}" name="PRO" dataDxfId="8" dataCellStyle="Comma">
      <calculatedColumnFormula array="1">_xlfn.XLOOKUP(Table11[[#This Row],[Admin2PCODE]], tblPiNAnalysis[Admin2PCODE], INDIRECT("tblPiNAnalysis[" &amp; Table11[[#Headers],[PRO]] &amp; "]"), "NOT FOUND", 0, 1)</calculatedColumnFormula>
    </tableColumn>
    <tableColumn id="13" xr3:uid="{34825DAD-FD97-44DD-BA34-CEAA8128A3CB}" name="ASH" dataDxfId="7" dataCellStyle="Comma">
      <calculatedColumnFormula array="1">_xlfn.XLOOKUP(Table11[[#This Row],[Admin2PCODE]], tblPiNAnalysis[Admin2PCODE], INDIRECT("tblPiNAnalysis[" &amp; Table11[[#Headers],[ASH]] &amp; "]"), "NOT FOUND", 0, 1)</calculatedColumnFormula>
    </tableColumn>
    <tableColumn id="14" xr3:uid="{9EFC383D-C33B-47C3-ACC8-85641442180F}" name="NNA" dataDxfId="6" dataCellStyle="Comma">
      <calculatedColumnFormula array="1">_xlfn.XLOOKUP(Table11[[#This Row],[Admin2PCODE]], tblPiNAnalysis[Admin2PCODE], INDIRECT("tblPiNAnalysis[" &amp; Table11[[#Headers],[NNA]] &amp; "]"), "NOT FOUND", 0, 1)</calculatedColumnFormula>
    </tableColumn>
    <tableColumn id="15" xr3:uid="{574D01F4-AF22-45A5-8301-F10D3AC9654F}" name="VBG" dataDxfId="5" dataCellStyle="Comma">
      <calculatedColumnFormula array="1">_xlfn.XLOOKUP(Table11[[#This Row],[Admin2PCODE]], tblPiNAnalysis[Admin2PCODE], INDIRECT("tblPiNAnalysis[" &amp; Table11[[#Headers],[VBG]] &amp; "]"), "NOT FOUND", 0, 1)</calculatedColumnFormula>
    </tableColumn>
    <tableColumn id="24" xr3:uid="{1C346485-24FF-41E1-A5D6-BC2D86AA04CD}" name="PiN más alto" dataDxfId="4" dataCellStyle="Comma">
      <calculatedColumnFormula array="1">_xlfn.XLOOKUP(Table11[[#This Row],[Admin2PCODE]], tblPiNAnalysis[Admin2PCODE], INDIRECT("tblPiNAnalysis[" &amp; Table11[[#Headers],[PiN más alto]] &amp; "]"), "NOT FOUND", 0, 1)</calculatedColumnFormula>
    </tableColumn>
    <tableColumn id="25" xr3:uid="{61FD0130-9D0E-4B37-8E4C-0973133650E2}" name="Sectores más altos">
      <calculatedColumnFormula array="1">_xlfn.XLOOKUP(Table11[[#This Row],[Admin2PCODE]], tblPiNAnalysis[Admin2PCODE], INDIRECT("tblPiNAnalysis[" &amp; Table11[[#Headers],[Sectores más altos]] &amp; "]"), "NOT FOUND", 0, 1)</calculatedColumnFormula>
    </tableColumn>
    <tableColumn id="34" xr3:uid="{F1190067-9C19-4774-9489-474D195F0D1A}" name="Sev_Int" dataDxfId="3">
      <calculatedColumnFormula array="1">_xlfn.XLOOKUP(Table11[[#This Row],[Admin2PCODE]], tblPiNAnalysis[Admin2PCODE], tblPiNAnalysis[Severidad], "NOT FOUND", 0, 1)</calculatedColumnFormula>
    </tableColumn>
    <tableColumn id="35" xr3:uid="{7407803E-E00B-4615-82E6-3C6568DBC0D1}" name="Pobres" dataDxfId="2" dataCellStyle="Percent"/>
    <tableColumn id="36" xr3:uid="{F98D76C6-A3B9-4C78-B892-9B8123849C70}" name="Intensidad" dataDxfId="1" dataCellStyle="Percent"/>
    <tableColumn id="37" xr3:uid="{BCF58DE1-AAF9-4B95-9323-423AADF8F8ED}" name="MPI" dataDxfId="0" dataCellStyle="Percent"/>
    <tableColumn id="38" xr3:uid="{E35FAF04-9E46-41C0-A6D5-791A7511162A}" name="Malnutricion"/>
    <tableColumn id="39" xr3:uid="{8A757D04-B30F-4B83-934C-333DED4C8B8E}" name="Desastres"/>
    <tableColumn id="40" xr3:uid="{4D7C25FA-3F9A-4C36-AEBB-A680D37C2747}" name="Movilidad"/>
    <tableColumn id="41" xr3:uid="{D8FE1EC2-0163-4D35-BDEF-7A476843F43E}" name="Proteccion">
      <calculatedColumnFormula>_xlfn.XLOOKUP(Table11[[#This Row],[Admin2PCODE]],tblSeverityAnalysis[Admin 2 Código P],tblSeverityAnalysis[PRO],0,0)</calculatedColumnFormula>
    </tableColumn>
    <tableColumn id="42" xr3:uid="{9BE77160-1FFD-4B49-B29D-3FCE63C96114}" name="Acceso_salud"/>
    <tableColumn id="5" xr3:uid="{E35EE072-07BE-4A4F-B535-19637C97AC14}" name="LandExposurte"/>
    <tableColumn id="7" xr3:uid="{FE981D7D-3E5E-49AE-B57D-D3D9C2A06085}" name="FloodExposure"/>
    <tableColumn id="16" xr3:uid="{23500EA4-CB6D-419B-8CA8-BB81E5C37D2D}" name="FloodEXRound1">
      <calculatedColumnFormula>ROUND(Z2,0)</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864487-7212-4717-A3D1-D0E8DC0CA3A3}" name="Table9" displayName="Table9" ref="A1:AL336" totalsRowShown="0">
  <autoFilter ref="A1:AL336" xr:uid="{FB864487-7212-4717-A3D1-D0E8DC0CA3A3}"/>
  <sortState xmlns:xlrd2="http://schemas.microsoft.com/office/spreadsheetml/2017/richdata2" ref="A2:AL336">
    <sortCondition descending="1" ref="AG1:AG336"/>
  </sortState>
  <tableColumns count="38">
    <tableColumn id="1" xr3:uid="{BB6BE696-D21F-41BC-B542-185AA022B96E}" name="Admin 2 Código P"/>
    <tableColumn id="2" xr3:uid="{3C620FBF-B38E-4CE6-BB54-1034892C4A9C}" name="Admin 2"/>
    <tableColumn id="3" xr3:uid="{0DB032C6-6A9A-4520-94BD-67FE028C1B47}" name="Población"/>
    <tableColumn id="4" xr3:uid="{DD0AE77A-951E-4459-8AFD-5A7933C29DF1}" name="SAMV"/>
    <tableColumn id="5" xr3:uid="{21946B32-B186-4524-A724-FD0DE8350ECC}" name="NUT"/>
    <tableColumn id="6" xr3:uid="{3C2A527A-9C79-4820-8454-F9F72E9D8827}" name="SAL"/>
    <tableColumn id="7" xr3:uid="{C3277012-C988-48FA-9951-DBBAAEF44973}" name="EDU"/>
    <tableColumn id="8" xr3:uid="{191316A3-F4E9-4CCA-9384-48FBCB6D8E3F}" name="PRO"/>
    <tableColumn id="9" xr3:uid="{8714D1F2-B5D5-4496-BC1A-A9C1D463AF25}" name="ASH"/>
    <tableColumn id="10" xr3:uid="{9D1F2B41-5061-4962-9054-86615FBCD805}" name="NNA"/>
    <tableColumn id="11" xr3:uid="{62DE3C62-CFF6-4214-843C-F4613B048C0D}" name="VBG"/>
    <tableColumn id="12" xr3:uid="{F2461574-8BC2-41AC-8881-5930CDA9A41A}" name="% SAMV"/>
    <tableColumn id="13" xr3:uid="{BC7518D5-27B2-49F2-A09D-2DE8588D036C}" name="% NUT"/>
    <tableColumn id="14" xr3:uid="{E14A5220-9B64-4A6D-BD9E-CD27BDA9B265}" name="% SAL"/>
    <tableColumn id="15" xr3:uid="{C7F1D1EE-2FCC-4D93-AA1F-EB9D3E3B770A}" name="% EDU"/>
    <tableColumn id="16" xr3:uid="{35693BA4-E73A-4C91-B71F-204765CAF1EA}" name="% PRO"/>
    <tableColumn id="17" xr3:uid="{75623F28-402E-403A-8D73-EFC577421C2E}" name="% WASH"/>
    <tableColumn id="18" xr3:uid="{29CD94B3-02B5-453B-9BAE-FF5E73E0053B}" name="% NNA"/>
    <tableColumn id="19" xr3:uid="{7E3DC21D-D8D2-43D1-86E7-7CD5CBB0962F}" name="% VBG"/>
    <tableColumn id="20" xr3:uid="{CB25AAEA-F66A-4764-95AE-9A4BA6BC6A76}" name="PiN más alto"/>
    <tableColumn id="21" xr3:uid="{7FEB7D8F-4435-4EC3-8DDB-F2B467CD1FB8}" name="Sectores más altos"/>
    <tableColumn id="22" xr3:uid="{A251777C-10A6-4B8B-83BB-641754CD16C1}" name="SAMV2"/>
    <tableColumn id="23" xr3:uid="{0F931502-F57B-4FCD-921D-E96CA8168C26}" name="NUT3"/>
    <tableColumn id="24" xr3:uid="{0B928B8B-CBD4-4588-8FBD-4151216A7E7B}" name="SAL4"/>
    <tableColumn id="25" xr3:uid="{E3812282-3DB6-48C4-862A-268F12E8B505}" name="EDU5"/>
    <tableColumn id="26" xr3:uid="{44673E9D-7E13-4FF4-97CF-82EAF89AB91F}" name="PRO6"/>
    <tableColumn id="27" xr3:uid="{317DA1DD-91B9-4C53-878D-A2BB199C1FF4}" name="ASH7"/>
    <tableColumn id="28" xr3:uid="{69828665-921F-462A-B0A3-EFE0D2C00DBB}" name="NNA8"/>
    <tableColumn id="29" xr3:uid="{8801D1F9-BC79-4942-A1B8-9DE49BF537A5}" name="VBG9"/>
    <tableColumn id="30" xr3:uid="{4F0B5FD8-9CE0-4C5F-893B-A99EBAA21C06}" name="Sev_Int"/>
    <tableColumn id="31" xr3:uid="{9E364525-C968-4B0E-8C8E-DCA64AC91748}" name="Pobres" dataCellStyle="Percent"/>
    <tableColumn id="32" xr3:uid="{D2C5331D-62EF-4DD7-AB59-37E8F2F96AF0}" name="Intensidad" dataCellStyle="Percent"/>
    <tableColumn id="33" xr3:uid="{9CC8152C-2EA2-40F2-8055-FE61617D9135}" name="MPI" dataCellStyle="Percent"/>
    <tableColumn id="34" xr3:uid="{69E86BDE-14B2-4DE4-8B37-0F35B71450EB}" name="Malnutricion"/>
    <tableColumn id="35" xr3:uid="{767873B5-D4D1-4117-AE37-9A56DC8F9B23}" name="Desastres"/>
    <tableColumn id="36" xr3:uid="{98FDEA00-6ACE-4315-8A97-3AB5737B1C0E}" name="Movilidad"/>
    <tableColumn id="37" xr3:uid="{314AE704-4858-410A-BE5A-124E9C61B186}" name="Proteccion"/>
    <tableColumn id="38" xr3:uid="{2265E095-D2F8-46A6-9991-471BB3440D37}" name="Acceso_salu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openxmlformats.org/officeDocument/2006/relationships/table" Target="../tables/table10.xml"/><Relationship Id="rId4"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865D9-0AF3-4313-A41A-F50B37D11B3E}">
  <sheetPr codeName="Sheet1">
    <tabColor theme="6" tint="0.59999389629810485"/>
  </sheetPr>
  <dimension ref="A1:C18"/>
  <sheetViews>
    <sheetView workbookViewId="0"/>
  </sheetViews>
  <sheetFormatPr defaultColWidth="8.5703125" defaultRowHeight="12.95"/>
  <cols>
    <col min="1" max="1" width="22.5703125" style="169" customWidth="1"/>
    <col min="2" max="2" width="108.140625" style="169" customWidth="1"/>
    <col min="3" max="16384" width="8.5703125" style="169"/>
  </cols>
  <sheetData>
    <row r="1" spans="1:3">
      <c r="A1" s="167" t="s">
        <v>0</v>
      </c>
      <c r="B1" s="168"/>
    </row>
    <row r="2" spans="1:3" ht="35.65" customHeight="1">
      <c r="A2" s="170"/>
    </row>
    <row r="3" spans="1:3" ht="401.25" customHeight="1">
      <c r="A3" s="160" t="s">
        <v>1</v>
      </c>
      <c r="B3" s="171" t="s">
        <v>2</v>
      </c>
    </row>
    <row r="5" spans="1:3" ht="65.650000000000006" customHeight="1">
      <c r="A5" s="161" t="s">
        <v>3</v>
      </c>
      <c r="B5" s="161" t="s">
        <v>4</v>
      </c>
    </row>
    <row r="6" spans="1:3" ht="215.65" customHeight="1">
      <c r="A6" s="162" t="s">
        <v>5</v>
      </c>
      <c r="B6" s="172" t="s">
        <v>6</v>
      </c>
    </row>
    <row r="7" spans="1:3">
      <c r="A7" s="431" t="s">
        <v>7</v>
      </c>
      <c r="B7" s="173" t="s">
        <v>8</v>
      </c>
    </row>
    <row r="8" spans="1:3" ht="39">
      <c r="A8" s="432"/>
      <c r="B8" s="163" t="s">
        <v>9</v>
      </c>
    </row>
    <row r="9" spans="1:3" ht="26.1">
      <c r="A9" s="432"/>
      <c r="B9" s="174" t="s">
        <v>10</v>
      </c>
      <c r="C9" s="175"/>
    </row>
    <row r="10" spans="1:3" ht="26.1">
      <c r="A10" s="432"/>
      <c r="B10" s="174" t="s">
        <v>11</v>
      </c>
      <c r="C10" s="175"/>
    </row>
    <row r="11" spans="1:3" ht="26.1">
      <c r="A11" s="432"/>
      <c r="B11" s="174" t="s">
        <v>12</v>
      </c>
      <c r="C11" s="175"/>
    </row>
    <row r="12" spans="1:3" ht="26.1">
      <c r="A12" s="432"/>
      <c r="B12" s="174" t="s">
        <v>13</v>
      </c>
      <c r="C12" s="175"/>
    </row>
    <row r="13" spans="1:3" ht="26.1">
      <c r="A13" s="432"/>
      <c r="B13" s="174" t="s">
        <v>14</v>
      </c>
      <c r="C13" s="175"/>
    </row>
    <row r="14" spans="1:3" ht="26.1">
      <c r="A14" s="433"/>
      <c r="B14" s="174" t="s">
        <v>15</v>
      </c>
      <c r="C14" s="175"/>
    </row>
    <row r="15" spans="1:3" ht="90.95">
      <c r="A15" s="164" t="s">
        <v>16</v>
      </c>
      <c r="B15" s="165" t="s">
        <v>17</v>
      </c>
    </row>
    <row r="16" spans="1:3" ht="26.1" hidden="1">
      <c r="A16" s="164" t="s">
        <v>18</v>
      </c>
      <c r="B16" s="165" t="s">
        <v>19</v>
      </c>
    </row>
    <row r="17" spans="1:2" ht="117">
      <c r="A17" s="166" t="s">
        <v>20</v>
      </c>
      <c r="B17" s="163" t="s">
        <v>21</v>
      </c>
    </row>
    <row r="18" spans="1:2" ht="112.5" customHeight="1">
      <c r="A18" s="166" t="s">
        <v>22</v>
      </c>
      <c r="B18" s="163" t="s">
        <v>23</v>
      </c>
    </row>
  </sheetData>
  <mergeCells count="1">
    <mergeCell ref="A7:A14"/>
  </mergeCells>
  <hyperlinks>
    <hyperlink ref="B9" location="'WS - 3.1 Overall PiN'!AK3" display="Number of missing or zero PiN: OCHA analysis team to decide the threshold for accepted number of sectors at unit level not to provide a PiN value or have zero PiN." xr:uid="{C597A2A8-8DBB-4472-9A2E-97C2E3E58B20}"/>
    <hyperlink ref="B10" location="'WS - 3.1 Overall PiN'!AL3" display="Highest PiN close to the total affected population: OCHA analysis team to decide the threshold of acceptable proportion of people in need to the affected population at unit level." xr:uid="{332FD5BA-51FD-41A3-915E-C5FF93F5156F}"/>
    <hyperlink ref="B11" location="'WS - 3.1 Overall PiN'!AM3" display="Highest Sector targets only a subset of the affected population: OCHA analysis team to decide the sectors that target only a subset of the affected population." xr:uid="{F2D74E37-1A08-4D7F-9267-44BFE130676C}"/>
    <hyperlink ref="B14" location="'WS - 3.1 Overall PiN'!AZ3" display="% Difference between this HNO's highest or 2nd highest sector PiN to same sector in the last HNO: OCHA analysis team to decide the threshold of change for this HNO's highest or 2nd higehst sector PiN and last HNO's PiN for the same sector." xr:uid="{9F4FE1C6-1C91-407F-A915-1B484DAA7B69}"/>
    <hyperlink ref="B12" location="'WS - 3.1 Overall PiN'!AS3" display="Difference b/w highest with 2nd highest: OCHA analysis team to decide whether certain outliers between highest sector with 2nd or 3rd highest require flagging for review and to enter 'Flagged' in the column." xr:uid="{34C7B92C-32B7-4C62-9EEB-6B25D4631D90}"/>
    <hyperlink ref="B13" location="'WS - 3.1 Overall PiN'!AY3" display="Difference b/w highest and 3rd highest: OCHA analysis team to decide whether certain outliers between highest sector with 2nd or 3rd highest require flagging for review and to enter 'Flagged' in the column." xr:uid="{7D031399-E85E-4F20-958C-3F7C6EB772BB}"/>
    <hyperlink ref="B7" location="'WS - 3.1 Overall PiN'!BB3" display="Preliminary PiN: Highest PiN among the Sector PINs is automatically taken as the preliminary PiN." xr:uid="{EECADD44-264E-4D02-9121-A4DB48707F79}"/>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5889-E388-4FA4-B65E-534DEACB1C87}">
  <sheetPr codeName="Sheet9">
    <tabColor theme="0" tint="-0.14999847407452621"/>
  </sheetPr>
  <dimension ref="A1:F34"/>
  <sheetViews>
    <sheetView topLeftCell="B1" workbookViewId="0">
      <selection activeCell="A19" sqref="A19:A23"/>
    </sheetView>
  </sheetViews>
  <sheetFormatPr defaultColWidth="8.5703125" defaultRowHeight="12.95"/>
  <cols>
    <col min="1" max="1" width="44.85546875" style="122" customWidth="1"/>
    <col min="2" max="2" width="60" style="122" customWidth="1"/>
    <col min="3" max="3" width="16.5703125" style="122" customWidth="1"/>
    <col min="4" max="4" width="15.140625" style="122" customWidth="1"/>
    <col min="5" max="5" width="13.140625" style="122" customWidth="1"/>
    <col min="6" max="6" width="25.42578125" style="122" bestFit="1" customWidth="1"/>
    <col min="7" max="7" width="17.140625" style="122" bestFit="1" customWidth="1"/>
    <col min="8" max="8" width="13.140625" style="122" bestFit="1" customWidth="1"/>
    <col min="9" max="9" width="17.5703125" style="122" bestFit="1" customWidth="1"/>
    <col min="10" max="16384" width="8.5703125" style="122"/>
  </cols>
  <sheetData>
    <row r="1" spans="1:6">
      <c r="C1" s="435" t="s">
        <v>24</v>
      </c>
      <c r="D1" s="435"/>
      <c r="E1" s="435"/>
      <c r="F1" s="435"/>
    </row>
    <row r="3" spans="1:6" ht="26.25" customHeight="1">
      <c r="C3" s="435" t="s">
        <v>25</v>
      </c>
      <c r="D3" s="435"/>
      <c r="E3" s="435"/>
      <c r="F3" s="435"/>
    </row>
    <row r="6" spans="1:6">
      <c r="B6" s="436" t="s">
        <v>26</v>
      </c>
      <c r="C6" s="436"/>
      <c r="D6" s="122" t="s">
        <v>27</v>
      </c>
    </row>
    <row r="7" spans="1:6" ht="39">
      <c r="A7" s="178" t="s">
        <v>28</v>
      </c>
      <c r="B7" s="179" t="s">
        <v>29</v>
      </c>
      <c r="C7" s="179" t="s">
        <v>30</v>
      </c>
      <c r="D7" s="180" t="s">
        <v>31</v>
      </c>
      <c r="E7" s="179" t="s">
        <v>32</v>
      </c>
      <c r="F7" s="179" t="s">
        <v>33</v>
      </c>
    </row>
    <row r="8" spans="1:6" s="183" customFormat="1">
      <c r="A8" s="181"/>
      <c r="B8" s="182" t="s">
        <v>34</v>
      </c>
      <c r="C8" s="181">
        <v>2</v>
      </c>
      <c r="D8" s="181">
        <v>2</v>
      </c>
      <c r="E8" s="181"/>
      <c r="F8" s="181"/>
    </row>
    <row r="9" spans="1:6" ht="112.5" customHeight="1">
      <c r="A9" s="184" t="s">
        <v>35</v>
      </c>
      <c r="B9" s="185" t="s">
        <v>36</v>
      </c>
      <c r="C9" s="186">
        <v>0.3</v>
      </c>
      <c r="D9" s="186">
        <v>0.3</v>
      </c>
      <c r="E9" s="184"/>
      <c r="F9" s="184"/>
    </row>
    <row r="10" spans="1:6">
      <c r="A10" s="184" t="s">
        <v>37</v>
      </c>
      <c r="B10" s="185" t="s">
        <v>38</v>
      </c>
      <c r="C10" s="186">
        <v>0.5</v>
      </c>
      <c r="D10" s="186">
        <v>0.5</v>
      </c>
      <c r="E10" s="184"/>
      <c r="F10" s="184"/>
    </row>
    <row r="11" spans="1:6" ht="26.1">
      <c r="A11" s="184" t="s">
        <v>39</v>
      </c>
      <c r="B11" s="185" t="s">
        <v>40</v>
      </c>
      <c r="C11" s="186"/>
      <c r="D11" s="184"/>
      <c r="E11" s="184"/>
      <c r="F11" s="184"/>
    </row>
    <row r="12" spans="1:6">
      <c r="A12" s="184" t="s">
        <v>41</v>
      </c>
      <c r="B12" s="185" t="s">
        <v>42</v>
      </c>
      <c r="C12" s="186">
        <v>0.9</v>
      </c>
      <c r="D12" s="186">
        <v>0.9</v>
      </c>
      <c r="E12" s="184"/>
      <c r="F12" s="184"/>
    </row>
    <row r="13" spans="1:6" ht="39">
      <c r="A13" s="184" t="s">
        <v>43</v>
      </c>
      <c r="B13" s="185" t="s">
        <v>44</v>
      </c>
      <c r="C13" s="186">
        <v>1</v>
      </c>
      <c r="D13" s="186">
        <v>1</v>
      </c>
      <c r="E13" s="184"/>
      <c r="F13" s="184"/>
    </row>
    <row r="14" spans="1:6" ht="26.1">
      <c r="A14" s="184" t="s">
        <v>45</v>
      </c>
      <c r="B14" s="185" t="s">
        <v>46</v>
      </c>
      <c r="C14" s="186"/>
      <c r="D14" s="186"/>
      <c r="E14" s="184"/>
      <c r="F14" s="184"/>
    </row>
    <row r="15" spans="1:6" s="187" customFormat="1">
      <c r="B15" s="188"/>
      <c r="C15" s="189"/>
      <c r="D15" s="189"/>
    </row>
    <row r="16" spans="1:6">
      <c r="B16" s="438" t="s">
        <v>47</v>
      </c>
      <c r="C16" s="438"/>
    </row>
    <row r="17" spans="1:5" ht="39">
      <c r="B17" s="190" t="s">
        <v>48</v>
      </c>
      <c r="C17" s="191" t="s">
        <v>49</v>
      </c>
    </row>
    <row r="18" spans="1:5">
      <c r="A18" s="176" t="s">
        <v>50</v>
      </c>
      <c r="B18" s="184" t="s">
        <v>51</v>
      </c>
      <c r="C18" s="192"/>
    </row>
    <row r="19" spans="1:5">
      <c r="A19" s="437" t="s">
        <v>52</v>
      </c>
      <c r="B19" s="184"/>
      <c r="C19" s="192"/>
    </row>
    <row r="20" spans="1:5">
      <c r="A20" s="437"/>
      <c r="B20" s="193"/>
      <c r="C20" s="192"/>
    </row>
    <row r="21" spans="1:5">
      <c r="A21" s="437"/>
      <c r="B21" s="184"/>
      <c r="C21" s="192"/>
    </row>
    <row r="22" spans="1:5">
      <c r="A22" s="437"/>
    </row>
    <row r="23" spans="1:5" ht="97.5" customHeight="1">
      <c r="A23" s="437"/>
      <c r="B23" s="157"/>
      <c r="C23" s="194"/>
    </row>
    <row r="24" spans="1:5" ht="56.25" customHeight="1">
      <c r="B24" s="436" t="s">
        <v>53</v>
      </c>
      <c r="C24" s="436"/>
      <c r="D24" s="122" t="s">
        <v>27</v>
      </c>
    </row>
    <row r="25" spans="1:5" ht="39">
      <c r="B25" s="178" t="s">
        <v>54</v>
      </c>
      <c r="C25" s="178" t="s">
        <v>30</v>
      </c>
      <c r="D25" s="195" t="s">
        <v>31</v>
      </c>
      <c r="E25" s="178" t="s">
        <v>32</v>
      </c>
    </row>
    <row r="26" spans="1:5">
      <c r="B26" s="196" t="s">
        <v>55</v>
      </c>
      <c r="C26" s="197">
        <v>2</v>
      </c>
      <c r="D26" s="198">
        <v>2</v>
      </c>
      <c r="E26" s="198"/>
    </row>
    <row r="27" spans="1:5">
      <c r="B27" s="185" t="s">
        <v>56</v>
      </c>
      <c r="C27" s="184">
        <v>5</v>
      </c>
      <c r="D27" s="184">
        <v>5</v>
      </c>
      <c r="E27" s="192"/>
    </row>
    <row r="28" spans="1:5">
      <c r="B28" s="157"/>
      <c r="C28" s="194"/>
    </row>
    <row r="29" spans="1:5">
      <c r="B29" s="157"/>
      <c r="C29" s="194"/>
    </row>
    <row r="31" spans="1:5" ht="36.200000000000003" customHeight="1">
      <c r="B31" s="434" t="s">
        <v>57</v>
      </c>
      <c r="C31" s="434"/>
      <c r="D31" s="177"/>
    </row>
    <row r="32" spans="1:5">
      <c r="B32" s="178" t="s">
        <v>58</v>
      </c>
      <c r="C32" s="178" t="s">
        <v>30</v>
      </c>
      <c r="D32" s="195" t="s">
        <v>31</v>
      </c>
    </row>
    <row r="33" spans="2:4">
      <c r="B33" s="196" t="s">
        <v>59</v>
      </c>
      <c r="C33" s="199">
        <v>0.5</v>
      </c>
      <c r="D33" s="200">
        <v>0.5</v>
      </c>
    </row>
    <row r="34" spans="2:4">
      <c r="B34" s="185" t="s">
        <v>60</v>
      </c>
      <c r="C34" s="186">
        <v>1</v>
      </c>
      <c r="D34" s="186">
        <v>1</v>
      </c>
    </row>
  </sheetData>
  <mergeCells count="7">
    <mergeCell ref="B31:C31"/>
    <mergeCell ref="C1:F1"/>
    <mergeCell ref="C3:F3"/>
    <mergeCell ref="B24:C24"/>
    <mergeCell ref="A19:A23"/>
    <mergeCell ref="B16:C16"/>
    <mergeCell ref="B6:C6"/>
  </mergeCells>
  <phoneticPr fontId="8" type="noConversion"/>
  <pageMargins left="0.7" right="0.7" top="0.75" bottom="0.75" header="0.3" footer="0.3"/>
  <pageSetup paperSize="9" orientation="portrait" verticalDpi="120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2E15B-4A90-4D7A-AE3A-79F27D5C8718}">
  <sheetPr codeName="Sheet3">
    <tabColor theme="7" tint="0.59999389629810485"/>
  </sheetPr>
  <dimension ref="A1:AT339"/>
  <sheetViews>
    <sheetView topLeftCell="B1" workbookViewId="0">
      <selection activeCell="D7" sqref="D7"/>
    </sheetView>
  </sheetViews>
  <sheetFormatPr defaultColWidth="17.140625" defaultRowHeight="12.95"/>
  <cols>
    <col min="1" max="1" width="0" style="122" hidden="1" customWidth="1"/>
    <col min="2" max="6" width="17.140625" style="123"/>
    <col min="7" max="21" width="17.140625" style="124"/>
    <col min="22" max="26" width="17.140625" style="122"/>
    <col min="27" max="28" width="17.140625" style="124"/>
    <col min="29" max="29" width="17.140625" style="125"/>
    <col min="30" max="31" width="17.140625" style="124"/>
    <col min="32" max="32" width="17.140625" style="125"/>
    <col min="33" max="33" width="17.140625" style="124"/>
    <col min="34" max="34" width="17.140625" style="125"/>
    <col min="35" max="35" width="17.140625" style="124"/>
    <col min="36" max="36" width="17.140625" style="125"/>
    <col min="37" max="37" width="17.140625" style="124"/>
    <col min="38" max="39" width="17.140625" style="125"/>
    <col min="40" max="44" width="17.140625" style="122"/>
    <col min="45" max="45" width="17.140625" style="132"/>
    <col min="46" max="46" width="17.140625" style="124"/>
    <col min="47" max="16384" width="17.140625" style="122"/>
  </cols>
  <sheetData>
    <row r="1" spans="1:46" ht="75" customHeight="1" thickBot="1">
      <c r="I1" s="124">
        <f>SUM(tblPiNHistorical[SAMV25])</f>
        <v>4384836</v>
      </c>
      <c r="J1" s="124">
        <f>SUM(tblPiNHistorical[NUT25])</f>
        <v>1172289</v>
      </c>
      <c r="K1" s="124">
        <f>SUM(tblPiNHistorical[SAL25])</f>
        <v>7088468.9999999925</v>
      </c>
      <c r="L1" s="124">
        <f>SUM(tblPiNHistorical[EDU25])</f>
        <v>2757468.0836028205</v>
      </c>
      <c r="M1" s="124">
        <f>SUM(tblPiNHistorical[PRO25])</f>
        <v>5499999.9999999963</v>
      </c>
      <c r="N1" s="124">
        <f>SUM(tblPiNHistorical[ASH25])</f>
        <v>3616104</v>
      </c>
      <c r="O1" s="124">
        <f>SUM(tblPiNHistorical[SAMV26])</f>
        <v>5099878.6878000004</v>
      </c>
      <c r="P1" s="124">
        <f>SUM(tblPiNHistorical[NUT26])</f>
        <v>1282418.3584067647</v>
      </c>
      <c r="Q1" s="124">
        <f>SUM(tblPiNHistorical[SAL26])</f>
        <v>10537415.136965141</v>
      </c>
      <c r="R1" s="124">
        <f>SUM(tblPiNHistorical[EDU26])</f>
        <v>3254789.6794520281</v>
      </c>
      <c r="S1" s="124">
        <f>SUM(tblPiNHistorical[PRO26])</f>
        <v>5969598.3836873844</v>
      </c>
      <c r="T1" s="124">
        <f>SUM(tblPiNHistorical[ASH26])</f>
        <v>5179743.3924999991</v>
      </c>
      <c r="V1" s="124"/>
      <c r="W1" s="124"/>
      <c r="X1" s="124"/>
      <c r="Y1" s="124"/>
      <c r="Z1" s="124"/>
      <c r="AA1" s="125"/>
      <c r="AB1" s="125"/>
      <c r="AD1" s="125"/>
      <c r="AE1" s="125"/>
      <c r="AG1" s="122"/>
      <c r="AH1" s="122"/>
      <c r="AI1" s="122"/>
      <c r="AJ1" s="122"/>
      <c r="AK1" s="122"/>
      <c r="AL1" s="122"/>
      <c r="AM1" s="122"/>
      <c r="AS1" s="122"/>
      <c r="AT1" s="122"/>
    </row>
    <row r="2" spans="1:46" ht="126.2" customHeight="1" thickTop="1" thickBot="1">
      <c r="A2" s="126"/>
      <c r="B2" s="442" t="s">
        <v>61</v>
      </c>
      <c r="C2" s="443"/>
      <c r="D2" s="443"/>
      <c r="E2" s="443"/>
      <c r="F2" s="127"/>
      <c r="G2" s="444" t="s">
        <v>62</v>
      </c>
      <c r="H2" s="444"/>
      <c r="I2" s="445" t="s">
        <v>63</v>
      </c>
      <c r="J2" s="445"/>
      <c r="K2" s="445"/>
      <c r="L2" s="445"/>
      <c r="M2" s="445"/>
      <c r="N2" s="445"/>
      <c r="O2" s="445" t="s">
        <v>64</v>
      </c>
      <c r="P2" s="445"/>
      <c r="Q2" s="445"/>
      <c r="R2" s="445"/>
      <c r="S2" s="445"/>
      <c r="T2" s="445"/>
      <c r="U2" s="439" t="s">
        <v>65</v>
      </c>
      <c r="V2" s="440"/>
      <c r="W2" s="440"/>
      <c r="X2" s="440"/>
      <c r="Y2" s="440"/>
      <c r="Z2" s="441"/>
      <c r="AA2" s="439" t="s">
        <v>66</v>
      </c>
      <c r="AB2" s="440"/>
      <c r="AC2" s="440"/>
      <c r="AD2" s="440"/>
      <c r="AE2" s="440"/>
      <c r="AF2" s="441"/>
      <c r="AG2" s="122"/>
      <c r="AH2" s="122"/>
      <c r="AI2" s="122"/>
      <c r="AJ2" s="122"/>
      <c r="AK2" s="122"/>
      <c r="AL2" s="122"/>
      <c r="AM2" s="122"/>
      <c r="AS2" s="122"/>
      <c r="AT2" s="122"/>
    </row>
    <row r="3" spans="1:46" ht="234.4" customHeight="1" thickTop="1" thickBot="1">
      <c r="A3" s="128" t="s">
        <v>67</v>
      </c>
      <c r="B3" s="106" t="s">
        <v>68</v>
      </c>
      <c r="C3" s="107" t="s">
        <v>69</v>
      </c>
      <c r="D3" s="107" t="s">
        <v>70</v>
      </c>
      <c r="E3" s="107" t="s">
        <v>71</v>
      </c>
      <c r="F3" s="107" t="s">
        <v>72</v>
      </c>
      <c r="G3" s="107" t="s">
        <v>62</v>
      </c>
      <c r="H3" s="108" t="s">
        <v>73</v>
      </c>
      <c r="I3" s="133" t="s">
        <v>74</v>
      </c>
      <c r="J3" s="208" t="s">
        <v>75</v>
      </c>
      <c r="K3" s="208" t="s">
        <v>76</v>
      </c>
      <c r="L3" s="208" t="s">
        <v>77</v>
      </c>
      <c r="M3" s="208" t="s">
        <v>78</v>
      </c>
      <c r="N3" s="209" t="s">
        <v>79</v>
      </c>
      <c r="O3" s="301" t="s">
        <v>80</v>
      </c>
      <c r="P3" s="302" t="s">
        <v>81</v>
      </c>
      <c r="Q3" s="302" t="s">
        <v>82</v>
      </c>
      <c r="R3" s="302" t="s">
        <v>83</v>
      </c>
      <c r="S3" s="302" t="s">
        <v>84</v>
      </c>
      <c r="T3" s="303" t="s">
        <v>85</v>
      </c>
      <c r="U3" s="201" t="s">
        <v>86</v>
      </c>
      <c r="V3" s="202" t="s">
        <v>87</v>
      </c>
      <c r="W3" s="202" t="s">
        <v>88</v>
      </c>
      <c r="X3" s="202" t="s">
        <v>89</v>
      </c>
      <c r="Y3" s="202" t="s">
        <v>90</v>
      </c>
      <c r="Z3" s="203" t="s">
        <v>91</v>
      </c>
      <c r="AA3" s="110" t="s">
        <v>92</v>
      </c>
      <c r="AB3" s="109" t="s">
        <v>93</v>
      </c>
      <c r="AC3" s="109" t="s">
        <v>94</v>
      </c>
      <c r="AD3" s="109" t="s">
        <v>95</v>
      </c>
      <c r="AE3" s="109" t="s">
        <v>96</v>
      </c>
      <c r="AF3" s="111" t="s">
        <v>97</v>
      </c>
      <c r="AG3" s="122"/>
      <c r="AH3" s="122"/>
      <c r="AI3" s="122"/>
      <c r="AJ3" s="122"/>
      <c r="AK3" s="122"/>
      <c r="AL3" s="122"/>
      <c r="AM3" s="122"/>
      <c r="AS3" s="122"/>
      <c r="AT3" s="122"/>
    </row>
    <row r="4" spans="1:46" s="131" customFormat="1" ht="13.5" thickTop="1">
      <c r="A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VenezolanosVE0101</v>
      </c>
      <c r="B4" s="101" t="s">
        <v>98</v>
      </c>
      <c r="C4" s="104" t="s">
        <v>99</v>
      </c>
      <c r="D4" s="129" t="s">
        <v>100</v>
      </c>
      <c r="E4" s="130" t="s">
        <v>101</v>
      </c>
      <c r="F4" s="119"/>
      <c r="G4" s="102">
        <v>1943901</v>
      </c>
      <c r="H4" s="103" t="s">
        <v>102</v>
      </c>
      <c r="I4" s="204">
        <v>328568</v>
      </c>
      <c r="J4" s="115">
        <v>71637</v>
      </c>
      <c r="K4" s="205">
        <v>506111.2184103764</v>
      </c>
      <c r="L4" s="205">
        <v>80105.145376942848</v>
      </c>
      <c r="M4" s="205">
        <v>519174.25302361464</v>
      </c>
      <c r="N4" s="297">
        <v>388780</v>
      </c>
      <c r="O4" s="304">
        <f>tblPiNAnalysis[[#This Row],[SAMV]]</f>
        <v>407399</v>
      </c>
      <c r="P4" s="305">
        <f>tblPiNAnalysis[[#This Row],[NUT]]</f>
        <v>72481.959421549807</v>
      </c>
      <c r="Q4" s="305">
        <f>tblPiNAnalysis[[#This Row],[SAL]]</f>
        <v>725544.08</v>
      </c>
      <c r="R4" s="305">
        <f>tblPiNAnalysis[[#This Row],[EDU]]</f>
        <v>246169.73099071888</v>
      </c>
      <c r="S4" s="305">
        <f>tblPiNAnalysis[[#This Row],[PRO]]</f>
        <v>475623.18</v>
      </c>
      <c r="T4" s="306">
        <f>tblPiNAnalysis[[#This Row],[ASH]]</f>
        <v>268351.92</v>
      </c>
      <c r="U4" s="299">
        <f>IF(OR(tblPiNHistorical[[#This Row],[SAMV25]]="", tblPiNHistorical[[#This Row],[SAMV25]]=0, tblPiNHistorical[[#This Row],[SAMV26]]="", tblPiNHistorical[[#This Row],[SAMV26]]=0), "", tblPiNHistorical[[#This Row],[SAMV26]]-tblPiNHistorical[[#This Row],[SAMV25]])</f>
        <v>78831</v>
      </c>
      <c r="V4" s="117">
        <f>IF(OR(tblPiNHistorical[[#This Row],[NUT25]]="", tblPiNHistorical[[#This Row],[NUT25]]=0, tblPiNHistorical[[#This Row],[NUT26]]="", tblPiNHistorical[[#This Row],[NUT26]]=0), "", tblPiNHistorical[[#This Row],[NUT26]]-tblPiNHistorical[[#This Row],[NUT25]])</f>
        <v>844.9594215498073</v>
      </c>
      <c r="W4" s="117">
        <f>IF(OR(tblPiNHistorical[[#This Row],[SAL25]]="", tblPiNHistorical[[#This Row],[SAL25]]=0, tblPiNHistorical[[#This Row],[SAL26]]="", tblPiNHistorical[[#This Row],[SAL26]]=0), "", tblPiNHistorical[[#This Row],[SAL26]]-tblPiNHistorical[[#This Row],[SAL25]])</f>
        <v>219432.86158962356</v>
      </c>
      <c r="X4" s="117">
        <f>IF(OR(tblPiNHistorical[[#This Row],[EDU25]]="", tblPiNHistorical[[#This Row],[EDU25]]=0, tblPiNHistorical[[#This Row],[EDU26]]="", tblPiNHistorical[[#This Row],[EDU26]]=0), "", tblPiNHistorical[[#This Row],[EDU26]]-tblPiNHistorical[[#This Row],[EDU25]])</f>
        <v>166064.58561377603</v>
      </c>
      <c r="Y4" s="117">
        <f>IF(OR(tblPiNHistorical[[#This Row],[PRO25]]="", tblPiNHistorical[[#This Row],[PRO25]]=0, tblPiNHistorical[[#This Row],[PRO26]]="", tblPiNHistorical[[#This Row],[PRO26]]=0), "", tblPiNHistorical[[#This Row],[PRO26]]-tblPiNHistorical[[#This Row],[PRO25]])</f>
        <v>-43551.073023614648</v>
      </c>
      <c r="Z4" s="222">
        <f>IF(OR(tblPiNHistorical[[#This Row],[ASH25]]="", tblPiNHistorical[[#This Row],[ASH25]]=0, tblPiNHistorical[[#This Row],[ASH26]]="", tblPiNHistorical[[#This Row],[ASH26]]=0), "", tblPiNHistorical[[#This Row],[ASH26]]-tblPiNHistorical[[#This Row],[ASH25]])</f>
        <v>-120428.08000000002</v>
      </c>
      <c r="AA4" s="224">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4" s="225">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v>
      </c>
      <c r="AC4" s="225">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4" s="225">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2.1</v>
      </c>
      <c r="AE4" s="225">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4" s="226">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-0.3</v>
      </c>
    </row>
    <row r="5" spans="1:46" s="131" customFormat="1">
      <c r="A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VenezolanosVE0201</v>
      </c>
      <c r="B5" s="101" t="s">
        <v>103</v>
      </c>
      <c r="C5" s="104" t="s">
        <v>104</v>
      </c>
      <c r="D5" s="129" t="s">
        <v>105</v>
      </c>
      <c r="E5" s="130" t="s">
        <v>106</v>
      </c>
      <c r="F5" s="119"/>
      <c r="G5" s="102">
        <v>12687</v>
      </c>
      <c r="H5" s="103" t="s">
        <v>102</v>
      </c>
      <c r="I5" s="204">
        <v>2537</v>
      </c>
      <c r="J5" s="115">
        <v>966</v>
      </c>
      <c r="K5" s="205">
        <v>3303.305708497016</v>
      </c>
      <c r="L5" s="205">
        <v>3996.614711620356</v>
      </c>
      <c r="M5" s="205">
        <v>1990.6301707953546</v>
      </c>
      <c r="N5" s="297">
        <v>6344</v>
      </c>
      <c r="O5" s="114">
        <f>tblPiNAnalysis[[#This Row],[SAMV]]</f>
        <v>236854</v>
      </c>
      <c r="P5" s="115">
        <f>tblPiNAnalysis[[#This Row],[NUT]]</f>
        <v>74440.982456016151</v>
      </c>
      <c r="Q5" s="115">
        <f>tblPiNAnalysis[[#This Row],[SAL]]</f>
        <v>544725.63500000001</v>
      </c>
      <c r="R5" s="115">
        <f>tblPiNAnalysis[[#This Row],[EDU]]</f>
        <v>276989.54409941752</v>
      </c>
      <c r="S5" s="115">
        <f>tblPiNAnalysis[[#This Row],[PRO]]</f>
        <v>355702.25368979014</v>
      </c>
      <c r="T5" s="116">
        <f>tblPiNAnalysis[[#This Row],[ASH]]</f>
        <v>201473.86500000002</v>
      </c>
      <c r="U5" s="299">
        <f>IF(OR(tblPiNHistorical[[#This Row],[SAMV25]]="", tblPiNHistorical[[#This Row],[SAMV25]]=0, tblPiNHistorical[[#This Row],[SAMV26]]="", tblPiNHistorical[[#This Row],[SAMV26]]=0), "", tblPiNHistorical[[#This Row],[SAMV26]]-tblPiNHistorical[[#This Row],[SAMV25]])</f>
        <v>234317</v>
      </c>
      <c r="V5" s="117">
        <f>IF(OR(tblPiNHistorical[[#This Row],[NUT25]]="", tblPiNHistorical[[#This Row],[NUT25]]=0, tblPiNHistorical[[#This Row],[NUT26]]="", tblPiNHistorical[[#This Row],[NUT26]]=0), "", tblPiNHistorical[[#This Row],[NUT26]]-tblPiNHistorical[[#This Row],[NUT25]])</f>
        <v>73474.982456016151</v>
      </c>
      <c r="W5" s="117">
        <f>IF(OR(tblPiNHistorical[[#This Row],[SAL25]]="", tblPiNHistorical[[#This Row],[SAL25]]=0, tblPiNHistorical[[#This Row],[SAL26]]="", tblPiNHistorical[[#This Row],[SAL26]]=0), "", tblPiNHistorical[[#This Row],[SAL26]]-tblPiNHistorical[[#This Row],[SAL25]])</f>
        <v>541422.32929150295</v>
      </c>
      <c r="X5" s="117">
        <f>IF(OR(tblPiNHistorical[[#This Row],[EDU25]]="", tblPiNHistorical[[#This Row],[EDU25]]=0, tblPiNHistorical[[#This Row],[EDU26]]="", tblPiNHistorical[[#This Row],[EDU26]]=0), "", tblPiNHistorical[[#This Row],[EDU26]]-tblPiNHistorical[[#This Row],[EDU25]])</f>
        <v>272992.92938779714</v>
      </c>
      <c r="Y5" s="117">
        <f>IF(OR(tblPiNHistorical[[#This Row],[PRO25]]="", tblPiNHistorical[[#This Row],[PRO25]]=0, tblPiNHistorical[[#This Row],[PRO26]]="", tblPiNHistorical[[#This Row],[PRO26]]=0), "", tblPiNHistorical[[#This Row],[PRO26]]-tblPiNHistorical[[#This Row],[PRO25]])</f>
        <v>353711.62351899478</v>
      </c>
      <c r="Z5" s="222">
        <f>IF(OR(tblPiNHistorical[[#This Row],[ASH25]]="", tblPiNHistorical[[#This Row],[ASH25]]=0, tblPiNHistorical[[#This Row],[ASH26]]="", tblPiNHistorical[[#This Row],[ASH26]]=0), "", tblPiNHistorical[[#This Row],[ASH26]]-tblPiNHistorical[[#This Row],[ASH25]])</f>
        <v>195129.86500000002</v>
      </c>
      <c r="AA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92.4</v>
      </c>
      <c r="AB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76.099999999999994</v>
      </c>
      <c r="AC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163.9</v>
      </c>
      <c r="AD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68.3</v>
      </c>
      <c r="AE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177.7</v>
      </c>
      <c r="AF5"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30.8</v>
      </c>
    </row>
    <row r="6" spans="1:46" s="131" customFormat="1">
      <c r="A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VenezolanosVE0202</v>
      </c>
      <c r="B6" s="101" t="s">
        <v>103</v>
      </c>
      <c r="C6" s="104" t="s">
        <v>104</v>
      </c>
      <c r="D6" s="129" t="s">
        <v>107</v>
      </c>
      <c r="E6" s="104" t="s">
        <v>108</v>
      </c>
      <c r="F6" s="119"/>
      <c r="G6" s="102">
        <v>9169</v>
      </c>
      <c r="H6" s="103" t="s">
        <v>102</v>
      </c>
      <c r="I6" s="204">
        <v>1834</v>
      </c>
      <c r="J6" s="115">
        <v>591</v>
      </c>
      <c r="K6" s="205">
        <v>2386.8216711965542</v>
      </c>
      <c r="L6" s="205">
        <v>1247.0256617130899</v>
      </c>
      <c r="M6" s="205">
        <v>1990.6301707953546</v>
      </c>
      <c r="N6" s="297">
        <v>4585</v>
      </c>
      <c r="O6" s="114">
        <f>tblPiNAnalysis[[#This Row],[SAMV]]</f>
        <v>112537</v>
      </c>
      <c r="P6" s="115">
        <f>tblPiNAnalysis[[#This Row],[NUT]]</f>
        <v>42739.615875855197</v>
      </c>
      <c r="Q6" s="115">
        <f>tblPiNAnalysis[[#This Row],[SAL]]</f>
        <v>309735.34999999998</v>
      </c>
      <c r="R6" s="115">
        <f>tblPiNAnalysis[[#This Row],[EDU]]</f>
        <v>128658.03014161903</v>
      </c>
      <c r="S6" s="115">
        <f>tblPiNAnalysis[[#This Row],[PRO]]</f>
        <v>202269.83533224816</v>
      </c>
      <c r="T6" s="116">
        <f>tblPiNAnalysis[[#This Row],[ASH]]</f>
        <v>381865.5</v>
      </c>
      <c r="U6" s="299">
        <f>IF(OR(tblPiNHistorical[[#This Row],[SAMV25]]="", tblPiNHistorical[[#This Row],[SAMV25]]=0, tblPiNHistorical[[#This Row],[SAMV26]]="", tblPiNHistorical[[#This Row],[SAMV26]]=0), "", tblPiNHistorical[[#This Row],[SAMV26]]-tblPiNHistorical[[#This Row],[SAMV25]])</f>
        <v>110703</v>
      </c>
      <c r="V6" s="117">
        <f>IF(OR(tblPiNHistorical[[#This Row],[NUT25]]="", tblPiNHistorical[[#This Row],[NUT25]]=0, tblPiNHistorical[[#This Row],[NUT26]]="", tblPiNHistorical[[#This Row],[NUT26]]=0), "", tblPiNHistorical[[#This Row],[NUT26]]-tblPiNHistorical[[#This Row],[NUT25]])</f>
        <v>42148.615875855197</v>
      </c>
      <c r="W6" s="117">
        <f>IF(OR(tblPiNHistorical[[#This Row],[SAL25]]="", tblPiNHistorical[[#This Row],[SAL25]]=0, tblPiNHistorical[[#This Row],[SAL26]]="", tblPiNHistorical[[#This Row],[SAL26]]=0), "", tblPiNHistorical[[#This Row],[SAL26]]-tblPiNHistorical[[#This Row],[SAL25]])</f>
        <v>307348.52832880343</v>
      </c>
      <c r="X6" s="117">
        <f>IF(OR(tblPiNHistorical[[#This Row],[EDU25]]="", tblPiNHistorical[[#This Row],[EDU25]]=0, tblPiNHistorical[[#This Row],[EDU26]]="", tblPiNHistorical[[#This Row],[EDU26]]=0), "", tblPiNHistorical[[#This Row],[EDU26]]-tblPiNHistorical[[#This Row],[EDU25]])</f>
        <v>127411.00447990594</v>
      </c>
      <c r="Y6" s="117">
        <f>IF(OR(tblPiNHistorical[[#This Row],[PRO25]]="", tblPiNHistorical[[#This Row],[PRO25]]=0, tblPiNHistorical[[#This Row],[PRO26]]="", tblPiNHistorical[[#This Row],[PRO26]]=0), "", tblPiNHistorical[[#This Row],[PRO26]]-tblPiNHistorical[[#This Row],[PRO25]])</f>
        <v>200279.20516145279</v>
      </c>
      <c r="Z6" s="222">
        <f>IF(OR(tblPiNHistorical[[#This Row],[ASH25]]="", tblPiNHistorical[[#This Row],[ASH25]]=0, tblPiNHistorical[[#This Row],[ASH26]]="", tblPiNHistorical[[#This Row],[ASH26]]=0), "", tblPiNHistorical[[#This Row],[ASH26]]-tblPiNHistorical[[#This Row],[ASH25]])</f>
        <v>377280.5</v>
      </c>
      <c r="AA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60.4</v>
      </c>
      <c r="AB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71.3</v>
      </c>
      <c r="AC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128.80000000000001</v>
      </c>
      <c r="AD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102.2</v>
      </c>
      <c r="AE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100.6</v>
      </c>
      <c r="AF6"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82.3</v>
      </c>
    </row>
    <row r="7" spans="1:46" s="131" customFormat="1">
      <c r="A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VenezolanosVE0203</v>
      </c>
      <c r="B7" s="101" t="s">
        <v>103</v>
      </c>
      <c r="C7" s="104" t="s">
        <v>104</v>
      </c>
      <c r="D7" s="129" t="s">
        <v>109</v>
      </c>
      <c r="E7" s="104" t="s">
        <v>110</v>
      </c>
      <c r="F7" s="119"/>
      <c r="G7" s="102">
        <v>104228</v>
      </c>
      <c r="H7" s="103" t="s">
        <v>102</v>
      </c>
      <c r="I7" s="204">
        <v>20846</v>
      </c>
      <c r="J7" s="115">
        <v>4752</v>
      </c>
      <c r="K7" s="205">
        <v>27136.844646078218</v>
      </c>
      <c r="L7" s="205">
        <v>9983.9078795189434</v>
      </c>
      <c r="M7" s="205">
        <v>10714.900227743648</v>
      </c>
      <c r="N7" s="297">
        <v>52114</v>
      </c>
      <c r="O7" s="114">
        <f>tblPiNAnalysis[[#This Row],[SAMV]]</f>
        <v>92924</v>
      </c>
      <c r="P7" s="115">
        <f>tblPiNAnalysis[[#This Row],[NUT]]</f>
        <v>43618.730557566108</v>
      </c>
      <c r="Q7" s="115">
        <f>tblPiNAnalysis[[#This Row],[SAL]]</f>
        <v>371835.72</v>
      </c>
      <c r="R7" s="115">
        <f>tblPiNAnalysis[[#This Row],[EDU]]</f>
        <v>106430.13227180515</v>
      </c>
      <c r="S7" s="115">
        <f>tblPiNAnalysis[[#This Row],[PRO]]</f>
        <v>202318.84329826702</v>
      </c>
      <c r="T7" s="116">
        <f>tblPiNAnalysis[[#This Row],[ASH]]</f>
        <v>0</v>
      </c>
      <c r="U7" s="299">
        <f>IF(OR(tblPiNHistorical[[#This Row],[SAMV25]]="", tblPiNHistorical[[#This Row],[SAMV25]]=0, tblPiNHistorical[[#This Row],[SAMV26]]="", tblPiNHistorical[[#This Row],[SAMV26]]=0), "", tblPiNHistorical[[#This Row],[SAMV26]]-tblPiNHistorical[[#This Row],[SAMV25]])</f>
        <v>72078</v>
      </c>
      <c r="V7" s="117">
        <f>IF(OR(tblPiNHistorical[[#This Row],[NUT25]]="", tblPiNHistorical[[#This Row],[NUT25]]=0, tblPiNHistorical[[#This Row],[NUT26]]="", tblPiNHistorical[[#This Row],[NUT26]]=0), "", tblPiNHistorical[[#This Row],[NUT26]]-tblPiNHistorical[[#This Row],[NUT25]])</f>
        <v>38866.730557566108</v>
      </c>
      <c r="W7" s="117">
        <f>IF(OR(tblPiNHistorical[[#This Row],[SAL25]]="", tblPiNHistorical[[#This Row],[SAL25]]=0, tblPiNHistorical[[#This Row],[SAL26]]="", tblPiNHistorical[[#This Row],[SAL26]]=0), "", tblPiNHistorical[[#This Row],[SAL26]]-tblPiNHistorical[[#This Row],[SAL25]])</f>
        <v>344698.87535392173</v>
      </c>
      <c r="X7" s="117">
        <f>IF(OR(tblPiNHistorical[[#This Row],[EDU25]]="", tblPiNHistorical[[#This Row],[EDU25]]=0, tblPiNHistorical[[#This Row],[EDU26]]="", tblPiNHistorical[[#This Row],[EDU26]]=0), "", tblPiNHistorical[[#This Row],[EDU26]]-tblPiNHistorical[[#This Row],[EDU25]])</f>
        <v>96446.224392286211</v>
      </c>
      <c r="Y7" s="117">
        <f>IF(OR(tblPiNHistorical[[#This Row],[PRO25]]="", tblPiNHistorical[[#This Row],[PRO25]]=0, tblPiNHistorical[[#This Row],[PRO26]]="", tblPiNHistorical[[#This Row],[PRO26]]=0), "", tblPiNHistorical[[#This Row],[PRO26]]-tblPiNHistorical[[#This Row],[PRO25]])</f>
        <v>191603.94307052338</v>
      </c>
      <c r="Z7" s="222" t="str">
        <f>IF(OR(tblPiNHistorical[[#This Row],[ASH25]]="", tblPiNHistorical[[#This Row],[ASH25]]=0, tblPiNHistorical[[#This Row],[ASH26]]="", tblPiNHistorical[[#This Row],[ASH26]]=0), "", tblPiNHistorical[[#This Row],[ASH26]]-tblPiNHistorical[[#This Row],[ASH25]])</f>
        <v/>
      </c>
      <c r="AA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3.5</v>
      </c>
      <c r="AB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8.1999999999999993</v>
      </c>
      <c r="AC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12.7</v>
      </c>
      <c r="AD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9.6999999999999993</v>
      </c>
      <c r="AE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17.899999999999999</v>
      </c>
      <c r="AF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52114</v>
      </c>
    </row>
    <row r="8" spans="1:46">
      <c r="A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VenezolanosVE0204</v>
      </c>
      <c r="B8" s="105" t="s">
        <v>103</v>
      </c>
      <c r="C8" s="104" t="s">
        <v>104</v>
      </c>
      <c r="D8" s="119" t="s">
        <v>111</v>
      </c>
      <c r="E8" s="104" t="s">
        <v>112</v>
      </c>
      <c r="F8" s="119"/>
      <c r="G8" s="102">
        <v>8352</v>
      </c>
      <c r="H8" s="102" t="s">
        <v>102</v>
      </c>
      <c r="I8" s="206">
        <v>1670</v>
      </c>
      <c r="J8" s="120">
        <v>589</v>
      </c>
      <c r="K8" s="207">
        <v>2174.7918506751503</v>
      </c>
      <c r="L8" s="207">
        <v>984.59196509409537</v>
      </c>
      <c r="M8" s="207">
        <v>4082.876389010356</v>
      </c>
      <c r="N8" s="298">
        <v>4176</v>
      </c>
      <c r="O8" s="114">
        <f>tblPiNAnalysis[[#This Row],[SAMV]]</f>
        <v>146423</v>
      </c>
      <c r="P8" s="115">
        <f>tblPiNAnalysis[[#This Row],[NUT]]</f>
        <v>55309.995561158947</v>
      </c>
      <c r="Q8" s="115">
        <f>tblPiNAnalysis[[#This Row],[SAL]]</f>
        <v>263785.86499999999</v>
      </c>
      <c r="R8" s="115">
        <f>tblPiNAnalysis[[#This Row],[EDU]]</f>
        <v>84391.477761359143</v>
      </c>
      <c r="S8" s="115">
        <f>tblPiNAnalysis[[#This Row],[PRO]]</f>
        <v>173168.10367716607</v>
      </c>
      <c r="T8" s="116">
        <f>tblPiNAnalysis[[#This Row],[ASH]]</f>
        <v>325215.45</v>
      </c>
      <c r="U8" s="300">
        <f>IF(OR(tblPiNHistorical[[#This Row],[SAMV25]]="", tblPiNHistorical[[#This Row],[SAMV25]]=0, tblPiNHistorical[[#This Row],[SAMV26]]="", tblPiNHistorical[[#This Row],[SAMV26]]=0), "", tblPiNHistorical[[#This Row],[SAMV26]]-tblPiNHistorical[[#This Row],[SAMV25]])</f>
        <v>144753</v>
      </c>
      <c r="V8" s="121">
        <f>IF(OR(tblPiNHistorical[[#This Row],[NUT25]]="", tblPiNHistorical[[#This Row],[NUT25]]=0, tblPiNHistorical[[#This Row],[NUT26]]="", tblPiNHistorical[[#This Row],[NUT26]]=0), "", tblPiNHistorical[[#This Row],[NUT26]]-tblPiNHistorical[[#This Row],[NUT25]])</f>
        <v>54720.995561158947</v>
      </c>
      <c r="W8" s="121">
        <f>IF(OR(tblPiNHistorical[[#This Row],[SAL25]]="", tblPiNHistorical[[#This Row],[SAL25]]=0, tblPiNHistorical[[#This Row],[SAL26]]="", tblPiNHistorical[[#This Row],[SAL26]]=0), "", tblPiNHistorical[[#This Row],[SAL26]]-tblPiNHistorical[[#This Row],[SAL25]])</f>
        <v>261611.07314932483</v>
      </c>
      <c r="X8" s="121">
        <f>IF(OR(tblPiNHistorical[[#This Row],[EDU25]]="", tblPiNHistorical[[#This Row],[EDU25]]=0, tblPiNHistorical[[#This Row],[EDU26]]="", tblPiNHistorical[[#This Row],[EDU26]]=0), "", tblPiNHistorical[[#This Row],[EDU26]]-tblPiNHistorical[[#This Row],[EDU25]])</f>
        <v>83406.885796265051</v>
      </c>
      <c r="Y8" s="121">
        <f>IF(OR(tblPiNHistorical[[#This Row],[PRO25]]="", tblPiNHistorical[[#This Row],[PRO25]]=0, tblPiNHistorical[[#This Row],[PRO26]]="", tblPiNHistorical[[#This Row],[PRO26]]=0), "", tblPiNHistorical[[#This Row],[PRO26]]-tblPiNHistorical[[#This Row],[PRO25]])</f>
        <v>169085.22728815573</v>
      </c>
      <c r="Z8" s="223">
        <f>IF(OR(tblPiNHistorical[[#This Row],[ASH25]]="", tblPiNHistorical[[#This Row],[ASH25]]=0, tblPiNHistorical[[#This Row],[ASH26]]="", tblPiNHistorical[[#This Row],[ASH26]]=0), "", tblPiNHistorical[[#This Row],[ASH26]]-tblPiNHistorical[[#This Row],[ASH25]])</f>
        <v>321039.45</v>
      </c>
      <c r="AA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86.7</v>
      </c>
      <c r="AB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92.9</v>
      </c>
      <c r="AC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120.3</v>
      </c>
      <c r="AD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84.7</v>
      </c>
      <c r="AE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41.4</v>
      </c>
      <c r="AF8"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76.900000000000006</v>
      </c>
    </row>
    <row r="9" spans="1:46">
      <c r="A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VenezolanosVE0205</v>
      </c>
      <c r="B9" s="105" t="s">
        <v>103</v>
      </c>
      <c r="C9" s="104" t="s">
        <v>104</v>
      </c>
      <c r="D9" s="119" t="s">
        <v>113</v>
      </c>
      <c r="E9" s="104" t="s">
        <v>114</v>
      </c>
      <c r="F9" s="119"/>
      <c r="G9" s="102">
        <v>2029</v>
      </c>
      <c r="H9" s="102" t="s">
        <v>102</v>
      </c>
      <c r="I9" s="206">
        <v>406</v>
      </c>
      <c r="J9" s="120">
        <v>126</v>
      </c>
      <c r="K9" s="207">
        <v>528.0929641958337</v>
      </c>
      <c r="L9" s="207">
        <v>305.44781676360401</v>
      </c>
      <c r="M9" s="207">
        <v>991.87693885321016</v>
      </c>
      <c r="N9" s="298">
        <v>1217</v>
      </c>
      <c r="O9" s="114">
        <f>tblPiNAnalysis[[#This Row],[SAMV]]</f>
        <v>95637</v>
      </c>
      <c r="P9" s="115">
        <f>tblPiNAnalysis[[#This Row],[NUT]]</f>
        <v>32923.262776657502</v>
      </c>
      <c r="Q9" s="115">
        <f>tblPiNAnalysis[[#This Row],[SAL]]</f>
        <v>224074.23</v>
      </c>
      <c r="R9" s="115">
        <f>tblPiNAnalysis[[#This Row],[EDU]]</f>
        <v>89542.975049871617</v>
      </c>
      <c r="S9" s="115">
        <f>tblPiNAnalysis[[#This Row],[PRO]]</f>
        <v>146863.50970875725</v>
      </c>
      <c r="T9" s="116">
        <f>tblPiNAnalysis[[#This Row],[ASH]]</f>
        <v>276255.90000000002</v>
      </c>
      <c r="U9" s="300">
        <f>IF(OR(tblPiNHistorical[[#This Row],[SAMV25]]="", tblPiNHistorical[[#This Row],[SAMV25]]=0, tblPiNHistorical[[#This Row],[SAMV26]]="", tblPiNHistorical[[#This Row],[SAMV26]]=0), "", tblPiNHistorical[[#This Row],[SAMV26]]-tblPiNHistorical[[#This Row],[SAMV25]])</f>
        <v>95231</v>
      </c>
      <c r="V9" s="121">
        <f>IF(OR(tblPiNHistorical[[#This Row],[NUT25]]="", tblPiNHistorical[[#This Row],[NUT25]]=0, tblPiNHistorical[[#This Row],[NUT26]]="", tblPiNHistorical[[#This Row],[NUT26]]=0), "", tblPiNHistorical[[#This Row],[NUT26]]-tblPiNHistorical[[#This Row],[NUT25]])</f>
        <v>32797.262776657502</v>
      </c>
      <c r="W9" s="121">
        <f>IF(OR(tblPiNHistorical[[#This Row],[SAL25]]="", tblPiNHistorical[[#This Row],[SAL25]]=0, tblPiNHistorical[[#This Row],[SAL26]]="", tblPiNHistorical[[#This Row],[SAL26]]=0), "", tblPiNHistorical[[#This Row],[SAL26]]-tblPiNHistorical[[#This Row],[SAL25]])</f>
        <v>223546.13703580419</v>
      </c>
      <c r="X9" s="121">
        <f>IF(OR(tblPiNHistorical[[#This Row],[EDU25]]="", tblPiNHistorical[[#This Row],[EDU25]]=0, tblPiNHistorical[[#This Row],[EDU26]]="", tblPiNHistorical[[#This Row],[EDU26]]=0), "", tblPiNHistorical[[#This Row],[EDU26]]-tblPiNHistorical[[#This Row],[EDU25]])</f>
        <v>89237.52723310802</v>
      </c>
      <c r="Y9" s="121">
        <f>IF(OR(tblPiNHistorical[[#This Row],[PRO25]]="", tblPiNHistorical[[#This Row],[PRO25]]=0, tblPiNHistorical[[#This Row],[PRO26]]="", tblPiNHistorical[[#This Row],[PRO26]]=0), "", tblPiNHistorical[[#This Row],[PRO26]]-tblPiNHistorical[[#This Row],[PRO25]])</f>
        <v>145871.63276990404</v>
      </c>
      <c r="Z9" s="223">
        <f>IF(OR(tblPiNHistorical[[#This Row],[ASH25]]="", tblPiNHistorical[[#This Row],[ASH25]]=0, tblPiNHistorical[[#This Row],[ASH26]]="", tblPiNHistorical[[#This Row],[ASH26]]=0), "", tblPiNHistorical[[#This Row],[ASH26]]-tblPiNHistorical[[#This Row],[ASH25]])</f>
        <v>275038.90000000002</v>
      </c>
      <c r="AA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234.6</v>
      </c>
      <c r="AB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260.3</v>
      </c>
      <c r="AC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423.3</v>
      </c>
      <c r="AD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292.2</v>
      </c>
      <c r="AE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147.1</v>
      </c>
      <c r="AF9"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226</v>
      </c>
    </row>
    <row r="10" spans="1:46">
      <c r="A1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VenezolanosVE0206</v>
      </c>
      <c r="B10" s="105" t="s">
        <v>103</v>
      </c>
      <c r="C10" s="104" t="s">
        <v>104</v>
      </c>
      <c r="D10" s="119" t="s">
        <v>115</v>
      </c>
      <c r="E10" s="104" t="s">
        <v>116</v>
      </c>
      <c r="F10" s="119"/>
      <c r="G10" s="102">
        <v>7715</v>
      </c>
      <c r="H10" s="102" t="s">
        <v>102</v>
      </c>
      <c r="I10" s="206">
        <v>1543</v>
      </c>
      <c r="J10" s="120">
        <v>511</v>
      </c>
      <c r="K10" s="207">
        <v>2008.3385336303095</v>
      </c>
      <c r="L10" s="207">
        <v>2095.882990088342</v>
      </c>
      <c r="M10" s="207">
        <v>6171.510842714516</v>
      </c>
      <c r="N10" s="298">
        <v>3858</v>
      </c>
      <c r="O10" s="114">
        <f>tblPiNAnalysis[[#This Row],[SAMV]]</f>
        <v>102118</v>
      </c>
      <c r="P10" s="115">
        <f>tblPiNAnalysis[[#This Row],[NUT]]</f>
        <v>15306.587667368825</v>
      </c>
      <c r="Q10" s="115">
        <f>tblPiNAnalysis[[#This Row],[SAL]]</f>
        <v>157292.37</v>
      </c>
      <c r="R10" s="115">
        <f>tblPiNAnalysis[[#This Row],[EDU]]</f>
        <v>47018.271789925355</v>
      </c>
      <c r="S10" s="115">
        <f>tblPiNAnalysis[[#This Row],[PRO]]</f>
        <v>102856.01449116059</v>
      </c>
      <c r="T10" s="116">
        <f>tblPiNAnalysis[[#This Row],[ASH]]</f>
        <v>258562.8</v>
      </c>
      <c r="U10" s="300">
        <f>IF(OR(tblPiNHistorical[[#This Row],[SAMV25]]="", tblPiNHistorical[[#This Row],[SAMV25]]=0, tblPiNHistorical[[#This Row],[SAMV26]]="", tblPiNHistorical[[#This Row],[SAMV26]]=0), "", tblPiNHistorical[[#This Row],[SAMV26]]-tblPiNHistorical[[#This Row],[SAMV25]])</f>
        <v>100575</v>
      </c>
      <c r="V10" s="121">
        <f>IF(OR(tblPiNHistorical[[#This Row],[NUT25]]="", tblPiNHistorical[[#This Row],[NUT25]]=0, tblPiNHistorical[[#This Row],[NUT26]]="", tblPiNHistorical[[#This Row],[NUT26]]=0), "", tblPiNHistorical[[#This Row],[NUT26]]-tblPiNHistorical[[#This Row],[NUT25]])</f>
        <v>14795.587667368825</v>
      </c>
      <c r="W10" s="121">
        <f>IF(OR(tblPiNHistorical[[#This Row],[SAL25]]="", tblPiNHistorical[[#This Row],[SAL25]]=0, tblPiNHistorical[[#This Row],[SAL26]]="", tblPiNHistorical[[#This Row],[SAL26]]=0), "", tblPiNHistorical[[#This Row],[SAL26]]-tblPiNHistorical[[#This Row],[SAL25]])</f>
        <v>155284.03146636969</v>
      </c>
      <c r="X10" s="121">
        <f>IF(OR(tblPiNHistorical[[#This Row],[EDU25]]="", tblPiNHistorical[[#This Row],[EDU25]]=0, tblPiNHistorical[[#This Row],[EDU26]]="", tblPiNHistorical[[#This Row],[EDU26]]=0), "", tblPiNHistorical[[#This Row],[EDU26]]-tblPiNHistorical[[#This Row],[EDU25]])</f>
        <v>44922.388799837012</v>
      </c>
      <c r="Y10" s="121">
        <f>IF(OR(tblPiNHistorical[[#This Row],[PRO25]]="", tblPiNHistorical[[#This Row],[PRO25]]=0, tblPiNHistorical[[#This Row],[PRO26]]="", tblPiNHistorical[[#This Row],[PRO26]]=0), "", tblPiNHistorical[[#This Row],[PRO26]]-tblPiNHistorical[[#This Row],[PRO25]])</f>
        <v>96684.503648446072</v>
      </c>
      <c r="Z10" s="223">
        <f>IF(OR(tblPiNHistorical[[#This Row],[ASH25]]="", tblPiNHistorical[[#This Row],[ASH25]]=0, tblPiNHistorical[[#This Row],[ASH26]]="", tblPiNHistorical[[#This Row],[ASH26]]=0), "", tblPiNHistorical[[#This Row],[ASH26]]-tblPiNHistorical[[#This Row],[ASH25]])</f>
        <v>254704.8</v>
      </c>
      <c r="AA1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65.2</v>
      </c>
      <c r="AB1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29</v>
      </c>
      <c r="AC1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77.3</v>
      </c>
      <c r="AD1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21.4</v>
      </c>
      <c r="AE1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15.7</v>
      </c>
      <c r="AF10"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66</v>
      </c>
    </row>
    <row r="11" spans="1:46">
      <c r="A1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VenezolanosVE0207</v>
      </c>
      <c r="B11" s="105" t="s">
        <v>103</v>
      </c>
      <c r="C11" s="104" t="s">
        <v>104</v>
      </c>
      <c r="D11" s="119" t="s">
        <v>117</v>
      </c>
      <c r="E11" s="104" t="s">
        <v>118</v>
      </c>
      <c r="F11" s="119"/>
      <c r="G11" s="102">
        <v>2300</v>
      </c>
      <c r="H11" s="102" t="s">
        <v>102</v>
      </c>
      <c r="I11" s="206">
        <v>460</v>
      </c>
      <c r="J11" s="120">
        <v>152</v>
      </c>
      <c r="K11" s="207">
        <v>598.43930651835569</v>
      </c>
      <c r="L11" s="207">
        <v>402.2131884592784</v>
      </c>
      <c r="M11" s="207">
        <v>1124.3553274334072</v>
      </c>
      <c r="N11" s="298">
        <v>1380</v>
      </c>
      <c r="O11" s="114">
        <f>tblPiNAnalysis[[#This Row],[SAMV]]</f>
        <v>112245</v>
      </c>
      <c r="P11" s="115">
        <f>tblPiNAnalysis[[#This Row],[NUT]]</f>
        <v>12970.93718897102</v>
      </c>
      <c r="Q11" s="115">
        <f>tblPiNAnalysis[[#This Row],[SAL]]</f>
        <v>127753.65</v>
      </c>
      <c r="R11" s="115">
        <f>tblPiNAnalysis[[#This Row],[EDU]]</f>
        <v>44158.500390264089</v>
      </c>
      <c r="S11" s="115">
        <f>tblPiNAnalysis[[#This Row],[PRO]]</f>
        <v>83866.727689659892</v>
      </c>
      <c r="T11" s="116">
        <f>tblPiNAnalysis[[#This Row],[ASH]]</f>
        <v>210006</v>
      </c>
      <c r="U11" s="300">
        <f>IF(OR(tblPiNHistorical[[#This Row],[SAMV25]]="", tblPiNHistorical[[#This Row],[SAMV25]]=0, tblPiNHistorical[[#This Row],[SAMV26]]="", tblPiNHistorical[[#This Row],[SAMV26]]=0), "", tblPiNHistorical[[#This Row],[SAMV26]]-tblPiNHistorical[[#This Row],[SAMV25]])</f>
        <v>111785</v>
      </c>
      <c r="V11" s="121">
        <f>IF(OR(tblPiNHistorical[[#This Row],[NUT25]]="", tblPiNHistorical[[#This Row],[NUT25]]=0, tblPiNHistorical[[#This Row],[NUT26]]="", tblPiNHistorical[[#This Row],[NUT26]]=0), "", tblPiNHistorical[[#This Row],[NUT26]]-tblPiNHistorical[[#This Row],[NUT25]])</f>
        <v>12818.93718897102</v>
      </c>
      <c r="W11" s="121">
        <f>IF(OR(tblPiNHistorical[[#This Row],[SAL25]]="", tblPiNHistorical[[#This Row],[SAL25]]=0, tblPiNHistorical[[#This Row],[SAL26]]="", tblPiNHistorical[[#This Row],[SAL26]]=0), "", tblPiNHistorical[[#This Row],[SAL26]]-tblPiNHistorical[[#This Row],[SAL25]])</f>
        <v>127155.21069348164</v>
      </c>
      <c r="X11" s="121">
        <f>IF(OR(tblPiNHistorical[[#This Row],[EDU25]]="", tblPiNHistorical[[#This Row],[EDU25]]=0, tblPiNHistorical[[#This Row],[EDU26]]="", tblPiNHistorical[[#This Row],[EDU26]]=0), "", tblPiNHistorical[[#This Row],[EDU26]]-tblPiNHistorical[[#This Row],[EDU25]])</f>
        <v>43756.287201804807</v>
      </c>
      <c r="Y11" s="121">
        <f>IF(OR(tblPiNHistorical[[#This Row],[PRO25]]="", tblPiNHistorical[[#This Row],[PRO25]]=0, tblPiNHistorical[[#This Row],[PRO26]]="", tblPiNHistorical[[#This Row],[PRO26]]=0), "", tblPiNHistorical[[#This Row],[PRO26]]-tblPiNHistorical[[#This Row],[PRO25]])</f>
        <v>82742.372362226481</v>
      </c>
      <c r="Z11" s="223">
        <f>IF(OR(tblPiNHistorical[[#This Row],[ASH25]]="", tblPiNHistorical[[#This Row],[ASH25]]=0, tblPiNHistorical[[#This Row],[ASH26]]="", tblPiNHistorical[[#This Row],[ASH26]]=0), "", tblPiNHistorical[[#This Row],[ASH26]]-tblPiNHistorical[[#This Row],[ASH25]])</f>
        <v>208626</v>
      </c>
      <c r="AA1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243</v>
      </c>
      <c r="AB1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84.3</v>
      </c>
      <c r="AC1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212.5</v>
      </c>
      <c r="AD1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108.8</v>
      </c>
      <c r="AE1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73.599999999999994</v>
      </c>
      <c r="AF11"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151.19999999999999</v>
      </c>
    </row>
    <row r="12" spans="1:46">
      <c r="A1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VenezolanosVE0301</v>
      </c>
      <c r="B12" s="105" t="s">
        <v>119</v>
      </c>
      <c r="C12" s="104" t="s">
        <v>120</v>
      </c>
      <c r="D12" s="119" t="s">
        <v>121</v>
      </c>
      <c r="E12" s="104" t="s">
        <v>122</v>
      </c>
      <c r="F12" s="119"/>
      <c r="G12" s="102">
        <v>122634</v>
      </c>
      <c r="H12" s="102" t="s">
        <v>102</v>
      </c>
      <c r="I12" s="206">
        <v>21611</v>
      </c>
      <c r="J12" s="120">
        <v>5177</v>
      </c>
      <c r="K12" s="207">
        <v>31928.322272440419</v>
      </c>
      <c r="L12" s="207">
        <v>12841.340587171289</v>
      </c>
      <c r="M12" s="207">
        <v>13695.895983658618</v>
      </c>
      <c r="N12" s="298">
        <v>24527</v>
      </c>
      <c r="O12" s="114">
        <f>tblPiNAnalysis[[#This Row],[SAMV]]</f>
        <v>161344</v>
      </c>
      <c r="P12" s="115">
        <f>tblPiNAnalysis[[#This Row],[NUT]]</f>
        <v>21117.765311778934</v>
      </c>
      <c r="Q12" s="115">
        <f>tblPiNAnalysis[[#This Row],[SAL]]</f>
        <v>202395.05499999999</v>
      </c>
      <c r="R12" s="115">
        <f>tblPiNAnalysis[[#This Row],[EDU]]</f>
        <v>43027.272228408598</v>
      </c>
      <c r="S12" s="115">
        <f>tblPiNAnalysis[[#This Row],[PRO]]</f>
        <v>110727.55005107232</v>
      </c>
      <c r="T12" s="116">
        <f>tblPiNAnalysis[[#This Row],[ASH]]</f>
        <v>0</v>
      </c>
      <c r="U12" s="300">
        <f>IF(OR(tblPiNHistorical[[#This Row],[SAMV25]]="", tblPiNHistorical[[#This Row],[SAMV25]]=0, tblPiNHistorical[[#This Row],[SAMV26]]="", tblPiNHistorical[[#This Row],[SAMV26]]=0), "", tblPiNHistorical[[#This Row],[SAMV26]]-tblPiNHistorical[[#This Row],[SAMV25]])</f>
        <v>139733</v>
      </c>
      <c r="V12" s="121">
        <f>IF(OR(tblPiNHistorical[[#This Row],[NUT25]]="", tblPiNHistorical[[#This Row],[NUT25]]=0, tblPiNHistorical[[#This Row],[NUT26]]="", tblPiNHistorical[[#This Row],[NUT26]]=0), "", tblPiNHistorical[[#This Row],[NUT26]]-tblPiNHistorical[[#This Row],[NUT25]])</f>
        <v>15940.765311778934</v>
      </c>
      <c r="W12" s="121">
        <f>IF(OR(tblPiNHistorical[[#This Row],[SAL25]]="", tblPiNHistorical[[#This Row],[SAL25]]=0, tblPiNHistorical[[#This Row],[SAL26]]="", tblPiNHistorical[[#This Row],[SAL26]]=0), "", tblPiNHistorical[[#This Row],[SAL26]]-tblPiNHistorical[[#This Row],[SAL25]])</f>
        <v>170466.73272755957</v>
      </c>
      <c r="X12" s="121">
        <f>IF(OR(tblPiNHistorical[[#This Row],[EDU25]]="", tblPiNHistorical[[#This Row],[EDU25]]=0, tblPiNHistorical[[#This Row],[EDU26]]="", tblPiNHistorical[[#This Row],[EDU26]]=0), "", tblPiNHistorical[[#This Row],[EDU26]]-tblPiNHistorical[[#This Row],[EDU25]])</f>
        <v>30185.931641237308</v>
      </c>
      <c r="Y12" s="121">
        <f>IF(OR(tblPiNHistorical[[#This Row],[PRO25]]="", tblPiNHistorical[[#This Row],[PRO25]]=0, tblPiNHistorical[[#This Row],[PRO26]]="", tblPiNHistorical[[#This Row],[PRO26]]=0), "", tblPiNHistorical[[#This Row],[PRO26]]-tblPiNHistorical[[#This Row],[PRO25]])</f>
        <v>97031.654067413707</v>
      </c>
      <c r="Z12" s="223" t="str">
        <f>IF(OR(tblPiNHistorical[[#This Row],[ASH25]]="", tblPiNHistorical[[#This Row],[ASH25]]=0, tblPiNHistorical[[#This Row],[ASH26]]="", tblPiNHistorical[[#This Row],[ASH26]]=0), "", tblPiNHistorical[[#This Row],[ASH26]]-tblPiNHistorical[[#This Row],[ASH25]])</f>
        <v/>
      </c>
      <c r="AA1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6.5</v>
      </c>
      <c r="AB1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3.1</v>
      </c>
      <c r="AC1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5.3</v>
      </c>
      <c r="AD1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2.4</v>
      </c>
      <c r="AE1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7.1</v>
      </c>
      <c r="AF1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24527</v>
      </c>
    </row>
    <row r="13" spans="1:46">
      <c r="A1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VenezolanosVE0302</v>
      </c>
      <c r="B13" s="105" t="s">
        <v>119</v>
      </c>
      <c r="C13" s="104" t="s">
        <v>120</v>
      </c>
      <c r="D13" s="119" t="s">
        <v>123</v>
      </c>
      <c r="E13" s="104" t="s">
        <v>124</v>
      </c>
      <c r="F13" s="119"/>
      <c r="G13" s="102">
        <v>29168</v>
      </c>
      <c r="H13" s="102" t="s">
        <v>102</v>
      </c>
      <c r="I13" s="206">
        <v>5140</v>
      </c>
      <c r="J13" s="120">
        <v>1227</v>
      </c>
      <c r="K13" s="207">
        <v>7594.4325901708535</v>
      </c>
      <c r="L13" s="207">
        <v>2909.8663701382334</v>
      </c>
      <c r="M13" s="207">
        <v>14258.780952425053</v>
      </c>
      <c r="N13" s="298">
        <v>5834</v>
      </c>
      <c r="O13" s="114">
        <f>tblPiNAnalysis[[#This Row],[SAMV]]</f>
        <v>137605</v>
      </c>
      <c r="P13" s="115">
        <f>tblPiNAnalysis[[#This Row],[NUT]]</f>
        <v>27277.488562299386</v>
      </c>
      <c r="Q13" s="115">
        <f>tblPiNAnalysis[[#This Row],[SAL]]</f>
        <v>166747.69500000001</v>
      </c>
      <c r="R13" s="115">
        <f>tblPiNAnalysis[[#This Row],[EDU]]</f>
        <v>78557.706051057874</v>
      </c>
      <c r="S13" s="115">
        <f>tblPiNAnalysis[[#This Row],[PRO]]</f>
        <v>108885.14712379516</v>
      </c>
      <c r="T13" s="116">
        <f>tblPiNAnalysis[[#This Row],[ASH]]</f>
        <v>61673.805</v>
      </c>
      <c r="U13" s="300">
        <f>IF(OR(tblPiNHistorical[[#This Row],[SAMV25]]="", tblPiNHistorical[[#This Row],[SAMV25]]=0, tblPiNHistorical[[#This Row],[SAMV26]]="", tblPiNHistorical[[#This Row],[SAMV26]]=0), "", tblPiNHistorical[[#This Row],[SAMV26]]-tblPiNHistorical[[#This Row],[SAMV25]])</f>
        <v>132465</v>
      </c>
      <c r="V13" s="121">
        <f>IF(OR(tblPiNHistorical[[#This Row],[NUT25]]="", tblPiNHistorical[[#This Row],[NUT25]]=0, tblPiNHistorical[[#This Row],[NUT26]]="", tblPiNHistorical[[#This Row],[NUT26]]=0), "", tblPiNHistorical[[#This Row],[NUT26]]-tblPiNHistorical[[#This Row],[NUT25]])</f>
        <v>26050.488562299386</v>
      </c>
      <c r="W13" s="121">
        <f>IF(OR(tblPiNHistorical[[#This Row],[SAL25]]="", tblPiNHistorical[[#This Row],[SAL25]]=0, tblPiNHistorical[[#This Row],[SAL26]]="", tblPiNHistorical[[#This Row],[SAL26]]=0), "", tblPiNHistorical[[#This Row],[SAL26]]-tblPiNHistorical[[#This Row],[SAL25]])</f>
        <v>159153.26240982916</v>
      </c>
      <c r="X13" s="121">
        <f>IF(OR(tblPiNHistorical[[#This Row],[EDU25]]="", tblPiNHistorical[[#This Row],[EDU25]]=0, tblPiNHistorical[[#This Row],[EDU26]]="", tblPiNHistorical[[#This Row],[EDU26]]=0), "", tblPiNHistorical[[#This Row],[EDU26]]-tblPiNHistorical[[#This Row],[EDU25]])</f>
        <v>75647.839680919642</v>
      </c>
      <c r="Y13" s="121">
        <f>IF(OR(tblPiNHistorical[[#This Row],[PRO25]]="", tblPiNHistorical[[#This Row],[PRO25]]=0, tblPiNHistorical[[#This Row],[PRO26]]="", tblPiNHistorical[[#This Row],[PRO26]]=0), "", tblPiNHistorical[[#This Row],[PRO26]]-tblPiNHistorical[[#This Row],[PRO25]])</f>
        <v>94626.366171370115</v>
      </c>
      <c r="Z13" s="223">
        <f>IF(OR(tblPiNHistorical[[#This Row],[ASH25]]="", tblPiNHistorical[[#This Row],[ASH25]]=0, tblPiNHistorical[[#This Row],[ASH26]]="", tblPiNHistorical[[#This Row],[ASH26]]=0), "", tblPiNHistorical[[#This Row],[ASH26]]-tblPiNHistorical[[#This Row],[ASH25]])</f>
        <v>55839.805</v>
      </c>
      <c r="AA1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25.8</v>
      </c>
      <c r="AB1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21.2</v>
      </c>
      <c r="AC1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21</v>
      </c>
      <c r="AD1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26</v>
      </c>
      <c r="AE1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6.6</v>
      </c>
      <c r="AF13"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9.6</v>
      </c>
    </row>
    <row r="14" spans="1:46">
      <c r="A1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VenezolanosVE0303</v>
      </c>
      <c r="B14" s="105" t="s">
        <v>119</v>
      </c>
      <c r="C14" s="104" t="s">
        <v>120</v>
      </c>
      <c r="D14" s="119" t="s">
        <v>125</v>
      </c>
      <c r="E14" s="104" t="s">
        <v>126</v>
      </c>
      <c r="F14" s="119"/>
      <c r="G14" s="102">
        <v>33437</v>
      </c>
      <c r="H14" s="102" t="s">
        <v>102</v>
      </c>
      <c r="I14" s="206">
        <v>5892</v>
      </c>
      <c r="J14" s="120">
        <v>1407</v>
      </c>
      <c r="K14" s="207">
        <v>8705.1121640236306</v>
      </c>
      <c r="L14" s="207">
        <v>2990.9095179729766</v>
      </c>
      <c r="M14" s="207">
        <v>11887.768880123584</v>
      </c>
      <c r="N14" s="298">
        <v>6687</v>
      </c>
      <c r="O14" s="114">
        <f>tblPiNAnalysis[[#This Row],[SAMV]]</f>
        <v>16275</v>
      </c>
      <c r="P14" s="115">
        <f>tblPiNAnalysis[[#This Row],[NUT]]</f>
        <v>18458.621817052488</v>
      </c>
      <c r="Q14" s="115">
        <f>tblPiNAnalysis[[#This Row],[SAL]]</f>
        <v>131724.12</v>
      </c>
      <c r="R14" s="115">
        <f>tblPiNAnalysis[[#This Row],[EDU]]</f>
        <v>30713.05727595514</v>
      </c>
      <c r="S14" s="115">
        <f>tblPiNAnalysis[[#This Row],[PRO]]</f>
        <v>143848.22999999998</v>
      </c>
      <c r="T14" s="116">
        <f>tblPiNAnalysis[[#This Row],[ASH]]</f>
        <v>162399.6</v>
      </c>
      <c r="U14" s="300">
        <f>IF(OR(tblPiNHistorical[[#This Row],[SAMV25]]="", tblPiNHistorical[[#This Row],[SAMV25]]=0, tblPiNHistorical[[#This Row],[SAMV26]]="", tblPiNHistorical[[#This Row],[SAMV26]]=0), "", tblPiNHistorical[[#This Row],[SAMV26]]-tblPiNHistorical[[#This Row],[SAMV25]])</f>
        <v>10383</v>
      </c>
      <c r="V14" s="121">
        <f>IF(OR(tblPiNHistorical[[#This Row],[NUT25]]="", tblPiNHistorical[[#This Row],[NUT25]]=0, tblPiNHistorical[[#This Row],[NUT26]]="", tblPiNHistorical[[#This Row],[NUT26]]=0), "", tblPiNHistorical[[#This Row],[NUT26]]-tblPiNHistorical[[#This Row],[NUT25]])</f>
        <v>17051.621817052488</v>
      </c>
      <c r="W14" s="121">
        <f>IF(OR(tblPiNHistorical[[#This Row],[SAL25]]="", tblPiNHistorical[[#This Row],[SAL25]]=0, tblPiNHistorical[[#This Row],[SAL26]]="", tblPiNHistorical[[#This Row],[SAL26]]=0), "", tblPiNHistorical[[#This Row],[SAL26]]-tblPiNHistorical[[#This Row],[SAL25]])</f>
        <v>123019.00783597637</v>
      </c>
      <c r="X14" s="121">
        <f>IF(OR(tblPiNHistorical[[#This Row],[EDU25]]="", tblPiNHistorical[[#This Row],[EDU25]]=0, tblPiNHistorical[[#This Row],[EDU26]]="", tblPiNHistorical[[#This Row],[EDU26]]=0), "", tblPiNHistorical[[#This Row],[EDU26]]-tblPiNHistorical[[#This Row],[EDU25]])</f>
        <v>27722.147757982162</v>
      </c>
      <c r="Y14" s="121">
        <f>IF(OR(tblPiNHistorical[[#This Row],[PRO25]]="", tblPiNHistorical[[#This Row],[PRO25]]=0, tblPiNHistorical[[#This Row],[PRO26]]="", tblPiNHistorical[[#This Row],[PRO26]]=0), "", tblPiNHistorical[[#This Row],[PRO26]]-tblPiNHistorical[[#This Row],[PRO25]])</f>
        <v>131960.46111987639</v>
      </c>
      <c r="Z14" s="223">
        <f>IF(OR(tblPiNHistorical[[#This Row],[ASH25]]="", tblPiNHistorical[[#This Row],[ASH25]]=0, tblPiNHistorical[[#This Row],[ASH26]]="", tblPiNHistorical[[#This Row],[ASH26]]=0), "", tblPiNHistorical[[#This Row],[ASH26]]-tblPiNHistorical[[#This Row],[ASH25]])</f>
        <v>155712.6</v>
      </c>
      <c r="AA1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1.8</v>
      </c>
      <c r="AB1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12.1</v>
      </c>
      <c r="AC1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14.1</v>
      </c>
      <c r="AD1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9.3000000000000007</v>
      </c>
      <c r="AE1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11.1</v>
      </c>
      <c r="AF14"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23.3</v>
      </c>
    </row>
    <row r="15" spans="1:46">
      <c r="A1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VenezolanosVE0304</v>
      </c>
      <c r="B15" s="105" t="s">
        <v>119</v>
      </c>
      <c r="C15" s="104" t="s">
        <v>120</v>
      </c>
      <c r="D15" s="119" t="s">
        <v>127</v>
      </c>
      <c r="E15" s="104" t="s">
        <v>128</v>
      </c>
      <c r="F15" s="119"/>
      <c r="G15" s="102">
        <v>14653</v>
      </c>
      <c r="H15" s="102" t="s">
        <v>102</v>
      </c>
      <c r="I15" s="206">
        <v>2582</v>
      </c>
      <c r="J15" s="120">
        <v>659</v>
      </c>
      <c r="K15" s="207">
        <v>3814.5551822775983</v>
      </c>
      <c r="L15" s="207">
        <v>1839.9811959602032</v>
      </c>
      <c r="M15" s="207">
        <v>7163.1211360355292</v>
      </c>
      <c r="N15" s="298">
        <v>2931</v>
      </c>
      <c r="O15" s="114">
        <f>tblPiNAnalysis[[#This Row],[SAMV]]</f>
        <v>14759</v>
      </c>
      <c r="P15" s="115">
        <f>tblPiNAnalysis[[#This Row],[NUT]]</f>
        <v>12650.699210643514</v>
      </c>
      <c r="Q15" s="115">
        <f>tblPiNAnalysis[[#This Row],[SAL]]</f>
        <v>98180.62</v>
      </c>
      <c r="R15" s="115">
        <f>tblPiNAnalysis[[#This Row],[EDU]]</f>
        <v>45790.255526923123</v>
      </c>
      <c r="S15" s="115">
        <f>tblPiNAnalysis[[#This Row],[PRO]]</f>
        <v>64111.298530426022</v>
      </c>
      <c r="T15" s="116">
        <f>tblPiNAnalysis[[#This Row],[ASH]]</f>
        <v>161392.79999999999</v>
      </c>
      <c r="U15" s="300">
        <f>IF(OR(tblPiNHistorical[[#This Row],[SAMV25]]="", tblPiNHistorical[[#This Row],[SAMV25]]=0, tblPiNHistorical[[#This Row],[SAMV26]]="", tblPiNHistorical[[#This Row],[SAMV26]]=0), "", tblPiNHistorical[[#This Row],[SAMV26]]-tblPiNHistorical[[#This Row],[SAMV25]])</f>
        <v>12177</v>
      </c>
      <c r="V15" s="121">
        <f>IF(OR(tblPiNHistorical[[#This Row],[NUT25]]="", tblPiNHistorical[[#This Row],[NUT25]]=0, tblPiNHistorical[[#This Row],[NUT26]]="", tblPiNHistorical[[#This Row],[NUT26]]=0), "", tblPiNHistorical[[#This Row],[NUT26]]-tblPiNHistorical[[#This Row],[NUT25]])</f>
        <v>11991.699210643514</v>
      </c>
      <c r="W15" s="121">
        <f>IF(OR(tblPiNHistorical[[#This Row],[SAL25]]="", tblPiNHistorical[[#This Row],[SAL25]]=0, tblPiNHistorical[[#This Row],[SAL26]]="", tblPiNHistorical[[#This Row],[SAL26]]=0), "", tblPiNHistorical[[#This Row],[SAL26]]-tblPiNHistorical[[#This Row],[SAL25]])</f>
        <v>94366.064817722392</v>
      </c>
      <c r="X15" s="121">
        <f>IF(OR(tblPiNHistorical[[#This Row],[EDU25]]="", tblPiNHistorical[[#This Row],[EDU25]]=0, tblPiNHistorical[[#This Row],[EDU26]]="", tblPiNHistorical[[#This Row],[EDU26]]=0), "", tblPiNHistorical[[#This Row],[EDU26]]-tblPiNHistorical[[#This Row],[EDU25]])</f>
        <v>43950.274330962922</v>
      </c>
      <c r="Y15" s="121">
        <f>IF(OR(tblPiNHistorical[[#This Row],[PRO25]]="", tblPiNHistorical[[#This Row],[PRO25]]=0, tblPiNHistorical[[#This Row],[PRO26]]="", tblPiNHistorical[[#This Row],[PRO26]]=0), "", tblPiNHistorical[[#This Row],[PRO26]]-tblPiNHistorical[[#This Row],[PRO25]])</f>
        <v>56948.177394390492</v>
      </c>
      <c r="Z15" s="223">
        <f>IF(OR(tblPiNHistorical[[#This Row],[ASH25]]="", tblPiNHistorical[[#This Row],[ASH25]]=0, tblPiNHistorical[[#This Row],[ASH26]]="", tblPiNHistorical[[#This Row],[ASH26]]=0), "", tblPiNHistorical[[#This Row],[ASH26]]-tblPiNHistorical[[#This Row],[ASH25]])</f>
        <v>158461.79999999999</v>
      </c>
      <c r="AA1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4.7</v>
      </c>
      <c r="AB1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18.2</v>
      </c>
      <c r="AC1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24.7</v>
      </c>
      <c r="AD1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23.9</v>
      </c>
      <c r="AE1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8</v>
      </c>
      <c r="AF15"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54.1</v>
      </c>
    </row>
    <row r="16" spans="1:46">
      <c r="A1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VenezolanosVE0305</v>
      </c>
      <c r="B16" s="105" t="s">
        <v>119</v>
      </c>
      <c r="C16" s="104" t="s">
        <v>120</v>
      </c>
      <c r="D16" s="119" t="s">
        <v>129</v>
      </c>
      <c r="E16" s="104" t="s">
        <v>130</v>
      </c>
      <c r="F16" s="119"/>
      <c r="G16" s="102">
        <v>43173</v>
      </c>
      <c r="H16" s="102" t="s">
        <v>102</v>
      </c>
      <c r="I16" s="206">
        <v>7608</v>
      </c>
      <c r="J16" s="120">
        <v>1608</v>
      </c>
      <c r="K16" s="207">
        <v>11240.552868295936</v>
      </c>
      <c r="L16" s="207">
        <v>4563.4183838042773</v>
      </c>
      <c r="M16" s="207">
        <v>18831.856977530602</v>
      </c>
      <c r="N16" s="298">
        <v>8635</v>
      </c>
      <c r="O16" s="114">
        <f>tblPiNAnalysis[[#This Row],[SAMV]]</f>
        <v>35886</v>
      </c>
      <c r="P16" s="115">
        <f>tblPiNAnalysis[[#This Row],[NUT]]</f>
        <v>10643.490049850534</v>
      </c>
      <c r="Q16" s="115">
        <f>tblPiNAnalysis[[#This Row],[SAL]]</f>
        <v>94146.274999999994</v>
      </c>
      <c r="R16" s="115">
        <f>tblPiNAnalysis[[#This Row],[EDU]]</f>
        <v>33543.140159372037</v>
      </c>
      <c r="S16" s="115">
        <f>tblPiNAnalysis[[#This Row],[PRO]]</f>
        <v>61705.678392851456</v>
      </c>
      <c r="T16" s="116">
        <f>tblPiNAnalysis[[#This Row],[ASH]]</f>
        <v>154761</v>
      </c>
      <c r="U16" s="300">
        <f>IF(OR(tblPiNHistorical[[#This Row],[SAMV25]]="", tblPiNHistorical[[#This Row],[SAMV25]]=0, tblPiNHistorical[[#This Row],[SAMV26]]="", tblPiNHistorical[[#This Row],[SAMV26]]=0), "", tblPiNHistorical[[#This Row],[SAMV26]]-tblPiNHistorical[[#This Row],[SAMV25]])</f>
        <v>28278</v>
      </c>
      <c r="V16" s="121">
        <f>IF(OR(tblPiNHistorical[[#This Row],[NUT25]]="", tblPiNHistorical[[#This Row],[NUT25]]=0, tblPiNHistorical[[#This Row],[NUT26]]="", tblPiNHistorical[[#This Row],[NUT26]]=0), "", tblPiNHistorical[[#This Row],[NUT26]]-tblPiNHistorical[[#This Row],[NUT25]])</f>
        <v>9035.490049850534</v>
      </c>
      <c r="W16" s="121">
        <f>IF(OR(tblPiNHistorical[[#This Row],[SAL25]]="", tblPiNHistorical[[#This Row],[SAL25]]=0, tblPiNHistorical[[#This Row],[SAL26]]="", tblPiNHistorical[[#This Row],[SAL26]]=0), "", tblPiNHistorical[[#This Row],[SAL26]]-tblPiNHistorical[[#This Row],[SAL25]])</f>
        <v>82905.722131704053</v>
      </c>
      <c r="X16" s="121">
        <f>IF(OR(tblPiNHistorical[[#This Row],[EDU25]]="", tblPiNHistorical[[#This Row],[EDU25]]=0, tblPiNHistorical[[#This Row],[EDU26]]="", tblPiNHistorical[[#This Row],[EDU26]]=0), "", tblPiNHistorical[[#This Row],[EDU26]]-tblPiNHistorical[[#This Row],[EDU25]])</f>
        <v>28979.721775567759</v>
      </c>
      <c r="Y16" s="121">
        <f>IF(OR(tblPiNHistorical[[#This Row],[PRO25]]="", tblPiNHistorical[[#This Row],[PRO25]]=0, tblPiNHistorical[[#This Row],[PRO26]]="", tblPiNHistorical[[#This Row],[PRO26]]=0), "", tblPiNHistorical[[#This Row],[PRO26]]-tblPiNHistorical[[#This Row],[PRO25]])</f>
        <v>42873.821415320854</v>
      </c>
      <c r="Z16" s="223">
        <f>IF(OR(tblPiNHistorical[[#This Row],[ASH25]]="", tblPiNHistorical[[#This Row],[ASH25]]=0, tblPiNHistorical[[#This Row],[ASH26]]="", tblPiNHistorical[[#This Row],[ASH26]]=0), "", tblPiNHistorical[[#This Row],[ASH26]]-tblPiNHistorical[[#This Row],[ASH25]])</f>
        <v>146126</v>
      </c>
      <c r="AA1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3.7</v>
      </c>
      <c r="AB1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5.6</v>
      </c>
      <c r="AC1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7.4</v>
      </c>
      <c r="AD1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6.4</v>
      </c>
      <c r="AE1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2.2999999999999998</v>
      </c>
      <c r="AF16"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16.899999999999999</v>
      </c>
    </row>
    <row r="17" spans="1:32">
      <c r="A1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VenezolanosVE0306</v>
      </c>
      <c r="B17" s="105" t="s">
        <v>119</v>
      </c>
      <c r="C17" s="104" t="s">
        <v>120</v>
      </c>
      <c r="D17" s="119" t="s">
        <v>131</v>
      </c>
      <c r="E17" s="104" t="s">
        <v>132</v>
      </c>
      <c r="F17" s="119"/>
      <c r="G17" s="102">
        <v>30891</v>
      </c>
      <c r="H17" s="102" t="s">
        <v>102</v>
      </c>
      <c r="I17" s="206">
        <v>5444</v>
      </c>
      <c r="J17" s="120">
        <v>1242</v>
      </c>
      <c r="K17" s="207">
        <v>8042.2712765057831</v>
      </c>
      <c r="L17" s="207">
        <v>3117.466919132391</v>
      </c>
      <c r="M17" s="207">
        <v>15101.069747715384</v>
      </c>
      <c r="N17" s="298">
        <v>6178</v>
      </c>
      <c r="O17" s="114">
        <f>tblPiNAnalysis[[#This Row],[SAMV]]</f>
        <v>38160</v>
      </c>
      <c r="P17" s="115">
        <f>tblPiNAnalysis[[#This Row],[NUT]]</f>
        <v>8347.3800908109988</v>
      </c>
      <c r="Q17" s="115">
        <f>tblPiNAnalysis[[#This Row],[SAL]]</f>
        <v>89372.44</v>
      </c>
      <c r="R17" s="115">
        <f>tblPiNAnalysis[[#This Row],[EDU]]</f>
        <v>29910.209550073934</v>
      </c>
      <c r="S17" s="115">
        <f>tblPiNAnalysis[[#This Row],[PRO]]</f>
        <v>58600.25286118134</v>
      </c>
      <c r="T17" s="116">
        <f>tblPiNAnalysis[[#This Row],[ASH]]</f>
        <v>146913.60000000001</v>
      </c>
      <c r="U17" s="300">
        <f>IF(OR(tblPiNHistorical[[#This Row],[SAMV25]]="", tblPiNHistorical[[#This Row],[SAMV25]]=0, tblPiNHistorical[[#This Row],[SAMV26]]="", tblPiNHistorical[[#This Row],[SAMV26]]=0), "", tblPiNHistorical[[#This Row],[SAMV26]]-tblPiNHistorical[[#This Row],[SAMV25]])</f>
        <v>32716</v>
      </c>
      <c r="V17" s="121">
        <f>IF(OR(tblPiNHistorical[[#This Row],[NUT25]]="", tblPiNHistorical[[#This Row],[NUT25]]=0, tblPiNHistorical[[#This Row],[NUT26]]="", tblPiNHistorical[[#This Row],[NUT26]]=0), "", tblPiNHistorical[[#This Row],[NUT26]]-tblPiNHistorical[[#This Row],[NUT25]])</f>
        <v>7105.3800908109988</v>
      </c>
      <c r="W17" s="121">
        <f>IF(OR(tblPiNHistorical[[#This Row],[SAL25]]="", tblPiNHistorical[[#This Row],[SAL25]]=0, tblPiNHistorical[[#This Row],[SAL26]]="", tblPiNHistorical[[#This Row],[SAL26]]=0), "", tblPiNHistorical[[#This Row],[SAL26]]-tblPiNHistorical[[#This Row],[SAL25]])</f>
        <v>81330.168723494222</v>
      </c>
      <c r="X17" s="121">
        <f>IF(OR(tblPiNHistorical[[#This Row],[EDU25]]="", tblPiNHistorical[[#This Row],[EDU25]]=0, tblPiNHistorical[[#This Row],[EDU26]]="", tblPiNHistorical[[#This Row],[EDU26]]=0), "", tblPiNHistorical[[#This Row],[EDU26]]-tblPiNHistorical[[#This Row],[EDU25]])</f>
        <v>26792.742630941542</v>
      </c>
      <c r="Y17" s="121">
        <f>IF(OR(tblPiNHistorical[[#This Row],[PRO25]]="", tblPiNHistorical[[#This Row],[PRO25]]=0, tblPiNHistorical[[#This Row],[PRO26]]="", tblPiNHistorical[[#This Row],[PRO26]]=0), "", tblPiNHistorical[[#This Row],[PRO26]]-tblPiNHistorical[[#This Row],[PRO25]])</f>
        <v>43499.183113465959</v>
      </c>
      <c r="Z17" s="223">
        <f>IF(OR(tblPiNHistorical[[#This Row],[ASH25]]="", tblPiNHistorical[[#This Row],[ASH25]]=0, tblPiNHistorical[[#This Row],[ASH26]]="", tblPiNHistorical[[#This Row],[ASH26]]=0), "", tblPiNHistorical[[#This Row],[ASH26]]-tblPiNHistorical[[#This Row],[ASH25]])</f>
        <v>140735.6</v>
      </c>
      <c r="AA1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6</v>
      </c>
      <c r="AB1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5.7</v>
      </c>
      <c r="AC1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10.1</v>
      </c>
      <c r="AD1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8.6</v>
      </c>
      <c r="AE1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2.9</v>
      </c>
      <c r="AF17"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22.8</v>
      </c>
    </row>
    <row r="18" spans="1:32">
      <c r="A1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VenezolanosVE0307</v>
      </c>
      <c r="B18" s="105" t="s">
        <v>119</v>
      </c>
      <c r="C18" s="104" t="s">
        <v>120</v>
      </c>
      <c r="D18" s="119" t="s">
        <v>133</v>
      </c>
      <c r="E18" s="104" t="s">
        <v>134</v>
      </c>
      <c r="F18" s="119"/>
      <c r="G18" s="102">
        <v>30016</v>
      </c>
      <c r="H18" s="102" t="s">
        <v>102</v>
      </c>
      <c r="I18" s="206">
        <v>5290</v>
      </c>
      <c r="J18" s="120">
        <v>1251</v>
      </c>
      <c r="K18" s="207">
        <v>7815.3795526768035</v>
      </c>
      <c r="L18" s="207">
        <v>3422.4474512480292</v>
      </c>
      <c r="M18" s="207">
        <v>14673.325873148327</v>
      </c>
      <c r="N18" s="298">
        <v>6003</v>
      </c>
      <c r="O18" s="114">
        <f>tblPiNAnalysis[[#This Row],[SAMV]]</f>
        <v>65550</v>
      </c>
      <c r="P18" s="115">
        <f>tblPiNAnalysis[[#This Row],[NUT]]</f>
        <v>18143.747461477506</v>
      </c>
      <c r="Q18" s="115">
        <f>tblPiNAnalysis[[#This Row],[SAL]]</f>
        <v>133963.39499999999</v>
      </c>
      <c r="R18" s="115">
        <f>tblPiNAnalysis[[#This Row],[EDU]]</f>
        <v>30150.587126316201</v>
      </c>
      <c r="S18" s="115">
        <f>tblPiNAnalysis[[#This Row],[PRO]]</f>
        <v>87859.886379891061</v>
      </c>
      <c r="T18" s="116">
        <f>tblPiNAnalysis[[#This Row],[ASH]]</f>
        <v>49548.105000000003</v>
      </c>
      <c r="U18" s="300">
        <f>IF(OR(tblPiNHistorical[[#This Row],[SAMV25]]="", tblPiNHistorical[[#This Row],[SAMV25]]=0, tblPiNHistorical[[#This Row],[SAMV26]]="", tblPiNHistorical[[#This Row],[SAMV26]]=0), "", tblPiNHistorical[[#This Row],[SAMV26]]-tblPiNHistorical[[#This Row],[SAMV25]])</f>
        <v>60260</v>
      </c>
      <c r="V18" s="121">
        <f>IF(OR(tblPiNHistorical[[#This Row],[NUT25]]="", tblPiNHistorical[[#This Row],[NUT25]]=0, tblPiNHistorical[[#This Row],[NUT26]]="", tblPiNHistorical[[#This Row],[NUT26]]=0), "", tblPiNHistorical[[#This Row],[NUT26]]-tblPiNHistorical[[#This Row],[NUT25]])</f>
        <v>16892.747461477506</v>
      </c>
      <c r="W18" s="121">
        <f>IF(OR(tblPiNHistorical[[#This Row],[SAL25]]="", tblPiNHistorical[[#This Row],[SAL25]]=0, tblPiNHistorical[[#This Row],[SAL26]]="", tblPiNHistorical[[#This Row],[SAL26]]=0), "", tblPiNHistorical[[#This Row],[SAL26]]-tblPiNHistorical[[#This Row],[SAL25]])</f>
        <v>126148.01544732318</v>
      </c>
      <c r="X18" s="121">
        <f>IF(OR(tblPiNHistorical[[#This Row],[EDU25]]="", tblPiNHistorical[[#This Row],[EDU25]]=0, tblPiNHistorical[[#This Row],[EDU26]]="", tblPiNHistorical[[#This Row],[EDU26]]=0), "", tblPiNHistorical[[#This Row],[EDU26]]-tblPiNHistorical[[#This Row],[EDU25]])</f>
        <v>26728.139675068171</v>
      </c>
      <c r="Y18" s="121">
        <f>IF(OR(tblPiNHistorical[[#This Row],[PRO25]]="", tblPiNHistorical[[#This Row],[PRO25]]=0, tblPiNHistorical[[#This Row],[PRO26]]="", tblPiNHistorical[[#This Row],[PRO26]]=0), "", tblPiNHistorical[[#This Row],[PRO26]]-tblPiNHistorical[[#This Row],[PRO25]])</f>
        <v>73186.560506742739</v>
      </c>
      <c r="Z18" s="223">
        <f>IF(OR(tblPiNHistorical[[#This Row],[ASH25]]="", tblPiNHistorical[[#This Row],[ASH25]]=0, tblPiNHistorical[[#This Row],[ASH26]]="", tblPiNHistorical[[#This Row],[ASH26]]=0), "", tblPiNHistorical[[#This Row],[ASH26]]-tblPiNHistorical[[#This Row],[ASH25]])</f>
        <v>43545.105000000003</v>
      </c>
      <c r="AA1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11.4</v>
      </c>
      <c r="AB1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13.5</v>
      </c>
      <c r="AC1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16.100000000000001</v>
      </c>
      <c r="AD1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7.8</v>
      </c>
      <c r="AE1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5</v>
      </c>
      <c r="AF18"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7.3</v>
      </c>
    </row>
    <row r="19" spans="1:32">
      <c r="A1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VenezolanosVE0308</v>
      </c>
      <c r="B19" s="105" t="s">
        <v>119</v>
      </c>
      <c r="C19" s="104" t="s">
        <v>120</v>
      </c>
      <c r="D19" s="119" t="s">
        <v>135</v>
      </c>
      <c r="E19" s="104" t="s">
        <v>136</v>
      </c>
      <c r="F19" s="119"/>
      <c r="G19" s="102">
        <v>244728</v>
      </c>
      <c r="H19" s="102" t="s">
        <v>102</v>
      </c>
      <c r="I19" s="206">
        <v>43127</v>
      </c>
      <c r="J19" s="120">
        <v>10043</v>
      </c>
      <c r="K19" s="207">
        <v>63716.942653789629</v>
      </c>
      <c r="L19" s="207">
        <v>23274.819675459192</v>
      </c>
      <c r="M19" s="207">
        <v>18831.856977530602</v>
      </c>
      <c r="N19" s="298">
        <v>0</v>
      </c>
      <c r="O19" s="114">
        <f>tblPiNAnalysis[[#This Row],[SAMV]]</f>
        <v>60911</v>
      </c>
      <c r="P19" s="115">
        <f>tblPiNAnalysis[[#This Row],[NUT]]</f>
        <v>17693.869597495635</v>
      </c>
      <c r="Q19" s="115">
        <f>tblPiNAnalysis[[#This Row],[SAL]]</f>
        <v>132073.06</v>
      </c>
      <c r="R19" s="115">
        <f>tblPiNAnalysis[[#This Row],[EDU]]</f>
        <v>32131.916071263273</v>
      </c>
      <c r="S19" s="115">
        <f>tblPiNAnalysis[[#This Row],[PRO]]</f>
        <v>51966.329549590555</v>
      </c>
      <c r="T19" s="116">
        <f>tblPiNAnalysis[[#This Row],[ASH]]</f>
        <v>0</v>
      </c>
      <c r="U19" s="300">
        <f>IF(OR(tblPiNHistorical[[#This Row],[SAMV25]]="", tblPiNHistorical[[#This Row],[SAMV25]]=0, tblPiNHistorical[[#This Row],[SAMV26]]="", tblPiNHistorical[[#This Row],[SAMV26]]=0), "", tblPiNHistorical[[#This Row],[SAMV26]]-tblPiNHistorical[[#This Row],[SAMV25]])</f>
        <v>17784</v>
      </c>
      <c r="V19" s="121">
        <f>IF(OR(tblPiNHistorical[[#This Row],[NUT25]]="", tblPiNHistorical[[#This Row],[NUT25]]=0, tblPiNHistorical[[#This Row],[NUT26]]="", tblPiNHistorical[[#This Row],[NUT26]]=0), "", tblPiNHistorical[[#This Row],[NUT26]]-tblPiNHistorical[[#This Row],[NUT25]])</f>
        <v>7650.8695974956354</v>
      </c>
      <c r="W19" s="121">
        <f>IF(OR(tblPiNHistorical[[#This Row],[SAL25]]="", tblPiNHistorical[[#This Row],[SAL25]]=0, tblPiNHistorical[[#This Row],[SAL26]]="", tblPiNHistorical[[#This Row],[SAL26]]=0), "", tblPiNHistorical[[#This Row],[SAL26]]-tblPiNHistorical[[#This Row],[SAL25]])</f>
        <v>68356.117346210376</v>
      </c>
      <c r="X19" s="121">
        <f>IF(OR(tblPiNHistorical[[#This Row],[EDU25]]="", tblPiNHistorical[[#This Row],[EDU25]]=0, tblPiNHistorical[[#This Row],[EDU26]]="", tblPiNHistorical[[#This Row],[EDU26]]=0), "", tblPiNHistorical[[#This Row],[EDU26]]-tblPiNHistorical[[#This Row],[EDU25]])</f>
        <v>8857.0963958040811</v>
      </c>
      <c r="Y19" s="121">
        <f>IF(OR(tblPiNHistorical[[#This Row],[PRO25]]="", tblPiNHistorical[[#This Row],[PRO25]]=0, tblPiNHistorical[[#This Row],[PRO26]]="", tblPiNHistorical[[#This Row],[PRO26]]=0), "", tblPiNHistorical[[#This Row],[PRO26]]-tblPiNHistorical[[#This Row],[PRO25]])</f>
        <v>33134.472572059953</v>
      </c>
      <c r="Z19" s="223" t="str">
        <f>IF(OR(tblPiNHistorical[[#This Row],[ASH25]]="", tblPiNHistorical[[#This Row],[ASH25]]=0, tblPiNHistorical[[#This Row],[ASH26]]="", tblPiNHistorical[[#This Row],[ASH26]]=0), "", tblPiNHistorical[[#This Row],[ASH26]]-tblPiNHistorical[[#This Row],[ASH25]])</f>
        <v/>
      </c>
      <c r="AA1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1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1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1.1000000000000001</v>
      </c>
      <c r="AD1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1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1.8</v>
      </c>
      <c r="AF1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0" spans="1:32">
      <c r="A2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VenezolanosVE0309</v>
      </c>
      <c r="B20" s="105" t="s">
        <v>119</v>
      </c>
      <c r="C20" s="104" t="s">
        <v>120</v>
      </c>
      <c r="D20" s="119" t="s">
        <v>137</v>
      </c>
      <c r="E20" s="104" t="s">
        <v>138</v>
      </c>
      <c r="F20" s="119"/>
      <c r="G20" s="102">
        <v>13476</v>
      </c>
      <c r="H20" s="102" t="s">
        <v>102</v>
      </c>
      <c r="I20" s="206">
        <v>2375</v>
      </c>
      <c r="J20" s="120">
        <v>552</v>
      </c>
      <c r="K20" s="207">
        <v>3508.3999741415519</v>
      </c>
      <c r="L20" s="207">
        <v>1561.4171365357265</v>
      </c>
      <c r="M20" s="207">
        <v>6587.7445184750422</v>
      </c>
      <c r="N20" s="298">
        <v>2695</v>
      </c>
      <c r="O20" s="114">
        <f>tblPiNAnalysis[[#This Row],[SAMV]]</f>
        <v>48863</v>
      </c>
      <c r="P20" s="115">
        <f>tblPiNAnalysis[[#This Row],[NUT]]</f>
        <v>10935.196591865748</v>
      </c>
      <c r="Q20" s="115">
        <f>tblPiNAnalysis[[#This Row],[SAL]]</f>
        <v>77342.77</v>
      </c>
      <c r="R20" s="115">
        <f>tblPiNAnalysis[[#This Row],[EDU]]</f>
        <v>22957.155262497428</v>
      </c>
      <c r="S20" s="115">
        <f>tblPiNAnalysis[[#This Row],[PRO]]</f>
        <v>50504.319657383283</v>
      </c>
      <c r="T20" s="116">
        <f>tblPiNAnalysis[[#This Row],[ASH]]</f>
        <v>127138.79999999999</v>
      </c>
      <c r="U20" s="300">
        <f>IF(OR(tblPiNHistorical[[#This Row],[SAMV25]]="", tblPiNHistorical[[#This Row],[SAMV25]]=0, tblPiNHistorical[[#This Row],[SAMV26]]="", tblPiNHistorical[[#This Row],[SAMV26]]=0), "", tblPiNHistorical[[#This Row],[SAMV26]]-tblPiNHistorical[[#This Row],[SAMV25]])</f>
        <v>46488</v>
      </c>
      <c r="V20" s="121">
        <f>IF(OR(tblPiNHistorical[[#This Row],[NUT25]]="", tblPiNHistorical[[#This Row],[NUT25]]=0, tblPiNHistorical[[#This Row],[NUT26]]="", tblPiNHistorical[[#This Row],[NUT26]]=0), "", tblPiNHistorical[[#This Row],[NUT26]]-tblPiNHistorical[[#This Row],[NUT25]])</f>
        <v>10383.196591865748</v>
      </c>
      <c r="W20" s="121">
        <f>IF(OR(tblPiNHistorical[[#This Row],[SAL25]]="", tblPiNHistorical[[#This Row],[SAL25]]=0, tblPiNHistorical[[#This Row],[SAL26]]="", tblPiNHistorical[[#This Row],[SAL26]]=0), "", tblPiNHistorical[[#This Row],[SAL26]]-tblPiNHistorical[[#This Row],[SAL25]])</f>
        <v>73834.370025858458</v>
      </c>
      <c r="X20" s="121">
        <f>IF(OR(tblPiNHistorical[[#This Row],[EDU25]]="", tblPiNHistorical[[#This Row],[EDU25]]=0, tblPiNHistorical[[#This Row],[EDU26]]="", tblPiNHistorical[[#This Row],[EDU26]]=0), "", tblPiNHistorical[[#This Row],[EDU26]]-tblPiNHistorical[[#This Row],[EDU25]])</f>
        <v>21395.738125961703</v>
      </c>
      <c r="Y20" s="121">
        <f>IF(OR(tblPiNHistorical[[#This Row],[PRO25]]="", tblPiNHistorical[[#This Row],[PRO25]]=0, tblPiNHistorical[[#This Row],[PRO26]]="", tblPiNHistorical[[#This Row],[PRO26]]=0), "", tblPiNHistorical[[#This Row],[PRO26]]-tblPiNHistorical[[#This Row],[PRO25]])</f>
        <v>43916.575138908243</v>
      </c>
      <c r="Z20" s="223">
        <f>IF(OR(tblPiNHistorical[[#This Row],[ASH25]]="", tblPiNHistorical[[#This Row],[ASH25]]=0, tblPiNHistorical[[#This Row],[ASH26]]="", tblPiNHistorical[[#This Row],[ASH26]]=0), "", tblPiNHistorical[[#This Row],[ASH26]]-tblPiNHistorical[[#This Row],[ASH25]])</f>
        <v>124443.79999999999</v>
      </c>
      <c r="AA2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19.600000000000001</v>
      </c>
      <c r="AB2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18.8</v>
      </c>
      <c r="AC2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21</v>
      </c>
      <c r="AD2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13.7</v>
      </c>
      <c r="AE2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6.7</v>
      </c>
      <c r="AF20"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46.2</v>
      </c>
    </row>
    <row r="21" spans="1:32">
      <c r="A2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VenezolanosVE0310</v>
      </c>
      <c r="B21" s="105" t="s">
        <v>119</v>
      </c>
      <c r="C21" s="104" t="s">
        <v>120</v>
      </c>
      <c r="D21" s="119" t="s">
        <v>139</v>
      </c>
      <c r="E21" s="104" t="s">
        <v>140</v>
      </c>
      <c r="F21" s="119"/>
      <c r="G21" s="102">
        <v>17534</v>
      </c>
      <c r="H21" s="102" t="s">
        <v>102</v>
      </c>
      <c r="I21" s="206">
        <v>3090</v>
      </c>
      <c r="J21" s="120">
        <v>829</v>
      </c>
      <c r="K21" s="207">
        <v>4565.5766960870578</v>
      </c>
      <c r="L21" s="207">
        <v>2520.6393726375168</v>
      </c>
      <c r="M21" s="207">
        <v>8571.4983961814632</v>
      </c>
      <c r="N21" s="298">
        <v>0</v>
      </c>
      <c r="O21" s="114">
        <f>tblPiNAnalysis[[#This Row],[SAMV]]</f>
        <v>6318</v>
      </c>
      <c r="P21" s="115">
        <f>tblPiNAnalysis[[#This Row],[NUT]]</f>
        <v>10039.650037290579</v>
      </c>
      <c r="Q21" s="115">
        <f>tblPiNAnalysis[[#This Row],[SAL]]</f>
        <v>61633.9</v>
      </c>
      <c r="R21" s="115">
        <f>tblPiNAnalysis[[#This Row],[EDU]]</f>
        <v>3417.3421638215896</v>
      </c>
      <c r="S21" s="115">
        <f>tblPiNAnalysis[[#This Row],[PRO]]</f>
        <v>40550.316359096505</v>
      </c>
      <c r="T21" s="116">
        <f>tblPiNAnalysis[[#This Row],[ASH]]</f>
        <v>101316</v>
      </c>
      <c r="U21" s="300">
        <f>IF(OR(tblPiNHistorical[[#This Row],[SAMV25]]="", tblPiNHistorical[[#This Row],[SAMV25]]=0, tblPiNHistorical[[#This Row],[SAMV26]]="", tblPiNHistorical[[#This Row],[SAMV26]]=0), "", tblPiNHistorical[[#This Row],[SAMV26]]-tblPiNHistorical[[#This Row],[SAMV25]])</f>
        <v>3228</v>
      </c>
      <c r="V21" s="121">
        <f>IF(OR(tblPiNHistorical[[#This Row],[NUT25]]="", tblPiNHistorical[[#This Row],[NUT25]]=0, tblPiNHistorical[[#This Row],[NUT26]]="", tblPiNHistorical[[#This Row],[NUT26]]=0), "", tblPiNHistorical[[#This Row],[NUT26]]-tblPiNHistorical[[#This Row],[NUT25]])</f>
        <v>9210.6500372905793</v>
      </c>
      <c r="W21" s="121">
        <f>IF(OR(tblPiNHistorical[[#This Row],[SAL25]]="", tblPiNHistorical[[#This Row],[SAL25]]=0, tblPiNHistorical[[#This Row],[SAL26]]="", tblPiNHistorical[[#This Row],[SAL26]]=0), "", tblPiNHistorical[[#This Row],[SAL26]]-tblPiNHistorical[[#This Row],[SAL25]])</f>
        <v>57068.323303912941</v>
      </c>
      <c r="X21" s="121">
        <f>IF(OR(tblPiNHistorical[[#This Row],[EDU25]]="", tblPiNHistorical[[#This Row],[EDU25]]=0, tblPiNHistorical[[#This Row],[EDU26]]="", tblPiNHistorical[[#This Row],[EDU26]]=0), "", tblPiNHistorical[[#This Row],[EDU26]]-tblPiNHistorical[[#This Row],[EDU25]])</f>
        <v>896.70279118407279</v>
      </c>
      <c r="Y21" s="121">
        <f>IF(OR(tblPiNHistorical[[#This Row],[PRO25]]="", tblPiNHistorical[[#This Row],[PRO25]]=0, tblPiNHistorical[[#This Row],[PRO26]]="", tblPiNHistorical[[#This Row],[PRO26]]=0), "", tblPiNHistorical[[#This Row],[PRO26]]-tblPiNHistorical[[#This Row],[PRO25]])</f>
        <v>31978.81796291504</v>
      </c>
      <c r="Z21" s="223" t="str">
        <f>IF(OR(tblPiNHistorical[[#This Row],[ASH25]]="", tblPiNHistorical[[#This Row],[ASH25]]=0, tblPiNHistorical[[#This Row],[ASH26]]="", tblPiNHistorical[[#This Row],[ASH26]]=0), "", tblPiNHistorical[[#This Row],[ASH26]]-tblPiNHistorical[[#This Row],[ASH25]])</f>
        <v/>
      </c>
      <c r="AA2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2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11.1</v>
      </c>
      <c r="AC2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12.5</v>
      </c>
      <c r="AD2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2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3.7</v>
      </c>
      <c r="AF2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101316</v>
      </c>
    </row>
    <row r="22" spans="1:32">
      <c r="A2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VenezolanosVE0311</v>
      </c>
      <c r="B22" s="105" t="s">
        <v>119</v>
      </c>
      <c r="C22" s="104" t="s">
        <v>120</v>
      </c>
      <c r="D22" s="119" t="s">
        <v>141</v>
      </c>
      <c r="E22" s="104" t="s">
        <v>142</v>
      </c>
      <c r="F22" s="119"/>
      <c r="G22" s="102">
        <v>14437</v>
      </c>
      <c r="H22" s="102" t="s">
        <v>102</v>
      </c>
      <c r="I22" s="206">
        <v>2544</v>
      </c>
      <c r="J22" s="120">
        <v>667</v>
      </c>
      <c r="K22" s="207">
        <v>3759.0707432626514</v>
      </c>
      <c r="L22" s="207">
        <v>1832.9226387497954</v>
      </c>
      <c r="M22" s="207">
        <v>7057.5295052852616</v>
      </c>
      <c r="N22" s="298">
        <v>0</v>
      </c>
      <c r="O22" s="114">
        <f>tblPiNAnalysis[[#This Row],[SAMV]]</f>
        <v>54165</v>
      </c>
      <c r="P22" s="115">
        <f>tblPiNAnalysis[[#This Row],[NUT]]</f>
        <v>21209.378874243779</v>
      </c>
      <c r="Q22" s="115">
        <f>tblPiNAnalysis[[#This Row],[SAL]]</f>
        <v>98447.8</v>
      </c>
      <c r="R22" s="115">
        <f>tblPiNAnalysis[[#This Row],[EDU]]</f>
        <v>35479.946217767319</v>
      </c>
      <c r="S22" s="115">
        <f>tblPiNAnalysis[[#This Row],[PRO]]</f>
        <v>53991.252432715999</v>
      </c>
      <c r="T22" s="116">
        <f>tblPiNAnalysis[[#This Row],[ASH]]</f>
        <v>0</v>
      </c>
      <c r="U22" s="300">
        <f>IF(OR(tblPiNHistorical[[#This Row],[SAMV25]]="", tblPiNHistorical[[#This Row],[SAMV25]]=0, tblPiNHistorical[[#This Row],[SAMV26]]="", tblPiNHistorical[[#This Row],[SAMV26]]=0), "", tblPiNHistorical[[#This Row],[SAMV26]]-tblPiNHistorical[[#This Row],[SAMV25]])</f>
        <v>51621</v>
      </c>
      <c r="V22" s="121">
        <f>IF(OR(tblPiNHistorical[[#This Row],[NUT25]]="", tblPiNHistorical[[#This Row],[NUT25]]=0, tblPiNHistorical[[#This Row],[NUT26]]="", tblPiNHistorical[[#This Row],[NUT26]]=0), "", tblPiNHistorical[[#This Row],[NUT26]]-tblPiNHistorical[[#This Row],[NUT25]])</f>
        <v>20542.378874243779</v>
      </c>
      <c r="W22" s="121">
        <f>IF(OR(tblPiNHistorical[[#This Row],[SAL25]]="", tblPiNHistorical[[#This Row],[SAL25]]=0, tblPiNHistorical[[#This Row],[SAL26]]="", tblPiNHistorical[[#This Row],[SAL26]]=0), "", tblPiNHistorical[[#This Row],[SAL26]]-tblPiNHistorical[[#This Row],[SAL25]])</f>
        <v>94688.729256737352</v>
      </c>
      <c r="X22" s="121">
        <f>IF(OR(tblPiNHistorical[[#This Row],[EDU25]]="", tblPiNHistorical[[#This Row],[EDU25]]=0, tblPiNHistorical[[#This Row],[EDU26]]="", tblPiNHistorical[[#This Row],[EDU26]]=0), "", tblPiNHistorical[[#This Row],[EDU26]]-tblPiNHistorical[[#This Row],[EDU25]])</f>
        <v>33647.023579017521</v>
      </c>
      <c r="Y22" s="121">
        <f>IF(OR(tblPiNHistorical[[#This Row],[PRO25]]="", tblPiNHistorical[[#This Row],[PRO25]]=0, tblPiNHistorical[[#This Row],[PRO26]]="", tblPiNHistorical[[#This Row],[PRO26]]=0), "", tblPiNHistorical[[#This Row],[PRO26]]-tblPiNHistorical[[#This Row],[PRO25]])</f>
        <v>46933.722927430739</v>
      </c>
      <c r="Z22" s="223" t="str">
        <f>IF(OR(tblPiNHistorical[[#This Row],[ASH25]]="", tblPiNHistorical[[#This Row],[ASH25]]=0, tblPiNHistorical[[#This Row],[ASH26]]="", tblPiNHistorical[[#This Row],[ASH26]]=0), "", tblPiNHistorical[[#This Row],[ASH26]]-tblPiNHistorical[[#This Row],[ASH25]])</f>
        <v/>
      </c>
      <c r="AA2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20.3</v>
      </c>
      <c r="AB2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30.8</v>
      </c>
      <c r="AC2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25.2</v>
      </c>
      <c r="AD2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18.399999999999999</v>
      </c>
      <c r="AE2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6.7</v>
      </c>
      <c r="AF2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3" spans="1:32">
      <c r="A2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VenezolanosVE0312</v>
      </c>
      <c r="B23" s="105" t="s">
        <v>119</v>
      </c>
      <c r="C23" s="104" t="s">
        <v>120</v>
      </c>
      <c r="D23" s="119" t="s">
        <v>143</v>
      </c>
      <c r="E23" s="104" t="s">
        <v>144</v>
      </c>
      <c r="F23" s="119"/>
      <c r="G23" s="102">
        <v>32655</v>
      </c>
      <c r="H23" s="102" t="s">
        <v>102</v>
      </c>
      <c r="I23" s="206">
        <v>5755</v>
      </c>
      <c r="J23" s="120">
        <v>1463</v>
      </c>
      <c r="K23" s="207">
        <v>8501.9994854867728</v>
      </c>
      <c r="L23" s="207">
        <v>3733.7265412858674</v>
      </c>
      <c r="M23" s="207">
        <v>15963.401398842572</v>
      </c>
      <c r="N23" s="298">
        <v>6531</v>
      </c>
      <c r="O23" s="114">
        <f>tblPiNAnalysis[[#This Row],[SAMV]]</f>
        <v>4924</v>
      </c>
      <c r="P23" s="115">
        <f>tblPiNAnalysis[[#This Row],[NUT]]</f>
        <v>7633.7607358854439</v>
      </c>
      <c r="Q23" s="115">
        <f>tblPiNAnalysis[[#This Row],[SAL]]</f>
        <v>92919.5</v>
      </c>
      <c r="R23" s="115">
        <f>tblPiNAnalysis[[#This Row],[EDU]]</f>
        <v>36531.301399839474</v>
      </c>
      <c r="S23" s="115">
        <f>tblPiNAnalysis[[#This Row],[PRO]]</f>
        <v>49080.736704498151</v>
      </c>
      <c r="T23" s="116">
        <f>tblPiNAnalysis[[#This Row],[ASH]]</f>
        <v>16618.095000000001</v>
      </c>
      <c r="U23" s="300">
        <f>IF(OR(tblPiNHistorical[[#This Row],[SAMV25]]="", tblPiNHistorical[[#This Row],[SAMV25]]=0, tblPiNHistorical[[#This Row],[SAMV26]]="", tblPiNHistorical[[#This Row],[SAMV26]]=0), "", tblPiNHistorical[[#This Row],[SAMV26]]-tblPiNHistorical[[#This Row],[SAMV25]])</f>
        <v>-831</v>
      </c>
      <c r="V23" s="121">
        <f>IF(OR(tblPiNHistorical[[#This Row],[NUT25]]="", tblPiNHistorical[[#This Row],[NUT25]]=0, tblPiNHistorical[[#This Row],[NUT26]]="", tblPiNHistorical[[#This Row],[NUT26]]=0), "", tblPiNHistorical[[#This Row],[NUT26]]-tblPiNHistorical[[#This Row],[NUT25]])</f>
        <v>6170.7607358854439</v>
      </c>
      <c r="W23" s="121">
        <f>IF(OR(tblPiNHistorical[[#This Row],[SAL25]]="", tblPiNHistorical[[#This Row],[SAL25]]=0, tblPiNHistorical[[#This Row],[SAL26]]="", tblPiNHistorical[[#This Row],[SAL26]]=0), "", tblPiNHistorical[[#This Row],[SAL26]]-tblPiNHistorical[[#This Row],[SAL25]])</f>
        <v>84417.500514513231</v>
      </c>
      <c r="X23" s="121">
        <f>IF(OR(tblPiNHistorical[[#This Row],[EDU25]]="", tblPiNHistorical[[#This Row],[EDU25]]=0, tblPiNHistorical[[#This Row],[EDU26]]="", tblPiNHistorical[[#This Row],[EDU26]]=0), "", tblPiNHistorical[[#This Row],[EDU26]]-tblPiNHistorical[[#This Row],[EDU25]])</f>
        <v>32797.574858553606</v>
      </c>
      <c r="Y23" s="121">
        <f>IF(OR(tblPiNHistorical[[#This Row],[PRO25]]="", tblPiNHistorical[[#This Row],[PRO25]]=0, tblPiNHistorical[[#This Row],[PRO26]]="", tblPiNHistorical[[#This Row],[PRO26]]=0), "", tblPiNHistorical[[#This Row],[PRO26]]-tblPiNHistorical[[#This Row],[PRO25]])</f>
        <v>33117.335305655579</v>
      </c>
      <c r="Z23" s="223">
        <f>IF(OR(tblPiNHistorical[[#This Row],[ASH25]]="", tblPiNHistorical[[#This Row],[ASH25]]=0, tblPiNHistorical[[#This Row],[ASH26]]="", tblPiNHistorical[[#This Row],[ASH26]]=0), "", tblPiNHistorical[[#This Row],[ASH26]]-tblPiNHistorical[[#This Row],[ASH25]])</f>
        <v>10087.095000000001</v>
      </c>
      <c r="AA2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2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4.2</v>
      </c>
      <c r="AC2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9.9</v>
      </c>
      <c r="AD2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8.8000000000000007</v>
      </c>
      <c r="AE2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2.1</v>
      </c>
      <c r="AF23"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1.5</v>
      </c>
    </row>
    <row r="24" spans="1:32">
      <c r="A2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VenezolanosVE0313</v>
      </c>
      <c r="B24" s="105" t="s">
        <v>119</v>
      </c>
      <c r="C24" s="104" t="s">
        <v>120</v>
      </c>
      <c r="D24" s="119" t="s">
        <v>145</v>
      </c>
      <c r="E24" s="104" t="s">
        <v>146</v>
      </c>
      <c r="F24" s="119"/>
      <c r="G24" s="102">
        <v>73121</v>
      </c>
      <c r="H24" s="102" t="s">
        <v>102</v>
      </c>
      <c r="I24" s="206">
        <v>12886</v>
      </c>
      <c r="J24" s="120">
        <v>3045</v>
      </c>
      <c r="K24" s="207">
        <v>19038.09813700365</v>
      </c>
      <c r="L24" s="207">
        <v>7581.0583059950714</v>
      </c>
      <c r="M24" s="207">
        <v>18831.856977530602</v>
      </c>
      <c r="N24" s="298">
        <v>14624</v>
      </c>
      <c r="O24" s="114">
        <f>tblPiNAnalysis[[#This Row],[SAMV]]</f>
        <v>62744</v>
      </c>
      <c r="P24" s="115">
        <f>tblPiNAnalysis[[#This Row],[NUT]]</f>
        <v>8020.9941589526334</v>
      </c>
      <c r="Q24" s="115">
        <f>tblPiNAnalysis[[#This Row],[SAL]]</f>
        <v>91340.52</v>
      </c>
      <c r="R24" s="115">
        <f>tblPiNAnalysis[[#This Row],[EDU]]</f>
        <v>24428.471891261637</v>
      </c>
      <c r="S24" s="115">
        <f>tblPiNAnalysis[[#This Row],[PRO]]</f>
        <v>59729.037389099947</v>
      </c>
      <c r="T24" s="116">
        <f>tblPiNAnalysis[[#This Row],[ASH]]</f>
        <v>0</v>
      </c>
      <c r="U24" s="300">
        <f>IF(OR(tblPiNHistorical[[#This Row],[SAMV25]]="", tblPiNHistorical[[#This Row],[SAMV25]]=0, tblPiNHistorical[[#This Row],[SAMV26]]="", tblPiNHistorical[[#This Row],[SAMV26]]=0), "", tblPiNHistorical[[#This Row],[SAMV26]]-tblPiNHistorical[[#This Row],[SAMV25]])</f>
        <v>49858</v>
      </c>
      <c r="V24" s="121">
        <f>IF(OR(tblPiNHistorical[[#This Row],[NUT25]]="", tblPiNHistorical[[#This Row],[NUT25]]=0, tblPiNHistorical[[#This Row],[NUT26]]="", tblPiNHistorical[[#This Row],[NUT26]]=0), "", tblPiNHistorical[[#This Row],[NUT26]]-tblPiNHistorical[[#This Row],[NUT25]])</f>
        <v>4975.9941589526334</v>
      </c>
      <c r="W24" s="121">
        <f>IF(OR(tblPiNHistorical[[#This Row],[SAL25]]="", tblPiNHistorical[[#This Row],[SAL25]]=0, tblPiNHistorical[[#This Row],[SAL26]]="", tblPiNHistorical[[#This Row],[SAL26]]=0), "", tblPiNHistorical[[#This Row],[SAL26]]-tblPiNHistorical[[#This Row],[SAL25]])</f>
        <v>72302.421862996358</v>
      </c>
      <c r="X24" s="121">
        <f>IF(OR(tblPiNHistorical[[#This Row],[EDU25]]="", tblPiNHistorical[[#This Row],[EDU25]]=0, tblPiNHistorical[[#This Row],[EDU26]]="", tblPiNHistorical[[#This Row],[EDU26]]=0), "", tblPiNHistorical[[#This Row],[EDU26]]-tblPiNHistorical[[#This Row],[EDU25]])</f>
        <v>16847.413585266564</v>
      </c>
      <c r="Y24" s="121">
        <f>IF(OR(tblPiNHistorical[[#This Row],[PRO25]]="", tblPiNHistorical[[#This Row],[PRO25]]=0, tblPiNHistorical[[#This Row],[PRO26]]="", tblPiNHistorical[[#This Row],[PRO26]]=0), "", tblPiNHistorical[[#This Row],[PRO26]]-tblPiNHistorical[[#This Row],[PRO25]])</f>
        <v>40897.180411569345</v>
      </c>
      <c r="Z24" s="223" t="str">
        <f>IF(OR(tblPiNHistorical[[#This Row],[ASH25]]="", tblPiNHistorical[[#This Row],[ASH25]]=0, tblPiNHistorical[[#This Row],[ASH26]]="", tblPiNHistorical[[#This Row],[ASH26]]=0), "", tblPiNHistorical[[#This Row],[ASH26]]-tblPiNHistorical[[#This Row],[ASH25]])</f>
        <v/>
      </c>
      <c r="AA2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3.9</v>
      </c>
      <c r="AB2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1.6</v>
      </c>
      <c r="AC2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3.8</v>
      </c>
      <c r="AD2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2.2000000000000002</v>
      </c>
      <c r="AE2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2.2000000000000002</v>
      </c>
      <c r="AF2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14624</v>
      </c>
    </row>
    <row r="25" spans="1:32">
      <c r="A2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VenezolanosVE0314</v>
      </c>
      <c r="B25" s="105" t="s">
        <v>119</v>
      </c>
      <c r="C25" s="104" t="s">
        <v>120</v>
      </c>
      <c r="D25" s="119" t="s">
        <v>147</v>
      </c>
      <c r="E25" s="104" t="s">
        <v>148</v>
      </c>
      <c r="F25" s="119"/>
      <c r="G25" s="102">
        <v>23248</v>
      </c>
      <c r="H25" s="102" t="s">
        <v>102</v>
      </c>
      <c r="I25" s="206">
        <v>4097</v>
      </c>
      <c r="J25" s="120">
        <v>956</v>
      </c>
      <c r="K25" s="207">
        <v>6052.7578203984021</v>
      </c>
      <c r="L25" s="207">
        <v>2398.2082930508182</v>
      </c>
      <c r="M25" s="207">
        <v>11364.788109639936</v>
      </c>
      <c r="N25" s="298">
        <v>13949</v>
      </c>
      <c r="O25" s="114">
        <f>tblPiNAnalysis[[#This Row],[SAMV]]</f>
        <v>28066</v>
      </c>
      <c r="P25" s="115">
        <f>tblPiNAnalysis[[#This Row],[NUT]]</f>
        <v>13156.614991851757</v>
      </c>
      <c r="Q25" s="115">
        <f>tblPiNAnalysis[[#This Row],[SAL]]</f>
        <v>51805.18</v>
      </c>
      <c r="R25" s="115">
        <f>tblPiNAnalysis[[#This Row],[EDU]]</f>
        <v>10767.604768487316</v>
      </c>
      <c r="S25" s="115">
        <f>tblPiNAnalysis[[#This Row],[PRO]]</f>
        <v>33976.424893455449</v>
      </c>
      <c r="T25" s="116">
        <f>tblPiNAnalysis[[#This Row],[ASH]]</f>
        <v>85159.2</v>
      </c>
      <c r="U25" s="300">
        <f>IF(OR(tblPiNHistorical[[#This Row],[SAMV25]]="", tblPiNHistorical[[#This Row],[SAMV25]]=0, tblPiNHistorical[[#This Row],[SAMV26]]="", tblPiNHistorical[[#This Row],[SAMV26]]=0), "", tblPiNHistorical[[#This Row],[SAMV26]]-tblPiNHistorical[[#This Row],[SAMV25]])</f>
        <v>23969</v>
      </c>
      <c r="V25" s="121">
        <f>IF(OR(tblPiNHistorical[[#This Row],[NUT25]]="", tblPiNHistorical[[#This Row],[NUT25]]=0, tblPiNHistorical[[#This Row],[NUT26]]="", tblPiNHistorical[[#This Row],[NUT26]]=0), "", tblPiNHistorical[[#This Row],[NUT26]]-tblPiNHistorical[[#This Row],[NUT25]])</f>
        <v>12200.614991851757</v>
      </c>
      <c r="W25" s="121">
        <f>IF(OR(tblPiNHistorical[[#This Row],[SAL25]]="", tblPiNHistorical[[#This Row],[SAL25]]=0, tblPiNHistorical[[#This Row],[SAL26]]="", tblPiNHistorical[[#This Row],[SAL26]]=0), "", tblPiNHistorical[[#This Row],[SAL26]]-tblPiNHistorical[[#This Row],[SAL25]])</f>
        <v>45752.422179601599</v>
      </c>
      <c r="X25" s="121">
        <f>IF(OR(tblPiNHistorical[[#This Row],[EDU25]]="", tblPiNHistorical[[#This Row],[EDU25]]=0, tblPiNHistorical[[#This Row],[EDU26]]="", tblPiNHistorical[[#This Row],[EDU26]]=0), "", tblPiNHistorical[[#This Row],[EDU26]]-tblPiNHistorical[[#This Row],[EDU25]])</f>
        <v>8369.396475436497</v>
      </c>
      <c r="Y25" s="121">
        <f>IF(OR(tblPiNHistorical[[#This Row],[PRO25]]="", tblPiNHistorical[[#This Row],[PRO25]]=0, tblPiNHistorical[[#This Row],[PRO26]]="", tblPiNHistorical[[#This Row],[PRO26]]=0), "", tblPiNHistorical[[#This Row],[PRO26]]-tblPiNHistorical[[#This Row],[PRO25]])</f>
        <v>22611.636783815513</v>
      </c>
      <c r="Z25" s="223">
        <f>IF(OR(tblPiNHistorical[[#This Row],[ASH25]]="", tblPiNHistorical[[#This Row],[ASH25]]=0, tblPiNHistorical[[#This Row],[ASH26]]="", tblPiNHistorical[[#This Row],[ASH26]]=0), "", tblPiNHistorical[[#This Row],[ASH26]]-tblPiNHistorical[[#This Row],[ASH25]])</f>
        <v>71210.2</v>
      </c>
      <c r="AA2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5.9</v>
      </c>
      <c r="AB2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12.8</v>
      </c>
      <c r="AC2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7.6</v>
      </c>
      <c r="AD2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3.5</v>
      </c>
      <c r="AE2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v>
      </c>
      <c r="AF25"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5.0999999999999996</v>
      </c>
    </row>
    <row r="26" spans="1:32">
      <c r="A2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VenezolanosVE0315</v>
      </c>
      <c r="B26" s="105" t="s">
        <v>119</v>
      </c>
      <c r="C26" s="104" t="s">
        <v>120</v>
      </c>
      <c r="D26" s="119" t="s">
        <v>149</v>
      </c>
      <c r="E26" s="104" t="s">
        <v>150</v>
      </c>
      <c r="F26" s="119"/>
      <c r="G26" s="102">
        <v>76398</v>
      </c>
      <c r="H26" s="102" t="s">
        <v>102</v>
      </c>
      <c r="I26" s="206">
        <v>13463</v>
      </c>
      <c r="J26" s="120">
        <v>3079</v>
      </c>
      <c r="K26" s="207">
        <v>19891.171386858459</v>
      </c>
      <c r="L26" s="207">
        <v>7869.6159742757482</v>
      </c>
      <c r="M26" s="207">
        <v>18831.856977530602</v>
      </c>
      <c r="N26" s="298">
        <v>0</v>
      </c>
      <c r="O26" s="114">
        <f>tblPiNAnalysis[[#This Row],[SAMV]]</f>
        <v>48872</v>
      </c>
      <c r="P26" s="115">
        <f>tblPiNAnalysis[[#This Row],[NUT]]</f>
        <v>7548.0190967110184</v>
      </c>
      <c r="Q26" s="115">
        <f>tblPiNAnalysis[[#This Row],[SAL]]</f>
        <v>81194.615000000005</v>
      </c>
      <c r="R26" s="115">
        <f>tblPiNAnalysis[[#This Row],[EDU]]</f>
        <v>29208.222446137479</v>
      </c>
      <c r="S26" s="115">
        <f>tblPiNAnalysis[[#This Row],[PRO]]</f>
        <v>37209.959199669524</v>
      </c>
      <c r="T26" s="116">
        <f>tblPiNAnalysis[[#This Row],[ASH]]</f>
        <v>0</v>
      </c>
      <c r="U26" s="300">
        <f>IF(OR(tblPiNHistorical[[#This Row],[SAMV25]]="", tblPiNHistorical[[#This Row],[SAMV25]]=0, tblPiNHistorical[[#This Row],[SAMV26]]="", tblPiNHistorical[[#This Row],[SAMV26]]=0), "", tblPiNHistorical[[#This Row],[SAMV26]]-tblPiNHistorical[[#This Row],[SAMV25]])</f>
        <v>35409</v>
      </c>
      <c r="V26" s="121">
        <f>IF(OR(tblPiNHistorical[[#This Row],[NUT25]]="", tblPiNHistorical[[#This Row],[NUT25]]=0, tblPiNHistorical[[#This Row],[NUT26]]="", tblPiNHistorical[[#This Row],[NUT26]]=0), "", tblPiNHistorical[[#This Row],[NUT26]]-tblPiNHistorical[[#This Row],[NUT25]])</f>
        <v>4469.0190967110184</v>
      </c>
      <c r="W26" s="121">
        <f>IF(OR(tblPiNHistorical[[#This Row],[SAL25]]="", tblPiNHistorical[[#This Row],[SAL25]]=0, tblPiNHistorical[[#This Row],[SAL26]]="", tblPiNHistorical[[#This Row],[SAL26]]=0), "", tblPiNHistorical[[#This Row],[SAL26]]-tblPiNHistorical[[#This Row],[SAL25]])</f>
        <v>61303.443613141542</v>
      </c>
      <c r="X26" s="121">
        <f>IF(OR(tblPiNHistorical[[#This Row],[EDU25]]="", tblPiNHistorical[[#This Row],[EDU25]]=0, tblPiNHistorical[[#This Row],[EDU26]]="", tblPiNHistorical[[#This Row],[EDU26]]=0), "", tblPiNHistorical[[#This Row],[EDU26]]-tblPiNHistorical[[#This Row],[EDU25]])</f>
        <v>21338.606471861731</v>
      </c>
      <c r="Y26" s="121">
        <f>IF(OR(tblPiNHistorical[[#This Row],[PRO25]]="", tblPiNHistorical[[#This Row],[PRO25]]=0, tblPiNHistorical[[#This Row],[PRO26]]="", tblPiNHistorical[[#This Row],[PRO26]]=0), "", tblPiNHistorical[[#This Row],[PRO26]]-tblPiNHistorical[[#This Row],[PRO25]])</f>
        <v>18378.102222138921</v>
      </c>
      <c r="Z26" s="223" t="str">
        <f>IF(OR(tblPiNHistorical[[#This Row],[ASH25]]="", tblPiNHistorical[[#This Row],[ASH25]]=0, tblPiNHistorical[[#This Row],[ASH26]]="", tblPiNHistorical[[#This Row],[ASH26]]=0), "", tblPiNHistorical[[#This Row],[ASH26]]-tblPiNHistorical[[#This Row],[ASH25]])</f>
        <v/>
      </c>
      <c r="AA2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2.6</v>
      </c>
      <c r="AB2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1.5</v>
      </c>
      <c r="AC2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3.1</v>
      </c>
      <c r="AD2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2.7</v>
      </c>
      <c r="AE2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2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7" spans="1:32">
      <c r="A2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VenezolanosVE0316</v>
      </c>
      <c r="B27" s="105" t="s">
        <v>119</v>
      </c>
      <c r="C27" s="104" t="s">
        <v>120</v>
      </c>
      <c r="D27" s="119" t="s">
        <v>151</v>
      </c>
      <c r="E27" s="104" t="s">
        <v>152</v>
      </c>
      <c r="F27" s="119"/>
      <c r="G27" s="102">
        <v>9047</v>
      </c>
      <c r="H27" s="102" t="s">
        <v>102</v>
      </c>
      <c r="I27" s="206">
        <v>1594</v>
      </c>
      <c r="J27" s="120">
        <v>439</v>
      </c>
      <c r="K27" s="207">
        <v>2355.1162774737277</v>
      </c>
      <c r="L27" s="207">
        <v>1111.6992300424517</v>
      </c>
      <c r="M27" s="207">
        <v>3216.4561730561377</v>
      </c>
      <c r="N27" s="298">
        <v>0</v>
      </c>
      <c r="O27" s="114">
        <f>tblPiNAnalysis[[#This Row],[SAMV]]</f>
        <v>60234</v>
      </c>
      <c r="P27" s="115">
        <f>tblPiNAnalysis[[#This Row],[NUT]]</f>
        <v>13084.568833454498</v>
      </c>
      <c r="Q27" s="115">
        <f>tblPiNAnalysis[[#This Row],[SAL]]</f>
        <v>78955.34</v>
      </c>
      <c r="R27" s="115">
        <f>tblPiNAnalysis[[#This Row],[EDU]]</f>
        <v>18116.337224203919</v>
      </c>
      <c r="S27" s="115">
        <f>tblPiNAnalysis[[#This Row],[PRO]]</f>
        <v>51769.906793867834</v>
      </c>
      <c r="T27" s="116">
        <f>tblPiNAnalysis[[#This Row],[ASH]]</f>
        <v>0</v>
      </c>
      <c r="U27" s="300">
        <f>IF(OR(tblPiNHistorical[[#This Row],[SAMV25]]="", tblPiNHistorical[[#This Row],[SAMV25]]=0, tblPiNHistorical[[#This Row],[SAMV26]]="", tblPiNHistorical[[#This Row],[SAMV26]]=0), "", tblPiNHistorical[[#This Row],[SAMV26]]-tblPiNHistorical[[#This Row],[SAMV25]])</f>
        <v>58640</v>
      </c>
      <c r="V27" s="121">
        <f>IF(OR(tblPiNHistorical[[#This Row],[NUT25]]="", tblPiNHistorical[[#This Row],[NUT25]]=0, tblPiNHistorical[[#This Row],[NUT26]]="", tblPiNHistorical[[#This Row],[NUT26]]=0), "", tblPiNHistorical[[#This Row],[NUT26]]-tblPiNHistorical[[#This Row],[NUT25]])</f>
        <v>12645.568833454498</v>
      </c>
      <c r="W27" s="121">
        <f>IF(OR(tblPiNHistorical[[#This Row],[SAL25]]="", tblPiNHistorical[[#This Row],[SAL25]]=0, tblPiNHistorical[[#This Row],[SAL26]]="", tblPiNHistorical[[#This Row],[SAL26]]=0), "", tblPiNHistorical[[#This Row],[SAL26]]-tblPiNHistorical[[#This Row],[SAL25]])</f>
        <v>76600.223722526265</v>
      </c>
      <c r="X27" s="121">
        <f>IF(OR(tblPiNHistorical[[#This Row],[EDU25]]="", tblPiNHistorical[[#This Row],[EDU25]]=0, tblPiNHistorical[[#This Row],[EDU26]]="", tblPiNHistorical[[#This Row],[EDU26]]=0), "", tblPiNHistorical[[#This Row],[EDU26]]-tblPiNHistorical[[#This Row],[EDU25]])</f>
        <v>17004.637994161465</v>
      </c>
      <c r="Y27" s="121">
        <f>IF(OR(tblPiNHistorical[[#This Row],[PRO25]]="", tblPiNHistorical[[#This Row],[PRO25]]=0, tblPiNHistorical[[#This Row],[PRO26]]="", tblPiNHistorical[[#This Row],[PRO26]]=0), "", tblPiNHistorical[[#This Row],[PRO26]]-tblPiNHistorical[[#This Row],[PRO25]])</f>
        <v>48553.450620811695</v>
      </c>
      <c r="Z27" s="223" t="str">
        <f>IF(OR(tblPiNHistorical[[#This Row],[ASH25]]="", tblPiNHistorical[[#This Row],[ASH25]]=0, tblPiNHistorical[[#This Row],[ASH26]]="", tblPiNHistorical[[#This Row],[ASH26]]=0), "", tblPiNHistorical[[#This Row],[ASH26]]-tblPiNHistorical[[#This Row],[ASH25]])</f>
        <v/>
      </c>
      <c r="AA2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36.799999999999997</v>
      </c>
      <c r="AB2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28.8</v>
      </c>
      <c r="AC2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32.5</v>
      </c>
      <c r="AD2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15.3</v>
      </c>
      <c r="AE2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15.1</v>
      </c>
      <c r="AF2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8" spans="1:32">
      <c r="A2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VenezolanosVE0317</v>
      </c>
      <c r="B28" s="105" t="s">
        <v>119</v>
      </c>
      <c r="C28" s="104" t="s">
        <v>120</v>
      </c>
      <c r="D28" s="119" t="s">
        <v>153</v>
      </c>
      <c r="E28" s="104" t="s">
        <v>154</v>
      </c>
      <c r="F28" s="119"/>
      <c r="G28" s="102">
        <v>9636</v>
      </c>
      <c r="H28" s="102" t="s">
        <v>102</v>
      </c>
      <c r="I28" s="206">
        <v>1698</v>
      </c>
      <c r="J28" s="120">
        <v>358</v>
      </c>
      <c r="K28" s="207">
        <v>2508.6892783186699</v>
      </c>
      <c r="L28" s="207">
        <v>954.19729363554973</v>
      </c>
      <c r="M28" s="207">
        <v>3425.8617976753558</v>
      </c>
      <c r="N28" s="298">
        <v>4818</v>
      </c>
      <c r="O28" s="114">
        <f>tblPiNAnalysis[[#This Row],[SAMV]]</f>
        <v>30285</v>
      </c>
      <c r="P28" s="115">
        <f>tblPiNAnalysis[[#This Row],[NUT]]</f>
        <v>9525.9719389903403</v>
      </c>
      <c r="Q28" s="115">
        <f>tblPiNAnalysis[[#This Row],[SAL]]</f>
        <v>75929.125</v>
      </c>
      <c r="R28" s="115">
        <f>tblPiNAnalysis[[#This Row],[EDU]]</f>
        <v>36216.495686004047</v>
      </c>
      <c r="S28" s="115">
        <f>tblPiNAnalysis[[#This Row],[PRO]]</f>
        <v>49581.218778502669</v>
      </c>
      <c r="T28" s="116">
        <f>tblPiNAnalysis[[#This Row],[ASH]]</f>
        <v>28083.375</v>
      </c>
      <c r="U28" s="300">
        <f>IF(OR(tblPiNHistorical[[#This Row],[SAMV25]]="", tblPiNHistorical[[#This Row],[SAMV25]]=0, tblPiNHistorical[[#This Row],[SAMV26]]="", tblPiNHistorical[[#This Row],[SAMV26]]=0), "", tblPiNHistorical[[#This Row],[SAMV26]]-tblPiNHistorical[[#This Row],[SAMV25]])</f>
        <v>28587</v>
      </c>
      <c r="V28" s="121">
        <f>IF(OR(tblPiNHistorical[[#This Row],[NUT25]]="", tblPiNHistorical[[#This Row],[NUT25]]=0, tblPiNHistorical[[#This Row],[NUT26]]="", tblPiNHistorical[[#This Row],[NUT26]]=0), "", tblPiNHistorical[[#This Row],[NUT26]]-tblPiNHistorical[[#This Row],[NUT25]])</f>
        <v>9167.9719389903403</v>
      </c>
      <c r="W28" s="121">
        <f>IF(OR(tblPiNHistorical[[#This Row],[SAL25]]="", tblPiNHistorical[[#This Row],[SAL25]]=0, tblPiNHistorical[[#This Row],[SAL26]]="", tblPiNHistorical[[#This Row],[SAL26]]=0), "", tblPiNHistorical[[#This Row],[SAL26]]-tblPiNHistorical[[#This Row],[SAL25]])</f>
        <v>73420.435721681337</v>
      </c>
      <c r="X28" s="121">
        <f>IF(OR(tblPiNHistorical[[#This Row],[EDU25]]="", tblPiNHistorical[[#This Row],[EDU25]]=0, tblPiNHistorical[[#This Row],[EDU26]]="", tblPiNHistorical[[#This Row],[EDU26]]=0), "", tblPiNHistorical[[#This Row],[EDU26]]-tblPiNHistorical[[#This Row],[EDU25]])</f>
        <v>35262.298392368495</v>
      </c>
      <c r="Y28" s="121">
        <f>IF(OR(tblPiNHistorical[[#This Row],[PRO25]]="", tblPiNHistorical[[#This Row],[PRO25]]=0, tblPiNHistorical[[#This Row],[PRO26]]="", tblPiNHistorical[[#This Row],[PRO26]]=0), "", tblPiNHistorical[[#This Row],[PRO26]]-tblPiNHistorical[[#This Row],[PRO25]])</f>
        <v>46155.356980827317</v>
      </c>
      <c r="Z28" s="223">
        <f>IF(OR(tblPiNHistorical[[#This Row],[ASH25]]="", tblPiNHistorical[[#This Row],[ASH25]]=0, tblPiNHistorical[[#This Row],[ASH26]]="", tblPiNHistorical[[#This Row],[ASH26]]=0), "", tblPiNHistorical[[#This Row],[ASH26]]-tblPiNHistorical[[#This Row],[ASH25]])</f>
        <v>23265.375</v>
      </c>
      <c r="AA2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16.8</v>
      </c>
      <c r="AB2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25.6</v>
      </c>
      <c r="AC2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29.3</v>
      </c>
      <c r="AD2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37</v>
      </c>
      <c r="AE2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13.5</v>
      </c>
      <c r="AF28"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4.8</v>
      </c>
    </row>
    <row r="29" spans="1:32">
      <c r="A2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VenezolanosVE0318</v>
      </c>
      <c r="B29" s="105" t="s">
        <v>119</v>
      </c>
      <c r="C29" s="104" t="s">
        <v>120</v>
      </c>
      <c r="D29" s="119" t="s">
        <v>155</v>
      </c>
      <c r="E29" s="104" t="s">
        <v>156</v>
      </c>
      <c r="F29" s="119"/>
      <c r="G29" s="102">
        <v>421424</v>
      </c>
      <c r="H29" s="102" t="s">
        <v>102</v>
      </c>
      <c r="I29" s="206">
        <v>74265</v>
      </c>
      <c r="J29" s="120">
        <v>17451</v>
      </c>
      <c r="K29" s="207">
        <v>109721.4689456113</v>
      </c>
      <c r="L29" s="207">
        <v>41330.188796799834</v>
      </c>
      <c r="M29" s="207">
        <v>18831.856977530602</v>
      </c>
      <c r="N29" s="298">
        <v>84285</v>
      </c>
      <c r="O29" s="114">
        <f>tblPiNAnalysis[[#This Row],[SAMV]]</f>
        <v>8260</v>
      </c>
      <c r="P29" s="115">
        <f>tblPiNAnalysis[[#This Row],[NUT]]</f>
        <v>12507.198520837803</v>
      </c>
      <c r="Q29" s="115">
        <f>tblPiNAnalysis[[#This Row],[SAL]]</f>
        <v>44321.95</v>
      </c>
      <c r="R29" s="115">
        <f>tblPiNAnalysis[[#This Row],[EDU]]</f>
        <v>18768.889521901765</v>
      </c>
      <c r="S29" s="115">
        <f>tblPiNAnalysis[[#This Row],[PRO]]</f>
        <v>28941.941575645134</v>
      </c>
      <c r="T29" s="116">
        <f>tblPiNAnalysis[[#This Row],[ASH]]</f>
        <v>72858</v>
      </c>
      <c r="U29" s="300">
        <f>IF(OR(tblPiNHistorical[[#This Row],[SAMV25]]="", tblPiNHistorical[[#This Row],[SAMV25]]=0, tblPiNHistorical[[#This Row],[SAMV26]]="", tblPiNHistorical[[#This Row],[SAMV26]]=0), "", tblPiNHistorical[[#This Row],[SAMV26]]-tblPiNHistorical[[#This Row],[SAMV25]])</f>
        <v>-66005</v>
      </c>
      <c r="V29" s="121">
        <f>IF(OR(tblPiNHistorical[[#This Row],[NUT25]]="", tblPiNHistorical[[#This Row],[NUT25]]=0, tblPiNHistorical[[#This Row],[NUT26]]="", tblPiNHistorical[[#This Row],[NUT26]]=0), "", tblPiNHistorical[[#This Row],[NUT26]]-tblPiNHistorical[[#This Row],[NUT25]])</f>
        <v>-4943.8014791621972</v>
      </c>
      <c r="W29" s="121">
        <f>IF(OR(tblPiNHistorical[[#This Row],[SAL25]]="", tblPiNHistorical[[#This Row],[SAL25]]=0, tblPiNHistorical[[#This Row],[SAL26]]="", tblPiNHistorical[[#This Row],[SAL26]]=0), "", tblPiNHistorical[[#This Row],[SAL26]]-tblPiNHistorical[[#This Row],[SAL25]])</f>
        <v>-65399.5189456113</v>
      </c>
      <c r="X29" s="121">
        <f>IF(OR(tblPiNHistorical[[#This Row],[EDU25]]="", tblPiNHistorical[[#This Row],[EDU25]]=0, tblPiNHistorical[[#This Row],[EDU26]]="", tblPiNHistorical[[#This Row],[EDU26]]=0), "", tblPiNHistorical[[#This Row],[EDU26]]-tblPiNHistorical[[#This Row],[EDU25]])</f>
        <v>-22561.299274898069</v>
      </c>
      <c r="Y29" s="121">
        <f>IF(OR(tblPiNHistorical[[#This Row],[PRO25]]="", tblPiNHistorical[[#This Row],[PRO25]]=0, tblPiNHistorical[[#This Row],[PRO26]]="", tblPiNHistorical[[#This Row],[PRO26]]=0), "", tblPiNHistorical[[#This Row],[PRO26]]-tblPiNHistorical[[#This Row],[PRO25]])</f>
        <v>10110.084598114532</v>
      </c>
      <c r="Z29" s="223">
        <f>IF(OR(tblPiNHistorical[[#This Row],[ASH25]]="", tblPiNHistorical[[#This Row],[ASH25]]=0, tblPiNHistorical[[#This Row],[ASH26]]="", tblPiNHistorical[[#This Row],[ASH26]]=0), "", tblPiNHistorical[[#This Row],[ASH26]]-tblPiNHistorical[[#This Row],[ASH25]])</f>
        <v>-11427</v>
      </c>
      <c r="AA2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-0.3</v>
      </c>
      <c r="AC2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2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2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29"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-0.1</v>
      </c>
    </row>
    <row r="30" spans="1:32">
      <c r="A3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VenezolanosVE0319</v>
      </c>
      <c r="B30" s="105" t="s">
        <v>119</v>
      </c>
      <c r="C30" s="104" t="s">
        <v>120</v>
      </c>
      <c r="D30" s="119" t="s">
        <v>157</v>
      </c>
      <c r="E30" s="104" t="s">
        <v>158</v>
      </c>
      <c r="F30" s="119"/>
      <c r="G30" s="102">
        <v>182474</v>
      </c>
      <c r="H30" s="102" t="s">
        <v>102</v>
      </c>
      <c r="I30" s="206">
        <v>32156</v>
      </c>
      <c r="J30" s="120">
        <v>8060</v>
      </c>
      <c r="K30" s="207">
        <v>47508.550906548269</v>
      </c>
      <c r="L30" s="207">
        <v>17446.094360565035</v>
      </c>
      <c r="M30" s="207">
        <v>13695.895983658618</v>
      </c>
      <c r="N30" s="298">
        <v>0</v>
      </c>
      <c r="O30" s="114">
        <f>tblPiNAnalysis[[#This Row],[SAMV]]</f>
        <v>72468</v>
      </c>
      <c r="P30" s="115">
        <f>tblPiNAnalysis[[#This Row],[NUT]]</f>
        <v>6790.738386966309</v>
      </c>
      <c r="Q30" s="115">
        <f>tblPiNAnalysis[[#This Row],[SAL]]</f>
        <v>66126.684999999998</v>
      </c>
      <c r="R30" s="115">
        <f>tblPiNAnalysis[[#This Row],[EDU]]</f>
        <v>15418.335225793078</v>
      </c>
      <c r="S30" s="115">
        <f>tblPiNAnalysis[[#This Row],[PRO]]</f>
        <v>34376.943426067759</v>
      </c>
      <c r="T30" s="116">
        <f>tblPiNAnalysis[[#This Row],[ASH]]</f>
        <v>0</v>
      </c>
      <c r="U30" s="300">
        <f>IF(OR(tblPiNHistorical[[#This Row],[SAMV25]]="", tblPiNHistorical[[#This Row],[SAMV25]]=0, tblPiNHistorical[[#This Row],[SAMV26]]="", tblPiNHistorical[[#This Row],[SAMV26]]=0), "", tblPiNHistorical[[#This Row],[SAMV26]]-tblPiNHistorical[[#This Row],[SAMV25]])</f>
        <v>40312</v>
      </c>
      <c r="V30" s="121">
        <f>IF(OR(tblPiNHistorical[[#This Row],[NUT25]]="", tblPiNHistorical[[#This Row],[NUT25]]=0, tblPiNHistorical[[#This Row],[NUT26]]="", tblPiNHistorical[[#This Row],[NUT26]]=0), "", tblPiNHistorical[[#This Row],[NUT26]]-tblPiNHistorical[[#This Row],[NUT25]])</f>
        <v>-1269.261613033691</v>
      </c>
      <c r="W30" s="121">
        <f>IF(OR(tblPiNHistorical[[#This Row],[SAL25]]="", tblPiNHistorical[[#This Row],[SAL25]]=0, tblPiNHistorical[[#This Row],[SAL26]]="", tblPiNHistorical[[#This Row],[SAL26]]=0), "", tblPiNHistorical[[#This Row],[SAL26]]-tblPiNHistorical[[#This Row],[SAL25]])</f>
        <v>18618.134093451728</v>
      </c>
      <c r="X30" s="121">
        <f>IF(OR(tblPiNHistorical[[#This Row],[EDU25]]="", tblPiNHistorical[[#This Row],[EDU25]]=0, tblPiNHistorical[[#This Row],[EDU26]]="", tblPiNHistorical[[#This Row],[EDU26]]=0), "", tblPiNHistorical[[#This Row],[EDU26]]-tblPiNHistorical[[#This Row],[EDU25]])</f>
        <v>-2027.7591347719572</v>
      </c>
      <c r="Y30" s="121">
        <f>IF(OR(tblPiNHistorical[[#This Row],[PRO25]]="", tblPiNHistorical[[#This Row],[PRO25]]=0, tblPiNHistorical[[#This Row],[PRO26]]="", tblPiNHistorical[[#This Row],[PRO26]]=0), "", tblPiNHistorical[[#This Row],[PRO26]]-tblPiNHistorical[[#This Row],[PRO25]])</f>
        <v>20681.047442409141</v>
      </c>
      <c r="Z30" s="223" t="str">
        <f>IF(OR(tblPiNHistorical[[#This Row],[ASH25]]="", tblPiNHistorical[[#This Row],[ASH25]]=0, tblPiNHistorical[[#This Row],[ASH26]]="", tblPiNHistorical[[#This Row],[ASH26]]=0), "", tblPiNHistorical[[#This Row],[ASH26]]-tblPiNHistorical[[#This Row],[ASH25]])</f>
        <v/>
      </c>
      <c r="AA3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1.3</v>
      </c>
      <c r="AB3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3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3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3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1.5</v>
      </c>
      <c r="AF3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1" spans="1:32">
      <c r="A3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VenezolanosVE0320</v>
      </c>
      <c r="B31" s="105" t="s">
        <v>119</v>
      </c>
      <c r="C31" s="104" t="s">
        <v>120</v>
      </c>
      <c r="D31" s="119" t="s">
        <v>159</v>
      </c>
      <c r="E31" s="104" t="s">
        <v>160</v>
      </c>
      <c r="F31" s="119"/>
      <c r="G31" s="102">
        <v>9768</v>
      </c>
      <c r="H31" s="102" t="s">
        <v>102</v>
      </c>
      <c r="I31" s="206">
        <v>1721</v>
      </c>
      <c r="J31" s="120">
        <v>372</v>
      </c>
      <c r="K31" s="207">
        <v>2543.3670527030113</v>
      </c>
      <c r="L31" s="207">
        <v>1147.7935440859569</v>
      </c>
      <c r="M31" s="207">
        <v>4775.0881905954438</v>
      </c>
      <c r="N31" s="298">
        <v>4884</v>
      </c>
      <c r="O31" s="114">
        <f>tblPiNAnalysis[[#This Row],[SAMV]]</f>
        <v>71091</v>
      </c>
      <c r="P31" s="115">
        <f>tblPiNAnalysis[[#This Row],[NUT]]</f>
        <v>10325.885254931716</v>
      </c>
      <c r="Q31" s="115">
        <f>tblPiNAnalysis[[#This Row],[SAL]]</f>
        <v>56482.654999999999</v>
      </c>
      <c r="R31" s="115">
        <f>tblPiNAnalysis[[#This Row],[EDU]]</f>
        <v>14899.692363806806</v>
      </c>
      <c r="S31" s="115">
        <f>tblPiNAnalysis[[#This Row],[PRO]]</f>
        <v>29363.350597252887</v>
      </c>
      <c r="T31" s="116">
        <f>tblPiNAnalysis[[#This Row],[ASH]]</f>
        <v>69636.150000000009</v>
      </c>
      <c r="U31" s="300">
        <f>IF(OR(tblPiNHistorical[[#This Row],[SAMV25]]="", tblPiNHistorical[[#This Row],[SAMV25]]=0, tblPiNHistorical[[#This Row],[SAMV26]]="", tblPiNHistorical[[#This Row],[SAMV26]]=0), "", tblPiNHistorical[[#This Row],[SAMV26]]-tblPiNHistorical[[#This Row],[SAMV25]])</f>
        <v>69370</v>
      </c>
      <c r="V31" s="121">
        <f>IF(OR(tblPiNHistorical[[#This Row],[NUT25]]="", tblPiNHistorical[[#This Row],[NUT25]]=0, tblPiNHistorical[[#This Row],[NUT26]]="", tblPiNHistorical[[#This Row],[NUT26]]=0), "", tblPiNHistorical[[#This Row],[NUT26]]-tblPiNHistorical[[#This Row],[NUT25]])</f>
        <v>9953.8852549317162</v>
      </c>
      <c r="W31" s="121">
        <f>IF(OR(tblPiNHistorical[[#This Row],[SAL25]]="", tblPiNHistorical[[#This Row],[SAL25]]=0, tblPiNHistorical[[#This Row],[SAL26]]="", tblPiNHistorical[[#This Row],[SAL26]]=0), "", tblPiNHistorical[[#This Row],[SAL26]]-tblPiNHistorical[[#This Row],[SAL25]])</f>
        <v>53939.287947296987</v>
      </c>
      <c r="X31" s="121">
        <f>IF(OR(tblPiNHistorical[[#This Row],[EDU25]]="", tblPiNHistorical[[#This Row],[EDU25]]=0, tblPiNHistorical[[#This Row],[EDU26]]="", tblPiNHistorical[[#This Row],[EDU26]]=0), "", tblPiNHistorical[[#This Row],[EDU26]]-tblPiNHistorical[[#This Row],[EDU25]])</f>
        <v>13751.898819720849</v>
      </c>
      <c r="Y31" s="121">
        <f>IF(OR(tblPiNHistorical[[#This Row],[PRO25]]="", tblPiNHistorical[[#This Row],[PRO25]]=0, tblPiNHistorical[[#This Row],[PRO26]]="", tblPiNHistorical[[#This Row],[PRO26]]=0), "", tblPiNHistorical[[#This Row],[PRO26]]-tblPiNHistorical[[#This Row],[PRO25]])</f>
        <v>24588.262406657443</v>
      </c>
      <c r="Z31" s="223">
        <f>IF(OR(tblPiNHistorical[[#This Row],[ASH25]]="", tblPiNHistorical[[#This Row],[ASH25]]=0, tblPiNHistorical[[#This Row],[ASH26]]="", tblPiNHistorical[[#This Row],[ASH26]]=0), "", tblPiNHistorical[[#This Row],[ASH26]]-tblPiNHistorical[[#This Row],[ASH25]])</f>
        <v>64752.150000000009</v>
      </c>
      <c r="AA3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40.299999999999997</v>
      </c>
      <c r="AB3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26.8</v>
      </c>
      <c r="AC3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21.2</v>
      </c>
      <c r="AD3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12</v>
      </c>
      <c r="AE3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5.0999999999999996</v>
      </c>
      <c r="AF31"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13.3</v>
      </c>
    </row>
    <row r="32" spans="1:32">
      <c r="A3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VenezolanosVE0321</v>
      </c>
      <c r="B32" s="105" t="s">
        <v>119</v>
      </c>
      <c r="C32" s="104" t="s">
        <v>120</v>
      </c>
      <c r="D32" s="119" t="s">
        <v>161</v>
      </c>
      <c r="E32" s="104" t="s">
        <v>162</v>
      </c>
      <c r="F32" s="119"/>
      <c r="G32" s="102">
        <v>37829</v>
      </c>
      <c r="H32" s="102" t="s">
        <v>102</v>
      </c>
      <c r="I32" s="206">
        <v>6666</v>
      </c>
      <c r="J32" s="120">
        <v>1320</v>
      </c>
      <c r="K32" s="207">
        <v>9849.4787187069087</v>
      </c>
      <c r="L32" s="207">
        <v>2114.419982694938</v>
      </c>
      <c r="M32" s="207">
        <v>13449.245116673002</v>
      </c>
      <c r="N32" s="298">
        <v>0</v>
      </c>
      <c r="O32" s="114">
        <f>tblPiNAnalysis[[#This Row],[SAMV]]</f>
        <v>54312</v>
      </c>
      <c r="P32" s="115">
        <f>tblPiNAnalysis[[#This Row],[NUT]]</f>
        <v>5970.6197077205234</v>
      </c>
      <c r="Q32" s="115">
        <f>tblPiNAnalysis[[#This Row],[SAL]]</f>
        <v>69153.63</v>
      </c>
      <c r="R32" s="115">
        <f>tblPiNAnalysis[[#This Row],[EDU]]</f>
        <v>15525.041553659696</v>
      </c>
      <c r="S32" s="115">
        <f>tblPiNAnalysis[[#This Row],[PRO]]</f>
        <v>22576.231941583777</v>
      </c>
      <c r="T32" s="116">
        <f>tblPiNAnalysis[[#This Row],[ASH]]</f>
        <v>12788.685000000001</v>
      </c>
      <c r="U32" s="300">
        <f>IF(OR(tblPiNHistorical[[#This Row],[SAMV25]]="", tblPiNHistorical[[#This Row],[SAMV25]]=0, tblPiNHistorical[[#This Row],[SAMV26]]="", tblPiNHistorical[[#This Row],[SAMV26]]=0), "", tblPiNHistorical[[#This Row],[SAMV26]]-tblPiNHistorical[[#This Row],[SAMV25]])</f>
        <v>47646</v>
      </c>
      <c r="V32" s="121">
        <f>IF(OR(tblPiNHistorical[[#This Row],[NUT25]]="", tblPiNHistorical[[#This Row],[NUT25]]=0, tblPiNHistorical[[#This Row],[NUT26]]="", tblPiNHistorical[[#This Row],[NUT26]]=0), "", tblPiNHistorical[[#This Row],[NUT26]]-tblPiNHistorical[[#This Row],[NUT25]])</f>
        <v>4650.6197077205234</v>
      </c>
      <c r="W32" s="121">
        <f>IF(OR(tblPiNHistorical[[#This Row],[SAL25]]="", tblPiNHistorical[[#This Row],[SAL25]]=0, tblPiNHistorical[[#This Row],[SAL26]]="", tblPiNHistorical[[#This Row],[SAL26]]=0), "", tblPiNHistorical[[#This Row],[SAL26]]-tblPiNHistorical[[#This Row],[SAL25]])</f>
        <v>59304.151281293096</v>
      </c>
      <c r="X32" s="121">
        <f>IF(OR(tblPiNHistorical[[#This Row],[EDU25]]="", tblPiNHistorical[[#This Row],[EDU25]]=0, tblPiNHistorical[[#This Row],[EDU26]]="", tblPiNHistorical[[#This Row],[EDU26]]=0), "", tblPiNHistorical[[#This Row],[EDU26]]-tblPiNHistorical[[#This Row],[EDU25]])</f>
        <v>13410.621570964759</v>
      </c>
      <c r="Y32" s="121">
        <f>IF(OR(tblPiNHistorical[[#This Row],[PRO25]]="", tblPiNHistorical[[#This Row],[PRO25]]=0, tblPiNHistorical[[#This Row],[PRO26]]="", tblPiNHistorical[[#This Row],[PRO26]]=0), "", tblPiNHistorical[[#This Row],[PRO26]]-tblPiNHistorical[[#This Row],[PRO25]])</f>
        <v>9126.9868249107749</v>
      </c>
      <c r="Z32" s="223" t="str">
        <f>IF(OR(tblPiNHistorical[[#This Row],[ASH25]]="", tblPiNHistorical[[#This Row],[ASH25]]=0, tblPiNHistorical[[#This Row],[ASH26]]="", tblPiNHistorical[[#This Row],[ASH26]]=0), "", tblPiNHistorical[[#This Row],[ASH26]]-tblPiNHistorical[[#This Row],[ASH25]])</f>
        <v/>
      </c>
      <c r="AA3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7.1</v>
      </c>
      <c r="AB3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3.5</v>
      </c>
      <c r="AC3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6</v>
      </c>
      <c r="AD3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6.3</v>
      </c>
      <c r="AE3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3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12788.685</v>
      </c>
    </row>
    <row r="33" spans="1:32">
      <c r="A3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VenezolanosVE0401</v>
      </c>
      <c r="B33" s="105" t="s">
        <v>163</v>
      </c>
      <c r="C33" s="104" t="s">
        <v>164</v>
      </c>
      <c r="D33" s="119" t="s">
        <v>165</v>
      </c>
      <c r="E33" s="104" t="s">
        <v>166</v>
      </c>
      <c r="F33" s="119"/>
      <c r="G33" s="102">
        <v>58516</v>
      </c>
      <c r="H33" s="102" t="s">
        <v>102</v>
      </c>
      <c r="I33" s="206">
        <v>8715</v>
      </c>
      <c r="J33" s="120">
        <v>5266</v>
      </c>
      <c r="K33" s="207">
        <v>15235.432477372111</v>
      </c>
      <c r="L33" s="207">
        <v>9632.0296068777207</v>
      </c>
      <c r="M33" s="207">
        <v>12821.28502801797</v>
      </c>
      <c r="N33" s="298">
        <v>35110</v>
      </c>
      <c r="O33" s="114">
        <f>tblPiNAnalysis[[#This Row],[SAMV]]</f>
        <v>18724</v>
      </c>
      <c r="P33" s="115">
        <f>tblPiNAnalysis[[#This Row],[NUT]]</f>
        <v>10060.005388640791</v>
      </c>
      <c r="Q33" s="115">
        <f>tblPiNAnalysis[[#This Row],[SAL]]</f>
        <v>55838.794999999998</v>
      </c>
      <c r="R33" s="115">
        <f>tblPiNAnalysis[[#This Row],[EDU]]</f>
        <v>23020.03479357472</v>
      </c>
      <c r="S33" s="115">
        <f>tblPiNAnalysis[[#This Row],[PRO]]</f>
        <v>36465.013986298829</v>
      </c>
      <c r="T33" s="116">
        <f>tblPiNAnalysis[[#This Row],[ASH]]</f>
        <v>68842.350000000006</v>
      </c>
      <c r="U33" s="300">
        <f>IF(OR(tblPiNHistorical[[#This Row],[SAMV25]]="", tblPiNHistorical[[#This Row],[SAMV25]]=0, tblPiNHistorical[[#This Row],[SAMV26]]="", tblPiNHistorical[[#This Row],[SAMV26]]=0), "", tblPiNHistorical[[#This Row],[SAMV26]]-tblPiNHistorical[[#This Row],[SAMV25]])</f>
        <v>10009</v>
      </c>
      <c r="V33" s="121">
        <f>IF(OR(tblPiNHistorical[[#This Row],[NUT25]]="", tblPiNHistorical[[#This Row],[NUT25]]=0, tblPiNHistorical[[#This Row],[NUT26]]="", tblPiNHistorical[[#This Row],[NUT26]]=0), "", tblPiNHistorical[[#This Row],[NUT26]]-tblPiNHistorical[[#This Row],[NUT25]])</f>
        <v>4794.0053886407914</v>
      </c>
      <c r="W33" s="121">
        <f>IF(OR(tblPiNHistorical[[#This Row],[SAL25]]="", tblPiNHistorical[[#This Row],[SAL25]]=0, tblPiNHistorical[[#This Row],[SAL26]]="", tblPiNHistorical[[#This Row],[SAL26]]=0), "", tblPiNHistorical[[#This Row],[SAL26]]-tblPiNHistorical[[#This Row],[SAL25]])</f>
        <v>40603.362522627889</v>
      </c>
      <c r="X33" s="121">
        <f>IF(OR(tblPiNHistorical[[#This Row],[EDU25]]="", tblPiNHistorical[[#This Row],[EDU25]]=0, tblPiNHistorical[[#This Row],[EDU26]]="", tblPiNHistorical[[#This Row],[EDU26]]=0), "", tblPiNHistorical[[#This Row],[EDU26]]-tblPiNHistorical[[#This Row],[EDU25]])</f>
        <v>13388.005186696999</v>
      </c>
      <c r="Y33" s="121">
        <f>IF(OR(tblPiNHistorical[[#This Row],[PRO25]]="", tblPiNHistorical[[#This Row],[PRO25]]=0, tblPiNHistorical[[#This Row],[PRO26]]="", tblPiNHistorical[[#This Row],[PRO26]]=0), "", tblPiNHistorical[[#This Row],[PRO26]]-tblPiNHistorical[[#This Row],[PRO25]])</f>
        <v>23643.728958280859</v>
      </c>
      <c r="Z33" s="223">
        <f>IF(OR(tblPiNHistorical[[#This Row],[ASH25]]="", tblPiNHistorical[[#This Row],[ASH25]]=0, tblPiNHistorical[[#This Row],[ASH26]]="", tblPiNHistorical[[#This Row],[ASH26]]=0), "", tblPiNHistorical[[#This Row],[ASH26]]-tblPiNHistorical[[#This Row],[ASH25]])</f>
        <v>33732.350000000006</v>
      </c>
      <c r="AA3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1.1000000000000001</v>
      </c>
      <c r="AB3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3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2.7</v>
      </c>
      <c r="AD3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1.4</v>
      </c>
      <c r="AE3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1.8</v>
      </c>
      <c r="AF33"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1</v>
      </c>
    </row>
    <row r="34" spans="1:32">
      <c r="A3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VenezolanosVE0402</v>
      </c>
      <c r="B34" s="105" t="s">
        <v>163</v>
      </c>
      <c r="C34" s="104" t="s">
        <v>164</v>
      </c>
      <c r="D34" s="119" t="s">
        <v>167</v>
      </c>
      <c r="E34" s="104" t="s">
        <v>168</v>
      </c>
      <c r="F34" s="119"/>
      <c r="G34" s="102">
        <v>54323</v>
      </c>
      <c r="H34" s="102" t="s">
        <v>102</v>
      </c>
      <c r="I34" s="206">
        <v>8091</v>
      </c>
      <c r="J34" s="120">
        <v>3523</v>
      </c>
      <c r="K34" s="207">
        <v>14143.577981042263</v>
      </c>
      <c r="L34" s="207">
        <v>6893.1233994597724</v>
      </c>
      <c r="M34" s="207">
        <v>12821.28502801797</v>
      </c>
      <c r="N34" s="298">
        <v>32594</v>
      </c>
      <c r="O34" s="114">
        <f>tblPiNAnalysis[[#This Row],[SAMV]]</f>
        <v>49834</v>
      </c>
      <c r="P34" s="115">
        <f>tblPiNAnalysis[[#This Row],[NUT]]</f>
        <v>6347.9932718436048</v>
      </c>
      <c r="Q34" s="115">
        <f>tblPiNAnalysis[[#This Row],[SAL]]</f>
        <v>68107.175000000003</v>
      </c>
      <c r="R34" s="115">
        <f>tblPiNAnalysis[[#This Row],[EDU]]</f>
        <v>21566.181098022618</v>
      </c>
      <c r="S34" s="115">
        <f>tblPiNAnalysis[[#This Row],[PRO]]</f>
        <v>37113.649032223722</v>
      </c>
      <c r="T34" s="116">
        <f>tblPiNAnalysis[[#This Row],[ASH]]</f>
        <v>0</v>
      </c>
      <c r="U34" s="300">
        <f>IF(OR(tblPiNHistorical[[#This Row],[SAMV25]]="", tblPiNHistorical[[#This Row],[SAMV25]]=0, tblPiNHistorical[[#This Row],[SAMV26]]="", tblPiNHistorical[[#This Row],[SAMV26]]=0), "", tblPiNHistorical[[#This Row],[SAMV26]]-tblPiNHistorical[[#This Row],[SAMV25]])</f>
        <v>41743</v>
      </c>
      <c r="V34" s="121">
        <f>IF(OR(tblPiNHistorical[[#This Row],[NUT25]]="", tblPiNHistorical[[#This Row],[NUT25]]=0, tblPiNHistorical[[#This Row],[NUT26]]="", tblPiNHistorical[[#This Row],[NUT26]]=0), "", tblPiNHistorical[[#This Row],[NUT26]]-tblPiNHistorical[[#This Row],[NUT25]])</f>
        <v>2824.9932718436048</v>
      </c>
      <c r="W34" s="121">
        <f>IF(OR(tblPiNHistorical[[#This Row],[SAL25]]="", tblPiNHistorical[[#This Row],[SAL25]]=0, tblPiNHistorical[[#This Row],[SAL26]]="", tblPiNHistorical[[#This Row],[SAL26]]=0), "", tblPiNHistorical[[#This Row],[SAL26]]-tblPiNHistorical[[#This Row],[SAL25]])</f>
        <v>53963.597018957742</v>
      </c>
      <c r="X34" s="121">
        <f>IF(OR(tblPiNHistorical[[#This Row],[EDU25]]="", tblPiNHistorical[[#This Row],[EDU25]]=0, tblPiNHistorical[[#This Row],[EDU26]]="", tblPiNHistorical[[#This Row],[EDU26]]=0), "", tblPiNHistorical[[#This Row],[EDU26]]-tblPiNHistorical[[#This Row],[EDU25]])</f>
        <v>14673.057698562847</v>
      </c>
      <c r="Y34" s="121">
        <f>IF(OR(tblPiNHistorical[[#This Row],[PRO25]]="", tblPiNHistorical[[#This Row],[PRO25]]=0, tblPiNHistorical[[#This Row],[PRO26]]="", tblPiNHistorical[[#This Row],[PRO26]]=0), "", tblPiNHistorical[[#This Row],[PRO26]]-tblPiNHistorical[[#This Row],[PRO25]])</f>
        <v>24292.364004205752</v>
      </c>
      <c r="Z34" s="223" t="str">
        <f>IF(OR(tblPiNHistorical[[#This Row],[ASH25]]="", tblPiNHistorical[[#This Row],[ASH25]]=0, tblPiNHistorical[[#This Row],[ASH26]]="", tblPiNHistorical[[#This Row],[ASH26]]=0), "", tblPiNHistorical[[#This Row],[ASH26]]-tblPiNHistorical[[#This Row],[ASH25]])</f>
        <v/>
      </c>
      <c r="AA3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5.2</v>
      </c>
      <c r="AB3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3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3.8</v>
      </c>
      <c r="AD3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2.1</v>
      </c>
      <c r="AE3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1.9</v>
      </c>
      <c r="AF3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32594</v>
      </c>
    </row>
    <row r="35" spans="1:32">
      <c r="A3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VenezolanosVE0403</v>
      </c>
      <c r="B35" s="105" t="s">
        <v>163</v>
      </c>
      <c r="C35" s="104" t="s">
        <v>164</v>
      </c>
      <c r="D35" s="119" t="s">
        <v>169</v>
      </c>
      <c r="E35" s="104" t="s">
        <v>170</v>
      </c>
      <c r="F35" s="119"/>
      <c r="G35" s="102">
        <v>27542</v>
      </c>
      <c r="H35" s="102" t="s">
        <v>102</v>
      </c>
      <c r="I35" s="206">
        <v>4102</v>
      </c>
      <c r="J35" s="120">
        <v>1317</v>
      </c>
      <c r="K35" s="207">
        <v>7170.3729491280465</v>
      </c>
      <c r="L35" s="207">
        <v>3972.315686766096</v>
      </c>
      <c r="M35" s="207">
        <v>9791.934997050088</v>
      </c>
      <c r="N35" s="298">
        <v>16525</v>
      </c>
      <c r="O35" s="114">
        <f>tblPiNAnalysis[[#This Row],[SAMV]]</f>
        <v>16036</v>
      </c>
      <c r="P35" s="115">
        <f>tblPiNAnalysis[[#This Row],[NUT]]</f>
        <v>11441.380194558114</v>
      </c>
      <c r="Q35" s="115">
        <f>tblPiNAnalysis[[#This Row],[SAL]]</f>
        <v>54099.57</v>
      </c>
      <c r="R35" s="115">
        <f>tblPiNAnalysis[[#This Row],[EDU]]</f>
        <v>13405.051233996901</v>
      </c>
      <c r="S35" s="115">
        <f>tblPiNAnalysis[[#This Row],[PRO]]</f>
        <v>35458.127978101686</v>
      </c>
      <c r="T35" s="116">
        <f>tblPiNAnalysis[[#This Row],[ASH]]</f>
        <v>66698.100000000006</v>
      </c>
      <c r="U35" s="300">
        <f>IF(OR(tblPiNHistorical[[#This Row],[SAMV25]]="", tblPiNHistorical[[#This Row],[SAMV25]]=0, tblPiNHistorical[[#This Row],[SAMV26]]="", tblPiNHistorical[[#This Row],[SAMV26]]=0), "", tblPiNHistorical[[#This Row],[SAMV26]]-tblPiNHistorical[[#This Row],[SAMV25]])</f>
        <v>11934</v>
      </c>
      <c r="V35" s="121">
        <f>IF(OR(tblPiNHistorical[[#This Row],[NUT25]]="", tblPiNHistorical[[#This Row],[NUT25]]=0, tblPiNHistorical[[#This Row],[NUT26]]="", tblPiNHistorical[[#This Row],[NUT26]]=0), "", tblPiNHistorical[[#This Row],[NUT26]]-tblPiNHistorical[[#This Row],[NUT25]])</f>
        <v>10124.380194558114</v>
      </c>
      <c r="W35" s="121">
        <f>IF(OR(tblPiNHistorical[[#This Row],[SAL25]]="", tblPiNHistorical[[#This Row],[SAL25]]=0, tblPiNHistorical[[#This Row],[SAL26]]="", tblPiNHistorical[[#This Row],[SAL26]]=0), "", tblPiNHistorical[[#This Row],[SAL26]]-tblPiNHistorical[[#This Row],[SAL25]])</f>
        <v>46929.197050871953</v>
      </c>
      <c r="X35" s="121">
        <f>IF(OR(tblPiNHistorical[[#This Row],[EDU25]]="", tblPiNHistorical[[#This Row],[EDU25]]=0, tblPiNHistorical[[#This Row],[EDU26]]="", tblPiNHistorical[[#This Row],[EDU26]]=0), "", tblPiNHistorical[[#This Row],[EDU26]]-tblPiNHistorical[[#This Row],[EDU25]])</f>
        <v>9432.7355472308045</v>
      </c>
      <c r="Y35" s="121">
        <f>IF(OR(tblPiNHistorical[[#This Row],[PRO25]]="", tblPiNHistorical[[#This Row],[PRO25]]=0, tblPiNHistorical[[#This Row],[PRO26]]="", tblPiNHistorical[[#This Row],[PRO26]]=0), "", tblPiNHistorical[[#This Row],[PRO26]]-tblPiNHistorical[[#This Row],[PRO25]])</f>
        <v>25666.192981051598</v>
      </c>
      <c r="Z35" s="223">
        <f>IF(OR(tblPiNHistorical[[#This Row],[ASH25]]="", tblPiNHistorical[[#This Row],[ASH25]]=0, tblPiNHistorical[[#This Row],[ASH26]]="", tblPiNHistorical[[#This Row],[ASH26]]=0), "", tblPiNHistorical[[#This Row],[ASH26]]-tblPiNHistorical[[#This Row],[ASH25]])</f>
        <v>50173.100000000006</v>
      </c>
      <c r="AA3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2.9</v>
      </c>
      <c r="AB3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7.7</v>
      </c>
      <c r="AC3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6.5</v>
      </c>
      <c r="AD3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2.4</v>
      </c>
      <c r="AE3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2.6</v>
      </c>
      <c r="AF35"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3</v>
      </c>
    </row>
    <row r="36" spans="1:32">
      <c r="A3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VenezolanosVE0404</v>
      </c>
      <c r="B36" s="105" t="s">
        <v>163</v>
      </c>
      <c r="C36" s="104" t="s">
        <v>164</v>
      </c>
      <c r="D36" s="119" t="s">
        <v>171</v>
      </c>
      <c r="E36" s="104" t="s">
        <v>172</v>
      </c>
      <c r="F36" s="119"/>
      <c r="G36" s="102">
        <v>100125</v>
      </c>
      <c r="H36" s="102" t="s">
        <v>102</v>
      </c>
      <c r="I36" s="206">
        <v>14912</v>
      </c>
      <c r="J36" s="120">
        <v>4306</v>
      </c>
      <c r="K36" s="207">
        <v>26068.769195040491</v>
      </c>
      <c r="L36" s="207">
        <v>14831.554715854789</v>
      </c>
      <c r="M36" s="207">
        <v>17629.266913524705</v>
      </c>
      <c r="N36" s="298">
        <v>20025</v>
      </c>
      <c r="O36" s="114">
        <f>tblPiNAnalysis[[#This Row],[SAMV]]</f>
        <v>28600</v>
      </c>
      <c r="P36" s="115">
        <f>tblPiNAnalysis[[#This Row],[NUT]]</f>
        <v>5142.2235047458289</v>
      </c>
      <c r="Q36" s="115">
        <f>tblPiNAnalysis[[#This Row],[SAL]]</f>
        <v>45771.73</v>
      </c>
      <c r="R36" s="115">
        <f>tblPiNAnalysis[[#This Row],[EDU]]</f>
        <v>14539.779756822465</v>
      </c>
      <c r="S36" s="115">
        <f>tblPiNAnalysis[[#This Row],[PRO]]</f>
        <v>29930.871562082062</v>
      </c>
      <c r="T36" s="116">
        <f>tblPiNAnalysis[[#This Row],[ASH]]</f>
        <v>56430.9</v>
      </c>
      <c r="U36" s="300">
        <f>IF(OR(tblPiNHistorical[[#This Row],[SAMV25]]="", tblPiNHistorical[[#This Row],[SAMV25]]=0, tblPiNHistorical[[#This Row],[SAMV26]]="", tblPiNHistorical[[#This Row],[SAMV26]]=0), "", tblPiNHistorical[[#This Row],[SAMV26]]-tblPiNHistorical[[#This Row],[SAMV25]])</f>
        <v>13688</v>
      </c>
      <c r="V36" s="121">
        <f>IF(OR(tblPiNHistorical[[#This Row],[NUT25]]="", tblPiNHistorical[[#This Row],[NUT25]]=0, tblPiNHistorical[[#This Row],[NUT26]]="", tblPiNHistorical[[#This Row],[NUT26]]=0), "", tblPiNHistorical[[#This Row],[NUT26]]-tblPiNHistorical[[#This Row],[NUT25]])</f>
        <v>836.2235047458289</v>
      </c>
      <c r="W36" s="121">
        <f>IF(OR(tblPiNHistorical[[#This Row],[SAL25]]="", tblPiNHistorical[[#This Row],[SAL25]]=0, tblPiNHistorical[[#This Row],[SAL26]]="", tblPiNHistorical[[#This Row],[SAL26]]=0), "", tblPiNHistorical[[#This Row],[SAL26]]-tblPiNHistorical[[#This Row],[SAL25]])</f>
        <v>19702.960804959512</v>
      </c>
      <c r="X36" s="121">
        <f>IF(OR(tblPiNHistorical[[#This Row],[EDU25]]="", tblPiNHistorical[[#This Row],[EDU25]]=0, tblPiNHistorical[[#This Row],[EDU26]]="", tblPiNHistorical[[#This Row],[EDU26]]=0), "", tblPiNHistorical[[#This Row],[EDU26]]-tblPiNHistorical[[#This Row],[EDU25]])</f>
        <v>-291.77495903232375</v>
      </c>
      <c r="Y36" s="121">
        <f>IF(OR(tblPiNHistorical[[#This Row],[PRO25]]="", tblPiNHistorical[[#This Row],[PRO25]]=0, tblPiNHistorical[[#This Row],[PRO26]]="", tblPiNHistorical[[#This Row],[PRO26]]=0), "", tblPiNHistorical[[#This Row],[PRO26]]-tblPiNHistorical[[#This Row],[PRO25]])</f>
        <v>12301.604648557357</v>
      </c>
      <c r="Z36" s="223">
        <f>IF(OR(tblPiNHistorical[[#This Row],[ASH25]]="", tblPiNHistorical[[#This Row],[ASH25]]=0, tblPiNHistorical[[#This Row],[ASH26]]="", tblPiNHistorical[[#This Row],[ASH26]]=0), "", tblPiNHistorical[[#This Row],[ASH26]]-tblPiNHistorical[[#This Row],[ASH25]])</f>
        <v>36405.9</v>
      </c>
      <c r="AA3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3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3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3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v>
      </c>
      <c r="AE3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36"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1.8</v>
      </c>
    </row>
    <row r="37" spans="1:32">
      <c r="A3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VenezolanosVE0405</v>
      </c>
      <c r="B37" s="105" t="s">
        <v>163</v>
      </c>
      <c r="C37" s="104" t="s">
        <v>164</v>
      </c>
      <c r="D37" s="119" t="s">
        <v>173</v>
      </c>
      <c r="E37" s="104" t="s">
        <v>174</v>
      </c>
      <c r="F37" s="119"/>
      <c r="G37" s="102">
        <v>28966</v>
      </c>
      <c r="H37" s="102" t="s">
        <v>102</v>
      </c>
      <c r="I37" s="206">
        <v>4314</v>
      </c>
      <c r="J37" s="120">
        <v>1596</v>
      </c>
      <c r="K37" s="207">
        <v>7541.9205318174218</v>
      </c>
      <c r="L37" s="207">
        <v>5404.036093208324</v>
      </c>
      <c r="M37" s="207">
        <v>14160.033223667857</v>
      </c>
      <c r="N37" s="298">
        <v>14483</v>
      </c>
      <c r="O37" s="114">
        <f>tblPiNAnalysis[[#This Row],[SAMV]]</f>
        <v>21230</v>
      </c>
      <c r="P37" s="115">
        <f>tblPiNAnalysis[[#This Row],[NUT]]</f>
        <v>10679.864389374021</v>
      </c>
      <c r="Q37" s="115">
        <f>tblPiNAnalysis[[#This Row],[SAL]]</f>
        <v>56087.724999999999</v>
      </c>
      <c r="R37" s="115">
        <f>tblPiNAnalysis[[#This Row],[EDU]]</f>
        <v>19383.11853008662</v>
      </c>
      <c r="S37" s="115">
        <f>tblPiNAnalysis[[#This Row],[PRO]]</f>
        <v>30522.979536967126</v>
      </c>
      <c r="T37" s="116">
        <f>tblPiNAnalysis[[#This Row],[ASH]]</f>
        <v>0</v>
      </c>
      <c r="U37" s="300">
        <f>IF(OR(tblPiNHistorical[[#This Row],[SAMV25]]="", tblPiNHistorical[[#This Row],[SAMV25]]=0, tblPiNHistorical[[#This Row],[SAMV26]]="", tblPiNHistorical[[#This Row],[SAMV26]]=0), "", tblPiNHistorical[[#This Row],[SAMV26]]-tblPiNHistorical[[#This Row],[SAMV25]])</f>
        <v>16916</v>
      </c>
      <c r="V37" s="121">
        <f>IF(OR(tblPiNHistorical[[#This Row],[NUT25]]="", tblPiNHistorical[[#This Row],[NUT25]]=0, tblPiNHistorical[[#This Row],[NUT26]]="", tblPiNHistorical[[#This Row],[NUT26]]=0), "", tblPiNHistorical[[#This Row],[NUT26]]-tblPiNHistorical[[#This Row],[NUT25]])</f>
        <v>9083.8643893740209</v>
      </c>
      <c r="W37" s="121">
        <f>IF(OR(tblPiNHistorical[[#This Row],[SAL25]]="", tblPiNHistorical[[#This Row],[SAL25]]=0, tblPiNHistorical[[#This Row],[SAL26]]="", tblPiNHistorical[[#This Row],[SAL26]]=0), "", tblPiNHistorical[[#This Row],[SAL26]]-tblPiNHistorical[[#This Row],[SAL25]])</f>
        <v>48545.804468182578</v>
      </c>
      <c r="X37" s="121">
        <f>IF(OR(tblPiNHistorical[[#This Row],[EDU25]]="", tblPiNHistorical[[#This Row],[EDU25]]=0, tblPiNHistorical[[#This Row],[EDU26]]="", tblPiNHistorical[[#This Row],[EDU26]]=0), "", tblPiNHistorical[[#This Row],[EDU26]]-tblPiNHistorical[[#This Row],[EDU25]])</f>
        <v>13979.082436878296</v>
      </c>
      <c r="Y37" s="121">
        <f>IF(OR(tblPiNHistorical[[#This Row],[PRO25]]="", tblPiNHistorical[[#This Row],[PRO25]]=0, tblPiNHistorical[[#This Row],[PRO26]]="", tblPiNHistorical[[#This Row],[PRO26]]=0), "", tblPiNHistorical[[#This Row],[PRO26]]-tblPiNHistorical[[#This Row],[PRO25]])</f>
        <v>16362.94631329927</v>
      </c>
      <c r="Z37" s="223" t="str">
        <f>IF(OR(tblPiNHistorical[[#This Row],[ASH25]]="", tblPiNHistorical[[#This Row],[ASH25]]=0, tblPiNHistorical[[#This Row],[ASH26]]="", tblPiNHistorical[[#This Row],[ASH26]]=0), "", tblPiNHistorical[[#This Row],[ASH26]]-tblPiNHistorical[[#This Row],[ASH25]])</f>
        <v/>
      </c>
      <c r="AA3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3.9</v>
      </c>
      <c r="AB3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5.7</v>
      </c>
      <c r="AC3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6.4</v>
      </c>
      <c r="AD3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2.6</v>
      </c>
      <c r="AE3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1.2</v>
      </c>
      <c r="AF3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14483</v>
      </c>
    </row>
    <row r="38" spans="1:32">
      <c r="A3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VenezolanosVE0406</v>
      </c>
      <c r="B38" s="105" t="s">
        <v>163</v>
      </c>
      <c r="C38" s="104" t="s">
        <v>164</v>
      </c>
      <c r="D38" s="119" t="s">
        <v>175</v>
      </c>
      <c r="E38" s="104" t="s">
        <v>176</v>
      </c>
      <c r="F38" s="119"/>
      <c r="G38" s="102">
        <v>24418</v>
      </c>
      <c r="H38" s="102" t="s">
        <v>102</v>
      </c>
      <c r="I38" s="206">
        <v>3637</v>
      </c>
      <c r="J38" s="120">
        <v>1312</v>
      </c>
      <c r="K38" s="207">
        <v>6357.9222349806096</v>
      </c>
      <c r="L38" s="207">
        <v>4394.2573553772127</v>
      </c>
      <c r="M38" s="207">
        <v>8681.2674736028257</v>
      </c>
      <c r="N38" s="298">
        <v>14651</v>
      </c>
      <c r="O38" s="114">
        <f>tblPiNAnalysis[[#This Row],[SAMV]]</f>
        <v>13497</v>
      </c>
      <c r="P38" s="115">
        <f>tblPiNAnalysis[[#This Row],[NUT]]</f>
        <v>3796.9556356222247</v>
      </c>
      <c r="Q38" s="115">
        <f>tblPiNAnalysis[[#This Row],[SAL]]</f>
        <v>33534.375</v>
      </c>
      <c r="R38" s="115">
        <f>tblPiNAnalysis[[#This Row],[EDU]]</f>
        <v>12126.705141717055</v>
      </c>
      <c r="S38" s="115">
        <f>tblPiNAnalysis[[#This Row],[PRO]]</f>
        <v>18248.105096642761</v>
      </c>
      <c r="T38" s="116">
        <f>tblPiNAnalysis[[#This Row],[ASH]]</f>
        <v>55125</v>
      </c>
      <c r="U38" s="300">
        <f>IF(OR(tblPiNHistorical[[#This Row],[SAMV25]]="", tblPiNHistorical[[#This Row],[SAMV25]]=0, tblPiNHistorical[[#This Row],[SAMV26]]="", tblPiNHistorical[[#This Row],[SAMV26]]=0), "", tblPiNHistorical[[#This Row],[SAMV26]]-tblPiNHistorical[[#This Row],[SAMV25]])</f>
        <v>9860</v>
      </c>
      <c r="V38" s="121">
        <f>IF(OR(tblPiNHistorical[[#This Row],[NUT25]]="", tblPiNHistorical[[#This Row],[NUT25]]=0, tblPiNHistorical[[#This Row],[NUT26]]="", tblPiNHistorical[[#This Row],[NUT26]]=0), "", tblPiNHistorical[[#This Row],[NUT26]]-tblPiNHistorical[[#This Row],[NUT25]])</f>
        <v>2484.9556356222247</v>
      </c>
      <c r="W38" s="121">
        <f>IF(OR(tblPiNHistorical[[#This Row],[SAL25]]="", tblPiNHistorical[[#This Row],[SAL25]]=0, tblPiNHistorical[[#This Row],[SAL26]]="", tblPiNHistorical[[#This Row],[SAL26]]=0), "", tblPiNHistorical[[#This Row],[SAL26]]-tblPiNHistorical[[#This Row],[SAL25]])</f>
        <v>27176.452765019392</v>
      </c>
      <c r="X38" s="121">
        <f>IF(OR(tblPiNHistorical[[#This Row],[EDU25]]="", tblPiNHistorical[[#This Row],[EDU25]]=0, tblPiNHistorical[[#This Row],[EDU26]]="", tblPiNHistorical[[#This Row],[EDU26]]=0), "", tblPiNHistorical[[#This Row],[EDU26]]-tblPiNHistorical[[#This Row],[EDU25]])</f>
        <v>7732.4477863398424</v>
      </c>
      <c r="Y38" s="121">
        <f>IF(OR(tblPiNHistorical[[#This Row],[PRO25]]="", tblPiNHistorical[[#This Row],[PRO25]]=0, tblPiNHistorical[[#This Row],[PRO26]]="", tblPiNHistorical[[#This Row],[PRO26]]=0), "", tblPiNHistorical[[#This Row],[PRO26]]-tblPiNHistorical[[#This Row],[PRO25]])</f>
        <v>9566.8376230399354</v>
      </c>
      <c r="Z38" s="223">
        <f>IF(OR(tblPiNHistorical[[#This Row],[ASH25]]="", tblPiNHistorical[[#This Row],[ASH25]]=0, tblPiNHistorical[[#This Row],[ASH26]]="", tblPiNHistorical[[#This Row],[ASH26]]=0), "", tblPiNHistorical[[#This Row],[ASH26]]-tblPiNHistorical[[#This Row],[ASH25]])</f>
        <v>40474</v>
      </c>
      <c r="AA3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2.7</v>
      </c>
      <c r="AB3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1.9</v>
      </c>
      <c r="AC3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4.3</v>
      </c>
      <c r="AD3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1.8</v>
      </c>
      <c r="AE3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1.1000000000000001</v>
      </c>
      <c r="AF38"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2.8</v>
      </c>
    </row>
    <row r="39" spans="1:32">
      <c r="A3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VenezolanosVE0407</v>
      </c>
      <c r="B39" s="105" t="s">
        <v>163</v>
      </c>
      <c r="C39" s="104" t="s">
        <v>164</v>
      </c>
      <c r="D39" s="119" t="s">
        <v>177</v>
      </c>
      <c r="E39" s="104" t="s">
        <v>178</v>
      </c>
      <c r="F39" s="119"/>
      <c r="G39" s="102">
        <v>165135</v>
      </c>
      <c r="H39" s="102" t="s">
        <v>102</v>
      </c>
      <c r="I39" s="206">
        <v>24595</v>
      </c>
      <c r="J39" s="120">
        <v>8131</v>
      </c>
      <c r="K39" s="207">
        <v>42994.495475260803</v>
      </c>
      <c r="L39" s="207">
        <v>22221.379180056669</v>
      </c>
      <c r="M39" s="207">
        <v>17629.266913524705</v>
      </c>
      <c r="N39" s="298">
        <v>82568</v>
      </c>
      <c r="O39" s="114">
        <f>tblPiNAnalysis[[#This Row],[SAMV]]</f>
        <v>28513</v>
      </c>
      <c r="P39" s="115">
        <f>tblPiNAnalysis[[#This Row],[NUT]]</f>
        <v>5638.6621941758949</v>
      </c>
      <c r="Q39" s="115">
        <f>tblPiNAnalysis[[#This Row],[SAL]]</f>
        <v>52995.81</v>
      </c>
      <c r="R39" s="115">
        <f>tblPiNAnalysis[[#This Row],[EDU]]</f>
        <v>14944.294423882566</v>
      </c>
      <c r="S39" s="115">
        <f>tblPiNAnalysis[[#This Row],[PRO]]</f>
        <v>32294.865932777066</v>
      </c>
      <c r="T39" s="116">
        <f>tblPiNAnalysis[[#This Row],[ASH]]</f>
        <v>0</v>
      </c>
      <c r="U39" s="300">
        <f>IF(OR(tblPiNHistorical[[#This Row],[SAMV25]]="", tblPiNHistorical[[#This Row],[SAMV25]]=0, tblPiNHistorical[[#This Row],[SAMV26]]="", tblPiNHistorical[[#This Row],[SAMV26]]=0), "", tblPiNHistorical[[#This Row],[SAMV26]]-tblPiNHistorical[[#This Row],[SAMV25]])</f>
        <v>3918</v>
      </c>
      <c r="V39" s="121">
        <f>IF(OR(tblPiNHistorical[[#This Row],[NUT25]]="", tblPiNHistorical[[#This Row],[NUT25]]=0, tblPiNHistorical[[#This Row],[NUT26]]="", tblPiNHistorical[[#This Row],[NUT26]]=0), "", tblPiNHistorical[[#This Row],[NUT26]]-tblPiNHistorical[[#This Row],[NUT25]])</f>
        <v>-2492.3378058241051</v>
      </c>
      <c r="W39" s="121">
        <f>IF(OR(tblPiNHistorical[[#This Row],[SAL25]]="", tblPiNHistorical[[#This Row],[SAL25]]=0, tblPiNHistorical[[#This Row],[SAL26]]="", tblPiNHistorical[[#This Row],[SAL26]]=0), "", tblPiNHistorical[[#This Row],[SAL26]]-tblPiNHistorical[[#This Row],[SAL25]])</f>
        <v>10001.314524739195</v>
      </c>
      <c r="X39" s="121">
        <f>IF(OR(tblPiNHistorical[[#This Row],[EDU25]]="", tblPiNHistorical[[#This Row],[EDU25]]=0, tblPiNHistorical[[#This Row],[EDU26]]="", tblPiNHistorical[[#This Row],[EDU26]]=0), "", tblPiNHistorical[[#This Row],[EDU26]]-tblPiNHistorical[[#This Row],[EDU25]])</f>
        <v>-7277.0847561741029</v>
      </c>
      <c r="Y39" s="121">
        <f>IF(OR(tblPiNHistorical[[#This Row],[PRO25]]="", tblPiNHistorical[[#This Row],[PRO25]]=0, tblPiNHistorical[[#This Row],[PRO26]]="", tblPiNHistorical[[#This Row],[PRO26]]=0), "", tblPiNHistorical[[#This Row],[PRO26]]-tblPiNHistorical[[#This Row],[PRO25]])</f>
        <v>14665.59901925236</v>
      </c>
      <c r="Z39" s="223" t="str">
        <f>IF(OR(tblPiNHistorical[[#This Row],[ASH25]]="", tblPiNHistorical[[#This Row],[ASH25]]=0, tblPiNHistorical[[#This Row],[ASH26]]="", tblPiNHistorical[[#This Row],[ASH26]]=0), "", tblPiNHistorical[[#This Row],[ASH26]]-tblPiNHistorical[[#This Row],[ASH25]])</f>
        <v/>
      </c>
      <c r="AA3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3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-0.3</v>
      </c>
      <c r="AC3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3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3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3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82568</v>
      </c>
    </row>
    <row r="40" spans="1:32">
      <c r="A4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VenezolanosVE0501</v>
      </c>
      <c r="B40" s="105" t="s">
        <v>123</v>
      </c>
      <c r="C40" s="104" t="s">
        <v>179</v>
      </c>
      <c r="D40" s="119" t="s">
        <v>180</v>
      </c>
      <c r="E40" s="104" t="s">
        <v>181</v>
      </c>
      <c r="F40" s="119"/>
      <c r="G40" s="102">
        <v>38047</v>
      </c>
      <c r="H40" s="102" t="s">
        <v>102</v>
      </c>
      <c r="I40" s="206">
        <v>6267</v>
      </c>
      <c r="J40" s="120">
        <v>1594</v>
      </c>
      <c r="K40" s="207">
        <v>9905.9539512756946</v>
      </c>
      <c r="L40" s="207">
        <v>2482.5142320918608</v>
      </c>
      <c r="M40" s="207">
        <v>18599.281366460367</v>
      </c>
      <c r="N40" s="298">
        <v>0</v>
      </c>
      <c r="O40" s="114">
        <f>tblPiNAnalysis[[#This Row],[SAMV]]</f>
        <v>19075</v>
      </c>
      <c r="P40" s="115">
        <f>tblPiNAnalysis[[#This Row],[NUT]]</f>
        <v>7370.8181050802659</v>
      </c>
      <c r="Q40" s="115">
        <f>tblPiNAnalysis[[#This Row],[SAL]]</f>
        <v>51798.245000000003</v>
      </c>
      <c r="R40" s="115">
        <f>tblPiNAnalysis[[#This Row],[EDU]]</f>
        <v>13051.285569376869</v>
      </c>
      <c r="S40" s="115">
        <f>tblPiNAnalysis[[#This Row],[PRO]]</f>
        <v>33949.78555746498</v>
      </c>
      <c r="T40" s="116">
        <f>tblPiNAnalysis[[#This Row],[ASH]]</f>
        <v>19158.254999999997</v>
      </c>
      <c r="U40" s="300">
        <f>IF(OR(tblPiNHistorical[[#This Row],[SAMV25]]="", tblPiNHistorical[[#This Row],[SAMV25]]=0, tblPiNHistorical[[#This Row],[SAMV26]]="", tblPiNHistorical[[#This Row],[SAMV26]]=0), "", tblPiNHistorical[[#This Row],[SAMV26]]-tblPiNHistorical[[#This Row],[SAMV25]])</f>
        <v>12808</v>
      </c>
      <c r="V40" s="121">
        <f>IF(OR(tblPiNHistorical[[#This Row],[NUT25]]="", tblPiNHistorical[[#This Row],[NUT25]]=0, tblPiNHistorical[[#This Row],[NUT26]]="", tblPiNHistorical[[#This Row],[NUT26]]=0), "", tblPiNHistorical[[#This Row],[NUT26]]-tblPiNHistorical[[#This Row],[NUT25]])</f>
        <v>5776.8181050802659</v>
      </c>
      <c r="W40" s="121">
        <f>IF(OR(tblPiNHistorical[[#This Row],[SAL25]]="", tblPiNHistorical[[#This Row],[SAL25]]=0, tblPiNHistorical[[#This Row],[SAL26]]="", tblPiNHistorical[[#This Row],[SAL26]]=0), "", tblPiNHistorical[[#This Row],[SAL26]]-tblPiNHistorical[[#This Row],[SAL25]])</f>
        <v>41892.291048724306</v>
      </c>
      <c r="X40" s="121">
        <f>IF(OR(tblPiNHistorical[[#This Row],[EDU25]]="", tblPiNHistorical[[#This Row],[EDU25]]=0, tblPiNHistorical[[#This Row],[EDU26]]="", tblPiNHistorical[[#This Row],[EDU26]]=0), "", tblPiNHistorical[[#This Row],[EDU26]]-tblPiNHistorical[[#This Row],[EDU25]])</f>
        <v>10568.771337285008</v>
      </c>
      <c r="Y40" s="121">
        <f>IF(OR(tblPiNHistorical[[#This Row],[PRO25]]="", tblPiNHistorical[[#This Row],[PRO25]]=0, tblPiNHistorical[[#This Row],[PRO26]]="", tblPiNHistorical[[#This Row],[PRO26]]=0), "", tblPiNHistorical[[#This Row],[PRO26]]-tblPiNHistorical[[#This Row],[PRO25]])</f>
        <v>15350.504191004613</v>
      </c>
      <c r="Z40" s="223" t="str">
        <f>IF(OR(tblPiNHistorical[[#This Row],[ASH25]]="", tblPiNHistorical[[#This Row],[ASH25]]=0, tblPiNHistorical[[#This Row],[ASH26]]="", tblPiNHistorical[[#This Row],[ASH26]]=0), "", tblPiNHistorical[[#This Row],[ASH26]]-tblPiNHistorical[[#This Row],[ASH25]])</f>
        <v/>
      </c>
      <c r="AA4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v>
      </c>
      <c r="AB4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3.6</v>
      </c>
      <c r="AC4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4.2</v>
      </c>
      <c r="AD4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4.3</v>
      </c>
      <c r="AE4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4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19158.255</v>
      </c>
    </row>
    <row r="41" spans="1:32">
      <c r="A4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VenezolanosVE0502</v>
      </c>
      <c r="B41" s="105" t="s">
        <v>123</v>
      </c>
      <c r="C41" s="104" t="s">
        <v>179</v>
      </c>
      <c r="D41" s="119" t="s">
        <v>182</v>
      </c>
      <c r="E41" s="104" t="s">
        <v>183</v>
      </c>
      <c r="F41" s="119"/>
      <c r="G41" s="102">
        <v>16627</v>
      </c>
      <c r="H41" s="102" t="s">
        <v>102</v>
      </c>
      <c r="I41" s="206">
        <v>2739</v>
      </c>
      <c r="J41" s="120">
        <v>680</v>
      </c>
      <c r="K41" s="207">
        <v>4328.7770367196954</v>
      </c>
      <c r="L41" s="207">
        <v>1177.7126520757583</v>
      </c>
      <c r="M41" s="207">
        <v>8128.1113170588105</v>
      </c>
      <c r="N41" s="298">
        <v>3325</v>
      </c>
      <c r="O41" s="114">
        <f>tblPiNAnalysis[[#This Row],[SAMV]]</f>
        <v>14782</v>
      </c>
      <c r="P41" s="115">
        <f>tblPiNAnalysis[[#This Row],[NUT]]</f>
        <v>8814.0211796490003</v>
      </c>
      <c r="Q41" s="115">
        <f>tblPiNAnalysis[[#This Row],[SAL]]</f>
        <v>41502.69</v>
      </c>
      <c r="R41" s="115">
        <f>tblPiNAnalysis[[#This Row],[EDU]]</f>
        <v>14852.772180237374</v>
      </c>
      <c r="S41" s="115">
        <f>tblPiNAnalysis[[#This Row],[PRO]]</f>
        <v>27201.837157956728</v>
      </c>
      <c r="T41" s="116">
        <f>tblPiNAnalysis[[#This Row],[ASH]]</f>
        <v>51167.700000000004</v>
      </c>
      <c r="U41" s="300">
        <f>IF(OR(tblPiNHistorical[[#This Row],[SAMV25]]="", tblPiNHistorical[[#This Row],[SAMV25]]=0, tblPiNHistorical[[#This Row],[SAMV26]]="", tblPiNHistorical[[#This Row],[SAMV26]]=0), "", tblPiNHistorical[[#This Row],[SAMV26]]-tblPiNHistorical[[#This Row],[SAMV25]])</f>
        <v>12043</v>
      </c>
      <c r="V41" s="121">
        <f>IF(OR(tblPiNHistorical[[#This Row],[NUT25]]="", tblPiNHistorical[[#This Row],[NUT25]]=0, tblPiNHistorical[[#This Row],[NUT26]]="", tblPiNHistorical[[#This Row],[NUT26]]=0), "", tblPiNHistorical[[#This Row],[NUT26]]-tblPiNHistorical[[#This Row],[NUT25]])</f>
        <v>8134.0211796490003</v>
      </c>
      <c r="W41" s="121">
        <f>IF(OR(tblPiNHistorical[[#This Row],[SAL25]]="", tblPiNHistorical[[#This Row],[SAL25]]=0, tblPiNHistorical[[#This Row],[SAL26]]="", tblPiNHistorical[[#This Row],[SAL26]]=0), "", tblPiNHistorical[[#This Row],[SAL26]]-tblPiNHistorical[[#This Row],[SAL25]])</f>
        <v>37173.912963280309</v>
      </c>
      <c r="X41" s="121">
        <f>IF(OR(tblPiNHistorical[[#This Row],[EDU25]]="", tblPiNHistorical[[#This Row],[EDU25]]=0, tblPiNHistorical[[#This Row],[EDU26]]="", tblPiNHistorical[[#This Row],[EDU26]]=0), "", tblPiNHistorical[[#This Row],[EDU26]]-tblPiNHistorical[[#This Row],[EDU25]])</f>
        <v>13675.059528161615</v>
      </c>
      <c r="Y41" s="121">
        <f>IF(OR(tblPiNHistorical[[#This Row],[PRO25]]="", tblPiNHistorical[[#This Row],[PRO25]]=0, tblPiNHistorical[[#This Row],[PRO26]]="", tblPiNHistorical[[#This Row],[PRO26]]=0), "", tblPiNHistorical[[#This Row],[PRO26]]-tblPiNHistorical[[#This Row],[PRO25]])</f>
        <v>19073.725840897918</v>
      </c>
      <c r="Z41" s="223">
        <f>IF(OR(tblPiNHistorical[[#This Row],[ASH25]]="", tblPiNHistorical[[#This Row],[ASH25]]=0, tblPiNHistorical[[#This Row],[ASH26]]="", tblPiNHistorical[[#This Row],[ASH26]]=0), "", tblPiNHistorical[[#This Row],[ASH26]]-tblPiNHistorical[[#This Row],[ASH25]])</f>
        <v>47842.700000000004</v>
      </c>
      <c r="AA4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4.4000000000000004</v>
      </c>
      <c r="AB4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12</v>
      </c>
      <c r="AC4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8.6</v>
      </c>
      <c r="AD4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11.6</v>
      </c>
      <c r="AE4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2.2999999999999998</v>
      </c>
      <c r="AF41"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14.4</v>
      </c>
    </row>
    <row r="42" spans="1:32">
      <c r="A4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VenezolanosVE0503</v>
      </c>
      <c r="B42" s="105" t="s">
        <v>123</v>
      </c>
      <c r="C42" s="104" t="s">
        <v>179</v>
      </c>
      <c r="D42" s="119" t="s">
        <v>184</v>
      </c>
      <c r="E42" s="104" t="s">
        <v>185</v>
      </c>
      <c r="F42" s="119"/>
      <c r="G42" s="102">
        <v>407109</v>
      </c>
      <c r="H42" s="102" t="s">
        <v>102</v>
      </c>
      <c r="I42" s="206">
        <v>67053</v>
      </c>
      <c r="J42" s="120">
        <v>15252</v>
      </c>
      <c r="K42" s="207">
        <v>105994.10359607147</v>
      </c>
      <c r="L42" s="207">
        <v>21022.324460145461</v>
      </c>
      <c r="M42" s="207">
        <v>17692.92264938667</v>
      </c>
      <c r="N42" s="298">
        <v>0</v>
      </c>
      <c r="O42" s="114">
        <f>tblPiNAnalysis[[#This Row],[SAMV]]</f>
        <v>12392</v>
      </c>
      <c r="P42" s="115">
        <f>tblPiNAnalysis[[#This Row],[NUT]]</f>
        <v>20776.441349154215</v>
      </c>
      <c r="Q42" s="115">
        <f>tblPiNAnalysis[[#This Row],[SAL]]</f>
        <v>50809.46</v>
      </c>
      <c r="R42" s="115">
        <f>tblPiNAnalysis[[#This Row],[EDU]]</f>
        <v>14544.995300628078</v>
      </c>
      <c r="S42" s="115">
        <f>tblPiNAnalysis[[#This Row],[PRO]]</f>
        <v>33676.833319465062</v>
      </c>
      <c r="T42" s="116">
        <f>tblPiNAnalysis[[#This Row],[ASH]]</f>
        <v>0</v>
      </c>
      <c r="U42" s="300">
        <f>IF(OR(tblPiNHistorical[[#This Row],[SAMV25]]="", tblPiNHistorical[[#This Row],[SAMV25]]=0, tblPiNHistorical[[#This Row],[SAMV26]]="", tblPiNHistorical[[#This Row],[SAMV26]]=0), "", tblPiNHistorical[[#This Row],[SAMV26]]-tblPiNHistorical[[#This Row],[SAMV25]])</f>
        <v>-54661</v>
      </c>
      <c r="V42" s="121">
        <f>IF(OR(tblPiNHistorical[[#This Row],[NUT25]]="", tblPiNHistorical[[#This Row],[NUT25]]=0, tblPiNHistorical[[#This Row],[NUT26]]="", tblPiNHistorical[[#This Row],[NUT26]]=0), "", tblPiNHistorical[[#This Row],[NUT26]]-tblPiNHistorical[[#This Row],[NUT25]])</f>
        <v>5524.4413491542145</v>
      </c>
      <c r="W42" s="121">
        <f>IF(OR(tblPiNHistorical[[#This Row],[SAL25]]="", tblPiNHistorical[[#This Row],[SAL25]]=0, tblPiNHistorical[[#This Row],[SAL26]]="", tblPiNHistorical[[#This Row],[SAL26]]=0), "", tblPiNHistorical[[#This Row],[SAL26]]-tblPiNHistorical[[#This Row],[SAL25]])</f>
        <v>-55184.643596071466</v>
      </c>
      <c r="X42" s="121">
        <f>IF(OR(tblPiNHistorical[[#This Row],[EDU25]]="", tblPiNHistorical[[#This Row],[EDU25]]=0, tblPiNHistorical[[#This Row],[EDU26]]="", tblPiNHistorical[[#This Row],[EDU26]]=0), "", tblPiNHistorical[[#This Row],[EDU26]]-tblPiNHistorical[[#This Row],[EDU25]])</f>
        <v>-6477.3291595173832</v>
      </c>
      <c r="Y42" s="121">
        <f>IF(OR(tblPiNHistorical[[#This Row],[PRO25]]="", tblPiNHistorical[[#This Row],[PRO25]]=0, tblPiNHistorical[[#This Row],[PRO26]]="", tblPiNHistorical[[#This Row],[PRO26]]=0), "", tblPiNHistorical[[#This Row],[PRO26]]-tblPiNHistorical[[#This Row],[PRO25]])</f>
        <v>15983.910670078392</v>
      </c>
      <c r="Z42" s="223" t="str">
        <f>IF(OR(tblPiNHistorical[[#This Row],[ASH25]]="", tblPiNHistorical[[#This Row],[ASH25]]=0, tblPiNHistorical[[#This Row],[ASH26]]="", tblPiNHistorical[[#This Row],[ASH26]]=0), "", tblPiNHistorical[[#This Row],[ASH26]]-tblPiNHistorical[[#This Row],[ASH25]])</f>
        <v/>
      </c>
      <c r="AA4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4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0.4</v>
      </c>
      <c r="AC4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4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4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4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43" spans="1:32">
      <c r="A4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VenezolanosVE0504</v>
      </c>
      <c r="B43" s="105" t="s">
        <v>123</v>
      </c>
      <c r="C43" s="104" t="s">
        <v>179</v>
      </c>
      <c r="D43" s="119" t="s">
        <v>186</v>
      </c>
      <c r="E43" s="104" t="s">
        <v>187</v>
      </c>
      <c r="F43" s="119"/>
      <c r="G43" s="102">
        <v>32981</v>
      </c>
      <c r="H43" s="102" t="s">
        <v>102</v>
      </c>
      <c r="I43" s="206">
        <v>5432</v>
      </c>
      <c r="J43" s="120">
        <v>1307</v>
      </c>
      <c r="K43" s="207">
        <v>8587.2077311168687</v>
      </c>
      <c r="L43" s="207">
        <v>1969.6394510232403</v>
      </c>
      <c r="M43" s="207">
        <v>16122.766545252698</v>
      </c>
      <c r="N43" s="298">
        <v>0</v>
      </c>
      <c r="O43" s="114">
        <f>tblPiNAnalysis[[#This Row],[SAMV]]</f>
        <v>23851</v>
      </c>
      <c r="P43" s="115">
        <f>tblPiNAnalysis[[#This Row],[NUT]]</f>
        <v>4641.3726721507173</v>
      </c>
      <c r="Q43" s="115">
        <f>tblPiNAnalysis[[#This Row],[SAL]]</f>
        <v>50548.485000000001</v>
      </c>
      <c r="R43" s="115">
        <f>tblPiNAnalysis[[#This Row],[EDU]]</f>
        <v>14074.076193286957</v>
      </c>
      <c r="S43" s="115">
        <f>tblPiNAnalysis[[#This Row],[PRO]]</f>
        <v>33130.663519675916</v>
      </c>
      <c r="T43" s="116">
        <f>tblPiNAnalysis[[#This Row],[ASH]]</f>
        <v>9348.0074999999997</v>
      </c>
      <c r="U43" s="300">
        <f>IF(OR(tblPiNHistorical[[#This Row],[SAMV25]]="", tblPiNHistorical[[#This Row],[SAMV25]]=0, tblPiNHistorical[[#This Row],[SAMV26]]="", tblPiNHistorical[[#This Row],[SAMV26]]=0), "", tblPiNHistorical[[#This Row],[SAMV26]]-tblPiNHistorical[[#This Row],[SAMV25]])</f>
        <v>18419</v>
      </c>
      <c r="V43" s="121">
        <f>IF(OR(tblPiNHistorical[[#This Row],[NUT25]]="", tblPiNHistorical[[#This Row],[NUT25]]=0, tblPiNHistorical[[#This Row],[NUT26]]="", tblPiNHistorical[[#This Row],[NUT26]]=0), "", tblPiNHistorical[[#This Row],[NUT26]]-tblPiNHistorical[[#This Row],[NUT25]])</f>
        <v>3334.3726721507173</v>
      </c>
      <c r="W43" s="121">
        <f>IF(OR(tblPiNHistorical[[#This Row],[SAL25]]="", tblPiNHistorical[[#This Row],[SAL25]]=0, tblPiNHistorical[[#This Row],[SAL26]]="", tblPiNHistorical[[#This Row],[SAL26]]=0), "", tblPiNHistorical[[#This Row],[SAL26]]-tblPiNHistorical[[#This Row],[SAL25]])</f>
        <v>41961.277268883132</v>
      </c>
      <c r="X43" s="121">
        <f>IF(OR(tblPiNHistorical[[#This Row],[EDU25]]="", tblPiNHistorical[[#This Row],[EDU25]]=0, tblPiNHistorical[[#This Row],[EDU26]]="", tblPiNHistorical[[#This Row],[EDU26]]=0), "", tblPiNHistorical[[#This Row],[EDU26]]-tblPiNHistorical[[#This Row],[EDU25]])</f>
        <v>12104.436742263717</v>
      </c>
      <c r="Y43" s="121">
        <f>IF(OR(tblPiNHistorical[[#This Row],[PRO25]]="", tblPiNHistorical[[#This Row],[PRO25]]=0, tblPiNHistorical[[#This Row],[PRO26]]="", tblPiNHistorical[[#This Row],[PRO26]]=0), "", tblPiNHistorical[[#This Row],[PRO26]]-tblPiNHistorical[[#This Row],[PRO25]])</f>
        <v>17007.896974423216</v>
      </c>
      <c r="Z43" s="223" t="str">
        <f>IF(OR(tblPiNHistorical[[#This Row],[ASH25]]="", tblPiNHistorical[[#This Row],[ASH25]]=0, tblPiNHistorical[[#This Row],[ASH26]]="", tblPiNHistorical[[#This Row],[ASH26]]=0), "", tblPiNHistorical[[#This Row],[ASH26]]-tblPiNHistorical[[#This Row],[ASH25]])</f>
        <v/>
      </c>
      <c r="AA4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3.4</v>
      </c>
      <c r="AB4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2.6</v>
      </c>
      <c r="AC4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4.9000000000000004</v>
      </c>
      <c r="AD4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6.1</v>
      </c>
      <c r="AE4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1.1000000000000001</v>
      </c>
      <c r="AF4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9348.0075</v>
      </c>
    </row>
    <row r="44" spans="1:32">
      <c r="A4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VenezolanosVE0505</v>
      </c>
      <c r="B44" s="105" t="s">
        <v>123</v>
      </c>
      <c r="C44" s="104" t="s">
        <v>179</v>
      </c>
      <c r="D44" s="119" t="s">
        <v>188</v>
      </c>
      <c r="E44" s="104" t="s">
        <v>189</v>
      </c>
      <c r="F44" s="119"/>
      <c r="G44" s="102">
        <v>143501</v>
      </c>
      <c r="H44" s="102" t="s">
        <v>102</v>
      </c>
      <c r="I44" s="206">
        <v>23635</v>
      </c>
      <c r="J44" s="120">
        <v>5694</v>
      </c>
      <c r="K44" s="207">
        <v>37361.834121689855</v>
      </c>
      <c r="L44" s="207">
        <v>8499.1618418443741</v>
      </c>
      <c r="M44" s="207">
        <v>24327.768642906674</v>
      </c>
      <c r="N44" s="298">
        <v>0</v>
      </c>
      <c r="O44" s="114">
        <f>tblPiNAnalysis[[#This Row],[SAMV]]</f>
        <v>32790</v>
      </c>
      <c r="P44" s="115">
        <f>tblPiNAnalysis[[#This Row],[NUT]]</f>
        <v>5774.6494437724832</v>
      </c>
      <c r="Q44" s="115">
        <f>tblPiNAnalysis[[#This Row],[SAL]]</f>
        <v>49524.294999999998</v>
      </c>
      <c r="R44" s="115">
        <f>tblPiNAnalysis[[#This Row],[EDU]]</f>
        <v>15747.790952202507</v>
      </c>
      <c r="S44" s="115">
        <f>tblPiNAnalysis[[#This Row],[PRO]]</f>
        <v>22696.049440500428</v>
      </c>
      <c r="T44" s="116">
        <f>tblPiNAnalysis[[#This Row],[ASH]]</f>
        <v>18317.204999999998</v>
      </c>
      <c r="U44" s="300">
        <f>IF(OR(tblPiNHistorical[[#This Row],[SAMV25]]="", tblPiNHistorical[[#This Row],[SAMV25]]=0, tblPiNHistorical[[#This Row],[SAMV26]]="", tblPiNHistorical[[#This Row],[SAMV26]]=0), "", tblPiNHistorical[[#This Row],[SAMV26]]-tblPiNHistorical[[#This Row],[SAMV25]])</f>
        <v>9155</v>
      </c>
      <c r="V44" s="121">
        <f>IF(OR(tblPiNHistorical[[#This Row],[NUT25]]="", tblPiNHistorical[[#This Row],[NUT25]]=0, tblPiNHistorical[[#This Row],[NUT26]]="", tblPiNHistorical[[#This Row],[NUT26]]=0), "", tblPiNHistorical[[#This Row],[NUT26]]-tblPiNHistorical[[#This Row],[NUT25]])</f>
        <v>80.64944377248321</v>
      </c>
      <c r="W44" s="121">
        <f>IF(OR(tblPiNHistorical[[#This Row],[SAL25]]="", tblPiNHistorical[[#This Row],[SAL25]]=0, tblPiNHistorical[[#This Row],[SAL26]]="", tblPiNHistorical[[#This Row],[SAL26]]=0), "", tblPiNHistorical[[#This Row],[SAL26]]-tblPiNHistorical[[#This Row],[SAL25]])</f>
        <v>12162.460878310143</v>
      </c>
      <c r="X44" s="121">
        <f>IF(OR(tblPiNHistorical[[#This Row],[EDU25]]="", tblPiNHistorical[[#This Row],[EDU25]]=0, tblPiNHistorical[[#This Row],[EDU26]]="", tblPiNHistorical[[#This Row],[EDU26]]=0), "", tblPiNHistorical[[#This Row],[EDU26]]-tblPiNHistorical[[#This Row],[EDU25]])</f>
        <v>7248.6291103581334</v>
      </c>
      <c r="Y44" s="121">
        <f>IF(OR(tblPiNHistorical[[#This Row],[PRO25]]="", tblPiNHistorical[[#This Row],[PRO25]]=0, tblPiNHistorical[[#This Row],[PRO26]]="", tblPiNHistorical[[#This Row],[PRO26]]=0), "", tblPiNHistorical[[#This Row],[PRO26]]-tblPiNHistorical[[#This Row],[PRO25]])</f>
        <v>-1631.719202406246</v>
      </c>
      <c r="Z44" s="223" t="str">
        <f>IF(OR(tblPiNHistorical[[#This Row],[ASH25]]="", tblPiNHistorical[[#This Row],[ASH25]]=0, tblPiNHistorical[[#This Row],[ASH26]]="", tblPiNHistorical[[#This Row],[ASH26]]=0), "", tblPiNHistorical[[#This Row],[ASH26]]-tblPiNHistorical[[#This Row],[ASH25]])</f>
        <v/>
      </c>
      <c r="AA4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4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v>
      </c>
      <c r="AC4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4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4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4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18317.205</v>
      </c>
    </row>
    <row r="45" spans="1:32">
      <c r="A4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VenezolanosVE0506</v>
      </c>
      <c r="B45" s="105" t="s">
        <v>123</v>
      </c>
      <c r="C45" s="104" t="s">
        <v>179</v>
      </c>
      <c r="D45" s="119" t="s">
        <v>190</v>
      </c>
      <c r="E45" s="104" t="s">
        <v>191</v>
      </c>
      <c r="F45" s="119"/>
      <c r="G45" s="102">
        <v>48800</v>
      </c>
      <c r="H45" s="102" t="s">
        <v>102</v>
      </c>
      <c r="I45" s="206">
        <v>8038</v>
      </c>
      <c r="J45" s="120">
        <v>2011</v>
      </c>
      <c r="K45" s="207">
        <v>12705.936534422835</v>
      </c>
      <c r="L45" s="207">
        <v>3357.9653227237814</v>
      </c>
      <c r="M45" s="207">
        <v>23855.886947282728</v>
      </c>
      <c r="N45" s="298">
        <v>0</v>
      </c>
      <c r="O45" s="114">
        <f>tblPiNAnalysis[[#This Row],[SAMV]]</f>
        <v>9609</v>
      </c>
      <c r="P45" s="115">
        <f>tblPiNAnalysis[[#This Row],[NUT]]</f>
        <v>8392.6171726725388</v>
      </c>
      <c r="Q45" s="115">
        <f>tblPiNAnalysis[[#This Row],[SAL]]</f>
        <v>48047.504999999997</v>
      </c>
      <c r="R45" s="115">
        <f>tblPiNAnalysis[[#This Row],[EDU]]</f>
        <v>20046.072436259514</v>
      </c>
      <c r="S45" s="115">
        <f>tblPiNAnalysis[[#This Row],[PRO]]</f>
        <v>31374.704465067924</v>
      </c>
      <c r="T45" s="116">
        <f>tblPiNAnalysis[[#This Row],[ASH]]</f>
        <v>17770.994999999999</v>
      </c>
      <c r="U45" s="300">
        <f>IF(OR(tblPiNHistorical[[#This Row],[SAMV25]]="", tblPiNHistorical[[#This Row],[SAMV25]]=0, tblPiNHistorical[[#This Row],[SAMV26]]="", tblPiNHistorical[[#This Row],[SAMV26]]=0), "", tblPiNHistorical[[#This Row],[SAMV26]]-tblPiNHistorical[[#This Row],[SAMV25]])</f>
        <v>1571</v>
      </c>
      <c r="V45" s="121">
        <f>IF(OR(tblPiNHistorical[[#This Row],[NUT25]]="", tblPiNHistorical[[#This Row],[NUT25]]=0, tblPiNHistorical[[#This Row],[NUT26]]="", tblPiNHistorical[[#This Row],[NUT26]]=0), "", tblPiNHistorical[[#This Row],[NUT26]]-tblPiNHistorical[[#This Row],[NUT25]])</f>
        <v>6381.6171726725388</v>
      </c>
      <c r="W45" s="121">
        <f>IF(OR(tblPiNHistorical[[#This Row],[SAL25]]="", tblPiNHistorical[[#This Row],[SAL25]]=0, tblPiNHistorical[[#This Row],[SAL26]]="", tblPiNHistorical[[#This Row],[SAL26]]=0), "", tblPiNHistorical[[#This Row],[SAL26]]-tblPiNHistorical[[#This Row],[SAL25]])</f>
        <v>35341.568465577162</v>
      </c>
      <c r="X45" s="121">
        <f>IF(OR(tblPiNHistorical[[#This Row],[EDU25]]="", tblPiNHistorical[[#This Row],[EDU25]]=0, tblPiNHistorical[[#This Row],[EDU26]]="", tblPiNHistorical[[#This Row],[EDU26]]=0), "", tblPiNHistorical[[#This Row],[EDU26]]-tblPiNHistorical[[#This Row],[EDU25]])</f>
        <v>16688.107113535734</v>
      </c>
      <c r="Y45" s="121">
        <f>IF(OR(tblPiNHistorical[[#This Row],[PRO25]]="", tblPiNHistorical[[#This Row],[PRO25]]=0, tblPiNHistorical[[#This Row],[PRO26]]="", tblPiNHistorical[[#This Row],[PRO26]]=0), "", tblPiNHistorical[[#This Row],[PRO26]]-tblPiNHistorical[[#This Row],[PRO25]])</f>
        <v>7518.8175177851954</v>
      </c>
      <c r="Z45" s="223" t="str">
        <f>IF(OR(tblPiNHistorical[[#This Row],[ASH25]]="", tblPiNHistorical[[#This Row],[ASH25]]=0, tblPiNHistorical[[#This Row],[ASH26]]="", tblPiNHistorical[[#This Row],[ASH26]]=0), "", tblPiNHistorical[[#This Row],[ASH26]]-tblPiNHistorical[[#This Row],[ASH25]])</f>
        <v/>
      </c>
      <c r="AA4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4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3.2</v>
      </c>
      <c r="AC4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2.8</v>
      </c>
      <c r="AD4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5</v>
      </c>
      <c r="AE4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4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17770.995</v>
      </c>
    </row>
    <row r="46" spans="1:32">
      <c r="A4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VenezolanosVE0507</v>
      </c>
      <c r="B46" s="105" t="s">
        <v>123</v>
      </c>
      <c r="C46" s="104" t="s">
        <v>179</v>
      </c>
      <c r="D46" s="119" t="s">
        <v>100</v>
      </c>
      <c r="E46" s="104" t="s">
        <v>192</v>
      </c>
      <c r="F46" s="119"/>
      <c r="G46" s="102">
        <v>114355</v>
      </c>
      <c r="H46" s="102" t="s">
        <v>102</v>
      </c>
      <c r="I46" s="206">
        <v>18835</v>
      </c>
      <c r="J46" s="120">
        <v>4757</v>
      </c>
      <c r="K46" s="207">
        <v>29773.34629284203</v>
      </c>
      <c r="L46" s="207">
        <v>7800.472089905099</v>
      </c>
      <c r="M46" s="207">
        <v>17692.92264938667</v>
      </c>
      <c r="N46" s="298">
        <v>0</v>
      </c>
      <c r="O46" s="114">
        <f>tblPiNAnalysis[[#This Row],[SAMV]]</f>
        <v>0</v>
      </c>
      <c r="P46" s="115">
        <f>tblPiNAnalysis[[#This Row],[NUT]]</f>
        <v>4996.6350896594977</v>
      </c>
      <c r="Q46" s="115">
        <f>tblPiNAnalysis[[#This Row],[SAL]]</f>
        <v>47095.22</v>
      </c>
      <c r="R46" s="115">
        <f>tblPiNAnalysis[[#This Row],[EDU]]</f>
        <v>15897.48084798592</v>
      </c>
      <c r="S46" s="115">
        <f>tblPiNAnalysis[[#This Row],[PRO]]</f>
        <v>28699.133308362321</v>
      </c>
      <c r="T46" s="116">
        <f>tblPiNAnalysis[[#This Row],[ASH]]</f>
        <v>17418.78</v>
      </c>
      <c r="U46" s="300" t="str">
        <f>IF(OR(tblPiNHistorical[[#This Row],[SAMV25]]="", tblPiNHistorical[[#This Row],[SAMV25]]=0, tblPiNHistorical[[#This Row],[SAMV26]]="", tblPiNHistorical[[#This Row],[SAMV26]]=0), "", tblPiNHistorical[[#This Row],[SAMV26]]-tblPiNHistorical[[#This Row],[SAMV25]])</f>
        <v/>
      </c>
      <c r="V46" s="121">
        <f>IF(OR(tblPiNHistorical[[#This Row],[NUT25]]="", tblPiNHistorical[[#This Row],[NUT25]]=0, tblPiNHistorical[[#This Row],[NUT26]]="", tblPiNHistorical[[#This Row],[NUT26]]=0), "", tblPiNHistorical[[#This Row],[NUT26]]-tblPiNHistorical[[#This Row],[NUT25]])</f>
        <v>239.63508965949768</v>
      </c>
      <c r="W46" s="121">
        <f>IF(OR(tblPiNHistorical[[#This Row],[SAL25]]="", tblPiNHistorical[[#This Row],[SAL25]]=0, tblPiNHistorical[[#This Row],[SAL26]]="", tblPiNHistorical[[#This Row],[SAL26]]=0), "", tblPiNHistorical[[#This Row],[SAL26]]-tblPiNHistorical[[#This Row],[SAL25]])</f>
        <v>17321.873707157971</v>
      </c>
      <c r="X46" s="121">
        <f>IF(OR(tblPiNHistorical[[#This Row],[EDU25]]="", tblPiNHistorical[[#This Row],[EDU25]]=0, tblPiNHistorical[[#This Row],[EDU26]]="", tblPiNHistorical[[#This Row],[EDU26]]=0), "", tblPiNHistorical[[#This Row],[EDU26]]-tblPiNHistorical[[#This Row],[EDU25]])</f>
        <v>8097.0087580808213</v>
      </c>
      <c r="Y46" s="121">
        <f>IF(OR(tblPiNHistorical[[#This Row],[PRO25]]="", tblPiNHistorical[[#This Row],[PRO25]]=0, tblPiNHistorical[[#This Row],[PRO26]]="", tblPiNHistorical[[#This Row],[PRO26]]=0), "", tblPiNHistorical[[#This Row],[PRO26]]-tblPiNHistorical[[#This Row],[PRO25]])</f>
        <v>11006.210658975651</v>
      </c>
      <c r="Z46" s="223" t="str">
        <f>IF(OR(tblPiNHistorical[[#This Row],[ASH25]]="", tblPiNHistorical[[#This Row],[ASH25]]=0, tblPiNHistorical[[#This Row],[ASH26]]="", tblPiNHistorical[[#This Row],[ASH26]]=0), "", tblPiNHistorical[[#This Row],[ASH26]]-tblPiNHistorical[[#This Row],[ASH25]])</f>
        <v/>
      </c>
      <c r="AA46" s="227" t="str">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NoPIN26 18835</v>
      </c>
      <c r="AB4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4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4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4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4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17418.78</v>
      </c>
    </row>
    <row r="47" spans="1:32">
      <c r="A4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VenezolanosVE0508</v>
      </c>
      <c r="B47" s="105" t="s">
        <v>123</v>
      </c>
      <c r="C47" s="104" t="s">
        <v>179</v>
      </c>
      <c r="D47" s="119" t="s">
        <v>193</v>
      </c>
      <c r="E47" s="104" t="s">
        <v>194</v>
      </c>
      <c r="F47" s="119"/>
      <c r="G47" s="102">
        <v>99852</v>
      </c>
      <c r="H47" s="102" t="s">
        <v>102</v>
      </c>
      <c r="I47" s="206">
        <v>16446</v>
      </c>
      <c r="J47" s="120">
        <v>3801</v>
      </c>
      <c r="K47" s="207">
        <v>25997.43205916413</v>
      </c>
      <c r="L47" s="207">
        <v>4125.358418634396</v>
      </c>
      <c r="M47" s="207">
        <v>24327.768642906674</v>
      </c>
      <c r="N47" s="298">
        <v>19970</v>
      </c>
      <c r="O47" s="114">
        <f>tblPiNAnalysis[[#This Row],[SAMV]]</f>
        <v>31933</v>
      </c>
      <c r="P47" s="115">
        <f>tblPiNAnalysis[[#This Row],[NUT]]</f>
        <v>4544.6124012872333</v>
      </c>
      <c r="Q47" s="115">
        <f>tblPiNAnalysis[[#This Row],[SAL]]</f>
        <v>39845.955000000002</v>
      </c>
      <c r="R47" s="115">
        <f>tblPiNAnalysis[[#This Row],[EDU]]</f>
        <v>7246.9228898259717</v>
      </c>
      <c r="S47" s="115">
        <f>tblPiNAnalysis[[#This Row],[PRO]]</f>
        <v>46819.945121696583</v>
      </c>
      <c r="T47" s="116">
        <f>tblPiNAnalysis[[#This Row],[ASH]]</f>
        <v>0</v>
      </c>
      <c r="U47" s="300">
        <f>IF(OR(tblPiNHistorical[[#This Row],[SAMV25]]="", tblPiNHistorical[[#This Row],[SAMV25]]=0, tblPiNHistorical[[#This Row],[SAMV26]]="", tblPiNHistorical[[#This Row],[SAMV26]]=0), "", tblPiNHistorical[[#This Row],[SAMV26]]-tblPiNHistorical[[#This Row],[SAMV25]])</f>
        <v>15487</v>
      </c>
      <c r="V47" s="121">
        <f>IF(OR(tblPiNHistorical[[#This Row],[NUT25]]="", tblPiNHistorical[[#This Row],[NUT25]]=0, tblPiNHistorical[[#This Row],[NUT26]]="", tblPiNHistorical[[#This Row],[NUT26]]=0), "", tblPiNHistorical[[#This Row],[NUT26]]-tblPiNHistorical[[#This Row],[NUT25]])</f>
        <v>743.6124012872333</v>
      </c>
      <c r="W47" s="121">
        <f>IF(OR(tblPiNHistorical[[#This Row],[SAL25]]="", tblPiNHistorical[[#This Row],[SAL25]]=0, tblPiNHistorical[[#This Row],[SAL26]]="", tblPiNHistorical[[#This Row],[SAL26]]=0), "", tblPiNHistorical[[#This Row],[SAL26]]-tblPiNHistorical[[#This Row],[SAL25]])</f>
        <v>13848.522940835872</v>
      </c>
      <c r="X47" s="121">
        <f>IF(OR(tblPiNHistorical[[#This Row],[EDU25]]="", tblPiNHistorical[[#This Row],[EDU25]]=0, tblPiNHistorical[[#This Row],[EDU26]]="", tblPiNHistorical[[#This Row],[EDU26]]=0), "", tblPiNHistorical[[#This Row],[EDU26]]-tblPiNHistorical[[#This Row],[EDU25]])</f>
        <v>3121.5644711915756</v>
      </c>
      <c r="Y47" s="121">
        <f>IF(OR(tblPiNHistorical[[#This Row],[PRO25]]="", tblPiNHistorical[[#This Row],[PRO25]]=0, tblPiNHistorical[[#This Row],[PRO26]]="", tblPiNHistorical[[#This Row],[PRO26]]=0), "", tblPiNHistorical[[#This Row],[PRO26]]-tblPiNHistorical[[#This Row],[PRO25]])</f>
        <v>22492.176478789908</v>
      </c>
      <c r="Z47" s="223" t="str">
        <f>IF(OR(tblPiNHistorical[[#This Row],[ASH25]]="", tblPiNHistorical[[#This Row],[ASH25]]=0, tblPiNHistorical[[#This Row],[ASH26]]="", tblPiNHistorical[[#This Row],[ASH26]]=0), "", tblPiNHistorical[[#This Row],[ASH26]]-tblPiNHistorical[[#This Row],[ASH25]])</f>
        <v/>
      </c>
      <c r="AA4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4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4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4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4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4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19970</v>
      </c>
    </row>
    <row r="48" spans="1:32">
      <c r="A4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VenezolanosVE0509</v>
      </c>
      <c r="B48" s="105" t="s">
        <v>123</v>
      </c>
      <c r="C48" s="104" t="s">
        <v>179</v>
      </c>
      <c r="D48" s="119" t="s">
        <v>195</v>
      </c>
      <c r="E48" s="104" t="s">
        <v>196</v>
      </c>
      <c r="F48" s="119"/>
      <c r="G48" s="102">
        <v>25540</v>
      </c>
      <c r="H48" s="102" t="s">
        <v>102</v>
      </c>
      <c r="I48" s="206">
        <v>4207</v>
      </c>
      <c r="J48" s="120">
        <v>1102</v>
      </c>
      <c r="K48" s="207">
        <v>6649.2155398090808</v>
      </c>
      <c r="L48" s="207">
        <v>1880.4724261531901</v>
      </c>
      <c r="M48" s="207">
        <v>12485.232635934446</v>
      </c>
      <c r="N48" s="298">
        <v>15324</v>
      </c>
      <c r="O48" s="114">
        <f>tblPiNAnalysis[[#This Row],[SAMV]]</f>
        <v>16538</v>
      </c>
      <c r="P48" s="115">
        <f>tblPiNAnalysis[[#This Row],[NUT]]</f>
        <v>4123.4214478426702</v>
      </c>
      <c r="Q48" s="115">
        <f>tblPiNAnalysis[[#This Row],[SAL]]</f>
        <v>46236.375</v>
      </c>
      <c r="R48" s="115">
        <f>tblPiNAnalysis[[#This Row],[EDU]]</f>
        <v>8754.3366301038095</v>
      </c>
      <c r="S48" s="115">
        <f>tblPiNAnalysis[[#This Row],[PRO]]</f>
        <v>30189.105796414318</v>
      </c>
      <c r="T48" s="116">
        <f>tblPiNAnalysis[[#This Row],[ASH]]</f>
        <v>8550.5625</v>
      </c>
      <c r="U48" s="300">
        <f>IF(OR(tblPiNHistorical[[#This Row],[SAMV25]]="", tblPiNHistorical[[#This Row],[SAMV25]]=0, tblPiNHistorical[[#This Row],[SAMV26]]="", tblPiNHistorical[[#This Row],[SAMV26]]=0), "", tblPiNHistorical[[#This Row],[SAMV26]]-tblPiNHistorical[[#This Row],[SAMV25]])</f>
        <v>12331</v>
      </c>
      <c r="V48" s="121">
        <f>IF(OR(tblPiNHistorical[[#This Row],[NUT25]]="", tblPiNHistorical[[#This Row],[NUT25]]=0, tblPiNHistorical[[#This Row],[NUT26]]="", tblPiNHistorical[[#This Row],[NUT26]]=0), "", tblPiNHistorical[[#This Row],[NUT26]]-tblPiNHistorical[[#This Row],[NUT25]])</f>
        <v>3021.4214478426702</v>
      </c>
      <c r="W48" s="121">
        <f>IF(OR(tblPiNHistorical[[#This Row],[SAL25]]="", tblPiNHistorical[[#This Row],[SAL25]]=0, tblPiNHistorical[[#This Row],[SAL26]]="", tblPiNHistorical[[#This Row],[SAL26]]=0), "", tblPiNHistorical[[#This Row],[SAL26]]-tblPiNHistorical[[#This Row],[SAL25]])</f>
        <v>39587.159460190916</v>
      </c>
      <c r="X48" s="121">
        <f>IF(OR(tblPiNHistorical[[#This Row],[EDU25]]="", tblPiNHistorical[[#This Row],[EDU25]]=0, tblPiNHistorical[[#This Row],[EDU26]]="", tblPiNHistorical[[#This Row],[EDU26]]=0), "", tblPiNHistorical[[#This Row],[EDU26]]-tblPiNHistorical[[#This Row],[EDU25]])</f>
        <v>6873.8642039506194</v>
      </c>
      <c r="Y48" s="121">
        <f>IF(OR(tblPiNHistorical[[#This Row],[PRO25]]="", tblPiNHistorical[[#This Row],[PRO25]]=0, tblPiNHistorical[[#This Row],[PRO26]]="", tblPiNHistorical[[#This Row],[PRO26]]=0), "", tblPiNHistorical[[#This Row],[PRO26]]-tblPiNHistorical[[#This Row],[PRO25]])</f>
        <v>17703.873160479874</v>
      </c>
      <c r="Z48" s="223">
        <f>IF(OR(tblPiNHistorical[[#This Row],[ASH25]]="", tblPiNHistorical[[#This Row],[ASH25]]=0, tblPiNHistorical[[#This Row],[ASH26]]="", tblPiNHistorical[[#This Row],[ASH26]]=0), "", tblPiNHistorical[[#This Row],[ASH26]]-tblPiNHistorical[[#This Row],[ASH25]])</f>
        <v>-6773.4375</v>
      </c>
      <c r="AA4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2.9</v>
      </c>
      <c r="AB4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2.7</v>
      </c>
      <c r="AC4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6</v>
      </c>
      <c r="AD4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3.7</v>
      </c>
      <c r="AE4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1.4</v>
      </c>
      <c r="AF48"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-0.4</v>
      </c>
    </row>
    <row r="49" spans="1:32">
      <c r="A4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VenezolanosVE0510</v>
      </c>
      <c r="B49" s="105" t="s">
        <v>123</v>
      </c>
      <c r="C49" s="104" t="s">
        <v>179</v>
      </c>
      <c r="D49" s="119" t="s">
        <v>197</v>
      </c>
      <c r="E49" s="104" t="s">
        <v>198</v>
      </c>
      <c r="F49" s="119"/>
      <c r="G49" s="102">
        <v>23279</v>
      </c>
      <c r="H49" s="102" t="s">
        <v>102</v>
      </c>
      <c r="I49" s="206">
        <v>3834</v>
      </c>
      <c r="J49" s="120">
        <v>867</v>
      </c>
      <c r="K49" s="207">
        <v>6060.6841688291088</v>
      </c>
      <c r="L49" s="207">
        <v>1322.4189307035608</v>
      </c>
      <c r="M49" s="207">
        <v>11379.942464053169</v>
      </c>
      <c r="N49" s="298">
        <v>13967</v>
      </c>
      <c r="O49" s="114">
        <f>tblPiNAnalysis[[#This Row],[SAMV]]</f>
        <v>0</v>
      </c>
      <c r="P49" s="115">
        <f>tblPiNAnalysis[[#This Row],[NUT]]</f>
        <v>6512.8598284746859</v>
      </c>
      <c r="Q49" s="115">
        <f>tblPiNAnalysis[[#This Row],[SAL]]</f>
        <v>45807.864999999998</v>
      </c>
      <c r="R49" s="115">
        <f>tblPiNAnalysis[[#This Row],[EDU]]</f>
        <v>15704.379175137039</v>
      </c>
      <c r="S49" s="115">
        <f>tblPiNAnalysis[[#This Row],[PRO]]</f>
        <v>29912.234288767508</v>
      </c>
      <c r="T49" s="116">
        <f>tblPiNAnalysis[[#This Row],[ASH]]</f>
        <v>16942.635000000002</v>
      </c>
      <c r="U49" s="300" t="str">
        <f>IF(OR(tblPiNHistorical[[#This Row],[SAMV25]]="", tblPiNHistorical[[#This Row],[SAMV25]]=0, tblPiNHistorical[[#This Row],[SAMV26]]="", tblPiNHistorical[[#This Row],[SAMV26]]=0), "", tblPiNHistorical[[#This Row],[SAMV26]]-tblPiNHistorical[[#This Row],[SAMV25]])</f>
        <v/>
      </c>
      <c r="V49" s="121">
        <f>IF(OR(tblPiNHistorical[[#This Row],[NUT25]]="", tblPiNHistorical[[#This Row],[NUT25]]=0, tblPiNHistorical[[#This Row],[NUT26]]="", tblPiNHistorical[[#This Row],[NUT26]]=0), "", tblPiNHistorical[[#This Row],[NUT26]]-tblPiNHistorical[[#This Row],[NUT25]])</f>
        <v>5645.8598284746859</v>
      </c>
      <c r="W49" s="121">
        <f>IF(OR(tblPiNHistorical[[#This Row],[SAL25]]="", tblPiNHistorical[[#This Row],[SAL25]]=0, tblPiNHistorical[[#This Row],[SAL26]]="", tblPiNHistorical[[#This Row],[SAL26]]=0), "", tblPiNHistorical[[#This Row],[SAL26]]-tblPiNHistorical[[#This Row],[SAL25]])</f>
        <v>39747.180831170888</v>
      </c>
      <c r="X49" s="121">
        <f>IF(OR(tblPiNHistorical[[#This Row],[EDU25]]="", tblPiNHistorical[[#This Row],[EDU25]]=0, tblPiNHistorical[[#This Row],[EDU26]]="", tblPiNHistorical[[#This Row],[EDU26]]=0), "", tblPiNHistorical[[#This Row],[EDU26]]-tblPiNHistorical[[#This Row],[EDU25]])</f>
        <v>14381.960244433478</v>
      </c>
      <c r="Y49" s="121">
        <f>IF(OR(tblPiNHistorical[[#This Row],[PRO25]]="", tblPiNHistorical[[#This Row],[PRO25]]=0, tblPiNHistorical[[#This Row],[PRO26]]="", tblPiNHistorical[[#This Row],[PRO26]]=0), "", tblPiNHistorical[[#This Row],[PRO26]]-tblPiNHistorical[[#This Row],[PRO25]])</f>
        <v>18532.291824714339</v>
      </c>
      <c r="Z49" s="223">
        <f>IF(OR(tblPiNHistorical[[#This Row],[ASH25]]="", tblPiNHistorical[[#This Row],[ASH25]]=0, tblPiNHistorical[[#This Row],[ASH26]]="", tblPiNHistorical[[#This Row],[ASH26]]=0), "", tblPiNHistorical[[#This Row],[ASH26]]-tblPiNHistorical[[#This Row],[ASH25]])</f>
        <v>2975.635000000002</v>
      </c>
      <c r="AA49" s="227" t="str">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NoPIN26 3834</v>
      </c>
      <c r="AB4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6.5</v>
      </c>
      <c r="AC4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6.6</v>
      </c>
      <c r="AD4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10.9</v>
      </c>
      <c r="AE4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1.6</v>
      </c>
      <c r="AF49"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0.2</v>
      </c>
    </row>
    <row r="50" spans="1:32">
      <c r="A5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VenezolanosVE0511</v>
      </c>
      <c r="B50" s="105" t="s">
        <v>123</v>
      </c>
      <c r="C50" s="104" t="s">
        <v>179</v>
      </c>
      <c r="D50" s="119" t="s">
        <v>199</v>
      </c>
      <c r="E50" s="104" t="s">
        <v>200</v>
      </c>
      <c r="F50" s="119"/>
      <c r="G50" s="102">
        <v>211010</v>
      </c>
      <c r="H50" s="102" t="s">
        <v>102</v>
      </c>
      <c r="I50" s="206">
        <v>34755</v>
      </c>
      <c r="J50" s="120">
        <v>8152</v>
      </c>
      <c r="K50" s="207">
        <v>54938.511766781958</v>
      </c>
      <c r="L50" s="207">
        <v>12529.08839013505</v>
      </c>
      <c r="M50" s="207">
        <v>24327.768642906674</v>
      </c>
      <c r="N50" s="298">
        <v>0</v>
      </c>
      <c r="O50" s="114">
        <f>tblPiNAnalysis[[#This Row],[SAMV]]</f>
        <v>2512</v>
      </c>
      <c r="P50" s="115">
        <f>tblPiNAnalysis[[#This Row],[NUT]]</f>
        <v>7859.3203884388549</v>
      </c>
      <c r="Q50" s="115">
        <f>tblPiNAnalysis[[#This Row],[SAL]]</f>
        <v>36678.120000000003</v>
      </c>
      <c r="R50" s="115">
        <f>tblPiNAnalysis[[#This Row],[EDU]]</f>
        <v>6927.7815860897972</v>
      </c>
      <c r="S50" s="115">
        <f>tblPiNAnalysis[[#This Row],[PRO]]</f>
        <v>24078.168429697846</v>
      </c>
      <c r="T50" s="116">
        <f>tblPiNAnalysis[[#This Row],[ASH]]</f>
        <v>45219.6</v>
      </c>
      <c r="U50" s="300">
        <f>IF(OR(tblPiNHistorical[[#This Row],[SAMV25]]="", tblPiNHistorical[[#This Row],[SAMV25]]=0, tblPiNHistorical[[#This Row],[SAMV26]]="", tblPiNHistorical[[#This Row],[SAMV26]]=0), "", tblPiNHistorical[[#This Row],[SAMV26]]-tblPiNHistorical[[#This Row],[SAMV25]])</f>
        <v>-32243</v>
      </c>
      <c r="V50" s="121">
        <f>IF(OR(tblPiNHistorical[[#This Row],[NUT25]]="", tblPiNHistorical[[#This Row],[NUT25]]=0, tblPiNHistorical[[#This Row],[NUT26]]="", tblPiNHistorical[[#This Row],[NUT26]]=0), "", tblPiNHistorical[[#This Row],[NUT26]]-tblPiNHistorical[[#This Row],[NUT25]])</f>
        <v>-292.67961156114507</v>
      </c>
      <c r="W50" s="121">
        <f>IF(OR(tblPiNHistorical[[#This Row],[SAL25]]="", tblPiNHistorical[[#This Row],[SAL25]]=0, tblPiNHistorical[[#This Row],[SAL26]]="", tblPiNHistorical[[#This Row],[SAL26]]=0), "", tblPiNHistorical[[#This Row],[SAL26]]-tblPiNHistorical[[#This Row],[SAL25]])</f>
        <v>-18260.391766781955</v>
      </c>
      <c r="X50" s="121">
        <f>IF(OR(tblPiNHistorical[[#This Row],[EDU25]]="", tblPiNHistorical[[#This Row],[EDU25]]=0, tblPiNHistorical[[#This Row],[EDU26]]="", tblPiNHistorical[[#This Row],[EDU26]]=0), "", tblPiNHistorical[[#This Row],[EDU26]]-tblPiNHistorical[[#This Row],[EDU25]])</f>
        <v>-5601.3068040452526</v>
      </c>
      <c r="Y50" s="121">
        <f>IF(OR(tblPiNHistorical[[#This Row],[PRO25]]="", tblPiNHistorical[[#This Row],[PRO25]]=0, tblPiNHistorical[[#This Row],[PRO26]]="", tblPiNHistorical[[#This Row],[PRO26]]=0), "", tblPiNHistorical[[#This Row],[PRO26]]-tblPiNHistorical[[#This Row],[PRO25]])</f>
        <v>-249.60021320882879</v>
      </c>
      <c r="Z50" s="223" t="str">
        <f>IF(OR(tblPiNHistorical[[#This Row],[ASH25]]="", tblPiNHistorical[[#This Row],[ASH25]]=0, tblPiNHistorical[[#This Row],[ASH26]]="", tblPiNHistorical[[#This Row],[ASH26]]=0), "", tblPiNHistorical[[#This Row],[ASH26]]-tblPiNHistorical[[#This Row],[ASH25]])</f>
        <v/>
      </c>
      <c r="AA5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5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v>
      </c>
      <c r="AC5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5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5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v>
      </c>
      <c r="AF5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45219.6</v>
      </c>
    </row>
    <row r="51" spans="1:32">
      <c r="A5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VenezolanosVE0512</v>
      </c>
      <c r="B51" s="105" t="s">
        <v>123</v>
      </c>
      <c r="C51" s="104" t="s">
        <v>179</v>
      </c>
      <c r="D51" s="119" t="s">
        <v>201</v>
      </c>
      <c r="E51" s="104" t="s">
        <v>202</v>
      </c>
      <c r="F51" s="119"/>
      <c r="G51" s="102">
        <v>38574</v>
      </c>
      <c r="H51" s="102" t="s">
        <v>102</v>
      </c>
      <c r="I51" s="206">
        <v>6353</v>
      </c>
      <c r="J51" s="120">
        <v>1609</v>
      </c>
      <c r="K51" s="207">
        <v>10042.683461705385</v>
      </c>
      <c r="L51" s="207">
        <v>3257.00927101968</v>
      </c>
      <c r="M51" s="207">
        <v>13714.11301198933</v>
      </c>
      <c r="N51" s="298">
        <v>7715</v>
      </c>
      <c r="O51" s="114">
        <f>tblPiNAnalysis[[#This Row],[SAMV]]</f>
        <v>21943</v>
      </c>
      <c r="P51" s="115">
        <f>tblPiNAnalysis[[#This Row],[NUT]]</f>
        <v>6207.3295043550697</v>
      </c>
      <c r="Q51" s="115">
        <f>tblPiNAnalysis[[#This Row],[SAL]]</f>
        <v>45122.03</v>
      </c>
      <c r="R51" s="115">
        <f>tblPiNAnalysis[[#This Row],[EDU]]</f>
        <v>14355.36541941502</v>
      </c>
      <c r="S51" s="115">
        <f>tblPiNAnalysis[[#This Row],[PRO]]</f>
        <v>13748.350194711096</v>
      </c>
      <c r="T51" s="116">
        <f>tblPiNAnalysis[[#This Row],[ASH]]</f>
        <v>16688.97</v>
      </c>
      <c r="U51" s="300">
        <f>IF(OR(tblPiNHistorical[[#This Row],[SAMV25]]="", tblPiNHistorical[[#This Row],[SAMV25]]=0, tblPiNHistorical[[#This Row],[SAMV26]]="", tblPiNHistorical[[#This Row],[SAMV26]]=0), "", tblPiNHistorical[[#This Row],[SAMV26]]-tblPiNHistorical[[#This Row],[SAMV25]])</f>
        <v>15590</v>
      </c>
      <c r="V51" s="121">
        <f>IF(OR(tblPiNHistorical[[#This Row],[NUT25]]="", tblPiNHistorical[[#This Row],[NUT25]]=0, tblPiNHistorical[[#This Row],[NUT26]]="", tblPiNHistorical[[#This Row],[NUT26]]=0), "", tblPiNHistorical[[#This Row],[NUT26]]-tblPiNHistorical[[#This Row],[NUT25]])</f>
        <v>4598.3295043550697</v>
      </c>
      <c r="W51" s="121">
        <f>IF(OR(tblPiNHistorical[[#This Row],[SAL25]]="", tblPiNHistorical[[#This Row],[SAL25]]=0, tblPiNHistorical[[#This Row],[SAL26]]="", tblPiNHistorical[[#This Row],[SAL26]]=0), "", tblPiNHistorical[[#This Row],[SAL26]]-tblPiNHistorical[[#This Row],[SAL25]])</f>
        <v>35079.346538294616</v>
      </c>
      <c r="X51" s="121">
        <f>IF(OR(tblPiNHistorical[[#This Row],[EDU25]]="", tblPiNHistorical[[#This Row],[EDU25]]=0, tblPiNHistorical[[#This Row],[EDU26]]="", tblPiNHistorical[[#This Row],[EDU26]]=0), "", tblPiNHistorical[[#This Row],[EDU26]]-tblPiNHistorical[[#This Row],[EDU25]])</f>
        <v>11098.35614839534</v>
      </c>
      <c r="Y51" s="121">
        <f>IF(OR(tblPiNHistorical[[#This Row],[PRO25]]="", tblPiNHistorical[[#This Row],[PRO25]]=0, tblPiNHistorical[[#This Row],[PRO26]]="", tblPiNHistorical[[#This Row],[PRO26]]=0), "", tblPiNHistorical[[#This Row],[PRO26]]-tblPiNHistorical[[#This Row],[PRO25]])</f>
        <v>34.237182721766658</v>
      </c>
      <c r="Z51" s="223">
        <f>IF(OR(tblPiNHistorical[[#This Row],[ASH25]]="", tblPiNHistorical[[#This Row],[ASH25]]=0, tblPiNHistorical[[#This Row],[ASH26]]="", tblPiNHistorical[[#This Row],[ASH26]]=0), "", tblPiNHistorical[[#This Row],[ASH26]]-tblPiNHistorical[[#This Row],[ASH25]])</f>
        <v>8973.9700000000012</v>
      </c>
      <c r="AA5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2.5</v>
      </c>
      <c r="AB5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2.9</v>
      </c>
      <c r="AC5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3.5</v>
      </c>
      <c r="AD5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3.4</v>
      </c>
      <c r="AE5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v>
      </c>
      <c r="AF51"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1.2</v>
      </c>
    </row>
    <row r="52" spans="1:32">
      <c r="A5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VenezolanosVE0513</v>
      </c>
      <c r="B52" s="105" t="s">
        <v>123</v>
      </c>
      <c r="C52" s="104" t="s">
        <v>179</v>
      </c>
      <c r="D52" s="119" t="s">
        <v>203</v>
      </c>
      <c r="E52" s="104" t="s">
        <v>204</v>
      </c>
      <c r="F52" s="119"/>
      <c r="G52" s="102">
        <v>114509</v>
      </c>
      <c r="H52" s="102" t="s">
        <v>102</v>
      </c>
      <c r="I52" s="206">
        <v>18860</v>
      </c>
      <c r="J52" s="120">
        <v>4333</v>
      </c>
      <c r="K52" s="207">
        <v>29812.978034995565</v>
      </c>
      <c r="L52" s="207">
        <v>5985.619246660317</v>
      </c>
      <c r="M52" s="207">
        <v>24327.768642906674</v>
      </c>
      <c r="N52" s="298">
        <v>0</v>
      </c>
      <c r="O52" s="114">
        <f>tblPiNAnalysis[[#This Row],[SAMV]]</f>
        <v>11592</v>
      </c>
      <c r="P52" s="115">
        <f>tblPiNAnalysis[[#This Row],[NUT]]</f>
        <v>3999.3011938744403</v>
      </c>
      <c r="Q52" s="115">
        <f>tblPiNAnalysis[[#This Row],[SAL]]</f>
        <v>44001.845000000001</v>
      </c>
      <c r="R52" s="115">
        <f>tblPiNAnalysis[[#This Row],[EDU]]</f>
        <v>10037.878729624295</v>
      </c>
      <c r="S52" s="115">
        <f>tblPiNAnalysis[[#This Row],[PRO]]</f>
        <v>28839.842003967755</v>
      </c>
      <c r="T52" s="116">
        <f>tblPiNAnalysis[[#This Row],[ASH]]</f>
        <v>0</v>
      </c>
      <c r="U52" s="300">
        <f>IF(OR(tblPiNHistorical[[#This Row],[SAMV25]]="", tblPiNHistorical[[#This Row],[SAMV25]]=0, tblPiNHistorical[[#This Row],[SAMV26]]="", tblPiNHistorical[[#This Row],[SAMV26]]=0), "", tblPiNHistorical[[#This Row],[SAMV26]]-tblPiNHistorical[[#This Row],[SAMV25]])</f>
        <v>-7268</v>
      </c>
      <c r="V52" s="121">
        <f>IF(OR(tblPiNHistorical[[#This Row],[NUT25]]="", tblPiNHistorical[[#This Row],[NUT25]]=0, tblPiNHistorical[[#This Row],[NUT26]]="", tblPiNHistorical[[#This Row],[NUT26]]=0), "", tblPiNHistorical[[#This Row],[NUT26]]-tblPiNHistorical[[#This Row],[NUT25]])</f>
        <v>-333.69880612555971</v>
      </c>
      <c r="W52" s="121">
        <f>IF(OR(tblPiNHistorical[[#This Row],[SAL25]]="", tblPiNHistorical[[#This Row],[SAL25]]=0, tblPiNHistorical[[#This Row],[SAL26]]="", tblPiNHistorical[[#This Row],[SAL26]]=0), "", tblPiNHistorical[[#This Row],[SAL26]]-tblPiNHistorical[[#This Row],[SAL25]])</f>
        <v>14188.866965004436</v>
      </c>
      <c r="X52" s="121">
        <f>IF(OR(tblPiNHistorical[[#This Row],[EDU25]]="", tblPiNHistorical[[#This Row],[EDU25]]=0, tblPiNHistorical[[#This Row],[EDU26]]="", tblPiNHistorical[[#This Row],[EDU26]]=0), "", tblPiNHistorical[[#This Row],[EDU26]]-tblPiNHistorical[[#This Row],[EDU25]])</f>
        <v>4052.2594829639784</v>
      </c>
      <c r="Y52" s="121">
        <f>IF(OR(tblPiNHistorical[[#This Row],[PRO25]]="", tblPiNHistorical[[#This Row],[PRO25]]=0, tblPiNHistorical[[#This Row],[PRO26]]="", tblPiNHistorical[[#This Row],[PRO26]]=0), "", tblPiNHistorical[[#This Row],[PRO26]]-tblPiNHistorical[[#This Row],[PRO25]])</f>
        <v>4512.0733610610805</v>
      </c>
      <c r="Z52" s="223" t="str">
        <f>IF(OR(tblPiNHistorical[[#This Row],[ASH25]]="", tblPiNHistorical[[#This Row],[ASH25]]=0, tblPiNHistorical[[#This Row],[ASH26]]="", tblPiNHistorical[[#This Row],[ASH26]]=0), "", tblPiNHistorical[[#This Row],[ASH26]]-tblPiNHistorical[[#This Row],[ASH25]])</f>
        <v/>
      </c>
      <c r="AA5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5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5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5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5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0.2</v>
      </c>
      <c r="AF5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53" spans="1:32">
      <c r="A5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VenezolanosVE0514</v>
      </c>
      <c r="B53" s="105" t="s">
        <v>123</v>
      </c>
      <c r="C53" s="104" t="s">
        <v>179</v>
      </c>
      <c r="D53" s="119" t="s">
        <v>205</v>
      </c>
      <c r="E53" s="104" t="s">
        <v>206</v>
      </c>
      <c r="F53" s="119"/>
      <c r="G53" s="102">
        <v>14161</v>
      </c>
      <c r="H53" s="102" t="s">
        <v>102</v>
      </c>
      <c r="I53" s="206">
        <v>2332</v>
      </c>
      <c r="J53" s="120">
        <v>518</v>
      </c>
      <c r="K53" s="207">
        <v>3686.7428138324531</v>
      </c>
      <c r="L53" s="207">
        <v>1118.6219998928884</v>
      </c>
      <c r="M53" s="207">
        <v>5034.6231752678195</v>
      </c>
      <c r="N53" s="298">
        <v>0</v>
      </c>
      <c r="O53" s="114">
        <f>tblPiNAnalysis[[#This Row],[SAMV]]</f>
        <v>2610</v>
      </c>
      <c r="P53" s="115">
        <f>tblPiNAnalysis[[#This Row],[NUT]]</f>
        <v>1948.696026563121</v>
      </c>
      <c r="Q53" s="115">
        <f>tblPiNAnalysis[[#This Row],[SAL]]</f>
        <v>26673.47</v>
      </c>
      <c r="R53" s="115">
        <f>tblPiNAnalysis[[#This Row],[EDU]]</f>
        <v>9683.3668470724515</v>
      </c>
      <c r="S53" s="115">
        <f>tblPiNAnalysis[[#This Row],[PRO]]</f>
        <v>8803.3950736876777</v>
      </c>
      <c r="T53" s="116">
        <f>tblPiNAnalysis[[#This Row],[ASH]]</f>
        <v>43846.799999999996</v>
      </c>
      <c r="U53" s="300">
        <f>IF(OR(tblPiNHistorical[[#This Row],[SAMV25]]="", tblPiNHistorical[[#This Row],[SAMV25]]=0, tblPiNHistorical[[#This Row],[SAMV26]]="", tblPiNHistorical[[#This Row],[SAMV26]]=0), "", tblPiNHistorical[[#This Row],[SAMV26]]-tblPiNHistorical[[#This Row],[SAMV25]])</f>
        <v>278</v>
      </c>
      <c r="V53" s="121">
        <f>IF(OR(tblPiNHistorical[[#This Row],[NUT25]]="", tblPiNHistorical[[#This Row],[NUT25]]=0, tblPiNHistorical[[#This Row],[NUT26]]="", tblPiNHistorical[[#This Row],[NUT26]]=0), "", tblPiNHistorical[[#This Row],[NUT26]]-tblPiNHistorical[[#This Row],[NUT25]])</f>
        <v>1430.696026563121</v>
      </c>
      <c r="W53" s="121">
        <f>IF(OR(tblPiNHistorical[[#This Row],[SAL25]]="", tblPiNHistorical[[#This Row],[SAL25]]=0, tblPiNHistorical[[#This Row],[SAL26]]="", tblPiNHistorical[[#This Row],[SAL26]]=0), "", tblPiNHistorical[[#This Row],[SAL26]]-tblPiNHistorical[[#This Row],[SAL25]])</f>
        <v>22986.727186167547</v>
      </c>
      <c r="X53" s="121">
        <f>IF(OR(tblPiNHistorical[[#This Row],[EDU25]]="", tblPiNHistorical[[#This Row],[EDU25]]=0, tblPiNHistorical[[#This Row],[EDU26]]="", tblPiNHistorical[[#This Row],[EDU26]]=0), "", tblPiNHistorical[[#This Row],[EDU26]]-tblPiNHistorical[[#This Row],[EDU25]])</f>
        <v>8564.7448471795633</v>
      </c>
      <c r="Y53" s="121">
        <f>IF(OR(tblPiNHistorical[[#This Row],[PRO25]]="", tblPiNHistorical[[#This Row],[PRO25]]=0, tblPiNHistorical[[#This Row],[PRO26]]="", tblPiNHistorical[[#This Row],[PRO26]]=0), "", tblPiNHistorical[[#This Row],[PRO26]]-tblPiNHistorical[[#This Row],[PRO25]])</f>
        <v>3768.7718984198582</v>
      </c>
      <c r="Z53" s="223" t="str">
        <f>IF(OR(tblPiNHistorical[[#This Row],[ASH25]]="", tblPiNHistorical[[#This Row],[ASH25]]=0, tblPiNHistorical[[#This Row],[ASH26]]="", tblPiNHistorical[[#This Row],[ASH26]]=0), "", tblPiNHistorical[[#This Row],[ASH26]]-tblPiNHistorical[[#This Row],[ASH25]])</f>
        <v/>
      </c>
      <c r="AA5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5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2.8</v>
      </c>
      <c r="AC5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6.2</v>
      </c>
      <c r="AD5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7.7</v>
      </c>
      <c r="AE5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5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43846.8</v>
      </c>
    </row>
    <row r="54" spans="1:32">
      <c r="A5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VenezolanosVE0515</v>
      </c>
      <c r="B54" s="105" t="s">
        <v>123</v>
      </c>
      <c r="C54" s="104" t="s">
        <v>179</v>
      </c>
      <c r="D54" s="119" t="s">
        <v>207</v>
      </c>
      <c r="E54" s="104" t="s">
        <v>208</v>
      </c>
      <c r="F54" s="119"/>
      <c r="G54" s="102">
        <v>21271</v>
      </c>
      <c r="H54" s="102" t="s">
        <v>102</v>
      </c>
      <c r="I54" s="206">
        <v>3503</v>
      </c>
      <c r="J54" s="120">
        <v>863</v>
      </c>
      <c r="K54" s="207">
        <v>5538.5359659563046</v>
      </c>
      <c r="L54" s="207">
        <v>1791.6865273606868</v>
      </c>
      <c r="M54" s="207">
        <v>7562.4228205015033</v>
      </c>
      <c r="N54" s="298">
        <v>0</v>
      </c>
      <c r="O54" s="114">
        <f>tblPiNAnalysis[[#This Row],[SAMV]]</f>
        <v>41026</v>
      </c>
      <c r="P54" s="115">
        <f>tblPiNAnalysis[[#This Row],[NUT]]</f>
        <v>5893.3736835116115</v>
      </c>
      <c r="Q54" s="115">
        <f>tblPiNAnalysis[[#This Row],[SAL]]</f>
        <v>43800</v>
      </c>
      <c r="R54" s="115">
        <f>tblPiNAnalysis[[#This Row],[EDU]]</f>
        <v>18662.554054976968</v>
      </c>
      <c r="S54" s="115">
        <f>tblPiNAnalysis[[#This Row],[PRO]]</f>
        <v>25122.889304806355</v>
      </c>
      <c r="T54" s="116">
        <f>tblPiNAnalysis[[#This Row],[ASH]]</f>
        <v>14202.27</v>
      </c>
      <c r="U54" s="300">
        <f>IF(OR(tblPiNHistorical[[#This Row],[SAMV25]]="", tblPiNHistorical[[#This Row],[SAMV25]]=0, tblPiNHistorical[[#This Row],[SAMV26]]="", tblPiNHistorical[[#This Row],[SAMV26]]=0), "", tblPiNHistorical[[#This Row],[SAMV26]]-tblPiNHistorical[[#This Row],[SAMV25]])</f>
        <v>37523</v>
      </c>
      <c r="V54" s="121">
        <f>IF(OR(tblPiNHistorical[[#This Row],[NUT25]]="", tblPiNHistorical[[#This Row],[NUT25]]=0, tblPiNHistorical[[#This Row],[NUT26]]="", tblPiNHistorical[[#This Row],[NUT26]]=0), "", tblPiNHistorical[[#This Row],[NUT26]]-tblPiNHistorical[[#This Row],[NUT25]])</f>
        <v>5030.3736835116115</v>
      </c>
      <c r="W54" s="121">
        <f>IF(OR(tblPiNHistorical[[#This Row],[SAL25]]="", tblPiNHistorical[[#This Row],[SAL25]]=0, tblPiNHistorical[[#This Row],[SAL26]]="", tblPiNHistorical[[#This Row],[SAL26]]=0), "", tblPiNHistorical[[#This Row],[SAL26]]-tblPiNHistorical[[#This Row],[SAL25]])</f>
        <v>38261.464034043696</v>
      </c>
      <c r="X54" s="121">
        <f>IF(OR(tblPiNHistorical[[#This Row],[EDU25]]="", tblPiNHistorical[[#This Row],[EDU25]]=0, tblPiNHistorical[[#This Row],[EDU26]]="", tblPiNHistorical[[#This Row],[EDU26]]=0), "", tblPiNHistorical[[#This Row],[EDU26]]-tblPiNHistorical[[#This Row],[EDU25]])</f>
        <v>16870.867527616283</v>
      </c>
      <c r="Y54" s="121">
        <f>IF(OR(tblPiNHistorical[[#This Row],[PRO25]]="", tblPiNHistorical[[#This Row],[PRO25]]=0, tblPiNHistorical[[#This Row],[PRO26]]="", tblPiNHistorical[[#This Row],[PRO26]]=0), "", tblPiNHistorical[[#This Row],[PRO26]]-tblPiNHistorical[[#This Row],[PRO25]])</f>
        <v>17560.466484304852</v>
      </c>
      <c r="Z54" s="223" t="str">
        <f>IF(OR(tblPiNHistorical[[#This Row],[ASH25]]="", tblPiNHistorical[[#This Row],[ASH25]]=0, tblPiNHistorical[[#This Row],[ASH26]]="", tblPiNHistorical[[#This Row],[ASH26]]=0), "", tblPiNHistorical[[#This Row],[ASH26]]-tblPiNHistorical[[#This Row],[ASH25]])</f>
        <v/>
      </c>
      <c r="AA5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10.7</v>
      </c>
      <c r="AB5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5.8</v>
      </c>
      <c r="AC5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6.9</v>
      </c>
      <c r="AD5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9.4</v>
      </c>
      <c r="AE5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2.2999999999999998</v>
      </c>
      <c r="AF5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14202.27</v>
      </c>
    </row>
    <row r="55" spans="1:32">
      <c r="A5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VenezolanosVE0516</v>
      </c>
      <c r="B55" s="105" t="s">
        <v>123</v>
      </c>
      <c r="C55" s="104" t="s">
        <v>179</v>
      </c>
      <c r="D55" s="119" t="s">
        <v>209</v>
      </c>
      <c r="E55" s="104" t="s">
        <v>210</v>
      </c>
      <c r="F55" s="119"/>
      <c r="G55" s="102">
        <v>144754</v>
      </c>
      <c r="H55" s="102" t="s">
        <v>102</v>
      </c>
      <c r="I55" s="206">
        <v>23842</v>
      </c>
      <c r="J55" s="120">
        <v>5681</v>
      </c>
      <c r="K55" s="207">
        <v>37687.805200902665</v>
      </c>
      <c r="L55" s="207">
        <v>10499.191709634433</v>
      </c>
      <c r="M55" s="207">
        <v>24327.768642906674</v>
      </c>
      <c r="N55" s="298">
        <v>0</v>
      </c>
      <c r="O55" s="114">
        <f>tblPiNAnalysis[[#This Row],[SAMV]]</f>
        <v>43129</v>
      </c>
      <c r="P55" s="115">
        <f>tblPiNAnalysis[[#This Row],[NUT]]</f>
        <v>4837.3462624284148</v>
      </c>
      <c r="Q55" s="115">
        <f>tblPiNAnalysis[[#This Row],[SAL]]</f>
        <v>30683.360000000001</v>
      </c>
      <c r="R55" s="115">
        <f>tblPiNAnalysis[[#This Row],[EDU]]</f>
        <v>15186.218220147404</v>
      </c>
      <c r="S55" s="115">
        <f>tblPiNAnalysis[[#This Row],[PRO]]</f>
        <v>20036.032089393328</v>
      </c>
      <c r="T55" s="116">
        <f>tblPiNAnalysis[[#This Row],[ASH]]</f>
        <v>37828.800000000003</v>
      </c>
      <c r="U55" s="300">
        <f>IF(OR(tblPiNHistorical[[#This Row],[SAMV25]]="", tblPiNHistorical[[#This Row],[SAMV25]]=0, tblPiNHistorical[[#This Row],[SAMV26]]="", tblPiNHistorical[[#This Row],[SAMV26]]=0), "", tblPiNHistorical[[#This Row],[SAMV26]]-tblPiNHistorical[[#This Row],[SAMV25]])</f>
        <v>19287</v>
      </c>
      <c r="V55" s="121">
        <f>IF(OR(tblPiNHistorical[[#This Row],[NUT25]]="", tblPiNHistorical[[#This Row],[NUT25]]=0, tblPiNHistorical[[#This Row],[NUT26]]="", tblPiNHistorical[[#This Row],[NUT26]]=0), "", tblPiNHistorical[[#This Row],[NUT26]]-tblPiNHistorical[[#This Row],[NUT25]])</f>
        <v>-843.65373757158522</v>
      </c>
      <c r="W55" s="121">
        <f>IF(OR(tblPiNHistorical[[#This Row],[SAL25]]="", tblPiNHistorical[[#This Row],[SAL25]]=0, tblPiNHistorical[[#This Row],[SAL26]]="", tblPiNHistorical[[#This Row],[SAL26]]=0), "", tblPiNHistorical[[#This Row],[SAL26]]-tblPiNHistorical[[#This Row],[SAL25]])</f>
        <v>-7004.4452009026645</v>
      </c>
      <c r="X55" s="121">
        <f>IF(OR(tblPiNHistorical[[#This Row],[EDU25]]="", tblPiNHistorical[[#This Row],[EDU25]]=0, tblPiNHistorical[[#This Row],[EDU26]]="", tblPiNHistorical[[#This Row],[EDU26]]=0), "", tblPiNHistorical[[#This Row],[EDU26]]-tblPiNHistorical[[#This Row],[EDU25]])</f>
        <v>4687.0265105129711</v>
      </c>
      <c r="Y55" s="121">
        <f>IF(OR(tblPiNHistorical[[#This Row],[PRO25]]="", tblPiNHistorical[[#This Row],[PRO25]]=0, tblPiNHistorical[[#This Row],[PRO26]]="", tblPiNHistorical[[#This Row],[PRO26]]=0), "", tblPiNHistorical[[#This Row],[PRO26]]-tblPiNHistorical[[#This Row],[PRO25]])</f>
        <v>-4291.7365535133467</v>
      </c>
      <c r="Z55" s="223" t="str">
        <f>IF(OR(tblPiNHistorical[[#This Row],[ASH25]]="", tblPiNHistorical[[#This Row],[ASH25]]=0, tblPiNHistorical[[#This Row],[ASH26]]="", tblPiNHistorical[[#This Row],[ASH26]]=0), "", tblPiNHistorical[[#This Row],[ASH26]]-tblPiNHistorical[[#This Row],[ASH25]])</f>
        <v/>
      </c>
      <c r="AA5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5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5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5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5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-0.2</v>
      </c>
      <c r="AF5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37828.8</v>
      </c>
    </row>
    <row r="56" spans="1:32">
      <c r="A5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VenezolanosVE0517</v>
      </c>
      <c r="B56" s="105" t="s">
        <v>123</v>
      </c>
      <c r="C56" s="104" t="s">
        <v>179</v>
      </c>
      <c r="D56" s="119" t="s">
        <v>211</v>
      </c>
      <c r="E56" s="104" t="s">
        <v>212</v>
      </c>
      <c r="F56" s="119"/>
      <c r="G56" s="102">
        <v>123122</v>
      </c>
      <c r="H56" s="102" t="s">
        <v>102</v>
      </c>
      <c r="I56" s="206">
        <v>20279</v>
      </c>
      <c r="J56" s="120">
        <v>5203</v>
      </c>
      <c r="K56" s="207">
        <v>32056.134640885561</v>
      </c>
      <c r="L56" s="207">
        <v>7853.5653301814182</v>
      </c>
      <c r="M56" s="207">
        <v>24327.768642906674</v>
      </c>
      <c r="N56" s="298">
        <v>0</v>
      </c>
      <c r="O56" s="114">
        <f>tblPiNAnalysis[[#This Row],[SAMV]]</f>
        <v>15565</v>
      </c>
      <c r="P56" s="115">
        <f>tblPiNAnalysis[[#This Row],[NUT]]</f>
        <v>1866.381352977661</v>
      </c>
      <c r="Q56" s="115">
        <f>tblPiNAnalysis[[#This Row],[SAL]]</f>
        <v>25564.965</v>
      </c>
      <c r="R56" s="115">
        <f>tblPiNAnalysis[[#This Row],[EDU]]</f>
        <v>9979.9957340485653</v>
      </c>
      <c r="S56" s="115">
        <f>tblPiNAnalysis[[#This Row],[PRO]]</f>
        <v>8437.5406326960037</v>
      </c>
      <c r="T56" s="116">
        <f>tblPiNAnalysis[[#This Row],[ASH]]</f>
        <v>42024.6</v>
      </c>
      <c r="U56" s="300">
        <f>IF(OR(tblPiNHistorical[[#This Row],[SAMV25]]="", tblPiNHistorical[[#This Row],[SAMV25]]=0, tblPiNHistorical[[#This Row],[SAMV26]]="", tblPiNHistorical[[#This Row],[SAMV26]]=0), "", tblPiNHistorical[[#This Row],[SAMV26]]-tblPiNHistorical[[#This Row],[SAMV25]])</f>
        <v>-4714</v>
      </c>
      <c r="V56" s="121">
        <f>IF(OR(tblPiNHistorical[[#This Row],[NUT25]]="", tblPiNHistorical[[#This Row],[NUT25]]=0, tblPiNHistorical[[#This Row],[NUT26]]="", tblPiNHistorical[[#This Row],[NUT26]]=0), "", tblPiNHistorical[[#This Row],[NUT26]]-tblPiNHistorical[[#This Row],[NUT25]])</f>
        <v>-3336.6186470223392</v>
      </c>
      <c r="W56" s="121">
        <f>IF(OR(tblPiNHistorical[[#This Row],[SAL25]]="", tblPiNHistorical[[#This Row],[SAL25]]=0, tblPiNHistorical[[#This Row],[SAL26]]="", tblPiNHistorical[[#This Row],[SAL26]]=0), "", tblPiNHistorical[[#This Row],[SAL26]]-tblPiNHistorical[[#This Row],[SAL25]])</f>
        <v>-6491.1696408855605</v>
      </c>
      <c r="X56" s="121">
        <f>IF(OR(tblPiNHistorical[[#This Row],[EDU25]]="", tblPiNHistorical[[#This Row],[EDU25]]=0, tblPiNHistorical[[#This Row],[EDU26]]="", tblPiNHistorical[[#This Row],[EDU26]]=0), "", tblPiNHistorical[[#This Row],[EDU26]]-tblPiNHistorical[[#This Row],[EDU25]])</f>
        <v>2126.4304038671471</v>
      </c>
      <c r="Y56" s="121">
        <f>IF(OR(tblPiNHistorical[[#This Row],[PRO25]]="", tblPiNHistorical[[#This Row],[PRO25]]=0, tblPiNHistorical[[#This Row],[PRO26]]="", tblPiNHistorical[[#This Row],[PRO26]]=0), "", tblPiNHistorical[[#This Row],[PRO26]]-tblPiNHistorical[[#This Row],[PRO25]])</f>
        <v>-15890.228010210671</v>
      </c>
      <c r="Z56" s="223" t="str">
        <f>IF(OR(tblPiNHistorical[[#This Row],[ASH25]]="", tblPiNHistorical[[#This Row],[ASH25]]=0, tblPiNHistorical[[#This Row],[ASH26]]="", tblPiNHistorical[[#This Row],[ASH26]]=0), "", tblPiNHistorical[[#This Row],[ASH26]]-tblPiNHistorical[[#This Row],[ASH25]])</f>
        <v/>
      </c>
      <c r="AA5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5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5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5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5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5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42024.6</v>
      </c>
    </row>
    <row r="57" spans="1:32">
      <c r="A5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VenezolanosVE0518</v>
      </c>
      <c r="B57" s="105" t="s">
        <v>123</v>
      </c>
      <c r="C57" s="104" t="s">
        <v>179</v>
      </c>
      <c r="D57" s="119" t="s">
        <v>213</v>
      </c>
      <c r="E57" s="104" t="s">
        <v>214</v>
      </c>
      <c r="F57" s="119"/>
      <c r="G57" s="102">
        <v>12816</v>
      </c>
      <c r="H57" s="102" t="s">
        <v>102</v>
      </c>
      <c r="I57" s="206">
        <v>2111</v>
      </c>
      <c r="J57" s="120">
        <v>541</v>
      </c>
      <c r="K57" s="207">
        <v>3336.9926893275197</v>
      </c>
      <c r="L57" s="207">
        <v>723.29525917396904</v>
      </c>
      <c r="M57" s="207">
        <v>4556.438854193374</v>
      </c>
      <c r="N57" s="298">
        <v>7690</v>
      </c>
      <c r="O57" s="114">
        <f>tblPiNAnalysis[[#This Row],[SAMV]]</f>
        <v>6471</v>
      </c>
      <c r="P57" s="115">
        <f>tblPiNAnalysis[[#This Row],[NUT]]</f>
        <v>4003.4646790787765</v>
      </c>
      <c r="Q57" s="115">
        <f>tblPiNAnalysis[[#This Row],[SAL]]</f>
        <v>38500</v>
      </c>
      <c r="R57" s="115">
        <f>tblPiNAnalysis[[#This Row],[EDU]]</f>
        <v>4618.1501085536829</v>
      </c>
      <c r="S57" s="115">
        <f>tblPiNAnalysis[[#This Row],[PRO]]</f>
        <v>13680.668602157461</v>
      </c>
      <c r="T57" s="116">
        <f>tblPiNAnalysis[[#This Row],[ASH]]</f>
        <v>41108.400000000001</v>
      </c>
      <c r="U57" s="300">
        <f>IF(OR(tblPiNHistorical[[#This Row],[SAMV25]]="", tblPiNHistorical[[#This Row],[SAMV25]]=0, tblPiNHistorical[[#This Row],[SAMV26]]="", tblPiNHistorical[[#This Row],[SAMV26]]=0), "", tblPiNHistorical[[#This Row],[SAMV26]]-tblPiNHistorical[[#This Row],[SAMV25]])</f>
        <v>4360</v>
      </c>
      <c r="V57" s="121">
        <f>IF(OR(tblPiNHistorical[[#This Row],[NUT25]]="", tblPiNHistorical[[#This Row],[NUT25]]=0, tblPiNHistorical[[#This Row],[NUT26]]="", tblPiNHistorical[[#This Row],[NUT26]]=0), "", tblPiNHistorical[[#This Row],[NUT26]]-tblPiNHistorical[[#This Row],[NUT25]])</f>
        <v>3462.4646790787765</v>
      </c>
      <c r="W57" s="121">
        <f>IF(OR(tblPiNHistorical[[#This Row],[SAL25]]="", tblPiNHistorical[[#This Row],[SAL25]]=0, tblPiNHistorical[[#This Row],[SAL26]]="", tblPiNHistorical[[#This Row],[SAL26]]=0), "", tblPiNHistorical[[#This Row],[SAL26]]-tblPiNHistorical[[#This Row],[SAL25]])</f>
        <v>35163.007310672481</v>
      </c>
      <c r="X57" s="121">
        <f>IF(OR(tblPiNHistorical[[#This Row],[EDU25]]="", tblPiNHistorical[[#This Row],[EDU25]]=0, tblPiNHistorical[[#This Row],[EDU26]]="", tblPiNHistorical[[#This Row],[EDU26]]=0), "", tblPiNHistorical[[#This Row],[EDU26]]-tblPiNHistorical[[#This Row],[EDU25]])</f>
        <v>3894.8548493797139</v>
      </c>
      <c r="Y57" s="121">
        <f>IF(OR(tblPiNHistorical[[#This Row],[PRO25]]="", tblPiNHistorical[[#This Row],[PRO25]]=0, tblPiNHistorical[[#This Row],[PRO26]]="", tblPiNHistorical[[#This Row],[PRO26]]=0), "", tblPiNHistorical[[#This Row],[PRO26]]-tblPiNHistorical[[#This Row],[PRO25]])</f>
        <v>9124.2297479640874</v>
      </c>
      <c r="Z57" s="223">
        <f>IF(OR(tblPiNHistorical[[#This Row],[ASH25]]="", tblPiNHistorical[[#This Row],[ASH25]]=0, tblPiNHistorical[[#This Row],[ASH26]]="", tblPiNHistorical[[#This Row],[ASH26]]=0), "", tblPiNHistorical[[#This Row],[ASH26]]-tblPiNHistorical[[#This Row],[ASH25]])</f>
        <v>33418.400000000001</v>
      </c>
      <c r="AA5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2.1</v>
      </c>
      <c r="AB5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6.4</v>
      </c>
      <c r="AC5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10.5</v>
      </c>
      <c r="AD5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5.4</v>
      </c>
      <c r="AE5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v>
      </c>
      <c r="AF57"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4.3</v>
      </c>
    </row>
    <row r="58" spans="1:32">
      <c r="A5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VenezolanosVE0601</v>
      </c>
      <c r="B58" s="105" t="s">
        <v>215</v>
      </c>
      <c r="C58" s="104" t="s">
        <v>216</v>
      </c>
      <c r="D58" s="119" t="s">
        <v>217</v>
      </c>
      <c r="E58" s="104" t="s">
        <v>218</v>
      </c>
      <c r="F58" s="119"/>
      <c r="G58" s="102">
        <v>41232</v>
      </c>
      <c r="H58" s="102" t="s">
        <v>102</v>
      </c>
      <c r="I58" s="206">
        <v>7082</v>
      </c>
      <c r="J58" s="120">
        <v>2045</v>
      </c>
      <c r="K58" s="207">
        <v>10735.248155838382</v>
      </c>
      <c r="L58" s="207">
        <v>4278.7982122206522</v>
      </c>
      <c r="M58" s="207">
        <v>13289.142112079246</v>
      </c>
      <c r="N58" s="298">
        <v>0</v>
      </c>
      <c r="O58" s="114">
        <f>tblPiNAnalysis[[#This Row],[SAMV]]</f>
        <v>28723</v>
      </c>
      <c r="P58" s="115">
        <f>tblPiNAnalysis[[#This Row],[NUT]]</f>
        <v>2943.3221117728585</v>
      </c>
      <c r="Q58" s="115">
        <f>tblPiNAnalysis[[#This Row],[SAL]]</f>
        <v>25600</v>
      </c>
      <c r="R58" s="115">
        <f>tblPiNAnalysis[[#This Row],[EDU]]</f>
        <v>11444.747850492135</v>
      </c>
      <c r="S58" s="115">
        <f>tblPiNAnalysis[[#This Row],[PRO]]</f>
        <v>15975.150918629586</v>
      </c>
      <c r="T58" s="116">
        <f>tblPiNAnalysis[[#This Row],[ASH]]</f>
        <v>40215.599999999999</v>
      </c>
      <c r="U58" s="300">
        <f>IF(OR(tblPiNHistorical[[#This Row],[SAMV25]]="", tblPiNHistorical[[#This Row],[SAMV25]]=0, tblPiNHistorical[[#This Row],[SAMV26]]="", tblPiNHistorical[[#This Row],[SAMV26]]=0), "", tblPiNHistorical[[#This Row],[SAMV26]]-tblPiNHistorical[[#This Row],[SAMV25]])</f>
        <v>21641</v>
      </c>
      <c r="V58" s="121">
        <f>IF(OR(tblPiNHistorical[[#This Row],[NUT25]]="", tblPiNHistorical[[#This Row],[NUT25]]=0, tblPiNHistorical[[#This Row],[NUT26]]="", tblPiNHistorical[[#This Row],[NUT26]]=0), "", tblPiNHistorical[[#This Row],[NUT26]]-tblPiNHistorical[[#This Row],[NUT25]])</f>
        <v>898.32211177285853</v>
      </c>
      <c r="W58" s="121">
        <f>IF(OR(tblPiNHistorical[[#This Row],[SAL25]]="", tblPiNHistorical[[#This Row],[SAL25]]=0, tblPiNHistorical[[#This Row],[SAL26]]="", tblPiNHistorical[[#This Row],[SAL26]]=0), "", tblPiNHistorical[[#This Row],[SAL26]]-tblPiNHistorical[[#This Row],[SAL25]])</f>
        <v>14864.751844161618</v>
      </c>
      <c r="X58" s="121">
        <f>IF(OR(tblPiNHistorical[[#This Row],[EDU25]]="", tblPiNHistorical[[#This Row],[EDU25]]=0, tblPiNHistorical[[#This Row],[EDU26]]="", tblPiNHistorical[[#This Row],[EDU26]]=0), "", tblPiNHistorical[[#This Row],[EDU26]]-tblPiNHistorical[[#This Row],[EDU25]])</f>
        <v>7165.9496382714824</v>
      </c>
      <c r="Y58" s="121">
        <f>IF(OR(tblPiNHistorical[[#This Row],[PRO25]]="", tblPiNHistorical[[#This Row],[PRO25]]=0, tblPiNHistorical[[#This Row],[PRO26]]="", tblPiNHistorical[[#This Row],[PRO26]]=0), "", tblPiNHistorical[[#This Row],[PRO26]]-tblPiNHistorical[[#This Row],[PRO25]])</f>
        <v>2686.0088065503405</v>
      </c>
      <c r="Z58" s="223" t="str">
        <f>IF(OR(tblPiNHistorical[[#This Row],[ASH25]]="", tblPiNHistorical[[#This Row],[ASH25]]=0, tblPiNHistorical[[#This Row],[ASH26]]="", tblPiNHistorical[[#This Row],[ASH26]]=0), "", tblPiNHistorical[[#This Row],[ASH26]]-tblPiNHistorical[[#This Row],[ASH25]])</f>
        <v/>
      </c>
      <c r="AA5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3.1</v>
      </c>
      <c r="AB5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0.4</v>
      </c>
      <c r="AC5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1.4</v>
      </c>
      <c r="AD5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1.7</v>
      </c>
      <c r="AE5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0.2</v>
      </c>
      <c r="AF5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40215.6</v>
      </c>
    </row>
    <row r="59" spans="1:32">
      <c r="A5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VenezolanosVE0602</v>
      </c>
      <c r="B59" s="105" t="s">
        <v>215</v>
      </c>
      <c r="C59" s="104" t="s">
        <v>216</v>
      </c>
      <c r="D59" s="119" t="s">
        <v>219</v>
      </c>
      <c r="E59" s="104" t="s">
        <v>220</v>
      </c>
      <c r="F59" s="119"/>
      <c r="G59" s="102">
        <v>81665</v>
      </c>
      <c r="H59" s="102" t="s">
        <v>102</v>
      </c>
      <c r="I59" s="206">
        <v>14027</v>
      </c>
      <c r="J59" s="120">
        <v>3559</v>
      </c>
      <c r="K59" s="207">
        <v>21262.429665370717</v>
      </c>
      <c r="L59" s="207">
        <v>9900.0521753091507</v>
      </c>
      <c r="M59" s="207">
        <v>18272.570404108963</v>
      </c>
      <c r="N59" s="298">
        <v>0</v>
      </c>
      <c r="O59" s="114">
        <f>tblPiNAnalysis[[#This Row],[SAMV]]</f>
        <v>27117</v>
      </c>
      <c r="P59" s="115">
        <f>tblPiNAnalysis[[#This Row],[NUT]]</f>
        <v>5305.9819661901165</v>
      </c>
      <c r="Q59" s="115">
        <f>tblPiNAnalysis[[#This Row],[SAL]]</f>
        <v>31726.895</v>
      </c>
      <c r="R59" s="115">
        <f>tblPiNAnalysis[[#This Row],[EDU]]</f>
        <v>11214.09236011016</v>
      </c>
      <c r="S59" s="115">
        <f>tblPiNAnalysis[[#This Row],[PRO]]</f>
        <v>20717.453574732779</v>
      </c>
      <c r="T59" s="116">
        <f>tblPiNAnalysis[[#This Row],[ASH]]</f>
        <v>39115.35</v>
      </c>
      <c r="U59" s="300">
        <f>IF(OR(tblPiNHistorical[[#This Row],[SAMV25]]="", tblPiNHistorical[[#This Row],[SAMV25]]=0, tblPiNHistorical[[#This Row],[SAMV26]]="", tblPiNHistorical[[#This Row],[SAMV26]]=0), "", tblPiNHistorical[[#This Row],[SAMV26]]-tblPiNHistorical[[#This Row],[SAMV25]])</f>
        <v>13090</v>
      </c>
      <c r="V59" s="121">
        <f>IF(OR(tblPiNHistorical[[#This Row],[NUT25]]="", tblPiNHistorical[[#This Row],[NUT25]]=0, tblPiNHistorical[[#This Row],[NUT26]]="", tblPiNHistorical[[#This Row],[NUT26]]=0), "", tblPiNHistorical[[#This Row],[NUT26]]-tblPiNHistorical[[#This Row],[NUT25]])</f>
        <v>1746.9819661901165</v>
      </c>
      <c r="W59" s="121">
        <f>IF(OR(tblPiNHistorical[[#This Row],[SAL25]]="", tblPiNHistorical[[#This Row],[SAL25]]=0, tblPiNHistorical[[#This Row],[SAL26]]="", tblPiNHistorical[[#This Row],[SAL26]]=0), "", tblPiNHistorical[[#This Row],[SAL26]]-tblPiNHistorical[[#This Row],[SAL25]])</f>
        <v>10464.465334629283</v>
      </c>
      <c r="X59" s="121">
        <f>IF(OR(tblPiNHistorical[[#This Row],[EDU25]]="", tblPiNHistorical[[#This Row],[EDU25]]=0, tblPiNHistorical[[#This Row],[EDU26]]="", tblPiNHistorical[[#This Row],[EDU26]]=0), "", tblPiNHistorical[[#This Row],[EDU26]]-tblPiNHistorical[[#This Row],[EDU25]])</f>
        <v>1314.0401848010097</v>
      </c>
      <c r="Y59" s="121">
        <f>IF(OR(tblPiNHistorical[[#This Row],[PRO25]]="", tblPiNHistorical[[#This Row],[PRO25]]=0, tblPiNHistorical[[#This Row],[PRO26]]="", tblPiNHistorical[[#This Row],[PRO26]]=0), "", tblPiNHistorical[[#This Row],[PRO26]]-tblPiNHistorical[[#This Row],[PRO25]])</f>
        <v>2444.8831706238161</v>
      </c>
      <c r="Z59" s="223" t="str">
        <f>IF(OR(tblPiNHistorical[[#This Row],[ASH25]]="", tblPiNHistorical[[#This Row],[ASH25]]=0, tblPiNHistorical[[#This Row],[ASH26]]="", tblPiNHistorical[[#This Row],[ASH26]]=0), "", tblPiNHistorical[[#This Row],[ASH26]]-tblPiNHistorical[[#This Row],[ASH25]])</f>
        <v/>
      </c>
      <c r="AA5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5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5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5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5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5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39115.35</v>
      </c>
    </row>
    <row r="60" spans="1:32">
      <c r="A6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VenezolanosVE0603</v>
      </c>
      <c r="B60" s="105" t="s">
        <v>215</v>
      </c>
      <c r="C60" s="104" t="s">
        <v>216</v>
      </c>
      <c r="D60" s="119" t="s">
        <v>221</v>
      </c>
      <c r="E60" s="104" t="s">
        <v>222</v>
      </c>
      <c r="F60" s="119"/>
      <c r="G60" s="102">
        <v>23727</v>
      </c>
      <c r="H60" s="102" t="s">
        <v>102</v>
      </c>
      <c r="I60" s="206">
        <v>4075</v>
      </c>
      <c r="J60" s="120">
        <v>1094</v>
      </c>
      <c r="K60" s="207">
        <v>6177.5978081820322</v>
      </c>
      <c r="L60" s="207">
        <v>3903.4678888280432</v>
      </c>
      <c r="M60" s="207">
        <v>11598.947327831502</v>
      </c>
      <c r="N60" s="298">
        <v>0</v>
      </c>
      <c r="O60" s="114">
        <f>tblPiNAnalysis[[#This Row],[SAMV]]</f>
        <v>9117</v>
      </c>
      <c r="P60" s="115">
        <f>tblPiNAnalysis[[#This Row],[NUT]]</f>
        <v>5153.499637808698</v>
      </c>
      <c r="Q60" s="115">
        <f>tblPiNAnalysis[[#This Row],[SAL]]</f>
        <v>38900.605000000003</v>
      </c>
      <c r="R60" s="115">
        <f>tblPiNAnalysis[[#This Row],[EDU]]</f>
        <v>27513.797680685166</v>
      </c>
      <c r="S60" s="115">
        <f>tblPiNAnalysis[[#This Row],[PRO]]</f>
        <v>25498.887203142003</v>
      </c>
      <c r="T60" s="116">
        <f>tblPiNAnalysis[[#This Row],[ASH]]</f>
        <v>14387.895</v>
      </c>
      <c r="U60" s="300">
        <f>IF(OR(tblPiNHistorical[[#This Row],[SAMV25]]="", tblPiNHistorical[[#This Row],[SAMV25]]=0, tblPiNHistorical[[#This Row],[SAMV26]]="", tblPiNHistorical[[#This Row],[SAMV26]]=0), "", tblPiNHistorical[[#This Row],[SAMV26]]-tblPiNHistorical[[#This Row],[SAMV25]])</f>
        <v>5042</v>
      </c>
      <c r="V60" s="121">
        <f>IF(OR(tblPiNHistorical[[#This Row],[NUT25]]="", tblPiNHistorical[[#This Row],[NUT25]]=0, tblPiNHistorical[[#This Row],[NUT26]]="", tblPiNHistorical[[#This Row],[NUT26]]=0), "", tblPiNHistorical[[#This Row],[NUT26]]-tblPiNHistorical[[#This Row],[NUT25]])</f>
        <v>4059.499637808698</v>
      </c>
      <c r="W60" s="121">
        <f>IF(OR(tblPiNHistorical[[#This Row],[SAL25]]="", tblPiNHistorical[[#This Row],[SAL25]]=0, tblPiNHistorical[[#This Row],[SAL26]]="", tblPiNHistorical[[#This Row],[SAL26]]=0), "", tblPiNHistorical[[#This Row],[SAL26]]-tblPiNHistorical[[#This Row],[SAL25]])</f>
        <v>32723.007191817971</v>
      </c>
      <c r="X60" s="121">
        <f>IF(OR(tblPiNHistorical[[#This Row],[EDU25]]="", tblPiNHistorical[[#This Row],[EDU25]]=0, tblPiNHistorical[[#This Row],[EDU26]]="", tblPiNHistorical[[#This Row],[EDU26]]=0), "", tblPiNHistorical[[#This Row],[EDU26]]-tblPiNHistorical[[#This Row],[EDU25]])</f>
        <v>23610.329791857122</v>
      </c>
      <c r="Y60" s="121">
        <f>IF(OR(tblPiNHistorical[[#This Row],[PRO25]]="", tblPiNHistorical[[#This Row],[PRO25]]=0, tblPiNHistorical[[#This Row],[PRO26]]="", tblPiNHistorical[[#This Row],[PRO26]]=0), "", tblPiNHistorical[[#This Row],[PRO26]]-tblPiNHistorical[[#This Row],[PRO25]])</f>
        <v>13899.939875310502</v>
      </c>
      <c r="Z60" s="223" t="str">
        <f>IF(OR(tblPiNHistorical[[#This Row],[ASH25]]="", tblPiNHistorical[[#This Row],[ASH25]]=0, tblPiNHistorical[[#This Row],[ASH26]]="", tblPiNHistorical[[#This Row],[ASH26]]=0), "", tblPiNHistorical[[#This Row],[ASH26]]-tblPiNHistorical[[#This Row],[ASH25]])</f>
        <v/>
      </c>
      <c r="AA6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1.2</v>
      </c>
      <c r="AB6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3.7</v>
      </c>
      <c r="AC6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5.3</v>
      </c>
      <c r="AD6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6</v>
      </c>
      <c r="AE6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1.2</v>
      </c>
      <c r="AF6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14387.895</v>
      </c>
    </row>
    <row r="61" spans="1:32">
      <c r="A6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VenezolanosVE0604</v>
      </c>
      <c r="B61" s="105" t="s">
        <v>215</v>
      </c>
      <c r="C61" s="104" t="s">
        <v>216</v>
      </c>
      <c r="D61" s="119" t="s">
        <v>215</v>
      </c>
      <c r="E61" s="104" t="s">
        <v>223</v>
      </c>
      <c r="F61" s="119"/>
      <c r="G61" s="102">
        <v>353851</v>
      </c>
      <c r="H61" s="102" t="s">
        <v>102</v>
      </c>
      <c r="I61" s="206">
        <v>60779</v>
      </c>
      <c r="J61" s="120">
        <v>14222</v>
      </c>
      <c r="K61" s="207">
        <v>92127.947810103942</v>
      </c>
      <c r="L61" s="207">
        <v>28946.255195430465</v>
      </c>
      <c r="M61" s="207">
        <v>18272.570404108963</v>
      </c>
      <c r="N61" s="298">
        <v>0</v>
      </c>
      <c r="O61" s="114">
        <f>tblPiNAnalysis[[#This Row],[SAMV]]</f>
        <v>8130</v>
      </c>
      <c r="P61" s="115">
        <f>tblPiNAnalysis[[#This Row],[NUT]]</f>
        <v>2832.2792786890295</v>
      </c>
      <c r="Q61" s="115">
        <f>tblPiNAnalysis[[#This Row],[SAL]]</f>
        <v>38767</v>
      </c>
      <c r="R61" s="115">
        <f>tblPiNAnalysis[[#This Row],[EDU]]</f>
        <v>11016.833570855109</v>
      </c>
      <c r="S61" s="115">
        <f>tblPiNAnalysis[[#This Row],[PRO]]</f>
        <v>12271.508219474423</v>
      </c>
      <c r="T61" s="116">
        <f>tblPiNAnalysis[[#This Row],[ASH]]</f>
        <v>30728.399999999998</v>
      </c>
      <c r="U61" s="300">
        <f>IF(OR(tblPiNHistorical[[#This Row],[SAMV25]]="", tblPiNHistorical[[#This Row],[SAMV25]]=0, tblPiNHistorical[[#This Row],[SAMV26]]="", tblPiNHistorical[[#This Row],[SAMV26]]=0), "", tblPiNHistorical[[#This Row],[SAMV26]]-tblPiNHistorical[[#This Row],[SAMV25]])</f>
        <v>-52649</v>
      </c>
      <c r="V61" s="121">
        <f>IF(OR(tblPiNHistorical[[#This Row],[NUT25]]="", tblPiNHistorical[[#This Row],[NUT25]]=0, tblPiNHistorical[[#This Row],[NUT26]]="", tblPiNHistorical[[#This Row],[NUT26]]=0), "", tblPiNHistorical[[#This Row],[NUT26]]-tblPiNHistorical[[#This Row],[NUT25]])</f>
        <v>-11389.72072131097</v>
      </c>
      <c r="W61" s="121">
        <f>IF(OR(tblPiNHistorical[[#This Row],[SAL25]]="", tblPiNHistorical[[#This Row],[SAL25]]=0, tblPiNHistorical[[#This Row],[SAL26]]="", tblPiNHistorical[[#This Row],[SAL26]]=0), "", tblPiNHistorical[[#This Row],[SAL26]]-tblPiNHistorical[[#This Row],[SAL25]])</f>
        <v>-53360.947810103942</v>
      </c>
      <c r="X61" s="121">
        <f>IF(OR(tblPiNHistorical[[#This Row],[EDU25]]="", tblPiNHistorical[[#This Row],[EDU25]]=0, tblPiNHistorical[[#This Row],[EDU26]]="", tblPiNHistorical[[#This Row],[EDU26]]=0), "", tblPiNHistorical[[#This Row],[EDU26]]-tblPiNHistorical[[#This Row],[EDU25]])</f>
        <v>-17929.421624575356</v>
      </c>
      <c r="Y61" s="121">
        <f>IF(OR(tblPiNHistorical[[#This Row],[PRO25]]="", tblPiNHistorical[[#This Row],[PRO25]]=0, tblPiNHistorical[[#This Row],[PRO26]]="", tblPiNHistorical[[#This Row],[PRO26]]=0), "", tblPiNHistorical[[#This Row],[PRO26]]-tblPiNHistorical[[#This Row],[PRO25]])</f>
        <v>-6001.0621846345402</v>
      </c>
      <c r="Z61" s="223" t="str">
        <f>IF(OR(tblPiNHistorical[[#This Row],[ASH25]]="", tblPiNHistorical[[#This Row],[ASH25]]=0, tblPiNHistorical[[#This Row],[ASH26]]="", tblPiNHistorical[[#This Row],[ASH26]]=0), "", tblPiNHistorical[[#This Row],[ASH26]]-tblPiNHistorical[[#This Row],[ASH25]])</f>
        <v/>
      </c>
      <c r="AA6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6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6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6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6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6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30728.4</v>
      </c>
    </row>
    <row r="62" spans="1:32">
      <c r="A6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VenezolanosVE0605</v>
      </c>
      <c r="B62" s="105" t="s">
        <v>215</v>
      </c>
      <c r="C62" s="104" t="s">
        <v>216</v>
      </c>
      <c r="D62" s="119" t="s">
        <v>180</v>
      </c>
      <c r="E62" s="104" t="s">
        <v>224</v>
      </c>
      <c r="F62" s="119"/>
      <c r="G62" s="102">
        <v>52872</v>
      </c>
      <c r="H62" s="102" t="s">
        <v>102</v>
      </c>
      <c r="I62" s="206">
        <v>9082</v>
      </c>
      <c r="J62" s="120">
        <v>2417</v>
      </c>
      <c r="K62" s="207">
        <v>13766.085637029857</v>
      </c>
      <c r="L62" s="207">
        <v>4499.9228360021298</v>
      </c>
      <c r="M62" s="207">
        <v>18272.570404108963</v>
      </c>
      <c r="N62" s="298">
        <v>0</v>
      </c>
      <c r="O62" s="114">
        <f>tblPiNAnalysis[[#This Row],[SAMV]]</f>
        <v>21357</v>
      </c>
      <c r="P62" s="115">
        <f>tblPiNAnalysis[[#This Row],[NUT]]</f>
        <v>6500.6362125534288</v>
      </c>
      <c r="Q62" s="115">
        <f>tblPiNAnalysis[[#This Row],[SAL]]</f>
        <v>23002.3</v>
      </c>
      <c r="R62" s="115">
        <f>tblPiNAnalysis[[#This Row],[EDU]]</f>
        <v>8705.1525610777862</v>
      </c>
      <c r="S62" s="115">
        <f>tblPiNAnalysis[[#This Row],[PRO]]</f>
        <v>15138.048620687057</v>
      </c>
      <c r="T62" s="116">
        <f>tblPiNAnalysis[[#This Row],[ASH]]</f>
        <v>37812</v>
      </c>
      <c r="U62" s="300">
        <f>IF(OR(tblPiNHistorical[[#This Row],[SAMV25]]="", tblPiNHistorical[[#This Row],[SAMV25]]=0, tblPiNHistorical[[#This Row],[SAMV26]]="", tblPiNHistorical[[#This Row],[SAMV26]]=0), "", tblPiNHistorical[[#This Row],[SAMV26]]-tblPiNHistorical[[#This Row],[SAMV25]])</f>
        <v>12275</v>
      </c>
      <c r="V62" s="121">
        <f>IF(OR(tblPiNHistorical[[#This Row],[NUT25]]="", tblPiNHistorical[[#This Row],[NUT25]]=0, tblPiNHistorical[[#This Row],[NUT26]]="", tblPiNHistorical[[#This Row],[NUT26]]=0), "", tblPiNHistorical[[#This Row],[NUT26]]-tblPiNHistorical[[#This Row],[NUT25]])</f>
        <v>4083.6362125534288</v>
      </c>
      <c r="W62" s="121">
        <f>IF(OR(tblPiNHistorical[[#This Row],[SAL25]]="", tblPiNHistorical[[#This Row],[SAL25]]=0, tblPiNHistorical[[#This Row],[SAL26]]="", tblPiNHistorical[[#This Row],[SAL26]]=0), "", tblPiNHistorical[[#This Row],[SAL26]]-tblPiNHistorical[[#This Row],[SAL25]])</f>
        <v>9236.2143629701422</v>
      </c>
      <c r="X62" s="121">
        <f>IF(OR(tblPiNHistorical[[#This Row],[EDU25]]="", tblPiNHistorical[[#This Row],[EDU25]]=0, tblPiNHistorical[[#This Row],[EDU26]]="", tblPiNHistorical[[#This Row],[EDU26]]=0), "", tblPiNHistorical[[#This Row],[EDU26]]-tblPiNHistorical[[#This Row],[EDU25]])</f>
        <v>4205.2297250756565</v>
      </c>
      <c r="Y62" s="121">
        <f>IF(OR(tblPiNHistorical[[#This Row],[PRO25]]="", tblPiNHistorical[[#This Row],[PRO25]]=0, tblPiNHistorical[[#This Row],[PRO26]]="", tblPiNHistorical[[#This Row],[PRO26]]=0), "", tblPiNHistorical[[#This Row],[PRO26]]-tblPiNHistorical[[#This Row],[PRO25]])</f>
        <v>-3134.5217834219056</v>
      </c>
      <c r="Z62" s="223" t="str">
        <f>IF(OR(tblPiNHistorical[[#This Row],[ASH25]]="", tblPiNHistorical[[#This Row],[ASH25]]=0, tblPiNHistorical[[#This Row],[ASH26]]="", tblPiNHistorical[[#This Row],[ASH26]]=0), "", tblPiNHistorical[[#This Row],[ASH26]]-tblPiNHistorical[[#This Row],[ASH25]])</f>
        <v/>
      </c>
      <c r="AA6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1.4</v>
      </c>
      <c r="AB6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1.7</v>
      </c>
      <c r="AC6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6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6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-0.2</v>
      </c>
      <c r="AF6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37812</v>
      </c>
    </row>
    <row r="63" spans="1:32">
      <c r="A6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VenezolanosVE0606</v>
      </c>
      <c r="B63" s="105" t="s">
        <v>215</v>
      </c>
      <c r="C63" s="104" t="s">
        <v>216</v>
      </c>
      <c r="D63" s="119" t="s">
        <v>225</v>
      </c>
      <c r="E63" s="104" t="s">
        <v>226</v>
      </c>
      <c r="F63" s="119"/>
      <c r="G63" s="102">
        <v>26042</v>
      </c>
      <c r="H63" s="102" t="s">
        <v>102</v>
      </c>
      <c r="I63" s="206">
        <v>4473</v>
      </c>
      <c r="J63" s="120">
        <v>1257</v>
      </c>
      <c r="K63" s="207">
        <v>6780.0002889157413</v>
      </c>
      <c r="L63" s="207">
        <v>3000.5112848465487</v>
      </c>
      <c r="M63" s="207">
        <v>12730.635407400345</v>
      </c>
      <c r="N63" s="298">
        <v>0</v>
      </c>
      <c r="O63" s="114">
        <f>tblPiNAnalysis[[#This Row],[SAMV]]</f>
        <v>36625</v>
      </c>
      <c r="P63" s="115">
        <f>tblPiNAnalysis[[#This Row],[NUT]]</f>
        <v>5174.8080732378194</v>
      </c>
      <c r="Q63" s="115">
        <f>tblPiNAnalysis[[#This Row],[SAL]]</f>
        <v>37697.199999999997</v>
      </c>
      <c r="R63" s="115">
        <f>tblPiNAnalysis[[#This Row],[EDU]]</f>
        <v>7697.8646659721835</v>
      </c>
      <c r="S63" s="115">
        <f>tblPiNAnalysis[[#This Row],[PRO]]</f>
        <v>24613.624208831036</v>
      </c>
      <c r="T63" s="116">
        <f>tblPiNAnalysis[[#This Row],[ASH]]</f>
        <v>0</v>
      </c>
      <c r="U63" s="300">
        <f>IF(OR(tblPiNHistorical[[#This Row],[SAMV25]]="", tblPiNHistorical[[#This Row],[SAMV25]]=0, tblPiNHistorical[[#This Row],[SAMV26]]="", tblPiNHistorical[[#This Row],[SAMV26]]=0), "", tblPiNHistorical[[#This Row],[SAMV26]]-tblPiNHistorical[[#This Row],[SAMV25]])</f>
        <v>32152</v>
      </c>
      <c r="V63" s="121">
        <f>IF(OR(tblPiNHistorical[[#This Row],[NUT25]]="", tblPiNHistorical[[#This Row],[NUT25]]=0, tblPiNHistorical[[#This Row],[NUT26]]="", tblPiNHistorical[[#This Row],[NUT26]]=0), "", tblPiNHistorical[[#This Row],[NUT26]]-tblPiNHistorical[[#This Row],[NUT25]])</f>
        <v>3917.8080732378194</v>
      </c>
      <c r="W63" s="121">
        <f>IF(OR(tblPiNHistorical[[#This Row],[SAL25]]="", tblPiNHistorical[[#This Row],[SAL25]]=0, tblPiNHistorical[[#This Row],[SAL26]]="", tblPiNHistorical[[#This Row],[SAL26]]=0), "", tblPiNHistorical[[#This Row],[SAL26]]-tblPiNHistorical[[#This Row],[SAL25]])</f>
        <v>30917.199711084257</v>
      </c>
      <c r="X63" s="121">
        <f>IF(OR(tblPiNHistorical[[#This Row],[EDU25]]="", tblPiNHistorical[[#This Row],[EDU25]]=0, tblPiNHistorical[[#This Row],[EDU26]]="", tblPiNHistorical[[#This Row],[EDU26]]=0), "", tblPiNHistorical[[#This Row],[EDU26]]-tblPiNHistorical[[#This Row],[EDU25]])</f>
        <v>4697.3533811256348</v>
      </c>
      <c r="Y63" s="121">
        <f>IF(OR(tblPiNHistorical[[#This Row],[PRO25]]="", tblPiNHistorical[[#This Row],[PRO25]]=0, tblPiNHistorical[[#This Row],[PRO26]]="", tblPiNHistorical[[#This Row],[PRO26]]=0), "", tblPiNHistorical[[#This Row],[PRO26]]-tblPiNHistorical[[#This Row],[PRO25]])</f>
        <v>11882.988801430691</v>
      </c>
      <c r="Z63" s="223" t="str">
        <f>IF(OR(tblPiNHistorical[[#This Row],[ASH25]]="", tblPiNHistorical[[#This Row],[ASH25]]=0, tblPiNHistorical[[#This Row],[ASH26]]="", tblPiNHistorical[[#This Row],[ASH26]]=0), "", tblPiNHistorical[[#This Row],[ASH26]]-tblPiNHistorical[[#This Row],[ASH25]])</f>
        <v/>
      </c>
      <c r="AA6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7.2</v>
      </c>
      <c r="AB6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3.1</v>
      </c>
      <c r="AC6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4.5999999999999996</v>
      </c>
      <c r="AD6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1.6</v>
      </c>
      <c r="AE6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6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64" spans="1:32">
      <c r="A6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VenezolanosVE0607</v>
      </c>
      <c r="B64" s="105" t="s">
        <v>215</v>
      </c>
      <c r="C64" s="104" t="s">
        <v>216</v>
      </c>
      <c r="D64" s="119" t="s">
        <v>227</v>
      </c>
      <c r="E64" s="104" t="s">
        <v>228</v>
      </c>
      <c r="F64" s="119"/>
      <c r="G64" s="102">
        <v>53580</v>
      </c>
      <c r="H64" s="102" t="s">
        <v>102</v>
      </c>
      <c r="I64" s="206">
        <v>9203</v>
      </c>
      <c r="J64" s="120">
        <v>2410</v>
      </c>
      <c r="K64" s="207">
        <v>13950.373238043787</v>
      </c>
      <c r="L64" s="207">
        <v>6451.1967025467566</v>
      </c>
      <c r="M64" s="207">
        <v>13289.142112079246</v>
      </c>
      <c r="N64" s="298">
        <v>0</v>
      </c>
      <c r="O64" s="114">
        <f>tblPiNAnalysis[[#This Row],[SAMV]]</f>
        <v>0</v>
      </c>
      <c r="P64" s="115">
        <f>tblPiNAnalysis[[#This Row],[NUT]]</f>
        <v>6340.9934519553926</v>
      </c>
      <c r="Q64" s="115">
        <f>tblPiNAnalysis[[#This Row],[SAL]]</f>
        <v>37370.89</v>
      </c>
      <c r="R64" s="115">
        <f>tblPiNAnalysis[[#This Row],[EDU]]</f>
        <v>5822.2852267812905</v>
      </c>
      <c r="S64" s="115">
        <f>tblPiNAnalysis[[#This Row],[PRO]]</f>
        <v>20489.284470085939</v>
      </c>
      <c r="T64" s="116">
        <f>tblPiNAnalysis[[#This Row],[ASH]]</f>
        <v>0</v>
      </c>
      <c r="U64" s="300" t="str">
        <f>IF(OR(tblPiNHistorical[[#This Row],[SAMV25]]="", tblPiNHistorical[[#This Row],[SAMV25]]=0, tblPiNHistorical[[#This Row],[SAMV26]]="", tblPiNHistorical[[#This Row],[SAMV26]]=0), "", tblPiNHistorical[[#This Row],[SAMV26]]-tblPiNHistorical[[#This Row],[SAMV25]])</f>
        <v/>
      </c>
      <c r="V64" s="121">
        <f>IF(OR(tblPiNHistorical[[#This Row],[NUT25]]="", tblPiNHistorical[[#This Row],[NUT25]]=0, tblPiNHistorical[[#This Row],[NUT26]]="", tblPiNHistorical[[#This Row],[NUT26]]=0), "", tblPiNHistorical[[#This Row],[NUT26]]-tblPiNHistorical[[#This Row],[NUT25]])</f>
        <v>3930.9934519553926</v>
      </c>
      <c r="W64" s="121">
        <f>IF(OR(tblPiNHistorical[[#This Row],[SAL25]]="", tblPiNHistorical[[#This Row],[SAL25]]=0, tblPiNHistorical[[#This Row],[SAL26]]="", tblPiNHistorical[[#This Row],[SAL26]]=0), "", tblPiNHistorical[[#This Row],[SAL26]]-tblPiNHistorical[[#This Row],[SAL25]])</f>
        <v>23420.516761956213</v>
      </c>
      <c r="X64" s="121">
        <f>IF(OR(tblPiNHistorical[[#This Row],[EDU25]]="", tblPiNHistorical[[#This Row],[EDU25]]=0, tblPiNHistorical[[#This Row],[EDU26]]="", tblPiNHistorical[[#This Row],[EDU26]]=0), "", tblPiNHistorical[[#This Row],[EDU26]]-tblPiNHistorical[[#This Row],[EDU25]])</f>
        <v>-628.91147576546609</v>
      </c>
      <c r="Y64" s="121">
        <f>IF(OR(tblPiNHistorical[[#This Row],[PRO25]]="", tblPiNHistorical[[#This Row],[PRO25]]=0, tblPiNHistorical[[#This Row],[PRO26]]="", tblPiNHistorical[[#This Row],[PRO26]]=0), "", tblPiNHistorical[[#This Row],[PRO26]]-tblPiNHistorical[[#This Row],[PRO25]])</f>
        <v>7200.142358006693</v>
      </c>
      <c r="Z64" s="223" t="str">
        <f>IF(OR(tblPiNHistorical[[#This Row],[ASH25]]="", tblPiNHistorical[[#This Row],[ASH25]]=0, tblPiNHistorical[[#This Row],[ASH26]]="", tblPiNHistorical[[#This Row],[ASH26]]=0), "", tblPiNHistorical[[#This Row],[ASH26]]-tblPiNHistorical[[#This Row],[ASH25]])</f>
        <v/>
      </c>
      <c r="AA64" s="227" t="str">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NoPIN26 9203</v>
      </c>
      <c r="AB6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1.6</v>
      </c>
      <c r="AC6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1.7</v>
      </c>
      <c r="AD6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6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6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65" spans="1:32">
      <c r="A6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VenezolanosVE0608</v>
      </c>
      <c r="B65" s="105" t="s">
        <v>215</v>
      </c>
      <c r="C65" s="104" t="s">
        <v>216</v>
      </c>
      <c r="D65" s="119" t="s">
        <v>229</v>
      </c>
      <c r="E65" s="104" t="s">
        <v>230</v>
      </c>
      <c r="F65" s="119"/>
      <c r="G65" s="102">
        <v>37493</v>
      </c>
      <c r="H65" s="102" t="s">
        <v>102</v>
      </c>
      <c r="I65" s="206">
        <v>6440</v>
      </c>
      <c r="J65" s="120">
        <v>1846</v>
      </c>
      <c r="K65" s="207">
        <v>9761.298092415298</v>
      </c>
      <c r="L65" s="207">
        <v>4368.4221806954938</v>
      </c>
      <c r="M65" s="207">
        <v>18272.570404108963</v>
      </c>
      <c r="N65" s="298">
        <v>0</v>
      </c>
      <c r="O65" s="114">
        <f>tblPiNAnalysis[[#This Row],[SAMV]]</f>
        <v>13537</v>
      </c>
      <c r="P65" s="115">
        <f>tblPiNAnalysis[[#This Row],[NUT]]</f>
        <v>2608.6612726427111</v>
      </c>
      <c r="Q65" s="115">
        <f>tblPiNAnalysis[[#This Row],[SAL]]</f>
        <v>37269.055</v>
      </c>
      <c r="R65" s="115">
        <f>tblPiNAnalysis[[#This Row],[EDU]]</f>
        <v>16255.918839023729</v>
      </c>
      <c r="S65" s="115">
        <f>tblPiNAnalysis[[#This Row],[PRO]]</f>
        <v>20370.301023564662</v>
      </c>
      <c r="T65" s="116">
        <f>tblPiNAnalysis[[#This Row],[ASH]]</f>
        <v>0</v>
      </c>
      <c r="U65" s="300">
        <f>IF(OR(tblPiNHistorical[[#This Row],[SAMV25]]="", tblPiNHistorical[[#This Row],[SAMV25]]=0, tblPiNHistorical[[#This Row],[SAMV26]]="", tblPiNHistorical[[#This Row],[SAMV26]]=0), "", tblPiNHistorical[[#This Row],[SAMV26]]-tblPiNHistorical[[#This Row],[SAMV25]])</f>
        <v>7097</v>
      </c>
      <c r="V65" s="121">
        <f>IF(OR(tblPiNHistorical[[#This Row],[NUT25]]="", tblPiNHistorical[[#This Row],[NUT25]]=0, tblPiNHistorical[[#This Row],[NUT26]]="", tblPiNHistorical[[#This Row],[NUT26]]=0), "", tblPiNHistorical[[#This Row],[NUT26]]-tblPiNHistorical[[#This Row],[NUT25]])</f>
        <v>762.66127264271108</v>
      </c>
      <c r="W65" s="121">
        <f>IF(OR(tblPiNHistorical[[#This Row],[SAL25]]="", tblPiNHistorical[[#This Row],[SAL25]]=0, tblPiNHistorical[[#This Row],[SAL26]]="", tblPiNHistorical[[#This Row],[SAL26]]=0), "", tblPiNHistorical[[#This Row],[SAL26]]-tblPiNHistorical[[#This Row],[SAL25]])</f>
        <v>27507.756907584702</v>
      </c>
      <c r="X65" s="121">
        <f>IF(OR(tblPiNHistorical[[#This Row],[EDU25]]="", tblPiNHistorical[[#This Row],[EDU25]]=0, tblPiNHistorical[[#This Row],[EDU26]]="", tblPiNHistorical[[#This Row],[EDU26]]=0), "", tblPiNHistorical[[#This Row],[EDU26]]-tblPiNHistorical[[#This Row],[EDU25]])</f>
        <v>11887.496658328235</v>
      </c>
      <c r="Y65" s="121">
        <f>IF(OR(tblPiNHistorical[[#This Row],[PRO25]]="", tblPiNHistorical[[#This Row],[PRO25]]=0, tblPiNHistorical[[#This Row],[PRO26]]="", tblPiNHistorical[[#This Row],[PRO26]]=0), "", tblPiNHistorical[[#This Row],[PRO26]]-tblPiNHistorical[[#This Row],[PRO25]])</f>
        <v>2097.7306194556986</v>
      </c>
      <c r="Z65" s="223" t="str">
        <f>IF(OR(tblPiNHistorical[[#This Row],[ASH25]]="", tblPiNHistorical[[#This Row],[ASH25]]=0, tblPiNHistorical[[#This Row],[ASH26]]="", tblPiNHistorical[[#This Row],[ASH26]]=0), "", tblPiNHistorical[[#This Row],[ASH26]]-tblPiNHistorical[[#This Row],[ASH25]])</f>
        <v/>
      </c>
      <c r="AA6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1.1000000000000001</v>
      </c>
      <c r="AB6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0.4</v>
      </c>
      <c r="AC6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2.8</v>
      </c>
      <c r="AD6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2.7</v>
      </c>
      <c r="AE6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6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66" spans="1:32">
      <c r="A6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VenezolanosVE0609</v>
      </c>
      <c r="B66" s="105" t="s">
        <v>215</v>
      </c>
      <c r="C66" s="104" t="s">
        <v>216</v>
      </c>
      <c r="D66" s="119" t="s">
        <v>231</v>
      </c>
      <c r="E66" s="104" t="s">
        <v>232</v>
      </c>
      <c r="F66" s="119"/>
      <c r="G66" s="102">
        <v>65390</v>
      </c>
      <c r="H66" s="102" t="s">
        <v>102</v>
      </c>
      <c r="I66" s="206">
        <v>11232</v>
      </c>
      <c r="J66" s="120">
        <v>3070</v>
      </c>
      <c r="K66" s="207">
        <v>17024.805635604149</v>
      </c>
      <c r="L66" s="207">
        <v>8147.959124326715</v>
      </c>
      <c r="M66" s="207">
        <v>18272.570404108963</v>
      </c>
      <c r="N66" s="298">
        <v>0</v>
      </c>
      <c r="O66" s="114">
        <f>tblPiNAnalysis[[#This Row],[SAMV]]</f>
        <v>22136</v>
      </c>
      <c r="P66" s="115">
        <f>tblPiNAnalysis[[#This Row],[NUT]]</f>
        <v>3597.6361967716234</v>
      </c>
      <c r="Q66" s="115">
        <f>tblPiNAnalysis[[#This Row],[SAL]]</f>
        <v>37100</v>
      </c>
      <c r="R66" s="115">
        <f>tblPiNAnalysis[[#This Row],[EDU]]</f>
        <v>9296.5220466373139</v>
      </c>
      <c r="S66" s="115">
        <f>tblPiNAnalysis[[#This Row],[PRO]]</f>
        <v>17809.644481572828</v>
      </c>
      <c r="T66" s="116">
        <f>tblPiNAnalysis[[#This Row],[ASH]]</f>
        <v>12060.225</v>
      </c>
      <c r="U66" s="300">
        <f>IF(OR(tblPiNHistorical[[#This Row],[SAMV25]]="", tblPiNHistorical[[#This Row],[SAMV25]]=0, tblPiNHistorical[[#This Row],[SAMV26]]="", tblPiNHistorical[[#This Row],[SAMV26]]=0), "", tblPiNHistorical[[#This Row],[SAMV26]]-tblPiNHistorical[[#This Row],[SAMV25]])</f>
        <v>10904</v>
      </c>
      <c r="V66" s="121">
        <f>IF(OR(tblPiNHistorical[[#This Row],[NUT25]]="", tblPiNHistorical[[#This Row],[NUT25]]=0, tblPiNHistorical[[#This Row],[NUT26]]="", tblPiNHistorical[[#This Row],[NUT26]]=0), "", tblPiNHistorical[[#This Row],[NUT26]]-tblPiNHistorical[[#This Row],[NUT25]])</f>
        <v>527.63619677162342</v>
      </c>
      <c r="W66" s="121">
        <f>IF(OR(tblPiNHistorical[[#This Row],[SAL25]]="", tblPiNHistorical[[#This Row],[SAL25]]=0, tblPiNHistorical[[#This Row],[SAL26]]="", tblPiNHistorical[[#This Row],[SAL26]]=0), "", tblPiNHistorical[[#This Row],[SAL26]]-tblPiNHistorical[[#This Row],[SAL25]])</f>
        <v>20075.194364395851</v>
      </c>
      <c r="X66" s="121">
        <f>IF(OR(tblPiNHistorical[[#This Row],[EDU25]]="", tblPiNHistorical[[#This Row],[EDU25]]=0, tblPiNHistorical[[#This Row],[EDU26]]="", tblPiNHistorical[[#This Row],[EDU26]]=0), "", tblPiNHistorical[[#This Row],[EDU26]]-tblPiNHistorical[[#This Row],[EDU25]])</f>
        <v>1148.5629223105989</v>
      </c>
      <c r="Y66" s="121">
        <f>IF(OR(tblPiNHistorical[[#This Row],[PRO25]]="", tblPiNHistorical[[#This Row],[PRO25]]=0, tblPiNHistorical[[#This Row],[PRO26]]="", tblPiNHistorical[[#This Row],[PRO26]]=0), "", tblPiNHistorical[[#This Row],[PRO26]]-tblPiNHistorical[[#This Row],[PRO25]])</f>
        <v>-462.92592253613475</v>
      </c>
      <c r="Z66" s="223" t="str">
        <f>IF(OR(tblPiNHistorical[[#This Row],[ASH25]]="", tblPiNHistorical[[#This Row],[ASH25]]=0, tblPiNHistorical[[#This Row],[ASH26]]="", tblPiNHistorical[[#This Row],[ASH26]]=0), "", tblPiNHistorical[[#This Row],[ASH26]]-tblPiNHistorical[[#This Row],[ASH25]])</f>
        <v/>
      </c>
      <c r="AA6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6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6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1.2</v>
      </c>
      <c r="AD6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6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v>
      </c>
      <c r="AF6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12060.225</v>
      </c>
    </row>
    <row r="67" spans="1:32">
      <c r="A6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VenezolanosVE0610</v>
      </c>
      <c r="B67" s="105" t="s">
        <v>215</v>
      </c>
      <c r="C67" s="104" t="s">
        <v>216</v>
      </c>
      <c r="D67" s="119" t="s">
        <v>233</v>
      </c>
      <c r="E67" s="104" t="s">
        <v>234</v>
      </c>
      <c r="F67" s="119"/>
      <c r="G67" s="102">
        <v>40126</v>
      </c>
      <c r="H67" s="102" t="s">
        <v>102</v>
      </c>
      <c r="I67" s="206">
        <v>6892</v>
      </c>
      <c r="J67" s="120">
        <v>1886</v>
      </c>
      <c r="K67" s="207">
        <v>10446.927231671427</v>
      </c>
      <c r="L67" s="207">
        <v>4762.7702748122774</v>
      </c>
      <c r="M67" s="207">
        <v>13289.142112079246</v>
      </c>
      <c r="N67" s="298">
        <v>8025</v>
      </c>
      <c r="O67" s="114">
        <f>tblPiNAnalysis[[#This Row],[SAMV]]</f>
        <v>29382</v>
      </c>
      <c r="P67" s="115">
        <f>tblPiNAnalysis[[#This Row],[NUT]]</f>
        <v>2910.0553634650723</v>
      </c>
      <c r="Q67" s="115">
        <f>tblPiNAnalysis[[#This Row],[SAL]]</f>
        <v>22342.744999999999</v>
      </c>
      <c r="R67" s="115">
        <f>tblPiNAnalysis[[#This Row],[EDU]]</f>
        <v>10800.898750522818</v>
      </c>
      <c r="S67" s="115">
        <f>tblPiNAnalysis[[#This Row],[PRO]]</f>
        <v>14589.665401218521</v>
      </c>
      <c r="T67" s="116">
        <f>tblPiNAnalysis[[#This Row],[ASH]]</f>
        <v>36727.799999999996</v>
      </c>
      <c r="U67" s="300">
        <f>IF(OR(tblPiNHistorical[[#This Row],[SAMV25]]="", tblPiNHistorical[[#This Row],[SAMV25]]=0, tblPiNHistorical[[#This Row],[SAMV26]]="", tblPiNHistorical[[#This Row],[SAMV26]]=0), "", tblPiNHistorical[[#This Row],[SAMV26]]-tblPiNHistorical[[#This Row],[SAMV25]])</f>
        <v>22490</v>
      </c>
      <c r="V67" s="121">
        <f>IF(OR(tblPiNHistorical[[#This Row],[NUT25]]="", tblPiNHistorical[[#This Row],[NUT25]]=0, tblPiNHistorical[[#This Row],[NUT26]]="", tblPiNHistorical[[#This Row],[NUT26]]=0), "", tblPiNHistorical[[#This Row],[NUT26]]-tblPiNHistorical[[#This Row],[NUT25]])</f>
        <v>1024.0553634650723</v>
      </c>
      <c r="W67" s="121">
        <f>IF(OR(tblPiNHistorical[[#This Row],[SAL25]]="", tblPiNHistorical[[#This Row],[SAL25]]=0, tblPiNHistorical[[#This Row],[SAL26]]="", tblPiNHistorical[[#This Row],[SAL26]]=0), "", tblPiNHistorical[[#This Row],[SAL26]]-tblPiNHistorical[[#This Row],[SAL25]])</f>
        <v>11895.817768328572</v>
      </c>
      <c r="X67" s="121">
        <f>IF(OR(tblPiNHistorical[[#This Row],[EDU25]]="", tblPiNHistorical[[#This Row],[EDU25]]=0, tblPiNHistorical[[#This Row],[EDU26]]="", tblPiNHistorical[[#This Row],[EDU26]]=0), "", tblPiNHistorical[[#This Row],[EDU26]]-tblPiNHistorical[[#This Row],[EDU25]])</f>
        <v>6038.1284757105404</v>
      </c>
      <c r="Y67" s="121">
        <f>IF(OR(tblPiNHistorical[[#This Row],[PRO25]]="", tblPiNHistorical[[#This Row],[PRO25]]=0, tblPiNHistorical[[#This Row],[PRO26]]="", tblPiNHistorical[[#This Row],[PRO26]]=0), "", tblPiNHistorical[[#This Row],[PRO26]]-tblPiNHistorical[[#This Row],[PRO25]])</f>
        <v>1300.5232891392752</v>
      </c>
      <c r="Z67" s="223">
        <f>IF(OR(tblPiNHistorical[[#This Row],[ASH25]]="", tblPiNHistorical[[#This Row],[ASH25]]=0, tblPiNHistorical[[#This Row],[ASH26]]="", tblPiNHistorical[[#This Row],[ASH26]]=0), "", tblPiNHistorical[[#This Row],[ASH26]]-tblPiNHistorical[[#This Row],[ASH25]])</f>
        <v>28702.799999999996</v>
      </c>
      <c r="AA6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3.3</v>
      </c>
      <c r="AB6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6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1.1000000000000001</v>
      </c>
      <c r="AD6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1.3</v>
      </c>
      <c r="AE6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67"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3.6</v>
      </c>
    </row>
    <row r="68" spans="1:32">
      <c r="A6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VenezolanosVE0611</v>
      </c>
      <c r="B68" s="105" t="s">
        <v>215</v>
      </c>
      <c r="C68" s="104" t="s">
        <v>216</v>
      </c>
      <c r="D68" s="119" t="s">
        <v>235</v>
      </c>
      <c r="E68" s="104" t="s">
        <v>236</v>
      </c>
      <c r="F68" s="119"/>
      <c r="G68" s="102">
        <v>24142</v>
      </c>
      <c r="H68" s="102" t="s">
        <v>102</v>
      </c>
      <c r="I68" s="206">
        <v>4147</v>
      </c>
      <c r="J68" s="120">
        <v>1099</v>
      </c>
      <c r="K68" s="207">
        <v>6285.5943055504113</v>
      </c>
      <c r="L68" s="207">
        <v>3292.796084735975</v>
      </c>
      <c r="M68" s="207">
        <v>11801.82013691188</v>
      </c>
      <c r="N68" s="298">
        <v>0</v>
      </c>
      <c r="O68" s="114">
        <f>tblPiNAnalysis[[#This Row],[SAMV]]</f>
        <v>16834</v>
      </c>
      <c r="P68" s="115">
        <f>tblPiNAnalysis[[#This Row],[NUT]]</f>
        <v>4756.3259010896445</v>
      </c>
      <c r="Q68" s="115">
        <f>tblPiNAnalysis[[#This Row],[SAL]]</f>
        <v>36377.724999999999</v>
      </c>
      <c r="R68" s="115">
        <f>tblPiNAnalysis[[#This Row],[EDU]]</f>
        <v>14982.530651763009</v>
      </c>
      <c r="S68" s="115">
        <f>tblPiNAnalysis[[#This Row],[PRO]]</f>
        <v>23754.414948008503</v>
      </c>
      <c r="T68" s="116">
        <f>tblPiNAnalysis[[#This Row],[ASH]]</f>
        <v>13454.775</v>
      </c>
      <c r="U68" s="300">
        <f>IF(OR(tblPiNHistorical[[#This Row],[SAMV25]]="", tblPiNHistorical[[#This Row],[SAMV25]]=0, tblPiNHistorical[[#This Row],[SAMV26]]="", tblPiNHistorical[[#This Row],[SAMV26]]=0), "", tblPiNHistorical[[#This Row],[SAMV26]]-tblPiNHistorical[[#This Row],[SAMV25]])</f>
        <v>12687</v>
      </c>
      <c r="V68" s="121">
        <f>IF(OR(tblPiNHistorical[[#This Row],[NUT25]]="", tblPiNHistorical[[#This Row],[NUT25]]=0, tblPiNHistorical[[#This Row],[NUT26]]="", tblPiNHistorical[[#This Row],[NUT26]]=0), "", tblPiNHistorical[[#This Row],[NUT26]]-tblPiNHistorical[[#This Row],[NUT25]])</f>
        <v>3657.3259010896445</v>
      </c>
      <c r="W68" s="121">
        <f>IF(OR(tblPiNHistorical[[#This Row],[SAL25]]="", tblPiNHistorical[[#This Row],[SAL25]]=0, tblPiNHistorical[[#This Row],[SAL26]]="", tblPiNHistorical[[#This Row],[SAL26]]=0), "", tblPiNHistorical[[#This Row],[SAL26]]-tblPiNHistorical[[#This Row],[SAL25]])</f>
        <v>30092.130694449588</v>
      </c>
      <c r="X68" s="121">
        <f>IF(OR(tblPiNHistorical[[#This Row],[EDU25]]="", tblPiNHistorical[[#This Row],[EDU25]]=0, tblPiNHistorical[[#This Row],[EDU26]]="", tblPiNHistorical[[#This Row],[EDU26]]=0), "", tblPiNHistorical[[#This Row],[EDU26]]-tblPiNHistorical[[#This Row],[EDU25]])</f>
        <v>11689.734567027033</v>
      </c>
      <c r="Y68" s="121">
        <f>IF(OR(tblPiNHistorical[[#This Row],[PRO25]]="", tblPiNHistorical[[#This Row],[PRO25]]=0, tblPiNHistorical[[#This Row],[PRO26]]="", tblPiNHistorical[[#This Row],[PRO26]]=0), "", tblPiNHistorical[[#This Row],[PRO26]]-tblPiNHistorical[[#This Row],[PRO25]])</f>
        <v>11952.594811096624</v>
      </c>
      <c r="Z68" s="223" t="str">
        <f>IF(OR(tblPiNHistorical[[#This Row],[ASH25]]="", tblPiNHistorical[[#This Row],[ASH25]]=0, tblPiNHistorical[[#This Row],[ASH26]]="", tblPiNHistorical[[#This Row],[ASH26]]=0), "", tblPiNHistorical[[#This Row],[ASH26]]-tblPiNHistorical[[#This Row],[ASH25]])</f>
        <v/>
      </c>
      <c r="AA6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3.1</v>
      </c>
      <c r="AB6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3.3</v>
      </c>
      <c r="AC6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4.8</v>
      </c>
      <c r="AD6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3.6</v>
      </c>
      <c r="AE6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6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13454.775</v>
      </c>
    </row>
    <row r="69" spans="1:32">
      <c r="A6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VenezolanosVE0612</v>
      </c>
      <c r="B69" s="105" t="s">
        <v>215</v>
      </c>
      <c r="C69" s="104" t="s">
        <v>216</v>
      </c>
      <c r="D69" s="119" t="s">
        <v>237</v>
      </c>
      <c r="E69" s="104" t="s">
        <v>238</v>
      </c>
      <c r="F69" s="119"/>
      <c r="G69" s="102">
        <v>16144</v>
      </c>
      <c r="H69" s="102" t="s">
        <v>102</v>
      </c>
      <c r="I69" s="206">
        <v>2773</v>
      </c>
      <c r="J69" s="120">
        <v>726</v>
      </c>
      <c r="K69" s="207">
        <v>4202.9462553822259</v>
      </c>
      <c r="L69" s="207">
        <v>2076.3435197440949</v>
      </c>
      <c r="M69" s="207">
        <v>7891.9966982977949</v>
      </c>
      <c r="N69" s="298">
        <v>3229</v>
      </c>
      <c r="O69" s="114">
        <f>tblPiNAnalysis[[#This Row],[SAMV]]</f>
        <v>36142</v>
      </c>
      <c r="P69" s="115">
        <f>tblPiNAnalysis[[#This Row],[NUT]]</f>
        <v>1875.4144491096331</v>
      </c>
      <c r="Q69" s="115">
        <f>tblPiNAnalysis[[#This Row],[SAL]]</f>
        <v>17395.900000000001</v>
      </c>
      <c r="R69" s="115">
        <f>tblPiNAnalysis[[#This Row],[EDU]]</f>
        <v>2571.6372799130027</v>
      </c>
      <c r="S69" s="115">
        <f>tblPiNAnalysis[[#This Row],[PRO]]</f>
        <v>9517.0575582167694</v>
      </c>
      <c r="T69" s="116">
        <f>tblPiNAnalysis[[#This Row],[ASH]]</f>
        <v>0</v>
      </c>
      <c r="U69" s="300">
        <f>IF(OR(tblPiNHistorical[[#This Row],[SAMV25]]="", tblPiNHistorical[[#This Row],[SAMV25]]=0, tblPiNHistorical[[#This Row],[SAMV26]]="", tblPiNHistorical[[#This Row],[SAMV26]]=0), "", tblPiNHistorical[[#This Row],[SAMV26]]-tblPiNHistorical[[#This Row],[SAMV25]])</f>
        <v>33369</v>
      </c>
      <c r="V69" s="121">
        <f>IF(OR(tblPiNHistorical[[#This Row],[NUT25]]="", tblPiNHistorical[[#This Row],[NUT25]]=0, tblPiNHistorical[[#This Row],[NUT26]]="", tblPiNHistorical[[#This Row],[NUT26]]=0), "", tblPiNHistorical[[#This Row],[NUT26]]-tblPiNHistorical[[#This Row],[NUT25]])</f>
        <v>1149.4144491096331</v>
      </c>
      <c r="W69" s="121">
        <f>IF(OR(tblPiNHistorical[[#This Row],[SAL25]]="", tblPiNHistorical[[#This Row],[SAL25]]=0, tblPiNHistorical[[#This Row],[SAL26]]="", tblPiNHistorical[[#This Row],[SAL26]]=0), "", tblPiNHistorical[[#This Row],[SAL26]]-tblPiNHistorical[[#This Row],[SAL25]])</f>
        <v>13192.953744617775</v>
      </c>
      <c r="X69" s="121">
        <f>IF(OR(tblPiNHistorical[[#This Row],[EDU25]]="", tblPiNHistorical[[#This Row],[EDU25]]=0, tblPiNHistorical[[#This Row],[EDU26]]="", tblPiNHistorical[[#This Row],[EDU26]]=0), "", tblPiNHistorical[[#This Row],[EDU26]]-tblPiNHistorical[[#This Row],[EDU25]])</f>
        <v>495.29376016890774</v>
      </c>
      <c r="Y69" s="121">
        <f>IF(OR(tblPiNHistorical[[#This Row],[PRO25]]="", tblPiNHistorical[[#This Row],[PRO25]]=0, tblPiNHistorical[[#This Row],[PRO26]]="", tblPiNHistorical[[#This Row],[PRO26]]=0), "", tblPiNHistorical[[#This Row],[PRO26]]-tblPiNHistorical[[#This Row],[PRO25]])</f>
        <v>1625.0608599189745</v>
      </c>
      <c r="Z69" s="223" t="str">
        <f>IF(OR(tblPiNHistorical[[#This Row],[ASH25]]="", tblPiNHistorical[[#This Row],[ASH25]]=0, tblPiNHistorical[[#This Row],[ASH26]]="", tblPiNHistorical[[#This Row],[ASH26]]=0), "", tblPiNHistorical[[#This Row],[ASH26]]-tblPiNHistorical[[#This Row],[ASH25]])</f>
        <v/>
      </c>
      <c r="AA6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12</v>
      </c>
      <c r="AB6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1.6</v>
      </c>
      <c r="AC6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3.1</v>
      </c>
      <c r="AD6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0.2</v>
      </c>
      <c r="AE6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0.2</v>
      </c>
      <c r="AF6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3229</v>
      </c>
    </row>
    <row r="70" spans="1:32">
      <c r="A7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VenezolanosVE0701</v>
      </c>
      <c r="B70" s="105" t="s">
        <v>180</v>
      </c>
      <c r="C70" s="104" t="s">
        <v>239</v>
      </c>
      <c r="D70" s="119" t="s">
        <v>240</v>
      </c>
      <c r="E70" s="104" t="s">
        <v>241</v>
      </c>
      <c r="F70" s="119"/>
      <c r="G70" s="102">
        <v>706736</v>
      </c>
      <c r="H70" s="102" t="s">
        <v>102</v>
      </c>
      <c r="I70" s="206">
        <v>143871</v>
      </c>
      <c r="J70" s="120">
        <v>35340</v>
      </c>
      <c r="K70" s="207">
        <v>184004.23405753294</v>
      </c>
      <c r="L70" s="207">
        <v>105721.1618035001</v>
      </c>
      <c r="M70" s="207">
        <v>34537.143209720809</v>
      </c>
      <c r="N70" s="298">
        <v>141347</v>
      </c>
      <c r="O70" s="114">
        <f>tblPiNAnalysis[[#This Row],[SAMV]]</f>
        <v>21868</v>
      </c>
      <c r="P70" s="115">
        <f>tblPiNAnalysis[[#This Row],[NUT]]</f>
        <v>6344.3324429168088</v>
      </c>
      <c r="Q70" s="115">
        <f>tblPiNAnalysis[[#This Row],[SAL]]</f>
        <v>27200</v>
      </c>
      <c r="R70" s="115">
        <f>tblPiNAnalysis[[#This Row],[EDU]]</f>
        <v>706.101853914201</v>
      </c>
      <c r="S70" s="115">
        <f>tblPiNAnalysis[[#This Row],[PRO]]</f>
        <v>14370.555676661454</v>
      </c>
      <c r="T70" s="116">
        <f>tblPiNAnalysis[[#This Row],[ASH]]</f>
        <v>35905.199999999997</v>
      </c>
      <c r="U70" s="300">
        <f>IF(OR(tblPiNHistorical[[#This Row],[SAMV25]]="", tblPiNHistorical[[#This Row],[SAMV25]]=0, tblPiNHistorical[[#This Row],[SAMV26]]="", tblPiNHistorical[[#This Row],[SAMV26]]=0), "", tblPiNHistorical[[#This Row],[SAMV26]]-tblPiNHistorical[[#This Row],[SAMV25]])</f>
        <v>-122003</v>
      </c>
      <c r="V70" s="121">
        <f>IF(OR(tblPiNHistorical[[#This Row],[NUT25]]="", tblPiNHistorical[[#This Row],[NUT25]]=0, tblPiNHistorical[[#This Row],[NUT26]]="", tblPiNHistorical[[#This Row],[NUT26]]=0), "", tblPiNHistorical[[#This Row],[NUT26]]-tblPiNHistorical[[#This Row],[NUT25]])</f>
        <v>-28995.66755708319</v>
      </c>
      <c r="W70" s="121">
        <f>IF(OR(tblPiNHistorical[[#This Row],[SAL25]]="", tblPiNHistorical[[#This Row],[SAL25]]=0, tblPiNHistorical[[#This Row],[SAL26]]="", tblPiNHistorical[[#This Row],[SAL26]]=0), "", tblPiNHistorical[[#This Row],[SAL26]]-tblPiNHistorical[[#This Row],[SAL25]])</f>
        <v>-156804.23405753294</v>
      </c>
      <c r="X70" s="121">
        <f>IF(OR(tblPiNHistorical[[#This Row],[EDU25]]="", tblPiNHistorical[[#This Row],[EDU25]]=0, tblPiNHistorical[[#This Row],[EDU26]]="", tblPiNHistorical[[#This Row],[EDU26]]=0), "", tblPiNHistorical[[#This Row],[EDU26]]-tblPiNHistorical[[#This Row],[EDU25]])</f>
        <v>-105015.05994958591</v>
      </c>
      <c r="Y70" s="121">
        <f>IF(OR(tblPiNHistorical[[#This Row],[PRO25]]="", tblPiNHistorical[[#This Row],[PRO25]]=0, tblPiNHistorical[[#This Row],[PRO26]]="", tblPiNHistorical[[#This Row],[PRO26]]=0), "", tblPiNHistorical[[#This Row],[PRO26]]-tblPiNHistorical[[#This Row],[PRO25]])</f>
        <v>-20166.587533059355</v>
      </c>
      <c r="Z70" s="223">
        <f>IF(OR(tblPiNHistorical[[#This Row],[ASH25]]="", tblPiNHistorical[[#This Row],[ASH25]]=0, tblPiNHistorical[[#This Row],[ASH26]]="", tblPiNHistorical[[#This Row],[ASH26]]=0), "", tblPiNHistorical[[#This Row],[ASH26]]-tblPiNHistorical[[#This Row],[ASH25]])</f>
        <v>-105441.8</v>
      </c>
      <c r="AA7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7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7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-0.9</v>
      </c>
      <c r="AD7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7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70"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-0.7</v>
      </c>
    </row>
    <row r="71" spans="1:32">
      <c r="A7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VenezolanosVE0702</v>
      </c>
      <c r="B71" s="105" t="s">
        <v>180</v>
      </c>
      <c r="C71" s="104" t="s">
        <v>239</v>
      </c>
      <c r="D71" s="119" t="s">
        <v>242</v>
      </c>
      <c r="E71" s="104" t="s">
        <v>243</v>
      </c>
      <c r="F71" s="119"/>
      <c r="G71" s="102">
        <v>67000</v>
      </c>
      <c r="H71" s="102" t="s">
        <v>102</v>
      </c>
      <c r="I71" s="206">
        <v>13639</v>
      </c>
      <c r="J71" s="120">
        <v>3452</v>
      </c>
      <c r="K71" s="207">
        <v>17443.911308877763</v>
      </c>
      <c r="L71" s="207">
        <v>14013.205037117925</v>
      </c>
      <c r="M71" s="207">
        <v>32752.959538277519</v>
      </c>
      <c r="N71" s="298">
        <v>33500</v>
      </c>
      <c r="O71" s="114">
        <f>tblPiNAnalysis[[#This Row],[SAMV]]</f>
        <v>34866</v>
      </c>
      <c r="P71" s="115">
        <f>tblPiNAnalysis[[#This Row],[NUT]]</f>
        <v>2425.0194820477091</v>
      </c>
      <c r="Q71" s="115">
        <f>tblPiNAnalysis[[#This Row],[SAL]]</f>
        <v>23494.32</v>
      </c>
      <c r="R71" s="115">
        <f>tblPiNAnalysis[[#This Row],[EDU]]</f>
        <v>4300.5296577383288</v>
      </c>
      <c r="S71" s="115">
        <f>tblPiNAnalysis[[#This Row],[PRO]]</f>
        <v>12213.872651773372</v>
      </c>
      <c r="T71" s="116">
        <f>tblPiNAnalysis[[#This Row],[ASH]]</f>
        <v>0</v>
      </c>
      <c r="U71" s="300">
        <f>IF(OR(tblPiNHistorical[[#This Row],[SAMV25]]="", tblPiNHistorical[[#This Row],[SAMV25]]=0, tblPiNHistorical[[#This Row],[SAMV26]]="", tblPiNHistorical[[#This Row],[SAMV26]]=0), "", tblPiNHistorical[[#This Row],[SAMV26]]-tblPiNHistorical[[#This Row],[SAMV25]])</f>
        <v>21227</v>
      </c>
      <c r="V71" s="121">
        <f>IF(OR(tblPiNHistorical[[#This Row],[NUT25]]="", tblPiNHistorical[[#This Row],[NUT25]]=0, tblPiNHistorical[[#This Row],[NUT26]]="", tblPiNHistorical[[#This Row],[NUT26]]=0), "", tblPiNHistorical[[#This Row],[NUT26]]-tblPiNHistorical[[#This Row],[NUT25]])</f>
        <v>-1026.9805179522909</v>
      </c>
      <c r="W71" s="121">
        <f>IF(OR(tblPiNHistorical[[#This Row],[SAL25]]="", tblPiNHistorical[[#This Row],[SAL25]]=0, tblPiNHistorical[[#This Row],[SAL26]]="", tblPiNHistorical[[#This Row],[SAL26]]=0), "", tblPiNHistorical[[#This Row],[SAL26]]-tblPiNHistorical[[#This Row],[SAL25]])</f>
        <v>6050.4086911222366</v>
      </c>
      <c r="X71" s="121">
        <f>IF(OR(tblPiNHistorical[[#This Row],[EDU25]]="", tblPiNHistorical[[#This Row],[EDU25]]=0, tblPiNHistorical[[#This Row],[EDU26]]="", tblPiNHistorical[[#This Row],[EDU26]]=0), "", tblPiNHistorical[[#This Row],[EDU26]]-tblPiNHistorical[[#This Row],[EDU25]])</f>
        <v>-9712.6753793795961</v>
      </c>
      <c r="Y71" s="121">
        <f>IF(OR(tblPiNHistorical[[#This Row],[PRO25]]="", tblPiNHistorical[[#This Row],[PRO25]]=0, tblPiNHistorical[[#This Row],[PRO26]]="", tblPiNHistorical[[#This Row],[PRO26]]=0), "", tblPiNHistorical[[#This Row],[PRO26]]-tblPiNHistorical[[#This Row],[PRO25]])</f>
        <v>-20539.086886504148</v>
      </c>
      <c r="Z71" s="223" t="str">
        <f>IF(OR(tblPiNHistorical[[#This Row],[ASH25]]="", tblPiNHistorical[[#This Row],[ASH25]]=0, tblPiNHistorical[[#This Row],[ASH26]]="", tblPiNHistorical[[#This Row],[ASH26]]=0), "", tblPiNHistorical[[#This Row],[ASH26]]-tblPiNHistorical[[#This Row],[ASH25]])</f>
        <v/>
      </c>
      <c r="AA7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1.6</v>
      </c>
      <c r="AB7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-0.3</v>
      </c>
      <c r="AC7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7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7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7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33500</v>
      </c>
    </row>
    <row r="72" spans="1:32">
      <c r="A7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VenezolanosVE0703</v>
      </c>
      <c r="B72" s="105" t="s">
        <v>180</v>
      </c>
      <c r="C72" s="104" t="s">
        <v>239</v>
      </c>
      <c r="D72" s="119" t="s">
        <v>244</v>
      </c>
      <c r="E72" s="104" t="s">
        <v>245</v>
      </c>
      <c r="F72" s="119"/>
      <c r="G72" s="102">
        <v>21769</v>
      </c>
      <c r="H72" s="102" t="s">
        <v>102</v>
      </c>
      <c r="I72" s="206">
        <v>4432</v>
      </c>
      <c r="J72" s="120">
        <v>968</v>
      </c>
      <c r="K72" s="207">
        <v>5667.3391279552889</v>
      </c>
      <c r="L72" s="207">
        <v>3625.0660332922907</v>
      </c>
      <c r="M72" s="207">
        <v>17413.819771231665</v>
      </c>
      <c r="N72" s="298">
        <v>13061</v>
      </c>
      <c r="O72" s="114">
        <f>tblPiNAnalysis[[#This Row],[SAMV]]</f>
        <v>33817</v>
      </c>
      <c r="P72" s="115">
        <f>tblPiNAnalysis[[#This Row],[NUT]]</f>
        <v>7923.4663576178737</v>
      </c>
      <c r="Q72" s="115">
        <f>tblPiNAnalysis[[#This Row],[SAL]]</f>
        <v>30111.404999999999</v>
      </c>
      <c r="R72" s="115">
        <f>tblPiNAnalysis[[#This Row],[EDU]]</f>
        <v>9122.0082799226893</v>
      </c>
      <c r="S72" s="115">
        <f>tblPiNAnalysis[[#This Row],[PRO]]</f>
        <v>16513.852706294569</v>
      </c>
      <c r="T72" s="116">
        <f>tblPiNAnalysis[[#This Row],[ASH]]</f>
        <v>11137.094999999999</v>
      </c>
      <c r="U72" s="300">
        <f>IF(OR(tblPiNHistorical[[#This Row],[SAMV25]]="", tblPiNHistorical[[#This Row],[SAMV25]]=0, tblPiNHistorical[[#This Row],[SAMV26]]="", tblPiNHistorical[[#This Row],[SAMV26]]=0), "", tblPiNHistorical[[#This Row],[SAMV26]]-tblPiNHistorical[[#This Row],[SAMV25]])</f>
        <v>29385</v>
      </c>
      <c r="V72" s="121">
        <f>IF(OR(tblPiNHistorical[[#This Row],[NUT25]]="", tblPiNHistorical[[#This Row],[NUT25]]=0, tblPiNHistorical[[#This Row],[NUT26]]="", tblPiNHistorical[[#This Row],[NUT26]]=0), "", tblPiNHistorical[[#This Row],[NUT26]]-tblPiNHistorical[[#This Row],[NUT25]])</f>
        <v>6955.4663576178737</v>
      </c>
      <c r="W72" s="121">
        <f>IF(OR(tblPiNHistorical[[#This Row],[SAL25]]="", tblPiNHistorical[[#This Row],[SAL25]]=0, tblPiNHistorical[[#This Row],[SAL26]]="", tblPiNHistorical[[#This Row],[SAL26]]=0), "", tblPiNHistorical[[#This Row],[SAL26]]-tblPiNHistorical[[#This Row],[SAL25]])</f>
        <v>24444.06587204471</v>
      </c>
      <c r="X72" s="121">
        <f>IF(OR(tblPiNHistorical[[#This Row],[EDU25]]="", tblPiNHistorical[[#This Row],[EDU25]]=0, tblPiNHistorical[[#This Row],[EDU26]]="", tblPiNHistorical[[#This Row],[EDU26]]=0), "", tblPiNHistorical[[#This Row],[EDU26]]-tblPiNHistorical[[#This Row],[EDU25]])</f>
        <v>5496.9422466303986</v>
      </c>
      <c r="Y72" s="121">
        <f>IF(OR(tblPiNHistorical[[#This Row],[PRO25]]="", tblPiNHistorical[[#This Row],[PRO25]]=0, tblPiNHistorical[[#This Row],[PRO26]]="", tblPiNHistorical[[#This Row],[PRO26]]=0), "", tblPiNHistorical[[#This Row],[PRO26]]-tblPiNHistorical[[#This Row],[PRO25]])</f>
        <v>-899.96706493709644</v>
      </c>
      <c r="Z72" s="223">
        <f>IF(OR(tblPiNHistorical[[#This Row],[ASH25]]="", tblPiNHistorical[[#This Row],[ASH25]]=0, tblPiNHistorical[[#This Row],[ASH26]]="", tblPiNHistorical[[#This Row],[ASH26]]=0), "", tblPiNHistorical[[#This Row],[ASH26]]-tblPiNHistorical[[#This Row],[ASH25]])</f>
        <v>-1923.9050000000007</v>
      </c>
      <c r="AA7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6.6</v>
      </c>
      <c r="AB7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7.2</v>
      </c>
      <c r="AC7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4.3</v>
      </c>
      <c r="AD7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1.5</v>
      </c>
      <c r="AE7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72"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-0.1</v>
      </c>
    </row>
    <row r="73" spans="1:32">
      <c r="A7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VenezolanosVE0704</v>
      </c>
      <c r="B73" s="105" t="s">
        <v>180</v>
      </c>
      <c r="C73" s="104" t="s">
        <v>239</v>
      </c>
      <c r="D73" s="119" t="s">
        <v>246</v>
      </c>
      <c r="E73" s="104" t="s">
        <v>247</v>
      </c>
      <c r="F73" s="119"/>
      <c r="G73" s="102">
        <v>28450</v>
      </c>
      <c r="H73" s="102" t="s">
        <v>102</v>
      </c>
      <c r="I73" s="206">
        <v>5792</v>
      </c>
      <c r="J73" s="120">
        <v>1378</v>
      </c>
      <c r="K73" s="207">
        <v>7407.1726084954089</v>
      </c>
      <c r="L73" s="207">
        <v>5779.1802165316585</v>
      </c>
      <c r="M73" s="207">
        <v>13907.786550208884</v>
      </c>
      <c r="N73" s="298">
        <v>14225</v>
      </c>
      <c r="O73" s="114">
        <f>tblPiNAnalysis[[#This Row],[SAMV]]</f>
        <v>2700</v>
      </c>
      <c r="P73" s="115">
        <f>tblPiNAnalysis[[#This Row],[NUT]]</f>
        <v>4932.8788742499491</v>
      </c>
      <c r="Q73" s="115">
        <f>tblPiNAnalysis[[#This Row],[SAL]]</f>
        <v>27300</v>
      </c>
      <c r="R73" s="115">
        <f>tblPiNAnalysis[[#This Row],[EDU]]</f>
        <v>2091.9090466414323</v>
      </c>
      <c r="S73" s="115">
        <f>tblPiNAnalysis[[#This Row],[PRO]]</f>
        <v>13338.18679102983</v>
      </c>
      <c r="T73" s="116">
        <f>tblPiNAnalysis[[#This Row],[ASH]]</f>
        <v>33325.799999999996</v>
      </c>
      <c r="U73" s="300">
        <f>IF(OR(tblPiNHistorical[[#This Row],[SAMV25]]="", tblPiNHistorical[[#This Row],[SAMV25]]=0, tblPiNHistorical[[#This Row],[SAMV26]]="", tblPiNHistorical[[#This Row],[SAMV26]]=0), "", tblPiNHistorical[[#This Row],[SAMV26]]-tblPiNHistorical[[#This Row],[SAMV25]])</f>
        <v>-3092</v>
      </c>
      <c r="V73" s="121">
        <f>IF(OR(tblPiNHistorical[[#This Row],[NUT25]]="", tblPiNHistorical[[#This Row],[NUT25]]=0, tblPiNHistorical[[#This Row],[NUT26]]="", tblPiNHistorical[[#This Row],[NUT26]]=0), "", tblPiNHistorical[[#This Row],[NUT26]]-tblPiNHistorical[[#This Row],[NUT25]])</f>
        <v>3554.8788742499491</v>
      </c>
      <c r="W73" s="121">
        <f>IF(OR(tblPiNHistorical[[#This Row],[SAL25]]="", tblPiNHistorical[[#This Row],[SAL25]]=0, tblPiNHistorical[[#This Row],[SAL26]]="", tblPiNHistorical[[#This Row],[SAL26]]=0), "", tblPiNHistorical[[#This Row],[SAL26]]-tblPiNHistorical[[#This Row],[SAL25]])</f>
        <v>19892.82739150459</v>
      </c>
      <c r="X73" s="121">
        <f>IF(OR(tblPiNHistorical[[#This Row],[EDU25]]="", tblPiNHistorical[[#This Row],[EDU25]]=0, tblPiNHistorical[[#This Row],[EDU26]]="", tblPiNHistorical[[#This Row],[EDU26]]=0), "", tblPiNHistorical[[#This Row],[EDU26]]-tblPiNHistorical[[#This Row],[EDU25]])</f>
        <v>-3687.2711698902262</v>
      </c>
      <c r="Y73" s="121">
        <f>IF(OR(tblPiNHistorical[[#This Row],[PRO25]]="", tblPiNHistorical[[#This Row],[PRO25]]=0, tblPiNHistorical[[#This Row],[PRO26]]="", tblPiNHistorical[[#This Row],[PRO26]]=0), "", tblPiNHistorical[[#This Row],[PRO26]]-tblPiNHistorical[[#This Row],[PRO25]])</f>
        <v>-569.59975917905467</v>
      </c>
      <c r="Z73" s="223">
        <f>IF(OR(tblPiNHistorical[[#This Row],[ASH25]]="", tblPiNHistorical[[#This Row],[ASH25]]=0, tblPiNHistorical[[#This Row],[ASH26]]="", tblPiNHistorical[[#This Row],[ASH26]]=0), "", tblPiNHistorical[[#This Row],[ASH26]]-tblPiNHistorical[[#This Row],[ASH25]])</f>
        <v>19100.799999999996</v>
      </c>
      <c r="AA7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7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2.6</v>
      </c>
      <c r="AC7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2.7</v>
      </c>
      <c r="AD7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7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v>
      </c>
      <c r="AF73"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1.3</v>
      </c>
    </row>
    <row r="74" spans="1:32">
      <c r="A7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VenezolanosVE0705</v>
      </c>
      <c r="B74" s="105" t="s">
        <v>180</v>
      </c>
      <c r="C74" s="104" t="s">
        <v>239</v>
      </c>
      <c r="D74" s="119" t="s">
        <v>248</v>
      </c>
      <c r="E74" s="104" t="s">
        <v>249</v>
      </c>
      <c r="F74" s="119"/>
      <c r="G74" s="102">
        <v>342280</v>
      </c>
      <c r="H74" s="102" t="s">
        <v>102</v>
      </c>
      <c r="I74" s="206">
        <v>69678</v>
      </c>
      <c r="J74" s="120">
        <v>16081</v>
      </c>
      <c r="K74" s="207">
        <v>89115.935406435397</v>
      </c>
      <c r="L74" s="207">
        <v>48302.088243809456</v>
      </c>
      <c r="M74" s="207">
        <v>34537.143209720809</v>
      </c>
      <c r="N74" s="298">
        <v>0</v>
      </c>
      <c r="O74" s="114">
        <f>tblPiNAnalysis[[#This Row],[SAMV]]</f>
        <v>32935</v>
      </c>
      <c r="P74" s="115">
        <f>tblPiNAnalysis[[#This Row],[NUT]]</f>
        <v>1556.4735311369282</v>
      </c>
      <c r="Q74" s="115">
        <f>tblPiNAnalysis[[#This Row],[SAL]]</f>
        <v>14425.53</v>
      </c>
      <c r="R74" s="115">
        <f>tblPiNAnalysis[[#This Row],[EDU]]</f>
        <v>2847.4822893862083</v>
      </c>
      <c r="S74" s="115">
        <f>tblPiNAnalysis[[#This Row],[PRO]]</f>
        <v>7892.0089973949462</v>
      </c>
      <c r="T74" s="116">
        <f>tblPiNAnalysis[[#This Row],[ASH]]</f>
        <v>5335.47</v>
      </c>
      <c r="U74" s="300">
        <f>IF(OR(tblPiNHistorical[[#This Row],[SAMV25]]="", tblPiNHistorical[[#This Row],[SAMV25]]=0, tblPiNHistorical[[#This Row],[SAMV26]]="", tblPiNHistorical[[#This Row],[SAMV26]]=0), "", tblPiNHistorical[[#This Row],[SAMV26]]-tblPiNHistorical[[#This Row],[SAMV25]])</f>
        <v>-36743</v>
      </c>
      <c r="V74" s="121">
        <f>IF(OR(tblPiNHistorical[[#This Row],[NUT25]]="", tblPiNHistorical[[#This Row],[NUT25]]=0, tblPiNHistorical[[#This Row],[NUT26]]="", tblPiNHistorical[[#This Row],[NUT26]]=0), "", tblPiNHistorical[[#This Row],[NUT26]]-tblPiNHistorical[[#This Row],[NUT25]])</f>
        <v>-14524.526468863072</v>
      </c>
      <c r="W74" s="121">
        <f>IF(OR(tblPiNHistorical[[#This Row],[SAL25]]="", tblPiNHistorical[[#This Row],[SAL25]]=0, tblPiNHistorical[[#This Row],[SAL26]]="", tblPiNHistorical[[#This Row],[SAL26]]=0), "", tblPiNHistorical[[#This Row],[SAL26]]-tblPiNHistorical[[#This Row],[SAL25]])</f>
        <v>-74690.405406435399</v>
      </c>
      <c r="X74" s="121">
        <f>IF(OR(tblPiNHistorical[[#This Row],[EDU25]]="", tblPiNHistorical[[#This Row],[EDU25]]=0, tblPiNHistorical[[#This Row],[EDU26]]="", tblPiNHistorical[[#This Row],[EDU26]]=0), "", tblPiNHistorical[[#This Row],[EDU26]]-tblPiNHistorical[[#This Row],[EDU25]])</f>
        <v>-45454.605954423248</v>
      </c>
      <c r="Y74" s="121">
        <f>IF(OR(tblPiNHistorical[[#This Row],[PRO25]]="", tblPiNHistorical[[#This Row],[PRO25]]=0, tblPiNHistorical[[#This Row],[PRO26]]="", tblPiNHistorical[[#This Row],[PRO26]]=0), "", tblPiNHistorical[[#This Row],[PRO26]]-tblPiNHistorical[[#This Row],[PRO25]])</f>
        <v>-26645.134212325862</v>
      </c>
      <c r="Z74" s="223" t="str">
        <f>IF(OR(tblPiNHistorical[[#This Row],[ASH25]]="", tblPiNHistorical[[#This Row],[ASH25]]=0, tblPiNHistorical[[#This Row],[ASH26]]="", tblPiNHistorical[[#This Row],[ASH26]]=0), "", tblPiNHistorical[[#This Row],[ASH26]]-tblPiNHistorical[[#This Row],[ASH25]])</f>
        <v/>
      </c>
      <c r="AA7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7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7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7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7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7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5335.47</v>
      </c>
    </row>
    <row r="75" spans="1:32">
      <c r="A7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VenezolanosVE0706</v>
      </c>
      <c r="B75" s="105" t="s">
        <v>180</v>
      </c>
      <c r="C75" s="104" t="s">
        <v>239</v>
      </c>
      <c r="D75" s="119" t="s">
        <v>250</v>
      </c>
      <c r="E75" s="104" t="s">
        <v>251</v>
      </c>
      <c r="F75" s="119"/>
      <c r="G75" s="102">
        <v>98274</v>
      </c>
      <c r="H75" s="102" t="s">
        <v>102</v>
      </c>
      <c r="I75" s="206">
        <v>20006</v>
      </c>
      <c r="J75" s="120">
        <v>4565</v>
      </c>
      <c r="K75" s="207">
        <v>25586.25273432122</v>
      </c>
      <c r="L75" s="207">
        <v>15343.236147829688</v>
      </c>
      <c r="M75" s="207">
        <v>34537.143209720809</v>
      </c>
      <c r="N75" s="298">
        <v>49137</v>
      </c>
      <c r="O75" s="114">
        <f>tblPiNAnalysis[[#This Row],[SAMV]]</f>
        <v>28225</v>
      </c>
      <c r="P75" s="115">
        <f>tblPiNAnalysis[[#This Row],[NUT]]</f>
        <v>1783.518817212745</v>
      </c>
      <c r="Q75" s="115">
        <f>tblPiNAnalysis[[#This Row],[SAL]]</f>
        <v>19362.884999999998</v>
      </c>
      <c r="R75" s="115">
        <f>tblPiNAnalysis[[#This Row],[EDU]]</f>
        <v>9320.8238035168688</v>
      </c>
      <c r="S75" s="115">
        <f>tblPiNAnalysis[[#This Row],[PRO]]</f>
        <v>12742.912429051536</v>
      </c>
      <c r="T75" s="116">
        <f>tblPiNAnalysis[[#This Row],[ASH]]</f>
        <v>31829.399999999998</v>
      </c>
      <c r="U75" s="300">
        <f>IF(OR(tblPiNHistorical[[#This Row],[SAMV25]]="", tblPiNHistorical[[#This Row],[SAMV25]]=0, tblPiNHistorical[[#This Row],[SAMV26]]="", tblPiNHistorical[[#This Row],[SAMV26]]=0), "", tblPiNHistorical[[#This Row],[SAMV26]]-tblPiNHistorical[[#This Row],[SAMV25]])</f>
        <v>8219</v>
      </c>
      <c r="V75" s="121">
        <f>IF(OR(tblPiNHistorical[[#This Row],[NUT25]]="", tblPiNHistorical[[#This Row],[NUT25]]=0, tblPiNHistorical[[#This Row],[NUT26]]="", tblPiNHistorical[[#This Row],[NUT26]]=0), "", tblPiNHistorical[[#This Row],[NUT26]]-tblPiNHistorical[[#This Row],[NUT25]])</f>
        <v>-2781.481182787255</v>
      </c>
      <c r="W75" s="121">
        <f>IF(OR(tblPiNHistorical[[#This Row],[SAL25]]="", tblPiNHistorical[[#This Row],[SAL25]]=0, tblPiNHistorical[[#This Row],[SAL26]]="", tblPiNHistorical[[#This Row],[SAL26]]=0), "", tblPiNHistorical[[#This Row],[SAL26]]-tblPiNHistorical[[#This Row],[SAL25]])</f>
        <v>-6223.3677343212221</v>
      </c>
      <c r="X75" s="121">
        <f>IF(OR(tblPiNHistorical[[#This Row],[EDU25]]="", tblPiNHistorical[[#This Row],[EDU25]]=0, tblPiNHistorical[[#This Row],[EDU26]]="", tblPiNHistorical[[#This Row],[EDU26]]=0), "", tblPiNHistorical[[#This Row],[EDU26]]-tblPiNHistorical[[#This Row],[EDU25]])</f>
        <v>-6022.4123443128192</v>
      </c>
      <c r="Y75" s="121">
        <f>IF(OR(tblPiNHistorical[[#This Row],[PRO25]]="", tblPiNHistorical[[#This Row],[PRO25]]=0, tblPiNHistorical[[#This Row],[PRO26]]="", tblPiNHistorical[[#This Row],[PRO26]]=0), "", tblPiNHistorical[[#This Row],[PRO26]]-tblPiNHistorical[[#This Row],[PRO25]])</f>
        <v>-21794.230780669273</v>
      </c>
      <c r="Z75" s="223">
        <f>IF(OR(tblPiNHistorical[[#This Row],[ASH25]]="", tblPiNHistorical[[#This Row],[ASH25]]=0, tblPiNHistorical[[#This Row],[ASH26]]="", tblPiNHistorical[[#This Row],[ASH26]]=0), "", tblPiNHistorical[[#This Row],[ASH26]]-tblPiNHistorical[[#This Row],[ASH25]])</f>
        <v>-17307.600000000002</v>
      </c>
      <c r="AA7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7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7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7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7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75"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-0.4</v>
      </c>
    </row>
    <row r="76" spans="1:32">
      <c r="A7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VenezolanosVE0707</v>
      </c>
      <c r="B76" s="105" t="s">
        <v>180</v>
      </c>
      <c r="C76" s="104" t="s">
        <v>239</v>
      </c>
      <c r="D76" s="119" t="s">
        <v>252</v>
      </c>
      <c r="E76" s="104" t="s">
        <v>253</v>
      </c>
      <c r="F76" s="119"/>
      <c r="G76" s="102">
        <v>40927</v>
      </c>
      <c r="H76" s="102" t="s">
        <v>102</v>
      </c>
      <c r="I76" s="206">
        <v>8332</v>
      </c>
      <c r="J76" s="120">
        <v>1978</v>
      </c>
      <c r="K76" s="207">
        <v>10655.984671531316</v>
      </c>
      <c r="L76" s="207">
        <v>8520.6932080373463</v>
      </c>
      <c r="M76" s="207">
        <v>20007.169776463939</v>
      </c>
      <c r="N76" s="298">
        <v>20464</v>
      </c>
      <c r="O76" s="114">
        <f>tblPiNAnalysis[[#This Row],[SAMV]]</f>
        <v>8118</v>
      </c>
      <c r="P76" s="115">
        <f>tblPiNAnalysis[[#This Row],[NUT]]</f>
        <v>3306.2876662788221</v>
      </c>
      <c r="Q76" s="115">
        <f>tblPiNAnalysis[[#This Row],[SAL]]</f>
        <v>30480.055</v>
      </c>
      <c r="R76" s="115">
        <f>tblPiNAnalysis[[#This Row],[EDU]]</f>
        <v>8707.8034025486122</v>
      </c>
      <c r="S76" s="115">
        <f>tblPiNAnalysis[[#This Row],[PRO]]</f>
        <v>7195.7290131067421</v>
      </c>
      <c r="T76" s="116">
        <f>tblPiNAnalysis[[#This Row],[ASH]]</f>
        <v>11273.445</v>
      </c>
      <c r="U76" s="300">
        <f>IF(OR(tblPiNHistorical[[#This Row],[SAMV25]]="", tblPiNHistorical[[#This Row],[SAMV25]]=0, tblPiNHistorical[[#This Row],[SAMV26]]="", tblPiNHistorical[[#This Row],[SAMV26]]=0), "", tblPiNHistorical[[#This Row],[SAMV26]]-tblPiNHistorical[[#This Row],[SAMV25]])</f>
        <v>-214</v>
      </c>
      <c r="V76" s="121">
        <f>IF(OR(tblPiNHistorical[[#This Row],[NUT25]]="", tblPiNHistorical[[#This Row],[NUT25]]=0, tblPiNHistorical[[#This Row],[NUT26]]="", tblPiNHistorical[[#This Row],[NUT26]]=0), "", tblPiNHistorical[[#This Row],[NUT26]]-tblPiNHistorical[[#This Row],[NUT25]])</f>
        <v>1328.2876662788221</v>
      </c>
      <c r="W76" s="121">
        <f>IF(OR(tblPiNHistorical[[#This Row],[SAL25]]="", tblPiNHistorical[[#This Row],[SAL25]]=0, tblPiNHistorical[[#This Row],[SAL26]]="", tblPiNHistorical[[#This Row],[SAL26]]=0), "", tblPiNHistorical[[#This Row],[SAL26]]-tblPiNHistorical[[#This Row],[SAL25]])</f>
        <v>19824.070328468682</v>
      </c>
      <c r="X76" s="121">
        <f>IF(OR(tblPiNHistorical[[#This Row],[EDU25]]="", tblPiNHistorical[[#This Row],[EDU25]]=0, tblPiNHistorical[[#This Row],[EDU26]]="", tblPiNHistorical[[#This Row],[EDU26]]=0), "", tblPiNHistorical[[#This Row],[EDU26]]-tblPiNHistorical[[#This Row],[EDU25]])</f>
        <v>187.11019451126595</v>
      </c>
      <c r="Y76" s="121">
        <f>IF(OR(tblPiNHistorical[[#This Row],[PRO25]]="", tblPiNHistorical[[#This Row],[PRO25]]=0, tblPiNHistorical[[#This Row],[PRO26]]="", tblPiNHistorical[[#This Row],[PRO26]]=0), "", tblPiNHistorical[[#This Row],[PRO26]]-tblPiNHistorical[[#This Row],[PRO25]])</f>
        <v>-12811.440763357197</v>
      </c>
      <c r="Z76" s="223">
        <f>IF(OR(tblPiNHistorical[[#This Row],[ASH25]]="", tblPiNHistorical[[#This Row],[ASH25]]=0, tblPiNHistorical[[#This Row],[ASH26]]="", tblPiNHistorical[[#This Row],[ASH26]]=0), "", tblPiNHistorical[[#This Row],[ASH26]]-tblPiNHistorical[[#This Row],[ASH25]])</f>
        <v>-9190.5550000000003</v>
      </c>
      <c r="AA7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v>
      </c>
      <c r="AB7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7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1.9</v>
      </c>
      <c r="AD7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v>
      </c>
      <c r="AE7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76"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-0.4</v>
      </c>
    </row>
    <row r="77" spans="1:32">
      <c r="A7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VenezolanosVE0708</v>
      </c>
      <c r="B77" s="105" t="s">
        <v>180</v>
      </c>
      <c r="C77" s="104" t="s">
        <v>239</v>
      </c>
      <c r="D77" s="119" t="s">
        <v>254</v>
      </c>
      <c r="E77" s="104" t="s">
        <v>255</v>
      </c>
      <c r="F77" s="119"/>
      <c r="G77" s="102">
        <v>21750</v>
      </c>
      <c r="H77" s="102" t="s">
        <v>102</v>
      </c>
      <c r="I77" s="206">
        <v>4428</v>
      </c>
      <c r="J77" s="120">
        <v>1023</v>
      </c>
      <c r="K77" s="207">
        <v>5662.385160186097</v>
      </c>
      <c r="L77" s="207">
        <v>3595.0575083044532</v>
      </c>
      <c r="M77" s="207">
        <v>10632.490596381134</v>
      </c>
      <c r="N77" s="298">
        <v>13050</v>
      </c>
      <c r="O77" s="114">
        <f>tblPiNAnalysis[[#This Row],[SAMV]]</f>
        <v>29434</v>
      </c>
      <c r="P77" s="115">
        <f>tblPiNAnalysis[[#This Row],[NUT]]</f>
        <v>1302.5412101897991</v>
      </c>
      <c r="Q77" s="115">
        <f>tblPiNAnalysis[[#This Row],[SAL]]</f>
        <v>16777.224999999999</v>
      </c>
      <c r="R77" s="115">
        <f>tblPiNAnalysis[[#This Row],[EDU]]</f>
        <v>3212.9177316097021</v>
      </c>
      <c r="S77" s="115">
        <f>tblPiNAnalysis[[#This Row],[PRO]]</f>
        <v>7268.2421964169953</v>
      </c>
      <c r="T77" s="116">
        <f>tblPiNAnalysis[[#This Row],[ASH]]</f>
        <v>0</v>
      </c>
      <c r="U77" s="300">
        <f>IF(OR(tblPiNHistorical[[#This Row],[SAMV25]]="", tblPiNHistorical[[#This Row],[SAMV25]]=0, tblPiNHistorical[[#This Row],[SAMV26]]="", tblPiNHistorical[[#This Row],[SAMV26]]=0), "", tblPiNHistorical[[#This Row],[SAMV26]]-tblPiNHistorical[[#This Row],[SAMV25]])</f>
        <v>25006</v>
      </c>
      <c r="V77" s="121">
        <f>IF(OR(tblPiNHistorical[[#This Row],[NUT25]]="", tblPiNHistorical[[#This Row],[NUT25]]=0, tblPiNHistorical[[#This Row],[NUT26]]="", tblPiNHistorical[[#This Row],[NUT26]]=0), "", tblPiNHistorical[[#This Row],[NUT26]]-tblPiNHistorical[[#This Row],[NUT25]])</f>
        <v>279.54121018979913</v>
      </c>
      <c r="W77" s="121">
        <f>IF(OR(tblPiNHistorical[[#This Row],[SAL25]]="", tblPiNHistorical[[#This Row],[SAL25]]=0, tblPiNHistorical[[#This Row],[SAL26]]="", tblPiNHistorical[[#This Row],[SAL26]]=0), "", tblPiNHistorical[[#This Row],[SAL26]]-tblPiNHistorical[[#This Row],[SAL25]])</f>
        <v>11114.839839813902</v>
      </c>
      <c r="X77" s="121">
        <f>IF(OR(tblPiNHistorical[[#This Row],[EDU25]]="", tblPiNHistorical[[#This Row],[EDU25]]=0, tblPiNHistorical[[#This Row],[EDU26]]="", tblPiNHistorical[[#This Row],[EDU26]]=0), "", tblPiNHistorical[[#This Row],[EDU26]]-tblPiNHistorical[[#This Row],[EDU25]])</f>
        <v>-382.13977669475116</v>
      </c>
      <c r="Y77" s="121">
        <f>IF(OR(tblPiNHistorical[[#This Row],[PRO25]]="", tblPiNHistorical[[#This Row],[PRO25]]=0, tblPiNHistorical[[#This Row],[PRO26]]="", tblPiNHistorical[[#This Row],[PRO26]]=0), "", tblPiNHistorical[[#This Row],[PRO26]]-tblPiNHistorical[[#This Row],[PRO25]])</f>
        <v>-3364.248399964139</v>
      </c>
      <c r="Z77" s="223" t="str">
        <f>IF(OR(tblPiNHistorical[[#This Row],[ASH25]]="", tblPiNHistorical[[#This Row],[ASH25]]=0, tblPiNHistorical[[#This Row],[ASH26]]="", tblPiNHistorical[[#This Row],[ASH26]]=0), "", tblPiNHistorical[[#This Row],[ASH26]]-tblPiNHistorical[[#This Row],[ASH25]])</f>
        <v/>
      </c>
      <c r="AA7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5.6</v>
      </c>
      <c r="AB7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0.3</v>
      </c>
      <c r="AC7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v>
      </c>
      <c r="AD7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7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7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13050</v>
      </c>
    </row>
    <row r="78" spans="1:32">
      <c r="A7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VenezolanosVE0709</v>
      </c>
      <c r="B78" s="105" t="s">
        <v>180</v>
      </c>
      <c r="C78" s="104" t="s">
        <v>239</v>
      </c>
      <c r="D78" s="119" t="s">
        <v>256</v>
      </c>
      <c r="E78" s="104" t="s">
        <v>257</v>
      </c>
      <c r="F78" s="119"/>
      <c r="G78" s="102">
        <v>50082</v>
      </c>
      <c r="H78" s="102" t="s">
        <v>102</v>
      </c>
      <c r="I78" s="206">
        <v>10195</v>
      </c>
      <c r="J78" s="120">
        <v>2398</v>
      </c>
      <c r="K78" s="207">
        <v>13038.843168512518</v>
      </c>
      <c r="L78" s="207">
        <v>10273.313366739514</v>
      </c>
      <c r="M78" s="207">
        <v>24482.592829791261</v>
      </c>
      <c r="N78" s="298">
        <v>25041</v>
      </c>
      <c r="O78" s="114">
        <f>tblPiNAnalysis[[#This Row],[SAMV]]</f>
        <v>11258</v>
      </c>
      <c r="P78" s="115">
        <f>tblPiNAnalysis[[#This Row],[NUT]]</f>
        <v>3592.7632025827461</v>
      </c>
      <c r="Q78" s="115">
        <f>tblPiNAnalysis[[#This Row],[SAL]]</f>
        <v>23150.49</v>
      </c>
      <c r="R78" s="115">
        <f>tblPiNAnalysis[[#This Row],[EDU]]</f>
        <v>6657.7792676099816</v>
      </c>
      <c r="S78" s="115">
        <f>tblPiNAnalysis[[#This Row],[PRO]]</f>
        <v>14107.567576155474</v>
      </c>
      <c r="T78" s="116">
        <f>tblPiNAnalysis[[#This Row],[ASH]]</f>
        <v>28541.7</v>
      </c>
      <c r="U78" s="300">
        <f>IF(OR(tblPiNHistorical[[#This Row],[SAMV25]]="", tblPiNHistorical[[#This Row],[SAMV25]]=0, tblPiNHistorical[[#This Row],[SAMV26]]="", tblPiNHistorical[[#This Row],[SAMV26]]=0), "", tblPiNHistorical[[#This Row],[SAMV26]]-tblPiNHistorical[[#This Row],[SAMV25]])</f>
        <v>1063</v>
      </c>
      <c r="V78" s="121">
        <f>IF(OR(tblPiNHistorical[[#This Row],[NUT25]]="", tblPiNHistorical[[#This Row],[NUT25]]=0, tblPiNHistorical[[#This Row],[NUT26]]="", tblPiNHistorical[[#This Row],[NUT26]]=0), "", tblPiNHistorical[[#This Row],[NUT26]]-tblPiNHistorical[[#This Row],[NUT25]])</f>
        <v>1194.7632025827461</v>
      </c>
      <c r="W78" s="121">
        <f>IF(OR(tblPiNHistorical[[#This Row],[SAL25]]="", tblPiNHistorical[[#This Row],[SAL25]]=0, tblPiNHistorical[[#This Row],[SAL26]]="", tblPiNHistorical[[#This Row],[SAL26]]=0), "", tblPiNHistorical[[#This Row],[SAL26]]-tblPiNHistorical[[#This Row],[SAL25]])</f>
        <v>10111.646831487484</v>
      </c>
      <c r="X78" s="121">
        <f>IF(OR(tblPiNHistorical[[#This Row],[EDU25]]="", tblPiNHistorical[[#This Row],[EDU25]]=0, tblPiNHistorical[[#This Row],[EDU26]]="", tblPiNHistorical[[#This Row],[EDU26]]=0), "", tblPiNHistorical[[#This Row],[EDU26]]-tblPiNHistorical[[#This Row],[EDU25]])</f>
        <v>-3615.5340991295325</v>
      </c>
      <c r="Y78" s="121">
        <f>IF(OR(tblPiNHistorical[[#This Row],[PRO25]]="", tblPiNHistorical[[#This Row],[PRO25]]=0, tblPiNHistorical[[#This Row],[PRO26]]="", tblPiNHistorical[[#This Row],[PRO26]]=0), "", tblPiNHistorical[[#This Row],[PRO26]]-tblPiNHistorical[[#This Row],[PRO25]])</f>
        <v>-10375.025253635788</v>
      </c>
      <c r="Z78" s="223">
        <f>IF(OR(tblPiNHistorical[[#This Row],[ASH25]]="", tblPiNHistorical[[#This Row],[ASH25]]=0, tblPiNHistorical[[#This Row],[ASH26]]="", tblPiNHistorical[[#This Row],[ASH26]]=0), "", tblPiNHistorical[[#This Row],[ASH26]]-tblPiNHistorical[[#This Row],[ASH25]])</f>
        <v>3500.7000000000007</v>
      </c>
      <c r="AA7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7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7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7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7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78"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0.1</v>
      </c>
    </row>
    <row r="79" spans="1:32">
      <c r="A7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VenezolanosVE0710</v>
      </c>
      <c r="B79" s="105" t="s">
        <v>180</v>
      </c>
      <c r="C79" s="104" t="s">
        <v>239</v>
      </c>
      <c r="D79" s="119" t="s">
        <v>203</v>
      </c>
      <c r="E79" s="104" t="s">
        <v>258</v>
      </c>
      <c r="F79" s="119"/>
      <c r="G79" s="102">
        <v>20359</v>
      </c>
      <c r="H79" s="102" t="s">
        <v>102</v>
      </c>
      <c r="I79" s="206">
        <v>4145</v>
      </c>
      <c r="J79" s="120">
        <v>1616</v>
      </c>
      <c r="K79" s="207">
        <v>5300.7455130351036</v>
      </c>
      <c r="L79" s="207">
        <v>5026.5716841670555</v>
      </c>
      <c r="M79" s="207">
        <v>9952.5000483551048</v>
      </c>
      <c r="N79" s="298">
        <v>10180</v>
      </c>
      <c r="O79" s="114">
        <f>tblPiNAnalysis[[#This Row],[SAMV]]</f>
        <v>15460</v>
      </c>
      <c r="P79" s="115">
        <f>tblPiNAnalysis[[#This Row],[NUT]]</f>
        <v>2344.6864669370925</v>
      </c>
      <c r="Q79" s="115">
        <f>tblPiNAnalysis[[#This Row],[SAL]]</f>
        <v>28513.07</v>
      </c>
      <c r="R79" s="115">
        <f>tblPiNAnalysis[[#This Row],[EDU]]</f>
        <v>6144.3072028704237</v>
      </c>
      <c r="S79" s="115">
        <f>tblPiNAnalysis[[#This Row],[PRO]]</f>
        <v>15537.62981376378</v>
      </c>
      <c r="T79" s="116">
        <f>tblPiNAnalysis[[#This Row],[ASH]]</f>
        <v>5272.9649999999992</v>
      </c>
      <c r="U79" s="300">
        <f>IF(OR(tblPiNHistorical[[#This Row],[SAMV25]]="", tblPiNHistorical[[#This Row],[SAMV25]]=0, tblPiNHistorical[[#This Row],[SAMV26]]="", tblPiNHistorical[[#This Row],[SAMV26]]=0), "", tblPiNHistorical[[#This Row],[SAMV26]]-tblPiNHistorical[[#This Row],[SAMV25]])</f>
        <v>11315</v>
      </c>
      <c r="V79" s="121">
        <f>IF(OR(tblPiNHistorical[[#This Row],[NUT25]]="", tblPiNHistorical[[#This Row],[NUT25]]=0, tblPiNHistorical[[#This Row],[NUT26]]="", tblPiNHistorical[[#This Row],[NUT26]]=0), "", tblPiNHistorical[[#This Row],[NUT26]]-tblPiNHistorical[[#This Row],[NUT25]])</f>
        <v>728.68646693709252</v>
      </c>
      <c r="W79" s="121">
        <f>IF(OR(tblPiNHistorical[[#This Row],[SAL25]]="", tblPiNHistorical[[#This Row],[SAL25]]=0, tblPiNHistorical[[#This Row],[SAL26]]="", tblPiNHistorical[[#This Row],[SAL26]]=0), "", tblPiNHistorical[[#This Row],[SAL26]]-tblPiNHistorical[[#This Row],[SAL25]])</f>
        <v>23212.324486964895</v>
      </c>
      <c r="X79" s="121">
        <f>IF(OR(tblPiNHistorical[[#This Row],[EDU25]]="", tblPiNHistorical[[#This Row],[EDU25]]=0, tblPiNHistorical[[#This Row],[EDU26]]="", tblPiNHistorical[[#This Row],[EDU26]]=0), "", tblPiNHistorical[[#This Row],[EDU26]]-tblPiNHistorical[[#This Row],[EDU25]])</f>
        <v>1117.7355187033681</v>
      </c>
      <c r="Y79" s="121">
        <f>IF(OR(tblPiNHistorical[[#This Row],[PRO25]]="", tblPiNHistorical[[#This Row],[PRO25]]=0, tblPiNHistorical[[#This Row],[PRO26]]="", tblPiNHistorical[[#This Row],[PRO26]]=0), "", tblPiNHistorical[[#This Row],[PRO26]]-tblPiNHistorical[[#This Row],[PRO25]])</f>
        <v>5585.1297654086757</v>
      </c>
      <c r="Z79" s="223">
        <f>IF(OR(tblPiNHistorical[[#This Row],[ASH25]]="", tblPiNHistorical[[#This Row],[ASH25]]=0, tblPiNHistorical[[#This Row],[ASH26]]="", tblPiNHistorical[[#This Row],[ASH26]]=0), "", tblPiNHistorical[[#This Row],[ASH26]]-tblPiNHistorical[[#This Row],[ASH25]])</f>
        <v>-4907.0350000000008</v>
      </c>
      <c r="AA7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2.7</v>
      </c>
      <c r="AB7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7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4.4000000000000004</v>
      </c>
      <c r="AD7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0.2</v>
      </c>
      <c r="AE7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79"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-0.5</v>
      </c>
    </row>
    <row r="80" spans="1:32">
      <c r="A8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VenezolanosVE0711</v>
      </c>
      <c r="B80" s="105" t="s">
        <v>180</v>
      </c>
      <c r="C80" s="104" t="s">
        <v>239</v>
      </c>
      <c r="D80" s="119" t="s">
        <v>259</v>
      </c>
      <c r="E80" s="104" t="s">
        <v>260</v>
      </c>
      <c r="F80" s="119"/>
      <c r="G80" s="102">
        <v>15488</v>
      </c>
      <c r="H80" s="102" t="s">
        <v>102</v>
      </c>
      <c r="I80" s="206">
        <v>3153</v>
      </c>
      <c r="J80" s="120">
        <v>680</v>
      </c>
      <c r="K80" s="207">
        <v>4032.5297641220322</v>
      </c>
      <c r="L80" s="207">
        <v>2888.5190642376037</v>
      </c>
      <c r="M80" s="207">
        <v>12389.418008031424</v>
      </c>
      <c r="N80" s="298">
        <v>3098</v>
      </c>
      <c r="O80" s="114">
        <f>tblPiNAnalysis[[#This Row],[SAMV]]</f>
        <v>8303</v>
      </c>
      <c r="P80" s="115">
        <f>tblPiNAnalysis[[#This Row],[NUT]]</f>
        <v>2335.1810107225751</v>
      </c>
      <c r="Q80" s="115">
        <f>tblPiNAnalysis[[#This Row],[SAL]]</f>
        <v>17249.900000000001</v>
      </c>
      <c r="R80" s="115">
        <f>tblPiNAnalysis[[#This Row],[EDU]]</f>
        <v>4467.9959280783969</v>
      </c>
      <c r="S80" s="115">
        <f>tblPiNAnalysis[[#This Row],[PRO]]</f>
        <v>9425.4308322014749</v>
      </c>
      <c r="T80" s="116">
        <f>tblPiNAnalysis[[#This Row],[ASH]]</f>
        <v>28356</v>
      </c>
      <c r="U80" s="300">
        <f>IF(OR(tblPiNHistorical[[#This Row],[SAMV25]]="", tblPiNHistorical[[#This Row],[SAMV25]]=0, tblPiNHistorical[[#This Row],[SAMV26]]="", tblPiNHistorical[[#This Row],[SAMV26]]=0), "", tblPiNHistorical[[#This Row],[SAMV26]]-tblPiNHistorical[[#This Row],[SAMV25]])</f>
        <v>5150</v>
      </c>
      <c r="V80" s="121">
        <f>IF(OR(tblPiNHistorical[[#This Row],[NUT25]]="", tblPiNHistorical[[#This Row],[NUT25]]=0, tblPiNHistorical[[#This Row],[NUT26]]="", tblPiNHistorical[[#This Row],[NUT26]]=0), "", tblPiNHistorical[[#This Row],[NUT26]]-tblPiNHistorical[[#This Row],[NUT25]])</f>
        <v>1655.1810107225751</v>
      </c>
      <c r="W80" s="121">
        <f>IF(OR(tblPiNHistorical[[#This Row],[SAL25]]="", tblPiNHistorical[[#This Row],[SAL25]]=0, tblPiNHistorical[[#This Row],[SAL26]]="", tblPiNHistorical[[#This Row],[SAL26]]=0), "", tblPiNHistorical[[#This Row],[SAL26]]-tblPiNHistorical[[#This Row],[SAL25]])</f>
        <v>13217.37023587797</v>
      </c>
      <c r="X80" s="121">
        <f>IF(OR(tblPiNHistorical[[#This Row],[EDU25]]="", tblPiNHistorical[[#This Row],[EDU25]]=0, tblPiNHistorical[[#This Row],[EDU26]]="", tblPiNHistorical[[#This Row],[EDU26]]=0), "", tblPiNHistorical[[#This Row],[EDU26]]-tblPiNHistorical[[#This Row],[EDU25]])</f>
        <v>1579.4768638407932</v>
      </c>
      <c r="Y80" s="121">
        <f>IF(OR(tblPiNHistorical[[#This Row],[PRO25]]="", tblPiNHistorical[[#This Row],[PRO25]]=0, tblPiNHistorical[[#This Row],[PRO26]]="", tblPiNHistorical[[#This Row],[PRO26]]=0), "", tblPiNHistorical[[#This Row],[PRO26]]-tblPiNHistorical[[#This Row],[PRO25]])</f>
        <v>-2963.9871758299487</v>
      </c>
      <c r="Z80" s="223">
        <f>IF(OR(tblPiNHistorical[[#This Row],[ASH25]]="", tblPiNHistorical[[#This Row],[ASH25]]=0, tblPiNHistorical[[#This Row],[ASH26]]="", tblPiNHistorical[[#This Row],[ASH26]]=0), "", tblPiNHistorical[[#This Row],[ASH26]]-tblPiNHistorical[[#This Row],[ASH25]])</f>
        <v>25258</v>
      </c>
      <c r="AA8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1.6</v>
      </c>
      <c r="AB8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2.4</v>
      </c>
      <c r="AC8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3.3</v>
      </c>
      <c r="AD8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8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-0.2</v>
      </c>
      <c r="AF80"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8.1999999999999993</v>
      </c>
    </row>
    <row r="81" spans="1:32">
      <c r="A8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VenezolanosVE0801</v>
      </c>
      <c r="B81" s="105" t="s">
        <v>261</v>
      </c>
      <c r="C81" s="104" t="s">
        <v>262</v>
      </c>
      <c r="D81" s="119" t="s">
        <v>263</v>
      </c>
      <c r="E81" s="104" t="s">
        <v>264</v>
      </c>
      <c r="F81" s="119"/>
      <c r="G81" s="102">
        <v>48538</v>
      </c>
      <c r="H81" s="102" t="s">
        <v>102</v>
      </c>
      <c r="I81" s="206">
        <v>7759</v>
      </c>
      <c r="J81" s="120">
        <v>1873</v>
      </c>
      <c r="K81" s="207">
        <v>12637.57177920799</v>
      </c>
      <c r="L81" s="207">
        <v>6061.2460126266196</v>
      </c>
      <c r="M81" s="207">
        <v>17256.587789079123</v>
      </c>
      <c r="N81" s="298">
        <v>0</v>
      </c>
      <c r="O81" s="114">
        <f>tblPiNAnalysis[[#This Row],[SAMV]]</f>
        <v>21591</v>
      </c>
      <c r="P81" s="115">
        <f>tblPiNAnalysis[[#This Row],[NUT]]</f>
        <v>1297.1731768772693</v>
      </c>
      <c r="Q81" s="115">
        <f>tblPiNAnalysis[[#This Row],[SAL]]</f>
        <v>28000</v>
      </c>
      <c r="R81" s="115">
        <f>tblPiNAnalysis[[#This Row],[EDU]]</f>
        <v>3621.390173575317</v>
      </c>
      <c r="S81" s="115">
        <f>tblPiNAnalysis[[#This Row],[PRO]]</f>
        <v>10028.49676865043</v>
      </c>
      <c r="T81" s="116">
        <f>tblPiNAnalysis[[#This Row],[ASH]]</f>
        <v>2825.0775000000003</v>
      </c>
      <c r="U81" s="300">
        <f>IF(OR(tblPiNHistorical[[#This Row],[SAMV25]]="", tblPiNHistorical[[#This Row],[SAMV25]]=0, tblPiNHistorical[[#This Row],[SAMV26]]="", tblPiNHistorical[[#This Row],[SAMV26]]=0), "", tblPiNHistorical[[#This Row],[SAMV26]]-tblPiNHistorical[[#This Row],[SAMV25]])</f>
        <v>13832</v>
      </c>
      <c r="V81" s="121">
        <f>IF(OR(tblPiNHistorical[[#This Row],[NUT25]]="", tblPiNHistorical[[#This Row],[NUT25]]=0, tblPiNHistorical[[#This Row],[NUT26]]="", tblPiNHistorical[[#This Row],[NUT26]]=0), "", tblPiNHistorical[[#This Row],[NUT26]]-tblPiNHistorical[[#This Row],[NUT25]])</f>
        <v>-575.82682312273073</v>
      </c>
      <c r="W81" s="121">
        <f>IF(OR(tblPiNHistorical[[#This Row],[SAL25]]="", tblPiNHistorical[[#This Row],[SAL25]]=0, tblPiNHistorical[[#This Row],[SAL26]]="", tblPiNHistorical[[#This Row],[SAL26]]=0), "", tblPiNHistorical[[#This Row],[SAL26]]-tblPiNHistorical[[#This Row],[SAL25]])</f>
        <v>15362.42822079201</v>
      </c>
      <c r="X81" s="121">
        <f>IF(OR(tblPiNHistorical[[#This Row],[EDU25]]="", tblPiNHistorical[[#This Row],[EDU25]]=0, tblPiNHistorical[[#This Row],[EDU26]]="", tblPiNHistorical[[#This Row],[EDU26]]=0), "", tblPiNHistorical[[#This Row],[EDU26]]-tblPiNHistorical[[#This Row],[EDU25]])</f>
        <v>-2439.8558390513026</v>
      </c>
      <c r="Y81" s="121">
        <f>IF(OR(tblPiNHistorical[[#This Row],[PRO25]]="", tblPiNHistorical[[#This Row],[PRO25]]=0, tblPiNHistorical[[#This Row],[PRO26]]="", tblPiNHistorical[[#This Row],[PRO26]]=0), "", tblPiNHistorical[[#This Row],[PRO26]]-tblPiNHistorical[[#This Row],[PRO25]])</f>
        <v>-7228.0910204286938</v>
      </c>
      <c r="Z81" s="223" t="str">
        <f>IF(OR(tblPiNHistorical[[#This Row],[ASH25]]="", tblPiNHistorical[[#This Row],[ASH25]]=0, tblPiNHistorical[[#This Row],[ASH26]]="", tblPiNHistorical[[#This Row],[ASH26]]=0), "", tblPiNHistorical[[#This Row],[ASH26]]-tblPiNHistorical[[#This Row],[ASH25]])</f>
        <v/>
      </c>
      <c r="AA8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1.8</v>
      </c>
      <c r="AB8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-0.3</v>
      </c>
      <c r="AC8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1.2</v>
      </c>
      <c r="AD8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8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8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2825.0775</v>
      </c>
    </row>
    <row r="82" spans="1:32">
      <c r="A8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VenezolanosVE0802</v>
      </c>
      <c r="B82" s="105" t="s">
        <v>261</v>
      </c>
      <c r="C82" s="104" t="s">
        <v>262</v>
      </c>
      <c r="D82" s="119" t="s">
        <v>265</v>
      </c>
      <c r="E82" s="104" t="s">
        <v>266</v>
      </c>
      <c r="F82" s="119"/>
      <c r="G82" s="102">
        <v>150277</v>
      </c>
      <c r="H82" s="102" t="s">
        <v>102</v>
      </c>
      <c r="I82" s="206">
        <v>24023</v>
      </c>
      <c r="J82" s="120">
        <v>6417</v>
      </c>
      <c r="K82" s="207">
        <v>39125.446647522098</v>
      </c>
      <c r="L82" s="207">
        <v>23332.243680214749</v>
      </c>
      <c r="M82" s="207">
        <v>31343.344876208728</v>
      </c>
      <c r="N82" s="298">
        <v>0</v>
      </c>
      <c r="O82" s="114">
        <f>tblPiNAnalysis[[#This Row],[SAMV]]</f>
        <v>13534</v>
      </c>
      <c r="P82" s="115">
        <f>tblPiNAnalysis[[#This Row],[NUT]]</f>
        <v>3862.6008584669858</v>
      </c>
      <c r="Q82" s="115">
        <f>tblPiNAnalysis[[#This Row],[SAL]]</f>
        <v>27829.79</v>
      </c>
      <c r="R82" s="115">
        <f>tblPiNAnalysis[[#This Row],[EDU]]</f>
        <v>9043.2888174120781</v>
      </c>
      <c r="S82" s="115">
        <f>tblPiNAnalysis[[#This Row],[PRO]]</f>
        <v>16959.064065391955</v>
      </c>
      <c r="T82" s="116">
        <f>tblPiNAnalysis[[#This Row],[ASH]]</f>
        <v>10293.210000000001</v>
      </c>
      <c r="U82" s="300">
        <f>IF(OR(tblPiNHistorical[[#This Row],[SAMV25]]="", tblPiNHistorical[[#This Row],[SAMV25]]=0, tblPiNHistorical[[#This Row],[SAMV26]]="", tblPiNHistorical[[#This Row],[SAMV26]]=0), "", tblPiNHistorical[[#This Row],[SAMV26]]-tblPiNHistorical[[#This Row],[SAMV25]])</f>
        <v>-10489</v>
      </c>
      <c r="V82" s="121">
        <f>IF(OR(tblPiNHistorical[[#This Row],[NUT25]]="", tblPiNHistorical[[#This Row],[NUT25]]=0, tblPiNHistorical[[#This Row],[NUT26]]="", tblPiNHistorical[[#This Row],[NUT26]]=0), "", tblPiNHistorical[[#This Row],[NUT26]]-tblPiNHistorical[[#This Row],[NUT25]])</f>
        <v>-2554.3991415330142</v>
      </c>
      <c r="W82" s="121">
        <f>IF(OR(tblPiNHistorical[[#This Row],[SAL25]]="", tblPiNHistorical[[#This Row],[SAL25]]=0, tblPiNHistorical[[#This Row],[SAL26]]="", tblPiNHistorical[[#This Row],[SAL26]]=0), "", tblPiNHistorical[[#This Row],[SAL26]]-tblPiNHistorical[[#This Row],[SAL25]])</f>
        <v>-11295.656647522097</v>
      </c>
      <c r="X82" s="121">
        <f>IF(OR(tblPiNHistorical[[#This Row],[EDU25]]="", tblPiNHistorical[[#This Row],[EDU25]]=0, tblPiNHistorical[[#This Row],[EDU26]]="", tblPiNHistorical[[#This Row],[EDU26]]=0), "", tblPiNHistorical[[#This Row],[EDU26]]-tblPiNHistorical[[#This Row],[EDU25]])</f>
        <v>-14288.954862802671</v>
      </c>
      <c r="Y82" s="121">
        <f>IF(OR(tblPiNHistorical[[#This Row],[PRO25]]="", tblPiNHistorical[[#This Row],[PRO25]]=0, tblPiNHistorical[[#This Row],[PRO26]]="", tblPiNHistorical[[#This Row],[PRO26]]=0), "", tblPiNHistorical[[#This Row],[PRO26]]-tblPiNHistorical[[#This Row],[PRO25]])</f>
        <v>-14384.280810816774</v>
      </c>
      <c r="Z82" s="223" t="str">
        <f>IF(OR(tblPiNHistorical[[#This Row],[ASH25]]="", tblPiNHistorical[[#This Row],[ASH25]]=0, tblPiNHistorical[[#This Row],[ASH26]]="", tblPiNHistorical[[#This Row],[ASH26]]=0), "", tblPiNHistorical[[#This Row],[ASH26]]-tblPiNHistorical[[#This Row],[ASH25]])</f>
        <v/>
      </c>
      <c r="AA8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8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-0.4</v>
      </c>
      <c r="AC8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8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8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8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10293.21</v>
      </c>
    </row>
    <row r="83" spans="1:32">
      <c r="A8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VenezolanosVE0803</v>
      </c>
      <c r="B83" s="105" t="s">
        <v>261</v>
      </c>
      <c r="C83" s="104" t="s">
        <v>262</v>
      </c>
      <c r="D83" s="119" t="s">
        <v>267</v>
      </c>
      <c r="E83" s="104" t="s">
        <v>268</v>
      </c>
      <c r="F83" s="119"/>
      <c r="G83" s="102">
        <v>104536</v>
      </c>
      <c r="H83" s="102" t="s">
        <v>102</v>
      </c>
      <c r="I83" s="206">
        <v>16711</v>
      </c>
      <c r="J83" s="120">
        <v>4371</v>
      </c>
      <c r="K83" s="207">
        <v>27217.09892393912</v>
      </c>
      <c r="L83" s="207">
        <v>14202.828952324926</v>
      </c>
      <c r="M83" s="207">
        <v>31343.344876208728</v>
      </c>
      <c r="N83" s="298">
        <v>0</v>
      </c>
      <c r="O83" s="114">
        <f>tblPiNAnalysis[[#This Row],[SAMV]]</f>
        <v>20215</v>
      </c>
      <c r="P83" s="115">
        <f>tblPiNAnalysis[[#This Row],[NUT]]</f>
        <v>2763.9128509916441</v>
      </c>
      <c r="Q83" s="115">
        <f>tblPiNAnalysis[[#This Row],[SAL]]</f>
        <v>27293.24</v>
      </c>
      <c r="R83" s="115">
        <f>tblPiNAnalysis[[#This Row],[EDU]]</f>
        <v>7478.7139998815883</v>
      </c>
      <c r="S83" s="115">
        <f>tblPiNAnalysis[[#This Row],[PRO]]</f>
        <v>14872.90774154485</v>
      </c>
      <c r="T83" s="116">
        <f>tblPiNAnalysis[[#This Row],[ASH]]</f>
        <v>10094.76</v>
      </c>
      <c r="U83" s="300">
        <f>IF(OR(tblPiNHistorical[[#This Row],[SAMV25]]="", tblPiNHistorical[[#This Row],[SAMV25]]=0, tblPiNHistorical[[#This Row],[SAMV26]]="", tblPiNHistorical[[#This Row],[SAMV26]]=0), "", tblPiNHistorical[[#This Row],[SAMV26]]-tblPiNHistorical[[#This Row],[SAMV25]])</f>
        <v>3504</v>
      </c>
      <c r="V83" s="121">
        <f>IF(OR(tblPiNHistorical[[#This Row],[NUT25]]="", tblPiNHistorical[[#This Row],[NUT25]]=0, tblPiNHistorical[[#This Row],[NUT26]]="", tblPiNHistorical[[#This Row],[NUT26]]=0), "", tblPiNHistorical[[#This Row],[NUT26]]-tblPiNHistorical[[#This Row],[NUT25]])</f>
        <v>-1607.0871490083559</v>
      </c>
      <c r="W83" s="121">
        <f>IF(OR(tblPiNHistorical[[#This Row],[SAL25]]="", tblPiNHistorical[[#This Row],[SAL25]]=0, tblPiNHistorical[[#This Row],[SAL26]]="", tblPiNHistorical[[#This Row],[SAL26]]=0), "", tblPiNHistorical[[#This Row],[SAL26]]-tblPiNHistorical[[#This Row],[SAL25]])</f>
        <v>76.14107606088146</v>
      </c>
      <c r="X83" s="121">
        <f>IF(OR(tblPiNHistorical[[#This Row],[EDU25]]="", tblPiNHistorical[[#This Row],[EDU25]]=0, tblPiNHistorical[[#This Row],[EDU26]]="", tblPiNHistorical[[#This Row],[EDU26]]=0), "", tblPiNHistorical[[#This Row],[EDU26]]-tblPiNHistorical[[#This Row],[EDU25]])</f>
        <v>-6724.1149524433376</v>
      </c>
      <c r="Y83" s="121">
        <f>IF(OR(tblPiNHistorical[[#This Row],[PRO25]]="", tblPiNHistorical[[#This Row],[PRO25]]=0, tblPiNHistorical[[#This Row],[PRO26]]="", tblPiNHistorical[[#This Row],[PRO26]]=0), "", tblPiNHistorical[[#This Row],[PRO26]]-tblPiNHistorical[[#This Row],[PRO25]])</f>
        <v>-16470.43713466388</v>
      </c>
      <c r="Z83" s="223" t="str">
        <f>IF(OR(tblPiNHistorical[[#This Row],[ASH25]]="", tblPiNHistorical[[#This Row],[ASH25]]=0, tblPiNHistorical[[#This Row],[ASH26]]="", tblPiNHistorical[[#This Row],[ASH26]]=0), "", tblPiNHistorical[[#This Row],[ASH26]]-tblPiNHistorical[[#This Row],[ASH25]])</f>
        <v/>
      </c>
      <c r="AA8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8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-0.4</v>
      </c>
      <c r="AC8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v>
      </c>
      <c r="AD8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8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8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10094.76</v>
      </c>
    </row>
    <row r="84" spans="1:32">
      <c r="A8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VenezolanosVE0804</v>
      </c>
      <c r="B84" s="105" t="s">
        <v>261</v>
      </c>
      <c r="C84" s="104" t="s">
        <v>262</v>
      </c>
      <c r="D84" s="119" t="s">
        <v>269</v>
      </c>
      <c r="E84" s="104" t="s">
        <v>270</v>
      </c>
      <c r="F84" s="119"/>
      <c r="G84" s="102">
        <v>176218</v>
      </c>
      <c r="H84" s="102" t="s">
        <v>102</v>
      </c>
      <c r="I84" s="206">
        <v>28170</v>
      </c>
      <c r="J84" s="120">
        <v>6277</v>
      </c>
      <c r="K84" s="207">
        <v>45879.686304038041</v>
      </c>
      <c r="L84" s="207">
        <v>21981.553377027005</v>
      </c>
      <c r="M84" s="207">
        <v>43097.099204786995</v>
      </c>
      <c r="N84" s="298">
        <v>0</v>
      </c>
      <c r="O84" s="114">
        <f>tblPiNAnalysis[[#This Row],[SAMV]]</f>
        <v>11299</v>
      </c>
      <c r="P84" s="115">
        <f>tblPiNAnalysis[[#This Row],[NUT]]</f>
        <v>1690.1065796166481</v>
      </c>
      <c r="Q84" s="115">
        <f>tblPiNAnalysis[[#This Row],[SAL]]</f>
        <v>26028.514999999999</v>
      </c>
      <c r="R84" s="115">
        <f>tblPiNAnalysis[[#This Row],[EDU]]</f>
        <v>6297.3319012244301</v>
      </c>
      <c r="S84" s="115">
        <f>tblPiNAnalysis[[#This Row],[PRO]]</f>
        <v>14175.613858208251</v>
      </c>
      <c r="T84" s="116">
        <f>tblPiNAnalysis[[#This Row],[ASH]]</f>
        <v>0</v>
      </c>
      <c r="U84" s="300">
        <f>IF(OR(tblPiNHistorical[[#This Row],[SAMV25]]="", tblPiNHistorical[[#This Row],[SAMV25]]=0, tblPiNHistorical[[#This Row],[SAMV26]]="", tblPiNHistorical[[#This Row],[SAMV26]]=0), "", tblPiNHistorical[[#This Row],[SAMV26]]-tblPiNHistorical[[#This Row],[SAMV25]])</f>
        <v>-16871</v>
      </c>
      <c r="V84" s="121">
        <f>IF(OR(tblPiNHistorical[[#This Row],[NUT25]]="", tblPiNHistorical[[#This Row],[NUT25]]=0, tblPiNHistorical[[#This Row],[NUT26]]="", tblPiNHistorical[[#This Row],[NUT26]]=0), "", tblPiNHistorical[[#This Row],[NUT26]]-tblPiNHistorical[[#This Row],[NUT25]])</f>
        <v>-4586.8934203833523</v>
      </c>
      <c r="W84" s="121">
        <f>IF(OR(tblPiNHistorical[[#This Row],[SAL25]]="", tblPiNHistorical[[#This Row],[SAL25]]=0, tblPiNHistorical[[#This Row],[SAL26]]="", tblPiNHistorical[[#This Row],[SAL26]]=0), "", tblPiNHistorical[[#This Row],[SAL26]]-tblPiNHistorical[[#This Row],[SAL25]])</f>
        <v>-19851.171304038042</v>
      </c>
      <c r="X84" s="121">
        <f>IF(OR(tblPiNHistorical[[#This Row],[EDU25]]="", tblPiNHistorical[[#This Row],[EDU25]]=0, tblPiNHistorical[[#This Row],[EDU26]]="", tblPiNHistorical[[#This Row],[EDU26]]=0), "", tblPiNHistorical[[#This Row],[EDU26]]-tblPiNHistorical[[#This Row],[EDU25]])</f>
        <v>-15684.221475802575</v>
      </c>
      <c r="Y84" s="121">
        <f>IF(OR(tblPiNHistorical[[#This Row],[PRO25]]="", tblPiNHistorical[[#This Row],[PRO25]]=0, tblPiNHistorical[[#This Row],[PRO26]]="", tblPiNHistorical[[#This Row],[PRO26]]=0), "", tblPiNHistorical[[#This Row],[PRO26]]-tblPiNHistorical[[#This Row],[PRO25]])</f>
        <v>-28921.485346578746</v>
      </c>
      <c r="Z84" s="223" t="str">
        <f>IF(OR(tblPiNHistorical[[#This Row],[ASH25]]="", tblPiNHistorical[[#This Row],[ASH25]]=0, tblPiNHistorical[[#This Row],[ASH26]]="", tblPiNHistorical[[#This Row],[ASH26]]=0), "", tblPiNHistorical[[#This Row],[ASH26]]-tblPiNHistorical[[#This Row],[ASH25]])</f>
        <v/>
      </c>
      <c r="AA8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8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8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8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8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8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85" spans="1:32">
      <c r="A8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VenezolanosVE0805</v>
      </c>
      <c r="B85" s="105" t="s">
        <v>261</v>
      </c>
      <c r="C85" s="104" t="s">
        <v>262</v>
      </c>
      <c r="D85" s="119" t="s">
        <v>271</v>
      </c>
      <c r="E85" s="104" t="s">
        <v>272</v>
      </c>
      <c r="F85" s="119"/>
      <c r="G85" s="102">
        <v>69236</v>
      </c>
      <c r="H85" s="102" t="s">
        <v>102</v>
      </c>
      <c r="I85" s="206">
        <v>11068</v>
      </c>
      <c r="J85" s="120">
        <v>2922</v>
      </c>
      <c r="K85" s="207">
        <v>18026.497918534707</v>
      </c>
      <c r="L85" s="207">
        <v>9218.753164903037</v>
      </c>
      <c r="M85" s="207">
        <v>33846.028456599735</v>
      </c>
      <c r="N85" s="298">
        <v>0</v>
      </c>
      <c r="O85" s="114">
        <f>tblPiNAnalysis[[#This Row],[SAMV]]</f>
        <v>16276</v>
      </c>
      <c r="P85" s="115">
        <f>tblPiNAnalysis[[#This Row],[NUT]]</f>
        <v>2532.9927315847249</v>
      </c>
      <c r="Q85" s="115">
        <f>tblPiNAnalysis[[#This Row],[SAL]]</f>
        <v>25842</v>
      </c>
      <c r="R85" s="115">
        <f>tblPiNAnalysis[[#This Row],[EDU]]</f>
        <v>9444.4968576447445</v>
      </c>
      <c r="S85" s="115">
        <f>tblPiNAnalysis[[#This Row],[PRO]]</f>
        <v>14063.234641702875</v>
      </c>
      <c r="T85" s="116">
        <f>tblPiNAnalysis[[#This Row],[ASH]]</f>
        <v>9558</v>
      </c>
      <c r="U85" s="300">
        <f>IF(OR(tblPiNHistorical[[#This Row],[SAMV25]]="", tblPiNHistorical[[#This Row],[SAMV25]]=0, tblPiNHistorical[[#This Row],[SAMV26]]="", tblPiNHistorical[[#This Row],[SAMV26]]=0), "", tblPiNHistorical[[#This Row],[SAMV26]]-tblPiNHistorical[[#This Row],[SAMV25]])</f>
        <v>5208</v>
      </c>
      <c r="V85" s="121">
        <f>IF(OR(tblPiNHistorical[[#This Row],[NUT25]]="", tblPiNHistorical[[#This Row],[NUT25]]=0, tblPiNHistorical[[#This Row],[NUT26]]="", tblPiNHistorical[[#This Row],[NUT26]]=0), "", tblPiNHistorical[[#This Row],[NUT26]]-tblPiNHistorical[[#This Row],[NUT25]])</f>
        <v>-389.00726841527512</v>
      </c>
      <c r="W85" s="121">
        <f>IF(OR(tblPiNHistorical[[#This Row],[SAL25]]="", tblPiNHistorical[[#This Row],[SAL25]]=0, tblPiNHistorical[[#This Row],[SAL26]]="", tblPiNHistorical[[#This Row],[SAL26]]=0), "", tblPiNHistorical[[#This Row],[SAL26]]-tblPiNHistorical[[#This Row],[SAL25]])</f>
        <v>7815.5020814652926</v>
      </c>
      <c r="X85" s="121">
        <f>IF(OR(tblPiNHistorical[[#This Row],[EDU25]]="", tblPiNHistorical[[#This Row],[EDU25]]=0, tblPiNHistorical[[#This Row],[EDU26]]="", tblPiNHistorical[[#This Row],[EDU26]]=0), "", tblPiNHistorical[[#This Row],[EDU26]]-tblPiNHistorical[[#This Row],[EDU25]])</f>
        <v>225.74369274170749</v>
      </c>
      <c r="Y85" s="121">
        <f>IF(OR(tblPiNHistorical[[#This Row],[PRO25]]="", tblPiNHistorical[[#This Row],[PRO25]]=0, tblPiNHistorical[[#This Row],[PRO26]]="", tblPiNHistorical[[#This Row],[PRO26]]=0), "", tblPiNHistorical[[#This Row],[PRO26]]-tblPiNHistorical[[#This Row],[PRO25]])</f>
        <v>-19782.793814896861</v>
      </c>
      <c r="Z85" s="223" t="str">
        <f>IF(OR(tblPiNHistorical[[#This Row],[ASH25]]="", tblPiNHistorical[[#This Row],[ASH25]]=0, tblPiNHistorical[[#This Row],[ASH26]]="", tblPiNHistorical[[#This Row],[ASH26]]=0), "", tblPiNHistorical[[#This Row],[ASH26]]-tblPiNHistorical[[#This Row],[ASH25]])</f>
        <v/>
      </c>
      <c r="AA8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8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8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8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v>
      </c>
      <c r="AE8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8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9558</v>
      </c>
    </row>
    <row r="86" spans="1:32">
      <c r="A8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VenezolanosVE0806</v>
      </c>
      <c r="B86" s="105" t="s">
        <v>261</v>
      </c>
      <c r="C86" s="104" t="s">
        <v>262</v>
      </c>
      <c r="D86" s="119" t="s">
        <v>100</v>
      </c>
      <c r="E86" s="104" t="s">
        <v>273</v>
      </c>
      <c r="F86" s="119"/>
      <c r="G86" s="102">
        <v>166166</v>
      </c>
      <c r="H86" s="102" t="s">
        <v>102</v>
      </c>
      <c r="I86" s="206">
        <v>26563</v>
      </c>
      <c r="J86" s="120">
        <v>6733</v>
      </c>
      <c r="K86" s="207">
        <v>43263.000528350996</v>
      </c>
      <c r="L86" s="207">
        <v>23935.626211616072</v>
      </c>
      <c r="M86" s="207">
        <v>43097.099204786995</v>
      </c>
      <c r="N86" s="298">
        <v>0</v>
      </c>
      <c r="O86" s="114">
        <f>tblPiNAnalysis[[#This Row],[SAMV]]</f>
        <v>3335</v>
      </c>
      <c r="P86" s="115">
        <f>tblPiNAnalysis[[#This Row],[NUT]]</f>
        <v>2597.1737913962606</v>
      </c>
      <c r="Q86" s="115">
        <f>tblPiNAnalysis[[#This Row],[SAL]]</f>
        <v>15518.705</v>
      </c>
      <c r="R86" s="115">
        <f>tblPiNAnalysis[[#This Row],[EDU]]</f>
        <v>2855.8989631766344</v>
      </c>
      <c r="S86" s="115">
        <f>tblPiNAnalysis[[#This Row],[PRO]]</f>
        <v>8479.497306235935</v>
      </c>
      <c r="T86" s="116">
        <f>tblPiNAnalysis[[#This Row],[ASH]]</f>
        <v>25510.2</v>
      </c>
      <c r="U86" s="300">
        <f>IF(OR(tblPiNHistorical[[#This Row],[SAMV25]]="", tblPiNHistorical[[#This Row],[SAMV25]]=0, tblPiNHistorical[[#This Row],[SAMV26]]="", tblPiNHistorical[[#This Row],[SAMV26]]=0), "", tblPiNHistorical[[#This Row],[SAMV26]]-tblPiNHistorical[[#This Row],[SAMV25]])</f>
        <v>-23228</v>
      </c>
      <c r="V86" s="121">
        <f>IF(OR(tblPiNHistorical[[#This Row],[NUT25]]="", tblPiNHistorical[[#This Row],[NUT25]]=0, tblPiNHistorical[[#This Row],[NUT26]]="", tblPiNHistorical[[#This Row],[NUT26]]=0), "", tblPiNHistorical[[#This Row],[NUT26]]-tblPiNHistorical[[#This Row],[NUT25]])</f>
        <v>-4135.8262086037394</v>
      </c>
      <c r="W86" s="121">
        <f>IF(OR(tblPiNHistorical[[#This Row],[SAL25]]="", tblPiNHistorical[[#This Row],[SAL25]]=0, tblPiNHistorical[[#This Row],[SAL26]]="", tblPiNHistorical[[#This Row],[SAL26]]=0), "", tblPiNHistorical[[#This Row],[SAL26]]-tblPiNHistorical[[#This Row],[SAL25]])</f>
        <v>-27744.295528350995</v>
      </c>
      <c r="X86" s="121">
        <f>IF(OR(tblPiNHistorical[[#This Row],[EDU25]]="", tblPiNHistorical[[#This Row],[EDU25]]=0, tblPiNHistorical[[#This Row],[EDU26]]="", tblPiNHistorical[[#This Row],[EDU26]]=0), "", tblPiNHistorical[[#This Row],[EDU26]]-tblPiNHistorical[[#This Row],[EDU25]])</f>
        <v>-21079.727248439438</v>
      </c>
      <c r="Y86" s="121">
        <f>IF(OR(tblPiNHistorical[[#This Row],[PRO25]]="", tblPiNHistorical[[#This Row],[PRO25]]=0, tblPiNHistorical[[#This Row],[PRO26]]="", tblPiNHistorical[[#This Row],[PRO26]]=0), "", tblPiNHistorical[[#This Row],[PRO26]]-tblPiNHistorical[[#This Row],[PRO25]])</f>
        <v>-34617.60189855106</v>
      </c>
      <c r="Z86" s="223" t="str">
        <f>IF(OR(tblPiNHistorical[[#This Row],[ASH25]]="", tblPiNHistorical[[#This Row],[ASH25]]=0, tblPiNHistorical[[#This Row],[ASH26]]="", tblPiNHistorical[[#This Row],[ASH26]]=0), "", tblPiNHistorical[[#This Row],[ASH26]]-tblPiNHistorical[[#This Row],[ASH25]])</f>
        <v/>
      </c>
      <c r="AA8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8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8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8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8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8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25510.2</v>
      </c>
    </row>
    <row r="87" spans="1:32">
      <c r="A8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VenezolanosVE0807</v>
      </c>
      <c r="B87" s="105" t="s">
        <v>261</v>
      </c>
      <c r="C87" s="104" t="s">
        <v>262</v>
      </c>
      <c r="D87" s="119" t="s">
        <v>274</v>
      </c>
      <c r="E87" s="104" t="s">
        <v>275</v>
      </c>
      <c r="F87" s="119"/>
      <c r="G87" s="102">
        <v>149606</v>
      </c>
      <c r="H87" s="102" t="s">
        <v>102</v>
      </c>
      <c r="I87" s="206">
        <v>23916</v>
      </c>
      <c r="J87" s="120">
        <v>6178</v>
      </c>
      <c r="K87" s="207">
        <v>38951.066982046548</v>
      </c>
      <c r="L87" s="207">
        <v>20187.815168644207</v>
      </c>
      <c r="M87" s="207">
        <v>31343.344876208728</v>
      </c>
      <c r="N87" s="298">
        <v>74803</v>
      </c>
      <c r="O87" s="114">
        <f>tblPiNAnalysis[[#This Row],[SAMV]]</f>
        <v>3979</v>
      </c>
      <c r="P87" s="115">
        <f>tblPiNAnalysis[[#This Row],[NUT]]</f>
        <v>2741.6181750233609</v>
      </c>
      <c r="Q87" s="115">
        <f>tblPiNAnalysis[[#This Row],[SAL]]</f>
        <v>15491.33</v>
      </c>
      <c r="R87" s="115">
        <f>tblPiNAnalysis[[#This Row],[EDU]]</f>
        <v>4309.9988029649658</v>
      </c>
      <c r="S87" s="115">
        <f>tblPiNAnalysis[[#This Row],[PRO]]</f>
        <v>10157.447364713376</v>
      </c>
      <c r="T87" s="116">
        <f>tblPiNAnalysis[[#This Row],[ASH]]</f>
        <v>25465.200000000001</v>
      </c>
      <c r="U87" s="300">
        <f>IF(OR(tblPiNHistorical[[#This Row],[SAMV25]]="", tblPiNHistorical[[#This Row],[SAMV25]]=0, tblPiNHistorical[[#This Row],[SAMV26]]="", tblPiNHistorical[[#This Row],[SAMV26]]=0), "", tblPiNHistorical[[#This Row],[SAMV26]]-tblPiNHistorical[[#This Row],[SAMV25]])</f>
        <v>-19937</v>
      </c>
      <c r="V87" s="121">
        <f>IF(OR(tblPiNHistorical[[#This Row],[NUT25]]="", tblPiNHistorical[[#This Row],[NUT25]]=0, tblPiNHistorical[[#This Row],[NUT26]]="", tblPiNHistorical[[#This Row],[NUT26]]=0), "", tblPiNHistorical[[#This Row],[NUT26]]-tblPiNHistorical[[#This Row],[NUT25]])</f>
        <v>-3436.3818249766391</v>
      </c>
      <c r="W87" s="121">
        <f>IF(OR(tblPiNHistorical[[#This Row],[SAL25]]="", tblPiNHistorical[[#This Row],[SAL25]]=0, tblPiNHistorical[[#This Row],[SAL26]]="", tblPiNHistorical[[#This Row],[SAL26]]=0), "", tblPiNHistorical[[#This Row],[SAL26]]-tblPiNHistorical[[#This Row],[SAL25]])</f>
        <v>-23459.736982046546</v>
      </c>
      <c r="X87" s="121">
        <f>IF(OR(tblPiNHistorical[[#This Row],[EDU25]]="", tblPiNHistorical[[#This Row],[EDU25]]=0, tblPiNHistorical[[#This Row],[EDU26]]="", tblPiNHistorical[[#This Row],[EDU26]]=0), "", tblPiNHistorical[[#This Row],[EDU26]]-tblPiNHistorical[[#This Row],[EDU25]])</f>
        <v>-15877.816365679242</v>
      </c>
      <c r="Y87" s="121">
        <f>IF(OR(tblPiNHistorical[[#This Row],[PRO25]]="", tblPiNHistorical[[#This Row],[PRO25]]=0, tblPiNHistorical[[#This Row],[PRO26]]="", tblPiNHistorical[[#This Row],[PRO26]]=0), "", tblPiNHistorical[[#This Row],[PRO26]]-tblPiNHistorical[[#This Row],[PRO25]])</f>
        <v>-21185.89751149535</v>
      </c>
      <c r="Z87" s="223">
        <f>IF(OR(tblPiNHistorical[[#This Row],[ASH25]]="", tblPiNHistorical[[#This Row],[ASH25]]=0, tblPiNHistorical[[#This Row],[ASH26]]="", tblPiNHistorical[[#This Row],[ASH26]]=0), "", tblPiNHistorical[[#This Row],[ASH26]]-tblPiNHistorical[[#This Row],[ASH25]])</f>
        <v>-49337.8</v>
      </c>
      <c r="AA8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8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8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8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8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87"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-0.7</v>
      </c>
    </row>
    <row r="88" spans="1:32">
      <c r="A8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VenezolanosVE0808</v>
      </c>
      <c r="B88" s="105" t="s">
        <v>261</v>
      </c>
      <c r="C88" s="104" t="s">
        <v>262</v>
      </c>
      <c r="D88" s="119" t="s">
        <v>276</v>
      </c>
      <c r="E88" s="104" t="s">
        <v>277</v>
      </c>
      <c r="F88" s="119"/>
      <c r="G88" s="102">
        <v>29092</v>
      </c>
      <c r="H88" s="102" t="s">
        <v>102</v>
      </c>
      <c r="I88" s="206">
        <v>4651</v>
      </c>
      <c r="J88" s="120">
        <v>1143</v>
      </c>
      <c r="K88" s="207">
        <v>7574.6167190940878</v>
      </c>
      <c r="L88" s="207">
        <v>4174.4791234216018</v>
      </c>
      <c r="M88" s="207">
        <v>10343.002430258557</v>
      </c>
      <c r="N88" s="298">
        <v>0</v>
      </c>
      <c r="O88" s="114">
        <f>tblPiNAnalysis[[#This Row],[SAMV]]</f>
        <v>7113</v>
      </c>
      <c r="P88" s="115">
        <f>tblPiNAnalysis[[#This Row],[NUT]]</f>
        <v>2625.1246631407112</v>
      </c>
      <c r="Q88" s="115">
        <f>tblPiNAnalysis[[#This Row],[SAL]]</f>
        <v>24500</v>
      </c>
      <c r="R88" s="115">
        <f>tblPiNAnalysis[[#This Row],[EDU]]</f>
        <v>3212.5750178089393</v>
      </c>
      <c r="S88" s="115">
        <f>tblPiNAnalysis[[#This Row],[PRO]]</f>
        <v>7478.9383706577783</v>
      </c>
      <c r="T88" s="116">
        <f>tblPiNAnalysis[[#This Row],[ASH]]</f>
        <v>8473.14</v>
      </c>
      <c r="U88" s="300">
        <f>IF(OR(tblPiNHistorical[[#This Row],[SAMV25]]="", tblPiNHistorical[[#This Row],[SAMV25]]=0, tblPiNHistorical[[#This Row],[SAMV26]]="", tblPiNHistorical[[#This Row],[SAMV26]]=0), "", tblPiNHistorical[[#This Row],[SAMV26]]-tblPiNHistorical[[#This Row],[SAMV25]])</f>
        <v>2462</v>
      </c>
      <c r="V88" s="121">
        <f>IF(OR(tblPiNHistorical[[#This Row],[NUT25]]="", tblPiNHistorical[[#This Row],[NUT25]]=0, tblPiNHistorical[[#This Row],[NUT26]]="", tblPiNHistorical[[#This Row],[NUT26]]=0), "", tblPiNHistorical[[#This Row],[NUT26]]-tblPiNHistorical[[#This Row],[NUT25]])</f>
        <v>1482.1246631407112</v>
      </c>
      <c r="W88" s="121">
        <f>IF(OR(tblPiNHistorical[[#This Row],[SAL25]]="", tblPiNHistorical[[#This Row],[SAL25]]=0, tblPiNHistorical[[#This Row],[SAL26]]="", tblPiNHistorical[[#This Row],[SAL26]]=0), "", tblPiNHistorical[[#This Row],[SAL26]]-tblPiNHistorical[[#This Row],[SAL25]])</f>
        <v>16925.383280905913</v>
      </c>
      <c r="X88" s="121">
        <f>IF(OR(tblPiNHistorical[[#This Row],[EDU25]]="", tblPiNHistorical[[#This Row],[EDU25]]=0, tblPiNHistorical[[#This Row],[EDU26]]="", tblPiNHistorical[[#This Row],[EDU26]]=0), "", tblPiNHistorical[[#This Row],[EDU26]]-tblPiNHistorical[[#This Row],[EDU25]])</f>
        <v>-961.90410561266253</v>
      </c>
      <c r="Y88" s="121">
        <f>IF(OR(tblPiNHistorical[[#This Row],[PRO25]]="", tblPiNHistorical[[#This Row],[PRO25]]=0, tblPiNHistorical[[#This Row],[PRO26]]="", tblPiNHistorical[[#This Row],[PRO26]]=0), "", tblPiNHistorical[[#This Row],[PRO26]]-tblPiNHistorical[[#This Row],[PRO25]])</f>
        <v>-2864.0640596007788</v>
      </c>
      <c r="Z88" s="223" t="str">
        <f>IF(OR(tblPiNHistorical[[#This Row],[ASH25]]="", tblPiNHistorical[[#This Row],[ASH25]]=0, tblPiNHistorical[[#This Row],[ASH26]]="", tblPiNHistorical[[#This Row],[ASH26]]=0), "", tblPiNHistorical[[#This Row],[ASH26]]-tblPiNHistorical[[#This Row],[ASH25]])</f>
        <v/>
      </c>
      <c r="AA8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8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1.3</v>
      </c>
      <c r="AC8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2.2000000000000002</v>
      </c>
      <c r="AD8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-0.2</v>
      </c>
      <c r="AE8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8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8473.14</v>
      </c>
    </row>
    <row r="89" spans="1:32">
      <c r="A8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VenezolanosVE0809</v>
      </c>
      <c r="B89" s="105" t="s">
        <v>261</v>
      </c>
      <c r="C89" s="104" t="s">
        <v>262</v>
      </c>
      <c r="D89" s="119" t="s">
        <v>278</v>
      </c>
      <c r="E89" s="104" t="s">
        <v>279</v>
      </c>
      <c r="F89" s="119"/>
      <c r="G89" s="102">
        <v>24908</v>
      </c>
      <c r="H89" s="102" t="s">
        <v>102</v>
      </c>
      <c r="I89" s="206">
        <v>3982</v>
      </c>
      <c r="J89" s="120">
        <v>949</v>
      </c>
      <c r="K89" s="207">
        <v>6484.7438098719167</v>
      </c>
      <c r="L89" s="207">
        <v>2944.8319186908702</v>
      </c>
      <c r="M89" s="207">
        <v>12176.279345961437</v>
      </c>
      <c r="N89" s="298">
        <v>0</v>
      </c>
      <c r="O89" s="114">
        <f>tblPiNAnalysis[[#This Row],[SAMV]]</f>
        <v>11398</v>
      </c>
      <c r="P89" s="115">
        <f>tblPiNAnalysis[[#This Row],[NUT]]</f>
        <v>2531.4080645362196</v>
      </c>
      <c r="Q89" s="115">
        <f>tblPiNAnalysis[[#This Row],[SAL]]</f>
        <v>14372.605</v>
      </c>
      <c r="R89" s="115">
        <f>tblPiNAnalysis[[#This Row],[EDU]]</f>
        <v>2065.9507327970409</v>
      </c>
      <c r="S89" s="115">
        <f>tblPiNAnalysis[[#This Row],[PRO]]</f>
        <v>7855.226933963655</v>
      </c>
      <c r="T89" s="116">
        <f>tblPiNAnalysis[[#This Row],[ASH]]</f>
        <v>23626.2</v>
      </c>
      <c r="U89" s="300">
        <f>IF(OR(tblPiNHistorical[[#This Row],[SAMV25]]="", tblPiNHistorical[[#This Row],[SAMV25]]=0, tblPiNHistorical[[#This Row],[SAMV26]]="", tblPiNHistorical[[#This Row],[SAMV26]]=0), "", tblPiNHistorical[[#This Row],[SAMV26]]-tblPiNHistorical[[#This Row],[SAMV25]])</f>
        <v>7416</v>
      </c>
      <c r="V89" s="121">
        <f>IF(OR(tblPiNHistorical[[#This Row],[NUT25]]="", tblPiNHistorical[[#This Row],[NUT25]]=0, tblPiNHistorical[[#This Row],[NUT26]]="", tblPiNHistorical[[#This Row],[NUT26]]=0), "", tblPiNHistorical[[#This Row],[NUT26]]-tblPiNHistorical[[#This Row],[NUT25]])</f>
        <v>1582.4080645362196</v>
      </c>
      <c r="W89" s="121">
        <f>IF(OR(tblPiNHistorical[[#This Row],[SAL25]]="", tblPiNHistorical[[#This Row],[SAL25]]=0, tblPiNHistorical[[#This Row],[SAL26]]="", tblPiNHistorical[[#This Row],[SAL26]]=0), "", tblPiNHistorical[[#This Row],[SAL26]]-tblPiNHistorical[[#This Row],[SAL25]])</f>
        <v>7887.8611901280829</v>
      </c>
      <c r="X89" s="121">
        <f>IF(OR(tblPiNHistorical[[#This Row],[EDU25]]="", tblPiNHistorical[[#This Row],[EDU25]]=0, tblPiNHistorical[[#This Row],[EDU26]]="", tblPiNHistorical[[#This Row],[EDU26]]=0), "", tblPiNHistorical[[#This Row],[EDU26]]-tblPiNHistorical[[#This Row],[EDU25]])</f>
        <v>-878.8811858938293</v>
      </c>
      <c r="Y89" s="121">
        <f>IF(OR(tblPiNHistorical[[#This Row],[PRO25]]="", tblPiNHistorical[[#This Row],[PRO25]]=0, tblPiNHistorical[[#This Row],[PRO26]]="", tblPiNHistorical[[#This Row],[PRO26]]=0), "", tblPiNHistorical[[#This Row],[PRO26]]-tblPiNHistorical[[#This Row],[PRO25]])</f>
        <v>-4321.0524119977817</v>
      </c>
      <c r="Z89" s="223" t="str">
        <f>IF(OR(tblPiNHistorical[[#This Row],[ASH25]]="", tblPiNHistorical[[#This Row],[ASH25]]=0, tblPiNHistorical[[#This Row],[ASH26]]="", tblPiNHistorical[[#This Row],[ASH26]]=0), "", tblPiNHistorical[[#This Row],[ASH26]]-tblPiNHistorical[[#This Row],[ASH25]])</f>
        <v/>
      </c>
      <c r="AA8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1.9</v>
      </c>
      <c r="AB8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1.7</v>
      </c>
      <c r="AC8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1.2</v>
      </c>
      <c r="AD8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8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8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23626.2</v>
      </c>
    </row>
    <row r="90" spans="1:32">
      <c r="A9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VenezolanosVE0810</v>
      </c>
      <c r="B90" s="105" t="s">
        <v>261</v>
      </c>
      <c r="C90" s="104" t="s">
        <v>262</v>
      </c>
      <c r="D90" s="119" t="s">
        <v>280</v>
      </c>
      <c r="E90" s="104" t="s">
        <v>281</v>
      </c>
      <c r="F90" s="119"/>
      <c r="G90" s="102">
        <v>157437</v>
      </c>
      <c r="H90" s="102" t="s">
        <v>102</v>
      </c>
      <c r="I90" s="206">
        <v>25168</v>
      </c>
      <c r="J90" s="120">
        <v>5876</v>
      </c>
      <c r="K90" s="207">
        <v>40990.12011584585</v>
      </c>
      <c r="L90" s="207">
        <v>16288.214675932821</v>
      </c>
      <c r="M90" s="207">
        <v>31343.344876208728</v>
      </c>
      <c r="N90" s="298">
        <v>0</v>
      </c>
      <c r="O90" s="114">
        <f>tblPiNAnalysis[[#This Row],[SAMV]]</f>
        <v>11092</v>
      </c>
      <c r="P90" s="115">
        <f>tblPiNAnalysis[[#This Row],[NUT]]</f>
        <v>2362.2506272927922</v>
      </c>
      <c r="Q90" s="115">
        <f>tblPiNAnalysis[[#This Row],[SAL]]</f>
        <v>23423.875</v>
      </c>
      <c r="R90" s="115">
        <f>tblPiNAnalysis[[#This Row],[EDU]]</f>
        <v>4636.9914419492197</v>
      </c>
      <c r="S90" s="115">
        <f>tblPiNAnalysis[[#This Row],[PRO]]</f>
        <v>12814.879748186348</v>
      </c>
      <c r="T90" s="116">
        <f>tblPiNAnalysis[[#This Row],[ASH]]</f>
        <v>0</v>
      </c>
      <c r="U90" s="300">
        <f>IF(OR(tblPiNHistorical[[#This Row],[SAMV25]]="", tblPiNHistorical[[#This Row],[SAMV25]]=0, tblPiNHistorical[[#This Row],[SAMV26]]="", tblPiNHistorical[[#This Row],[SAMV26]]=0), "", tblPiNHistorical[[#This Row],[SAMV26]]-tblPiNHistorical[[#This Row],[SAMV25]])</f>
        <v>-14076</v>
      </c>
      <c r="V90" s="121">
        <f>IF(OR(tblPiNHistorical[[#This Row],[NUT25]]="", tblPiNHistorical[[#This Row],[NUT25]]=0, tblPiNHistorical[[#This Row],[NUT26]]="", tblPiNHistorical[[#This Row],[NUT26]]=0), "", tblPiNHistorical[[#This Row],[NUT26]]-tblPiNHistorical[[#This Row],[NUT25]])</f>
        <v>-3513.7493727072078</v>
      </c>
      <c r="W90" s="121">
        <f>IF(OR(tblPiNHistorical[[#This Row],[SAL25]]="", tblPiNHistorical[[#This Row],[SAL25]]=0, tblPiNHistorical[[#This Row],[SAL26]]="", tblPiNHistorical[[#This Row],[SAL26]]=0), "", tblPiNHistorical[[#This Row],[SAL26]]-tblPiNHistorical[[#This Row],[SAL25]])</f>
        <v>-17566.24511584585</v>
      </c>
      <c r="X90" s="121">
        <f>IF(OR(tblPiNHistorical[[#This Row],[EDU25]]="", tblPiNHistorical[[#This Row],[EDU25]]=0, tblPiNHistorical[[#This Row],[EDU26]]="", tblPiNHistorical[[#This Row],[EDU26]]=0), "", tblPiNHistorical[[#This Row],[EDU26]]-tblPiNHistorical[[#This Row],[EDU25]])</f>
        <v>-11651.223233983601</v>
      </c>
      <c r="Y90" s="121">
        <f>IF(OR(tblPiNHistorical[[#This Row],[PRO25]]="", tblPiNHistorical[[#This Row],[PRO25]]=0, tblPiNHistorical[[#This Row],[PRO26]]="", tblPiNHistorical[[#This Row],[PRO26]]=0), "", tblPiNHistorical[[#This Row],[PRO26]]-tblPiNHistorical[[#This Row],[PRO25]])</f>
        <v>-18528.465128022381</v>
      </c>
      <c r="Z90" s="223" t="str">
        <f>IF(OR(tblPiNHistorical[[#This Row],[ASH25]]="", tblPiNHistorical[[#This Row],[ASH25]]=0, tblPiNHistorical[[#This Row],[ASH26]]="", tblPiNHistorical[[#This Row],[ASH26]]=0), "", tblPiNHistorical[[#This Row],[ASH26]]-tblPiNHistorical[[#This Row],[ASH25]])</f>
        <v/>
      </c>
      <c r="AA9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9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9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9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9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9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91" spans="1:32">
      <c r="A9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VenezolanosVE0811</v>
      </c>
      <c r="B91" s="105" t="s">
        <v>261</v>
      </c>
      <c r="C91" s="104" t="s">
        <v>262</v>
      </c>
      <c r="D91" s="119" t="s">
        <v>282</v>
      </c>
      <c r="E91" s="104" t="s">
        <v>283</v>
      </c>
      <c r="F91" s="119"/>
      <c r="G91" s="102">
        <v>182493</v>
      </c>
      <c r="H91" s="102" t="s">
        <v>102</v>
      </c>
      <c r="I91" s="206">
        <v>29173</v>
      </c>
      <c r="J91" s="120">
        <v>7267</v>
      </c>
      <c r="K91" s="207">
        <v>47513.504874317456</v>
      </c>
      <c r="L91" s="207">
        <v>23474.528228462968</v>
      </c>
      <c r="M91" s="207">
        <v>31343.344876208728</v>
      </c>
      <c r="N91" s="298">
        <v>0</v>
      </c>
      <c r="O91" s="114">
        <f>tblPiNAnalysis[[#This Row],[SAMV]]</f>
        <v>5738</v>
      </c>
      <c r="P91" s="115">
        <f>tblPiNAnalysis[[#This Row],[NUT]]</f>
        <v>1793.4293125195629</v>
      </c>
      <c r="Q91" s="115">
        <f>tblPiNAnalysis[[#This Row],[SAL]]</f>
        <v>22847.904999999999</v>
      </c>
      <c r="R91" s="115">
        <f>tblPiNAnalysis[[#This Row],[EDU]]</f>
        <v>4359.3628028084731</v>
      </c>
      <c r="S91" s="115">
        <f>tblPiNAnalysis[[#This Row],[PRO]]</f>
        <v>12479.21101038803</v>
      </c>
      <c r="T91" s="116">
        <f>tblPiNAnalysis[[#This Row],[ASH]]</f>
        <v>0</v>
      </c>
      <c r="U91" s="300">
        <f>IF(OR(tblPiNHistorical[[#This Row],[SAMV25]]="", tblPiNHistorical[[#This Row],[SAMV25]]=0, tblPiNHistorical[[#This Row],[SAMV26]]="", tblPiNHistorical[[#This Row],[SAMV26]]=0), "", tblPiNHistorical[[#This Row],[SAMV26]]-tblPiNHistorical[[#This Row],[SAMV25]])</f>
        <v>-23435</v>
      </c>
      <c r="V91" s="121">
        <f>IF(OR(tblPiNHistorical[[#This Row],[NUT25]]="", tblPiNHistorical[[#This Row],[NUT25]]=0, tblPiNHistorical[[#This Row],[NUT26]]="", tblPiNHistorical[[#This Row],[NUT26]]=0), "", tblPiNHistorical[[#This Row],[NUT26]]-tblPiNHistorical[[#This Row],[NUT25]])</f>
        <v>-5473.5706874804373</v>
      </c>
      <c r="W91" s="121">
        <f>IF(OR(tblPiNHistorical[[#This Row],[SAL25]]="", tblPiNHistorical[[#This Row],[SAL25]]=0, tblPiNHistorical[[#This Row],[SAL26]]="", tblPiNHistorical[[#This Row],[SAL26]]=0), "", tblPiNHistorical[[#This Row],[SAL26]]-tblPiNHistorical[[#This Row],[SAL25]])</f>
        <v>-24665.599874317457</v>
      </c>
      <c r="X91" s="121">
        <f>IF(OR(tblPiNHistorical[[#This Row],[EDU25]]="", tblPiNHistorical[[#This Row],[EDU25]]=0, tblPiNHistorical[[#This Row],[EDU26]]="", tblPiNHistorical[[#This Row],[EDU26]]=0), "", tblPiNHistorical[[#This Row],[EDU26]]-tblPiNHistorical[[#This Row],[EDU25]])</f>
        <v>-19115.165425654493</v>
      </c>
      <c r="Y91" s="121">
        <f>IF(OR(tblPiNHistorical[[#This Row],[PRO25]]="", tblPiNHistorical[[#This Row],[PRO25]]=0, tblPiNHistorical[[#This Row],[PRO26]]="", tblPiNHistorical[[#This Row],[PRO26]]=0), "", tblPiNHistorical[[#This Row],[PRO26]]-tblPiNHistorical[[#This Row],[PRO25]])</f>
        <v>-18864.133865820699</v>
      </c>
      <c r="Z91" s="223" t="str">
        <f>IF(OR(tblPiNHistorical[[#This Row],[ASH25]]="", tblPiNHistorical[[#This Row],[ASH25]]=0, tblPiNHistorical[[#This Row],[ASH26]]="", tblPiNHistorical[[#This Row],[ASH26]]=0), "", tblPiNHistorical[[#This Row],[ASH26]]-tblPiNHistorical[[#This Row],[ASH25]])</f>
        <v/>
      </c>
      <c r="AA9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9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9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9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9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9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92" spans="1:32">
      <c r="A9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VenezolanosVE0812</v>
      </c>
      <c r="B92" s="105" t="s">
        <v>261</v>
      </c>
      <c r="C92" s="104" t="s">
        <v>262</v>
      </c>
      <c r="D92" s="119" t="s">
        <v>284</v>
      </c>
      <c r="E92" s="104" t="s">
        <v>285</v>
      </c>
      <c r="F92" s="119"/>
      <c r="G92" s="102">
        <v>93257</v>
      </c>
      <c r="H92" s="102" t="s">
        <v>102</v>
      </c>
      <c r="I92" s="206">
        <v>14908</v>
      </c>
      <c r="J92" s="120">
        <v>3346</v>
      </c>
      <c r="K92" s="207">
        <v>24280.386830362291</v>
      </c>
      <c r="L92" s="207">
        <v>8988.6273871422818</v>
      </c>
      <c r="M92" s="207">
        <v>43097.099204786995</v>
      </c>
      <c r="N92" s="298">
        <v>0</v>
      </c>
      <c r="O92" s="114">
        <f>tblPiNAnalysis[[#This Row],[SAMV]]</f>
        <v>0</v>
      </c>
      <c r="P92" s="115">
        <f>tblPiNAnalysis[[#This Row],[NUT]]</f>
        <v>1103.2166846083849</v>
      </c>
      <c r="Q92" s="115">
        <f>tblPiNAnalysis[[#This Row],[SAL]]</f>
        <v>13781.67</v>
      </c>
      <c r="R92" s="115">
        <f>tblPiNAnalysis[[#This Row],[EDU]]</f>
        <v>2402.4245040400083</v>
      </c>
      <c r="S92" s="115">
        <f>tblPiNAnalysis[[#This Row],[PRO]]</f>
        <v>4548.5452693327561</v>
      </c>
      <c r="T92" s="116">
        <f>tblPiNAnalysis[[#This Row],[ASH]]</f>
        <v>22654.799999999999</v>
      </c>
      <c r="U92" s="300" t="str">
        <f>IF(OR(tblPiNHistorical[[#This Row],[SAMV25]]="", tblPiNHistorical[[#This Row],[SAMV25]]=0, tblPiNHistorical[[#This Row],[SAMV26]]="", tblPiNHistorical[[#This Row],[SAMV26]]=0), "", tblPiNHistorical[[#This Row],[SAMV26]]-tblPiNHistorical[[#This Row],[SAMV25]])</f>
        <v/>
      </c>
      <c r="V92" s="121">
        <f>IF(OR(tblPiNHistorical[[#This Row],[NUT25]]="", tblPiNHistorical[[#This Row],[NUT25]]=0, tblPiNHistorical[[#This Row],[NUT26]]="", tblPiNHistorical[[#This Row],[NUT26]]=0), "", tblPiNHistorical[[#This Row],[NUT26]]-tblPiNHistorical[[#This Row],[NUT25]])</f>
        <v>-2242.7833153916154</v>
      </c>
      <c r="W92" s="121">
        <f>IF(OR(tblPiNHistorical[[#This Row],[SAL25]]="", tblPiNHistorical[[#This Row],[SAL25]]=0, tblPiNHistorical[[#This Row],[SAL26]]="", tblPiNHistorical[[#This Row],[SAL26]]=0), "", tblPiNHistorical[[#This Row],[SAL26]]-tblPiNHistorical[[#This Row],[SAL25]])</f>
        <v>-10498.716830362291</v>
      </c>
      <c r="X92" s="121">
        <f>IF(OR(tblPiNHistorical[[#This Row],[EDU25]]="", tblPiNHistorical[[#This Row],[EDU25]]=0, tblPiNHistorical[[#This Row],[EDU26]]="", tblPiNHistorical[[#This Row],[EDU26]]=0), "", tblPiNHistorical[[#This Row],[EDU26]]-tblPiNHistorical[[#This Row],[EDU25]])</f>
        <v>-6586.2028831022735</v>
      </c>
      <c r="Y92" s="121">
        <f>IF(OR(tblPiNHistorical[[#This Row],[PRO25]]="", tblPiNHistorical[[#This Row],[PRO25]]=0, tblPiNHistorical[[#This Row],[PRO26]]="", tblPiNHistorical[[#This Row],[PRO26]]=0), "", tblPiNHistorical[[#This Row],[PRO26]]-tblPiNHistorical[[#This Row],[PRO25]])</f>
        <v>-38548.553935454242</v>
      </c>
      <c r="Z92" s="223" t="str">
        <f>IF(OR(tblPiNHistorical[[#This Row],[ASH25]]="", tblPiNHistorical[[#This Row],[ASH25]]=0, tblPiNHistorical[[#This Row],[ASH26]]="", tblPiNHistorical[[#This Row],[ASH26]]=0), "", tblPiNHistorical[[#This Row],[ASH26]]-tblPiNHistorical[[#This Row],[ASH25]])</f>
        <v/>
      </c>
      <c r="AA92" s="227" t="str">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NoPIN26 14908</v>
      </c>
      <c r="AB9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9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9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9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9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22654.8</v>
      </c>
    </row>
    <row r="93" spans="1:32">
      <c r="A9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VenezolanosVE0813</v>
      </c>
      <c r="B93" s="105" t="s">
        <v>261</v>
      </c>
      <c r="C93" s="104" t="s">
        <v>262</v>
      </c>
      <c r="D93" s="119" t="s">
        <v>286</v>
      </c>
      <c r="E93" s="104" t="s">
        <v>287</v>
      </c>
      <c r="F93" s="119"/>
      <c r="G93" s="102">
        <v>64124</v>
      </c>
      <c r="H93" s="102" t="s">
        <v>102</v>
      </c>
      <c r="I93" s="206">
        <v>10251</v>
      </c>
      <c r="J93" s="120">
        <v>2680</v>
      </c>
      <c r="K93" s="207">
        <v>16694.871382175981</v>
      </c>
      <c r="L93" s="207">
        <v>8243.5452068308623</v>
      </c>
      <c r="M93" s="207">
        <v>31347.026528843391</v>
      </c>
      <c r="N93" s="298">
        <v>0</v>
      </c>
      <c r="O93" s="114">
        <f>tblPiNAnalysis[[#This Row],[SAMV]]</f>
        <v>2184</v>
      </c>
      <c r="P93" s="115">
        <f>tblPiNAnalysis[[#This Row],[NUT]]</f>
        <v>3179.7856799341707</v>
      </c>
      <c r="Q93" s="115">
        <f>tblPiNAnalysis[[#This Row],[SAL]]</f>
        <v>22500</v>
      </c>
      <c r="R93" s="115">
        <f>tblPiNAnalysis[[#This Row],[EDU]]</f>
        <v>5643.4249558007468</v>
      </c>
      <c r="S93" s="115">
        <f>tblPiNAnalysis[[#This Row],[PRO]]</f>
        <v>14419.322928066102</v>
      </c>
      <c r="T93" s="116">
        <f>tblPiNAnalysis[[#This Row],[ASH]]</f>
        <v>0</v>
      </c>
      <c r="U93" s="300">
        <f>IF(OR(tblPiNHistorical[[#This Row],[SAMV25]]="", tblPiNHistorical[[#This Row],[SAMV25]]=0, tblPiNHistorical[[#This Row],[SAMV26]]="", tblPiNHistorical[[#This Row],[SAMV26]]=0), "", tblPiNHistorical[[#This Row],[SAMV26]]-tblPiNHistorical[[#This Row],[SAMV25]])</f>
        <v>-8067</v>
      </c>
      <c r="V93" s="121">
        <f>IF(OR(tblPiNHistorical[[#This Row],[NUT25]]="", tblPiNHistorical[[#This Row],[NUT25]]=0, tblPiNHistorical[[#This Row],[NUT26]]="", tblPiNHistorical[[#This Row],[NUT26]]=0), "", tblPiNHistorical[[#This Row],[NUT26]]-tblPiNHistorical[[#This Row],[NUT25]])</f>
        <v>499.78567993417073</v>
      </c>
      <c r="W93" s="121">
        <f>IF(OR(tblPiNHistorical[[#This Row],[SAL25]]="", tblPiNHistorical[[#This Row],[SAL25]]=0, tblPiNHistorical[[#This Row],[SAL26]]="", tblPiNHistorical[[#This Row],[SAL26]]=0), "", tblPiNHistorical[[#This Row],[SAL26]]-tblPiNHistorical[[#This Row],[SAL25]])</f>
        <v>5805.1286178240189</v>
      </c>
      <c r="X93" s="121">
        <f>IF(OR(tblPiNHistorical[[#This Row],[EDU25]]="", tblPiNHistorical[[#This Row],[EDU25]]=0, tblPiNHistorical[[#This Row],[EDU26]]="", tblPiNHistorical[[#This Row],[EDU26]]=0), "", tblPiNHistorical[[#This Row],[EDU26]]-tblPiNHistorical[[#This Row],[EDU25]])</f>
        <v>-2600.1202510301155</v>
      </c>
      <c r="Y93" s="121">
        <f>IF(OR(tblPiNHistorical[[#This Row],[PRO25]]="", tblPiNHistorical[[#This Row],[PRO25]]=0, tblPiNHistorical[[#This Row],[PRO26]]="", tblPiNHistorical[[#This Row],[PRO26]]=0), "", tblPiNHistorical[[#This Row],[PRO26]]-tblPiNHistorical[[#This Row],[PRO25]])</f>
        <v>-16927.703600777291</v>
      </c>
      <c r="Z93" s="223" t="str">
        <f>IF(OR(tblPiNHistorical[[#This Row],[ASH25]]="", tblPiNHistorical[[#This Row],[ASH25]]=0, tblPiNHistorical[[#This Row],[ASH26]]="", tblPiNHistorical[[#This Row],[ASH26]]=0), "", tblPiNHistorical[[#This Row],[ASH26]]-tblPiNHistorical[[#This Row],[ASH25]])</f>
        <v/>
      </c>
      <c r="AA9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9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9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9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9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9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94" spans="1:32">
      <c r="A9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VenezolanosVE0814</v>
      </c>
      <c r="B94" s="105" t="s">
        <v>261</v>
      </c>
      <c r="C94" s="104" t="s">
        <v>262</v>
      </c>
      <c r="D94" s="119" t="s">
        <v>288</v>
      </c>
      <c r="E94" s="104" t="s">
        <v>289</v>
      </c>
      <c r="F94" s="119"/>
      <c r="G94" s="102">
        <v>829856</v>
      </c>
      <c r="H94" s="102" t="s">
        <v>102</v>
      </c>
      <c r="I94" s="206">
        <v>132660</v>
      </c>
      <c r="J94" s="120">
        <v>33332</v>
      </c>
      <c r="K94" s="207">
        <v>216060.36869841852</v>
      </c>
      <c r="L94" s="207">
        <v>102634.87407059548</v>
      </c>
      <c r="M94" s="207">
        <v>31343.344876208728</v>
      </c>
      <c r="N94" s="298">
        <v>165971</v>
      </c>
      <c r="O94" s="114">
        <f>tblPiNAnalysis[[#This Row],[SAMV]]</f>
        <v>1763</v>
      </c>
      <c r="P94" s="115">
        <f>tblPiNAnalysis[[#This Row],[NUT]]</f>
        <v>1991.3478835207732</v>
      </c>
      <c r="Q94" s="115">
        <f>tblPiNAnalysis[[#This Row],[SAL]]</f>
        <v>22400</v>
      </c>
      <c r="R94" s="115">
        <f>tblPiNAnalysis[[#This Row],[EDU]]</f>
        <v>7128.4096028049971</v>
      </c>
      <c r="S94" s="115">
        <f>tblPiNAnalysis[[#This Row],[PRO]]</f>
        <v>6970.563627381779</v>
      </c>
      <c r="T94" s="116">
        <f>tblPiNAnalysis[[#This Row],[ASH]]</f>
        <v>3927.2849999999999</v>
      </c>
      <c r="U94" s="300">
        <f>IF(OR(tblPiNHistorical[[#This Row],[SAMV25]]="", tblPiNHistorical[[#This Row],[SAMV25]]=0, tblPiNHistorical[[#This Row],[SAMV26]]="", tblPiNHistorical[[#This Row],[SAMV26]]=0), "", tblPiNHistorical[[#This Row],[SAMV26]]-tblPiNHistorical[[#This Row],[SAMV25]])</f>
        <v>-130897</v>
      </c>
      <c r="V94" s="121">
        <f>IF(OR(tblPiNHistorical[[#This Row],[NUT25]]="", tblPiNHistorical[[#This Row],[NUT25]]=0, tblPiNHistorical[[#This Row],[NUT26]]="", tblPiNHistorical[[#This Row],[NUT26]]=0), "", tblPiNHistorical[[#This Row],[NUT26]]-tblPiNHistorical[[#This Row],[NUT25]])</f>
        <v>-31340.652116479228</v>
      </c>
      <c r="W94" s="121">
        <f>IF(OR(tblPiNHistorical[[#This Row],[SAL25]]="", tblPiNHistorical[[#This Row],[SAL25]]=0, tblPiNHistorical[[#This Row],[SAL26]]="", tblPiNHistorical[[#This Row],[SAL26]]=0), "", tblPiNHistorical[[#This Row],[SAL26]]-tblPiNHistorical[[#This Row],[SAL25]])</f>
        <v>-193660.36869841852</v>
      </c>
      <c r="X94" s="121">
        <f>IF(OR(tblPiNHistorical[[#This Row],[EDU25]]="", tblPiNHistorical[[#This Row],[EDU25]]=0, tblPiNHistorical[[#This Row],[EDU26]]="", tblPiNHistorical[[#This Row],[EDU26]]=0), "", tblPiNHistorical[[#This Row],[EDU26]]-tblPiNHistorical[[#This Row],[EDU25]])</f>
        <v>-95506.464467790487</v>
      </c>
      <c r="Y94" s="121">
        <f>IF(OR(tblPiNHistorical[[#This Row],[PRO25]]="", tblPiNHistorical[[#This Row],[PRO25]]=0, tblPiNHistorical[[#This Row],[PRO26]]="", tblPiNHistorical[[#This Row],[PRO26]]=0), "", tblPiNHistorical[[#This Row],[PRO26]]-tblPiNHistorical[[#This Row],[PRO25]])</f>
        <v>-24372.781248826948</v>
      </c>
      <c r="Z94" s="223">
        <f>IF(OR(tblPiNHistorical[[#This Row],[ASH25]]="", tblPiNHistorical[[#This Row],[ASH25]]=0, tblPiNHistorical[[#This Row],[ASH26]]="", tblPiNHistorical[[#This Row],[ASH26]]=0), "", tblPiNHistorical[[#This Row],[ASH26]]-tblPiNHistorical[[#This Row],[ASH25]])</f>
        <v>-162043.715</v>
      </c>
      <c r="AA9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9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9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-0.9</v>
      </c>
      <c r="AD9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9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94"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-1</v>
      </c>
    </row>
    <row r="95" spans="1:32">
      <c r="A9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VenezolanosVE0901</v>
      </c>
      <c r="B95" s="105" t="s">
        <v>290</v>
      </c>
      <c r="C95" s="104" t="s">
        <v>291</v>
      </c>
      <c r="D95" s="119" t="s">
        <v>119</v>
      </c>
      <c r="E95" s="104" t="s">
        <v>292</v>
      </c>
      <c r="F95" s="119"/>
      <c r="G95" s="102">
        <v>17030</v>
      </c>
      <c r="H95" s="102" t="s">
        <v>102</v>
      </c>
      <c r="I95" s="206">
        <v>3264</v>
      </c>
      <c r="J95" s="120">
        <v>675</v>
      </c>
      <c r="K95" s="207">
        <v>4433.8011534265588</v>
      </c>
      <c r="L95" s="207">
        <v>1568.3904544221641</v>
      </c>
      <c r="M95" s="207">
        <v>8325.1179244308369</v>
      </c>
      <c r="N95" s="298">
        <v>0</v>
      </c>
      <c r="O95" s="114">
        <f>tblPiNAnalysis[[#This Row],[SAMV]]</f>
        <v>9669</v>
      </c>
      <c r="P95" s="115">
        <f>tblPiNAnalysis[[#This Row],[NUT]]</f>
        <v>3020.7010416679373</v>
      </c>
      <c r="Q95" s="115">
        <f>tblPiNAnalysis[[#This Row],[SAL]]</f>
        <v>22400</v>
      </c>
      <c r="R95" s="115">
        <f>tblPiNAnalysis[[#This Row],[EDU]]</f>
        <v>2224.6410759086475</v>
      </c>
      <c r="S95" s="115">
        <f>tblPiNAnalysis[[#This Row],[PRO]]</f>
        <v>6507.468808159284</v>
      </c>
      <c r="T95" s="116">
        <f>tblPiNAnalysis[[#This Row],[ASH]]</f>
        <v>16350</v>
      </c>
      <c r="U95" s="300">
        <f>IF(OR(tblPiNHistorical[[#This Row],[SAMV25]]="", tblPiNHistorical[[#This Row],[SAMV25]]=0, tblPiNHistorical[[#This Row],[SAMV26]]="", tblPiNHistorical[[#This Row],[SAMV26]]=0), "", tblPiNHistorical[[#This Row],[SAMV26]]-tblPiNHistorical[[#This Row],[SAMV25]])</f>
        <v>6405</v>
      </c>
      <c r="V95" s="121">
        <f>IF(OR(tblPiNHistorical[[#This Row],[NUT25]]="", tblPiNHistorical[[#This Row],[NUT25]]=0, tblPiNHistorical[[#This Row],[NUT26]]="", tblPiNHistorical[[#This Row],[NUT26]]=0), "", tblPiNHistorical[[#This Row],[NUT26]]-tblPiNHistorical[[#This Row],[NUT25]])</f>
        <v>2345.7010416679373</v>
      </c>
      <c r="W95" s="121">
        <f>IF(OR(tblPiNHistorical[[#This Row],[SAL25]]="", tblPiNHistorical[[#This Row],[SAL25]]=0, tblPiNHistorical[[#This Row],[SAL26]]="", tblPiNHistorical[[#This Row],[SAL26]]=0), "", tblPiNHistorical[[#This Row],[SAL26]]-tblPiNHistorical[[#This Row],[SAL25]])</f>
        <v>17966.198846573439</v>
      </c>
      <c r="X95" s="121">
        <f>IF(OR(tblPiNHistorical[[#This Row],[EDU25]]="", tblPiNHistorical[[#This Row],[EDU25]]=0, tblPiNHistorical[[#This Row],[EDU26]]="", tblPiNHistorical[[#This Row],[EDU26]]=0), "", tblPiNHistorical[[#This Row],[EDU26]]-tblPiNHistorical[[#This Row],[EDU25]])</f>
        <v>656.2506214864834</v>
      </c>
      <c r="Y95" s="121">
        <f>IF(OR(tblPiNHistorical[[#This Row],[PRO25]]="", tblPiNHistorical[[#This Row],[PRO25]]=0, tblPiNHistorical[[#This Row],[PRO26]]="", tblPiNHistorical[[#This Row],[PRO26]]=0), "", tblPiNHistorical[[#This Row],[PRO26]]-tblPiNHistorical[[#This Row],[PRO25]])</f>
        <v>-1817.6491162715529</v>
      </c>
      <c r="Z95" s="223" t="str">
        <f>IF(OR(tblPiNHistorical[[#This Row],[ASH25]]="", tblPiNHistorical[[#This Row],[ASH25]]=0, tblPiNHistorical[[#This Row],[ASH26]]="", tblPiNHistorical[[#This Row],[ASH26]]=0), "", tblPiNHistorical[[#This Row],[ASH26]]-tblPiNHistorical[[#This Row],[ASH25]])</f>
        <v/>
      </c>
      <c r="AA9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v>
      </c>
      <c r="AB9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3.5</v>
      </c>
      <c r="AC9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4.0999999999999996</v>
      </c>
      <c r="AD9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9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-0.2</v>
      </c>
      <c r="AF9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16350</v>
      </c>
    </row>
    <row r="96" spans="1:32">
      <c r="A9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VenezolanosVE0902</v>
      </c>
      <c r="B96" s="105" t="s">
        <v>290</v>
      </c>
      <c r="C96" s="104" t="s">
        <v>291</v>
      </c>
      <c r="D96" s="119" t="s">
        <v>293</v>
      </c>
      <c r="E96" s="104" t="s">
        <v>294</v>
      </c>
      <c r="F96" s="119"/>
      <c r="G96" s="102">
        <v>97687</v>
      </c>
      <c r="H96" s="102" t="s">
        <v>102</v>
      </c>
      <c r="I96" s="206">
        <v>18723</v>
      </c>
      <c r="J96" s="120">
        <v>4193</v>
      </c>
      <c r="K96" s="207">
        <v>25433.670527030114</v>
      </c>
      <c r="L96" s="207">
        <v>5260.5785802572318</v>
      </c>
      <c r="M96" s="207">
        <v>10809.36517095674</v>
      </c>
      <c r="N96" s="298">
        <v>0</v>
      </c>
      <c r="O96" s="114">
        <f>tblPiNAnalysis[[#This Row],[SAMV]]</f>
        <v>22258</v>
      </c>
      <c r="P96" s="115">
        <f>tblPiNAnalysis[[#This Row],[NUT]]</f>
        <v>2231.7423237660842</v>
      </c>
      <c r="Q96" s="115">
        <f>tblPiNAnalysis[[#This Row],[SAL]]</f>
        <v>16897.674999999999</v>
      </c>
      <c r="R96" s="115">
        <f>tblPiNAnalysis[[#This Row],[EDU]]</f>
        <v>2414.548858930661</v>
      </c>
      <c r="S96" s="115">
        <f>tblPiNAnalysis[[#This Row],[PRO]]</f>
        <v>11093.382618320909</v>
      </c>
      <c r="T96" s="116">
        <f>tblPiNAnalysis[[#This Row],[ASH]]</f>
        <v>0</v>
      </c>
      <c r="U96" s="300">
        <f>IF(OR(tblPiNHistorical[[#This Row],[SAMV25]]="", tblPiNHistorical[[#This Row],[SAMV25]]=0, tblPiNHistorical[[#This Row],[SAMV26]]="", tblPiNHistorical[[#This Row],[SAMV26]]=0), "", tblPiNHistorical[[#This Row],[SAMV26]]-tblPiNHistorical[[#This Row],[SAMV25]])</f>
        <v>3535</v>
      </c>
      <c r="V96" s="121">
        <f>IF(OR(tblPiNHistorical[[#This Row],[NUT25]]="", tblPiNHistorical[[#This Row],[NUT25]]=0, tblPiNHistorical[[#This Row],[NUT26]]="", tblPiNHistorical[[#This Row],[NUT26]]=0), "", tblPiNHistorical[[#This Row],[NUT26]]-tblPiNHistorical[[#This Row],[NUT25]])</f>
        <v>-1961.2576762339158</v>
      </c>
      <c r="W96" s="121">
        <f>IF(OR(tblPiNHistorical[[#This Row],[SAL25]]="", tblPiNHistorical[[#This Row],[SAL25]]=0, tblPiNHistorical[[#This Row],[SAL26]]="", tblPiNHistorical[[#This Row],[SAL26]]=0), "", tblPiNHistorical[[#This Row],[SAL26]]-tblPiNHistorical[[#This Row],[SAL25]])</f>
        <v>-8535.9955270301143</v>
      </c>
      <c r="X96" s="121">
        <f>IF(OR(tblPiNHistorical[[#This Row],[EDU25]]="", tblPiNHistorical[[#This Row],[EDU25]]=0, tblPiNHistorical[[#This Row],[EDU26]]="", tblPiNHistorical[[#This Row],[EDU26]]=0), "", tblPiNHistorical[[#This Row],[EDU26]]-tblPiNHistorical[[#This Row],[EDU25]])</f>
        <v>-2846.0297213265708</v>
      </c>
      <c r="Y96" s="121">
        <f>IF(OR(tblPiNHistorical[[#This Row],[PRO25]]="", tblPiNHistorical[[#This Row],[PRO25]]=0, tblPiNHistorical[[#This Row],[PRO26]]="", tblPiNHistorical[[#This Row],[PRO26]]=0), "", tblPiNHistorical[[#This Row],[PRO26]]-tblPiNHistorical[[#This Row],[PRO25]])</f>
        <v>284.01744736416913</v>
      </c>
      <c r="Z96" s="223" t="str">
        <f>IF(OR(tblPiNHistorical[[#This Row],[ASH25]]="", tblPiNHistorical[[#This Row],[ASH25]]=0, tblPiNHistorical[[#This Row],[ASH26]]="", tblPiNHistorical[[#This Row],[ASH26]]=0), "", tblPiNHistorical[[#This Row],[ASH26]]-tblPiNHistorical[[#This Row],[ASH25]])</f>
        <v/>
      </c>
      <c r="AA9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9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9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9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9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v>
      </c>
      <c r="AF9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97" spans="1:32">
      <c r="A9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VenezolanosVE0903</v>
      </c>
      <c r="B97" s="105" t="s">
        <v>290</v>
      </c>
      <c r="C97" s="104" t="s">
        <v>291</v>
      </c>
      <c r="D97" s="119" t="s">
        <v>184</v>
      </c>
      <c r="E97" s="104" t="s">
        <v>295</v>
      </c>
      <c r="F97" s="119"/>
      <c r="G97" s="102">
        <v>11906</v>
      </c>
      <c r="H97" s="102" t="s">
        <v>102</v>
      </c>
      <c r="I97" s="206">
        <v>2282</v>
      </c>
      <c r="J97" s="120">
        <v>528</v>
      </c>
      <c r="K97" s="207">
        <v>3100.1930299601568</v>
      </c>
      <c r="L97" s="207">
        <v>1023.5050995538826</v>
      </c>
      <c r="M97" s="207">
        <v>5820.2497949661511</v>
      </c>
      <c r="N97" s="298">
        <v>0</v>
      </c>
      <c r="O97" s="114">
        <f>tblPiNAnalysis[[#This Row],[SAMV]]</f>
        <v>14448</v>
      </c>
      <c r="P97" s="115">
        <f>tblPiNAnalysis[[#This Row],[NUT]]</f>
        <v>2212.9798862816215</v>
      </c>
      <c r="Q97" s="115">
        <f>tblPiNAnalysis[[#This Row],[SAL]]</f>
        <v>22147.47</v>
      </c>
      <c r="R97" s="115">
        <f>tblPiNAnalysis[[#This Row],[EDU]]</f>
        <v>7493.618245715983</v>
      </c>
      <c r="S97" s="115">
        <f>tblPiNAnalysis[[#This Row],[PRO]]</f>
        <v>7287.7381323869377</v>
      </c>
      <c r="T97" s="116">
        <f>tblPiNAnalysis[[#This Row],[ASH]]</f>
        <v>8191.5300000000007</v>
      </c>
      <c r="U97" s="300">
        <f>IF(OR(tblPiNHistorical[[#This Row],[SAMV25]]="", tblPiNHistorical[[#This Row],[SAMV25]]=0, tblPiNHistorical[[#This Row],[SAMV26]]="", tblPiNHistorical[[#This Row],[SAMV26]]=0), "", tblPiNHistorical[[#This Row],[SAMV26]]-tblPiNHistorical[[#This Row],[SAMV25]])</f>
        <v>12166</v>
      </c>
      <c r="V97" s="121">
        <f>IF(OR(tblPiNHistorical[[#This Row],[NUT25]]="", tblPiNHistorical[[#This Row],[NUT25]]=0, tblPiNHistorical[[#This Row],[NUT26]]="", tblPiNHistorical[[#This Row],[NUT26]]=0), "", tblPiNHistorical[[#This Row],[NUT26]]-tblPiNHistorical[[#This Row],[NUT25]])</f>
        <v>1684.9798862816215</v>
      </c>
      <c r="W97" s="121">
        <f>IF(OR(tblPiNHistorical[[#This Row],[SAL25]]="", tblPiNHistorical[[#This Row],[SAL25]]=0, tblPiNHistorical[[#This Row],[SAL26]]="", tblPiNHistorical[[#This Row],[SAL26]]=0), "", tblPiNHistorical[[#This Row],[SAL26]]-tblPiNHistorical[[#This Row],[SAL25]])</f>
        <v>19047.276970039846</v>
      </c>
      <c r="X97" s="121">
        <f>IF(OR(tblPiNHistorical[[#This Row],[EDU25]]="", tblPiNHistorical[[#This Row],[EDU25]]=0, tblPiNHistorical[[#This Row],[EDU26]]="", tblPiNHistorical[[#This Row],[EDU26]]=0), "", tblPiNHistorical[[#This Row],[EDU26]]-tblPiNHistorical[[#This Row],[EDU25]])</f>
        <v>6470.1131461621007</v>
      </c>
      <c r="Y97" s="121">
        <f>IF(OR(tblPiNHistorical[[#This Row],[PRO25]]="", tblPiNHistorical[[#This Row],[PRO25]]=0, tblPiNHistorical[[#This Row],[PRO26]]="", tblPiNHistorical[[#This Row],[PRO26]]=0), "", tblPiNHistorical[[#This Row],[PRO26]]-tblPiNHistorical[[#This Row],[PRO25]])</f>
        <v>1467.4883374207866</v>
      </c>
      <c r="Z97" s="223" t="str">
        <f>IF(OR(tblPiNHistorical[[#This Row],[ASH25]]="", tblPiNHistorical[[#This Row],[ASH25]]=0, tblPiNHistorical[[#This Row],[ASH26]]="", tblPiNHistorical[[#This Row],[ASH26]]=0), "", tblPiNHistorical[[#This Row],[ASH26]]-tblPiNHistorical[[#This Row],[ASH25]])</f>
        <v/>
      </c>
      <c r="AA9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5.3</v>
      </c>
      <c r="AB9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3.2</v>
      </c>
      <c r="AC9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6.1</v>
      </c>
      <c r="AD9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6.3</v>
      </c>
      <c r="AE9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9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8191.53</v>
      </c>
    </row>
    <row r="98" spans="1:32">
      <c r="A9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VenezolanosVE0904</v>
      </c>
      <c r="B98" s="105" t="s">
        <v>290</v>
      </c>
      <c r="C98" s="104" t="s">
        <v>291</v>
      </c>
      <c r="D98" s="119" t="s">
        <v>296</v>
      </c>
      <c r="E98" s="104" t="s">
        <v>297</v>
      </c>
      <c r="F98" s="119"/>
      <c r="G98" s="102">
        <v>9454</v>
      </c>
      <c r="H98" s="102" t="s">
        <v>102</v>
      </c>
      <c r="I98" s="206">
        <v>1812</v>
      </c>
      <c r="J98" s="120">
        <v>348</v>
      </c>
      <c r="K98" s="207">
        <v>2461.1311877344297</v>
      </c>
      <c r="L98" s="207">
        <v>486.52713990306933</v>
      </c>
      <c r="M98" s="207">
        <v>3361.1558151953932</v>
      </c>
      <c r="N98" s="298">
        <v>0</v>
      </c>
      <c r="O98" s="114">
        <f>tblPiNAnalysis[[#This Row],[SAMV]]</f>
        <v>22117</v>
      </c>
      <c r="P98" s="115">
        <f>tblPiNAnalysis[[#This Row],[NUT]]</f>
        <v>1747.0312648443976</v>
      </c>
      <c r="Q98" s="115">
        <f>tblPiNAnalysis[[#This Row],[SAL]]</f>
        <v>18371.91</v>
      </c>
      <c r="R98" s="115">
        <f>tblPiNAnalysis[[#This Row],[EDU]]</f>
        <v>2612.3250879443831</v>
      </c>
      <c r="S98" s="115">
        <f>tblPiNAnalysis[[#This Row],[PRO]]</f>
        <v>7959.0928470456447</v>
      </c>
      <c r="T98" s="116">
        <f>tblPiNAnalysis[[#This Row],[ASH]]</f>
        <v>0</v>
      </c>
      <c r="U98" s="300">
        <f>IF(OR(tblPiNHistorical[[#This Row],[SAMV25]]="", tblPiNHistorical[[#This Row],[SAMV25]]=0, tblPiNHistorical[[#This Row],[SAMV26]]="", tblPiNHistorical[[#This Row],[SAMV26]]=0), "", tblPiNHistorical[[#This Row],[SAMV26]]-tblPiNHistorical[[#This Row],[SAMV25]])</f>
        <v>20305</v>
      </c>
      <c r="V98" s="121">
        <f>IF(OR(tblPiNHistorical[[#This Row],[NUT25]]="", tblPiNHistorical[[#This Row],[NUT25]]=0, tblPiNHistorical[[#This Row],[NUT26]]="", tblPiNHistorical[[#This Row],[NUT26]]=0), "", tblPiNHistorical[[#This Row],[NUT26]]-tblPiNHistorical[[#This Row],[NUT25]])</f>
        <v>1399.0312648443976</v>
      </c>
      <c r="W98" s="121">
        <f>IF(OR(tblPiNHistorical[[#This Row],[SAL25]]="", tblPiNHistorical[[#This Row],[SAL25]]=0, tblPiNHistorical[[#This Row],[SAL26]]="", tblPiNHistorical[[#This Row],[SAL26]]=0), "", tblPiNHistorical[[#This Row],[SAL26]]-tblPiNHistorical[[#This Row],[SAL25]])</f>
        <v>15910.778812265569</v>
      </c>
      <c r="X98" s="121">
        <f>IF(OR(tblPiNHistorical[[#This Row],[EDU25]]="", tblPiNHistorical[[#This Row],[EDU25]]=0, tblPiNHistorical[[#This Row],[EDU26]]="", tblPiNHistorical[[#This Row],[EDU26]]=0), "", tblPiNHistorical[[#This Row],[EDU26]]-tblPiNHistorical[[#This Row],[EDU25]])</f>
        <v>2125.7979480413137</v>
      </c>
      <c r="Y98" s="121">
        <f>IF(OR(tblPiNHistorical[[#This Row],[PRO25]]="", tblPiNHistorical[[#This Row],[PRO25]]=0, tblPiNHistorical[[#This Row],[PRO26]]="", tblPiNHistorical[[#This Row],[PRO26]]=0), "", tblPiNHistorical[[#This Row],[PRO26]]-tblPiNHistorical[[#This Row],[PRO25]])</f>
        <v>4597.9370318502515</v>
      </c>
      <c r="Z98" s="223" t="str">
        <f>IF(OR(tblPiNHistorical[[#This Row],[ASH25]]="", tblPiNHistorical[[#This Row],[ASH25]]=0, tblPiNHistorical[[#This Row],[ASH26]]="", tblPiNHistorical[[#This Row],[ASH26]]=0), "", tblPiNHistorical[[#This Row],[ASH26]]-tblPiNHistorical[[#This Row],[ASH25]])</f>
        <v/>
      </c>
      <c r="AA9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11.2</v>
      </c>
      <c r="AB9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4</v>
      </c>
      <c r="AC9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6.5</v>
      </c>
      <c r="AD9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4.4000000000000004</v>
      </c>
      <c r="AE9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1.4</v>
      </c>
      <c r="AF9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99" spans="1:32">
      <c r="A9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VenezolanosVE0905</v>
      </c>
      <c r="B99" s="105" t="s">
        <v>290</v>
      </c>
      <c r="C99" s="104" t="s">
        <v>291</v>
      </c>
      <c r="D99" s="119" t="s">
        <v>298</v>
      </c>
      <c r="E99" s="104" t="s">
        <v>299</v>
      </c>
      <c r="F99" s="119"/>
      <c r="G99" s="102">
        <v>16810</v>
      </c>
      <c r="H99" s="102" t="s">
        <v>102</v>
      </c>
      <c r="I99" s="206">
        <v>3222</v>
      </c>
      <c r="J99" s="120">
        <v>674</v>
      </c>
      <c r="K99" s="207">
        <v>4376.3351273039352</v>
      </c>
      <c r="L99" s="207">
        <v>1228.1404895553762</v>
      </c>
      <c r="M99" s="207">
        <v>5976.415194989906</v>
      </c>
      <c r="N99" s="298">
        <v>0</v>
      </c>
      <c r="O99" s="114">
        <f>tblPiNAnalysis[[#This Row],[SAMV]]</f>
        <v>15063</v>
      </c>
      <c r="P99" s="115">
        <f>tblPiNAnalysis[[#This Row],[NUT]]</f>
        <v>3140.3300244250358</v>
      </c>
      <c r="Q99" s="115">
        <f>tblPiNAnalysis[[#This Row],[SAL]]</f>
        <v>21993.075000000001</v>
      </c>
      <c r="R99" s="115">
        <f>tblPiNAnalysis[[#This Row],[EDU]]</f>
        <v>6639.3574819902069</v>
      </c>
      <c r="S99" s="115">
        <f>tblPiNAnalysis[[#This Row],[PRO]]</f>
        <v>14373.405724665281</v>
      </c>
      <c r="T99" s="116">
        <f>tblPiNAnalysis[[#This Row],[ASH]]</f>
        <v>0</v>
      </c>
      <c r="U99" s="300">
        <f>IF(OR(tblPiNHistorical[[#This Row],[SAMV25]]="", tblPiNHistorical[[#This Row],[SAMV25]]=0, tblPiNHistorical[[#This Row],[SAMV26]]="", tblPiNHistorical[[#This Row],[SAMV26]]=0), "", tblPiNHistorical[[#This Row],[SAMV26]]-tblPiNHistorical[[#This Row],[SAMV25]])</f>
        <v>11841</v>
      </c>
      <c r="V99" s="121">
        <f>IF(OR(tblPiNHistorical[[#This Row],[NUT25]]="", tblPiNHistorical[[#This Row],[NUT25]]=0, tblPiNHistorical[[#This Row],[NUT26]]="", tblPiNHistorical[[#This Row],[NUT26]]=0), "", tblPiNHistorical[[#This Row],[NUT26]]-tblPiNHistorical[[#This Row],[NUT25]])</f>
        <v>2466.3300244250358</v>
      </c>
      <c r="W99" s="121">
        <f>IF(OR(tblPiNHistorical[[#This Row],[SAL25]]="", tblPiNHistorical[[#This Row],[SAL25]]=0, tblPiNHistorical[[#This Row],[SAL26]]="", tblPiNHistorical[[#This Row],[SAL26]]=0), "", tblPiNHistorical[[#This Row],[SAL26]]-tblPiNHistorical[[#This Row],[SAL25]])</f>
        <v>17616.739872696067</v>
      </c>
      <c r="X99" s="121">
        <f>IF(OR(tblPiNHistorical[[#This Row],[EDU25]]="", tblPiNHistorical[[#This Row],[EDU25]]=0, tblPiNHistorical[[#This Row],[EDU26]]="", tblPiNHistorical[[#This Row],[EDU26]]=0), "", tblPiNHistorical[[#This Row],[EDU26]]-tblPiNHistorical[[#This Row],[EDU25]])</f>
        <v>5411.2169924348309</v>
      </c>
      <c r="Y99" s="121">
        <f>IF(OR(tblPiNHistorical[[#This Row],[PRO25]]="", tblPiNHistorical[[#This Row],[PRO25]]=0, tblPiNHistorical[[#This Row],[PRO26]]="", tblPiNHistorical[[#This Row],[PRO26]]=0), "", tblPiNHistorical[[#This Row],[PRO26]]-tblPiNHistorical[[#This Row],[PRO25]])</f>
        <v>8396.990529675375</v>
      </c>
      <c r="Z99" s="223" t="str">
        <f>IF(OR(tblPiNHistorical[[#This Row],[ASH25]]="", tblPiNHistorical[[#This Row],[ASH25]]=0, tblPiNHistorical[[#This Row],[ASH26]]="", tblPiNHistorical[[#This Row],[ASH26]]=0), "", tblPiNHistorical[[#This Row],[ASH26]]-tblPiNHistorical[[#This Row],[ASH25]])</f>
        <v/>
      </c>
      <c r="AA9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3.7</v>
      </c>
      <c r="AB9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3.7</v>
      </c>
      <c r="AC9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4</v>
      </c>
      <c r="AD9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4.4000000000000004</v>
      </c>
      <c r="AE9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1.4</v>
      </c>
      <c r="AF9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00" spans="1:32">
      <c r="A10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VenezolanosVE0906</v>
      </c>
      <c r="B100" s="105" t="s">
        <v>290</v>
      </c>
      <c r="C100" s="104" t="s">
        <v>291</v>
      </c>
      <c r="D100" s="119" t="s">
        <v>300</v>
      </c>
      <c r="E100" s="104" t="s">
        <v>301</v>
      </c>
      <c r="F100" s="119"/>
      <c r="G100" s="102">
        <v>12657</v>
      </c>
      <c r="H100" s="102" t="s">
        <v>102</v>
      </c>
      <c r="I100" s="206">
        <v>2426</v>
      </c>
      <c r="J100" s="120">
        <v>509</v>
      </c>
      <c r="K100" s="207">
        <v>3295.3793600663098</v>
      </c>
      <c r="L100" s="207">
        <v>730.69320070751667</v>
      </c>
      <c r="M100" s="207">
        <v>4499.9100013674743</v>
      </c>
      <c r="N100" s="298">
        <v>0</v>
      </c>
      <c r="O100" s="114">
        <f>tblPiNAnalysis[[#This Row],[SAMV]]</f>
        <v>7731</v>
      </c>
      <c r="P100" s="115">
        <f>tblPiNAnalysis[[#This Row],[NUT]]</f>
        <v>2441.753786154798</v>
      </c>
      <c r="Q100" s="115">
        <f>tblPiNAnalysis[[#This Row],[SAL]]</f>
        <v>21720.42</v>
      </c>
      <c r="R100" s="115">
        <f>tblPiNAnalysis[[#This Row],[EDU]]</f>
        <v>1885.123341986196</v>
      </c>
      <c r="S100" s="115">
        <f>tblPiNAnalysis[[#This Row],[PRO]]</f>
        <v>11871.113705622807</v>
      </c>
      <c r="T100" s="116">
        <f>tblPiNAnalysis[[#This Row],[ASH]]</f>
        <v>0</v>
      </c>
      <c r="U100" s="300">
        <f>IF(OR(tblPiNHistorical[[#This Row],[SAMV25]]="", tblPiNHistorical[[#This Row],[SAMV25]]=0, tblPiNHistorical[[#This Row],[SAMV26]]="", tblPiNHistorical[[#This Row],[SAMV26]]=0), "", tblPiNHistorical[[#This Row],[SAMV26]]-tblPiNHistorical[[#This Row],[SAMV25]])</f>
        <v>5305</v>
      </c>
      <c r="V100" s="121">
        <f>IF(OR(tblPiNHistorical[[#This Row],[NUT25]]="", tblPiNHistorical[[#This Row],[NUT25]]=0, tblPiNHistorical[[#This Row],[NUT26]]="", tblPiNHistorical[[#This Row],[NUT26]]=0), "", tblPiNHistorical[[#This Row],[NUT26]]-tblPiNHistorical[[#This Row],[NUT25]])</f>
        <v>1932.753786154798</v>
      </c>
      <c r="W100" s="121">
        <f>IF(OR(tblPiNHistorical[[#This Row],[SAL25]]="", tblPiNHistorical[[#This Row],[SAL25]]=0, tblPiNHistorical[[#This Row],[SAL26]]="", tblPiNHistorical[[#This Row],[SAL26]]=0), "", tblPiNHistorical[[#This Row],[SAL26]]-tblPiNHistorical[[#This Row],[SAL25]])</f>
        <v>18425.04063993369</v>
      </c>
      <c r="X100" s="121">
        <f>IF(OR(tblPiNHistorical[[#This Row],[EDU25]]="", tblPiNHistorical[[#This Row],[EDU25]]=0, tblPiNHistorical[[#This Row],[EDU26]]="", tblPiNHistorical[[#This Row],[EDU26]]=0), "", tblPiNHistorical[[#This Row],[EDU26]]-tblPiNHistorical[[#This Row],[EDU25]])</f>
        <v>1154.4301412786795</v>
      </c>
      <c r="Y100" s="121">
        <f>IF(OR(tblPiNHistorical[[#This Row],[PRO25]]="", tblPiNHistorical[[#This Row],[PRO25]]=0, tblPiNHistorical[[#This Row],[PRO26]]="", tblPiNHistorical[[#This Row],[PRO26]]=0), "", tblPiNHistorical[[#This Row],[PRO26]]-tblPiNHistorical[[#This Row],[PRO25]])</f>
        <v>7371.2037042553329</v>
      </c>
      <c r="Z100" s="223" t="str">
        <f>IF(OR(tblPiNHistorical[[#This Row],[ASH25]]="", tblPiNHistorical[[#This Row],[ASH25]]=0, tblPiNHistorical[[#This Row],[ASH26]]="", tblPiNHistorical[[#This Row],[ASH26]]=0), "", tblPiNHistorical[[#This Row],[ASH26]]-tblPiNHistorical[[#This Row],[ASH25]])</f>
        <v/>
      </c>
      <c r="AA10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2.2000000000000002</v>
      </c>
      <c r="AB10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3.8</v>
      </c>
      <c r="AC10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5.6</v>
      </c>
      <c r="AD10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1.6</v>
      </c>
      <c r="AE10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1.6</v>
      </c>
      <c r="AF10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01" spans="1:32">
      <c r="A10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VenezolanosVE0907</v>
      </c>
      <c r="B101" s="105" t="s">
        <v>290</v>
      </c>
      <c r="C101" s="104" t="s">
        <v>291</v>
      </c>
      <c r="D101" s="119" t="s">
        <v>175</v>
      </c>
      <c r="E101" s="104" t="s">
        <v>302</v>
      </c>
      <c r="F101" s="119"/>
      <c r="G101" s="102">
        <v>18297</v>
      </c>
      <c r="H101" s="102" t="s">
        <v>102</v>
      </c>
      <c r="I101" s="206">
        <v>3507</v>
      </c>
      <c r="J101" s="120">
        <v>734</v>
      </c>
      <c r="K101" s="207">
        <v>4763.7354068547256</v>
      </c>
      <c r="L101" s="207">
        <v>1409.3869590763397</v>
      </c>
      <c r="M101" s="207">
        <v>8944.491054803937</v>
      </c>
      <c r="N101" s="298">
        <v>3659</v>
      </c>
      <c r="O101" s="114">
        <f>tblPiNAnalysis[[#This Row],[SAMV]]</f>
        <v>17179</v>
      </c>
      <c r="P101" s="115">
        <f>tblPiNAnalysis[[#This Row],[NUT]]</f>
        <v>1827.1077707490199</v>
      </c>
      <c r="Q101" s="115">
        <f>tblPiNAnalysis[[#This Row],[SAL]]</f>
        <v>21705.455000000002</v>
      </c>
      <c r="R101" s="115">
        <f>tblPiNAnalysis[[#This Row],[EDU]]</f>
        <v>10280.43031349696</v>
      </c>
      <c r="S101" s="115">
        <f>tblPiNAnalysis[[#This Row],[PRO]]</f>
        <v>11855.220556172742</v>
      </c>
      <c r="T101" s="116">
        <f>tblPiNAnalysis[[#This Row],[ASH]]</f>
        <v>4014.0225</v>
      </c>
      <c r="U101" s="300">
        <f>IF(OR(tblPiNHistorical[[#This Row],[SAMV25]]="", tblPiNHistorical[[#This Row],[SAMV25]]=0, tblPiNHistorical[[#This Row],[SAMV26]]="", tblPiNHistorical[[#This Row],[SAMV26]]=0), "", tblPiNHistorical[[#This Row],[SAMV26]]-tblPiNHistorical[[#This Row],[SAMV25]])</f>
        <v>13672</v>
      </c>
      <c r="V101" s="121">
        <f>IF(OR(tblPiNHistorical[[#This Row],[NUT25]]="", tblPiNHistorical[[#This Row],[NUT25]]=0, tblPiNHistorical[[#This Row],[NUT26]]="", tblPiNHistorical[[#This Row],[NUT26]]=0), "", tblPiNHistorical[[#This Row],[NUT26]]-tblPiNHistorical[[#This Row],[NUT25]])</f>
        <v>1093.1077707490199</v>
      </c>
      <c r="W101" s="121">
        <f>IF(OR(tblPiNHistorical[[#This Row],[SAL25]]="", tblPiNHistorical[[#This Row],[SAL25]]=0, tblPiNHistorical[[#This Row],[SAL26]]="", tblPiNHistorical[[#This Row],[SAL26]]=0), "", tblPiNHistorical[[#This Row],[SAL26]]-tblPiNHistorical[[#This Row],[SAL25]])</f>
        <v>16941.719593145277</v>
      </c>
      <c r="X101" s="121">
        <f>IF(OR(tblPiNHistorical[[#This Row],[EDU25]]="", tblPiNHistorical[[#This Row],[EDU25]]=0, tblPiNHistorical[[#This Row],[EDU26]]="", tblPiNHistorical[[#This Row],[EDU26]]=0), "", tblPiNHistorical[[#This Row],[EDU26]]-tblPiNHistorical[[#This Row],[EDU25]])</f>
        <v>8871.0433544206207</v>
      </c>
      <c r="Y101" s="121">
        <f>IF(OR(tblPiNHistorical[[#This Row],[PRO25]]="", tblPiNHistorical[[#This Row],[PRO25]]=0, tblPiNHistorical[[#This Row],[PRO26]]="", tblPiNHistorical[[#This Row],[PRO26]]=0), "", tblPiNHistorical[[#This Row],[PRO26]]-tblPiNHistorical[[#This Row],[PRO25]])</f>
        <v>2910.7295013688054</v>
      </c>
      <c r="Z101" s="223">
        <f>IF(OR(tblPiNHistorical[[#This Row],[ASH25]]="", tblPiNHistorical[[#This Row],[ASH25]]=0, tblPiNHistorical[[#This Row],[ASH26]]="", tblPiNHistorical[[#This Row],[ASH26]]=0), "", tblPiNHistorical[[#This Row],[ASH26]]-tblPiNHistorical[[#This Row],[ASH25]])</f>
        <v>355.02250000000004</v>
      </c>
      <c r="AA10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3.9</v>
      </c>
      <c r="AB10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1.5</v>
      </c>
      <c r="AC10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3.6</v>
      </c>
      <c r="AD10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6.3</v>
      </c>
      <c r="AE10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101"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0.1</v>
      </c>
    </row>
    <row r="102" spans="1:32">
      <c r="A10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VenezolanosVE0908</v>
      </c>
      <c r="B102" s="105" t="s">
        <v>290</v>
      </c>
      <c r="C102" s="104" t="s">
        <v>291</v>
      </c>
      <c r="D102" s="119" t="s">
        <v>227</v>
      </c>
      <c r="E102" s="104" t="s">
        <v>303</v>
      </c>
      <c r="F102" s="119"/>
      <c r="G102" s="102">
        <v>106760</v>
      </c>
      <c r="H102" s="102" t="s">
        <v>102</v>
      </c>
      <c r="I102" s="206">
        <v>20462</v>
      </c>
      <c r="J102" s="120">
        <v>4499</v>
      </c>
      <c r="K102" s="207">
        <v>27795.722359380714</v>
      </c>
      <c r="L102" s="207">
        <v>5857.4612172476127</v>
      </c>
      <c r="M102" s="207">
        <v>10809.36517095674</v>
      </c>
      <c r="N102" s="298">
        <v>0</v>
      </c>
      <c r="O102" s="114">
        <f>tblPiNAnalysis[[#This Row],[SAMV]]</f>
        <v>11709</v>
      </c>
      <c r="P102" s="115">
        <f>tblPiNAnalysis[[#This Row],[NUT]]</f>
        <v>1176.967145846462</v>
      </c>
      <c r="Q102" s="115">
        <f>tblPiNAnalysis[[#This Row],[SAL]]</f>
        <v>21576.61</v>
      </c>
      <c r="R102" s="115">
        <f>tblPiNAnalysis[[#This Row],[EDU]]</f>
        <v>10136.559796715932</v>
      </c>
      <c r="S102" s="115">
        <f>tblPiNAnalysis[[#This Row],[PRO]]</f>
        <v>14101.228213556771</v>
      </c>
      <c r="T102" s="116">
        <f>tblPiNAnalysis[[#This Row],[ASH]]</f>
        <v>0</v>
      </c>
      <c r="U102" s="300">
        <f>IF(OR(tblPiNHistorical[[#This Row],[SAMV25]]="", tblPiNHistorical[[#This Row],[SAMV25]]=0, tblPiNHistorical[[#This Row],[SAMV26]]="", tblPiNHistorical[[#This Row],[SAMV26]]=0), "", tblPiNHistorical[[#This Row],[SAMV26]]-tblPiNHistorical[[#This Row],[SAMV25]])</f>
        <v>-8753</v>
      </c>
      <c r="V102" s="121">
        <f>IF(OR(tblPiNHistorical[[#This Row],[NUT25]]="", tblPiNHistorical[[#This Row],[NUT25]]=0, tblPiNHistorical[[#This Row],[NUT26]]="", tblPiNHistorical[[#This Row],[NUT26]]=0), "", tblPiNHistorical[[#This Row],[NUT26]]-tblPiNHistorical[[#This Row],[NUT25]])</f>
        <v>-3322.0328541535382</v>
      </c>
      <c r="W102" s="121">
        <f>IF(OR(tblPiNHistorical[[#This Row],[SAL25]]="", tblPiNHistorical[[#This Row],[SAL25]]=0, tblPiNHistorical[[#This Row],[SAL26]]="", tblPiNHistorical[[#This Row],[SAL26]]=0), "", tblPiNHistorical[[#This Row],[SAL26]]-tblPiNHistorical[[#This Row],[SAL25]])</f>
        <v>-6219.1123593807133</v>
      </c>
      <c r="X102" s="121">
        <f>IF(OR(tblPiNHistorical[[#This Row],[EDU25]]="", tblPiNHistorical[[#This Row],[EDU25]]=0, tblPiNHistorical[[#This Row],[EDU26]]="", tblPiNHistorical[[#This Row],[EDU26]]=0), "", tblPiNHistorical[[#This Row],[EDU26]]-tblPiNHistorical[[#This Row],[EDU25]])</f>
        <v>4279.0985794683193</v>
      </c>
      <c r="Y102" s="121">
        <f>IF(OR(tblPiNHistorical[[#This Row],[PRO25]]="", tblPiNHistorical[[#This Row],[PRO25]]=0, tblPiNHistorical[[#This Row],[PRO26]]="", tblPiNHistorical[[#This Row],[PRO26]]=0), "", tblPiNHistorical[[#This Row],[PRO26]]-tblPiNHistorical[[#This Row],[PRO25]])</f>
        <v>3291.8630426000309</v>
      </c>
      <c r="Z102" s="223" t="str">
        <f>IF(OR(tblPiNHistorical[[#This Row],[ASH25]]="", tblPiNHistorical[[#This Row],[ASH25]]=0, tblPiNHistorical[[#This Row],[ASH26]]="", tblPiNHistorical[[#This Row],[ASH26]]=0), "", tblPiNHistorical[[#This Row],[ASH26]]-tblPiNHistorical[[#This Row],[ASH25]])</f>
        <v/>
      </c>
      <c r="AA10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10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10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10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10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10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03" spans="1:32">
      <c r="A10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VenezolanosVE0909</v>
      </c>
      <c r="B103" s="105" t="s">
        <v>290</v>
      </c>
      <c r="C103" s="104" t="s">
        <v>291</v>
      </c>
      <c r="D103" s="119" t="s">
        <v>304</v>
      </c>
      <c r="E103" s="104" t="s">
        <v>305</v>
      </c>
      <c r="F103" s="119"/>
      <c r="G103" s="102">
        <v>32564</v>
      </c>
      <c r="H103" s="102" t="s">
        <v>102</v>
      </c>
      <c r="I103" s="206">
        <v>6241</v>
      </c>
      <c r="J103" s="120">
        <v>1274</v>
      </c>
      <c r="K103" s="207">
        <v>8478.220440194651</v>
      </c>
      <c r="L103" s="207">
        <v>1878.1888060083181</v>
      </c>
      <c r="M103" s="207">
        <v>7861.3564879685373</v>
      </c>
      <c r="N103" s="298">
        <v>16282</v>
      </c>
      <c r="O103" s="114">
        <f>tblPiNAnalysis[[#This Row],[SAMV]]</f>
        <v>6414</v>
      </c>
      <c r="P103" s="115">
        <f>tblPiNAnalysis[[#This Row],[NUT]]</f>
        <v>1537.2418604392319</v>
      </c>
      <c r="Q103" s="115">
        <f>tblPiNAnalysis[[#This Row],[SAL]]</f>
        <v>13041.815000000001</v>
      </c>
      <c r="R103" s="115">
        <f>tblPiNAnalysis[[#This Row],[EDU]]</f>
        <v>1978.4485672164108</v>
      </c>
      <c r="S103" s="115">
        <f>tblPiNAnalysis[[#This Row],[PRO]]</f>
        <v>8553.4737611536257</v>
      </c>
      <c r="T103" s="116">
        <f>tblPiNAnalysis[[#This Row],[ASH]]</f>
        <v>21438.6</v>
      </c>
      <c r="U103" s="300">
        <f>IF(OR(tblPiNHistorical[[#This Row],[SAMV25]]="", tblPiNHistorical[[#This Row],[SAMV25]]=0, tblPiNHistorical[[#This Row],[SAMV26]]="", tblPiNHistorical[[#This Row],[SAMV26]]=0), "", tblPiNHistorical[[#This Row],[SAMV26]]-tblPiNHistorical[[#This Row],[SAMV25]])</f>
        <v>173</v>
      </c>
      <c r="V103" s="121">
        <f>IF(OR(tblPiNHistorical[[#This Row],[NUT25]]="", tblPiNHistorical[[#This Row],[NUT25]]=0, tblPiNHistorical[[#This Row],[NUT26]]="", tblPiNHistorical[[#This Row],[NUT26]]=0), "", tblPiNHistorical[[#This Row],[NUT26]]-tblPiNHistorical[[#This Row],[NUT25]])</f>
        <v>263.24186043923191</v>
      </c>
      <c r="W103" s="121">
        <f>IF(OR(tblPiNHistorical[[#This Row],[SAL25]]="", tblPiNHistorical[[#This Row],[SAL25]]=0, tblPiNHistorical[[#This Row],[SAL26]]="", tblPiNHistorical[[#This Row],[SAL26]]=0), "", tblPiNHistorical[[#This Row],[SAL26]]-tblPiNHistorical[[#This Row],[SAL25]])</f>
        <v>4563.5945598053495</v>
      </c>
      <c r="X103" s="121">
        <f>IF(OR(tblPiNHistorical[[#This Row],[EDU25]]="", tblPiNHistorical[[#This Row],[EDU25]]=0, tblPiNHistorical[[#This Row],[EDU26]]="", tblPiNHistorical[[#This Row],[EDU26]]=0), "", tblPiNHistorical[[#This Row],[EDU26]]-tblPiNHistorical[[#This Row],[EDU25]])</f>
        <v>100.25976120809264</v>
      </c>
      <c r="Y103" s="121">
        <f>IF(OR(tblPiNHistorical[[#This Row],[PRO25]]="", tblPiNHistorical[[#This Row],[PRO25]]=0, tblPiNHistorical[[#This Row],[PRO26]]="", tblPiNHistorical[[#This Row],[PRO26]]=0), "", tblPiNHistorical[[#This Row],[PRO26]]-tblPiNHistorical[[#This Row],[PRO25]])</f>
        <v>692.11727318508838</v>
      </c>
      <c r="Z103" s="223">
        <f>IF(OR(tblPiNHistorical[[#This Row],[ASH25]]="", tblPiNHistorical[[#This Row],[ASH25]]=0, tblPiNHistorical[[#This Row],[ASH26]]="", tblPiNHistorical[[#This Row],[ASH26]]=0), "", tblPiNHistorical[[#This Row],[ASH26]]-tblPiNHistorical[[#This Row],[ASH25]])</f>
        <v>5156.5999999999985</v>
      </c>
      <c r="AA10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v>
      </c>
      <c r="AB10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10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10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10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103"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0.3</v>
      </c>
    </row>
    <row r="104" spans="1:32">
      <c r="A10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VenezolanosVE1001</v>
      </c>
      <c r="B104" s="105" t="s">
        <v>306</v>
      </c>
      <c r="C104" s="104" t="s">
        <v>307</v>
      </c>
      <c r="D104" s="119" t="s">
        <v>308</v>
      </c>
      <c r="E104" s="104" t="s">
        <v>309</v>
      </c>
      <c r="F104" s="119"/>
      <c r="G104" s="102">
        <v>26655</v>
      </c>
      <c r="H104" s="102" t="s">
        <v>102</v>
      </c>
      <c r="I104" s="206">
        <v>2666</v>
      </c>
      <c r="J104" s="120">
        <v>2784</v>
      </c>
      <c r="K104" s="207">
        <v>6939.5180510837126</v>
      </c>
      <c r="L104" s="207">
        <v>7854.8172582593706</v>
      </c>
      <c r="M104" s="207">
        <v>8094.0766535535258</v>
      </c>
      <c r="N104" s="298">
        <v>15993</v>
      </c>
      <c r="O104" s="114">
        <f>tblPiNAnalysis[[#This Row],[SAMV]]</f>
        <v>4964</v>
      </c>
      <c r="P104" s="115">
        <f>tblPiNAnalysis[[#This Row],[NUT]]</f>
        <v>1808.2568163481376</v>
      </c>
      <c r="Q104" s="115">
        <f>tblPiNAnalysis[[#This Row],[SAL]]</f>
        <v>20840.04</v>
      </c>
      <c r="R104" s="115">
        <f>tblPiNAnalysis[[#This Row],[EDU]]</f>
        <v>6752.5322016719847</v>
      </c>
      <c r="S104" s="115">
        <f>tblPiNAnalysis[[#This Row],[PRO]]</f>
        <v>9550.5968975834294</v>
      </c>
      <c r="T104" s="116">
        <f>tblPiNAnalysis[[#This Row],[ASH]]</f>
        <v>0</v>
      </c>
      <c r="U104" s="300">
        <f>IF(OR(tblPiNHistorical[[#This Row],[SAMV25]]="", tblPiNHistorical[[#This Row],[SAMV25]]=0, tblPiNHistorical[[#This Row],[SAMV26]]="", tblPiNHistorical[[#This Row],[SAMV26]]=0), "", tblPiNHistorical[[#This Row],[SAMV26]]-tblPiNHistorical[[#This Row],[SAMV25]])</f>
        <v>2298</v>
      </c>
      <c r="V104" s="121">
        <f>IF(OR(tblPiNHistorical[[#This Row],[NUT25]]="", tblPiNHistorical[[#This Row],[NUT25]]=0, tblPiNHistorical[[#This Row],[NUT26]]="", tblPiNHistorical[[#This Row],[NUT26]]=0), "", tblPiNHistorical[[#This Row],[NUT26]]-tblPiNHistorical[[#This Row],[NUT25]])</f>
        <v>-975.74318365186241</v>
      </c>
      <c r="W104" s="121">
        <f>IF(OR(tblPiNHistorical[[#This Row],[SAL25]]="", tblPiNHistorical[[#This Row],[SAL25]]=0, tblPiNHistorical[[#This Row],[SAL26]]="", tblPiNHistorical[[#This Row],[SAL26]]=0), "", tblPiNHistorical[[#This Row],[SAL26]]-tblPiNHistorical[[#This Row],[SAL25]])</f>
        <v>13900.521948916288</v>
      </c>
      <c r="X104" s="121">
        <f>IF(OR(tblPiNHistorical[[#This Row],[EDU25]]="", tblPiNHistorical[[#This Row],[EDU25]]=0, tblPiNHistorical[[#This Row],[EDU26]]="", tblPiNHistorical[[#This Row],[EDU26]]=0), "", tblPiNHistorical[[#This Row],[EDU26]]-tblPiNHistorical[[#This Row],[EDU25]])</f>
        <v>-1102.285056587386</v>
      </c>
      <c r="Y104" s="121">
        <f>IF(OR(tblPiNHistorical[[#This Row],[PRO25]]="", tblPiNHistorical[[#This Row],[PRO25]]=0, tblPiNHistorical[[#This Row],[PRO26]]="", tblPiNHistorical[[#This Row],[PRO26]]=0), "", tblPiNHistorical[[#This Row],[PRO26]]-tblPiNHistorical[[#This Row],[PRO25]])</f>
        <v>1456.5202440299036</v>
      </c>
      <c r="Z104" s="223" t="str">
        <f>IF(OR(tblPiNHistorical[[#This Row],[ASH25]]="", tblPiNHistorical[[#This Row],[ASH25]]=0, tblPiNHistorical[[#This Row],[ASH26]]="", tblPiNHistorical[[#This Row],[ASH26]]=0), "", tblPiNHistorical[[#This Row],[ASH26]]-tblPiNHistorical[[#This Row],[ASH25]])</f>
        <v/>
      </c>
      <c r="AA10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10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-0.4</v>
      </c>
      <c r="AC10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v>
      </c>
      <c r="AD10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10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0.2</v>
      </c>
      <c r="AF10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15993</v>
      </c>
    </row>
    <row r="105" spans="1:32">
      <c r="A10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VenezolanosVE1002</v>
      </c>
      <c r="B105" s="105" t="s">
        <v>306</v>
      </c>
      <c r="C105" s="104" t="s">
        <v>307</v>
      </c>
      <c r="D105" s="119" t="s">
        <v>310</v>
      </c>
      <c r="E105" s="104" t="s">
        <v>311</v>
      </c>
      <c r="F105" s="119"/>
      <c r="G105" s="102">
        <v>29555</v>
      </c>
      <c r="H105" s="102" t="s">
        <v>102</v>
      </c>
      <c r="I105" s="206">
        <v>2956</v>
      </c>
      <c r="J105" s="120">
        <v>1333</v>
      </c>
      <c r="K105" s="207">
        <v>7694.5027391085268</v>
      </c>
      <c r="L105" s="207">
        <v>3953.6812312095317</v>
      </c>
      <c r="M105" s="207">
        <v>11129.355398636098</v>
      </c>
      <c r="N105" s="298">
        <v>14778</v>
      </c>
      <c r="O105" s="114">
        <f>tblPiNAnalysis[[#This Row],[SAMV]]</f>
        <v>9398</v>
      </c>
      <c r="P105" s="115">
        <f>tblPiNAnalysis[[#This Row],[NUT]]</f>
        <v>1131.4833189646201</v>
      </c>
      <c r="Q105" s="115">
        <f>tblPiNAnalysis[[#This Row],[SAL]]</f>
        <v>12477.89</v>
      </c>
      <c r="R105" s="115">
        <f>tblPiNAnalysis[[#This Row],[EDU]]</f>
        <v>2675.0067699306851</v>
      </c>
      <c r="S105" s="115">
        <f>tblPiNAnalysis[[#This Row],[PRO]]</f>
        <v>6799.5777261748708</v>
      </c>
      <c r="T105" s="116">
        <f>tblPiNAnalysis[[#This Row],[ASH]]</f>
        <v>20511.599999999999</v>
      </c>
      <c r="U105" s="300">
        <f>IF(OR(tblPiNHistorical[[#This Row],[SAMV25]]="", tblPiNHistorical[[#This Row],[SAMV25]]=0, tblPiNHistorical[[#This Row],[SAMV26]]="", tblPiNHistorical[[#This Row],[SAMV26]]=0), "", tblPiNHistorical[[#This Row],[SAMV26]]-tblPiNHistorical[[#This Row],[SAMV25]])</f>
        <v>6442</v>
      </c>
      <c r="V105" s="121">
        <f>IF(OR(tblPiNHistorical[[#This Row],[NUT25]]="", tblPiNHistorical[[#This Row],[NUT25]]=0, tblPiNHistorical[[#This Row],[NUT26]]="", tblPiNHistorical[[#This Row],[NUT26]]=0), "", tblPiNHistorical[[#This Row],[NUT26]]-tblPiNHistorical[[#This Row],[NUT25]])</f>
        <v>-201.51668103537986</v>
      </c>
      <c r="W105" s="121">
        <f>IF(OR(tblPiNHistorical[[#This Row],[SAL25]]="", tblPiNHistorical[[#This Row],[SAL25]]=0, tblPiNHistorical[[#This Row],[SAL26]]="", tblPiNHistorical[[#This Row],[SAL26]]=0), "", tblPiNHistorical[[#This Row],[SAL26]]-tblPiNHistorical[[#This Row],[SAL25]])</f>
        <v>4783.3872608914726</v>
      </c>
      <c r="X105" s="121">
        <f>IF(OR(tblPiNHistorical[[#This Row],[EDU25]]="", tblPiNHistorical[[#This Row],[EDU25]]=0, tblPiNHistorical[[#This Row],[EDU26]]="", tblPiNHistorical[[#This Row],[EDU26]]=0), "", tblPiNHistorical[[#This Row],[EDU26]]-tblPiNHistorical[[#This Row],[EDU25]])</f>
        <v>-1278.6744612788466</v>
      </c>
      <c r="Y105" s="121">
        <f>IF(OR(tblPiNHistorical[[#This Row],[PRO25]]="", tblPiNHistorical[[#This Row],[PRO25]]=0, tblPiNHistorical[[#This Row],[PRO26]]="", tblPiNHistorical[[#This Row],[PRO26]]=0), "", tblPiNHistorical[[#This Row],[PRO26]]-tblPiNHistorical[[#This Row],[PRO25]])</f>
        <v>-4329.7776724612277</v>
      </c>
      <c r="Z105" s="223">
        <f>IF(OR(tblPiNHistorical[[#This Row],[ASH25]]="", tblPiNHistorical[[#This Row],[ASH25]]=0, tblPiNHistorical[[#This Row],[ASH26]]="", tblPiNHistorical[[#This Row],[ASH26]]=0), "", tblPiNHistorical[[#This Row],[ASH26]]-tblPiNHistorical[[#This Row],[ASH25]])</f>
        <v>5733.5999999999985</v>
      </c>
      <c r="AA10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2.2000000000000002</v>
      </c>
      <c r="AB10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10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10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10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105"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0.4</v>
      </c>
    </row>
    <row r="106" spans="1:32">
      <c r="A10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VenezolanosVE1003</v>
      </c>
      <c r="B106" s="105" t="s">
        <v>306</v>
      </c>
      <c r="C106" s="104" t="s">
        <v>307</v>
      </c>
      <c r="D106" s="119" t="s">
        <v>312</v>
      </c>
      <c r="E106" s="104" t="s">
        <v>313</v>
      </c>
      <c r="F106" s="119"/>
      <c r="G106" s="102">
        <v>6438</v>
      </c>
      <c r="H106" s="102" t="s">
        <v>102</v>
      </c>
      <c r="I106" s="206">
        <v>644</v>
      </c>
      <c r="J106" s="120">
        <v>538</v>
      </c>
      <c r="K106" s="207">
        <v>1676.4226930944665</v>
      </c>
      <c r="L106" s="207">
        <v>1974.4351016173155</v>
      </c>
      <c r="M106" s="207">
        <v>3147.2172165288157</v>
      </c>
      <c r="N106" s="298">
        <v>3219</v>
      </c>
      <c r="O106" s="114">
        <f>tblPiNAnalysis[[#This Row],[SAMV]]</f>
        <v>9366</v>
      </c>
      <c r="P106" s="115">
        <f>tblPiNAnalysis[[#This Row],[NUT]]</f>
        <v>2478.0140410177223</v>
      </c>
      <c r="Q106" s="115">
        <f>tblPiNAnalysis[[#This Row],[SAL]]</f>
        <v>20232.314999999999</v>
      </c>
      <c r="R106" s="115">
        <f>tblPiNAnalysis[[#This Row],[EDU]]</f>
        <v>6118.5979452721185</v>
      </c>
      <c r="S106" s="115">
        <f>tblPiNAnalysis[[#This Row],[PRO]]</f>
        <v>6705.0535463466149</v>
      </c>
      <c r="T106" s="116">
        <f>tblPiNAnalysis[[#This Row],[ASH]]</f>
        <v>0</v>
      </c>
      <c r="U106" s="300">
        <f>IF(OR(tblPiNHistorical[[#This Row],[SAMV25]]="", tblPiNHistorical[[#This Row],[SAMV25]]=0, tblPiNHistorical[[#This Row],[SAMV26]]="", tblPiNHistorical[[#This Row],[SAMV26]]=0), "", tblPiNHistorical[[#This Row],[SAMV26]]-tblPiNHistorical[[#This Row],[SAMV25]])</f>
        <v>8722</v>
      </c>
      <c r="V106" s="121">
        <f>IF(OR(tblPiNHistorical[[#This Row],[NUT25]]="", tblPiNHistorical[[#This Row],[NUT25]]=0, tblPiNHistorical[[#This Row],[NUT26]]="", tblPiNHistorical[[#This Row],[NUT26]]=0), "", tblPiNHistorical[[#This Row],[NUT26]]-tblPiNHistorical[[#This Row],[NUT25]])</f>
        <v>1940.0140410177223</v>
      </c>
      <c r="W106" s="121">
        <f>IF(OR(tblPiNHistorical[[#This Row],[SAL25]]="", tblPiNHistorical[[#This Row],[SAL25]]=0, tblPiNHistorical[[#This Row],[SAL26]]="", tblPiNHistorical[[#This Row],[SAL26]]=0), "", tblPiNHistorical[[#This Row],[SAL26]]-tblPiNHistorical[[#This Row],[SAL25]])</f>
        <v>18555.892306905531</v>
      </c>
      <c r="X106" s="121">
        <f>IF(OR(tblPiNHistorical[[#This Row],[EDU25]]="", tblPiNHistorical[[#This Row],[EDU25]]=0, tblPiNHistorical[[#This Row],[EDU26]]="", tblPiNHistorical[[#This Row],[EDU26]]=0), "", tblPiNHistorical[[#This Row],[EDU26]]-tblPiNHistorical[[#This Row],[EDU25]])</f>
        <v>4144.1628436548035</v>
      </c>
      <c r="Y106" s="121">
        <f>IF(OR(tblPiNHistorical[[#This Row],[PRO25]]="", tblPiNHistorical[[#This Row],[PRO25]]=0, tblPiNHistorical[[#This Row],[PRO26]]="", tblPiNHistorical[[#This Row],[PRO26]]=0), "", tblPiNHistorical[[#This Row],[PRO26]]-tblPiNHistorical[[#This Row],[PRO25]])</f>
        <v>3557.8363298177992</v>
      </c>
      <c r="Z106" s="223" t="str">
        <f>IF(OR(tblPiNHistorical[[#This Row],[ASH25]]="", tblPiNHistorical[[#This Row],[ASH25]]=0, tblPiNHistorical[[#This Row],[ASH26]]="", tblPiNHistorical[[#This Row],[ASH26]]=0), "", tblPiNHistorical[[#This Row],[ASH26]]-tblPiNHistorical[[#This Row],[ASH25]])</f>
        <v/>
      </c>
      <c r="AA10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13.5</v>
      </c>
      <c r="AB10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3.6</v>
      </c>
      <c r="AC10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11.1</v>
      </c>
      <c r="AD10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2.1</v>
      </c>
      <c r="AE10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1.1000000000000001</v>
      </c>
      <c r="AF10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3219</v>
      </c>
    </row>
    <row r="107" spans="1:32">
      <c r="A10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VenezolanosVE1004</v>
      </c>
      <c r="B107" s="105" t="s">
        <v>306</v>
      </c>
      <c r="C107" s="104" t="s">
        <v>307</v>
      </c>
      <c r="D107" s="119" t="s">
        <v>314</v>
      </c>
      <c r="E107" s="104" t="s">
        <v>315</v>
      </c>
      <c r="F107" s="119"/>
      <c r="G107" s="102">
        <v>102877</v>
      </c>
      <c r="H107" s="102" t="s">
        <v>102</v>
      </c>
      <c r="I107" s="206">
        <v>10288</v>
      </c>
      <c r="J107" s="120">
        <v>4998</v>
      </c>
      <c r="K107" s="207">
        <v>26785.112934465607</v>
      </c>
      <c r="L107" s="207">
        <v>12152.934908121351</v>
      </c>
      <c r="M107" s="207">
        <v>11129.355398636098</v>
      </c>
      <c r="N107" s="298">
        <v>20575</v>
      </c>
      <c r="O107" s="114">
        <f>tblPiNAnalysis[[#This Row],[SAMV]]</f>
        <v>13011</v>
      </c>
      <c r="P107" s="115">
        <f>tblPiNAnalysis[[#This Row],[NUT]]</f>
        <v>2518.6704656282359</v>
      </c>
      <c r="Q107" s="115">
        <f>tblPiNAnalysis[[#This Row],[SAL]]</f>
        <v>20112.96</v>
      </c>
      <c r="R107" s="115">
        <f>tblPiNAnalysis[[#This Row],[EDU]]</f>
        <v>2239.9969085969688</v>
      </c>
      <c r="S107" s="115">
        <f>tblPiNAnalysis[[#This Row],[PRO]]</f>
        <v>10992.569900427487</v>
      </c>
      <c r="T107" s="116">
        <f>tblPiNAnalysis[[#This Row],[ASH]]</f>
        <v>0</v>
      </c>
      <c r="U107" s="300">
        <f>IF(OR(tblPiNHistorical[[#This Row],[SAMV25]]="", tblPiNHistorical[[#This Row],[SAMV25]]=0, tblPiNHistorical[[#This Row],[SAMV26]]="", tblPiNHistorical[[#This Row],[SAMV26]]=0), "", tblPiNHistorical[[#This Row],[SAMV26]]-tblPiNHistorical[[#This Row],[SAMV25]])</f>
        <v>2723</v>
      </c>
      <c r="V107" s="121">
        <f>IF(OR(tblPiNHistorical[[#This Row],[NUT25]]="", tblPiNHistorical[[#This Row],[NUT25]]=0, tblPiNHistorical[[#This Row],[NUT26]]="", tblPiNHistorical[[#This Row],[NUT26]]=0), "", tblPiNHistorical[[#This Row],[NUT26]]-tblPiNHistorical[[#This Row],[NUT25]])</f>
        <v>-2479.3295343717641</v>
      </c>
      <c r="W107" s="121">
        <f>IF(OR(tblPiNHistorical[[#This Row],[SAL25]]="", tblPiNHistorical[[#This Row],[SAL25]]=0, tblPiNHistorical[[#This Row],[SAL26]]="", tblPiNHistorical[[#This Row],[SAL26]]=0), "", tblPiNHistorical[[#This Row],[SAL26]]-tblPiNHistorical[[#This Row],[SAL25]])</f>
        <v>-6672.1529344656083</v>
      </c>
      <c r="X107" s="121">
        <f>IF(OR(tblPiNHistorical[[#This Row],[EDU25]]="", tblPiNHistorical[[#This Row],[EDU25]]=0, tblPiNHistorical[[#This Row],[EDU26]]="", tblPiNHistorical[[#This Row],[EDU26]]=0), "", tblPiNHistorical[[#This Row],[EDU26]]-tblPiNHistorical[[#This Row],[EDU25]])</f>
        <v>-9912.9379995243835</v>
      </c>
      <c r="Y107" s="121">
        <f>IF(OR(tblPiNHistorical[[#This Row],[PRO25]]="", tblPiNHistorical[[#This Row],[PRO25]]=0, tblPiNHistorical[[#This Row],[PRO26]]="", tblPiNHistorical[[#This Row],[PRO26]]=0), "", tblPiNHistorical[[#This Row],[PRO26]]-tblPiNHistorical[[#This Row],[PRO25]])</f>
        <v>-136.7854982086119</v>
      </c>
      <c r="Z107" s="223" t="str">
        <f>IF(OR(tblPiNHistorical[[#This Row],[ASH25]]="", tblPiNHistorical[[#This Row],[ASH25]]=0, tblPiNHistorical[[#This Row],[ASH26]]="", tblPiNHistorical[[#This Row],[ASH26]]=0), "", tblPiNHistorical[[#This Row],[ASH26]]-tblPiNHistorical[[#This Row],[ASH25]])</f>
        <v/>
      </c>
      <c r="AA10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0.3</v>
      </c>
      <c r="AB10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10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10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10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v>
      </c>
      <c r="AF10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20575</v>
      </c>
    </row>
    <row r="108" spans="1:32">
      <c r="A10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VenezolanosVE1101</v>
      </c>
      <c r="B108" s="105" t="s">
        <v>316</v>
      </c>
      <c r="C108" s="104" t="s">
        <v>317</v>
      </c>
      <c r="D108" s="119" t="s">
        <v>318</v>
      </c>
      <c r="E108" s="104" t="s">
        <v>319</v>
      </c>
      <c r="F108" s="119"/>
      <c r="G108" s="102">
        <v>19045</v>
      </c>
      <c r="H108" s="102" t="s">
        <v>102</v>
      </c>
      <c r="I108" s="206">
        <v>3352</v>
      </c>
      <c r="J108" s="120">
        <v>764</v>
      </c>
      <c r="K108" s="207">
        <v>4958.9217369608778</v>
      </c>
      <c r="L108" s="207">
        <v>1603.2427928598399</v>
      </c>
      <c r="M108" s="207">
        <v>9310.150961290974</v>
      </c>
      <c r="N108" s="298">
        <v>0</v>
      </c>
      <c r="O108" s="114">
        <f>tblPiNAnalysis[[#This Row],[SAMV]]</f>
        <v>3026</v>
      </c>
      <c r="P108" s="115">
        <f>tblPiNAnalysis[[#This Row],[NUT]]</f>
        <v>3417.4794151314604</v>
      </c>
      <c r="Q108" s="115">
        <f>tblPiNAnalysis[[#This Row],[SAL]]</f>
        <v>12100</v>
      </c>
      <c r="R108" s="115">
        <f>tblPiNAnalysis[[#This Row],[EDU]]</f>
        <v>386.41111982904505</v>
      </c>
      <c r="S108" s="115">
        <f>tblPiNAnalysis[[#This Row],[PRO]]</f>
        <v>5996.3366071694882</v>
      </c>
      <c r="T108" s="116">
        <f>tblPiNAnalysis[[#This Row],[ASH]]</f>
        <v>19976</v>
      </c>
      <c r="U108" s="300">
        <f>IF(OR(tblPiNHistorical[[#This Row],[SAMV25]]="", tblPiNHistorical[[#This Row],[SAMV25]]=0, tblPiNHistorical[[#This Row],[SAMV26]]="", tblPiNHistorical[[#This Row],[SAMV26]]=0), "", tblPiNHistorical[[#This Row],[SAMV26]]-tblPiNHistorical[[#This Row],[SAMV25]])</f>
        <v>-326</v>
      </c>
      <c r="V108" s="121">
        <f>IF(OR(tblPiNHistorical[[#This Row],[NUT25]]="", tblPiNHistorical[[#This Row],[NUT25]]=0, tblPiNHistorical[[#This Row],[NUT26]]="", tblPiNHistorical[[#This Row],[NUT26]]=0), "", tblPiNHistorical[[#This Row],[NUT26]]-tblPiNHistorical[[#This Row],[NUT25]])</f>
        <v>2653.4794151314604</v>
      </c>
      <c r="W108" s="121">
        <f>IF(OR(tblPiNHistorical[[#This Row],[SAL25]]="", tblPiNHistorical[[#This Row],[SAL25]]=0, tblPiNHistorical[[#This Row],[SAL26]]="", tblPiNHistorical[[#This Row],[SAL26]]=0), "", tblPiNHistorical[[#This Row],[SAL26]]-tblPiNHistorical[[#This Row],[SAL25]])</f>
        <v>7141.0782630391222</v>
      </c>
      <c r="X108" s="121">
        <f>IF(OR(tblPiNHistorical[[#This Row],[EDU25]]="", tblPiNHistorical[[#This Row],[EDU25]]=0, tblPiNHistorical[[#This Row],[EDU26]]="", tblPiNHistorical[[#This Row],[EDU26]]=0), "", tblPiNHistorical[[#This Row],[EDU26]]-tblPiNHistorical[[#This Row],[EDU25]])</f>
        <v>-1216.8316730307949</v>
      </c>
      <c r="Y108" s="121">
        <f>IF(OR(tblPiNHistorical[[#This Row],[PRO25]]="", tblPiNHistorical[[#This Row],[PRO25]]=0, tblPiNHistorical[[#This Row],[PRO26]]="", tblPiNHistorical[[#This Row],[PRO26]]=0), "", tblPiNHistorical[[#This Row],[PRO26]]-tblPiNHistorical[[#This Row],[PRO25]])</f>
        <v>-3313.8143541214858</v>
      </c>
      <c r="Z108" s="223" t="str">
        <f>IF(OR(tblPiNHistorical[[#This Row],[ASH25]]="", tblPiNHistorical[[#This Row],[ASH25]]=0, tblPiNHistorical[[#This Row],[ASH26]]="", tblPiNHistorical[[#This Row],[ASH26]]=0), "", tblPiNHistorical[[#This Row],[ASH26]]-tblPiNHistorical[[#This Row],[ASH25]])</f>
        <v/>
      </c>
      <c r="AA10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10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3.5</v>
      </c>
      <c r="AC10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1.4</v>
      </c>
      <c r="AD10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10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10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19976</v>
      </c>
    </row>
    <row r="109" spans="1:32">
      <c r="A10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VenezolanosVE1102</v>
      </c>
      <c r="B109" s="105" t="s">
        <v>316</v>
      </c>
      <c r="C109" s="104" t="s">
        <v>317</v>
      </c>
      <c r="D109" s="119" t="s">
        <v>180</v>
      </c>
      <c r="E109" s="104" t="s">
        <v>320</v>
      </c>
      <c r="F109" s="119"/>
      <c r="G109" s="102">
        <v>8539</v>
      </c>
      <c r="H109" s="102" t="s">
        <v>102</v>
      </c>
      <c r="I109" s="206">
        <v>1503</v>
      </c>
      <c r="J109" s="120">
        <v>349</v>
      </c>
      <c r="K109" s="207">
        <v>2223.3407348132282</v>
      </c>
      <c r="L109" s="207">
        <v>574.61770829632633</v>
      </c>
      <c r="M109" s="207">
        <v>3035.8482659142651</v>
      </c>
      <c r="N109" s="298">
        <v>1708</v>
      </c>
      <c r="O109" s="114">
        <f>tblPiNAnalysis[[#This Row],[SAMV]]</f>
        <v>0</v>
      </c>
      <c r="P109" s="115">
        <f>tblPiNAnalysis[[#This Row],[NUT]]</f>
        <v>2216.227866304348</v>
      </c>
      <c r="Q109" s="115">
        <f>tblPiNAnalysis[[#This Row],[SAL]]</f>
        <v>19641.38</v>
      </c>
      <c r="R109" s="115">
        <f>tblPiNAnalysis[[#This Row],[EDU]]</f>
        <v>7118.3492301004626</v>
      </c>
      <c r="S109" s="115">
        <f>tblPiNAnalysis[[#This Row],[PRO]]</f>
        <v>12825.691839484609</v>
      </c>
      <c r="T109" s="116">
        <f>tblPiNAnalysis[[#This Row],[ASH]]</f>
        <v>7264.62</v>
      </c>
      <c r="U109" s="300" t="str">
        <f>IF(OR(tblPiNHistorical[[#This Row],[SAMV25]]="", tblPiNHistorical[[#This Row],[SAMV25]]=0, tblPiNHistorical[[#This Row],[SAMV26]]="", tblPiNHistorical[[#This Row],[SAMV26]]=0), "", tblPiNHistorical[[#This Row],[SAMV26]]-tblPiNHistorical[[#This Row],[SAMV25]])</f>
        <v/>
      </c>
      <c r="V109" s="121">
        <f>IF(OR(tblPiNHistorical[[#This Row],[NUT25]]="", tblPiNHistorical[[#This Row],[NUT25]]=0, tblPiNHistorical[[#This Row],[NUT26]]="", tblPiNHistorical[[#This Row],[NUT26]]=0), "", tblPiNHistorical[[#This Row],[NUT26]]-tblPiNHistorical[[#This Row],[NUT25]])</f>
        <v>1867.227866304348</v>
      </c>
      <c r="W109" s="121">
        <f>IF(OR(tblPiNHistorical[[#This Row],[SAL25]]="", tblPiNHistorical[[#This Row],[SAL25]]=0, tblPiNHistorical[[#This Row],[SAL26]]="", tblPiNHistorical[[#This Row],[SAL26]]=0), "", tblPiNHistorical[[#This Row],[SAL26]]-tblPiNHistorical[[#This Row],[SAL25]])</f>
        <v>17418.039265186773</v>
      </c>
      <c r="X109" s="121">
        <f>IF(OR(tblPiNHistorical[[#This Row],[EDU25]]="", tblPiNHistorical[[#This Row],[EDU25]]=0, tblPiNHistorical[[#This Row],[EDU26]]="", tblPiNHistorical[[#This Row],[EDU26]]=0), "", tblPiNHistorical[[#This Row],[EDU26]]-tblPiNHistorical[[#This Row],[EDU25]])</f>
        <v>6543.7315218041367</v>
      </c>
      <c r="Y109" s="121">
        <f>IF(OR(tblPiNHistorical[[#This Row],[PRO25]]="", tblPiNHistorical[[#This Row],[PRO25]]=0, tblPiNHistorical[[#This Row],[PRO26]]="", tblPiNHistorical[[#This Row],[PRO26]]=0), "", tblPiNHistorical[[#This Row],[PRO26]]-tblPiNHistorical[[#This Row],[PRO25]])</f>
        <v>9789.8435735703442</v>
      </c>
      <c r="Z109" s="223">
        <f>IF(OR(tblPiNHistorical[[#This Row],[ASH25]]="", tblPiNHistorical[[#This Row],[ASH25]]=0, tblPiNHistorical[[#This Row],[ASH26]]="", tblPiNHistorical[[#This Row],[ASH26]]=0), "", tblPiNHistorical[[#This Row],[ASH26]]-tblPiNHistorical[[#This Row],[ASH25]])</f>
        <v>5556.62</v>
      </c>
      <c r="AA109" s="227" t="str">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NoPIN26 1503</v>
      </c>
      <c r="AB10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5.4</v>
      </c>
      <c r="AC10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7.8</v>
      </c>
      <c r="AD10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11.4</v>
      </c>
      <c r="AE10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3.2</v>
      </c>
      <c r="AF109"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3.3</v>
      </c>
    </row>
    <row r="110" spans="1:32">
      <c r="A11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VenezolanosVE1103</v>
      </c>
      <c r="B110" s="105" t="s">
        <v>316</v>
      </c>
      <c r="C110" s="104" t="s">
        <v>317</v>
      </c>
      <c r="D110" s="119" t="s">
        <v>321</v>
      </c>
      <c r="E110" s="104" t="s">
        <v>322</v>
      </c>
      <c r="F110" s="119"/>
      <c r="G110" s="102">
        <v>22897</v>
      </c>
      <c r="H110" s="102" t="s">
        <v>102</v>
      </c>
      <c r="I110" s="206">
        <v>4030</v>
      </c>
      <c r="J110" s="120">
        <v>953</v>
      </c>
      <c r="K110" s="207">
        <v>5961.6048134452749</v>
      </c>
      <c r="L110" s="207">
        <v>1212.9981324417388</v>
      </c>
      <c r="M110" s="207">
        <v>7059.7713414850014</v>
      </c>
      <c r="N110" s="298">
        <v>0</v>
      </c>
      <c r="O110" s="114">
        <f>tblPiNAnalysis[[#This Row],[SAMV]]</f>
        <v>2005</v>
      </c>
      <c r="P110" s="115">
        <f>tblPiNAnalysis[[#This Row],[NUT]]</f>
        <v>1528.0685771064743</v>
      </c>
      <c r="Q110" s="115">
        <f>tblPiNAnalysis[[#This Row],[SAL]]</f>
        <v>19300.105</v>
      </c>
      <c r="R110" s="115">
        <f>tblPiNAnalysis[[#This Row],[EDU]]</f>
        <v>6999.6638382914334</v>
      </c>
      <c r="S110" s="115">
        <f>tblPiNAnalysis[[#This Row],[PRO]]</f>
        <v>12649.74182014386</v>
      </c>
      <c r="T110" s="116">
        <f>tblPiNAnalysis[[#This Row],[ASH]]</f>
        <v>3569.1975000000002</v>
      </c>
      <c r="U110" s="300">
        <f>IF(OR(tblPiNHistorical[[#This Row],[SAMV25]]="", tblPiNHistorical[[#This Row],[SAMV25]]=0, tblPiNHistorical[[#This Row],[SAMV26]]="", tblPiNHistorical[[#This Row],[SAMV26]]=0), "", tblPiNHistorical[[#This Row],[SAMV26]]-tblPiNHistorical[[#This Row],[SAMV25]])</f>
        <v>-2025</v>
      </c>
      <c r="V110" s="121">
        <f>IF(OR(tblPiNHistorical[[#This Row],[NUT25]]="", tblPiNHistorical[[#This Row],[NUT25]]=0, tblPiNHistorical[[#This Row],[NUT26]]="", tblPiNHistorical[[#This Row],[NUT26]]=0), "", tblPiNHistorical[[#This Row],[NUT26]]-tblPiNHistorical[[#This Row],[NUT25]])</f>
        <v>575.06857710647432</v>
      </c>
      <c r="W110" s="121">
        <f>IF(OR(tblPiNHistorical[[#This Row],[SAL25]]="", tblPiNHistorical[[#This Row],[SAL25]]=0, tblPiNHistorical[[#This Row],[SAL26]]="", tblPiNHistorical[[#This Row],[SAL26]]=0), "", tblPiNHistorical[[#This Row],[SAL26]]-tblPiNHistorical[[#This Row],[SAL25]])</f>
        <v>13338.500186554724</v>
      </c>
      <c r="X110" s="121">
        <f>IF(OR(tblPiNHistorical[[#This Row],[EDU25]]="", tblPiNHistorical[[#This Row],[EDU25]]=0, tblPiNHistorical[[#This Row],[EDU26]]="", tblPiNHistorical[[#This Row],[EDU26]]=0), "", tblPiNHistorical[[#This Row],[EDU26]]-tblPiNHistorical[[#This Row],[EDU25]])</f>
        <v>5786.6657058496949</v>
      </c>
      <c r="Y110" s="121">
        <f>IF(OR(tblPiNHistorical[[#This Row],[PRO25]]="", tblPiNHistorical[[#This Row],[PRO25]]=0, tblPiNHistorical[[#This Row],[PRO26]]="", tblPiNHistorical[[#This Row],[PRO26]]=0), "", tblPiNHistorical[[#This Row],[PRO26]]-tblPiNHistorical[[#This Row],[PRO25]])</f>
        <v>5589.9704786588582</v>
      </c>
      <c r="Z110" s="223" t="str">
        <f>IF(OR(tblPiNHistorical[[#This Row],[ASH25]]="", tblPiNHistorical[[#This Row],[ASH25]]=0, tblPiNHistorical[[#This Row],[ASH26]]="", tblPiNHistorical[[#This Row],[ASH26]]=0), "", tblPiNHistorical[[#This Row],[ASH26]]-tblPiNHistorical[[#This Row],[ASH25]])</f>
        <v/>
      </c>
      <c r="AA11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11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11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2.2000000000000002</v>
      </c>
      <c r="AD11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4.8</v>
      </c>
      <c r="AE11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11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3569.1975</v>
      </c>
    </row>
    <row r="111" spans="1:32">
      <c r="A11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VenezolanosVE1104</v>
      </c>
      <c r="B111" s="105" t="s">
        <v>316</v>
      </c>
      <c r="C111" s="104" t="s">
        <v>317</v>
      </c>
      <c r="D111" s="119" t="s">
        <v>323</v>
      </c>
      <c r="E111" s="104" t="s">
        <v>324</v>
      </c>
      <c r="F111" s="119"/>
      <c r="G111" s="102">
        <v>10874</v>
      </c>
      <c r="H111" s="102" t="s">
        <v>102</v>
      </c>
      <c r="I111" s="206">
        <v>1914</v>
      </c>
      <c r="J111" s="120">
        <v>442</v>
      </c>
      <c r="K111" s="207">
        <v>2830.6971833161292</v>
      </c>
      <c r="L111" s="207">
        <v>1064.4189950303371</v>
      </c>
      <c r="M111" s="207">
        <v>5315.7564480482042</v>
      </c>
      <c r="N111" s="298">
        <v>2175</v>
      </c>
      <c r="O111" s="114">
        <f>tblPiNAnalysis[[#This Row],[SAMV]]</f>
        <v>19152</v>
      </c>
      <c r="P111" s="115">
        <f>tblPiNAnalysis[[#This Row],[NUT]]</f>
        <v>2284.2050741202611</v>
      </c>
      <c r="Q111" s="115">
        <f>tblPiNAnalysis[[#This Row],[SAL]]</f>
        <v>18093.05</v>
      </c>
      <c r="R111" s="115">
        <f>tblPiNAnalysis[[#This Row],[EDU]]</f>
        <v>4021.2830935506327</v>
      </c>
      <c r="S111" s="115">
        <f>tblPiNAnalysis[[#This Row],[PRO]]</f>
        <v>11907.221042961875</v>
      </c>
      <c r="T111" s="116">
        <f>tblPiNAnalysis[[#This Row],[ASH]]</f>
        <v>0</v>
      </c>
      <c r="U111" s="300">
        <f>IF(OR(tblPiNHistorical[[#This Row],[SAMV25]]="", tblPiNHistorical[[#This Row],[SAMV25]]=0, tblPiNHistorical[[#This Row],[SAMV26]]="", tblPiNHistorical[[#This Row],[SAMV26]]=0), "", tblPiNHistorical[[#This Row],[SAMV26]]-tblPiNHistorical[[#This Row],[SAMV25]])</f>
        <v>17238</v>
      </c>
      <c r="V111" s="121">
        <f>IF(OR(tblPiNHistorical[[#This Row],[NUT25]]="", tblPiNHistorical[[#This Row],[NUT25]]=0, tblPiNHistorical[[#This Row],[NUT26]]="", tblPiNHistorical[[#This Row],[NUT26]]=0), "", tblPiNHistorical[[#This Row],[NUT26]]-tblPiNHistorical[[#This Row],[NUT25]])</f>
        <v>1842.2050741202611</v>
      </c>
      <c r="W111" s="121">
        <f>IF(OR(tblPiNHistorical[[#This Row],[SAL25]]="", tblPiNHistorical[[#This Row],[SAL25]]=0, tblPiNHistorical[[#This Row],[SAL26]]="", tblPiNHistorical[[#This Row],[SAL26]]=0), "", tblPiNHistorical[[#This Row],[SAL26]]-tblPiNHistorical[[#This Row],[SAL25]])</f>
        <v>15262.35281668387</v>
      </c>
      <c r="X111" s="121">
        <f>IF(OR(tblPiNHistorical[[#This Row],[EDU25]]="", tblPiNHistorical[[#This Row],[EDU25]]=0, tblPiNHistorical[[#This Row],[EDU26]]="", tblPiNHistorical[[#This Row],[EDU26]]=0), "", tblPiNHistorical[[#This Row],[EDU26]]-tblPiNHistorical[[#This Row],[EDU25]])</f>
        <v>2956.8640985202956</v>
      </c>
      <c r="Y111" s="121">
        <f>IF(OR(tblPiNHistorical[[#This Row],[PRO25]]="", tblPiNHistorical[[#This Row],[PRO25]]=0, tblPiNHistorical[[#This Row],[PRO26]]="", tblPiNHistorical[[#This Row],[PRO26]]=0), "", tblPiNHistorical[[#This Row],[PRO26]]-tblPiNHistorical[[#This Row],[PRO25]])</f>
        <v>6591.4645949136711</v>
      </c>
      <c r="Z111" s="223" t="str">
        <f>IF(OR(tblPiNHistorical[[#This Row],[ASH25]]="", tblPiNHistorical[[#This Row],[ASH25]]=0, tblPiNHistorical[[#This Row],[ASH26]]="", tblPiNHistorical[[#This Row],[ASH26]]=0), "", tblPiNHistorical[[#This Row],[ASH26]]-tblPiNHistorical[[#This Row],[ASH25]])</f>
        <v/>
      </c>
      <c r="AA11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9</v>
      </c>
      <c r="AB11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4.2</v>
      </c>
      <c r="AC11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5.4</v>
      </c>
      <c r="AD11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2.8</v>
      </c>
      <c r="AE11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1.2</v>
      </c>
      <c r="AF11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2175</v>
      </c>
    </row>
    <row r="112" spans="1:32">
      <c r="A11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VenezolanosVE1105</v>
      </c>
      <c r="B112" s="105" t="s">
        <v>316</v>
      </c>
      <c r="C112" s="104" t="s">
        <v>317</v>
      </c>
      <c r="D112" s="119" t="s">
        <v>325</v>
      </c>
      <c r="E112" s="104" t="s">
        <v>326</v>
      </c>
      <c r="F112" s="119"/>
      <c r="G112" s="102">
        <v>239444</v>
      </c>
      <c r="H112" s="102" t="s">
        <v>102</v>
      </c>
      <c r="I112" s="206">
        <v>42142</v>
      </c>
      <c r="J112" s="120">
        <v>9568</v>
      </c>
      <c r="K112" s="207">
        <v>62341.721201062006</v>
      </c>
      <c r="L112" s="207">
        <v>16608.931423316299</v>
      </c>
      <c r="M112" s="207">
        <v>7059.7713414850014</v>
      </c>
      <c r="N112" s="298">
        <v>119722</v>
      </c>
      <c r="O112" s="114">
        <f>tblPiNAnalysis[[#This Row],[SAMV]]</f>
        <v>2869</v>
      </c>
      <c r="P112" s="115">
        <f>tblPiNAnalysis[[#This Row],[NUT]]</f>
        <v>732.2190387289229</v>
      </c>
      <c r="Q112" s="115">
        <f>tblPiNAnalysis[[#This Row],[SAL]]</f>
        <v>9800</v>
      </c>
      <c r="R112" s="115">
        <f>tblPiNAnalysis[[#This Row],[EDU]]</f>
        <v>2156.2087348994664</v>
      </c>
      <c r="S112" s="115">
        <f>tblPiNAnalysis[[#This Row],[PRO]]</f>
        <v>5675.5569677895837</v>
      </c>
      <c r="T112" s="116">
        <f>tblPiNAnalysis[[#This Row],[ASH]]</f>
        <v>19023.2</v>
      </c>
      <c r="U112" s="300">
        <f>IF(OR(tblPiNHistorical[[#This Row],[SAMV25]]="", tblPiNHistorical[[#This Row],[SAMV25]]=0, tblPiNHistorical[[#This Row],[SAMV26]]="", tblPiNHistorical[[#This Row],[SAMV26]]=0), "", tblPiNHistorical[[#This Row],[SAMV26]]-tblPiNHistorical[[#This Row],[SAMV25]])</f>
        <v>-39273</v>
      </c>
      <c r="V112" s="121">
        <f>IF(OR(tblPiNHistorical[[#This Row],[NUT25]]="", tblPiNHistorical[[#This Row],[NUT25]]=0, tblPiNHistorical[[#This Row],[NUT26]]="", tblPiNHistorical[[#This Row],[NUT26]]=0), "", tblPiNHistorical[[#This Row],[NUT26]]-tblPiNHistorical[[#This Row],[NUT25]])</f>
        <v>-8835.7809612710771</v>
      </c>
      <c r="W112" s="121">
        <f>IF(OR(tblPiNHistorical[[#This Row],[SAL25]]="", tblPiNHistorical[[#This Row],[SAL25]]=0, tblPiNHistorical[[#This Row],[SAL26]]="", tblPiNHistorical[[#This Row],[SAL26]]=0), "", tblPiNHistorical[[#This Row],[SAL26]]-tblPiNHistorical[[#This Row],[SAL25]])</f>
        <v>-52541.721201062006</v>
      </c>
      <c r="X112" s="121">
        <f>IF(OR(tblPiNHistorical[[#This Row],[EDU25]]="", tblPiNHistorical[[#This Row],[EDU25]]=0, tblPiNHistorical[[#This Row],[EDU26]]="", tblPiNHistorical[[#This Row],[EDU26]]=0), "", tblPiNHistorical[[#This Row],[EDU26]]-tblPiNHistorical[[#This Row],[EDU25]])</f>
        <v>-14452.722688416832</v>
      </c>
      <c r="Y112" s="121">
        <f>IF(OR(tblPiNHistorical[[#This Row],[PRO25]]="", tblPiNHistorical[[#This Row],[PRO25]]=0, tblPiNHistorical[[#This Row],[PRO26]]="", tblPiNHistorical[[#This Row],[PRO26]]=0), "", tblPiNHistorical[[#This Row],[PRO26]]-tblPiNHistorical[[#This Row],[PRO25]])</f>
        <v>-1384.2143736954176</v>
      </c>
      <c r="Z112" s="223">
        <f>IF(OR(tblPiNHistorical[[#This Row],[ASH25]]="", tblPiNHistorical[[#This Row],[ASH25]]=0, tblPiNHistorical[[#This Row],[ASH26]]="", tblPiNHistorical[[#This Row],[ASH26]]=0), "", tblPiNHistorical[[#This Row],[ASH26]]-tblPiNHistorical[[#This Row],[ASH25]])</f>
        <v>-100698.8</v>
      </c>
      <c r="AA11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11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11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11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1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-0.2</v>
      </c>
      <c r="AF112"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-0.8</v>
      </c>
    </row>
    <row r="113" spans="1:32">
      <c r="A11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VenezolanosVE1106</v>
      </c>
      <c r="B113" s="105" t="s">
        <v>316</v>
      </c>
      <c r="C113" s="104" t="s">
        <v>317</v>
      </c>
      <c r="D113" s="119" t="s">
        <v>327</v>
      </c>
      <c r="E113" s="104" t="s">
        <v>328</v>
      </c>
      <c r="F113" s="119"/>
      <c r="G113" s="102">
        <v>41510</v>
      </c>
      <c r="H113" s="102" t="s">
        <v>102</v>
      </c>
      <c r="I113" s="206">
        <v>7306</v>
      </c>
      <c r="J113" s="120">
        <v>1891</v>
      </c>
      <c r="K113" s="207">
        <v>10807.576085268583</v>
      </c>
      <c r="L113" s="207">
        <v>2883.7112362840166</v>
      </c>
      <c r="M113" s="207">
        <v>9707.1855945418774</v>
      </c>
      <c r="N113" s="298">
        <v>20755</v>
      </c>
      <c r="O113" s="114">
        <f>tblPiNAnalysis[[#This Row],[SAMV]]</f>
        <v>5699</v>
      </c>
      <c r="P113" s="115">
        <f>tblPiNAnalysis[[#This Row],[NUT]]</f>
        <v>1722.2307831849673</v>
      </c>
      <c r="Q113" s="115">
        <f>tblPiNAnalysis[[#This Row],[SAL]]</f>
        <v>18900</v>
      </c>
      <c r="R113" s="115">
        <f>tblPiNAnalysis[[#This Row],[EDU]]</f>
        <v>1658.9896070815421</v>
      </c>
      <c r="S113" s="115">
        <f>tblPiNAnalysis[[#This Row],[PRO]]</f>
        <v>5892.8224154022146</v>
      </c>
      <c r="T113" s="116">
        <f>tblPiNAnalysis[[#This Row],[ASH]]</f>
        <v>5539.3200000000006</v>
      </c>
      <c r="U113" s="300">
        <f>IF(OR(tblPiNHistorical[[#This Row],[SAMV25]]="", tblPiNHistorical[[#This Row],[SAMV25]]=0, tblPiNHistorical[[#This Row],[SAMV26]]="", tblPiNHistorical[[#This Row],[SAMV26]]=0), "", tblPiNHistorical[[#This Row],[SAMV26]]-tblPiNHistorical[[#This Row],[SAMV25]])</f>
        <v>-1607</v>
      </c>
      <c r="V113" s="121">
        <f>IF(OR(tblPiNHistorical[[#This Row],[NUT25]]="", tblPiNHistorical[[#This Row],[NUT25]]=0, tblPiNHistorical[[#This Row],[NUT26]]="", tblPiNHistorical[[#This Row],[NUT26]]=0), "", tblPiNHistorical[[#This Row],[NUT26]]-tblPiNHistorical[[#This Row],[NUT25]])</f>
        <v>-168.76921681503268</v>
      </c>
      <c r="W113" s="121">
        <f>IF(OR(tblPiNHistorical[[#This Row],[SAL25]]="", tblPiNHistorical[[#This Row],[SAL25]]=0, tblPiNHistorical[[#This Row],[SAL26]]="", tblPiNHistorical[[#This Row],[SAL26]]=0), "", tblPiNHistorical[[#This Row],[SAL26]]-tblPiNHistorical[[#This Row],[SAL25]])</f>
        <v>8092.4239147314165</v>
      </c>
      <c r="X113" s="121">
        <f>IF(OR(tblPiNHistorical[[#This Row],[EDU25]]="", tblPiNHistorical[[#This Row],[EDU25]]=0, tblPiNHistorical[[#This Row],[EDU26]]="", tblPiNHistorical[[#This Row],[EDU26]]=0), "", tblPiNHistorical[[#This Row],[EDU26]]-tblPiNHistorical[[#This Row],[EDU25]])</f>
        <v>-1224.7216292024746</v>
      </c>
      <c r="Y113" s="121">
        <f>IF(OR(tblPiNHistorical[[#This Row],[PRO25]]="", tblPiNHistorical[[#This Row],[PRO25]]=0, tblPiNHistorical[[#This Row],[PRO26]]="", tblPiNHistorical[[#This Row],[PRO26]]=0), "", tblPiNHistorical[[#This Row],[PRO26]]-tblPiNHistorical[[#This Row],[PRO25]])</f>
        <v>-3814.3631791396629</v>
      </c>
      <c r="Z113" s="223">
        <f>IF(OR(tblPiNHistorical[[#This Row],[ASH25]]="", tblPiNHistorical[[#This Row],[ASH25]]=0, tblPiNHistorical[[#This Row],[ASH26]]="", tblPiNHistorical[[#This Row],[ASH26]]=0), "", tblPiNHistorical[[#This Row],[ASH26]]-tblPiNHistorical[[#This Row],[ASH25]])</f>
        <v>-15215.68</v>
      </c>
      <c r="AA11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11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11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11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11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113"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-0.7</v>
      </c>
    </row>
    <row r="114" spans="1:32">
      <c r="A11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VenezolanosVE1107</v>
      </c>
      <c r="B114" s="105" t="s">
        <v>316</v>
      </c>
      <c r="C114" s="104" t="s">
        <v>317</v>
      </c>
      <c r="D114" s="119" t="s">
        <v>329</v>
      </c>
      <c r="E114" s="104" t="s">
        <v>330</v>
      </c>
      <c r="F114" s="119"/>
      <c r="G114" s="102">
        <v>23388</v>
      </c>
      <c r="H114" s="102" t="s">
        <v>102</v>
      </c>
      <c r="I114" s="206">
        <v>4116</v>
      </c>
      <c r="J114" s="120">
        <v>955</v>
      </c>
      <c r="K114" s="207">
        <v>6089.4171818904206</v>
      </c>
      <c r="L114" s="207">
        <v>1771.8366265576819</v>
      </c>
      <c r="M114" s="207">
        <v>9707.1855945418774</v>
      </c>
      <c r="N114" s="298">
        <v>4678</v>
      </c>
      <c r="O114" s="114">
        <f>tblPiNAnalysis[[#This Row],[SAMV]]</f>
        <v>1734</v>
      </c>
      <c r="P114" s="115">
        <f>tblPiNAnalysis[[#This Row],[NUT]]</f>
        <v>3113.2588394437125</v>
      </c>
      <c r="Q114" s="115">
        <f>tblPiNAnalysis[[#This Row],[SAL]]</f>
        <v>15189.84</v>
      </c>
      <c r="R114" s="115">
        <f>tblPiNAnalysis[[#This Row],[EDU]]</f>
        <v>6960.4254978717099</v>
      </c>
      <c r="S114" s="115">
        <f>tblPiNAnalysis[[#This Row],[PRO]]</f>
        <v>8265.7212702245997</v>
      </c>
      <c r="T114" s="116">
        <f>tblPiNAnalysis[[#This Row],[ASH]]</f>
        <v>18727.2</v>
      </c>
      <c r="U114" s="300">
        <f>IF(OR(tblPiNHistorical[[#This Row],[SAMV25]]="", tblPiNHistorical[[#This Row],[SAMV25]]=0, tblPiNHistorical[[#This Row],[SAMV26]]="", tblPiNHistorical[[#This Row],[SAMV26]]=0), "", tblPiNHistorical[[#This Row],[SAMV26]]-tblPiNHistorical[[#This Row],[SAMV25]])</f>
        <v>-2382</v>
      </c>
      <c r="V114" s="121">
        <f>IF(OR(tblPiNHistorical[[#This Row],[NUT25]]="", tblPiNHistorical[[#This Row],[NUT25]]=0, tblPiNHistorical[[#This Row],[NUT26]]="", tblPiNHistorical[[#This Row],[NUT26]]=0), "", tblPiNHistorical[[#This Row],[NUT26]]-tblPiNHistorical[[#This Row],[NUT25]])</f>
        <v>2158.2588394437125</v>
      </c>
      <c r="W114" s="121">
        <f>IF(OR(tblPiNHistorical[[#This Row],[SAL25]]="", tblPiNHistorical[[#This Row],[SAL25]]=0, tblPiNHistorical[[#This Row],[SAL26]]="", tblPiNHistorical[[#This Row],[SAL26]]=0), "", tblPiNHistorical[[#This Row],[SAL26]]-tblPiNHistorical[[#This Row],[SAL25]])</f>
        <v>9100.4228181095787</v>
      </c>
      <c r="X114" s="121">
        <f>IF(OR(tblPiNHistorical[[#This Row],[EDU25]]="", tblPiNHistorical[[#This Row],[EDU25]]=0, tblPiNHistorical[[#This Row],[EDU26]]="", tblPiNHistorical[[#This Row],[EDU26]]=0), "", tblPiNHistorical[[#This Row],[EDU26]]-tblPiNHistorical[[#This Row],[EDU25]])</f>
        <v>5188.5888713140284</v>
      </c>
      <c r="Y114" s="121">
        <f>IF(OR(tblPiNHistorical[[#This Row],[PRO25]]="", tblPiNHistorical[[#This Row],[PRO25]]=0, tblPiNHistorical[[#This Row],[PRO26]]="", tblPiNHistorical[[#This Row],[PRO26]]=0), "", tblPiNHistorical[[#This Row],[PRO26]]-tblPiNHistorical[[#This Row],[PRO25]])</f>
        <v>-1441.4643243172777</v>
      </c>
      <c r="Z114" s="223">
        <f>IF(OR(tblPiNHistorical[[#This Row],[ASH25]]="", tblPiNHistorical[[#This Row],[ASH25]]=0, tblPiNHistorical[[#This Row],[ASH26]]="", tblPiNHistorical[[#This Row],[ASH26]]=0), "", tblPiNHistorical[[#This Row],[ASH26]]-tblPiNHistorical[[#This Row],[ASH25]])</f>
        <v>14049.2</v>
      </c>
      <c r="AA11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11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2.2999999999999998</v>
      </c>
      <c r="AC11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1.5</v>
      </c>
      <c r="AD11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2.9</v>
      </c>
      <c r="AE11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114"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3</v>
      </c>
    </row>
    <row r="115" spans="1:32">
      <c r="A11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VenezolanosVE1108</v>
      </c>
      <c r="B115" s="105" t="s">
        <v>316</v>
      </c>
      <c r="C115" s="104" t="s">
        <v>317</v>
      </c>
      <c r="D115" s="119" t="s">
        <v>331</v>
      </c>
      <c r="E115" s="104" t="s">
        <v>332</v>
      </c>
      <c r="F115" s="119"/>
      <c r="G115" s="102">
        <v>9944</v>
      </c>
      <c r="H115" s="102" t="s">
        <v>102</v>
      </c>
      <c r="I115" s="206">
        <v>1750</v>
      </c>
      <c r="J115" s="120">
        <v>384</v>
      </c>
      <c r="K115" s="207">
        <v>2588.9435561795749</v>
      </c>
      <c r="L115" s="207">
        <v>1051.998240208894</v>
      </c>
      <c r="M115" s="207">
        <v>4861.1258156512185</v>
      </c>
      <c r="N115" s="298">
        <v>4972</v>
      </c>
      <c r="O115" s="114">
        <f>tblPiNAnalysis[[#This Row],[SAMV]]</f>
        <v>3247</v>
      </c>
      <c r="P115" s="115">
        <f>tblPiNAnalysis[[#This Row],[NUT]]</f>
        <v>2467.22718487559</v>
      </c>
      <c r="Q115" s="115">
        <f>tblPiNAnalysis[[#This Row],[SAL]]</f>
        <v>11378.875</v>
      </c>
      <c r="R115" s="115">
        <f>tblPiNAnalysis[[#This Row],[EDU]]</f>
        <v>4984.6427237542912</v>
      </c>
      <c r="S115" s="115">
        <f>tblPiNAnalysis[[#This Row],[PRO]]</f>
        <v>7430.3304671064543</v>
      </c>
      <c r="T115" s="116">
        <f>tblPiNAnalysis[[#This Row],[ASH]]</f>
        <v>18705</v>
      </c>
      <c r="U115" s="300">
        <f>IF(OR(tblPiNHistorical[[#This Row],[SAMV25]]="", tblPiNHistorical[[#This Row],[SAMV25]]=0, tblPiNHistorical[[#This Row],[SAMV26]]="", tblPiNHistorical[[#This Row],[SAMV26]]=0), "", tblPiNHistorical[[#This Row],[SAMV26]]-tblPiNHistorical[[#This Row],[SAMV25]])</f>
        <v>1497</v>
      </c>
      <c r="V115" s="121">
        <f>IF(OR(tblPiNHistorical[[#This Row],[NUT25]]="", tblPiNHistorical[[#This Row],[NUT25]]=0, tblPiNHistorical[[#This Row],[NUT26]]="", tblPiNHistorical[[#This Row],[NUT26]]=0), "", tblPiNHistorical[[#This Row],[NUT26]]-tblPiNHistorical[[#This Row],[NUT25]])</f>
        <v>2083.22718487559</v>
      </c>
      <c r="W115" s="121">
        <f>IF(OR(tblPiNHistorical[[#This Row],[SAL25]]="", tblPiNHistorical[[#This Row],[SAL25]]=0, tblPiNHistorical[[#This Row],[SAL26]]="", tblPiNHistorical[[#This Row],[SAL26]]=0), "", tblPiNHistorical[[#This Row],[SAL26]]-tblPiNHistorical[[#This Row],[SAL25]])</f>
        <v>8789.9314438204256</v>
      </c>
      <c r="X115" s="121">
        <f>IF(OR(tblPiNHistorical[[#This Row],[EDU25]]="", tblPiNHistorical[[#This Row],[EDU25]]=0, tblPiNHistorical[[#This Row],[EDU26]]="", tblPiNHistorical[[#This Row],[EDU26]]=0), "", tblPiNHistorical[[#This Row],[EDU26]]-tblPiNHistorical[[#This Row],[EDU25]])</f>
        <v>3932.6444835453972</v>
      </c>
      <c r="Y115" s="121">
        <f>IF(OR(tblPiNHistorical[[#This Row],[PRO25]]="", tblPiNHistorical[[#This Row],[PRO25]]=0, tblPiNHistorical[[#This Row],[PRO26]]="", tblPiNHistorical[[#This Row],[PRO26]]=0), "", tblPiNHistorical[[#This Row],[PRO26]]-tblPiNHistorical[[#This Row],[PRO25]])</f>
        <v>2569.2046514552358</v>
      </c>
      <c r="Z115" s="223">
        <f>IF(OR(tblPiNHistorical[[#This Row],[ASH25]]="", tblPiNHistorical[[#This Row],[ASH25]]=0, tblPiNHistorical[[#This Row],[ASH26]]="", tblPiNHistorical[[#This Row],[ASH26]]=0), "", tblPiNHistorical[[#This Row],[ASH26]]-tblPiNHistorical[[#This Row],[ASH25]])</f>
        <v>13733</v>
      </c>
      <c r="AA11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11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5.4</v>
      </c>
      <c r="AC11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3.4</v>
      </c>
      <c r="AD11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3.7</v>
      </c>
      <c r="AE11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115"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2.8</v>
      </c>
    </row>
    <row r="116" spans="1:32">
      <c r="A11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VenezolanosVE1109</v>
      </c>
      <c r="B116" s="105" t="s">
        <v>316</v>
      </c>
      <c r="C116" s="104" t="s">
        <v>317</v>
      </c>
      <c r="D116" s="119" t="s">
        <v>316</v>
      </c>
      <c r="E116" s="104" t="s">
        <v>333</v>
      </c>
      <c r="F116" s="119"/>
      <c r="G116" s="102">
        <v>46215</v>
      </c>
      <c r="H116" s="102" t="s">
        <v>102</v>
      </c>
      <c r="I116" s="206">
        <v>8134</v>
      </c>
      <c r="J116" s="120">
        <v>1918</v>
      </c>
      <c r="K116" s="207">
        <v>12032.196917812767</v>
      </c>
      <c r="L116" s="207">
        <v>3122.1838282484764</v>
      </c>
      <c r="M116" s="207">
        <v>9707.1855945418774</v>
      </c>
      <c r="N116" s="298">
        <v>23108</v>
      </c>
      <c r="O116" s="114">
        <f>tblPiNAnalysis[[#This Row],[SAMV]]</f>
        <v>3870</v>
      </c>
      <c r="P116" s="115">
        <f>tblPiNAnalysis[[#This Row],[NUT]]</f>
        <v>1663.6718543774771</v>
      </c>
      <c r="Q116" s="115">
        <f>tblPiNAnalysis[[#This Row],[SAL]]</f>
        <v>18643.834999999999</v>
      </c>
      <c r="R116" s="115">
        <f>tblPiNAnalysis[[#This Row],[EDU]]</f>
        <v>4302.0118652724377</v>
      </c>
      <c r="S116" s="115">
        <f>tblPiNAnalysis[[#This Row],[PRO]]</f>
        <v>10144.26244967467</v>
      </c>
      <c r="T116" s="116">
        <f>tblPiNAnalysis[[#This Row],[ASH]]</f>
        <v>0</v>
      </c>
      <c r="U116" s="300">
        <f>IF(OR(tblPiNHistorical[[#This Row],[SAMV25]]="", tblPiNHistorical[[#This Row],[SAMV25]]=0, tblPiNHistorical[[#This Row],[SAMV26]]="", tblPiNHistorical[[#This Row],[SAMV26]]=0), "", tblPiNHistorical[[#This Row],[SAMV26]]-tblPiNHistorical[[#This Row],[SAMV25]])</f>
        <v>-4264</v>
      </c>
      <c r="V116" s="121">
        <f>IF(OR(tblPiNHistorical[[#This Row],[NUT25]]="", tblPiNHistorical[[#This Row],[NUT25]]=0, tblPiNHistorical[[#This Row],[NUT26]]="", tblPiNHistorical[[#This Row],[NUT26]]=0), "", tblPiNHistorical[[#This Row],[NUT26]]-tblPiNHistorical[[#This Row],[NUT25]])</f>
        <v>-254.32814562252292</v>
      </c>
      <c r="W116" s="121">
        <f>IF(OR(tblPiNHistorical[[#This Row],[SAL25]]="", tblPiNHistorical[[#This Row],[SAL25]]=0, tblPiNHistorical[[#This Row],[SAL26]]="", tblPiNHistorical[[#This Row],[SAL26]]=0), "", tblPiNHistorical[[#This Row],[SAL26]]-tblPiNHistorical[[#This Row],[SAL25]])</f>
        <v>6611.6380821872317</v>
      </c>
      <c r="X116" s="121">
        <f>IF(OR(tblPiNHistorical[[#This Row],[EDU25]]="", tblPiNHistorical[[#This Row],[EDU25]]=0, tblPiNHistorical[[#This Row],[EDU26]]="", tblPiNHistorical[[#This Row],[EDU26]]=0), "", tblPiNHistorical[[#This Row],[EDU26]]-tblPiNHistorical[[#This Row],[EDU25]])</f>
        <v>1179.8280370239613</v>
      </c>
      <c r="Y116" s="121">
        <f>IF(OR(tblPiNHistorical[[#This Row],[PRO25]]="", tblPiNHistorical[[#This Row],[PRO25]]=0, tblPiNHistorical[[#This Row],[PRO26]]="", tblPiNHistorical[[#This Row],[PRO26]]=0), "", tblPiNHistorical[[#This Row],[PRO26]]-tblPiNHistorical[[#This Row],[PRO25]])</f>
        <v>437.07685513279284</v>
      </c>
      <c r="Z116" s="223" t="str">
        <f>IF(OR(tblPiNHistorical[[#This Row],[ASH25]]="", tblPiNHistorical[[#This Row],[ASH25]]=0, tblPiNHistorical[[#This Row],[ASH26]]="", tblPiNHistorical[[#This Row],[ASH26]]=0), "", tblPiNHistorical[[#This Row],[ASH26]]-tblPiNHistorical[[#This Row],[ASH25]])</f>
        <v/>
      </c>
      <c r="AA11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11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11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11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11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v>
      </c>
      <c r="AF11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23108</v>
      </c>
    </row>
    <row r="117" spans="1:32">
      <c r="A11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VenezolanosVE1110</v>
      </c>
      <c r="B117" s="105" t="s">
        <v>316</v>
      </c>
      <c r="C117" s="104" t="s">
        <v>317</v>
      </c>
      <c r="D117" s="119" t="s">
        <v>334</v>
      </c>
      <c r="E117" s="104" t="s">
        <v>335</v>
      </c>
      <c r="F117" s="119"/>
      <c r="G117" s="102">
        <v>29251</v>
      </c>
      <c r="H117" s="102" t="s">
        <v>102</v>
      </c>
      <c r="I117" s="206">
        <v>5148</v>
      </c>
      <c r="J117" s="120">
        <v>1225</v>
      </c>
      <c r="K117" s="207">
        <v>7616.2300483552981</v>
      </c>
      <c r="L117" s="207">
        <v>2418.216248329607</v>
      </c>
      <c r="M117" s="207">
        <v>9707.1855945418774</v>
      </c>
      <c r="N117" s="298">
        <v>5850</v>
      </c>
      <c r="O117" s="114">
        <f>tblPiNAnalysis[[#This Row],[SAMV]]</f>
        <v>9985</v>
      </c>
      <c r="P117" s="115">
        <f>tblPiNAnalysis[[#This Row],[NUT]]</f>
        <v>3359.3773568367869</v>
      </c>
      <c r="Q117" s="115">
        <f>tblPiNAnalysis[[#This Row],[SAL]]</f>
        <v>18502.945</v>
      </c>
      <c r="R117" s="115">
        <f>tblPiNAnalysis[[#This Row],[EDU]]</f>
        <v>7907.3921391003178</v>
      </c>
      <c r="S117" s="115">
        <f>tblPiNAnalysis[[#This Row],[PRO]]</f>
        <v>10147.48094161231</v>
      </c>
      <c r="T117" s="116">
        <f>tblPiNAnalysis[[#This Row],[ASH]]</f>
        <v>3421.7775000000001</v>
      </c>
      <c r="U117" s="300">
        <f>IF(OR(tblPiNHistorical[[#This Row],[SAMV25]]="", tblPiNHistorical[[#This Row],[SAMV25]]=0, tblPiNHistorical[[#This Row],[SAMV26]]="", tblPiNHistorical[[#This Row],[SAMV26]]=0), "", tblPiNHistorical[[#This Row],[SAMV26]]-tblPiNHistorical[[#This Row],[SAMV25]])</f>
        <v>4837</v>
      </c>
      <c r="V117" s="121">
        <f>IF(OR(tblPiNHistorical[[#This Row],[NUT25]]="", tblPiNHistorical[[#This Row],[NUT25]]=0, tblPiNHistorical[[#This Row],[NUT26]]="", tblPiNHistorical[[#This Row],[NUT26]]=0), "", tblPiNHistorical[[#This Row],[NUT26]]-tblPiNHistorical[[#This Row],[NUT25]])</f>
        <v>2134.3773568367869</v>
      </c>
      <c r="W117" s="121">
        <f>IF(OR(tblPiNHistorical[[#This Row],[SAL25]]="", tblPiNHistorical[[#This Row],[SAL25]]=0, tblPiNHistorical[[#This Row],[SAL26]]="", tblPiNHistorical[[#This Row],[SAL26]]=0), "", tblPiNHistorical[[#This Row],[SAL26]]-tblPiNHistorical[[#This Row],[SAL25]])</f>
        <v>10886.714951644703</v>
      </c>
      <c r="X117" s="121">
        <f>IF(OR(tblPiNHistorical[[#This Row],[EDU25]]="", tblPiNHistorical[[#This Row],[EDU25]]=0, tblPiNHistorical[[#This Row],[EDU26]]="", tblPiNHistorical[[#This Row],[EDU26]]=0), "", tblPiNHistorical[[#This Row],[EDU26]]-tblPiNHistorical[[#This Row],[EDU25]])</f>
        <v>5489.1758907707108</v>
      </c>
      <c r="Y117" s="121">
        <f>IF(OR(tblPiNHistorical[[#This Row],[PRO25]]="", tblPiNHistorical[[#This Row],[PRO25]]=0, tblPiNHistorical[[#This Row],[PRO26]]="", tblPiNHistorical[[#This Row],[PRO26]]=0), "", tblPiNHistorical[[#This Row],[PRO26]]-tblPiNHistorical[[#This Row],[PRO25]])</f>
        <v>440.2953470704324</v>
      </c>
      <c r="Z117" s="223">
        <f>IF(OR(tblPiNHistorical[[#This Row],[ASH25]]="", tblPiNHistorical[[#This Row],[ASH25]]=0, tblPiNHistorical[[#This Row],[ASH26]]="", tblPiNHistorical[[#This Row],[ASH26]]=0), "", tblPiNHistorical[[#This Row],[ASH26]]-tblPiNHistorical[[#This Row],[ASH25]])</f>
        <v>-2428.2224999999999</v>
      </c>
      <c r="AA11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11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1.7</v>
      </c>
      <c r="AC11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1.4</v>
      </c>
      <c r="AD11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2.2999999999999998</v>
      </c>
      <c r="AE11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v>
      </c>
      <c r="AF117"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-0.4</v>
      </c>
    </row>
    <row r="118" spans="1:32">
      <c r="A11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VenezolanosVE1111</v>
      </c>
      <c r="B118" s="105" t="s">
        <v>316</v>
      </c>
      <c r="C118" s="104" t="s">
        <v>317</v>
      </c>
      <c r="D118" s="119" t="s">
        <v>336</v>
      </c>
      <c r="E118" s="104" t="s">
        <v>337</v>
      </c>
      <c r="F118" s="119"/>
      <c r="G118" s="102">
        <v>11232</v>
      </c>
      <c r="H118" s="102" t="s">
        <v>102</v>
      </c>
      <c r="I118" s="206">
        <v>1977</v>
      </c>
      <c r="J118" s="120">
        <v>468</v>
      </c>
      <c r="K118" s="207">
        <v>2924.8225709307717</v>
      </c>
      <c r="L118" s="207">
        <v>1202.0263890949843</v>
      </c>
      <c r="M118" s="207">
        <v>5490.7647990139258</v>
      </c>
      <c r="N118" s="298">
        <v>0</v>
      </c>
      <c r="O118" s="114">
        <f>tblPiNAnalysis[[#This Row],[SAMV]]</f>
        <v>10784</v>
      </c>
      <c r="P118" s="115">
        <f>tblPiNAnalysis[[#This Row],[NUT]]</f>
        <v>1139.1017697671107</v>
      </c>
      <c r="Q118" s="115">
        <f>tblPiNAnalysis[[#This Row],[SAL]]</f>
        <v>18200</v>
      </c>
      <c r="R118" s="115">
        <f>tblPiNAnalysis[[#This Row],[EDU]]</f>
        <v>2576.5539253173292</v>
      </c>
      <c r="S118" s="115">
        <f>tblPiNAnalysis[[#This Row],[PRO]]</f>
        <v>3986.3036585868931</v>
      </c>
      <c r="T118" s="116">
        <f>tblPiNAnalysis[[#This Row],[ASH]]</f>
        <v>4509.4049999999997</v>
      </c>
      <c r="U118" s="300">
        <f>IF(OR(tblPiNHistorical[[#This Row],[SAMV25]]="", tblPiNHistorical[[#This Row],[SAMV25]]=0, tblPiNHistorical[[#This Row],[SAMV26]]="", tblPiNHistorical[[#This Row],[SAMV26]]=0), "", tblPiNHistorical[[#This Row],[SAMV26]]-tblPiNHistorical[[#This Row],[SAMV25]])</f>
        <v>8807</v>
      </c>
      <c r="V118" s="121">
        <f>IF(OR(tblPiNHistorical[[#This Row],[NUT25]]="", tblPiNHistorical[[#This Row],[NUT25]]=0, tblPiNHistorical[[#This Row],[NUT26]]="", tblPiNHistorical[[#This Row],[NUT26]]=0), "", tblPiNHistorical[[#This Row],[NUT26]]-tblPiNHistorical[[#This Row],[NUT25]])</f>
        <v>671.10176976711068</v>
      </c>
      <c r="W118" s="121">
        <f>IF(OR(tblPiNHistorical[[#This Row],[SAL25]]="", tblPiNHistorical[[#This Row],[SAL25]]=0, tblPiNHistorical[[#This Row],[SAL26]]="", tblPiNHistorical[[#This Row],[SAL26]]=0), "", tblPiNHistorical[[#This Row],[SAL26]]-tblPiNHistorical[[#This Row],[SAL25]])</f>
        <v>15275.177429069228</v>
      </c>
      <c r="X118" s="121">
        <f>IF(OR(tblPiNHistorical[[#This Row],[EDU25]]="", tblPiNHistorical[[#This Row],[EDU25]]=0, tblPiNHistorical[[#This Row],[EDU26]]="", tblPiNHistorical[[#This Row],[EDU26]]=0), "", tblPiNHistorical[[#This Row],[EDU26]]-tblPiNHistorical[[#This Row],[EDU25]])</f>
        <v>1374.5275362223449</v>
      </c>
      <c r="Y118" s="121">
        <f>IF(OR(tblPiNHistorical[[#This Row],[PRO25]]="", tblPiNHistorical[[#This Row],[PRO25]]=0, tblPiNHistorical[[#This Row],[PRO26]]="", tblPiNHistorical[[#This Row],[PRO26]]=0), "", tblPiNHistorical[[#This Row],[PRO26]]-tblPiNHistorical[[#This Row],[PRO25]])</f>
        <v>-1504.4611404270327</v>
      </c>
      <c r="Z118" s="223" t="str">
        <f>IF(OR(tblPiNHistorical[[#This Row],[ASH25]]="", tblPiNHistorical[[#This Row],[ASH25]]=0, tblPiNHistorical[[#This Row],[ASH26]]="", tblPiNHistorical[[#This Row],[ASH26]]=0), "", tblPiNHistorical[[#This Row],[ASH26]]-tblPiNHistorical[[#This Row],[ASH25]])</f>
        <v/>
      </c>
      <c r="AA11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4.5</v>
      </c>
      <c r="AB11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1.4</v>
      </c>
      <c r="AC11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5.2</v>
      </c>
      <c r="AD11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1.1000000000000001</v>
      </c>
      <c r="AE11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11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4509.405</v>
      </c>
    </row>
    <row r="119" spans="1:32">
      <c r="A11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VenezolanosVE1112</v>
      </c>
      <c r="B119" s="105" t="s">
        <v>316</v>
      </c>
      <c r="C119" s="104" t="s">
        <v>317</v>
      </c>
      <c r="D119" s="119" t="s">
        <v>338</v>
      </c>
      <c r="E119" s="104" t="s">
        <v>339</v>
      </c>
      <c r="F119" s="119"/>
      <c r="G119" s="102">
        <v>41579</v>
      </c>
      <c r="H119" s="102" t="s">
        <v>102</v>
      </c>
      <c r="I119" s="206">
        <v>7318</v>
      </c>
      <c r="J119" s="120">
        <v>1852</v>
      </c>
      <c r="K119" s="207">
        <v>10825.410369237672</v>
      </c>
      <c r="L119" s="207">
        <v>2630.8166125270363</v>
      </c>
      <c r="M119" s="207">
        <v>7059.7713414850014</v>
      </c>
      <c r="N119" s="298">
        <v>20790</v>
      </c>
      <c r="O119" s="114">
        <f>tblPiNAnalysis[[#This Row],[SAMV]]</f>
        <v>7980</v>
      </c>
      <c r="P119" s="115">
        <f>tblPiNAnalysis[[#This Row],[NUT]]</f>
        <v>1849.4484320327797</v>
      </c>
      <c r="Q119" s="115">
        <f>tblPiNAnalysis[[#This Row],[SAL]]</f>
        <v>18200</v>
      </c>
      <c r="R119" s="115">
        <f>tblPiNAnalysis[[#This Row],[EDU]]</f>
        <v>1194.7859218025274</v>
      </c>
      <c r="S119" s="115">
        <f>tblPiNAnalysis[[#This Row],[PRO]]</f>
        <v>4988.0108291638817</v>
      </c>
      <c r="T119" s="116">
        <f>tblPiNAnalysis[[#This Row],[ASH]]</f>
        <v>12490.199999999999</v>
      </c>
      <c r="U119" s="300">
        <f>IF(OR(tblPiNHistorical[[#This Row],[SAMV25]]="", tblPiNHistorical[[#This Row],[SAMV25]]=0, tblPiNHistorical[[#This Row],[SAMV26]]="", tblPiNHistorical[[#This Row],[SAMV26]]=0), "", tblPiNHistorical[[#This Row],[SAMV26]]-tblPiNHistorical[[#This Row],[SAMV25]])</f>
        <v>662</v>
      </c>
      <c r="V119" s="121">
        <f>IF(OR(tblPiNHistorical[[#This Row],[NUT25]]="", tblPiNHistorical[[#This Row],[NUT25]]=0, tblPiNHistorical[[#This Row],[NUT26]]="", tblPiNHistorical[[#This Row],[NUT26]]=0), "", tblPiNHistorical[[#This Row],[NUT26]]-tblPiNHistorical[[#This Row],[NUT25]])</f>
        <v>-2.5515679672203078</v>
      </c>
      <c r="W119" s="121">
        <f>IF(OR(tblPiNHistorical[[#This Row],[SAL25]]="", tblPiNHistorical[[#This Row],[SAL25]]=0, tblPiNHistorical[[#This Row],[SAL26]]="", tblPiNHistorical[[#This Row],[SAL26]]=0), "", tblPiNHistorical[[#This Row],[SAL26]]-tblPiNHistorical[[#This Row],[SAL25]])</f>
        <v>7374.5896307623279</v>
      </c>
      <c r="X119" s="121">
        <f>IF(OR(tblPiNHistorical[[#This Row],[EDU25]]="", tblPiNHistorical[[#This Row],[EDU25]]=0, tblPiNHistorical[[#This Row],[EDU26]]="", tblPiNHistorical[[#This Row],[EDU26]]=0), "", tblPiNHistorical[[#This Row],[EDU26]]-tblPiNHistorical[[#This Row],[EDU25]])</f>
        <v>-1436.030690724509</v>
      </c>
      <c r="Y119" s="121">
        <f>IF(OR(tblPiNHistorical[[#This Row],[PRO25]]="", tblPiNHistorical[[#This Row],[PRO25]]=0, tblPiNHistorical[[#This Row],[PRO26]]="", tblPiNHistorical[[#This Row],[PRO26]]=0), "", tblPiNHistorical[[#This Row],[PRO26]]-tblPiNHistorical[[#This Row],[PRO25]])</f>
        <v>-2071.7605123211197</v>
      </c>
      <c r="Z119" s="223">
        <f>IF(OR(tblPiNHistorical[[#This Row],[ASH25]]="", tblPiNHistorical[[#This Row],[ASH25]]=0, tblPiNHistorical[[#This Row],[ASH26]]="", tblPiNHistorical[[#This Row],[ASH26]]=0), "", tblPiNHistorical[[#This Row],[ASH26]]-tblPiNHistorical[[#This Row],[ASH25]])</f>
        <v>-8299.8000000000011</v>
      </c>
      <c r="AA11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11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v>
      </c>
      <c r="AC11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11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11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119"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-0.4</v>
      </c>
    </row>
    <row r="120" spans="1:32">
      <c r="A12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VenezolanosVE1113</v>
      </c>
      <c r="B120" s="105" t="s">
        <v>316</v>
      </c>
      <c r="C120" s="104" t="s">
        <v>317</v>
      </c>
      <c r="D120" s="119" t="s">
        <v>340</v>
      </c>
      <c r="E120" s="104" t="s">
        <v>341</v>
      </c>
      <c r="F120" s="119"/>
      <c r="G120" s="102">
        <v>24920</v>
      </c>
      <c r="H120" s="102" t="s">
        <v>102</v>
      </c>
      <c r="I120" s="206">
        <v>4386</v>
      </c>
      <c r="J120" s="120">
        <v>978</v>
      </c>
      <c r="K120" s="207">
        <v>6487.7161905334315</v>
      </c>
      <c r="L120" s="207">
        <v>2321.8621459967217</v>
      </c>
      <c r="M120" s="207">
        <v>9707.1855945418774</v>
      </c>
      <c r="N120" s="298">
        <v>4984</v>
      </c>
      <c r="O120" s="114">
        <f>tblPiNAnalysis[[#This Row],[SAMV]]</f>
        <v>18199</v>
      </c>
      <c r="P120" s="115">
        <f>tblPiNAnalysis[[#This Row],[NUT]]</f>
        <v>1084.5786496147603</v>
      </c>
      <c r="Q120" s="115">
        <f>tblPiNAnalysis[[#This Row],[SAL]]</f>
        <v>13795.905000000001</v>
      </c>
      <c r="R120" s="115">
        <f>tblPiNAnalysis[[#This Row],[EDU]]</f>
        <v>5616.0317417153929</v>
      </c>
      <c r="S120" s="115">
        <f>tblPiNAnalysis[[#This Row],[PRO]]</f>
        <v>9079.2260189798271</v>
      </c>
      <c r="T120" s="116">
        <f>tblPiNAnalysis[[#This Row],[ASH]]</f>
        <v>0</v>
      </c>
      <c r="U120" s="300">
        <f>IF(OR(tblPiNHistorical[[#This Row],[SAMV25]]="", tblPiNHistorical[[#This Row],[SAMV25]]=0, tblPiNHistorical[[#This Row],[SAMV26]]="", tblPiNHistorical[[#This Row],[SAMV26]]=0), "", tblPiNHistorical[[#This Row],[SAMV26]]-tblPiNHistorical[[#This Row],[SAMV25]])</f>
        <v>13813</v>
      </c>
      <c r="V120" s="121">
        <f>IF(OR(tblPiNHistorical[[#This Row],[NUT25]]="", tblPiNHistorical[[#This Row],[NUT25]]=0, tblPiNHistorical[[#This Row],[NUT26]]="", tblPiNHistorical[[#This Row],[NUT26]]=0), "", tblPiNHistorical[[#This Row],[NUT26]]-tblPiNHistorical[[#This Row],[NUT25]])</f>
        <v>106.57864961476025</v>
      </c>
      <c r="W120" s="121">
        <f>IF(OR(tblPiNHistorical[[#This Row],[SAL25]]="", tblPiNHistorical[[#This Row],[SAL25]]=0, tblPiNHistorical[[#This Row],[SAL26]]="", tblPiNHistorical[[#This Row],[SAL26]]=0), "", tblPiNHistorical[[#This Row],[SAL26]]-tblPiNHistorical[[#This Row],[SAL25]])</f>
        <v>7308.1888094665692</v>
      </c>
      <c r="X120" s="121">
        <f>IF(OR(tblPiNHistorical[[#This Row],[EDU25]]="", tblPiNHistorical[[#This Row],[EDU25]]=0, tblPiNHistorical[[#This Row],[EDU26]]="", tblPiNHistorical[[#This Row],[EDU26]]=0), "", tblPiNHistorical[[#This Row],[EDU26]]-tblPiNHistorical[[#This Row],[EDU25]])</f>
        <v>3294.1695957186712</v>
      </c>
      <c r="Y120" s="121">
        <f>IF(OR(tblPiNHistorical[[#This Row],[PRO25]]="", tblPiNHistorical[[#This Row],[PRO25]]=0, tblPiNHistorical[[#This Row],[PRO26]]="", tblPiNHistorical[[#This Row],[PRO26]]=0), "", tblPiNHistorical[[#This Row],[PRO26]]-tblPiNHistorical[[#This Row],[PRO25]])</f>
        <v>-627.9595755620503</v>
      </c>
      <c r="Z120" s="223" t="str">
        <f>IF(OR(tblPiNHistorical[[#This Row],[ASH25]]="", tblPiNHistorical[[#This Row],[ASH25]]=0, tblPiNHistorical[[#This Row],[ASH26]]="", tblPiNHistorical[[#This Row],[ASH26]]=0), "", tblPiNHistorical[[#This Row],[ASH26]]-tblPiNHistorical[[#This Row],[ASH25]])</f>
        <v/>
      </c>
      <c r="AA12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3.1</v>
      </c>
      <c r="AB12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12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1.1000000000000001</v>
      </c>
      <c r="AD12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1.4</v>
      </c>
      <c r="AE12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12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4984</v>
      </c>
    </row>
    <row r="121" spans="1:32">
      <c r="A12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VenezolanosVE1114</v>
      </c>
      <c r="B121" s="105" t="s">
        <v>316</v>
      </c>
      <c r="C121" s="104" t="s">
        <v>317</v>
      </c>
      <c r="D121" s="119" t="s">
        <v>276</v>
      </c>
      <c r="E121" s="104" t="s">
        <v>342</v>
      </c>
      <c r="F121" s="119"/>
      <c r="G121" s="102">
        <v>211537</v>
      </c>
      <c r="H121" s="102" t="s">
        <v>102</v>
      </c>
      <c r="I121" s="206">
        <v>37231</v>
      </c>
      <c r="J121" s="120">
        <v>8261</v>
      </c>
      <c r="K121" s="207">
        <v>55075.241277211651</v>
      </c>
      <c r="L121" s="207">
        <v>13716.251436800412</v>
      </c>
      <c r="M121" s="207">
        <v>9707.1855945418774</v>
      </c>
      <c r="N121" s="298">
        <v>0</v>
      </c>
      <c r="O121" s="114">
        <f>tblPiNAnalysis[[#This Row],[SAMV]]</f>
        <v>7524</v>
      </c>
      <c r="P121" s="115">
        <f>tblPiNAnalysis[[#This Row],[NUT]]</f>
        <v>1153.0693155530209</v>
      </c>
      <c r="Q121" s="115">
        <f>tblPiNAnalysis[[#This Row],[SAL]]</f>
        <v>11030.665000000001</v>
      </c>
      <c r="R121" s="115">
        <f>tblPiNAnalysis[[#This Row],[EDU]]</f>
        <v>1694.8917954765736</v>
      </c>
      <c r="S121" s="115">
        <f>tblPiNAnalysis[[#This Row],[PRO]]</f>
        <v>7216.9620128947436</v>
      </c>
      <c r="T121" s="116">
        <f>tblPiNAnalysis[[#This Row],[ASH]]</f>
        <v>18132.599999999999</v>
      </c>
      <c r="U121" s="300">
        <f>IF(OR(tblPiNHistorical[[#This Row],[SAMV25]]="", tblPiNHistorical[[#This Row],[SAMV25]]=0, tblPiNHistorical[[#This Row],[SAMV26]]="", tblPiNHistorical[[#This Row],[SAMV26]]=0), "", tblPiNHistorical[[#This Row],[SAMV26]]-tblPiNHistorical[[#This Row],[SAMV25]])</f>
        <v>-29707</v>
      </c>
      <c r="V121" s="121">
        <f>IF(OR(tblPiNHistorical[[#This Row],[NUT25]]="", tblPiNHistorical[[#This Row],[NUT25]]=0, tblPiNHistorical[[#This Row],[NUT26]]="", tblPiNHistorical[[#This Row],[NUT26]]=0), "", tblPiNHistorical[[#This Row],[NUT26]]-tblPiNHistorical[[#This Row],[NUT25]])</f>
        <v>-7107.9306844469793</v>
      </c>
      <c r="W121" s="121">
        <f>IF(OR(tblPiNHistorical[[#This Row],[SAL25]]="", tblPiNHistorical[[#This Row],[SAL25]]=0, tblPiNHistorical[[#This Row],[SAL26]]="", tblPiNHistorical[[#This Row],[SAL26]]=0), "", tblPiNHistorical[[#This Row],[SAL26]]-tblPiNHistorical[[#This Row],[SAL25]])</f>
        <v>-44044.57627721165</v>
      </c>
      <c r="X121" s="121">
        <f>IF(OR(tblPiNHistorical[[#This Row],[EDU25]]="", tblPiNHistorical[[#This Row],[EDU25]]=0, tblPiNHistorical[[#This Row],[EDU26]]="", tblPiNHistorical[[#This Row],[EDU26]]=0), "", tblPiNHistorical[[#This Row],[EDU26]]-tblPiNHistorical[[#This Row],[EDU25]])</f>
        <v>-12021.359641323839</v>
      </c>
      <c r="Y121" s="121">
        <f>IF(OR(tblPiNHistorical[[#This Row],[PRO25]]="", tblPiNHistorical[[#This Row],[PRO25]]=0, tblPiNHistorical[[#This Row],[PRO26]]="", tblPiNHistorical[[#This Row],[PRO26]]=0), "", tblPiNHistorical[[#This Row],[PRO26]]-tblPiNHistorical[[#This Row],[PRO25]])</f>
        <v>-2490.2235816471339</v>
      </c>
      <c r="Z121" s="223" t="str">
        <f>IF(OR(tblPiNHistorical[[#This Row],[ASH25]]="", tblPiNHistorical[[#This Row],[ASH25]]=0, tblPiNHistorical[[#This Row],[ASH26]]="", tblPiNHistorical[[#This Row],[ASH26]]=0), "", tblPiNHistorical[[#This Row],[ASH26]]-tblPiNHistorical[[#This Row],[ASH25]])</f>
        <v/>
      </c>
      <c r="AA12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12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12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12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2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12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18132.6</v>
      </c>
    </row>
    <row r="122" spans="1:32">
      <c r="A12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VenezolanosVE1115</v>
      </c>
      <c r="B122" s="105" t="s">
        <v>316</v>
      </c>
      <c r="C122" s="104" t="s">
        <v>317</v>
      </c>
      <c r="D122" s="119" t="s">
        <v>343</v>
      </c>
      <c r="E122" s="104" t="s">
        <v>344</v>
      </c>
      <c r="F122" s="119"/>
      <c r="G122" s="102">
        <v>19300</v>
      </c>
      <c r="H122" s="102" t="s">
        <v>102</v>
      </c>
      <c r="I122" s="206">
        <v>3397</v>
      </c>
      <c r="J122" s="120">
        <v>801</v>
      </c>
      <c r="K122" s="207">
        <v>5025.3049050680465</v>
      </c>
      <c r="L122" s="207">
        <v>1630.5175594516545</v>
      </c>
      <c r="M122" s="207">
        <v>9434.8077475933733</v>
      </c>
      <c r="N122" s="298">
        <v>9650</v>
      </c>
      <c r="O122" s="114">
        <f>tblPiNAnalysis[[#This Row],[SAMV]]</f>
        <v>7260</v>
      </c>
      <c r="P122" s="115">
        <f>tblPiNAnalysis[[#This Row],[NUT]]</f>
        <v>1270.4765280160575</v>
      </c>
      <c r="Q122" s="115">
        <f>tblPiNAnalysis[[#This Row],[SAL]]</f>
        <v>18000</v>
      </c>
      <c r="R122" s="115">
        <f>tblPiNAnalysis[[#This Row],[EDU]]</f>
        <v>4535.1505941661726</v>
      </c>
      <c r="S122" s="115">
        <f>tblPiNAnalysis[[#This Row],[PRO]]</f>
        <v>10420.600713800832</v>
      </c>
      <c r="T122" s="116">
        <f>tblPiNAnalysis[[#This Row],[ASH]]</f>
        <v>0</v>
      </c>
      <c r="U122" s="300">
        <f>IF(OR(tblPiNHistorical[[#This Row],[SAMV25]]="", tblPiNHistorical[[#This Row],[SAMV25]]=0, tblPiNHistorical[[#This Row],[SAMV26]]="", tblPiNHistorical[[#This Row],[SAMV26]]=0), "", tblPiNHistorical[[#This Row],[SAMV26]]-tblPiNHistorical[[#This Row],[SAMV25]])</f>
        <v>3863</v>
      </c>
      <c r="V122" s="121">
        <f>IF(OR(tblPiNHistorical[[#This Row],[NUT25]]="", tblPiNHistorical[[#This Row],[NUT25]]=0, tblPiNHistorical[[#This Row],[NUT26]]="", tblPiNHistorical[[#This Row],[NUT26]]=0), "", tblPiNHistorical[[#This Row],[NUT26]]-tblPiNHistorical[[#This Row],[NUT25]])</f>
        <v>469.4765280160575</v>
      </c>
      <c r="W122" s="121">
        <f>IF(OR(tblPiNHistorical[[#This Row],[SAL25]]="", tblPiNHistorical[[#This Row],[SAL25]]=0, tblPiNHistorical[[#This Row],[SAL26]]="", tblPiNHistorical[[#This Row],[SAL26]]=0), "", tblPiNHistorical[[#This Row],[SAL26]]-tblPiNHistorical[[#This Row],[SAL25]])</f>
        <v>12974.695094931954</v>
      </c>
      <c r="X122" s="121">
        <f>IF(OR(tblPiNHistorical[[#This Row],[EDU25]]="", tblPiNHistorical[[#This Row],[EDU25]]=0, tblPiNHistorical[[#This Row],[EDU26]]="", tblPiNHistorical[[#This Row],[EDU26]]=0), "", tblPiNHistorical[[#This Row],[EDU26]]-tblPiNHistorical[[#This Row],[EDU25]])</f>
        <v>2904.6330347145181</v>
      </c>
      <c r="Y122" s="121">
        <f>IF(OR(tblPiNHistorical[[#This Row],[PRO25]]="", tblPiNHistorical[[#This Row],[PRO25]]=0, tblPiNHistorical[[#This Row],[PRO26]]="", tblPiNHistorical[[#This Row],[PRO26]]=0), "", tblPiNHistorical[[#This Row],[PRO26]]-tblPiNHistorical[[#This Row],[PRO25]])</f>
        <v>985.79296620745845</v>
      </c>
      <c r="Z122" s="223" t="str">
        <f>IF(OR(tblPiNHistorical[[#This Row],[ASH25]]="", tblPiNHistorical[[#This Row],[ASH25]]=0, tblPiNHistorical[[#This Row],[ASH26]]="", tblPiNHistorical[[#This Row],[ASH26]]=0), "", tblPiNHistorical[[#This Row],[ASH26]]-tblPiNHistorical[[#This Row],[ASH25]])</f>
        <v/>
      </c>
      <c r="AA12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1.1000000000000001</v>
      </c>
      <c r="AB12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12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2.6</v>
      </c>
      <c r="AD12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1.8</v>
      </c>
      <c r="AE12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12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9650</v>
      </c>
    </row>
    <row r="123" spans="1:32">
      <c r="A12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VenezolanosVE1116</v>
      </c>
      <c r="B123" s="105" t="s">
        <v>316</v>
      </c>
      <c r="C123" s="104" t="s">
        <v>317</v>
      </c>
      <c r="D123" s="119" t="s">
        <v>345</v>
      </c>
      <c r="E123" s="104" t="s">
        <v>346</v>
      </c>
      <c r="F123" s="119"/>
      <c r="G123" s="102">
        <v>7077</v>
      </c>
      <c r="H123" s="102" t="s">
        <v>102</v>
      </c>
      <c r="I123" s="206">
        <v>1246</v>
      </c>
      <c r="J123" s="120">
        <v>302</v>
      </c>
      <c r="K123" s="207">
        <v>1842.876010139307</v>
      </c>
      <c r="L123" s="207">
        <v>866.15768027739648</v>
      </c>
      <c r="M123" s="207">
        <v>3459.5924574983583</v>
      </c>
      <c r="N123" s="298">
        <v>0</v>
      </c>
      <c r="O123" s="114">
        <f>tblPiNAnalysis[[#This Row],[SAMV]]</f>
        <v>13368</v>
      </c>
      <c r="P123" s="115">
        <f>tblPiNAnalysis[[#This Row],[NUT]]</f>
        <v>1852.225308282038</v>
      </c>
      <c r="Q123" s="115">
        <f>tblPiNAnalysis[[#This Row],[SAL]]</f>
        <v>18000</v>
      </c>
      <c r="R123" s="115">
        <f>tblPiNAnalysis[[#This Row],[EDU]]</f>
        <v>6940.3432415920124</v>
      </c>
      <c r="S123" s="115">
        <f>tblPiNAnalysis[[#This Row],[PRO]]</f>
        <v>10683.230233427832</v>
      </c>
      <c r="T123" s="116">
        <f>tblPiNAnalysis[[#This Row],[ASH]]</f>
        <v>6051.1050000000005</v>
      </c>
      <c r="U123" s="300">
        <f>IF(OR(tblPiNHistorical[[#This Row],[SAMV25]]="", tblPiNHistorical[[#This Row],[SAMV25]]=0, tblPiNHistorical[[#This Row],[SAMV26]]="", tblPiNHistorical[[#This Row],[SAMV26]]=0), "", tblPiNHistorical[[#This Row],[SAMV26]]-tblPiNHistorical[[#This Row],[SAMV25]])</f>
        <v>12122</v>
      </c>
      <c r="V123" s="121">
        <f>IF(OR(tblPiNHistorical[[#This Row],[NUT25]]="", tblPiNHistorical[[#This Row],[NUT25]]=0, tblPiNHistorical[[#This Row],[NUT26]]="", tblPiNHistorical[[#This Row],[NUT26]]=0), "", tblPiNHistorical[[#This Row],[NUT26]]-tblPiNHistorical[[#This Row],[NUT25]])</f>
        <v>1550.225308282038</v>
      </c>
      <c r="W123" s="121">
        <f>IF(OR(tblPiNHistorical[[#This Row],[SAL25]]="", tblPiNHistorical[[#This Row],[SAL25]]=0, tblPiNHistorical[[#This Row],[SAL26]]="", tblPiNHistorical[[#This Row],[SAL26]]=0), "", tblPiNHistorical[[#This Row],[SAL26]]-tblPiNHistorical[[#This Row],[SAL25]])</f>
        <v>16157.123989860693</v>
      </c>
      <c r="X123" s="121">
        <f>IF(OR(tblPiNHistorical[[#This Row],[EDU25]]="", tblPiNHistorical[[#This Row],[EDU25]]=0, tblPiNHistorical[[#This Row],[EDU26]]="", tblPiNHistorical[[#This Row],[EDU26]]=0), "", tblPiNHistorical[[#This Row],[EDU26]]-tblPiNHistorical[[#This Row],[EDU25]])</f>
        <v>6074.1855613146163</v>
      </c>
      <c r="Y123" s="121">
        <f>IF(OR(tblPiNHistorical[[#This Row],[PRO25]]="", tblPiNHistorical[[#This Row],[PRO25]]=0, tblPiNHistorical[[#This Row],[PRO26]]="", tblPiNHistorical[[#This Row],[PRO26]]=0), "", tblPiNHistorical[[#This Row],[PRO26]]-tblPiNHistorical[[#This Row],[PRO25]])</f>
        <v>7223.6377759294737</v>
      </c>
      <c r="Z123" s="223" t="str">
        <f>IF(OR(tblPiNHistorical[[#This Row],[ASH25]]="", tblPiNHistorical[[#This Row],[ASH25]]=0, tblPiNHistorical[[#This Row],[ASH26]]="", tblPiNHistorical[[#This Row],[ASH26]]=0), "", tblPiNHistorical[[#This Row],[ASH26]]-tblPiNHistorical[[#This Row],[ASH25]])</f>
        <v/>
      </c>
      <c r="AA12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9.6999999999999993</v>
      </c>
      <c r="AB12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5.0999999999999996</v>
      </c>
      <c r="AC12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8.8000000000000007</v>
      </c>
      <c r="AD12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7</v>
      </c>
      <c r="AE12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2.1</v>
      </c>
      <c r="AF12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6051.105</v>
      </c>
    </row>
    <row r="124" spans="1:32">
      <c r="A12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VenezolanosVE1117</v>
      </c>
      <c r="B124" s="105" t="s">
        <v>316</v>
      </c>
      <c r="C124" s="104" t="s">
        <v>317</v>
      </c>
      <c r="D124" s="119" t="s">
        <v>347</v>
      </c>
      <c r="E124" s="104" t="s">
        <v>348</v>
      </c>
      <c r="F124" s="119"/>
      <c r="G124" s="102">
        <v>13725</v>
      </c>
      <c r="H124" s="102" t="s">
        <v>102</v>
      </c>
      <c r="I124" s="206">
        <v>2416</v>
      </c>
      <c r="J124" s="120">
        <v>573</v>
      </c>
      <c r="K124" s="207">
        <v>3573.7923486948821</v>
      </c>
      <c r="L124" s="207">
        <v>1243.1614033942237</v>
      </c>
      <c r="M124" s="207">
        <v>4879.613239216922</v>
      </c>
      <c r="N124" s="298">
        <v>2745</v>
      </c>
      <c r="O124" s="114">
        <f>tblPiNAnalysis[[#This Row],[SAMV]]</f>
        <v>7455</v>
      </c>
      <c r="P124" s="115">
        <f>tblPiNAnalysis[[#This Row],[NUT]]</f>
        <v>955.34534042100927</v>
      </c>
      <c r="Q124" s="115">
        <f>tblPiNAnalysis[[#This Row],[SAL]]</f>
        <v>10885.03</v>
      </c>
      <c r="R124" s="115">
        <f>tblPiNAnalysis[[#This Row],[EDU]]</f>
        <v>2842.855119104549</v>
      </c>
      <c r="S124" s="115">
        <f>tblPiNAnalysis[[#This Row],[PRO]]</f>
        <v>3558.9482293919218</v>
      </c>
      <c r="T124" s="116">
        <f>tblPiNAnalysis[[#This Row],[ASH]]</f>
        <v>17893.2</v>
      </c>
      <c r="U124" s="300">
        <f>IF(OR(tblPiNHistorical[[#This Row],[SAMV25]]="", tblPiNHistorical[[#This Row],[SAMV25]]=0, tblPiNHistorical[[#This Row],[SAMV26]]="", tblPiNHistorical[[#This Row],[SAMV26]]=0), "", tblPiNHistorical[[#This Row],[SAMV26]]-tblPiNHistorical[[#This Row],[SAMV25]])</f>
        <v>5039</v>
      </c>
      <c r="V124" s="121">
        <f>IF(OR(tblPiNHistorical[[#This Row],[NUT25]]="", tblPiNHistorical[[#This Row],[NUT25]]=0, tblPiNHistorical[[#This Row],[NUT26]]="", tblPiNHistorical[[#This Row],[NUT26]]=0), "", tblPiNHistorical[[#This Row],[NUT26]]-tblPiNHistorical[[#This Row],[NUT25]])</f>
        <v>382.34534042100927</v>
      </c>
      <c r="W124" s="121">
        <f>IF(OR(tblPiNHistorical[[#This Row],[SAL25]]="", tblPiNHistorical[[#This Row],[SAL25]]=0, tblPiNHistorical[[#This Row],[SAL26]]="", tblPiNHistorical[[#This Row],[SAL26]]=0), "", tblPiNHistorical[[#This Row],[SAL26]]-tblPiNHistorical[[#This Row],[SAL25]])</f>
        <v>7311.2376513051186</v>
      </c>
      <c r="X124" s="121">
        <f>IF(OR(tblPiNHistorical[[#This Row],[EDU25]]="", tblPiNHistorical[[#This Row],[EDU25]]=0, tblPiNHistorical[[#This Row],[EDU26]]="", tblPiNHistorical[[#This Row],[EDU26]]=0), "", tblPiNHistorical[[#This Row],[EDU26]]-tblPiNHistorical[[#This Row],[EDU25]])</f>
        <v>1599.6937157103253</v>
      </c>
      <c r="Y124" s="121">
        <f>IF(OR(tblPiNHistorical[[#This Row],[PRO25]]="", tblPiNHistorical[[#This Row],[PRO25]]=0, tblPiNHistorical[[#This Row],[PRO26]]="", tblPiNHistorical[[#This Row],[PRO26]]=0), "", tblPiNHistorical[[#This Row],[PRO26]]-tblPiNHistorical[[#This Row],[PRO25]])</f>
        <v>-1320.6650098250002</v>
      </c>
      <c r="Z124" s="223">
        <f>IF(OR(tblPiNHistorical[[#This Row],[ASH25]]="", tblPiNHistorical[[#This Row],[ASH25]]=0, tblPiNHistorical[[#This Row],[ASH26]]="", tblPiNHistorical[[#This Row],[ASH26]]=0), "", tblPiNHistorical[[#This Row],[ASH26]]-tblPiNHistorical[[#This Row],[ASH25]])</f>
        <v>15148.2</v>
      </c>
      <c r="AA12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2.1</v>
      </c>
      <c r="AB12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12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v>
      </c>
      <c r="AD12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1.3</v>
      </c>
      <c r="AE12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124"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5.5</v>
      </c>
    </row>
    <row r="125" spans="1:32">
      <c r="A12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VenezolanosVE1118</v>
      </c>
      <c r="B125" s="105" t="s">
        <v>316</v>
      </c>
      <c r="C125" s="104" t="s">
        <v>317</v>
      </c>
      <c r="D125" s="119" t="s">
        <v>147</v>
      </c>
      <c r="E125" s="104" t="s">
        <v>349</v>
      </c>
      <c r="F125" s="119"/>
      <c r="G125" s="102">
        <v>10628</v>
      </c>
      <c r="H125" s="102" t="s">
        <v>102</v>
      </c>
      <c r="I125" s="206">
        <v>1871</v>
      </c>
      <c r="J125" s="120">
        <v>437</v>
      </c>
      <c r="K125" s="207">
        <v>2767.2863958704756</v>
      </c>
      <c r="L125" s="207">
        <v>851.8814793205521</v>
      </c>
      <c r="M125" s="207">
        <v>5195.4993130270659</v>
      </c>
      <c r="N125" s="298">
        <v>5314</v>
      </c>
      <c r="O125" s="114">
        <f>tblPiNAnalysis[[#This Row],[SAMV]]</f>
        <v>9894</v>
      </c>
      <c r="P125" s="115">
        <f>tblPiNAnalysis[[#This Row],[NUT]]</f>
        <v>1291.7422728640395</v>
      </c>
      <c r="Q125" s="115">
        <f>tblPiNAnalysis[[#This Row],[SAL]]</f>
        <v>8125.9949999999999</v>
      </c>
      <c r="R125" s="115">
        <f>tblPiNAnalysis[[#This Row],[EDU]]</f>
        <v>2363.3583442033496</v>
      </c>
      <c r="S125" s="115">
        <f>tblPiNAnalysis[[#This Row],[PRO]]</f>
        <v>4445.408603932503</v>
      </c>
      <c r="T125" s="116">
        <f>tblPiNAnalysis[[#This Row],[ASH]]</f>
        <v>17810.400000000001</v>
      </c>
      <c r="U125" s="300">
        <f>IF(OR(tblPiNHistorical[[#This Row],[SAMV25]]="", tblPiNHistorical[[#This Row],[SAMV25]]=0, tblPiNHistorical[[#This Row],[SAMV26]]="", tblPiNHistorical[[#This Row],[SAMV26]]=0), "", tblPiNHistorical[[#This Row],[SAMV26]]-tblPiNHistorical[[#This Row],[SAMV25]])</f>
        <v>8023</v>
      </c>
      <c r="V125" s="121">
        <f>IF(OR(tblPiNHistorical[[#This Row],[NUT25]]="", tblPiNHistorical[[#This Row],[NUT25]]=0, tblPiNHistorical[[#This Row],[NUT26]]="", tblPiNHistorical[[#This Row],[NUT26]]=0), "", tblPiNHistorical[[#This Row],[NUT26]]-tblPiNHistorical[[#This Row],[NUT25]])</f>
        <v>854.74227286403948</v>
      </c>
      <c r="W125" s="121">
        <f>IF(OR(tblPiNHistorical[[#This Row],[SAL25]]="", tblPiNHistorical[[#This Row],[SAL25]]=0, tblPiNHistorical[[#This Row],[SAL26]]="", tblPiNHistorical[[#This Row],[SAL26]]=0), "", tblPiNHistorical[[#This Row],[SAL26]]-tblPiNHistorical[[#This Row],[SAL25]])</f>
        <v>5358.7086041295242</v>
      </c>
      <c r="X125" s="121">
        <f>IF(OR(tblPiNHistorical[[#This Row],[EDU25]]="", tblPiNHistorical[[#This Row],[EDU25]]=0, tblPiNHistorical[[#This Row],[EDU26]]="", tblPiNHistorical[[#This Row],[EDU26]]=0), "", tblPiNHistorical[[#This Row],[EDU26]]-tblPiNHistorical[[#This Row],[EDU25]])</f>
        <v>1511.4768648827976</v>
      </c>
      <c r="Y125" s="121">
        <f>IF(OR(tblPiNHistorical[[#This Row],[PRO25]]="", tblPiNHistorical[[#This Row],[PRO25]]=0, tblPiNHistorical[[#This Row],[PRO26]]="", tblPiNHistorical[[#This Row],[PRO26]]=0), "", tblPiNHistorical[[#This Row],[PRO26]]-tblPiNHistorical[[#This Row],[PRO25]])</f>
        <v>-750.09070909456295</v>
      </c>
      <c r="Z125" s="223">
        <f>IF(OR(tblPiNHistorical[[#This Row],[ASH25]]="", tblPiNHistorical[[#This Row],[ASH25]]=0, tblPiNHistorical[[#This Row],[ASH26]]="", tblPiNHistorical[[#This Row],[ASH26]]=0), "", tblPiNHistorical[[#This Row],[ASH26]]-tblPiNHistorical[[#This Row],[ASH25]])</f>
        <v>12496.400000000001</v>
      </c>
      <c r="AA12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4.3</v>
      </c>
      <c r="AB12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v>
      </c>
      <c r="AC12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1.9</v>
      </c>
      <c r="AD12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1.8</v>
      </c>
      <c r="AE12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125"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2.4</v>
      </c>
    </row>
    <row r="126" spans="1:32">
      <c r="A12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VenezolanosVE1119</v>
      </c>
      <c r="B126" s="105" t="s">
        <v>316</v>
      </c>
      <c r="C126" s="104" t="s">
        <v>317</v>
      </c>
      <c r="D126" s="119" t="s">
        <v>350</v>
      </c>
      <c r="E126" s="104" t="s">
        <v>351</v>
      </c>
      <c r="F126" s="119"/>
      <c r="G126" s="102">
        <v>11030</v>
      </c>
      <c r="H126" s="102" t="s">
        <v>102</v>
      </c>
      <c r="I126" s="206">
        <v>1941</v>
      </c>
      <c r="J126" s="120">
        <v>424</v>
      </c>
      <c r="K126" s="207">
        <v>2871.319719023501</v>
      </c>
      <c r="L126" s="207">
        <v>885.46806776286758</v>
      </c>
      <c r="M126" s="207">
        <v>5392.017070256732</v>
      </c>
      <c r="N126" s="298">
        <v>5515</v>
      </c>
      <c r="O126" s="114">
        <f>tblPiNAnalysis[[#This Row],[SAMV]]</f>
        <v>7019</v>
      </c>
      <c r="P126" s="115">
        <f>tblPiNAnalysis[[#This Row],[NUT]]</f>
        <v>1363.3115695584729</v>
      </c>
      <c r="Q126" s="115">
        <f>tblPiNAnalysis[[#This Row],[SAL]]</f>
        <v>11200</v>
      </c>
      <c r="R126" s="115">
        <f>tblPiNAnalysis[[#This Row],[EDU]]</f>
        <v>757.95896507376585</v>
      </c>
      <c r="S126" s="115">
        <f>tblPiNAnalysis[[#This Row],[PRO]]</f>
        <v>5926.6955332376046</v>
      </c>
      <c r="T126" s="116">
        <f>tblPiNAnalysis[[#This Row],[ASH]]</f>
        <v>17769.599999999999</v>
      </c>
      <c r="U126" s="300">
        <f>IF(OR(tblPiNHistorical[[#This Row],[SAMV25]]="", tblPiNHistorical[[#This Row],[SAMV25]]=0, tblPiNHistorical[[#This Row],[SAMV26]]="", tblPiNHistorical[[#This Row],[SAMV26]]=0), "", tblPiNHistorical[[#This Row],[SAMV26]]-tblPiNHistorical[[#This Row],[SAMV25]])</f>
        <v>5078</v>
      </c>
      <c r="V126" s="121">
        <f>IF(OR(tblPiNHistorical[[#This Row],[NUT25]]="", tblPiNHistorical[[#This Row],[NUT25]]=0, tblPiNHistorical[[#This Row],[NUT26]]="", tblPiNHistorical[[#This Row],[NUT26]]=0), "", tblPiNHistorical[[#This Row],[NUT26]]-tblPiNHistorical[[#This Row],[NUT25]])</f>
        <v>939.31156955847291</v>
      </c>
      <c r="W126" s="121">
        <f>IF(OR(tblPiNHistorical[[#This Row],[SAL25]]="", tblPiNHistorical[[#This Row],[SAL25]]=0, tblPiNHistorical[[#This Row],[SAL26]]="", tblPiNHistorical[[#This Row],[SAL26]]=0), "", tblPiNHistorical[[#This Row],[SAL26]]-tblPiNHistorical[[#This Row],[SAL25]])</f>
        <v>8328.6802809764995</v>
      </c>
      <c r="X126" s="121">
        <f>IF(OR(tblPiNHistorical[[#This Row],[EDU25]]="", tblPiNHistorical[[#This Row],[EDU25]]=0, tblPiNHistorical[[#This Row],[EDU26]]="", tblPiNHistorical[[#This Row],[EDU26]]=0), "", tblPiNHistorical[[#This Row],[EDU26]]-tblPiNHistorical[[#This Row],[EDU25]])</f>
        <v>-127.50910268910172</v>
      </c>
      <c r="Y126" s="121">
        <f>IF(OR(tblPiNHistorical[[#This Row],[PRO25]]="", tblPiNHistorical[[#This Row],[PRO25]]=0, tblPiNHistorical[[#This Row],[PRO26]]="", tblPiNHistorical[[#This Row],[PRO26]]=0), "", tblPiNHistorical[[#This Row],[PRO26]]-tblPiNHistorical[[#This Row],[PRO25]])</f>
        <v>534.67846298087261</v>
      </c>
      <c r="Z126" s="223">
        <f>IF(OR(tblPiNHistorical[[#This Row],[ASH25]]="", tblPiNHistorical[[#This Row],[ASH25]]=0, tblPiNHistorical[[#This Row],[ASH26]]="", tblPiNHistorical[[#This Row],[ASH26]]=0), "", tblPiNHistorical[[#This Row],[ASH26]]-tblPiNHistorical[[#This Row],[ASH25]])</f>
        <v>12254.599999999999</v>
      </c>
      <c r="AA12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2.6</v>
      </c>
      <c r="AB12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2.2000000000000002</v>
      </c>
      <c r="AC12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2.9</v>
      </c>
      <c r="AD12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12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126"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2.2000000000000002</v>
      </c>
    </row>
    <row r="127" spans="1:32">
      <c r="A12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VenezolanosVE1120</v>
      </c>
      <c r="B127" s="105" t="s">
        <v>316</v>
      </c>
      <c r="C127" s="104" t="s">
        <v>317</v>
      </c>
      <c r="D127" s="119" t="s">
        <v>352</v>
      </c>
      <c r="E127" s="104" t="s">
        <v>353</v>
      </c>
      <c r="F127" s="119"/>
      <c r="G127" s="102">
        <v>32193</v>
      </c>
      <c r="H127" s="102" t="s">
        <v>102</v>
      </c>
      <c r="I127" s="206">
        <v>5666</v>
      </c>
      <c r="J127" s="120">
        <v>1400</v>
      </c>
      <c r="K127" s="207">
        <v>8382.1134654723319</v>
      </c>
      <c r="L127" s="207">
        <v>3355.4702705628233</v>
      </c>
      <c r="M127" s="207">
        <v>9707.1855945418774</v>
      </c>
      <c r="N127" s="298">
        <v>0</v>
      </c>
      <c r="O127" s="114">
        <f>tblPiNAnalysis[[#This Row],[SAMV]]</f>
        <v>6973</v>
      </c>
      <c r="P127" s="115">
        <f>tblPiNAnalysis[[#This Row],[NUT]]</f>
        <v>2565.9408945649348</v>
      </c>
      <c r="Q127" s="115">
        <f>tblPiNAnalysis[[#This Row],[SAL]]</f>
        <v>14337.93</v>
      </c>
      <c r="R127" s="115">
        <f>tblPiNAnalysis[[#This Row],[EDU]]</f>
        <v>3248.3825137372783</v>
      </c>
      <c r="S127" s="115">
        <f>tblPiNAnalysis[[#This Row],[PRO]]</f>
        <v>4368.6616649839143</v>
      </c>
      <c r="T127" s="116">
        <f>tblPiNAnalysis[[#This Row],[ASH]]</f>
        <v>17676.900000000001</v>
      </c>
      <c r="U127" s="300">
        <f>IF(OR(tblPiNHistorical[[#This Row],[SAMV25]]="", tblPiNHistorical[[#This Row],[SAMV25]]=0, tblPiNHistorical[[#This Row],[SAMV26]]="", tblPiNHistorical[[#This Row],[SAMV26]]=0), "", tblPiNHistorical[[#This Row],[SAMV26]]-tblPiNHistorical[[#This Row],[SAMV25]])</f>
        <v>1307</v>
      </c>
      <c r="V127" s="121">
        <f>IF(OR(tblPiNHistorical[[#This Row],[NUT25]]="", tblPiNHistorical[[#This Row],[NUT25]]=0, tblPiNHistorical[[#This Row],[NUT26]]="", tblPiNHistorical[[#This Row],[NUT26]]=0), "", tblPiNHistorical[[#This Row],[NUT26]]-tblPiNHistorical[[#This Row],[NUT25]])</f>
        <v>1165.9408945649348</v>
      </c>
      <c r="W127" s="121">
        <f>IF(OR(tblPiNHistorical[[#This Row],[SAL25]]="", tblPiNHistorical[[#This Row],[SAL25]]=0, tblPiNHistorical[[#This Row],[SAL26]]="", tblPiNHistorical[[#This Row],[SAL26]]=0), "", tblPiNHistorical[[#This Row],[SAL26]]-tblPiNHistorical[[#This Row],[SAL25]])</f>
        <v>5955.8165345276684</v>
      </c>
      <c r="X127" s="121">
        <f>IF(OR(tblPiNHistorical[[#This Row],[EDU25]]="", tblPiNHistorical[[#This Row],[EDU25]]=0, tblPiNHistorical[[#This Row],[EDU26]]="", tblPiNHistorical[[#This Row],[EDU26]]=0), "", tblPiNHistorical[[#This Row],[EDU26]]-tblPiNHistorical[[#This Row],[EDU25]])</f>
        <v>-107.08775682554506</v>
      </c>
      <c r="Y127" s="121">
        <f>IF(OR(tblPiNHistorical[[#This Row],[PRO25]]="", tblPiNHistorical[[#This Row],[PRO25]]=0, tblPiNHistorical[[#This Row],[PRO26]]="", tblPiNHistorical[[#This Row],[PRO26]]=0), "", tblPiNHistorical[[#This Row],[PRO26]]-tblPiNHistorical[[#This Row],[PRO25]])</f>
        <v>-5338.5239295579631</v>
      </c>
      <c r="Z127" s="223" t="str">
        <f>IF(OR(tblPiNHistorical[[#This Row],[ASH25]]="", tblPiNHistorical[[#This Row],[ASH25]]=0, tblPiNHistorical[[#This Row],[ASH26]]="", tblPiNHistorical[[#This Row],[ASH26]]=0), "", tblPiNHistorical[[#This Row],[ASH26]]-tblPiNHistorical[[#This Row],[ASH25]])</f>
        <v/>
      </c>
      <c r="AA12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12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12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12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v>
      </c>
      <c r="AE12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12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17676.9</v>
      </c>
    </row>
    <row r="128" spans="1:32">
      <c r="A12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VenezolanosVE1121</v>
      </c>
      <c r="B128" s="105" t="s">
        <v>316</v>
      </c>
      <c r="C128" s="104" t="s">
        <v>317</v>
      </c>
      <c r="D128" s="119" t="s">
        <v>203</v>
      </c>
      <c r="E128" s="104" t="s">
        <v>354</v>
      </c>
      <c r="F128" s="119"/>
      <c r="G128" s="102">
        <v>5781</v>
      </c>
      <c r="H128" s="102" t="s">
        <v>102</v>
      </c>
      <c r="I128" s="206">
        <v>1017</v>
      </c>
      <c r="J128" s="120">
        <v>221</v>
      </c>
      <c r="K128" s="207">
        <v>1505.0154082804343</v>
      </c>
      <c r="L128" s="207">
        <v>458.38534779432632</v>
      </c>
      <c r="M128" s="207">
        <v>2826.0426729967512</v>
      </c>
      <c r="N128" s="298">
        <v>2891</v>
      </c>
      <c r="O128" s="114">
        <f>tblPiNAnalysis[[#This Row],[SAMV]]</f>
        <v>5510</v>
      </c>
      <c r="P128" s="115">
        <f>tblPiNAnalysis[[#This Row],[NUT]]</f>
        <v>2015.750991920838</v>
      </c>
      <c r="Q128" s="115">
        <f>tblPiNAnalysis[[#This Row],[SAL]]</f>
        <v>17634.244999999999</v>
      </c>
      <c r="R128" s="115">
        <f>tblPiNAnalysis[[#This Row],[EDU]]</f>
        <v>7159.9278576803681</v>
      </c>
      <c r="S128" s="115">
        <f>tblPiNAnalysis[[#This Row],[PRO]]</f>
        <v>9594.9363090728602</v>
      </c>
      <c r="T128" s="116">
        <f>tblPiNAnalysis[[#This Row],[ASH]]</f>
        <v>6522.2550000000001</v>
      </c>
      <c r="U128" s="300">
        <f>IF(OR(tblPiNHistorical[[#This Row],[SAMV25]]="", tblPiNHistorical[[#This Row],[SAMV25]]=0, tblPiNHistorical[[#This Row],[SAMV26]]="", tblPiNHistorical[[#This Row],[SAMV26]]=0), "", tblPiNHistorical[[#This Row],[SAMV26]]-tblPiNHistorical[[#This Row],[SAMV25]])</f>
        <v>4493</v>
      </c>
      <c r="V128" s="121">
        <f>IF(OR(tblPiNHistorical[[#This Row],[NUT25]]="", tblPiNHistorical[[#This Row],[NUT25]]=0, tblPiNHistorical[[#This Row],[NUT26]]="", tblPiNHistorical[[#This Row],[NUT26]]=0), "", tblPiNHistorical[[#This Row],[NUT26]]-tblPiNHistorical[[#This Row],[NUT25]])</f>
        <v>1794.750991920838</v>
      </c>
      <c r="W128" s="121">
        <f>IF(OR(tblPiNHistorical[[#This Row],[SAL25]]="", tblPiNHistorical[[#This Row],[SAL25]]=0, tblPiNHistorical[[#This Row],[SAL26]]="", tblPiNHistorical[[#This Row],[SAL26]]=0), "", tblPiNHistorical[[#This Row],[SAL26]]-tblPiNHistorical[[#This Row],[SAL25]])</f>
        <v>16129.229591719564</v>
      </c>
      <c r="X128" s="121">
        <f>IF(OR(tblPiNHistorical[[#This Row],[EDU25]]="", tblPiNHistorical[[#This Row],[EDU25]]=0, tblPiNHistorical[[#This Row],[EDU26]]="", tblPiNHistorical[[#This Row],[EDU26]]=0), "", tblPiNHistorical[[#This Row],[EDU26]]-tblPiNHistorical[[#This Row],[EDU25]])</f>
        <v>6701.5425098860414</v>
      </c>
      <c r="Y128" s="121">
        <f>IF(OR(tblPiNHistorical[[#This Row],[PRO25]]="", tblPiNHistorical[[#This Row],[PRO25]]=0, tblPiNHistorical[[#This Row],[PRO26]]="", tblPiNHistorical[[#This Row],[PRO26]]=0), "", tblPiNHistorical[[#This Row],[PRO26]]-tblPiNHistorical[[#This Row],[PRO25]])</f>
        <v>6768.893636076109</v>
      </c>
      <c r="Z128" s="223">
        <f>IF(OR(tblPiNHistorical[[#This Row],[ASH25]]="", tblPiNHistorical[[#This Row],[ASH25]]=0, tblPiNHistorical[[#This Row],[ASH26]]="", tblPiNHistorical[[#This Row],[ASH26]]=0), "", tblPiNHistorical[[#This Row],[ASH26]]-tblPiNHistorical[[#This Row],[ASH25]])</f>
        <v>3631.2550000000001</v>
      </c>
      <c r="AA12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4.4000000000000004</v>
      </c>
      <c r="AB12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8.1</v>
      </c>
      <c r="AC12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10.7</v>
      </c>
      <c r="AD12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14.6</v>
      </c>
      <c r="AE12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2.4</v>
      </c>
      <c r="AF128"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1.3</v>
      </c>
    </row>
    <row r="129" spans="1:32">
      <c r="A12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VenezolanosVE1122</v>
      </c>
      <c r="B129" s="105" t="s">
        <v>316</v>
      </c>
      <c r="C129" s="104" t="s">
        <v>317</v>
      </c>
      <c r="D129" s="119" t="s">
        <v>355</v>
      </c>
      <c r="E129" s="104" t="s">
        <v>356</v>
      </c>
      <c r="F129" s="119"/>
      <c r="G129" s="102">
        <v>5519</v>
      </c>
      <c r="H129" s="102" t="s">
        <v>102</v>
      </c>
      <c r="I129" s="206">
        <v>971</v>
      </c>
      <c r="J129" s="120">
        <v>241</v>
      </c>
      <c r="K129" s="207">
        <v>1436.650653065589</v>
      </c>
      <c r="L129" s="207">
        <v>339.85576367412489</v>
      </c>
      <c r="M129" s="207">
        <v>2697.963935697815</v>
      </c>
      <c r="N129" s="298">
        <v>1104</v>
      </c>
      <c r="O129" s="114">
        <f>tblPiNAnalysis[[#This Row],[SAMV]]</f>
        <v>10773</v>
      </c>
      <c r="P129" s="115">
        <f>tblPiNAnalysis[[#This Row],[NUT]]</f>
        <v>5570.5708381610048</v>
      </c>
      <c r="Q129" s="115">
        <f>tblPiNAnalysis[[#This Row],[SAL]]</f>
        <v>17617.82</v>
      </c>
      <c r="R129" s="115">
        <f>tblPiNAnalysis[[#This Row],[EDU]]</f>
        <v>3108.3234911339991</v>
      </c>
      <c r="S129" s="115">
        <f>tblPiNAnalysis[[#This Row],[PRO]]</f>
        <v>11554.646427566071</v>
      </c>
      <c r="T129" s="116">
        <f>tblPiNAnalysis[[#This Row],[ASH]]</f>
        <v>0</v>
      </c>
      <c r="U129" s="300">
        <f>IF(OR(tblPiNHistorical[[#This Row],[SAMV25]]="", tblPiNHistorical[[#This Row],[SAMV25]]=0, tblPiNHistorical[[#This Row],[SAMV26]]="", tblPiNHistorical[[#This Row],[SAMV26]]=0), "", tblPiNHistorical[[#This Row],[SAMV26]]-tblPiNHistorical[[#This Row],[SAMV25]])</f>
        <v>9802</v>
      </c>
      <c r="V129" s="121">
        <f>IF(OR(tblPiNHistorical[[#This Row],[NUT25]]="", tblPiNHistorical[[#This Row],[NUT25]]=0, tblPiNHistorical[[#This Row],[NUT26]]="", tblPiNHistorical[[#This Row],[NUT26]]=0), "", tblPiNHistorical[[#This Row],[NUT26]]-tblPiNHistorical[[#This Row],[NUT25]])</f>
        <v>5329.5708381610048</v>
      </c>
      <c r="W129" s="121">
        <f>IF(OR(tblPiNHistorical[[#This Row],[SAL25]]="", tblPiNHistorical[[#This Row],[SAL25]]=0, tblPiNHistorical[[#This Row],[SAL26]]="", tblPiNHistorical[[#This Row],[SAL26]]=0), "", tblPiNHistorical[[#This Row],[SAL26]]-tblPiNHistorical[[#This Row],[SAL25]])</f>
        <v>16181.16934693441</v>
      </c>
      <c r="X129" s="121">
        <f>IF(OR(tblPiNHistorical[[#This Row],[EDU25]]="", tblPiNHistorical[[#This Row],[EDU25]]=0, tblPiNHistorical[[#This Row],[EDU26]]="", tblPiNHistorical[[#This Row],[EDU26]]=0), "", tblPiNHistorical[[#This Row],[EDU26]]-tblPiNHistorical[[#This Row],[EDU25]])</f>
        <v>2768.4677274598744</v>
      </c>
      <c r="Y129" s="121">
        <f>IF(OR(tblPiNHistorical[[#This Row],[PRO25]]="", tblPiNHistorical[[#This Row],[PRO25]]=0, tblPiNHistorical[[#This Row],[PRO26]]="", tblPiNHistorical[[#This Row],[PRO26]]=0), "", tblPiNHistorical[[#This Row],[PRO26]]-tblPiNHistorical[[#This Row],[PRO25]])</f>
        <v>8856.682491868256</v>
      </c>
      <c r="Z129" s="223" t="str">
        <f>IF(OR(tblPiNHistorical[[#This Row],[ASH25]]="", tblPiNHistorical[[#This Row],[ASH25]]=0, tblPiNHistorical[[#This Row],[ASH26]]="", tblPiNHistorical[[#This Row],[ASH26]]=0), "", tblPiNHistorical[[#This Row],[ASH26]]-tblPiNHistorical[[#This Row],[ASH25]])</f>
        <v/>
      </c>
      <c r="AA12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10.1</v>
      </c>
      <c r="AB12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22.1</v>
      </c>
      <c r="AC12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11.3</v>
      </c>
      <c r="AD12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8.1</v>
      </c>
      <c r="AE12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3.3</v>
      </c>
      <c r="AF12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1104</v>
      </c>
    </row>
    <row r="130" spans="1:32">
      <c r="A13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VenezolanosVE1123</v>
      </c>
      <c r="B130" s="105" t="s">
        <v>316</v>
      </c>
      <c r="C130" s="104" t="s">
        <v>317</v>
      </c>
      <c r="D130" s="119" t="s">
        <v>357</v>
      </c>
      <c r="E130" s="104" t="s">
        <v>358</v>
      </c>
      <c r="F130" s="119"/>
      <c r="G130" s="102">
        <v>15660</v>
      </c>
      <c r="H130" s="102" t="s">
        <v>102</v>
      </c>
      <c r="I130" s="206">
        <v>2756</v>
      </c>
      <c r="J130" s="120">
        <v>728</v>
      </c>
      <c r="K130" s="207">
        <v>4077.1154740447573</v>
      </c>
      <c r="L130" s="207">
        <v>1884.418263386061</v>
      </c>
      <c r="M130" s="207">
        <v>7655.3932293944172</v>
      </c>
      <c r="N130" s="298">
        <v>9396</v>
      </c>
      <c r="O130" s="114">
        <f>tblPiNAnalysis[[#This Row],[SAMV]]</f>
        <v>8556</v>
      </c>
      <c r="P130" s="115">
        <f>tblPiNAnalysis[[#This Row],[NUT]]</f>
        <v>805.38895250687324</v>
      </c>
      <c r="Q130" s="115">
        <f>tblPiNAnalysis[[#This Row],[SAL]]</f>
        <v>17400</v>
      </c>
      <c r="R130" s="115">
        <f>tblPiNAnalysis[[#This Row],[EDU]]</f>
        <v>2479.4893026590148</v>
      </c>
      <c r="S130" s="115">
        <f>tblPiNAnalysis[[#This Row],[PRO]]</f>
        <v>4107.0443748487796</v>
      </c>
      <c r="T130" s="116">
        <f>tblPiNAnalysis[[#This Row],[ASH]]</f>
        <v>0</v>
      </c>
      <c r="U130" s="300">
        <f>IF(OR(tblPiNHistorical[[#This Row],[SAMV25]]="", tblPiNHistorical[[#This Row],[SAMV25]]=0, tblPiNHistorical[[#This Row],[SAMV26]]="", tblPiNHistorical[[#This Row],[SAMV26]]=0), "", tblPiNHistorical[[#This Row],[SAMV26]]-tblPiNHistorical[[#This Row],[SAMV25]])</f>
        <v>5800</v>
      </c>
      <c r="V130" s="121">
        <f>IF(OR(tblPiNHistorical[[#This Row],[NUT25]]="", tblPiNHistorical[[#This Row],[NUT25]]=0, tblPiNHistorical[[#This Row],[NUT26]]="", tblPiNHistorical[[#This Row],[NUT26]]=0), "", tblPiNHistorical[[#This Row],[NUT26]]-tblPiNHistorical[[#This Row],[NUT25]])</f>
        <v>77.388952506873238</v>
      </c>
      <c r="W130" s="121">
        <f>IF(OR(tblPiNHistorical[[#This Row],[SAL25]]="", tblPiNHistorical[[#This Row],[SAL25]]=0, tblPiNHistorical[[#This Row],[SAL26]]="", tblPiNHistorical[[#This Row],[SAL26]]=0), "", tblPiNHistorical[[#This Row],[SAL26]]-tblPiNHistorical[[#This Row],[SAL25]])</f>
        <v>13322.884525955244</v>
      </c>
      <c r="X130" s="121">
        <f>IF(OR(tblPiNHistorical[[#This Row],[EDU25]]="", tblPiNHistorical[[#This Row],[EDU25]]=0, tblPiNHistorical[[#This Row],[EDU26]]="", tblPiNHistorical[[#This Row],[EDU26]]=0), "", tblPiNHistorical[[#This Row],[EDU26]]-tblPiNHistorical[[#This Row],[EDU25]])</f>
        <v>595.07103927295384</v>
      </c>
      <c r="Y130" s="121">
        <f>IF(OR(tblPiNHistorical[[#This Row],[PRO25]]="", tblPiNHistorical[[#This Row],[PRO25]]=0, tblPiNHistorical[[#This Row],[PRO26]]="", tblPiNHistorical[[#This Row],[PRO26]]=0), "", tblPiNHistorical[[#This Row],[PRO26]]-tblPiNHistorical[[#This Row],[PRO25]])</f>
        <v>-3548.3488545456376</v>
      </c>
      <c r="Z130" s="223" t="str">
        <f>IF(OR(tblPiNHistorical[[#This Row],[ASH25]]="", tblPiNHistorical[[#This Row],[ASH25]]=0, tblPiNHistorical[[#This Row],[ASH26]]="", tblPiNHistorical[[#This Row],[ASH26]]=0), "", tblPiNHistorical[[#This Row],[ASH26]]-tblPiNHistorical[[#This Row],[ASH25]])</f>
        <v/>
      </c>
      <c r="AA13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2.1</v>
      </c>
      <c r="AB13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13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3.3</v>
      </c>
      <c r="AD13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13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13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9396</v>
      </c>
    </row>
    <row r="131" spans="1:32">
      <c r="A13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VenezolanosVE1124</v>
      </c>
      <c r="B131" s="105" t="s">
        <v>316</v>
      </c>
      <c r="C131" s="104" t="s">
        <v>317</v>
      </c>
      <c r="D131" s="119" t="s">
        <v>359</v>
      </c>
      <c r="E131" s="104" t="s">
        <v>360</v>
      </c>
      <c r="F131" s="119"/>
      <c r="G131" s="102">
        <v>8349</v>
      </c>
      <c r="H131" s="102" t="s">
        <v>102</v>
      </c>
      <c r="I131" s="206">
        <v>1469</v>
      </c>
      <c r="J131" s="120">
        <v>295</v>
      </c>
      <c r="K131" s="207">
        <v>2173.8010571213117</v>
      </c>
      <c r="L131" s="207">
        <v>619.05184276947875</v>
      </c>
      <c r="M131" s="207">
        <v>4081.4098385832681</v>
      </c>
      <c r="N131" s="298">
        <v>0</v>
      </c>
      <c r="O131" s="114">
        <f>tblPiNAnalysis[[#This Row],[SAMV]]</f>
        <v>2227</v>
      </c>
      <c r="P131" s="115">
        <f>tblPiNAnalysis[[#This Row],[NUT]]</f>
        <v>825.50543134974737</v>
      </c>
      <c r="Q131" s="115">
        <f>tblPiNAnalysis[[#This Row],[SAL]]</f>
        <v>10566.02</v>
      </c>
      <c r="R131" s="115">
        <f>tblPiNAnalysis[[#This Row],[EDU]]</f>
        <v>1866.5807147718033</v>
      </c>
      <c r="S131" s="115">
        <f>tblPiNAnalysis[[#This Row],[PRO]]</f>
        <v>5812.0702216150503</v>
      </c>
      <c r="T131" s="116">
        <f>tblPiNAnalysis[[#This Row],[ASH]]</f>
        <v>17368.8</v>
      </c>
      <c r="U131" s="300">
        <f>IF(OR(tblPiNHistorical[[#This Row],[SAMV25]]="", tblPiNHistorical[[#This Row],[SAMV25]]=0, tblPiNHistorical[[#This Row],[SAMV26]]="", tblPiNHistorical[[#This Row],[SAMV26]]=0), "", tblPiNHistorical[[#This Row],[SAMV26]]-tblPiNHistorical[[#This Row],[SAMV25]])</f>
        <v>758</v>
      </c>
      <c r="V131" s="121">
        <f>IF(OR(tblPiNHistorical[[#This Row],[NUT25]]="", tblPiNHistorical[[#This Row],[NUT25]]=0, tblPiNHistorical[[#This Row],[NUT26]]="", tblPiNHistorical[[#This Row],[NUT26]]=0), "", tblPiNHistorical[[#This Row],[NUT26]]-tblPiNHistorical[[#This Row],[NUT25]])</f>
        <v>530.50543134974737</v>
      </c>
      <c r="W131" s="121">
        <f>IF(OR(tblPiNHistorical[[#This Row],[SAL25]]="", tblPiNHistorical[[#This Row],[SAL25]]=0, tblPiNHistorical[[#This Row],[SAL26]]="", tblPiNHistorical[[#This Row],[SAL26]]=0), "", tblPiNHistorical[[#This Row],[SAL26]]-tblPiNHistorical[[#This Row],[SAL25]])</f>
        <v>8392.2189428786878</v>
      </c>
      <c r="X131" s="121">
        <f>IF(OR(tblPiNHistorical[[#This Row],[EDU25]]="", tblPiNHistorical[[#This Row],[EDU25]]=0, tblPiNHistorical[[#This Row],[EDU26]]="", tblPiNHistorical[[#This Row],[EDU26]]=0), "", tblPiNHistorical[[#This Row],[EDU26]]-tblPiNHistorical[[#This Row],[EDU25]])</f>
        <v>1247.5288720023245</v>
      </c>
      <c r="Y131" s="121">
        <f>IF(OR(tblPiNHistorical[[#This Row],[PRO25]]="", tblPiNHistorical[[#This Row],[PRO25]]=0, tblPiNHistorical[[#This Row],[PRO26]]="", tblPiNHistorical[[#This Row],[PRO26]]=0), "", tblPiNHistorical[[#This Row],[PRO26]]-tblPiNHistorical[[#This Row],[PRO25]])</f>
        <v>1730.6603830317822</v>
      </c>
      <c r="Z131" s="223" t="str">
        <f>IF(OR(tblPiNHistorical[[#This Row],[ASH25]]="", tblPiNHistorical[[#This Row],[ASH25]]=0, tblPiNHistorical[[#This Row],[ASH26]]="", tblPiNHistorical[[#This Row],[ASH26]]=0), "", tblPiNHistorical[[#This Row],[ASH26]]-tblPiNHistorical[[#This Row],[ASH25]])</f>
        <v/>
      </c>
      <c r="AA13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13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1.8</v>
      </c>
      <c r="AC13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3.9</v>
      </c>
      <c r="AD13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v>
      </c>
      <c r="AE13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13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17368.8</v>
      </c>
    </row>
    <row r="132" spans="1:32">
      <c r="A13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VenezolanosVE1125</v>
      </c>
      <c r="B132" s="105" t="s">
        <v>316</v>
      </c>
      <c r="C132" s="104" t="s">
        <v>317</v>
      </c>
      <c r="D132" s="119" t="s">
        <v>209</v>
      </c>
      <c r="E132" s="104" t="s">
        <v>361</v>
      </c>
      <c r="F132" s="119"/>
      <c r="G132" s="102">
        <v>33210</v>
      </c>
      <c r="H132" s="102" t="s">
        <v>102</v>
      </c>
      <c r="I132" s="206">
        <v>5845</v>
      </c>
      <c r="J132" s="120">
        <v>1336</v>
      </c>
      <c r="K132" s="207">
        <v>8646.6553443471694</v>
      </c>
      <c r="L132" s="207">
        <v>2085.7006942102462</v>
      </c>
      <c r="M132" s="207">
        <v>9707.1855945418774</v>
      </c>
      <c r="N132" s="298">
        <v>6642</v>
      </c>
      <c r="O132" s="114">
        <f>tblPiNAnalysis[[#This Row],[SAMV]]</f>
        <v>6331</v>
      </c>
      <c r="P132" s="115">
        <f>tblPiNAnalysis[[#This Row],[NUT]]</f>
        <v>2100.7307218983515</v>
      </c>
      <c r="Q132" s="115">
        <f>tblPiNAnalysis[[#This Row],[SAL]]</f>
        <v>17126.895</v>
      </c>
      <c r="R132" s="115">
        <f>tblPiNAnalysis[[#This Row],[EDU]]</f>
        <v>3926.0622671970582</v>
      </c>
      <c r="S132" s="115">
        <f>tblPiNAnalysis[[#This Row],[PRO]]</f>
        <v>11271.384567256409</v>
      </c>
      <c r="T132" s="116">
        <f>tblPiNAnalysis[[#This Row],[ASH]]</f>
        <v>0</v>
      </c>
      <c r="U132" s="300">
        <f>IF(OR(tblPiNHistorical[[#This Row],[SAMV25]]="", tblPiNHistorical[[#This Row],[SAMV25]]=0, tblPiNHistorical[[#This Row],[SAMV26]]="", tblPiNHistorical[[#This Row],[SAMV26]]=0), "", tblPiNHistorical[[#This Row],[SAMV26]]-tblPiNHistorical[[#This Row],[SAMV25]])</f>
        <v>486</v>
      </c>
      <c r="V132" s="121">
        <f>IF(OR(tblPiNHistorical[[#This Row],[NUT25]]="", tblPiNHistorical[[#This Row],[NUT25]]=0, tblPiNHistorical[[#This Row],[NUT26]]="", tblPiNHistorical[[#This Row],[NUT26]]=0), "", tblPiNHistorical[[#This Row],[NUT26]]-tblPiNHistorical[[#This Row],[NUT25]])</f>
        <v>764.73072189835148</v>
      </c>
      <c r="W132" s="121">
        <f>IF(OR(tblPiNHistorical[[#This Row],[SAL25]]="", tblPiNHistorical[[#This Row],[SAL25]]=0, tblPiNHistorical[[#This Row],[SAL26]]="", tblPiNHistorical[[#This Row],[SAL26]]=0), "", tblPiNHistorical[[#This Row],[SAL26]]-tblPiNHistorical[[#This Row],[SAL25]])</f>
        <v>8480.2396556528311</v>
      </c>
      <c r="X132" s="121">
        <f>IF(OR(tblPiNHistorical[[#This Row],[EDU25]]="", tblPiNHistorical[[#This Row],[EDU25]]=0, tblPiNHistorical[[#This Row],[EDU26]]="", tblPiNHistorical[[#This Row],[EDU26]]=0), "", tblPiNHistorical[[#This Row],[EDU26]]-tblPiNHistorical[[#This Row],[EDU25]])</f>
        <v>1840.361572986812</v>
      </c>
      <c r="Y132" s="121">
        <f>IF(OR(tblPiNHistorical[[#This Row],[PRO25]]="", tblPiNHistorical[[#This Row],[PRO25]]=0, tblPiNHistorical[[#This Row],[PRO26]]="", tblPiNHistorical[[#This Row],[PRO26]]=0), "", tblPiNHistorical[[#This Row],[PRO26]]-tblPiNHistorical[[#This Row],[PRO25]])</f>
        <v>1564.1989727145319</v>
      </c>
      <c r="Z132" s="223" t="str">
        <f>IF(OR(tblPiNHistorical[[#This Row],[ASH25]]="", tblPiNHistorical[[#This Row],[ASH25]]=0, tblPiNHistorical[[#This Row],[ASH26]]="", tblPiNHistorical[[#This Row],[ASH26]]=0), "", tblPiNHistorical[[#This Row],[ASH26]]-tblPiNHistorical[[#This Row],[ASH25]])</f>
        <v/>
      </c>
      <c r="AA13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13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13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v>
      </c>
      <c r="AD13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3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0.2</v>
      </c>
      <c r="AF13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6642</v>
      </c>
    </row>
    <row r="133" spans="1:32">
      <c r="A13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VenezolanosVE1201</v>
      </c>
      <c r="B133" s="105" t="s">
        <v>362</v>
      </c>
      <c r="C133" s="104" t="s">
        <v>363</v>
      </c>
      <c r="D133" s="119" t="s">
        <v>364</v>
      </c>
      <c r="E133" s="104" t="s">
        <v>365</v>
      </c>
      <c r="F133" s="119"/>
      <c r="G133" s="102">
        <v>24391</v>
      </c>
      <c r="H133" s="102" t="s">
        <v>102</v>
      </c>
      <c r="I133" s="206">
        <v>3186</v>
      </c>
      <c r="J133" s="120">
        <v>1051</v>
      </c>
      <c r="K133" s="207">
        <v>6349.9958865499029</v>
      </c>
      <c r="L133" s="207">
        <v>4176.6861637018383</v>
      </c>
      <c r="M133" s="207">
        <v>8671.6682344437104</v>
      </c>
      <c r="N133" s="298">
        <v>14635</v>
      </c>
      <c r="O133" s="114">
        <f>tblPiNAnalysis[[#This Row],[SAMV]]</f>
        <v>11422</v>
      </c>
      <c r="P133" s="115">
        <f>tblPiNAnalysis[[#This Row],[NUT]]</f>
        <v>1154.498159594782</v>
      </c>
      <c r="Q133" s="115">
        <f>tblPiNAnalysis[[#This Row],[SAL]]</f>
        <v>17085.5</v>
      </c>
      <c r="R133" s="115">
        <f>tblPiNAnalysis[[#This Row],[EDU]]</f>
        <v>7429.7611499163168</v>
      </c>
      <c r="S133" s="115">
        <f>tblPiNAnalysis[[#This Row],[PRO]]</f>
        <v>8850.5458811363824</v>
      </c>
      <c r="T133" s="116">
        <f>tblPiNAnalysis[[#This Row],[ASH]]</f>
        <v>0</v>
      </c>
      <c r="U133" s="300">
        <f>IF(OR(tblPiNHistorical[[#This Row],[SAMV25]]="", tblPiNHistorical[[#This Row],[SAMV25]]=0, tblPiNHistorical[[#This Row],[SAMV26]]="", tblPiNHistorical[[#This Row],[SAMV26]]=0), "", tblPiNHistorical[[#This Row],[SAMV26]]-tblPiNHistorical[[#This Row],[SAMV25]])</f>
        <v>8236</v>
      </c>
      <c r="V133" s="121">
        <f>IF(OR(tblPiNHistorical[[#This Row],[NUT25]]="", tblPiNHistorical[[#This Row],[NUT25]]=0, tblPiNHistorical[[#This Row],[NUT26]]="", tblPiNHistorical[[#This Row],[NUT26]]=0), "", tblPiNHistorical[[#This Row],[NUT26]]-tblPiNHistorical[[#This Row],[NUT25]])</f>
        <v>103.49815959478201</v>
      </c>
      <c r="W133" s="121">
        <f>IF(OR(tblPiNHistorical[[#This Row],[SAL25]]="", tblPiNHistorical[[#This Row],[SAL25]]=0, tblPiNHistorical[[#This Row],[SAL26]]="", tblPiNHistorical[[#This Row],[SAL26]]=0), "", tblPiNHistorical[[#This Row],[SAL26]]-tblPiNHistorical[[#This Row],[SAL25]])</f>
        <v>10735.504113450097</v>
      </c>
      <c r="X133" s="121">
        <f>IF(OR(tblPiNHistorical[[#This Row],[EDU25]]="", tblPiNHistorical[[#This Row],[EDU25]]=0, tblPiNHistorical[[#This Row],[EDU26]]="", tblPiNHistorical[[#This Row],[EDU26]]=0), "", tblPiNHistorical[[#This Row],[EDU26]]-tblPiNHistorical[[#This Row],[EDU25]])</f>
        <v>3253.0749862144785</v>
      </c>
      <c r="Y133" s="121">
        <f>IF(OR(tblPiNHistorical[[#This Row],[PRO25]]="", tblPiNHistorical[[#This Row],[PRO25]]=0, tblPiNHistorical[[#This Row],[PRO26]]="", tblPiNHistorical[[#This Row],[PRO26]]=0), "", tblPiNHistorical[[#This Row],[PRO26]]-tblPiNHistorical[[#This Row],[PRO25]])</f>
        <v>178.87764669267199</v>
      </c>
      <c r="Z133" s="223" t="str">
        <f>IF(OR(tblPiNHistorical[[#This Row],[ASH25]]="", tblPiNHistorical[[#This Row],[ASH25]]=0, tblPiNHistorical[[#This Row],[ASH26]]="", tblPiNHistorical[[#This Row],[ASH26]]=0), "", tblPiNHistorical[[#This Row],[ASH26]]-tblPiNHistorical[[#This Row],[ASH25]])</f>
        <v/>
      </c>
      <c r="AA13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2.6</v>
      </c>
      <c r="AB13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13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1.7</v>
      </c>
      <c r="AD13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13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v>
      </c>
      <c r="AF13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14635</v>
      </c>
    </row>
    <row r="134" spans="1:32">
      <c r="A13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VenezolanosVE1202</v>
      </c>
      <c r="B134" s="105" t="s">
        <v>362</v>
      </c>
      <c r="C134" s="104" t="s">
        <v>363</v>
      </c>
      <c r="D134" s="119" t="s">
        <v>366</v>
      </c>
      <c r="E134" s="104" t="s">
        <v>367</v>
      </c>
      <c r="F134" s="119"/>
      <c r="G134" s="102">
        <v>12966</v>
      </c>
      <c r="H134" s="102" t="s">
        <v>102</v>
      </c>
      <c r="I134" s="206">
        <v>1694</v>
      </c>
      <c r="J134" s="120">
        <v>538</v>
      </c>
      <c r="K134" s="207">
        <v>3375.6336379272147</v>
      </c>
      <c r="L134" s="207">
        <v>2345.745879971435</v>
      </c>
      <c r="M134" s="207">
        <v>4609.7679606329039</v>
      </c>
      <c r="N134" s="298">
        <v>0</v>
      </c>
      <c r="O134" s="114">
        <f>tblPiNAnalysis[[#This Row],[SAMV]]</f>
        <v>4693</v>
      </c>
      <c r="P134" s="115">
        <f>tblPiNAnalysis[[#This Row],[NUT]]</f>
        <v>1415.0457714879094</v>
      </c>
      <c r="Q134" s="115">
        <f>tblPiNAnalysis[[#This Row],[SAL]]</f>
        <v>10278.764999999999</v>
      </c>
      <c r="R134" s="115">
        <f>tblPiNAnalysis[[#This Row],[EDU]]</f>
        <v>5529.0919175159233</v>
      </c>
      <c r="S134" s="115">
        <f>tblPiNAnalysis[[#This Row],[PRO]]</f>
        <v>6762.628562054465</v>
      </c>
      <c r="T134" s="116">
        <f>tblPiNAnalysis[[#This Row],[ASH]]</f>
        <v>16896.599999999999</v>
      </c>
      <c r="U134" s="300">
        <f>IF(OR(tblPiNHistorical[[#This Row],[SAMV25]]="", tblPiNHistorical[[#This Row],[SAMV25]]=0, tblPiNHistorical[[#This Row],[SAMV26]]="", tblPiNHistorical[[#This Row],[SAMV26]]=0), "", tblPiNHistorical[[#This Row],[SAMV26]]-tblPiNHistorical[[#This Row],[SAMV25]])</f>
        <v>2999</v>
      </c>
      <c r="V134" s="121">
        <f>IF(OR(tblPiNHistorical[[#This Row],[NUT25]]="", tblPiNHistorical[[#This Row],[NUT25]]=0, tblPiNHistorical[[#This Row],[NUT26]]="", tblPiNHistorical[[#This Row],[NUT26]]=0), "", tblPiNHistorical[[#This Row],[NUT26]]-tblPiNHistorical[[#This Row],[NUT25]])</f>
        <v>877.04577148790941</v>
      </c>
      <c r="W134" s="121">
        <f>IF(OR(tblPiNHistorical[[#This Row],[SAL25]]="", tblPiNHistorical[[#This Row],[SAL25]]=0, tblPiNHistorical[[#This Row],[SAL26]]="", tblPiNHistorical[[#This Row],[SAL26]]=0), "", tblPiNHistorical[[#This Row],[SAL26]]-tblPiNHistorical[[#This Row],[SAL25]])</f>
        <v>6903.1313620727851</v>
      </c>
      <c r="X134" s="121">
        <f>IF(OR(tblPiNHistorical[[#This Row],[EDU25]]="", tblPiNHistorical[[#This Row],[EDU25]]=0, tblPiNHistorical[[#This Row],[EDU26]]="", tblPiNHistorical[[#This Row],[EDU26]]=0), "", tblPiNHistorical[[#This Row],[EDU26]]-tblPiNHistorical[[#This Row],[EDU25]])</f>
        <v>3183.3460375444884</v>
      </c>
      <c r="Y134" s="121">
        <f>IF(OR(tblPiNHistorical[[#This Row],[PRO25]]="", tblPiNHistorical[[#This Row],[PRO25]]=0, tblPiNHistorical[[#This Row],[PRO26]]="", tblPiNHistorical[[#This Row],[PRO26]]=0), "", tblPiNHistorical[[#This Row],[PRO26]]-tblPiNHistorical[[#This Row],[PRO25]])</f>
        <v>2152.8606014215611</v>
      </c>
      <c r="Z134" s="223" t="str">
        <f>IF(OR(tblPiNHistorical[[#This Row],[ASH25]]="", tblPiNHistorical[[#This Row],[ASH25]]=0, tblPiNHistorical[[#This Row],[ASH26]]="", tblPiNHistorical[[#This Row],[ASH26]]=0), "", tblPiNHistorical[[#This Row],[ASH26]]-tblPiNHistorical[[#This Row],[ASH25]])</f>
        <v/>
      </c>
      <c r="AA13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1.8</v>
      </c>
      <c r="AB13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1.6</v>
      </c>
      <c r="AC13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v>
      </c>
      <c r="AD13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1.4</v>
      </c>
      <c r="AE13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13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16896.6</v>
      </c>
    </row>
    <row r="135" spans="1:32">
      <c r="A13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VenezolanosVE1203</v>
      </c>
      <c r="B135" s="105" t="s">
        <v>362</v>
      </c>
      <c r="C135" s="104" t="s">
        <v>363</v>
      </c>
      <c r="D135" s="119" t="s">
        <v>368</v>
      </c>
      <c r="E135" s="104" t="s">
        <v>369</v>
      </c>
      <c r="F135" s="119"/>
      <c r="G135" s="102">
        <v>17097</v>
      </c>
      <c r="H135" s="102" t="s">
        <v>102</v>
      </c>
      <c r="I135" s="206">
        <v>2233</v>
      </c>
      <c r="J135" s="120">
        <v>768</v>
      </c>
      <c r="K135" s="207">
        <v>4451.6354373956483</v>
      </c>
      <c r="L135" s="207">
        <v>2963.5666522612901</v>
      </c>
      <c r="M135" s="207">
        <v>8357.8708839691153</v>
      </c>
      <c r="N135" s="298">
        <v>0</v>
      </c>
      <c r="O135" s="114">
        <f>tblPiNAnalysis[[#This Row],[SAMV]]</f>
        <v>15414</v>
      </c>
      <c r="P135" s="115">
        <f>tblPiNAnalysis[[#This Row],[NUT]]</f>
        <v>1292.0006397623515</v>
      </c>
      <c r="Q135" s="115">
        <f>tblPiNAnalysis[[#This Row],[SAL]]</f>
        <v>16111.83</v>
      </c>
      <c r="R135" s="115">
        <f>tblPiNAnalysis[[#This Row],[EDU]]</f>
        <v>3788.8571903945158</v>
      </c>
      <c r="S135" s="115">
        <f>tblPiNAnalysis[[#This Row],[PRO]]</f>
        <v>5267.8925874125889</v>
      </c>
      <c r="T135" s="116">
        <f>tblPiNAnalysis[[#This Row],[ASH]]</f>
        <v>2979.585</v>
      </c>
      <c r="U135" s="300">
        <f>IF(OR(tblPiNHistorical[[#This Row],[SAMV25]]="", tblPiNHistorical[[#This Row],[SAMV25]]=0, tblPiNHistorical[[#This Row],[SAMV26]]="", tblPiNHistorical[[#This Row],[SAMV26]]=0), "", tblPiNHistorical[[#This Row],[SAMV26]]-tblPiNHistorical[[#This Row],[SAMV25]])</f>
        <v>13181</v>
      </c>
      <c r="V135" s="121">
        <f>IF(OR(tblPiNHistorical[[#This Row],[NUT25]]="", tblPiNHistorical[[#This Row],[NUT25]]=0, tblPiNHistorical[[#This Row],[NUT26]]="", tblPiNHistorical[[#This Row],[NUT26]]=0), "", tblPiNHistorical[[#This Row],[NUT26]]-tblPiNHistorical[[#This Row],[NUT25]])</f>
        <v>524.00063976235151</v>
      </c>
      <c r="W135" s="121">
        <f>IF(OR(tblPiNHistorical[[#This Row],[SAL25]]="", tblPiNHistorical[[#This Row],[SAL25]]=0, tblPiNHistorical[[#This Row],[SAL26]]="", tblPiNHistorical[[#This Row],[SAL26]]=0), "", tblPiNHistorical[[#This Row],[SAL26]]-tblPiNHistorical[[#This Row],[SAL25]])</f>
        <v>11660.194562604353</v>
      </c>
      <c r="X135" s="121">
        <f>IF(OR(tblPiNHistorical[[#This Row],[EDU25]]="", tblPiNHistorical[[#This Row],[EDU25]]=0, tblPiNHistorical[[#This Row],[EDU26]]="", tblPiNHistorical[[#This Row],[EDU26]]=0), "", tblPiNHistorical[[#This Row],[EDU26]]-tblPiNHistorical[[#This Row],[EDU25]])</f>
        <v>825.29053813322571</v>
      </c>
      <c r="Y135" s="121">
        <f>IF(OR(tblPiNHistorical[[#This Row],[PRO25]]="", tblPiNHistorical[[#This Row],[PRO25]]=0, tblPiNHistorical[[#This Row],[PRO26]]="", tblPiNHistorical[[#This Row],[PRO26]]=0), "", tblPiNHistorical[[#This Row],[PRO26]]-tblPiNHistorical[[#This Row],[PRO25]])</f>
        <v>-3089.9782965565264</v>
      </c>
      <c r="Z135" s="223" t="str">
        <f>IF(OR(tblPiNHistorical[[#This Row],[ASH25]]="", tblPiNHistorical[[#This Row],[ASH25]]=0, tblPiNHistorical[[#This Row],[ASH26]]="", tblPiNHistorical[[#This Row],[ASH26]]=0), "", tblPiNHistorical[[#This Row],[ASH26]]-tblPiNHistorical[[#This Row],[ASH25]])</f>
        <v/>
      </c>
      <c r="AA13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5.9</v>
      </c>
      <c r="AB13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13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2.6</v>
      </c>
      <c r="AD13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13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13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2979.585</v>
      </c>
    </row>
    <row r="136" spans="1:32">
      <c r="A13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VenezolanosVE1204</v>
      </c>
      <c r="B136" s="105" t="s">
        <v>362</v>
      </c>
      <c r="C136" s="104" t="s">
        <v>363</v>
      </c>
      <c r="D136" s="119" t="s">
        <v>370</v>
      </c>
      <c r="E136" s="104" t="s">
        <v>371</v>
      </c>
      <c r="F136" s="119"/>
      <c r="G136" s="102">
        <v>20206</v>
      </c>
      <c r="H136" s="102" t="s">
        <v>102</v>
      </c>
      <c r="I136" s="206">
        <v>2639</v>
      </c>
      <c r="J136" s="120">
        <v>846</v>
      </c>
      <c r="K136" s="207">
        <v>5261.1137708815704</v>
      </c>
      <c r="L136" s="207">
        <v>4221.0221651402235</v>
      </c>
      <c r="M136" s="207">
        <v>9877.7059765736631</v>
      </c>
      <c r="N136" s="298">
        <v>12124</v>
      </c>
      <c r="O136" s="114">
        <f>tblPiNAnalysis[[#This Row],[SAMV]]</f>
        <v>14463</v>
      </c>
      <c r="P136" s="115">
        <f>tblPiNAnalysis[[#This Row],[NUT]]</f>
        <v>1496.6943562930883</v>
      </c>
      <c r="Q136" s="115">
        <f>tblPiNAnalysis[[#This Row],[SAL]]</f>
        <v>12669.15</v>
      </c>
      <c r="R136" s="115">
        <f>tblPiNAnalysis[[#This Row],[EDU]]</f>
        <v>5524.6626052729607</v>
      </c>
      <c r="S136" s="115">
        <f>tblPiNAnalysis[[#This Row],[PRO]]</f>
        <v>6894.0596234500163</v>
      </c>
      <c r="T136" s="116">
        <f>tblPiNAnalysis[[#This Row],[ASH]]</f>
        <v>4685.8499999999995</v>
      </c>
      <c r="U136" s="300">
        <f>IF(OR(tblPiNHistorical[[#This Row],[SAMV25]]="", tblPiNHistorical[[#This Row],[SAMV25]]=0, tblPiNHistorical[[#This Row],[SAMV26]]="", tblPiNHistorical[[#This Row],[SAMV26]]=0), "", tblPiNHistorical[[#This Row],[SAMV26]]-tblPiNHistorical[[#This Row],[SAMV25]])</f>
        <v>11824</v>
      </c>
      <c r="V136" s="121">
        <f>IF(OR(tblPiNHistorical[[#This Row],[NUT25]]="", tblPiNHistorical[[#This Row],[NUT25]]=0, tblPiNHistorical[[#This Row],[NUT26]]="", tblPiNHistorical[[#This Row],[NUT26]]=0), "", tblPiNHistorical[[#This Row],[NUT26]]-tblPiNHistorical[[#This Row],[NUT25]])</f>
        <v>650.69435629308828</v>
      </c>
      <c r="W136" s="121">
        <f>IF(OR(tblPiNHistorical[[#This Row],[SAL25]]="", tblPiNHistorical[[#This Row],[SAL25]]=0, tblPiNHistorical[[#This Row],[SAL26]]="", tblPiNHistorical[[#This Row],[SAL26]]=0), "", tblPiNHistorical[[#This Row],[SAL26]]-tblPiNHistorical[[#This Row],[SAL25]])</f>
        <v>7408.0362291184292</v>
      </c>
      <c r="X136" s="121">
        <f>IF(OR(tblPiNHistorical[[#This Row],[EDU25]]="", tblPiNHistorical[[#This Row],[EDU25]]=0, tblPiNHistorical[[#This Row],[EDU26]]="", tblPiNHistorical[[#This Row],[EDU26]]=0), "", tblPiNHistorical[[#This Row],[EDU26]]-tblPiNHistorical[[#This Row],[EDU25]])</f>
        <v>1303.6404401327372</v>
      </c>
      <c r="Y136" s="121">
        <f>IF(OR(tblPiNHistorical[[#This Row],[PRO25]]="", tblPiNHistorical[[#This Row],[PRO25]]=0, tblPiNHistorical[[#This Row],[PRO26]]="", tblPiNHistorical[[#This Row],[PRO26]]=0), "", tblPiNHistorical[[#This Row],[PRO26]]-tblPiNHistorical[[#This Row],[PRO25]])</f>
        <v>-2983.6463531236468</v>
      </c>
      <c r="Z136" s="223">
        <f>IF(OR(tblPiNHistorical[[#This Row],[ASH25]]="", tblPiNHistorical[[#This Row],[ASH25]]=0, tblPiNHistorical[[#This Row],[ASH26]]="", tblPiNHistorical[[#This Row],[ASH26]]=0), "", tblPiNHistorical[[#This Row],[ASH26]]-tblPiNHistorical[[#This Row],[ASH25]])</f>
        <v>-7438.1500000000005</v>
      </c>
      <c r="AA13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4.5</v>
      </c>
      <c r="AB13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13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1.4</v>
      </c>
      <c r="AD13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13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136"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-0.6</v>
      </c>
    </row>
    <row r="137" spans="1:32">
      <c r="A13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VenezolanosVE1205</v>
      </c>
      <c r="B137" s="105" t="s">
        <v>362</v>
      </c>
      <c r="C137" s="104" t="s">
        <v>363</v>
      </c>
      <c r="D137" s="119" t="s">
        <v>372</v>
      </c>
      <c r="E137" s="104" t="s">
        <v>373</v>
      </c>
      <c r="F137" s="119"/>
      <c r="G137" s="102">
        <v>120889</v>
      </c>
      <c r="H137" s="102" t="s">
        <v>102</v>
      </c>
      <c r="I137" s="206">
        <v>15790</v>
      </c>
      <c r="J137" s="120">
        <v>4957</v>
      </c>
      <c r="K137" s="207">
        <v>31474.538824782459</v>
      </c>
      <c r="L137" s="207">
        <v>18007.162088289482</v>
      </c>
      <c r="M137" s="207">
        <v>9781.7416383145446</v>
      </c>
      <c r="N137" s="298">
        <v>0</v>
      </c>
      <c r="O137" s="114">
        <f>tblPiNAnalysis[[#This Row],[SAMV]]</f>
        <v>6228</v>
      </c>
      <c r="P137" s="115">
        <f>tblPiNAnalysis[[#This Row],[NUT]]</f>
        <v>1259.4906836444238</v>
      </c>
      <c r="Q137" s="115">
        <f>tblPiNAnalysis[[#This Row],[SAL]]</f>
        <v>14396.33</v>
      </c>
      <c r="R137" s="115">
        <f>tblPiNAnalysis[[#This Row],[EDU]]</f>
        <v>6225.9650139530877</v>
      </c>
      <c r="S137" s="115">
        <f>tblPiNAnalysis[[#This Row],[PRO]]</f>
        <v>7868.6614333144407</v>
      </c>
      <c r="T137" s="116">
        <f>tblPiNAnalysis[[#This Row],[ASH]]</f>
        <v>2662.335</v>
      </c>
      <c r="U137" s="300">
        <f>IF(OR(tblPiNHistorical[[#This Row],[SAMV25]]="", tblPiNHistorical[[#This Row],[SAMV25]]=0, tblPiNHistorical[[#This Row],[SAMV26]]="", tblPiNHistorical[[#This Row],[SAMV26]]=0), "", tblPiNHistorical[[#This Row],[SAMV26]]-tblPiNHistorical[[#This Row],[SAMV25]])</f>
        <v>-9562</v>
      </c>
      <c r="V137" s="121">
        <f>IF(OR(tblPiNHistorical[[#This Row],[NUT25]]="", tblPiNHistorical[[#This Row],[NUT25]]=0, tblPiNHistorical[[#This Row],[NUT26]]="", tblPiNHistorical[[#This Row],[NUT26]]=0), "", tblPiNHistorical[[#This Row],[NUT26]]-tblPiNHistorical[[#This Row],[NUT25]])</f>
        <v>-3697.5093163555762</v>
      </c>
      <c r="W137" s="121">
        <f>IF(OR(tblPiNHistorical[[#This Row],[SAL25]]="", tblPiNHistorical[[#This Row],[SAL25]]=0, tblPiNHistorical[[#This Row],[SAL26]]="", tblPiNHistorical[[#This Row],[SAL26]]=0), "", tblPiNHistorical[[#This Row],[SAL26]]-tblPiNHistorical[[#This Row],[SAL25]])</f>
        <v>-17078.208824782458</v>
      </c>
      <c r="X137" s="121">
        <f>IF(OR(tblPiNHistorical[[#This Row],[EDU25]]="", tblPiNHistorical[[#This Row],[EDU25]]=0, tblPiNHistorical[[#This Row],[EDU26]]="", tblPiNHistorical[[#This Row],[EDU26]]=0), "", tblPiNHistorical[[#This Row],[EDU26]]-tblPiNHistorical[[#This Row],[EDU25]])</f>
        <v>-11781.197074336395</v>
      </c>
      <c r="Y137" s="121">
        <f>IF(OR(tblPiNHistorical[[#This Row],[PRO25]]="", tblPiNHistorical[[#This Row],[PRO25]]=0, tblPiNHistorical[[#This Row],[PRO26]]="", tblPiNHistorical[[#This Row],[PRO26]]=0), "", tblPiNHistorical[[#This Row],[PRO26]]-tblPiNHistorical[[#This Row],[PRO25]])</f>
        <v>-1913.0802050001039</v>
      </c>
      <c r="Z137" s="223" t="str">
        <f>IF(OR(tblPiNHistorical[[#This Row],[ASH25]]="", tblPiNHistorical[[#This Row],[ASH25]]=0, tblPiNHistorical[[#This Row],[ASH26]]="", tblPiNHistorical[[#This Row],[ASH26]]=0), "", tblPiNHistorical[[#This Row],[ASH26]]-tblPiNHistorical[[#This Row],[ASH25]])</f>
        <v/>
      </c>
      <c r="AA13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13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13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13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13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-0.2</v>
      </c>
      <c r="AF13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2662.335</v>
      </c>
    </row>
    <row r="138" spans="1:32">
      <c r="A13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VenezolanosVE1206</v>
      </c>
      <c r="B138" s="105" t="s">
        <v>362</v>
      </c>
      <c r="C138" s="104" t="s">
        <v>363</v>
      </c>
      <c r="D138" s="119" t="s">
        <v>374</v>
      </c>
      <c r="E138" s="104" t="s">
        <v>375</v>
      </c>
      <c r="F138" s="119"/>
      <c r="G138" s="102">
        <v>33025</v>
      </c>
      <c r="H138" s="102" t="s">
        <v>102</v>
      </c>
      <c r="I138" s="206">
        <v>4313</v>
      </c>
      <c r="J138" s="120">
        <v>1492</v>
      </c>
      <c r="K138" s="207">
        <v>8598.1064602090901</v>
      </c>
      <c r="L138" s="207">
        <v>6595.9603255696875</v>
      </c>
      <c r="M138" s="207">
        <v>13449.8947526825</v>
      </c>
      <c r="N138" s="298">
        <v>0</v>
      </c>
      <c r="O138" s="114">
        <f>tblPiNAnalysis[[#This Row],[SAMV]]</f>
        <v>11018</v>
      </c>
      <c r="P138" s="115">
        <f>tblPiNAnalysis[[#This Row],[NUT]]</f>
        <v>1286.4335878708293</v>
      </c>
      <c r="Q138" s="115">
        <f>tblPiNAnalysis[[#This Row],[SAL]]</f>
        <v>14355.45</v>
      </c>
      <c r="R138" s="115">
        <f>tblPiNAnalysis[[#This Row],[EDU]]</f>
        <v>4434.8305882454169</v>
      </c>
      <c r="S138" s="115">
        <f>tblPiNAnalysis[[#This Row],[PRO]]</f>
        <v>6578.8317216960249</v>
      </c>
      <c r="T138" s="116">
        <f>tblPiNAnalysis[[#This Row],[ASH]]</f>
        <v>0</v>
      </c>
      <c r="U138" s="300">
        <f>IF(OR(tblPiNHistorical[[#This Row],[SAMV25]]="", tblPiNHistorical[[#This Row],[SAMV25]]=0, tblPiNHistorical[[#This Row],[SAMV26]]="", tblPiNHistorical[[#This Row],[SAMV26]]=0), "", tblPiNHistorical[[#This Row],[SAMV26]]-tblPiNHistorical[[#This Row],[SAMV25]])</f>
        <v>6705</v>
      </c>
      <c r="V138" s="121">
        <f>IF(OR(tblPiNHistorical[[#This Row],[NUT25]]="", tblPiNHistorical[[#This Row],[NUT25]]=0, tblPiNHistorical[[#This Row],[NUT26]]="", tblPiNHistorical[[#This Row],[NUT26]]=0), "", tblPiNHistorical[[#This Row],[NUT26]]-tblPiNHistorical[[#This Row],[NUT25]])</f>
        <v>-205.56641212917066</v>
      </c>
      <c r="W138" s="121">
        <f>IF(OR(tblPiNHistorical[[#This Row],[SAL25]]="", tblPiNHistorical[[#This Row],[SAL25]]=0, tblPiNHistorical[[#This Row],[SAL26]]="", tblPiNHistorical[[#This Row],[SAL26]]=0), "", tblPiNHistorical[[#This Row],[SAL26]]-tblPiNHistorical[[#This Row],[SAL25]])</f>
        <v>5757.3435397909107</v>
      </c>
      <c r="X138" s="121">
        <f>IF(OR(tblPiNHistorical[[#This Row],[EDU25]]="", tblPiNHistorical[[#This Row],[EDU25]]=0, tblPiNHistorical[[#This Row],[EDU26]]="", tblPiNHistorical[[#This Row],[EDU26]]=0), "", tblPiNHistorical[[#This Row],[EDU26]]-tblPiNHistorical[[#This Row],[EDU25]])</f>
        <v>-2161.1297373242705</v>
      </c>
      <c r="Y138" s="121">
        <f>IF(OR(tblPiNHistorical[[#This Row],[PRO25]]="", tblPiNHistorical[[#This Row],[PRO25]]=0, tblPiNHistorical[[#This Row],[PRO26]]="", tblPiNHistorical[[#This Row],[PRO26]]=0), "", tblPiNHistorical[[#This Row],[PRO26]]-tblPiNHistorical[[#This Row],[PRO25]])</f>
        <v>-6871.0630309864746</v>
      </c>
      <c r="Z138" s="223" t="str">
        <f>IF(OR(tblPiNHistorical[[#This Row],[ASH25]]="", tblPiNHistorical[[#This Row],[ASH25]]=0, tblPiNHistorical[[#This Row],[ASH26]]="", tblPiNHistorical[[#This Row],[ASH26]]=0), "", tblPiNHistorical[[#This Row],[ASH26]]-tblPiNHistorical[[#This Row],[ASH25]])</f>
        <v/>
      </c>
      <c r="AA13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1.6</v>
      </c>
      <c r="AB13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13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13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13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13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39" spans="1:32">
      <c r="A13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VenezolanosVE1207</v>
      </c>
      <c r="B139" s="105" t="s">
        <v>362</v>
      </c>
      <c r="C139" s="104" t="s">
        <v>363</v>
      </c>
      <c r="D139" s="119" t="s">
        <v>376</v>
      </c>
      <c r="E139" s="104" t="s">
        <v>377</v>
      </c>
      <c r="F139" s="119"/>
      <c r="G139" s="102">
        <v>27664</v>
      </c>
      <c r="H139" s="102" t="s">
        <v>102</v>
      </c>
      <c r="I139" s="206">
        <v>3613</v>
      </c>
      <c r="J139" s="120">
        <v>1162</v>
      </c>
      <c r="K139" s="207">
        <v>7202.0783428508721</v>
      </c>
      <c r="L139" s="207">
        <v>4346.3511151788434</v>
      </c>
      <c r="M139" s="207">
        <v>9781.7416383145446</v>
      </c>
      <c r="N139" s="298">
        <v>5533</v>
      </c>
      <c r="O139" s="114">
        <f>tblPiNAnalysis[[#This Row],[SAMV]]</f>
        <v>5411</v>
      </c>
      <c r="P139" s="115">
        <f>tblPiNAnalysis[[#This Row],[NUT]]</f>
        <v>562.20911516388162</v>
      </c>
      <c r="Q139" s="115">
        <f>tblPiNAnalysis[[#This Row],[SAL]]</f>
        <v>8689.5550000000003</v>
      </c>
      <c r="R139" s="115">
        <f>tblPiNAnalysis[[#This Row],[EDU]]</f>
        <v>2414.0083062227773</v>
      </c>
      <c r="S139" s="115">
        <f>tblPiNAnalysis[[#This Row],[PRO]]</f>
        <v>4749.4858968337521</v>
      </c>
      <c r="T139" s="116">
        <f>tblPiNAnalysis[[#This Row],[ASH]]</f>
        <v>14284.199999999999</v>
      </c>
      <c r="U139" s="300">
        <f>IF(OR(tblPiNHistorical[[#This Row],[SAMV25]]="", tblPiNHistorical[[#This Row],[SAMV25]]=0, tblPiNHistorical[[#This Row],[SAMV26]]="", tblPiNHistorical[[#This Row],[SAMV26]]=0), "", tblPiNHistorical[[#This Row],[SAMV26]]-tblPiNHistorical[[#This Row],[SAMV25]])</f>
        <v>1798</v>
      </c>
      <c r="V139" s="121">
        <f>IF(OR(tblPiNHistorical[[#This Row],[NUT25]]="", tblPiNHistorical[[#This Row],[NUT25]]=0, tblPiNHistorical[[#This Row],[NUT26]]="", tblPiNHistorical[[#This Row],[NUT26]]=0), "", tblPiNHistorical[[#This Row],[NUT26]]-tblPiNHistorical[[#This Row],[NUT25]])</f>
        <v>-599.79088483611838</v>
      </c>
      <c r="W139" s="121">
        <f>IF(OR(tblPiNHistorical[[#This Row],[SAL25]]="", tblPiNHistorical[[#This Row],[SAL25]]=0, tblPiNHistorical[[#This Row],[SAL26]]="", tblPiNHistorical[[#This Row],[SAL26]]=0), "", tblPiNHistorical[[#This Row],[SAL26]]-tblPiNHistorical[[#This Row],[SAL25]])</f>
        <v>1487.4766571491282</v>
      </c>
      <c r="X139" s="121">
        <f>IF(OR(tblPiNHistorical[[#This Row],[EDU25]]="", tblPiNHistorical[[#This Row],[EDU25]]=0, tblPiNHistorical[[#This Row],[EDU26]]="", tblPiNHistorical[[#This Row],[EDU26]]=0), "", tblPiNHistorical[[#This Row],[EDU26]]-tblPiNHistorical[[#This Row],[EDU25]])</f>
        <v>-1932.3428089560662</v>
      </c>
      <c r="Y139" s="121">
        <f>IF(OR(tblPiNHistorical[[#This Row],[PRO25]]="", tblPiNHistorical[[#This Row],[PRO25]]=0, tblPiNHistorical[[#This Row],[PRO26]]="", tblPiNHistorical[[#This Row],[PRO26]]=0), "", tblPiNHistorical[[#This Row],[PRO26]]-tblPiNHistorical[[#This Row],[PRO25]])</f>
        <v>-5032.2557414807925</v>
      </c>
      <c r="Z139" s="223">
        <f>IF(OR(tblPiNHistorical[[#This Row],[ASH25]]="", tblPiNHistorical[[#This Row],[ASH25]]=0, tblPiNHistorical[[#This Row],[ASH26]]="", tblPiNHistorical[[#This Row],[ASH26]]=0), "", tblPiNHistorical[[#This Row],[ASH26]]-tblPiNHistorical[[#This Row],[ASH25]])</f>
        <v>8751.1999999999989</v>
      </c>
      <c r="AA13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13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13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13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13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139"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1.6</v>
      </c>
    </row>
    <row r="140" spans="1:32">
      <c r="A14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VenezolanosVE1208</v>
      </c>
      <c r="B140" s="105" t="s">
        <v>362</v>
      </c>
      <c r="C140" s="104" t="s">
        <v>363</v>
      </c>
      <c r="D140" s="119" t="s">
        <v>129</v>
      </c>
      <c r="E140" s="104" t="s">
        <v>378</v>
      </c>
      <c r="F140" s="119"/>
      <c r="G140" s="102">
        <v>141987</v>
      </c>
      <c r="H140" s="102" t="s">
        <v>102</v>
      </c>
      <c r="I140" s="206">
        <v>18545</v>
      </c>
      <c r="J140" s="120">
        <v>6023</v>
      </c>
      <c r="K140" s="207">
        <v>36967.498287262199</v>
      </c>
      <c r="L140" s="207">
        <v>22328.232388829412</v>
      </c>
      <c r="M140" s="207">
        <v>9781.7416383145446</v>
      </c>
      <c r="N140" s="298">
        <v>0</v>
      </c>
      <c r="O140" s="114">
        <f>tblPiNAnalysis[[#This Row],[SAMV]]</f>
        <v>4445</v>
      </c>
      <c r="P140" s="115">
        <f>tblPiNAnalysis[[#This Row],[NUT]]</f>
        <v>1829.0509454631263</v>
      </c>
      <c r="Q140" s="115">
        <f>tblPiNAnalysis[[#This Row],[SAL]]</f>
        <v>14161.27</v>
      </c>
      <c r="R140" s="115">
        <f>tblPiNAnalysis[[#This Row],[EDU]]</f>
        <v>2198.4547173935935</v>
      </c>
      <c r="S140" s="115">
        <f>tblPiNAnalysis[[#This Row],[PRO]]</f>
        <v>9281.6287447839604</v>
      </c>
      <c r="T140" s="116">
        <f>tblPiNAnalysis[[#This Row],[ASH]]</f>
        <v>0</v>
      </c>
      <c r="U140" s="300">
        <f>IF(OR(tblPiNHistorical[[#This Row],[SAMV25]]="", tblPiNHistorical[[#This Row],[SAMV25]]=0, tblPiNHistorical[[#This Row],[SAMV26]]="", tblPiNHistorical[[#This Row],[SAMV26]]=0), "", tblPiNHistorical[[#This Row],[SAMV26]]-tblPiNHistorical[[#This Row],[SAMV25]])</f>
        <v>-14100</v>
      </c>
      <c r="V140" s="121">
        <f>IF(OR(tblPiNHistorical[[#This Row],[NUT25]]="", tblPiNHistorical[[#This Row],[NUT25]]=0, tblPiNHistorical[[#This Row],[NUT26]]="", tblPiNHistorical[[#This Row],[NUT26]]=0), "", tblPiNHistorical[[#This Row],[NUT26]]-tblPiNHistorical[[#This Row],[NUT25]])</f>
        <v>-4193.9490545368735</v>
      </c>
      <c r="W140" s="121">
        <f>IF(OR(tblPiNHistorical[[#This Row],[SAL25]]="", tblPiNHistorical[[#This Row],[SAL25]]=0, tblPiNHistorical[[#This Row],[SAL26]]="", tblPiNHistorical[[#This Row],[SAL26]]=0), "", tblPiNHistorical[[#This Row],[SAL26]]-tblPiNHistorical[[#This Row],[SAL25]])</f>
        <v>-22806.228287262198</v>
      </c>
      <c r="X140" s="121">
        <f>IF(OR(tblPiNHistorical[[#This Row],[EDU25]]="", tblPiNHistorical[[#This Row],[EDU25]]=0, tblPiNHistorical[[#This Row],[EDU26]]="", tblPiNHistorical[[#This Row],[EDU26]]=0), "", tblPiNHistorical[[#This Row],[EDU26]]-tblPiNHistorical[[#This Row],[EDU25]])</f>
        <v>-20129.777671435819</v>
      </c>
      <c r="Y140" s="121">
        <f>IF(OR(tblPiNHistorical[[#This Row],[PRO25]]="", tblPiNHistorical[[#This Row],[PRO25]]=0, tblPiNHistorical[[#This Row],[PRO26]]="", tblPiNHistorical[[#This Row],[PRO26]]=0), "", tblPiNHistorical[[#This Row],[PRO26]]-tblPiNHistorical[[#This Row],[PRO25]])</f>
        <v>-500.11289353058419</v>
      </c>
      <c r="Z140" s="223" t="str">
        <f>IF(OR(tblPiNHistorical[[#This Row],[ASH25]]="", tblPiNHistorical[[#This Row],[ASH25]]=0, tblPiNHistorical[[#This Row],[ASH26]]="", tblPiNHistorical[[#This Row],[ASH26]]=0), "", tblPiNHistorical[[#This Row],[ASH26]]-tblPiNHistorical[[#This Row],[ASH25]])</f>
        <v/>
      </c>
      <c r="AA14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14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14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14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4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14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41" spans="1:32">
      <c r="A14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VenezolanosVE1209</v>
      </c>
      <c r="B141" s="105" t="s">
        <v>362</v>
      </c>
      <c r="C141" s="104" t="s">
        <v>363</v>
      </c>
      <c r="D141" s="119" t="s">
        <v>379</v>
      </c>
      <c r="E141" s="104" t="s">
        <v>380</v>
      </c>
      <c r="F141" s="119"/>
      <c r="G141" s="102">
        <v>74559</v>
      </c>
      <c r="H141" s="102" t="s">
        <v>102</v>
      </c>
      <c r="I141" s="206">
        <v>9738</v>
      </c>
      <c r="J141" s="120">
        <v>3065</v>
      </c>
      <c r="K141" s="207">
        <v>19411.627306800699</v>
      </c>
      <c r="L141" s="207">
        <v>12511.603165942968</v>
      </c>
      <c r="M141" s="207">
        <v>13449.8947526825</v>
      </c>
      <c r="N141" s="298">
        <v>14912</v>
      </c>
      <c r="O141" s="114">
        <f>tblPiNAnalysis[[#This Row],[SAMV]]</f>
        <v>8691</v>
      </c>
      <c r="P141" s="115">
        <f>tblPiNAnalysis[[#This Row],[NUT]]</f>
        <v>1033.4588004943298</v>
      </c>
      <c r="Q141" s="115">
        <f>tblPiNAnalysis[[#This Row],[SAL]]</f>
        <v>14120.39</v>
      </c>
      <c r="R141" s="115">
        <f>tblPiNAnalysis[[#This Row],[EDU]]</f>
        <v>5194.9364259822232</v>
      </c>
      <c r="S141" s="115">
        <f>tblPiNAnalysis[[#This Row],[PRO]]</f>
        <v>9233.5504796630576</v>
      </c>
      <c r="T141" s="116">
        <f>tblPiNAnalysis[[#This Row],[ASH]]</f>
        <v>0</v>
      </c>
      <c r="U141" s="300">
        <f>IF(OR(tblPiNHistorical[[#This Row],[SAMV25]]="", tblPiNHistorical[[#This Row],[SAMV25]]=0, tblPiNHistorical[[#This Row],[SAMV26]]="", tblPiNHistorical[[#This Row],[SAMV26]]=0), "", tblPiNHistorical[[#This Row],[SAMV26]]-tblPiNHistorical[[#This Row],[SAMV25]])</f>
        <v>-1047</v>
      </c>
      <c r="V141" s="121">
        <f>IF(OR(tblPiNHistorical[[#This Row],[NUT25]]="", tblPiNHistorical[[#This Row],[NUT25]]=0, tblPiNHistorical[[#This Row],[NUT26]]="", tblPiNHistorical[[#This Row],[NUT26]]=0), "", tblPiNHistorical[[#This Row],[NUT26]]-tblPiNHistorical[[#This Row],[NUT25]])</f>
        <v>-2031.5411995056702</v>
      </c>
      <c r="W141" s="121">
        <f>IF(OR(tblPiNHistorical[[#This Row],[SAL25]]="", tblPiNHistorical[[#This Row],[SAL25]]=0, tblPiNHistorical[[#This Row],[SAL26]]="", tblPiNHistorical[[#This Row],[SAL26]]=0), "", tblPiNHistorical[[#This Row],[SAL26]]-tblPiNHistorical[[#This Row],[SAL25]])</f>
        <v>-5291.2373068007</v>
      </c>
      <c r="X141" s="121">
        <f>IF(OR(tblPiNHistorical[[#This Row],[EDU25]]="", tblPiNHistorical[[#This Row],[EDU25]]=0, tblPiNHistorical[[#This Row],[EDU26]]="", tblPiNHistorical[[#This Row],[EDU26]]=0), "", tblPiNHistorical[[#This Row],[EDU26]]-tblPiNHistorical[[#This Row],[EDU25]])</f>
        <v>-7316.666739960745</v>
      </c>
      <c r="Y141" s="121">
        <f>IF(OR(tblPiNHistorical[[#This Row],[PRO25]]="", tblPiNHistorical[[#This Row],[PRO25]]=0, tblPiNHistorical[[#This Row],[PRO26]]="", tblPiNHistorical[[#This Row],[PRO26]]=0), "", tblPiNHistorical[[#This Row],[PRO26]]-tblPiNHistorical[[#This Row],[PRO25]])</f>
        <v>-4216.344273019442</v>
      </c>
      <c r="Z141" s="223" t="str">
        <f>IF(OR(tblPiNHistorical[[#This Row],[ASH25]]="", tblPiNHistorical[[#This Row],[ASH25]]=0, tblPiNHistorical[[#This Row],[ASH26]]="", tblPiNHistorical[[#This Row],[ASH26]]=0), "", tblPiNHistorical[[#This Row],[ASH26]]-tblPiNHistorical[[#This Row],[ASH25]])</f>
        <v/>
      </c>
      <c r="AA14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14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14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14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14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14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14912</v>
      </c>
    </row>
    <row r="142" spans="1:32">
      <c r="A14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VenezolanosVE1210</v>
      </c>
      <c r="B142" s="105" t="s">
        <v>362</v>
      </c>
      <c r="C142" s="104" t="s">
        <v>363</v>
      </c>
      <c r="D142" s="119" t="s">
        <v>381</v>
      </c>
      <c r="E142" s="104" t="s">
        <v>382</v>
      </c>
      <c r="F142" s="119"/>
      <c r="G142" s="102">
        <v>23755</v>
      </c>
      <c r="H142" s="102" t="s">
        <v>102</v>
      </c>
      <c r="I142" s="206">
        <v>3103</v>
      </c>
      <c r="J142" s="120">
        <v>981</v>
      </c>
      <c r="K142" s="207">
        <v>6184.5333630589012</v>
      </c>
      <c r="L142" s="207">
        <v>3907.2939856837856</v>
      </c>
      <c r="M142" s="207">
        <v>8445.5528231401076</v>
      </c>
      <c r="N142" s="298">
        <v>0</v>
      </c>
      <c r="O142" s="114">
        <f>tblPiNAnalysis[[#This Row],[SAMV]]</f>
        <v>2989</v>
      </c>
      <c r="P142" s="115">
        <f>tblPiNAnalysis[[#This Row],[NUT]]</f>
        <v>1895.5368817451808</v>
      </c>
      <c r="Q142" s="115">
        <f>tblPiNAnalysis[[#This Row],[SAL]]</f>
        <v>14000</v>
      </c>
      <c r="R142" s="115">
        <f>tblPiNAnalysis[[#This Row],[EDU]]</f>
        <v>2082.8416132481525</v>
      </c>
      <c r="S142" s="115">
        <f>tblPiNAnalysis[[#This Row],[PRO]]</f>
        <v>2140.118657289428</v>
      </c>
      <c r="T142" s="116">
        <f>tblPiNAnalysis[[#This Row],[ASH]]</f>
        <v>8069.85</v>
      </c>
      <c r="U142" s="300">
        <f>IF(OR(tblPiNHistorical[[#This Row],[SAMV25]]="", tblPiNHistorical[[#This Row],[SAMV25]]=0, tblPiNHistorical[[#This Row],[SAMV26]]="", tblPiNHistorical[[#This Row],[SAMV26]]=0), "", tblPiNHistorical[[#This Row],[SAMV26]]-tblPiNHistorical[[#This Row],[SAMV25]])</f>
        <v>-114</v>
      </c>
      <c r="V142" s="121">
        <f>IF(OR(tblPiNHistorical[[#This Row],[NUT25]]="", tblPiNHistorical[[#This Row],[NUT25]]=0, tblPiNHistorical[[#This Row],[NUT26]]="", tblPiNHistorical[[#This Row],[NUT26]]=0), "", tblPiNHistorical[[#This Row],[NUT26]]-tblPiNHistorical[[#This Row],[NUT25]])</f>
        <v>914.53688174518084</v>
      </c>
      <c r="W142" s="121">
        <f>IF(OR(tblPiNHistorical[[#This Row],[SAL25]]="", tblPiNHistorical[[#This Row],[SAL25]]=0, tblPiNHistorical[[#This Row],[SAL26]]="", tblPiNHistorical[[#This Row],[SAL26]]=0), "", tblPiNHistorical[[#This Row],[SAL26]]-tblPiNHistorical[[#This Row],[SAL25]])</f>
        <v>7815.4666369410988</v>
      </c>
      <c r="X142" s="121">
        <f>IF(OR(tblPiNHistorical[[#This Row],[EDU25]]="", tblPiNHistorical[[#This Row],[EDU25]]=0, tblPiNHistorical[[#This Row],[EDU26]]="", tblPiNHistorical[[#This Row],[EDU26]]=0), "", tblPiNHistorical[[#This Row],[EDU26]]-tblPiNHistorical[[#This Row],[EDU25]])</f>
        <v>-1824.4523724356332</v>
      </c>
      <c r="Y142" s="121">
        <f>IF(OR(tblPiNHistorical[[#This Row],[PRO25]]="", tblPiNHistorical[[#This Row],[PRO25]]=0, tblPiNHistorical[[#This Row],[PRO26]]="", tblPiNHistorical[[#This Row],[PRO26]]=0), "", tblPiNHistorical[[#This Row],[PRO26]]-tblPiNHistorical[[#This Row],[PRO25]])</f>
        <v>-6305.4341658506801</v>
      </c>
      <c r="Z142" s="223" t="str">
        <f>IF(OR(tblPiNHistorical[[#This Row],[ASH25]]="", tblPiNHistorical[[#This Row],[ASH25]]=0, tblPiNHistorical[[#This Row],[ASH26]]="", tblPiNHistorical[[#This Row],[ASH26]]=0), "", tblPiNHistorical[[#This Row],[ASH26]]-tblPiNHistorical[[#This Row],[ASH25]])</f>
        <v/>
      </c>
      <c r="AA14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v>
      </c>
      <c r="AB14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14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1.3</v>
      </c>
      <c r="AD14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14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14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8069.85</v>
      </c>
    </row>
    <row r="143" spans="1:32">
      <c r="A14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VenezolanosVE1211</v>
      </c>
      <c r="B143" s="105" t="s">
        <v>362</v>
      </c>
      <c r="C143" s="104" t="s">
        <v>363</v>
      </c>
      <c r="D143" s="119" t="s">
        <v>383</v>
      </c>
      <c r="E143" s="104" t="s">
        <v>384</v>
      </c>
      <c r="F143" s="119"/>
      <c r="G143" s="102">
        <v>38408</v>
      </c>
      <c r="H143" s="102" t="s">
        <v>102</v>
      </c>
      <c r="I143" s="206">
        <v>5017</v>
      </c>
      <c r="J143" s="120">
        <v>1491</v>
      </c>
      <c r="K143" s="207">
        <v>10000.079338890337</v>
      </c>
      <c r="L143" s="207">
        <v>6016.7452630278149</v>
      </c>
      <c r="M143" s="207">
        <v>9781.7416383145446</v>
      </c>
      <c r="N143" s="298">
        <v>0</v>
      </c>
      <c r="O143" s="114">
        <f>tblPiNAnalysis[[#This Row],[SAMV]]</f>
        <v>1215</v>
      </c>
      <c r="P143" s="115">
        <f>tblPiNAnalysis[[#This Row],[NUT]]</f>
        <v>618.26089629892681</v>
      </c>
      <c r="Q143" s="115">
        <f>tblPiNAnalysis[[#This Row],[SAL]]</f>
        <v>14000</v>
      </c>
      <c r="R143" s="115">
        <f>tblPiNAnalysis[[#This Row],[EDU]]</f>
        <v>1588.824253037423</v>
      </c>
      <c r="S143" s="115">
        <f>tblPiNAnalysis[[#This Row],[PRO]]</f>
        <v>3251.9467963766192</v>
      </c>
      <c r="T143" s="116">
        <f>tblPiNAnalysis[[#This Row],[ASH]]</f>
        <v>1312.2675000000002</v>
      </c>
      <c r="U143" s="300">
        <f>IF(OR(tblPiNHistorical[[#This Row],[SAMV25]]="", tblPiNHistorical[[#This Row],[SAMV25]]=0, tblPiNHistorical[[#This Row],[SAMV26]]="", tblPiNHistorical[[#This Row],[SAMV26]]=0), "", tblPiNHistorical[[#This Row],[SAMV26]]-tblPiNHistorical[[#This Row],[SAMV25]])</f>
        <v>-3802</v>
      </c>
      <c r="V143" s="121">
        <f>IF(OR(tblPiNHistorical[[#This Row],[NUT25]]="", tblPiNHistorical[[#This Row],[NUT25]]=0, tblPiNHistorical[[#This Row],[NUT26]]="", tblPiNHistorical[[#This Row],[NUT26]]=0), "", tblPiNHistorical[[#This Row],[NUT26]]-tblPiNHistorical[[#This Row],[NUT25]])</f>
        <v>-872.73910370107319</v>
      </c>
      <c r="W143" s="121">
        <f>IF(OR(tblPiNHistorical[[#This Row],[SAL25]]="", tblPiNHistorical[[#This Row],[SAL25]]=0, tblPiNHistorical[[#This Row],[SAL26]]="", tblPiNHistorical[[#This Row],[SAL26]]=0), "", tblPiNHistorical[[#This Row],[SAL26]]-tblPiNHistorical[[#This Row],[SAL25]])</f>
        <v>3999.9206611096633</v>
      </c>
      <c r="X143" s="121">
        <f>IF(OR(tblPiNHistorical[[#This Row],[EDU25]]="", tblPiNHistorical[[#This Row],[EDU25]]=0, tblPiNHistorical[[#This Row],[EDU26]]="", tblPiNHistorical[[#This Row],[EDU26]]=0), "", tblPiNHistorical[[#This Row],[EDU26]]-tblPiNHistorical[[#This Row],[EDU25]])</f>
        <v>-4427.9210099903921</v>
      </c>
      <c r="Y143" s="121">
        <f>IF(OR(tblPiNHistorical[[#This Row],[PRO25]]="", tblPiNHistorical[[#This Row],[PRO25]]=0, tblPiNHistorical[[#This Row],[PRO26]]="", tblPiNHistorical[[#This Row],[PRO26]]=0), "", tblPiNHistorical[[#This Row],[PRO26]]-tblPiNHistorical[[#This Row],[PRO25]])</f>
        <v>-6529.7948419379254</v>
      </c>
      <c r="Z143" s="223" t="str">
        <f>IF(OR(tblPiNHistorical[[#This Row],[ASH25]]="", tblPiNHistorical[[#This Row],[ASH25]]=0, tblPiNHistorical[[#This Row],[ASH26]]="", tblPiNHistorical[[#This Row],[ASH26]]=0), "", tblPiNHistorical[[#This Row],[ASH26]]-tblPiNHistorical[[#This Row],[ASH25]])</f>
        <v/>
      </c>
      <c r="AA14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14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14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14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14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14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1312.2675</v>
      </c>
    </row>
    <row r="144" spans="1:32">
      <c r="A14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VenezolanosVE1212</v>
      </c>
      <c r="B144" s="105" t="s">
        <v>362</v>
      </c>
      <c r="C144" s="104" t="s">
        <v>363</v>
      </c>
      <c r="D144" s="119" t="s">
        <v>385</v>
      </c>
      <c r="E144" s="104" t="s">
        <v>386</v>
      </c>
      <c r="F144" s="119"/>
      <c r="G144" s="102">
        <v>126178</v>
      </c>
      <c r="H144" s="102" t="s">
        <v>102</v>
      </c>
      <c r="I144" s="206">
        <v>16480</v>
      </c>
      <c r="J144" s="120">
        <v>4779</v>
      </c>
      <c r="K144" s="207">
        <v>32851.741864617747</v>
      </c>
      <c r="L144" s="207">
        <v>16868.77812945217</v>
      </c>
      <c r="M144" s="207">
        <v>13449.8947526825</v>
      </c>
      <c r="N144" s="298">
        <v>0</v>
      </c>
      <c r="O144" s="114">
        <f>tblPiNAnalysis[[#This Row],[SAMV]]</f>
        <v>7736</v>
      </c>
      <c r="P144" s="115">
        <f>tblPiNAnalysis[[#This Row],[NUT]]</f>
        <v>1587.675273980743</v>
      </c>
      <c r="Q144" s="115">
        <f>tblPiNAnalysis[[#This Row],[SAL]]</f>
        <v>13995.56</v>
      </c>
      <c r="R144" s="115">
        <f>tblPiNAnalysis[[#This Row],[EDU]]</f>
        <v>2906.6436473137446</v>
      </c>
      <c r="S144" s="115">
        <f>tblPiNAnalysis[[#This Row],[PRO]]</f>
        <v>5506.7845266178247</v>
      </c>
      <c r="T144" s="116">
        <f>tblPiNAnalysis[[#This Row],[ASH]]</f>
        <v>0</v>
      </c>
      <c r="U144" s="300">
        <f>IF(OR(tblPiNHistorical[[#This Row],[SAMV25]]="", tblPiNHistorical[[#This Row],[SAMV25]]=0, tblPiNHistorical[[#This Row],[SAMV26]]="", tblPiNHistorical[[#This Row],[SAMV26]]=0), "", tblPiNHistorical[[#This Row],[SAMV26]]-tblPiNHistorical[[#This Row],[SAMV25]])</f>
        <v>-8744</v>
      </c>
      <c r="V144" s="121">
        <f>IF(OR(tblPiNHistorical[[#This Row],[NUT25]]="", tblPiNHistorical[[#This Row],[NUT25]]=0, tblPiNHistorical[[#This Row],[NUT26]]="", tblPiNHistorical[[#This Row],[NUT26]]=0), "", tblPiNHistorical[[#This Row],[NUT26]]-tblPiNHistorical[[#This Row],[NUT25]])</f>
        <v>-3191.324726019257</v>
      </c>
      <c r="W144" s="121">
        <f>IF(OR(tblPiNHistorical[[#This Row],[SAL25]]="", tblPiNHistorical[[#This Row],[SAL25]]=0, tblPiNHistorical[[#This Row],[SAL26]]="", tblPiNHistorical[[#This Row],[SAL26]]=0), "", tblPiNHistorical[[#This Row],[SAL26]]-tblPiNHistorical[[#This Row],[SAL25]])</f>
        <v>-18856.181864617749</v>
      </c>
      <c r="X144" s="121">
        <f>IF(OR(tblPiNHistorical[[#This Row],[EDU25]]="", tblPiNHistorical[[#This Row],[EDU25]]=0, tblPiNHistorical[[#This Row],[EDU26]]="", tblPiNHistorical[[#This Row],[EDU26]]=0), "", tblPiNHistorical[[#This Row],[EDU26]]-tblPiNHistorical[[#This Row],[EDU25]])</f>
        <v>-13962.134482138426</v>
      </c>
      <c r="Y144" s="121">
        <f>IF(OR(tblPiNHistorical[[#This Row],[PRO25]]="", tblPiNHistorical[[#This Row],[PRO25]]=0, tblPiNHistorical[[#This Row],[PRO26]]="", tblPiNHistorical[[#This Row],[PRO26]]=0), "", tblPiNHistorical[[#This Row],[PRO26]]-tblPiNHistorical[[#This Row],[PRO25]])</f>
        <v>-7943.1102260646749</v>
      </c>
      <c r="Z144" s="223" t="str">
        <f>IF(OR(tblPiNHistorical[[#This Row],[ASH25]]="", tblPiNHistorical[[#This Row],[ASH25]]=0, tblPiNHistorical[[#This Row],[ASH26]]="", tblPiNHistorical[[#This Row],[ASH26]]=0), "", tblPiNHistorical[[#This Row],[ASH26]]-tblPiNHistorical[[#This Row],[ASH25]])</f>
        <v/>
      </c>
      <c r="AA14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14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14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14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14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14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45" spans="1:32">
      <c r="A14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VenezolanosVE1213</v>
      </c>
      <c r="B145" s="105" t="s">
        <v>362</v>
      </c>
      <c r="C145" s="104" t="s">
        <v>363</v>
      </c>
      <c r="D145" s="119" t="s">
        <v>387</v>
      </c>
      <c r="E145" s="104" t="s">
        <v>388</v>
      </c>
      <c r="F145" s="119"/>
      <c r="G145" s="102">
        <v>11426</v>
      </c>
      <c r="H145" s="102" t="s">
        <v>102</v>
      </c>
      <c r="I145" s="206">
        <v>1492</v>
      </c>
      <c r="J145" s="120">
        <v>491</v>
      </c>
      <c r="K145" s="207">
        <v>2974.3622486226882</v>
      </c>
      <c r="L145" s="207">
        <v>1947.1651649840055</v>
      </c>
      <c r="M145" s="207">
        <v>4062.255801187071</v>
      </c>
      <c r="N145" s="298">
        <v>0</v>
      </c>
      <c r="O145" s="114">
        <f>tblPiNAnalysis[[#This Row],[SAMV]]</f>
        <v>13950</v>
      </c>
      <c r="P145" s="115">
        <f>tblPiNAnalysis[[#This Row],[NUT]]</f>
        <v>597.86705223600529</v>
      </c>
      <c r="Q145" s="115">
        <f>tblPiNAnalysis[[#This Row],[SAL]]</f>
        <v>6300</v>
      </c>
      <c r="R145" s="115">
        <f>tblPiNAnalysis[[#This Row],[EDU]]</f>
        <v>1818.0582824920004</v>
      </c>
      <c r="S145" s="115">
        <f>tblPiNAnalysis[[#This Row],[PRO]]</f>
        <v>3794.2619724172582</v>
      </c>
      <c r="T145" s="116">
        <f>tblPiNAnalysis[[#This Row],[ASH]]</f>
        <v>1068.8625</v>
      </c>
      <c r="U145" s="300">
        <f>IF(OR(tblPiNHistorical[[#This Row],[SAMV25]]="", tblPiNHistorical[[#This Row],[SAMV25]]=0, tblPiNHistorical[[#This Row],[SAMV26]]="", tblPiNHistorical[[#This Row],[SAMV26]]=0), "", tblPiNHistorical[[#This Row],[SAMV26]]-tblPiNHistorical[[#This Row],[SAMV25]])</f>
        <v>12458</v>
      </c>
      <c r="V145" s="121">
        <f>IF(OR(tblPiNHistorical[[#This Row],[NUT25]]="", tblPiNHistorical[[#This Row],[NUT25]]=0, tblPiNHistorical[[#This Row],[NUT26]]="", tblPiNHistorical[[#This Row],[NUT26]]=0), "", tblPiNHistorical[[#This Row],[NUT26]]-tblPiNHistorical[[#This Row],[NUT25]])</f>
        <v>106.86705223600529</v>
      </c>
      <c r="W145" s="121">
        <f>IF(OR(tblPiNHistorical[[#This Row],[SAL25]]="", tblPiNHistorical[[#This Row],[SAL25]]=0, tblPiNHistorical[[#This Row],[SAL26]]="", tblPiNHistorical[[#This Row],[SAL26]]=0), "", tblPiNHistorical[[#This Row],[SAL26]]-tblPiNHistorical[[#This Row],[SAL25]])</f>
        <v>3325.6377513773118</v>
      </c>
      <c r="X145" s="121">
        <f>IF(OR(tblPiNHistorical[[#This Row],[EDU25]]="", tblPiNHistorical[[#This Row],[EDU25]]=0, tblPiNHistorical[[#This Row],[EDU26]]="", tblPiNHistorical[[#This Row],[EDU26]]=0), "", tblPiNHistorical[[#This Row],[EDU26]]-tblPiNHistorical[[#This Row],[EDU25]])</f>
        <v>-129.10688249200507</v>
      </c>
      <c r="Y145" s="121">
        <f>IF(OR(tblPiNHistorical[[#This Row],[PRO25]]="", tblPiNHistorical[[#This Row],[PRO25]]=0, tblPiNHistorical[[#This Row],[PRO26]]="", tblPiNHistorical[[#This Row],[PRO26]]=0), "", tblPiNHistorical[[#This Row],[PRO26]]-tblPiNHistorical[[#This Row],[PRO25]])</f>
        <v>-267.99382876981281</v>
      </c>
      <c r="Z145" s="223" t="str">
        <f>IF(OR(tblPiNHistorical[[#This Row],[ASH25]]="", tblPiNHistorical[[#This Row],[ASH25]]=0, tblPiNHistorical[[#This Row],[ASH26]]="", tblPiNHistorical[[#This Row],[ASH26]]=0), "", tblPiNHistorical[[#This Row],[ASH26]]-tblPiNHistorical[[#This Row],[ASH25]])</f>
        <v/>
      </c>
      <c r="AA14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8.3000000000000007</v>
      </c>
      <c r="AB14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14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1.1000000000000001</v>
      </c>
      <c r="AD14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14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14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1068.8625</v>
      </c>
    </row>
    <row r="146" spans="1:32">
      <c r="A14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VenezolanosVE1214</v>
      </c>
      <c r="B146" s="105" t="s">
        <v>362</v>
      </c>
      <c r="C146" s="104" t="s">
        <v>363</v>
      </c>
      <c r="D146" s="119" t="s">
        <v>389</v>
      </c>
      <c r="E146" s="104" t="s">
        <v>390</v>
      </c>
      <c r="F146" s="119"/>
      <c r="G146" s="102">
        <v>13161</v>
      </c>
      <c r="H146" s="102" t="s">
        <v>102</v>
      </c>
      <c r="I146" s="206">
        <v>1719</v>
      </c>
      <c r="J146" s="120">
        <v>545</v>
      </c>
      <c r="K146" s="207">
        <v>3426.1641091729703</v>
      </c>
      <c r="L146" s="207">
        <v>2157.2760448463032</v>
      </c>
      <c r="M146" s="207">
        <v>6433.7567236309014</v>
      </c>
      <c r="N146" s="298">
        <v>0</v>
      </c>
      <c r="O146" s="114">
        <f>tblPiNAnalysis[[#This Row],[SAMV]]</f>
        <v>4601</v>
      </c>
      <c r="P146" s="115">
        <f>tblPiNAnalysis[[#This Row],[NUT]]</f>
        <v>2085.6017894958804</v>
      </c>
      <c r="Q146" s="115">
        <f>tblPiNAnalysis[[#This Row],[SAL]]</f>
        <v>10916.42</v>
      </c>
      <c r="R146" s="115">
        <f>tblPiNAnalysis[[#This Row],[EDU]]</f>
        <v>1798.3335056182759</v>
      </c>
      <c r="S146" s="115">
        <f>tblPiNAnalysis[[#This Row],[PRO]]</f>
        <v>7157.7431738336463</v>
      </c>
      <c r="T146" s="116">
        <f>tblPiNAnalysis[[#This Row],[ASH]]</f>
        <v>13458.6</v>
      </c>
      <c r="U146" s="300">
        <f>IF(OR(tblPiNHistorical[[#This Row],[SAMV25]]="", tblPiNHistorical[[#This Row],[SAMV25]]=0, tblPiNHistorical[[#This Row],[SAMV26]]="", tblPiNHistorical[[#This Row],[SAMV26]]=0), "", tblPiNHistorical[[#This Row],[SAMV26]]-tblPiNHistorical[[#This Row],[SAMV25]])</f>
        <v>2882</v>
      </c>
      <c r="V146" s="121">
        <f>IF(OR(tblPiNHistorical[[#This Row],[NUT25]]="", tblPiNHistorical[[#This Row],[NUT25]]=0, tblPiNHistorical[[#This Row],[NUT26]]="", tblPiNHistorical[[#This Row],[NUT26]]=0), "", tblPiNHistorical[[#This Row],[NUT26]]-tblPiNHistorical[[#This Row],[NUT25]])</f>
        <v>1540.6017894958804</v>
      </c>
      <c r="W146" s="121">
        <f>IF(OR(tblPiNHistorical[[#This Row],[SAL25]]="", tblPiNHistorical[[#This Row],[SAL25]]=0, tblPiNHistorical[[#This Row],[SAL26]]="", tblPiNHistorical[[#This Row],[SAL26]]=0), "", tblPiNHistorical[[#This Row],[SAL26]]-tblPiNHistorical[[#This Row],[SAL25]])</f>
        <v>7490.2558908270294</v>
      </c>
      <c r="X146" s="121">
        <f>IF(OR(tblPiNHistorical[[#This Row],[EDU25]]="", tblPiNHistorical[[#This Row],[EDU25]]=0, tblPiNHistorical[[#This Row],[EDU26]]="", tblPiNHistorical[[#This Row],[EDU26]]=0), "", tblPiNHistorical[[#This Row],[EDU26]]-tblPiNHistorical[[#This Row],[EDU25]])</f>
        <v>-358.94253922802727</v>
      </c>
      <c r="Y146" s="121">
        <f>IF(OR(tblPiNHistorical[[#This Row],[PRO25]]="", tblPiNHistorical[[#This Row],[PRO25]]=0, tblPiNHistorical[[#This Row],[PRO26]]="", tblPiNHistorical[[#This Row],[PRO26]]=0), "", tblPiNHistorical[[#This Row],[PRO26]]-tblPiNHistorical[[#This Row],[PRO25]])</f>
        <v>723.98645020274489</v>
      </c>
      <c r="Z146" s="223" t="str">
        <f>IF(OR(tblPiNHistorical[[#This Row],[ASH25]]="", tblPiNHistorical[[#This Row],[ASH25]]=0, tblPiNHistorical[[#This Row],[ASH26]]="", tblPiNHistorical[[#This Row],[ASH26]]=0), "", tblPiNHistorical[[#This Row],[ASH26]]-tblPiNHistorical[[#This Row],[ASH25]])</f>
        <v/>
      </c>
      <c r="AA14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1.7</v>
      </c>
      <c r="AB14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2.8</v>
      </c>
      <c r="AC14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2.2000000000000002</v>
      </c>
      <c r="AD14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-0.2</v>
      </c>
      <c r="AE14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14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13458.6</v>
      </c>
    </row>
    <row r="147" spans="1:32">
      <c r="A14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VenezolanosVE1215</v>
      </c>
      <c r="B147" s="105" t="s">
        <v>362</v>
      </c>
      <c r="C147" s="104" t="s">
        <v>363</v>
      </c>
      <c r="D147" s="119" t="s">
        <v>391</v>
      </c>
      <c r="E147" s="104" t="s">
        <v>392</v>
      </c>
      <c r="F147" s="119"/>
      <c r="G147" s="102">
        <v>62027</v>
      </c>
      <c r="H147" s="102" t="s">
        <v>102</v>
      </c>
      <c r="I147" s="206">
        <v>8101</v>
      </c>
      <c r="J147" s="120">
        <v>2566</v>
      </c>
      <c r="K147" s="207">
        <v>16148.944134011059</v>
      </c>
      <c r="L147" s="207">
        <v>9716.693504995801</v>
      </c>
      <c r="M147" s="207">
        <v>9781.7416383145446</v>
      </c>
      <c r="N147" s="298">
        <v>12405</v>
      </c>
      <c r="O147" s="114">
        <f>tblPiNAnalysis[[#This Row],[SAMV]]</f>
        <v>7045</v>
      </c>
      <c r="P147" s="115">
        <f>tblPiNAnalysis[[#This Row],[NUT]]</f>
        <v>1855.7296584467563</v>
      </c>
      <c r="Q147" s="115">
        <f>tblPiNAnalysis[[#This Row],[SAL]]</f>
        <v>8120.52</v>
      </c>
      <c r="R147" s="115">
        <f>tblPiNAnalysis[[#This Row],[EDU]]</f>
        <v>3844.302297622447</v>
      </c>
      <c r="S147" s="115">
        <f>tblPiNAnalysis[[#This Row],[PRO]]</f>
        <v>5330.8961390804643</v>
      </c>
      <c r="T147" s="116">
        <f>tblPiNAnalysis[[#This Row],[ASH]]</f>
        <v>13348.8</v>
      </c>
      <c r="U147" s="300">
        <f>IF(OR(tblPiNHistorical[[#This Row],[SAMV25]]="", tblPiNHistorical[[#This Row],[SAMV25]]=0, tblPiNHistorical[[#This Row],[SAMV26]]="", tblPiNHistorical[[#This Row],[SAMV26]]=0), "", tblPiNHistorical[[#This Row],[SAMV26]]-tblPiNHistorical[[#This Row],[SAMV25]])</f>
        <v>-1056</v>
      </c>
      <c r="V147" s="121">
        <f>IF(OR(tblPiNHistorical[[#This Row],[NUT25]]="", tblPiNHistorical[[#This Row],[NUT25]]=0, tblPiNHistorical[[#This Row],[NUT26]]="", tblPiNHistorical[[#This Row],[NUT26]]=0), "", tblPiNHistorical[[#This Row],[NUT26]]-tblPiNHistorical[[#This Row],[NUT25]])</f>
        <v>-710.27034155324372</v>
      </c>
      <c r="W147" s="121">
        <f>IF(OR(tblPiNHistorical[[#This Row],[SAL25]]="", tblPiNHistorical[[#This Row],[SAL25]]=0, tblPiNHistorical[[#This Row],[SAL26]]="", tblPiNHistorical[[#This Row],[SAL26]]=0), "", tblPiNHistorical[[#This Row],[SAL26]]-tblPiNHistorical[[#This Row],[SAL25]])</f>
        <v>-8028.4241340110584</v>
      </c>
      <c r="X147" s="121">
        <f>IF(OR(tblPiNHistorical[[#This Row],[EDU25]]="", tblPiNHistorical[[#This Row],[EDU25]]=0, tblPiNHistorical[[#This Row],[EDU26]]="", tblPiNHistorical[[#This Row],[EDU26]]=0), "", tblPiNHistorical[[#This Row],[EDU26]]-tblPiNHistorical[[#This Row],[EDU25]])</f>
        <v>-5872.3912073733536</v>
      </c>
      <c r="Y147" s="121">
        <f>IF(OR(tblPiNHistorical[[#This Row],[PRO25]]="", tblPiNHistorical[[#This Row],[PRO25]]=0, tblPiNHistorical[[#This Row],[PRO26]]="", tblPiNHistorical[[#This Row],[PRO26]]=0), "", tblPiNHistorical[[#This Row],[PRO26]]-tblPiNHistorical[[#This Row],[PRO25]])</f>
        <v>-4450.8454992340803</v>
      </c>
      <c r="Z147" s="223">
        <f>IF(OR(tblPiNHistorical[[#This Row],[ASH25]]="", tblPiNHistorical[[#This Row],[ASH25]]=0, tblPiNHistorical[[#This Row],[ASH26]]="", tblPiNHistorical[[#This Row],[ASH26]]=0), "", tblPiNHistorical[[#This Row],[ASH26]]-tblPiNHistorical[[#This Row],[ASH25]])</f>
        <v>943.79999999999927</v>
      </c>
      <c r="AA14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14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-0.3</v>
      </c>
      <c r="AC14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14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14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147"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0.1</v>
      </c>
    </row>
    <row r="148" spans="1:32">
      <c r="A14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VenezolanosVE1301</v>
      </c>
      <c r="B148" s="105" t="s">
        <v>393</v>
      </c>
      <c r="C148" s="104" t="s">
        <v>394</v>
      </c>
      <c r="D148" s="119" t="s">
        <v>237</v>
      </c>
      <c r="E148" s="104" t="s">
        <v>395</v>
      </c>
      <c r="F148" s="119"/>
      <c r="G148" s="102">
        <v>47245</v>
      </c>
      <c r="H148" s="102" t="s">
        <v>102</v>
      </c>
      <c r="I148" s="206">
        <v>6508</v>
      </c>
      <c r="J148" s="120">
        <v>2316</v>
      </c>
      <c r="K148" s="207">
        <v>12300.701970902956</v>
      </c>
      <c r="L148" s="207">
        <v>4760.6836228870798</v>
      </c>
      <c r="M148" s="207">
        <v>23095.724975909274</v>
      </c>
      <c r="N148" s="298">
        <v>0</v>
      </c>
      <c r="O148" s="114">
        <f>tblPiNAnalysis[[#This Row],[SAMV]]</f>
        <v>5881</v>
      </c>
      <c r="P148" s="115">
        <f>tblPiNAnalysis[[#This Row],[NUT]]</f>
        <v>1184.7913139759037</v>
      </c>
      <c r="Q148" s="115">
        <f>tblPiNAnalysis[[#This Row],[SAL]]</f>
        <v>13300</v>
      </c>
      <c r="R148" s="115">
        <f>tblPiNAnalysis[[#This Row],[EDU]]</f>
        <v>2484.0380892054091</v>
      </c>
      <c r="S148" s="115">
        <f>tblPiNAnalysis[[#This Row],[PRO]]</f>
        <v>3492.2506268212801</v>
      </c>
      <c r="T148" s="116">
        <f>tblPiNAnalysis[[#This Row],[ASH]]</f>
        <v>2348.73</v>
      </c>
      <c r="U148" s="300">
        <f>IF(OR(tblPiNHistorical[[#This Row],[SAMV25]]="", tblPiNHistorical[[#This Row],[SAMV25]]=0, tblPiNHistorical[[#This Row],[SAMV26]]="", tblPiNHistorical[[#This Row],[SAMV26]]=0), "", tblPiNHistorical[[#This Row],[SAMV26]]-tblPiNHistorical[[#This Row],[SAMV25]])</f>
        <v>-627</v>
      </c>
      <c r="V148" s="121">
        <f>IF(OR(tblPiNHistorical[[#This Row],[NUT25]]="", tblPiNHistorical[[#This Row],[NUT25]]=0, tblPiNHistorical[[#This Row],[NUT26]]="", tblPiNHistorical[[#This Row],[NUT26]]=0), "", tblPiNHistorical[[#This Row],[NUT26]]-tblPiNHistorical[[#This Row],[NUT25]])</f>
        <v>-1131.2086860240963</v>
      </c>
      <c r="W148" s="121">
        <f>IF(OR(tblPiNHistorical[[#This Row],[SAL25]]="", tblPiNHistorical[[#This Row],[SAL25]]=0, tblPiNHistorical[[#This Row],[SAL26]]="", tblPiNHistorical[[#This Row],[SAL26]]=0), "", tblPiNHistorical[[#This Row],[SAL26]]-tblPiNHistorical[[#This Row],[SAL25]])</f>
        <v>999.29802909704449</v>
      </c>
      <c r="X148" s="121">
        <f>IF(OR(tblPiNHistorical[[#This Row],[EDU25]]="", tblPiNHistorical[[#This Row],[EDU25]]=0, tblPiNHistorical[[#This Row],[EDU26]]="", tblPiNHistorical[[#This Row],[EDU26]]=0), "", tblPiNHistorical[[#This Row],[EDU26]]-tblPiNHistorical[[#This Row],[EDU25]])</f>
        <v>-2276.6455336816707</v>
      </c>
      <c r="Y148" s="121">
        <f>IF(OR(tblPiNHistorical[[#This Row],[PRO25]]="", tblPiNHistorical[[#This Row],[PRO25]]=0, tblPiNHistorical[[#This Row],[PRO26]]="", tblPiNHistorical[[#This Row],[PRO26]]=0), "", tblPiNHistorical[[#This Row],[PRO26]]-tblPiNHistorical[[#This Row],[PRO25]])</f>
        <v>-19603.474349087992</v>
      </c>
      <c r="Z148" s="223" t="str">
        <f>IF(OR(tblPiNHistorical[[#This Row],[ASH25]]="", tblPiNHistorical[[#This Row],[ASH25]]=0, tblPiNHistorical[[#This Row],[ASH26]]="", tblPiNHistorical[[#This Row],[ASH26]]=0), "", tblPiNHistorical[[#This Row],[ASH26]]-tblPiNHistorical[[#This Row],[ASH25]])</f>
        <v/>
      </c>
      <c r="AA14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14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14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14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14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14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2348.73</v>
      </c>
    </row>
    <row r="149" spans="1:32">
      <c r="A14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VenezolanosVE1302</v>
      </c>
      <c r="B149" s="105" t="s">
        <v>393</v>
      </c>
      <c r="C149" s="104" t="s">
        <v>394</v>
      </c>
      <c r="D149" s="119" t="s">
        <v>396</v>
      </c>
      <c r="E149" s="104" t="s">
        <v>397</v>
      </c>
      <c r="F149" s="119"/>
      <c r="G149" s="102">
        <v>49958</v>
      </c>
      <c r="H149" s="102" t="s">
        <v>102</v>
      </c>
      <c r="I149" s="206">
        <v>6881</v>
      </c>
      <c r="J149" s="120">
        <v>2060</v>
      </c>
      <c r="K149" s="207">
        <v>13007.13777478969</v>
      </c>
      <c r="L149" s="207">
        <v>3288.6348679612197</v>
      </c>
      <c r="M149" s="207">
        <v>17761.436663373333</v>
      </c>
      <c r="N149" s="298">
        <v>9992</v>
      </c>
      <c r="O149" s="114">
        <f>tblPiNAnalysis[[#This Row],[SAMV]]</f>
        <v>11748</v>
      </c>
      <c r="P149" s="115">
        <f>tblPiNAnalysis[[#This Row],[NUT]]</f>
        <v>1863.5224573282942</v>
      </c>
      <c r="Q149" s="115">
        <f>tblPiNAnalysis[[#This Row],[SAL]]</f>
        <v>12864.424999999999</v>
      </c>
      <c r="R149" s="115">
        <f>tblPiNAnalysis[[#This Row],[EDU]]</f>
        <v>1309.4217816871515</v>
      </c>
      <c r="S149" s="115">
        <f>tblPiNAnalysis[[#This Row],[PRO]]</f>
        <v>8445.5399153843882</v>
      </c>
      <c r="T149" s="116">
        <f>tblPiNAnalysis[[#This Row],[ASH]]</f>
        <v>4758.0749999999998</v>
      </c>
      <c r="U149" s="300">
        <f>IF(OR(tblPiNHistorical[[#This Row],[SAMV25]]="", tblPiNHistorical[[#This Row],[SAMV25]]=0, tblPiNHistorical[[#This Row],[SAMV26]]="", tblPiNHistorical[[#This Row],[SAMV26]]=0), "", tblPiNHistorical[[#This Row],[SAMV26]]-tblPiNHistorical[[#This Row],[SAMV25]])</f>
        <v>4867</v>
      </c>
      <c r="V149" s="121">
        <f>IF(OR(tblPiNHistorical[[#This Row],[NUT25]]="", tblPiNHistorical[[#This Row],[NUT25]]=0, tblPiNHistorical[[#This Row],[NUT26]]="", tblPiNHistorical[[#This Row],[NUT26]]=0), "", tblPiNHistorical[[#This Row],[NUT26]]-tblPiNHistorical[[#This Row],[NUT25]])</f>
        <v>-196.47754267170581</v>
      </c>
      <c r="W149" s="121">
        <f>IF(OR(tblPiNHistorical[[#This Row],[SAL25]]="", tblPiNHistorical[[#This Row],[SAL25]]=0, tblPiNHistorical[[#This Row],[SAL26]]="", tblPiNHistorical[[#This Row],[SAL26]]=0), "", tblPiNHistorical[[#This Row],[SAL26]]-tblPiNHistorical[[#This Row],[SAL25]])</f>
        <v>-142.71277478969023</v>
      </c>
      <c r="X149" s="121">
        <f>IF(OR(tblPiNHistorical[[#This Row],[EDU25]]="", tblPiNHistorical[[#This Row],[EDU25]]=0, tblPiNHistorical[[#This Row],[EDU26]]="", tblPiNHistorical[[#This Row],[EDU26]]=0), "", tblPiNHistorical[[#This Row],[EDU26]]-tblPiNHistorical[[#This Row],[EDU25]])</f>
        <v>-1979.2130862740682</v>
      </c>
      <c r="Y149" s="121">
        <f>IF(OR(tblPiNHistorical[[#This Row],[PRO25]]="", tblPiNHistorical[[#This Row],[PRO25]]=0, tblPiNHistorical[[#This Row],[PRO26]]="", tblPiNHistorical[[#This Row],[PRO26]]=0), "", tblPiNHistorical[[#This Row],[PRO26]]-tblPiNHistorical[[#This Row],[PRO25]])</f>
        <v>-9315.8967479889452</v>
      </c>
      <c r="Z149" s="223">
        <f>IF(OR(tblPiNHistorical[[#This Row],[ASH25]]="", tblPiNHistorical[[#This Row],[ASH25]]=0, tblPiNHistorical[[#This Row],[ASH26]]="", tblPiNHistorical[[#This Row],[ASH26]]=0), "", tblPiNHistorical[[#This Row],[ASH26]]-tblPiNHistorical[[#This Row],[ASH25]])</f>
        <v>-5233.9250000000002</v>
      </c>
      <c r="AA14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0.7</v>
      </c>
      <c r="AB14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14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v>
      </c>
      <c r="AD14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14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149"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-0.5</v>
      </c>
    </row>
    <row r="150" spans="1:32">
      <c r="A15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VenezolanosVE1303</v>
      </c>
      <c r="B150" s="105" t="s">
        <v>393</v>
      </c>
      <c r="C150" s="104" t="s">
        <v>394</v>
      </c>
      <c r="D150" s="119" t="s">
        <v>398</v>
      </c>
      <c r="E150" s="104" t="s">
        <v>399</v>
      </c>
      <c r="F150" s="119"/>
      <c r="G150" s="102">
        <v>996230</v>
      </c>
      <c r="H150" s="102" t="s">
        <v>102</v>
      </c>
      <c r="I150" s="206">
        <v>137226</v>
      </c>
      <c r="J150" s="120">
        <v>40679</v>
      </c>
      <c r="K150" s="207">
        <v>259376.8720786768</v>
      </c>
      <c r="L150" s="207">
        <v>61384.064409555438</v>
      </c>
      <c r="M150" s="207">
        <v>38569.341306492221</v>
      </c>
      <c r="N150" s="298">
        <v>199246</v>
      </c>
      <c r="O150" s="114">
        <f>tblPiNAnalysis[[#This Row],[SAMV]]</f>
        <v>5158</v>
      </c>
      <c r="P150" s="115">
        <f>tblPiNAnalysis[[#This Row],[NUT]]</f>
        <v>1432.7110070311301</v>
      </c>
      <c r="Q150" s="115">
        <f>tblPiNAnalysis[[#This Row],[SAL]]</f>
        <v>11900</v>
      </c>
      <c r="R150" s="115">
        <f>tblPiNAnalysis[[#This Row],[EDU]]</f>
        <v>1771.5963990566322</v>
      </c>
      <c r="S150" s="115">
        <f>tblPiNAnalysis[[#This Row],[PRO]]</f>
        <v>6730.7238706762373</v>
      </c>
      <c r="T150" s="116">
        <f>tblPiNAnalysis[[#This Row],[ASH]]</f>
        <v>12660.75</v>
      </c>
      <c r="U150" s="300">
        <f>IF(OR(tblPiNHistorical[[#This Row],[SAMV25]]="", tblPiNHistorical[[#This Row],[SAMV25]]=0, tblPiNHistorical[[#This Row],[SAMV26]]="", tblPiNHistorical[[#This Row],[SAMV26]]=0), "", tblPiNHistorical[[#This Row],[SAMV26]]-tblPiNHistorical[[#This Row],[SAMV25]])</f>
        <v>-132068</v>
      </c>
      <c r="V150" s="121">
        <f>IF(OR(tblPiNHistorical[[#This Row],[NUT25]]="", tblPiNHistorical[[#This Row],[NUT25]]=0, tblPiNHistorical[[#This Row],[NUT26]]="", tblPiNHistorical[[#This Row],[NUT26]]=0), "", tblPiNHistorical[[#This Row],[NUT26]]-tblPiNHistorical[[#This Row],[NUT25]])</f>
        <v>-39246.288992968868</v>
      </c>
      <c r="W150" s="121">
        <f>IF(OR(tblPiNHistorical[[#This Row],[SAL25]]="", tblPiNHistorical[[#This Row],[SAL25]]=0, tblPiNHistorical[[#This Row],[SAL26]]="", tblPiNHistorical[[#This Row],[SAL26]]=0), "", tblPiNHistorical[[#This Row],[SAL26]]-tblPiNHistorical[[#This Row],[SAL25]])</f>
        <v>-247476.8720786768</v>
      </c>
      <c r="X150" s="121">
        <f>IF(OR(tblPiNHistorical[[#This Row],[EDU25]]="", tblPiNHistorical[[#This Row],[EDU25]]=0, tblPiNHistorical[[#This Row],[EDU26]]="", tblPiNHistorical[[#This Row],[EDU26]]=0), "", tblPiNHistorical[[#This Row],[EDU26]]-tblPiNHistorical[[#This Row],[EDU25]])</f>
        <v>-59612.468010498807</v>
      </c>
      <c r="Y150" s="121">
        <f>IF(OR(tblPiNHistorical[[#This Row],[PRO25]]="", tblPiNHistorical[[#This Row],[PRO25]]=0, tblPiNHistorical[[#This Row],[PRO26]]="", tblPiNHistorical[[#This Row],[PRO26]]=0), "", tblPiNHistorical[[#This Row],[PRO26]]-tblPiNHistorical[[#This Row],[PRO25]])</f>
        <v>-31838.617435815984</v>
      </c>
      <c r="Z150" s="223">
        <f>IF(OR(tblPiNHistorical[[#This Row],[ASH25]]="", tblPiNHistorical[[#This Row],[ASH25]]=0, tblPiNHistorical[[#This Row],[ASH26]]="", tblPiNHistorical[[#This Row],[ASH26]]=0), "", tblPiNHistorical[[#This Row],[ASH26]]-tblPiNHistorical[[#This Row],[ASH25]])</f>
        <v>-186585.25</v>
      </c>
      <c r="AA15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15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v>
      </c>
      <c r="AC15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v>
      </c>
      <c r="AD15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15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150"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-0.9</v>
      </c>
    </row>
    <row r="151" spans="1:32">
      <c r="A15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VenezolanosVE1304</v>
      </c>
      <c r="B151" s="105" t="s">
        <v>393</v>
      </c>
      <c r="C151" s="104" t="s">
        <v>394</v>
      </c>
      <c r="D151" s="119" t="s">
        <v>400</v>
      </c>
      <c r="E151" s="104" t="s">
        <v>401</v>
      </c>
      <c r="F151" s="119"/>
      <c r="G151" s="102">
        <v>100997</v>
      </c>
      <c r="H151" s="102" t="s">
        <v>102</v>
      </c>
      <c r="I151" s="206">
        <v>13912</v>
      </c>
      <c r="J151" s="120">
        <v>4096</v>
      </c>
      <c r="K151" s="207">
        <v>26295.660918869467</v>
      </c>
      <c r="L151" s="207">
        <v>8260.9924425101344</v>
      </c>
      <c r="M151" s="207">
        <v>49372.39782817036</v>
      </c>
      <c r="N151" s="298">
        <v>20199</v>
      </c>
      <c r="O151" s="114">
        <f>tblPiNAnalysis[[#This Row],[SAMV]]</f>
        <v>4839</v>
      </c>
      <c r="P151" s="115">
        <f>tblPiNAnalysis[[#This Row],[NUT]]</f>
        <v>856.93726003331824</v>
      </c>
      <c r="Q151" s="115">
        <f>tblPiNAnalysis[[#This Row],[SAL]]</f>
        <v>12600</v>
      </c>
      <c r="R151" s="115">
        <f>tblPiNAnalysis[[#This Row],[EDU]]</f>
        <v>2826.2169632002428</v>
      </c>
      <c r="S151" s="115">
        <f>tblPiNAnalysis[[#This Row],[PRO]]</f>
        <v>5342.2354631622929</v>
      </c>
      <c r="T151" s="116">
        <f>tblPiNAnalysis[[#This Row],[ASH]]</f>
        <v>3014.6849999999999</v>
      </c>
      <c r="U151" s="300">
        <f>IF(OR(tblPiNHistorical[[#This Row],[SAMV25]]="", tblPiNHistorical[[#This Row],[SAMV25]]=0, tblPiNHistorical[[#This Row],[SAMV26]]="", tblPiNHistorical[[#This Row],[SAMV26]]=0), "", tblPiNHistorical[[#This Row],[SAMV26]]-tblPiNHistorical[[#This Row],[SAMV25]])</f>
        <v>-9073</v>
      </c>
      <c r="V151" s="121">
        <f>IF(OR(tblPiNHistorical[[#This Row],[NUT25]]="", tblPiNHistorical[[#This Row],[NUT25]]=0, tblPiNHistorical[[#This Row],[NUT26]]="", tblPiNHistorical[[#This Row],[NUT26]]=0), "", tblPiNHistorical[[#This Row],[NUT26]]-tblPiNHistorical[[#This Row],[NUT25]])</f>
        <v>-3239.0627399666819</v>
      </c>
      <c r="W151" s="121">
        <f>IF(OR(tblPiNHistorical[[#This Row],[SAL25]]="", tblPiNHistorical[[#This Row],[SAL25]]=0, tblPiNHistorical[[#This Row],[SAL26]]="", tblPiNHistorical[[#This Row],[SAL26]]=0), "", tblPiNHistorical[[#This Row],[SAL26]]-tblPiNHistorical[[#This Row],[SAL25]])</f>
        <v>-13695.660918869467</v>
      </c>
      <c r="X151" s="121">
        <f>IF(OR(tblPiNHistorical[[#This Row],[EDU25]]="", tblPiNHistorical[[#This Row],[EDU25]]=0, tblPiNHistorical[[#This Row],[EDU26]]="", tblPiNHistorical[[#This Row],[EDU26]]=0), "", tblPiNHistorical[[#This Row],[EDU26]]-tblPiNHistorical[[#This Row],[EDU25]])</f>
        <v>-5434.775479309892</v>
      </c>
      <c r="Y151" s="121">
        <f>IF(OR(tblPiNHistorical[[#This Row],[PRO25]]="", tblPiNHistorical[[#This Row],[PRO25]]=0, tblPiNHistorical[[#This Row],[PRO26]]="", tblPiNHistorical[[#This Row],[PRO26]]=0), "", tblPiNHistorical[[#This Row],[PRO26]]-tblPiNHistorical[[#This Row],[PRO25]])</f>
        <v>-44030.162365008066</v>
      </c>
      <c r="Z151" s="223">
        <f>IF(OR(tblPiNHistorical[[#This Row],[ASH25]]="", tblPiNHistorical[[#This Row],[ASH25]]=0, tblPiNHistorical[[#This Row],[ASH26]]="", tblPiNHistorical[[#This Row],[ASH26]]=0), "", tblPiNHistorical[[#This Row],[ASH26]]-tblPiNHistorical[[#This Row],[ASH25]])</f>
        <v>-17184.314999999999</v>
      </c>
      <c r="AA15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-0.7</v>
      </c>
      <c r="AB15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15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15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15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51"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-0.9</v>
      </c>
    </row>
    <row r="152" spans="1:32">
      <c r="A15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VenezolanosVE1305</v>
      </c>
      <c r="B152" s="105" t="s">
        <v>393</v>
      </c>
      <c r="C152" s="104" t="s">
        <v>394</v>
      </c>
      <c r="D152" s="119" t="s">
        <v>402</v>
      </c>
      <c r="E152" s="104" t="s">
        <v>403</v>
      </c>
      <c r="F152" s="119"/>
      <c r="G152" s="102">
        <v>123880</v>
      </c>
      <c r="H152" s="102" t="s">
        <v>102</v>
      </c>
      <c r="I152" s="206">
        <v>17064</v>
      </c>
      <c r="J152" s="120">
        <v>5232</v>
      </c>
      <c r="K152" s="207">
        <v>32253.302558099389</v>
      </c>
      <c r="L152" s="207">
        <v>10789.034219130408</v>
      </c>
      <c r="M152" s="207">
        <v>53032.844296426811</v>
      </c>
      <c r="N152" s="298">
        <v>0</v>
      </c>
      <c r="O152" s="114">
        <f>tblPiNAnalysis[[#This Row],[SAMV]]</f>
        <v>6599</v>
      </c>
      <c r="P152" s="115">
        <f>tblPiNAnalysis[[#This Row],[NUT]]</f>
        <v>666.48086845537387</v>
      </c>
      <c r="Q152" s="115">
        <f>tblPiNAnalysis[[#This Row],[SAL]]</f>
        <v>12600</v>
      </c>
      <c r="R152" s="115">
        <f>tblPiNAnalysis[[#This Row],[EDU]]</f>
        <v>859.03253717400207</v>
      </c>
      <c r="S152" s="115">
        <f>tblPiNAnalysis[[#This Row],[PRO]]</f>
        <v>3720.558464639003</v>
      </c>
      <c r="T152" s="116">
        <f>tblPiNAnalysis[[#This Row],[ASH]]</f>
        <v>0</v>
      </c>
      <c r="U152" s="300">
        <f>IF(OR(tblPiNHistorical[[#This Row],[SAMV25]]="", tblPiNHistorical[[#This Row],[SAMV25]]=0, tblPiNHistorical[[#This Row],[SAMV26]]="", tblPiNHistorical[[#This Row],[SAMV26]]=0), "", tblPiNHistorical[[#This Row],[SAMV26]]-tblPiNHistorical[[#This Row],[SAMV25]])</f>
        <v>-10465</v>
      </c>
      <c r="V152" s="121">
        <f>IF(OR(tblPiNHistorical[[#This Row],[NUT25]]="", tblPiNHistorical[[#This Row],[NUT25]]=0, tblPiNHistorical[[#This Row],[NUT26]]="", tblPiNHistorical[[#This Row],[NUT26]]=0), "", tblPiNHistorical[[#This Row],[NUT26]]-tblPiNHistorical[[#This Row],[NUT25]])</f>
        <v>-4565.5191315446264</v>
      </c>
      <c r="W152" s="121">
        <f>IF(OR(tblPiNHistorical[[#This Row],[SAL25]]="", tblPiNHistorical[[#This Row],[SAL25]]=0, tblPiNHistorical[[#This Row],[SAL26]]="", tblPiNHistorical[[#This Row],[SAL26]]=0), "", tblPiNHistorical[[#This Row],[SAL26]]-tblPiNHistorical[[#This Row],[SAL25]])</f>
        <v>-19653.302558099389</v>
      </c>
      <c r="X152" s="121">
        <f>IF(OR(tblPiNHistorical[[#This Row],[EDU25]]="", tblPiNHistorical[[#This Row],[EDU25]]=0, tblPiNHistorical[[#This Row],[EDU26]]="", tblPiNHistorical[[#This Row],[EDU26]]=0), "", tblPiNHistorical[[#This Row],[EDU26]]-tblPiNHistorical[[#This Row],[EDU25]])</f>
        <v>-9930.0016819564062</v>
      </c>
      <c r="Y152" s="121">
        <f>IF(OR(tblPiNHistorical[[#This Row],[PRO25]]="", tblPiNHistorical[[#This Row],[PRO25]]=0, tblPiNHistorical[[#This Row],[PRO26]]="", tblPiNHistorical[[#This Row],[PRO26]]=0), "", tblPiNHistorical[[#This Row],[PRO26]]-tblPiNHistorical[[#This Row],[PRO25]])</f>
        <v>-49312.285831787805</v>
      </c>
      <c r="Z152" s="223" t="str">
        <f>IF(OR(tblPiNHistorical[[#This Row],[ASH25]]="", tblPiNHistorical[[#This Row],[ASH25]]=0, tblPiNHistorical[[#This Row],[ASH26]]="", tblPiNHistorical[[#This Row],[ASH26]]=0), "", tblPiNHistorical[[#This Row],[ASH26]]-tblPiNHistorical[[#This Row],[ASH25]])</f>
        <v/>
      </c>
      <c r="AA15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15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15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15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5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5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53" spans="1:32">
      <c r="A15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VenezolanosVE1306</v>
      </c>
      <c r="B153" s="105" t="s">
        <v>393</v>
      </c>
      <c r="C153" s="104" t="s">
        <v>394</v>
      </c>
      <c r="D153" s="119" t="s">
        <v>404</v>
      </c>
      <c r="E153" s="104" t="s">
        <v>405</v>
      </c>
      <c r="F153" s="119"/>
      <c r="G153" s="102">
        <v>174099</v>
      </c>
      <c r="H153" s="102" t="s">
        <v>102</v>
      </c>
      <c r="I153" s="206">
        <v>23981</v>
      </c>
      <c r="J153" s="120">
        <v>6409</v>
      </c>
      <c r="K153" s="207">
        <v>45327.814294550088</v>
      </c>
      <c r="L153" s="207">
        <v>8617.4458248373921</v>
      </c>
      <c r="M153" s="207">
        <v>38569.341306492221</v>
      </c>
      <c r="N153" s="298">
        <v>104459</v>
      </c>
      <c r="O153" s="114">
        <f>tblPiNAnalysis[[#This Row],[SAMV]]</f>
        <v>10823</v>
      </c>
      <c r="P153" s="115">
        <f>tblPiNAnalysis[[#This Row],[NUT]]</f>
        <v>1338.3356306597902</v>
      </c>
      <c r="Q153" s="115">
        <f>tblPiNAnalysis[[#This Row],[SAL]]</f>
        <v>12591.04</v>
      </c>
      <c r="R153" s="115">
        <f>tblPiNAnalysis[[#This Row],[EDU]]</f>
        <v>2134.9111339864476</v>
      </c>
      <c r="S153" s="115">
        <f>tblPiNAnalysis[[#This Row],[PRO]]</f>
        <v>6888.3847572019658</v>
      </c>
      <c r="T153" s="116">
        <f>tblPiNAnalysis[[#This Row],[ASH]]</f>
        <v>0</v>
      </c>
      <c r="U153" s="300">
        <f>IF(OR(tblPiNHistorical[[#This Row],[SAMV25]]="", tblPiNHistorical[[#This Row],[SAMV25]]=0, tblPiNHistorical[[#This Row],[SAMV26]]="", tblPiNHistorical[[#This Row],[SAMV26]]=0), "", tblPiNHistorical[[#This Row],[SAMV26]]-tblPiNHistorical[[#This Row],[SAMV25]])</f>
        <v>-13158</v>
      </c>
      <c r="V153" s="121">
        <f>IF(OR(tblPiNHistorical[[#This Row],[NUT25]]="", tblPiNHistorical[[#This Row],[NUT25]]=0, tblPiNHistorical[[#This Row],[NUT26]]="", tblPiNHistorical[[#This Row],[NUT26]]=0), "", tblPiNHistorical[[#This Row],[NUT26]]-tblPiNHistorical[[#This Row],[NUT25]])</f>
        <v>-5070.6643693402093</v>
      </c>
      <c r="W153" s="121">
        <f>IF(OR(tblPiNHistorical[[#This Row],[SAL25]]="", tblPiNHistorical[[#This Row],[SAL25]]=0, tblPiNHistorical[[#This Row],[SAL26]]="", tblPiNHistorical[[#This Row],[SAL26]]=0), "", tblPiNHistorical[[#This Row],[SAL26]]-tblPiNHistorical[[#This Row],[SAL25]])</f>
        <v>-32736.774294550087</v>
      </c>
      <c r="X153" s="121">
        <f>IF(OR(tblPiNHistorical[[#This Row],[EDU25]]="", tblPiNHistorical[[#This Row],[EDU25]]=0, tblPiNHistorical[[#This Row],[EDU26]]="", tblPiNHistorical[[#This Row],[EDU26]]=0), "", tblPiNHistorical[[#This Row],[EDU26]]-tblPiNHistorical[[#This Row],[EDU25]])</f>
        <v>-6482.5346908509446</v>
      </c>
      <c r="Y153" s="121">
        <f>IF(OR(tblPiNHistorical[[#This Row],[PRO25]]="", tblPiNHistorical[[#This Row],[PRO25]]=0, tblPiNHistorical[[#This Row],[PRO26]]="", tblPiNHistorical[[#This Row],[PRO26]]=0), "", tblPiNHistorical[[#This Row],[PRO26]]-tblPiNHistorical[[#This Row],[PRO25]])</f>
        <v>-31680.956549290255</v>
      </c>
      <c r="Z153" s="223" t="str">
        <f>IF(OR(tblPiNHistorical[[#This Row],[ASH25]]="", tblPiNHistorical[[#This Row],[ASH25]]=0, tblPiNHistorical[[#This Row],[ASH26]]="", tblPiNHistorical[[#This Row],[ASH26]]=0), "", tblPiNHistorical[[#This Row],[ASH26]]-tblPiNHistorical[[#This Row],[ASH25]])</f>
        <v/>
      </c>
      <c r="AA15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15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15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15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15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15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104459</v>
      </c>
    </row>
    <row r="154" spans="1:32">
      <c r="A15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VenezolanosVE1307</v>
      </c>
      <c r="B154" s="105" t="s">
        <v>393</v>
      </c>
      <c r="C154" s="104" t="s">
        <v>394</v>
      </c>
      <c r="D154" s="119" t="s">
        <v>406</v>
      </c>
      <c r="E154" s="104" t="s">
        <v>407</v>
      </c>
      <c r="F154" s="119"/>
      <c r="G154" s="102">
        <v>35802</v>
      </c>
      <c r="H154" s="102" t="s">
        <v>102</v>
      </c>
      <c r="I154" s="206">
        <v>4932</v>
      </c>
      <c r="J154" s="120">
        <v>1527</v>
      </c>
      <c r="K154" s="207">
        <v>9321.3857545110768</v>
      </c>
      <c r="L154" s="207">
        <v>2924.2404663291086</v>
      </c>
      <c r="M154" s="207">
        <v>12728.59112498683</v>
      </c>
      <c r="N154" s="298">
        <v>0</v>
      </c>
      <c r="O154" s="114">
        <f>tblPiNAnalysis[[#This Row],[SAMV]]</f>
        <v>3019</v>
      </c>
      <c r="P154" s="115">
        <f>tblPiNAnalysis[[#This Row],[NUT]]</f>
        <v>806.86685380035101</v>
      </c>
      <c r="Q154" s="115">
        <f>tblPiNAnalysis[[#This Row],[SAL]]</f>
        <v>12397.955</v>
      </c>
      <c r="R154" s="115">
        <f>tblPiNAnalysis[[#This Row],[EDU]]</f>
        <v>3734.0644683244968</v>
      </c>
      <c r="S154" s="115">
        <f>tblPiNAnalysis[[#This Row],[PRO]]</f>
        <v>8129.1648517322274</v>
      </c>
      <c r="T154" s="116">
        <f>tblPiNAnalysis[[#This Row],[ASH]]</f>
        <v>2292.7725</v>
      </c>
      <c r="U154" s="300">
        <f>IF(OR(tblPiNHistorical[[#This Row],[SAMV25]]="", tblPiNHistorical[[#This Row],[SAMV25]]=0, tblPiNHistorical[[#This Row],[SAMV26]]="", tblPiNHistorical[[#This Row],[SAMV26]]=0), "", tblPiNHistorical[[#This Row],[SAMV26]]-tblPiNHistorical[[#This Row],[SAMV25]])</f>
        <v>-1913</v>
      </c>
      <c r="V154" s="121">
        <f>IF(OR(tblPiNHistorical[[#This Row],[NUT25]]="", tblPiNHistorical[[#This Row],[NUT25]]=0, tblPiNHistorical[[#This Row],[NUT26]]="", tblPiNHistorical[[#This Row],[NUT26]]=0), "", tblPiNHistorical[[#This Row],[NUT26]]-tblPiNHistorical[[#This Row],[NUT25]])</f>
        <v>-720.13314619964899</v>
      </c>
      <c r="W154" s="121">
        <f>IF(OR(tblPiNHistorical[[#This Row],[SAL25]]="", tblPiNHistorical[[#This Row],[SAL25]]=0, tblPiNHistorical[[#This Row],[SAL26]]="", tblPiNHistorical[[#This Row],[SAL26]]=0), "", tblPiNHistorical[[#This Row],[SAL26]]-tblPiNHistorical[[#This Row],[SAL25]])</f>
        <v>3076.5692454889231</v>
      </c>
      <c r="X154" s="121">
        <f>IF(OR(tblPiNHistorical[[#This Row],[EDU25]]="", tblPiNHistorical[[#This Row],[EDU25]]=0, tblPiNHistorical[[#This Row],[EDU26]]="", tblPiNHistorical[[#This Row],[EDU26]]=0), "", tblPiNHistorical[[#This Row],[EDU26]]-tblPiNHistorical[[#This Row],[EDU25]])</f>
        <v>809.82400199538824</v>
      </c>
      <c r="Y154" s="121">
        <f>IF(OR(tblPiNHistorical[[#This Row],[PRO25]]="", tblPiNHistorical[[#This Row],[PRO25]]=0, tblPiNHistorical[[#This Row],[PRO26]]="", tblPiNHistorical[[#This Row],[PRO26]]=0), "", tblPiNHistorical[[#This Row],[PRO26]]-tblPiNHistorical[[#This Row],[PRO25]])</f>
        <v>-4599.4262732546022</v>
      </c>
      <c r="Z154" s="223" t="str">
        <f>IF(OR(tblPiNHistorical[[#This Row],[ASH25]]="", tblPiNHistorical[[#This Row],[ASH25]]=0, tblPiNHistorical[[#This Row],[ASH26]]="", tblPiNHistorical[[#This Row],[ASH26]]=0), "", tblPiNHistorical[[#This Row],[ASH26]]-tblPiNHistorical[[#This Row],[ASH25]])</f>
        <v/>
      </c>
      <c r="AA15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15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15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15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15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15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2292.7725</v>
      </c>
    </row>
    <row r="155" spans="1:32">
      <c r="A15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VenezolanosVE1308</v>
      </c>
      <c r="B155" s="105" t="s">
        <v>393</v>
      </c>
      <c r="C155" s="104" t="s">
        <v>394</v>
      </c>
      <c r="D155" s="119" t="s">
        <v>408</v>
      </c>
      <c r="E155" s="104" t="s">
        <v>409</v>
      </c>
      <c r="F155" s="119"/>
      <c r="G155" s="102">
        <v>185275</v>
      </c>
      <c r="H155" s="102" t="s">
        <v>102</v>
      </c>
      <c r="I155" s="206">
        <v>25521</v>
      </c>
      <c r="J155" s="120">
        <v>7422</v>
      </c>
      <c r="K155" s="207">
        <v>48237.774962173287</v>
      </c>
      <c r="L155" s="207">
        <v>13961.916518821476</v>
      </c>
      <c r="M155" s="207">
        <v>53032.844296426811</v>
      </c>
      <c r="N155" s="298">
        <v>37055</v>
      </c>
      <c r="O155" s="114">
        <f>tblPiNAnalysis[[#This Row],[SAMV]]</f>
        <v>11256</v>
      </c>
      <c r="P155" s="115">
        <f>tblPiNAnalysis[[#This Row],[NUT]]</f>
        <v>1890.2845536139289</v>
      </c>
      <c r="Q155" s="115">
        <f>tblPiNAnalysis[[#This Row],[SAL]]</f>
        <v>12326.05</v>
      </c>
      <c r="R155" s="115">
        <f>tblPiNAnalysis[[#This Row],[EDU]]</f>
        <v>3419.9121158152179</v>
      </c>
      <c r="S155" s="115">
        <f>tblPiNAnalysis[[#This Row],[PRO]]</f>
        <v>7511.3132949700503</v>
      </c>
      <c r="T155" s="116">
        <f>tblPiNAnalysis[[#This Row],[ASH]]</f>
        <v>0</v>
      </c>
      <c r="U155" s="300">
        <f>IF(OR(tblPiNHistorical[[#This Row],[SAMV25]]="", tblPiNHistorical[[#This Row],[SAMV25]]=0, tblPiNHistorical[[#This Row],[SAMV26]]="", tblPiNHistorical[[#This Row],[SAMV26]]=0), "", tblPiNHistorical[[#This Row],[SAMV26]]-tblPiNHistorical[[#This Row],[SAMV25]])</f>
        <v>-14265</v>
      </c>
      <c r="V155" s="121">
        <f>IF(OR(tblPiNHistorical[[#This Row],[NUT25]]="", tblPiNHistorical[[#This Row],[NUT25]]=0, tblPiNHistorical[[#This Row],[NUT26]]="", tblPiNHistorical[[#This Row],[NUT26]]=0), "", tblPiNHistorical[[#This Row],[NUT26]]-tblPiNHistorical[[#This Row],[NUT25]])</f>
        <v>-5531.7154463860716</v>
      </c>
      <c r="W155" s="121">
        <f>IF(OR(tblPiNHistorical[[#This Row],[SAL25]]="", tblPiNHistorical[[#This Row],[SAL25]]=0, tblPiNHistorical[[#This Row],[SAL26]]="", tblPiNHistorical[[#This Row],[SAL26]]=0), "", tblPiNHistorical[[#This Row],[SAL26]]-tblPiNHistorical[[#This Row],[SAL25]])</f>
        <v>-35911.724962173292</v>
      </c>
      <c r="X155" s="121">
        <f>IF(OR(tblPiNHistorical[[#This Row],[EDU25]]="", tblPiNHistorical[[#This Row],[EDU25]]=0, tblPiNHistorical[[#This Row],[EDU26]]="", tblPiNHistorical[[#This Row],[EDU26]]=0), "", tblPiNHistorical[[#This Row],[EDU26]]-tblPiNHistorical[[#This Row],[EDU25]])</f>
        <v>-10542.004403006258</v>
      </c>
      <c r="Y155" s="121">
        <f>IF(OR(tblPiNHistorical[[#This Row],[PRO25]]="", tblPiNHistorical[[#This Row],[PRO25]]=0, tblPiNHistorical[[#This Row],[PRO26]]="", tblPiNHistorical[[#This Row],[PRO26]]=0), "", tblPiNHistorical[[#This Row],[PRO26]]-tblPiNHistorical[[#This Row],[PRO25]])</f>
        <v>-45521.531001456759</v>
      </c>
      <c r="Z155" s="223" t="str">
        <f>IF(OR(tblPiNHistorical[[#This Row],[ASH25]]="", tblPiNHistorical[[#This Row],[ASH25]]=0, tblPiNHistorical[[#This Row],[ASH26]]="", tblPiNHistorical[[#This Row],[ASH26]]=0), "", tblPiNHistorical[[#This Row],[ASH26]]-tblPiNHistorical[[#This Row],[ASH25]])</f>
        <v/>
      </c>
      <c r="AA15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15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15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15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15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5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37055</v>
      </c>
    </row>
    <row r="156" spans="1:32">
      <c r="A15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VenezolanosVE1309</v>
      </c>
      <c r="B156" s="105" t="s">
        <v>393</v>
      </c>
      <c r="C156" s="104" t="s">
        <v>394</v>
      </c>
      <c r="D156" s="119" t="s">
        <v>207</v>
      </c>
      <c r="E156" s="104" t="s">
        <v>410</v>
      </c>
      <c r="F156" s="119"/>
      <c r="G156" s="102">
        <v>61381</v>
      </c>
      <c r="H156" s="102" t="s">
        <v>102</v>
      </c>
      <c r="I156" s="206">
        <v>8455</v>
      </c>
      <c r="J156" s="120">
        <v>2838</v>
      </c>
      <c r="K156" s="207">
        <v>15981.50002341238</v>
      </c>
      <c r="L156" s="207">
        <v>6019.4211837189923</v>
      </c>
      <c r="M156" s="207">
        <v>30006.110588343472</v>
      </c>
      <c r="N156" s="298">
        <v>12276</v>
      </c>
      <c r="O156" s="114">
        <f>tblPiNAnalysis[[#This Row],[SAMV]]</f>
        <v>3968</v>
      </c>
      <c r="P156" s="115">
        <f>tblPiNAnalysis[[#This Row],[NUT]]</f>
        <v>966.74603809951179</v>
      </c>
      <c r="Q156" s="115">
        <f>tblPiNAnalysis[[#This Row],[SAL]]</f>
        <v>12309.26</v>
      </c>
      <c r="R156" s="115">
        <f>tblPiNAnalysis[[#This Row],[EDU]]</f>
        <v>4566.0120189277332</v>
      </c>
      <c r="S156" s="115">
        <f>tblPiNAnalysis[[#This Row],[PRO]]</f>
        <v>6727.9229799983796</v>
      </c>
      <c r="T156" s="116">
        <f>tblPiNAnalysis[[#This Row],[ASH]]</f>
        <v>2276.37</v>
      </c>
      <c r="U156" s="300">
        <f>IF(OR(tblPiNHistorical[[#This Row],[SAMV25]]="", tblPiNHistorical[[#This Row],[SAMV25]]=0, tblPiNHistorical[[#This Row],[SAMV26]]="", tblPiNHistorical[[#This Row],[SAMV26]]=0), "", tblPiNHistorical[[#This Row],[SAMV26]]-tblPiNHistorical[[#This Row],[SAMV25]])</f>
        <v>-4487</v>
      </c>
      <c r="V156" s="121">
        <f>IF(OR(tblPiNHistorical[[#This Row],[NUT25]]="", tblPiNHistorical[[#This Row],[NUT25]]=0, tblPiNHistorical[[#This Row],[NUT26]]="", tblPiNHistorical[[#This Row],[NUT26]]=0), "", tblPiNHistorical[[#This Row],[NUT26]]-tblPiNHistorical[[#This Row],[NUT25]])</f>
        <v>-1871.2539619004883</v>
      </c>
      <c r="W156" s="121">
        <f>IF(OR(tblPiNHistorical[[#This Row],[SAL25]]="", tblPiNHistorical[[#This Row],[SAL25]]=0, tblPiNHistorical[[#This Row],[SAL26]]="", tblPiNHistorical[[#This Row],[SAL26]]=0), "", tblPiNHistorical[[#This Row],[SAL26]]-tblPiNHistorical[[#This Row],[SAL25]])</f>
        <v>-3672.2400234123797</v>
      </c>
      <c r="X156" s="121">
        <f>IF(OR(tblPiNHistorical[[#This Row],[EDU25]]="", tblPiNHistorical[[#This Row],[EDU25]]=0, tblPiNHistorical[[#This Row],[EDU26]]="", tblPiNHistorical[[#This Row],[EDU26]]=0), "", tblPiNHistorical[[#This Row],[EDU26]]-tblPiNHistorical[[#This Row],[EDU25]])</f>
        <v>-1453.4091647912592</v>
      </c>
      <c r="Y156" s="121">
        <f>IF(OR(tblPiNHistorical[[#This Row],[PRO25]]="", tblPiNHistorical[[#This Row],[PRO25]]=0, tblPiNHistorical[[#This Row],[PRO26]]="", tblPiNHistorical[[#This Row],[PRO26]]=0), "", tblPiNHistorical[[#This Row],[PRO26]]-tblPiNHistorical[[#This Row],[PRO25]])</f>
        <v>-23278.187608345092</v>
      </c>
      <c r="Z156" s="223">
        <f>IF(OR(tblPiNHistorical[[#This Row],[ASH25]]="", tblPiNHistorical[[#This Row],[ASH25]]=0, tblPiNHistorical[[#This Row],[ASH26]]="", tblPiNHistorical[[#This Row],[ASH26]]=0), "", tblPiNHistorical[[#This Row],[ASH26]]-tblPiNHistorical[[#This Row],[ASH25]])</f>
        <v>-9999.630000000001</v>
      </c>
      <c r="AA15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15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15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15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-0.2</v>
      </c>
      <c r="AE15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156"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-0.8</v>
      </c>
    </row>
    <row r="157" spans="1:32">
      <c r="A15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VenezolanosVE1401</v>
      </c>
      <c r="B157" s="105" t="s">
        <v>411</v>
      </c>
      <c r="C157" s="104" t="s">
        <v>412</v>
      </c>
      <c r="D157" s="119" t="s">
        <v>413</v>
      </c>
      <c r="E157" s="104" t="s">
        <v>414</v>
      </c>
      <c r="F157" s="119"/>
      <c r="G157" s="102">
        <v>132681</v>
      </c>
      <c r="H157" s="102" t="s">
        <v>102</v>
      </c>
      <c r="I157" s="206">
        <v>25407</v>
      </c>
      <c r="J157" s="120">
        <v>5313</v>
      </c>
      <c r="K157" s="207">
        <v>34545.008048127464</v>
      </c>
      <c r="L157" s="207">
        <v>10968.070588106721</v>
      </c>
      <c r="M157" s="207">
        <v>9691.7824230444639</v>
      </c>
      <c r="N157" s="298">
        <v>26536</v>
      </c>
      <c r="O157" s="114">
        <f>tblPiNAnalysis[[#This Row],[SAMV]]</f>
        <v>4116</v>
      </c>
      <c r="P157" s="115">
        <f>tblPiNAnalysis[[#This Row],[NUT]]</f>
        <v>1218.0103305609914</v>
      </c>
      <c r="Q157" s="115">
        <f>tblPiNAnalysis[[#This Row],[SAL]]</f>
        <v>12017.625</v>
      </c>
      <c r="R157" s="115">
        <f>tblPiNAnalysis[[#This Row],[EDU]]</f>
        <v>6168.3385142026182</v>
      </c>
      <c r="S157" s="115">
        <f>tblPiNAnalysis[[#This Row],[PRO]]</f>
        <v>6566.489846598256</v>
      </c>
      <c r="T157" s="116">
        <f>tblPiNAnalysis[[#This Row],[ASH]]</f>
        <v>0</v>
      </c>
      <c r="U157" s="300">
        <f>IF(OR(tblPiNHistorical[[#This Row],[SAMV25]]="", tblPiNHistorical[[#This Row],[SAMV25]]=0, tblPiNHistorical[[#This Row],[SAMV26]]="", tblPiNHistorical[[#This Row],[SAMV26]]=0), "", tblPiNHistorical[[#This Row],[SAMV26]]-tblPiNHistorical[[#This Row],[SAMV25]])</f>
        <v>-21291</v>
      </c>
      <c r="V157" s="121">
        <f>IF(OR(tblPiNHistorical[[#This Row],[NUT25]]="", tblPiNHistorical[[#This Row],[NUT25]]=0, tblPiNHistorical[[#This Row],[NUT26]]="", tblPiNHistorical[[#This Row],[NUT26]]=0), "", tblPiNHistorical[[#This Row],[NUT26]]-tblPiNHistorical[[#This Row],[NUT25]])</f>
        <v>-4094.9896694390086</v>
      </c>
      <c r="W157" s="121">
        <f>IF(OR(tblPiNHistorical[[#This Row],[SAL25]]="", tblPiNHistorical[[#This Row],[SAL25]]=0, tblPiNHistorical[[#This Row],[SAL26]]="", tblPiNHistorical[[#This Row],[SAL26]]=0), "", tblPiNHistorical[[#This Row],[SAL26]]-tblPiNHistorical[[#This Row],[SAL25]])</f>
        <v>-22527.383048127464</v>
      </c>
      <c r="X157" s="121">
        <f>IF(OR(tblPiNHistorical[[#This Row],[EDU25]]="", tblPiNHistorical[[#This Row],[EDU25]]=0, tblPiNHistorical[[#This Row],[EDU26]]="", tblPiNHistorical[[#This Row],[EDU26]]=0), "", tblPiNHistorical[[#This Row],[EDU26]]-tblPiNHistorical[[#This Row],[EDU25]])</f>
        <v>-4799.7320739041024</v>
      </c>
      <c r="Y157" s="121">
        <f>IF(OR(tblPiNHistorical[[#This Row],[PRO25]]="", tblPiNHistorical[[#This Row],[PRO25]]=0, tblPiNHistorical[[#This Row],[PRO26]]="", tblPiNHistorical[[#This Row],[PRO26]]=0), "", tblPiNHistorical[[#This Row],[PRO26]]-tblPiNHistorical[[#This Row],[PRO25]])</f>
        <v>-3125.2925764462079</v>
      </c>
      <c r="Z157" s="223" t="str">
        <f>IF(OR(tblPiNHistorical[[#This Row],[ASH25]]="", tblPiNHistorical[[#This Row],[ASH25]]=0, tblPiNHistorical[[#This Row],[ASH26]]="", tblPiNHistorical[[#This Row],[ASH26]]=0), "", tblPiNHistorical[[#This Row],[ASH26]]-tblPiNHistorical[[#This Row],[ASH25]])</f>
        <v/>
      </c>
      <c r="AA15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15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15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15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15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15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26536</v>
      </c>
    </row>
    <row r="158" spans="1:32">
      <c r="A15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VenezolanosVE1402</v>
      </c>
      <c r="B158" s="105" t="s">
        <v>411</v>
      </c>
      <c r="C158" s="104" t="s">
        <v>412</v>
      </c>
      <c r="D158" s="119" t="s">
        <v>415</v>
      </c>
      <c r="E158" s="104" t="s">
        <v>416</v>
      </c>
      <c r="F158" s="119"/>
      <c r="G158" s="102">
        <v>14238</v>
      </c>
      <c r="H158" s="102" t="s">
        <v>102</v>
      </c>
      <c r="I158" s="206">
        <v>2726</v>
      </c>
      <c r="J158" s="120">
        <v>589</v>
      </c>
      <c r="K158" s="207">
        <v>3706.5586849092197</v>
      </c>
      <c r="L158" s="207">
        <v>1061.9693579842819</v>
      </c>
      <c r="M158" s="207">
        <v>6960.2483269551531</v>
      </c>
      <c r="N158" s="298">
        <v>0</v>
      </c>
      <c r="O158" s="114">
        <f>tblPiNAnalysis[[#This Row],[SAMV]]</f>
        <v>9400</v>
      </c>
      <c r="P158" s="115">
        <f>tblPiNAnalysis[[#This Row],[NUT]]</f>
        <v>1249.2733867399661</v>
      </c>
      <c r="Q158" s="115">
        <f>tblPiNAnalysis[[#This Row],[SAL]]</f>
        <v>12008.865</v>
      </c>
      <c r="R158" s="115">
        <f>tblPiNAnalysis[[#This Row],[EDU]]</f>
        <v>2659.5132413567894</v>
      </c>
      <c r="S158" s="115">
        <f>tblPiNAnalysis[[#This Row],[PRO]]</f>
        <v>6585.9639488684161</v>
      </c>
      <c r="T158" s="116">
        <f>tblPiNAnalysis[[#This Row],[ASH]]</f>
        <v>4441.6350000000002</v>
      </c>
      <c r="U158" s="300">
        <f>IF(OR(tblPiNHistorical[[#This Row],[SAMV25]]="", tblPiNHistorical[[#This Row],[SAMV25]]=0, tblPiNHistorical[[#This Row],[SAMV26]]="", tblPiNHistorical[[#This Row],[SAMV26]]=0), "", tblPiNHistorical[[#This Row],[SAMV26]]-tblPiNHistorical[[#This Row],[SAMV25]])</f>
        <v>6674</v>
      </c>
      <c r="V158" s="121">
        <f>IF(OR(tblPiNHistorical[[#This Row],[NUT25]]="", tblPiNHistorical[[#This Row],[NUT25]]=0, tblPiNHistorical[[#This Row],[NUT26]]="", tblPiNHistorical[[#This Row],[NUT26]]=0), "", tblPiNHistorical[[#This Row],[NUT26]]-tblPiNHistorical[[#This Row],[NUT25]])</f>
        <v>660.2733867399661</v>
      </c>
      <c r="W158" s="121">
        <f>IF(OR(tblPiNHistorical[[#This Row],[SAL25]]="", tblPiNHistorical[[#This Row],[SAL25]]=0, tblPiNHistorical[[#This Row],[SAL26]]="", tblPiNHistorical[[#This Row],[SAL26]]=0), "", tblPiNHistorical[[#This Row],[SAL26]]-tblPiNHistorical[[#This Row],[SAL25]])</f>
        <v>8302.3063150907801</v>
      </c>
      <c r="X158" s="121">
        <f>IF(OR(tblPiNHistorical[[#This Row],[EDU25]]="", tblPiNHistorical[[#This Row],[EDU25]]=0, tblPiNHistorical[[#This Row],[EDU26]]="", tblPiNHistorical[[#This Row],[EDU26]]=0), "", tblPiNHistorical[[#This Row],[EDU26]]-tblPiNHistorical[[#This Row],[EDU25]])</f>
        <v>1597.5438833725075</v>
      </c>
      <c r="Y158" s="121">
        <f>IF(OR(tblPiNHistorical[[#This Row],[PRO25]]="", tblPiNHistorical[[#This Row],[PRO25]]=0, tblPiNHistorical[[#This Row],[PRO26]]="", tblPiNHistorical[[#This Row],[PRO26]]=0), "", tblPiNHistorical[[#This Row],[PRO26]]-tblPiNHistorical[[#This Row],[PRO25]])</f>
        <v>-374.28437808673698</v>
      </c>
      <c r="Z158" s="223" t="str">
        <f>IF(OR(tblPiNHistorical[[#This Row],[ASH25]]="", tblPiNHistorical[[#This Row],[ASH25]]=0, tblPiNHistorical[[#This Row],[ASH26]]="", tblPiNHistorical[[#This Row],[ASH26]]=0), "", tblPiNHistorical[[#This Row],[ASH26]]-tblPiNHistorical[[#This Row],[ASH25]])</f>
        <v/>
      </c>
      <c r="AA15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2.4</v>
      </c>
      <c r="AB15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1.1000000000000001</v>
      </c>
      <c r="AC15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2.2000000000000002</v>
      </c>
      <c r="AD15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1.5</v>
      </c>
      <c r="AE15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15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4441.635</v>
      </c>
    </row>
    <row r="159" spans="1:32">
      <c r="A15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VenezolanosVE1403</v>
      </c>
      <c r="B159" s="105" t="s">
        <v>411</v>
      </c>
      <c r="C159" s="104" t="s">
        <v>412</v>
      </c>
      <c r="D159" s="119" t="s">
        <v>417</v>
      </c>
      <c r="E159" s="104" t="s">
        <v>418</v>
      </c>
      <c r="F159" s="119"/>
      <c r="G159" s="102">
        <v>24006</v>
      </c>
      <c r="H159" s="102" t="s">
        <v>102</v>
      </c>
      <c r="I159" s="206">
        <v>4597</v>
      </c>
      <c r="J159" s="120">
        <v>963</v>
      </c>
      <c r="K159" s="207">
        <v>6249.9257376122314</v>
      </c>
      <c r="L159" s="207">
        <v>1731.4998315119478</v>
      </c>
      <c r="M159" s="207">
        <v>9691.7824230444639</v>
      </c>
      <c r="N159" s="298">
        <v>4801</v>
      </c>
      <c r="O159" s="114">
        <f>tblPiNAnalysis[[#This Row],[SAMV]]</f>
        <v>0</v>
      </c>
      <c r="P159" s="115">
        <f>tblPiNAnalysis[[#This Row],[NUT]]</f>
        <v>1509.786920248705</v>
      </c>
      <c r="Q159" s="115">
        <f>tblPiNAnalysis[[#This Row],[SAL]]</f>
        <v>7205.1</v>
      </c>
      <c r="R159" s="115">
        <f>tblPiNAnalysis[[#This Row],[EDU]]</f>
        <v>1104.3965335057878</v>
      </c>
      <c r="S159" s="115">
        <f>tblPiNAnalysis[[#This Row],[PRO]]</f>
        <v>3936.9023408306639</v>
      </c>
      <c r="T159" s="116">
        <f>tblPiNAnalysis[[#This Row],[ASH]]</f>
        <v>11844</v>
      </c>
      <c r="U159" s="300" t="str">
        <f>IF(OR(tblPiNHistorical[[#This Row],[SAMV25]]="", tblPiNHistorical[[#This Row],[SAMV25]]=0, tblPiNHistorical[[#This Row],[SAMV26]]="", tblPiNHistorical[[#This Row],[SAMV26]]=0), "", tblPiNHistorical[[#This Row],[SAMV26]]-tblPiNHistorical[[#This Row],[SAMV25]])</f>
        <v/>
      </c>
      <c r="V159" s="121">
        <f>IF(OR(tblPiNHistorical[[#This Row],[NUT25]]="", tblPiNHistorical[[#This Row],[NUT25]]=0, tblPiNHistorical[[#This Row],[NUT26]]="", tblPiNHistorical[[#This Row],[NUT26]]=0), "", tblPiNHistorical[[#This Row],[NUT26]]-tblPiNHistorical[[#This Row],[NUT25]])</f>
        <v>546.78692024870497</v>
      </c>
      <c r="W159" s="121">
        <f>IF(OR(tblPiNHistorical[[#This Row],[SAL25]]="", tblPiNHistorical[[#This Row],[SAL25]]=0, tblPiNHistorical[[#This Row],[SAL26]]="", tblPiNHistorical[[#This Row],[SAL26]]=0), "", tblPiNHistorical[[#This Row],[SAL26]]-tblPiNHistorical[[#This Row],[SAL25]])</f>
        <v>955.17426238776898</v>
      </c>
      <c r="X159" s="121">
        <f>IF(OR(tblPiNHistorical[[#This Row],[EDU25]]="", tblPiNHistorical[[#This Row],[EDU25]]=0, tblPiNHistorical[[#This Row],[EDU26]]="", tblPiNHistorical[[#This Row],[EDU26]]=0), "", tblPiNHistorical[[#This Row],[EDU26]]-tblPiNHistorical[[#This Row],[EDU25]])</f>
        <v>-627.10329800616</v>
      </c>
      <c r="Y159" s="121">
        <f>IF(OR(tblPiNHistorical[[#This Row],[PRO25]]="", tblPiNHistorical[[#This Row],[PRO25]]=0, tblPiNHistorical[[#This Row],[PRO26]]="", tblPiNHistorical[[#This Row],[PRO26]]=0), "", tblPiNHistorical[[#This Row],[PRO26]]-tblPiNHistorical[[#This Row],[PRO25]])</f>
        <v>-5754.8800822138001</v>
      </c>
      <c r="Z159" s="223">
        <f>IF(OR(tblPiNHistorical[[#This Row],[ASH25]]="", tblPiNHistorical[[#This Row],[ASH25]]=0, tblPiNHistorical[[#This Row],[ASH26]]="", tblPiNHistorical[[#This Row],[ASH26]]=0), "", tblPiNHistorical[[#This Row],[ASH26]]-tblPiNHistorical[[#This Row],[ASH25]])</f>
        <v>7043</v>
      </c>
      <c r="AA159" s="227" t="str">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NoPIN26 4597</v>
      </c>
      <c r="AB15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15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15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15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159"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1.5</v>
      </c>
    </row>
    <row r="160" spans="1:32">
      <c r="A16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VenezolanosVE1404</v>
      </c>
      <c r="B160" s="105" t="s">
        <v>411</v>
      </c>
      <c r="C160" s="104" t="s">
        <v>412</v>
      </c>
      <c r="D160" s="119" t="s">
        <v>419</v>
      </c>
      <c r="E160" s="104" t="s">
        <v>420</v>
      </c>
      <c r="F160" s="119"/>
      <c r="G160" s="102">
        <v>4242</v>
      </c>
      <c r="H160" s="102" t="s">
        <v>102</v>
      </c>
      <c r="I160" s="206">
        <v>812</v>
      </c>
      <c r="J160" s="120">
        <v>192</v>
      </c>
      <c r="K160" s="207">
        <v>1104.7348125297458</v>
      </c>
      <c r="L160" s="207">
        <v>596.66965315638686</v>
      </c>
      <c r="M160" s="207">
        <v>2073.7023039010928</v>
      </c>
      <c r="N160" s="298">
        <v>0</v>
      </c>
      <c r="O160" s="114">
        <f>tblPiNAnalysis[[#This Row],[SAMV]]</f>
        <v>7583</v>
      </c>
      <c r="P160" s="115">
        <f>tblPiNAnalysis[[#This Row],[NUT]]</f>
        <v>3776.3076856644811</v>
      </c>
      <c r="Q160" s="115">
        <f>tblPiNAnalysis[[#This Row],[SAL]]</f>
        <v>11610.285</v>
      </c>
      <c r="R160" s="115">
        <f>tblPiNAnalysis[[#This Row],[EDU]]</f>
        <v>902.69684372307597</v>
      </c>
      <c r="S160" s="115">
        <f>tblPiNAnalysis[[#This Row],[PRO]]</f>
        <v>6345.5040643637112</v>
      </c>
      <c r="T160" s="116">
        <f>tblPiNAnalysis[[#This Row],[ASH]]</f>
        <v>4294.2150000000001</v>
      </c>
      <c r="U160" s="300">
        <f>IF(OR(tblPiNHistorical[[#This Row],[SAMV25]]="", tblPiNHistorical[[#This Row],[SAMV25]]=0, tblPiNHistorical[[#This Row],[SAMV26]]="", tblPiNHistorical[[#This Row],[SAMV26]]=0), "", tblPiNHistorical[[#This Row],[SAMV26]]-tblPiNHistorical[[#This Row],[SAMV25]])</f>
        <v>6771</v>
      </c>
      <c r="V160" s="121">
        <f>IF(OR(tblPiNHistorical[[#This Row],[NUT25]]="", tblPiNHistorical[[#This Row],[NUT25]]=0, tblPiNHistorical[[#This Row],[NUT26]]="", tblPiNHistorical[[#This Row],[NUT26]]=0), "", tblPiNHistorical[[#This Row],[NUT26]]-tblPiNHistorical[[#This Row],[NUT25]])</f>
        <v>3584.3076856644811</v>
      </c>
      <c r="W160" s="121">
        <f>IF(OR(tblPiNHistorical[[#This Row],[SAL25]]="", tblPiNHistorical[[#This Row],[SAL25]]=0, tblPiNHistorical[[#This Row],[SAL26]]="", tblPiNHistorical[[#This Row],[SAL26]]=0), "", tblPiNHistorical[[#This Row],[SAL26]]-tblPiNHistorical[[#This Row],[SAL25]])</f>
        <v>10505.550187470253</v>
      </c>
      <c r="X160" s="121">
        <f>IF(OR(tblPiNHistorical[[#This Row],[EDU25]]="", tblPiNHistorical[[#This Row],[EDU25]]=0, tblPiNHistorical[[#This Row],[EDU26]]="", tblPiNHistorical[[#This Row],[EDU26]]=0), "", tblPiNHistorical[[#This Row],[EDU26]]-tblPiNHistorical[[#This Row],[EDU25]])</f>
        <v>306.02719056668911</v>
      </c>
      <c r="Y160" s="121">
        <f>IF(OR(tblPiNHistorical[[#This Row],[PRO25]]="", tblPiNHistorical[[#This Row],[PRO25]]=0, tblPiNHistorical[[#This Row],[PRO26]]="", tblPiNHistorical[[#This Row],[PRO26]]=0), "", tblPiNHistorical[[#This Row],[PRO26]]-tblPiNHistorical[[#This Row],[PRO25]])</f>
        <v>4271.8017604626184</v>
      </c>
      <c r="Z160" s="223" t="str">
        <f>IF(OR(tblPiNHistorical[[#This Row],[ASH25]]="", tblPiNHistorical[[#This Row],[ASH25]]=0, tblPiNHistorical[[#This Row],[ASH26]]="", tblPiNHistorical[[#This Row],[ASH26]]=0), "", tblPiNHistorical[[#This Row],[ASH26]]-tblPiNHistorical[[#This Row],[ASH25]])</f>
        <v/>
      </c>
      <c r="AA16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8.3000000000000007</v>
      </c>
      <c r="AB16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18.7</v>
      </c>
      <c r="AC16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9.5</v>
      </c>
      <c r="AD16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16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2.1</v>
      </c>
      <c r="AF16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4294.215</v>
      </c>
    </row>
    <row r="161" spans="1:32">
      <c r="A16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VenezolanosVE1405</v>
      </c>
      <c r="B161" s="105" t="s">
        <v>411</v>
      </c>
      <c r="C161" s="104" t="s">
        <v>412</v>
      </c>
      <c r="D161" s="119" t="s">
        <v>421</v>
      </c>
      <c r="E161" s="104" t="s">
        <v>422</v>
      </c>
      <c r="F161" s="119"/>
      <c r="G161" s="102">
        <v>13083</v>
      </c>
      <c r="H161" s="102" t="s">
        <v>102</v>
      </c>
      <c r="I161" s="206">
        <v>2505</v>
      </c>
      <c r="J161" s="120">
        <v>528</v>
      </c>
      <c r="K161" s="207">
        <v>3406.3482380962032</v>
      </c>
      <c r="L161" s="207">
        <v>1482.6701264919791</v>
      </c>
      <c r="M161" s="207">
        <v>4651.364663655736</v>
      </c>
      <c r="N161" s="298">
        <v>0</v>
      </c>
      <c r="O161" s="114">
        <f>tblPiNAnalysis[[#This Row],[SAMV]]</f>
        <v>8505</v>
      </c>
      <c r="P161" s="115">
        <f>tblPiNAnalysis[[#This Row],[NUT]]</f>
        <v>1047.3853281418537</v>
      </c>
      <c r="Q161" s="115">
        <f>tblPiNAnalysis[[#This Row],[SAL]]</f>
        <v>11530.715</v>
      </c>
      <c r="R161" s="115">
        <f>tblPiNAnalysis[[#This Row],[EDU]]</f>
        <v>2827.5996516653167</v>
      </c>
      <c r="S161" s="115">
        <f>tblPiNAnalysis[[#This Row],[PRO]]</f>
        <v>6283.4335677643003</v>
      </c>
      <c r="T161" s="116">
        <f>tblPiNAnalysis[[#This Row],[ASH]]</f>
        <v>4264.7849999999999</v>
      </c>
      <c r="U161" s="300">
        <f>IF(OR(tblPiNHistorical[[#This Row],[SAMV25]]="", tblPiNHistorical[[#This Row],[SAMV25]]=0, tblPiNHistorical[[#This Row],[SAMV26]]="", tblPiNHistorical[[#This Row],[SAMV26]]=0), "", tblPiNHistorical[[#This Row],[SAMV26]]-tblPiNHistorical[[#This Row],[SAMV25]])</f>
        <v>6000</v>
      </c>
      <c r="V161" s="121">
        <f>IF(OR(tblPiNHistorical[[#This Row],[NUT25]]="", tblPiNHistorical[[#This Row],[NUT25]]=0, tblPiNHistorical[[#This Row],[NUT26]]="", tblPiNHistorical[[#This Row],[NUT26]]=0), "", tblPiNHistorical[[#This Row],[NUT26]]-tblPiNHistorical[[#This Row],[NUT25]])</f>
        <v>519.38532814185373</v>
      </c>
      <c r="W161" s="121">
        <f>IF(OR(tblPiNHistorical[[#This Row],[SAL25]]="", tblPiNHistorical[[#This Row],[SAL25]]=0, tblPiNHistorical[[#This Row],[SAL26]]="", tblPiNHistorical[[#This Row],[SAL26]]=0), "", tblPiNHistorical[[#This Row],[SAL26]]-tblPiNHistorical[[#This Row],[SAL25]])</f>
        <v>8124.3667619037969</v>
      </c>
      <c r="X161" s="121">
        <f>IF(OR(tblPiNHistorical[[#This Row],[EDU25]]="", tblPiNHistorical[[#This Row],[EDU25]]=0, tblPiNHistorical[[#This Row],[EDU26]]="", tblPiNHistorical[[#This Row],[EDU26]]=0), "", tblPiNHistorical[[#This Row],[EDU26]]-tblPiNHistorical[[#This Row],[EDU25]])</f>
        <v>1344.9295251733377</v>
      </c>
      <c r="Y161" s="121">
        <f>IF(OR(tblPiNHistorical[[#This Row],[PRO25]]="", tblPiNHistorical[[#This Row],[PRO25]]=0, tblPiNHistorical[[#This Row],[PRO26]]="", tblPiNHistorical[[#This Row],[PRO26]]=0), "", tblPiNHistorical[[#This Row],[PRO26]]-tblPiNHistorical[[#This Row],[PRO25]])</f>
        <v>1632.0689041085643</v>
      </c>
      <c r="Z161" s="223" t="str">
        <f>IF(OR(tblPiNHistorical[[#This Row],[ASH25]]="", tblPiNHistorical[[#This Row],[ASH25]]=0, tblPiNHistorical[[#This Row],[ASH26]]="", tblPiNHistorical[[#This Row],[ASH26]]=0), "", tblPiNHistorical[[#This Row],[ASH26]]-tblPiNHistorical[[#This Row],[ASH25]])</f>
        <v/>
      </c>
      <c r="AA16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2.4</v>
      </c>
      <c r="AB16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v>
      </c>
      <c r="AC16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2.4</v>
      </c>
      <c r="AD16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6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16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4264.785</v>
      </c>
    </row>
    <row r="162" spans="1:32">
      <c r="A16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VenezolanosVE1406</v>
      </c>
      <c r="B162" s="105" t="s">
        <v>411</v>
      </c>
      <c r="C162" s="104" t="s">
        <v>412</v>
      </c>
      <c r="D162" s="119" t="s">
        <v>423</v>
      </c>
      <c r="E162" s="104" t="s">
        <v>424</v>
      </c>
      <c r="F162" s="119"/>
      <c r="G162" s="102">
        <v>99873</v>
      </c>
      <c r="H162" s="102" t="s">
        <v>102</v>
      </c>
      <c r="I162" s="206">
        <v>19125</v>
      </c>
      <c r="J162" s="120">
        <v>3918</v>
      </c>
      <c r="K162" s="207">
        <v>26002.38602693332</v>
      </c>
      <c r="L162" s="207">
        <v>5799.1912406717393</v>
      </c>
      <c r="M162" s="207">
        <v>9691.7824230444639</v>
      </c>
      <c r="N162" s="298">
        <v>0</v>
      </c>
      <c r="O162" s="114">
        <f>tblPiNAnalysis[[#This Row],[SAMV]]</f>
        <v>3089</v>
      </c>
      <c r="P162" s="115">
        <f>tblPiNAnalysis[[#This Row],[NUT]]</f>
        <v>1434.2983296366374</v>
      </c>
      <c r="Q162" s="115">
        <f>tblPiNAnalysis[[#This Row],[SAL]]</f>
        <v>11200</v>
      </c>
      <c r="R162" s="115">
        <f>tblPiNAnalysis[[#This Row],[EDU]]</f>
        <v>1658.8970476193463</v>
      </c>
      <c r="S162" s="115">
        <f>tblPiNAnalysis[[#This Row],[PRO]]</f>
        <v>6100.6430133808199</v>
      </c>
      <c r="T162" s="116">
        <f>tblPiNAnalysis[[#This Row],[ASH]]</f>
        <v>11470.95</v>
      </c>
      <c r="U162" s="300">
        <f>IF(OR(tblPiNHistorical[[#This Row],[SAMV25]]="", tblPiNHistorical[[#This Row],[SAMV25]]=0, tblPiNHistorical[[#This Row],[SAMV26]]="", tblPiNHistorical[[#This Row],[SAMV26]]=0), "", tblPiNHistorical[[#This Row],[SAMV26]]-tblPiNHistorical[[#This Row],[SAMV25]])</f>
        <v>-16036</v>
      </c>
      <c r="V162" s="121">
        <f>IF(OR(tblPiNHistorical[[#This Row],[NUT25]]="", tblPiNHistorical[[#This Row],[NUT25]]=0, tblPiNHistorical[[#This Row],[NUT26]]="", tblPiNHistorical[[#This Row],[NUT26]]=0), "", tblPiNHistorical[[#This Row],[NUT26]]-tblPiNHistorical[[#This Row],[NUT25]])</f>
        <v>-2483.7016703633626</v>
      </c>
      <c r="W162" s="121">
        <f>IF(OR(tblPiNHistorical[[#This Row],[SAL25]]="", tblPiNHistorical[[#This Row],[SAL25]]=0, tblPiNHistorical[[#This Row],[SAL26]]="", tblPiNHistorical[[#This Row],[SAL26]]=0), "", tblPiNHistorical[[#This Row],[SAL26]]-tblPiNHistorical[[#This Row],[SAL25]])</f>
        <v>-14802.38602693332</v>
      </c>
      <c r="X162" s="121">
        <f>IF(OR(tblPiNHistorical[[#This Row],[EDU25]]="", tblPiNHistorical[[#This Row],[EDU25]]=0, tblPiNHistorical[[#This Row],[EDU26]]="", tblPiNHistorical[[#This Row],[EDU26]]=0), "", tblPiNHistorical[[#This Row],[EDU26]]-tblPiNHistorical[[#This Row],[EDU25]])</f>
        <v>-4140.294193052393</v>
      </c>
      <c r="Y162" s="121">
        <f>IF(OR(tblPiNHistorical[[#This Row],[PRO25]]="", tblPiNHistorical[[#This Row],[PRO25]]=0, tblPiNHistorical[[#This Row],[PRO26]]="", tblPiNHistorical[[#This Row],[PRO26]]=0), "", tblPiNHistorical[[#This Row],[PRO26]]-tblPiNHistorical[[#This Row],[PRO25]])</f>
        <v>-3591.1394096636441</v>
      </c>
      <c r="Z162" s="223" t="str">
        <f>IF(OR(tblPiNHistorical[[#This Row],[ASH25]]="", tblPiNHistorical[[#This Row],[ASH25]]=0, tblPiNHistorical[[#This Row],[ASH26]]="", tblPiNHistorical[[#This Row],[ASH26]]=0), "", tblPiNHistorical[[#This Row],[ASH26]]-tblPiNHistorical[[#This Row],[ASH25]])</f>
        <v/>
      </c>
      <c r="AA16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16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16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16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16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16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11470.95</v>
      </c>
    </row>
    <row r="163" spans="1:32">
      <c r="A16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VenezolanosVE1407</v>
      </c>
      <c r="B163" s="105" t="s">
        <v>411</v>
      </c>
      <c r="C163" s="104" t="s">
        <v>412</v>
      </c>
      <c r="D163" s="119" t="s">
        <v>425</v>
      </c>
      <c r="E163" s="104" t="s">
        <v>426</v>
      </c>
      <c r="F163" s="119"/>
      <c r="G163" s="102">
        <v>27632</v>
      </c>
      <c r="H163" s="102" t="s">
        <v>102</v>
      </c>
      <c r="I163" s="206">
        <v>5291</v>
      </c>
      <c r="J163" s="120">
        <v>1205</v>
      </c>
      <c r="K163" s="207">
        <v>7194.1519944201664</v>
      </c>
      <c r="L163" s="207">
        <v>3061.4744745770518</v>
      </c>
      <c r="M163" s="207">
        <v>9691.7824230444639</v>
      </c>
      <c r="N163" s="298">
        <v>5526</v>
      </c>
      <c r="O163" s="114">
        <f>tblPiNAnalysis[[#This Row],[SAMV]]</f>
        <v>2443</v>
      </c>
      <c r="P163" s="115">
        <f>tblPiNAnalysis[[#This Row],[NUT]]</f>
        <v>1032.2732347856095</v>
      </c>
      <c r="Q163" s="115">
        <f>tblPiNAnalysis[[#This Row],[SAL]]</f>
        <v>11465.38</v>
      </c>
      <c r="R163" s="115">
        <f>tblPiNAnalysis[[#This Row],[EDU]]</f>
        <v>2214.0888526971544</v>
      </c>
      <c r="S163" s="115">
        <f>tblPiNAnalysis[[#This Row],[PRO]]</f>
        <v>3799.6634013068465</v>
      </c>
      <c r="T163" s="116">
        <f>tblPiNAnalysis[[#This Row],[ASH]]</f>
        <v>2120.31</v>
      </c>
      <c r="U163" s="300">
        <f>IF(OR(tblPiNHistorical[[#This Row],[SAMV25]]="", tblPiNHistorical[[#This Row],[SAMV25]]=0, tblPiNHistorical[[#This Row],[SAMV26]]="", tblPiNHistorical[[#This Row],[SAMV26]]=0), "", tblPiNHistorical[[#This Row],[SAMV26]]-tblPiNHistorical[[#This Row],[SAMV25]])</f>
        <v>-2848</v>
      </c>
      <c r="V163" s="121">
        <f>IF(OR(tblPiNHistorical[[#This Row],[NUT25]]="", tblPiNHistorical[[#This Row],[NUT25]]=0, tblPiNHistorical[[#This Row],[NUT26]]="", tblPiNHistorical[[#This Row],[NUT26]]=0), "", tblPiNHistorical[[#This Row],[NUT26]]-tblPiNHistorical[[#This Row],[NUT25]])</f>
        <v>-172.72676521439053</v>
      </c>
      <c r="W163" s="121">
        <f>IF(OR(tblPiNHistorical[[#This Row],[SAL25]]="", tblPiNHistorical[[#This Row],[SAL25]]=0, tblPiNHistorical[[#This Row],[SAL26]]="", tblPiNHistorical[[#This Row],[SAL26]]=0), "", tblPiNHistorical[[#This Row],[SAL26]]-tblPiNHistorical[[#This Row],[SAL25]])</f>
        <v>4271.2280055798328</v>
      </c>
      <c r="X163" s="121">
        <f>IF(OR(tblPiNHistorical[[#This Row],[EDU25]]="", tblPiNHistorical[[#This Row],[EDU25]]=0, tblPiNHistorical[[#This Row],[EDU26]]="", tblPiNHistorical[[#This Row],[EDU26]]=0), "", tblPiNHistorical[[#This Row],[EDU26]]-tblPiNHistorical[[#This Row],[EDU25]])</f>
        <v>-847.38562187989737</v>
      </c>
      <c r="Y163" s="121">
        <f>IF(OR(tblPiNHistorical[[#This Row],[PRO25]]="", tblPiNHistorical[[#This Row],[PRO25]]=0, tblPiNHistorical[[#This Row],[PRO26]]="", tblPiNHistorical[[#This Row],[PRO26]]=0), "", tblPiNHistorical[[#This Row],[PRO26]]-tblPiNHistorical[[#This Row],[PRO25]])</f>
        <v>-5892.119021737617</v>
      </c>
      <c r="Z163" s="223">
        <f>IF(OR(tblPiNHistorical[[#This Row],[ASH25]]="", tblPiNHistorical[[#This Row],[ASH25]]=0, tblPiNHistorical[[#This Row],[ASH26]]="", tblPiNHistorical[[#This Row],[ASH26]]=0), "", tblPiNHistorical[[#This Row],[ASH26]]-tblPiNHistorical[[#This Row],[ASH25]])</f>
        <v>-3405.69</v>
      </c>
      <c r="AA16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16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16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16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16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163"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-0.6</v>
      </c>
    </row>
    <row r="164" spans="1:32">
      <c r="A16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VenezolanosVE1408</v>
      </c>
      <c r="B164" s="105" t="s">
        <v>411</v>
      </c>
      <c r="C164" s="104" t="s">
        <v>412</v>
      </c>
      <c r="D164" s="119" t="s">
        <v>427</v>
      </c>
      <c r="E164" s="104" t="s">
        <v>428</v>
      </c>
      <c r="F164" s="119"/>
      <c r="G164" s="102">
        <v>9441</v>
      </c>
      <c r="H164" s="102" t="s">
        <v>102</v>
      </c>
      <c r="I164" s="206">
        <v>1808</v>
      </c>
      <c r="J164" s="120">
        <v>396</v>
      </c>
      <c r="K164" s="207">
        <v>2458.1588070729144</v>
      </c>
      <c r="L164" s="207">
        <v>894.72329715571868</v>
      </c>
      <c r="M164" s="207">
        <v>4615.234194042956</v>
      </c>
      <c r="N164" s="298">
        <v>0</v>
      </c>
      <c r="O164" s="114">
        <f>tblPiNAnalysis[[#This Row],[SAMV]]</f>
        <v>2564</v>
      </c>
      <c r="P164" s="115">
        <f>tblPiNAnalysis[[#This Row],[NUT]]</f>
        <v>961.64863789458286</v>
      </c>
      <c r="Q164" s="115">
        <f>tblPiNAnalysis[[#This Row],[SAL]]</f>
        <v>11400</v>
      </c>
      <c r="R164" s="115">
        <f>tblPiNAnalysis[[#This Row],[EDU]]</f>
        <v>2688.4705912453178</v>
      </c>
      <c r="S164" s="115">
        <f>tblPiNAnalysis[[#This Row],[PRO]]</f>
        <v>6768.0748322271966</v>
      </c>
      <c r="T164" s="116">
        <f>tblPiNAnalysis[[#This Row],[ASH]]</f>
        <v>0</v>
      </c>
      <c r="U164" s="300">
        <f>IF(OR(tblPiNHistorical[[#This Row],[SAMV25]]="", tblPiNHistorical[[#This Row],[SAMV25]]=0, tblPiNHistorical[[#This Row],[SAMV26]]="", tblPiNHistorical[[#This Row],[SAMV26]]=0), "", tblPiNHistorical[[#This Row],[SAMV26]]-tblPiNHistorical[[#This Row],[SAMV25]])</f>
        <v>756</v>
      </c>
      <c r="V164" s="121">
        <f>IF(OR(tblPiNHistorical[[#This Row],[NUT25]]="", tblPiNHistorical[[#This Row],[NUT25]]=0, tblPiNHistorical[[#This Row],[NUT26]]="", tblPiNHistorical[[#This Row],[NUT26]]=0), "", tblPiNHistorical[[#This Row],[NUT26]]-tblPiNHistorical[[#This Row],[NUT25]])</f>
        <v>565.64863789458286</v>
      </c>
      <c r="W164" s="121">
        <f>IF(OR(tblPiNHistorical[[#This Row],[SAL25]]="", tblPiNHistorical[[#This Row],[SAL25]]=0, tblPiNHistorical[[#This Row],[SAL26]]="", tblPiNHistorical[[#This Row],[SAL26]]=0), "", tblPiNHistorical[[#This Row],[SAL26]]-tblPiNHistorical[[#This Row],[SAL25]])</f>
        <v>8941.841192927086</v>
      </c>
      <c r="X164" s="121">
        <f>IF(OR(tblPiNHistorical[[#This Row],[EDU25]]="", tblPiNHistorical[[#This Row],[EDU25]]=0, tblPiNHistorical[[#This Row],[EDU26]]="", tblPiNHistorical[[#This Row],[EDU26]]=0), "", tblPiNHistorical[[#This Row],[EDU26]]-tblPiNHistorical[[#This Row],[EDU25]])</f>
        <v>1793.7472940895991</v>
      </c>
      <c r="Y164" s="121">
        <f>IF(OR(tblPiNHistorical[[#This Row],[PRO25]]="", tblPiNHistorical[[#This Row],[PRO25]]=0, tblPiNHistorical[[#This Row],[PRO26]]="", tblPiNHistorical[[#This Row],[PRO26]]=0), "", tblPiNHistorical[[#This Row],[PRO26]]-tblPiNHistorical[[#This Row],[PRO25]])</f>
        <v>2152.8406381842406</v>
      </c>
      <c r="Z164" s="223" t="str">
        <f>IF(OR(tblPiNHistorical[[#This Row],[ASH25]]="", tblPiNHistorical[[#This Row],[ASH25]]=0, tblPiNHistorical[[#This Row],[ASH26]]="", tblPiNHistorical[[#This Row],[ASH26]]=0), "", tblPiNHistorical[[#This Row],[ASH26]]-tblPiNHistorical[[#This Row],[ASH25]])</f>
        <v/>
      </c>
      <c r="AA16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16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1.4</v>
      </c>
      <c r="AC16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3.6</v>
      </c>
      <c r="AD16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v>
      </c>
      <c r="AE16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16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65" spans="1:32">
      <c r="A16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VenezolanosVE1409</v>
      </c>
      <c r="B165" s="105" t="s">
        <v>411</v>
      </c>
      <c r="C165" s="104" t="s">
        <v>412</v>
      </c>
      <c r="D165" s="119" t="s">
        <v>429</v>
      </c>
      <c r="E165" s="104" t="s">
        <v>430</v>
      </c>
      <c r="F165" s="119"/>
      <c r="G165" s="102">
        <v>9064</v>
      </c>
      <c r="H165" s="102" t="s">
        <v>102</v>
      </c>
      <c r="I165" s="206">
        <v>1736</v>
      </c>
      <c r="J165" s="120">
        <v>357</v>
      </c>
      <c r="K165" s="207">
        <v>2360.0702452429191</v>
      </c>
      <c r="L165" s="207">
        <v>1075.001524602766</v>
      </c>
      <c r="M165" s="207">
        <v>3222.5001384526176</v>
      </c>
      <c r="N165" s="298">
        <v>4532</v>
      </c>
      <c r="O165" s="114">
        <f>tblPiNAnalysis[[#This Row],[SAMV]]</f>
        <v>6806</v>
      </c>
      <c r="P165" s="115">
        <f>tblPiNAnalysis[[#This Row],[NUT]]</f>
        <v>993.16323685153839</v>
      </c>
      <c r="Q165" s="115">
        <f>tblPiNAnalysis[[#This Row],[SAL]]</f>
        <v>11204.405000000001</v>
      </c>
      <c r="R165" s="115">
        <f>tblPiNAnalysis[[#This Row],[EDU]]</f>
        <v>2070.5044288934132</v>
      </c>
      <c r="S165" s="115">
        <f>tblPiNAnalysis[[#This Row],[PRO]]</f>
        <v>6105.6174299534896</v>
      </c>
      <c r="T165" s="116">
        <f>tblPiNAnalysis[[#This Row],[ASH]]</f>
        <v>0</v>
      </c>
      <c r="U165" s="300">
        <f>IF(OR(tblPiNHistorical[[#This Row],[SAMV25]]="", tblPiNHistorical[[#This Row],[SAMV25]]=0, tblPiNHistorical[[#This Row],[SAMV26]]="", tblPiNHistorical[[#This Row],[SAMV26]]=0), "", tblPiNHistorical[[#This Row],[SAMV26]]-tblPiNHistorical[[#This Row],[SAMV25]])</f>
        <v>5070</v>
      </c>
      <c r="V165" s="121">
        <f>IF(OR(tblPiNHistorical[[#This Row],[NUT25]]="", tblPiNHistorical[[#This Row],[NUT25]]=0, tblPiNHistorical[[#This Row],[NUT26]]="", tblPiNHistorical[[#This Row],[NUT26]]=0), "", tblPiNHistorical[[#This Row],[NUT26]]-tblPiNHistorical[[#This Row],[NUT25]])</f>
        <v>636.16323685153839</v>
      </c>
      <c r="W165" s="121">
        <f>IF(OR(tblPiNHistorical[[#This Row],[SAL25]]="", tblPiNHistorical[[#This Row],[SAL25]]=0, tblPiNHistorical[[#This Row],[SAL26]]="", tblPiNHistorical[[#This Row],[SAL26]]=0), "", tblPiNHistorical[[#This Row],[SAL26]]-tblPiNHistorical[[#This Row],[SAL25]])</f>
        <v>8844.3347547570811</v>
      </c>
      <c r="X165" s="121">
        <f>IF(OR(tblPiNHistorical[[#This Row],[EDU25]]="", tblPiNHistorical[[#This Row],[EDU25]]=0, tblPiNHistorical[[#This Row],[EDU26]]="", tblPiNHistorical[[#This Row],[EDU26]]=0), "", tblPiNHistorical[[#This Row],[EDU26]]-tblPiNHistorical[[#This Row],[EDU25]])</f>
        <v>995.50290429064717</v>
      </c>
      <c r="Y165" s="121">
        <f>IF(OR(tblPiNHistorical[[#This Row],[PRO25]]="", tblPiNHistorical[[#This Row],[PRO25]]=0, tblPiNHistorical[[#This Row],[PRO26]]="", tblPiNHistorical[[#This Row],[PRO26]]=0), "", tblPiNHistorical[[#This Row],[PRO26]]-tblPiNHistorical[[#This Row],[PRO25]])</f>
        <v>2883.1172915008719</v>
      </c>
      <c r="Z165" s="223" t="str">
        <f>IF(OR(tblPiNHistorical[[#This Row],[ASH25]]="", tblPiNHistorical[[#This Row],[ASH25]]=0, tblPiNHistorical[[#This Row],[ASH26]]="", tblPiNHistorical[[#This Row],[ASH26]]=0), "", tblPiNHistorical[[#This Row],[ASH26]]-tblPiNHistorical[[#This Row],[ASH25]])</f>
        <v/>
      </c>
      <c r="AA16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2.9</v>
      </c>
      <c r="AB16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1.8</v>
      </c>
      <c r="AC16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3.7</v>
      </c>
      <c r="AD16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6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6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4532</v>
      </c>
    </row>
    <row r="166" spans="1:32">
      <c r="A16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VenezolanosVE1410</v>
      </c>
      <c r="B166" s="105" t="s">
        <v>411</v>
      </c>
      <c r="C166" s="104" t="s">
        <v>412</v>
      </c>
      <c r="D166" s="119" t="s">
        <v>431</v>
      </c>
      <c r="E166" s="104" t="s">
        <v>432</v>
      </c>
      <c r="F166" s="119"/>
      <c r="G166" s="102">
        <v>14666</v>
      </c>
      <c r="H166" s="102" t="s">
        <v>102</v>
      </c>
      <c r="I166" s="206">
        <v>2808</v>
      </c>
      <c r="J166" s="120">
        <v>638</v>
      </c>
      <c r="K166" s="207">
        <v>3818.5183564929516</v>
      </c>
      <c r="L166" s="207">
        <v>1684.0227649941412</v>
      </c>
      <c r="M166" s="207">
        <v>7169.47618788624</v>
      </c>
      <c r="N166" s="298">
        <v>0</v>
      </c>
      <c r="O166" s="114">
        <f>tblPiNAnalysis[[#This Row],[SAMV]]</f>
        <v>4082</v>
      </c>
      <c r="P166" s="115">
        <f>tblPiNAnalysis[[#This Row],[NUT]]</f>
        <v>641.18154432629694</v>
      </c>
      <c r="Q166" s="115">
        <f>tblPiNAnalysis[[#This Row],[SAL]]</f>
        <v>11200</v>
      </c>
      <c r="R166" s="115">
        <f>tblPiNAnalysis[[#This Row],[EDU]]</f>
        <v>1591.1768315739082</v>
      </c>
      <c r="S166" s="115">
        <f>tblPiNAnalysis[[#This Row],[PRO]]</f>
        <v>1644.2622461458618</v>
      </c>
      <c r="T166" s="116">
        <f>tblPiNAnalysis[[#This Row],[ASH]]</f>
        <v>6200.1</v>
      </c>
      <c r="U166" s="300">
        <f>IF(OR(tblPiNHistorical[[#This Row],[SAMV25]]="", tblPiNHistorical[[#This Row],[SAMV25]]=0, tblPiNHistorical[[#This Row],[SAMV26]]="", tblPiNHistorical[[#This Row],[SAMV26]]=0), "", tblPiNHistorical[[#This Row],[SAMV26]]-tblPiNHistorical[[#This Row],[SAMV25]])</f>
        <v>1274</v>
      </c>
      <c r="V166" s="121">
        <f>IF(OR(tblPiNHistorical[[#This Row],[NUT25]]="", tblPiNHistorical[[#This Row],[NUT25]]=0, tblPiNHistorical[[#This Row],[NUT26]]="", tblPiNHistorical[[#This Row],[NUT26]]=0), "", tblPiNHistorical[[#This Row],[NUT26]]-tblPiNHistorical[[#This Row],[NUT25]])</f>
        <v>3.1815443262969438</v>
      </c>
      <c r="W166" s="121">
        <f>IF(OR(tblPiNHistorical[[#This Row],[SAL25]]="", tblPiNHistorical[[#This Row],[SAL25]]=0, tblPiNHistorical[[#This Row],[SAL26]]="", tblPiNHistorical[[#This Row],[SAL26]]=0), "", tblPiNHistorical[[#This Row],[SAL26]]-tblPiNHistorical[[#This Row],[SAL25]])</f>
        <v>7381.4816435070479</v>
      </c>
      <c r="X166" s="121">
        <f>IF(OR(tblPiNHistorical[[#This Row],[EDU25]]="", tblPiNHistorical[[#This Row],[EDU25]]=0, tblPiNHistorical[[#This Row],[EDU26]]="", tblPiNHistorical[[#This Row],[EDU26]]=0), "", tblPiNHistorical[[#This Row],[EDU26]]-tblPiNHistorical[[#This Row],[EDU25]])</f>
        <v>-92.845933420232996</v>
      </c>
      <c r="Y166" s="121">
        <f>IF(OR(tblPiNHistorical[[#This Row],[PRO25]]="", tblPiNHistorical[[#This Row],[PRO25]]=0, tblPiNHistorical[[#This Row],[PRO26]]="", tblPiNHistorical[[#This Row],[PRO26]]=0), "", tblPiNHistorical[[#This Row],[PRO26]]-tblPiNHistorical[[#This Row],[PRO25]])</f>
        <v>-5525.2139417403778</v>
      </c>
      <c r="Z166" s="223" t="str">
        <f>IF(OR(tblPiNHistorical[[#This Row],[ASH25]]="", tblPiNHistorical[[#This Row],[ASH25]]=0, tblPiNHistorical[[#This Row],[ASH26]]="", tblPiNHistorical[[#This Row],[ASH26]]=0), "", tblPiNHistorical[[#This Row],[ASH26]]-tblPiNHistorical[[#This Row],[ASH25]])</f>
        <v/>
      </c>
      <c r="AA16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16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v>
      </c>
      <c r="AC16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1.9</v>
      </c>
      <c r="AD16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16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16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6200.1</v>
      </c>
    </row>
    <row r="167" spans="1:32">
      <c r="A16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VenezolanosVE1411</v>
      </c>
      <c r="B167" s="105" t="s">
        <v>411</v>
      </c>
      <c r="C167" s="104" t="s">
        <v>412</v>
      </c>
      <c r="D167" s="119" t="s">
        <v>433</v>
      </c>
      <c r="E167" s="104" t="s">
        <v>434</v>
      </c>
      <c r="F167" s="119"/>
      <c r="G167" s="102">
        <v>4895</v>
      </c>
      <c r="H167" s="102" t="s">
        <v>102</v>
      </c>
      <c r="I167" s="206">
        <v>937</v>
      </c>
      <c r="J167" s="120">
        <v>226</v>
      </c>
      <c r="K167" s="207">
        <v>1274.1605102361016</v>
      </c>
      <c r="L167" s="207">
        <v>642.23039599680976</v>
      </c>
      <c r="M167" s="207">
        <v>2392.9214468637078</v>
      </c>
      <c r="N167" s="298">
        <v>0</v>
      </c>
      <c r="O167" s="114">
        <f>tblPiNAnalysis[[#This Row],[SAMV]]</f>
        <v>9711</v>
      </c>
      <c r="P167" s="115">
        <f>tblPiNAnalysis[[#This Row],[NUT]]</f>
        <v>859.46539019577131</v>
      </c>
      <c r="Q167" s="115">
        <f>tblPiNAnalysis[[#This Row],[SAL]]</f>
        <v>11100</v>
      </c>
      <c r="R167" s="115">
        <f>tblPiNAnalysis[[#This Row],[EDU]]</f>
        <v>2510.9409208820671</v>
      </c>
      <c r="S167" s="115">
        <f>tblPiNAnalysis[[#This Row],[PRO]]</f>
        <v>5210.5293675601251</v>
      </c>
      <c r="T167" s="116">
        <f>tblPiNAnalysis[[#This Row],[ASH]]</f>
        <v>0</v>
      </c>
      <c r="U167" s="300">
        <f>IF(OR(tblPiNHistorical[[#This Row],[SAMV25]]="", tblPiNHistorical[[#This Row],[SAMV25]]=0, tblPiNHistorical[[#This Row],[SAMV26]]="", tblPiNHistorical[[#This Row],[SAMV26]]=0), "", tblPiNHistorical[[#This Row],[SAMV26]]-tblPiNHistorical[[#This Row],[SAMV25]])</f>
        <v>8774</v>
      </c>
      <c r="V167" s="121">
        <f>IF(OR(tblPiNHistorical[[#This Row],[NUT25]]="", tblPiNHistorical[[#This Row],[NUT25]]=0, tblPiNHistorical[[#This Row],[NUT26]]="", tblPiNHistorical[[#This Row],[NUT26]]=0), "", tblPiNHistorical[[#This Row],[NUT26]]-tblPiNHistorical[[#This Row],[NUT25]])</f>
        <v>633.46539019577131</v>
      </c>
      <c r="W167" s="121">
        <f>IF(OR(tblPiNHistorical[[#This Row],[SAL25]]="", tblPiNHistorical[[#This Row],[SAL25]]=0, tblPiNHistorical[[#This Row],[SAL26]]="", tblPiNHistorical[[#This Row],[SAL26]]=0), "", tblPiNHistorical[[#This Row],[SAL26]]-tblPiNHistorical[[#This Row],[SAL25]])</f>
        <v>9825.8394897638991</v>
      </c>
      <c r="X167" s="121">
        <f>IF(OR(tblPiNHistorical[[#This Row],[EDU25]]="", tblPiNHistorical[[#This Row],[EDU25]]=0, tblPiNHistorical[[#This Row],[EDU26]]="", tblPiNHistorical[[#This Row],[EDU26]]=0), "", tblPiNHistorical[[#This Row],[EDU26]]-tblPiNHistorical[[#This Row],[EDU25]])</f>
        <v>1868.7105248852572</v>
      </c>
      <c r="Y167" s="121">
        <f>IF(OR(tblPiNHistorical[[#This Row],[PRO25]]="", tblPiNHistorical[[#This Row],[PRO25]]=0, tblPiNHistorical[[#This Row],[PRO26]]="", tblPiNHistorical[[#This Row],[PRO26]]=0), "", tblPiNHistorical[[#This Row],[PRO26]]-tblPiNHistorical[[#This Row],[PRO25]])</f>
        <v>2817.6079206964173</v>
      </c>
      <c r="Z167" s="223" t="str">
        <f>IF(OR(tblPiNHistorical[[#This Row],[ASH25]]="", tblPiNHistorical[[#This Row],[ASH25]]=0, tblPiNHistorical[[#This Row],[ASH26]]="", tblPiNHistorical[[#This Row],[ASH26]]=0), "", tblPiNHistorical[[#This Row],[ASH26]]-tblPiNHistorical[[#This Row],[ASH25]])</f>
        <v/>
      </c>
      <c r="AA16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9.4</v>
      </c>
      <c r="AB16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2.8</v>
      </c>
      <c r="AC16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7.7</v>
      </c>
      <c r="AD16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2.9</v>
      </c>
      <c r="AE16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1.2</v>
      </c>
      <c r="AF16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68" spans="1:32">
      <c r="A16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VenezolanosVE1412</v>
      </c>
      <c r="B168" s="105" t="s">
        <v>411</v>
      </c>
      <c r="C168" s="104" t="s">
        <v>412</v>
      </c>
      <c r="D168" s="119" t="s">
        <v>100</v>
      </c>
      <c r="E168" s="104" t="s">
        <v>435</v>
      </c>
      <c r="F168" s="119"/>
      <c r="G168" s="102">
        <v>217537</v>
      </c>
      <c r="H168" s="102" t="s">
        <v>102</v>
      </c>
      <c r="I168" s="206">
        <v>41656</v>
      </c>
      <c r="J168" s="120">
        <v>7649</v>
      </c>
      <c r="K168" s="207">
        <v>56637.722711614711</v>
      </c>
      <c r="L168" s="207">
        <v>9943.6277483516224</v>
      </c>
      <c r="M168" s="207">
        <v>9691.7824230444639</v>
      </c>
      <c r="N168" s="298">
        <v>0</v>
      </c>
      <c r="O168" s="114">
        <f>tblPiNAnalysis[[#This Row],[SAMV]]</f>
        <v>10833</v>
      </c>
      <c r="P168" s="115">
        <f>tblPiNAnalysis[[#This Row],[NUT]]</f>
        <v>834.42130302973101</v>
      </c>
      <c r="Q168" s="115">
        <f>tblPiNAnalysis[[#This Row],[SAL]]</f>
        <v>10280.955</v>
      </c>
      <c r="R168" s="115">
        <f>tblPiNAnalysis[[#This Row],[EDU]]</f>
        <v>3814.8835926432689</v>
      </c>
      <c r="S168" s="115">
        <f>tblPiNAnalysis[[#This Row],[PRO]]</f>
        <v>5638.3345961453051</v>
      </c>
      <c r="T168" s="116">
        <f>tblPiNAnalysis[[#This Row],[ASH]]</f>
        <v>0</v>
      </c>
      <c r="U168" s="300">
        <f>IF(OR(tblPiNHistorical[[#This Row],[SAMV25]]="", tblPiNHistorical[[#This Row],[SAMV25]]=0, tblPiNHistorical[[#This Row],[SAMV26]]="", tblPiNHistorical[[#This Row],[SAMV26]]=0), "", tblPiNHistorical[[#This Row],[SAMV26]]-tblPiNHistorical[[#This Row],[SAMV25]])</f>
        <v>-30823</v>
      </c>
      <c r="V168" s="121">
        <f>IF(OR(tblPiNHistorical[[#This Row],[NUT25]]="", tblPiNHistorical[[#This Row],[NUT25]]=0, tblPiNHistorical[[#This Row],[NUT26]]="", tblPiNHistorical[[#This Row],[NUT26]]=0), "", tblPiNHistorical[[#This Row],[NUT26]]-tblPiNHistorical[[#This Row],[NUT25]])</f>
        <v>-6814.5786969702694</v>
      </c>
      <c r="W168" s="121">
        <f>IF(OR(tblPiNHistorical[[#This Row],[SAL25]]="", tblPiNHistorical[[#This Row],[SAL25]]=0, tblPiNHistorical[[#This Row],[SAL26]]="", tblPiNHistorical[[#This Row],[SAL26]]=0), "", tblPiNHistorical[[#This Row],[SAL26]]-tblPiNHistorical[[#This Row],[SAL25]])</f>
        <v>-46356.76771161471</v>
      </c>
      <c r="X168" s="121">
        <f>IF(OR(tblPiNHistorical[[#This Row],[EDU25]]="", tblPiNHistorical[[#This Row],[EDU25]]=0, tblPiNHistorical[[#This Row],[EDU26]]="", tblPiNHistorical[[#This Row],[EDU26]]=0), "", tblPiNHistorical[[#This Row],[EDU26]]-tblPiNHistorical[[#This Row],[EDU25]])</f>
        <v>-6128.744155708353</v>
      </c>
      <c r="Y168" s="121">
        <f>IF(OR(tblPiNHistorical[[#This Row],[PRO25]]="", tblPiNHistorical[[#This Row],[PRO25]]=0, tblPiNHistorical[[#This Row],[PRO26]]="", tblPiNHistorical[[#This Row],[PRO26]]=0), "", tblPiNHistorical[[#This Row],[PRO26]]-tblPiNHistorical[[#This Row],[PRO25]])</f>
        <v>-4053.4478268991588</v>
      </c>
      <c r="Z168" s="223" t="str">
        <f>IF(OR(tblPiNHistorical[[#This Row],[ASH25]]="", tblPiNHistorical[[#This Row],[ASH25]]=0, tblPiNHistorical[[#This Row],[ASH26]]="", tblPiNHistorical[[#This Row],[ASH26]]=0), "", tblPiNHistorical[[#This Row],[ASH26]]-tblPiNHistorical[[#This Row],[ASH25]])</f>
        <v/>
      </c>
      <c r="AA16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-0.7</v>
      </c>
      <c r="AB16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16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16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16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16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69" spans="1:32">
      <c r="A16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VenezolanosVE1413</v>
      </c>
      <c r="B169" s="105" t="s">
        <v>411</v>
      </c>
      <c r="C169" s="104" t="s">
        <v>412</v>
      </c>
      <c r="D169" s="119" t="s">
        <v>276</v>
      </c>
      <c r="E169" s="104" t="s">
        <v>436</v>
      </c>
      <c r="F169" s="119"/>
      <c r="G169" s="102">
        <v>21882</v>
      </c>
      <c r="H169" s="102" t="s">
        <v>102</v>
      </c>
      <c r="I169" s="206">
        <v>4190</v>
      </c>
      <c r="J169" s="120">
        <v>888</v>
      </c>
      <c r="K169" s="207">
        <v>5697.0629345704383</v>
      </c>
      <c r="L169" s="207">
        <v>2066.9282860774306</v>
      </c>
      <c r="M169" s="207">
        <v>9691.7824230444639</v>
      </c>
      <c r="N169" s="298">
        <v>4376</v>
      </c>
      <c r="O169" s="114">
        <f>tblPiNAnalysis[[#This Row],[SAMV]]</f>
        <v>5074</v>
      </c>
      <c r="P169" s="115">
        <f>tblPiNAnalysis[[#This Row],[NUT]]</f>
        <v>1100.3675741232016</v>
      </c>
      <c r="Q169" s="115">
        <f>tblPiNAnalysis[[#This Row],[SAL]]</f>
        <v>8547.9349999999995</v>
      </c>
      <c r="R169" s="115">
        <f>tblPiNAnalysis[[#This Row],[EDU]]</f>
        <v>2099.4869681318678</v>
      </c>
      <c r="S169" s="115">
        <f>tblPiNAnalysis[[#This Row],[PRO]]</f>
        <v>4670.634038496115</v>
      </c>
      <c r="T169" s="116">
        <f>tblPiNAnalysis[[#This Row],[ASH]]</f>
        <v>10538.550000000001</v>
      </c>
      <c r="U169" s="300">
        <f>IF(OR(tblPiNHistorical[[#This Row],[SAMV25]]="", tblPiNHistorical[[#This Row],[SAMV25]]=0, tblPiNHistorical[[#This Row],[SAMV26]]="", tblPiNHistorical[[#This Row],[SAMV26]]=0), "", tblPiNHistorical[[#This Row],[SAMV26]]-tblPiNHistorical[[#This Row],[SAMV25]])</f>
        <v>884</v>
      </c>
      <c r="V169" s="121">
        <f>IF(OR(tblPiNHistorical[[#This Row],[NUT25]]="", tblPiNHistorical[[#This Row],[NUT25]]=0, tblPiNHistorical[[#This Row],[NUT26]]="", tblPiNHistorical[[#This Row],[NUT26]]=0), "", tblPiNHistorical[[#This Row],[NUT26]]-tblPiNHistorical[[#This Row],[NUT25]])</f>
        <v>212.36757412320162</v>
      </c>
      <c r="W169" s="121">
        <f>IF(OR(tblPiNHistorical[[#This Row],[SAL25]]="", tblPiNHistorical[[#This Row],[SAL25]]=0, tblPiNHistorical[[#This Row],[SAL26]]="", tblPiNHistorical[[#This Row],[SAL26]]=0), "", tblPiNHistorical[[#This Row],[SAL26]]-tblPiNHistorical[[#This Row],[SAL25]])</f>
        <v>2850.8720654295612</v>
      </c>
      <c r="X169" s="121">
        <f>IF(OR(tblPiNHistorical[[#This Row],[EDU25]]="", tblPiNHistorical[[#This Row],[EDU25]]=0, tblPiNHistorical[[#This Row],[EDU26]]="", tblPiNHistorical[[#This Row],[EDU26]]=0), "", tblPiNHistorical[[#This Row],[EDU26]]-tblPiNHistorical[[#This Row],[EDU25]])</f>
        <v>32.558682054437213</v>
      </c>
      <c r="Y169" s="121">
        <f>IF(OR(tblPiNHistorical[[#This Row],[PRO25]]="", tblPiNHistorical[[#This Row],[PRO25]]=0, tblPiNHistorical[[#This Row],[PRO26]]="", tblPiNHistorical[[#This Row],[PRO26]]=0), "", tblPiNHistorical[[#This Row],[PRO26]]-tblPiNHistorical[[#This Row],[PRO25]])</f>
        <v>-5021.148384548349</v>
      </c>
      <c r="Z169" s="223">
        <f>IF(OR(tblPiNHistorical[[#This Row],[ASH25]]="", tblPiNHistorical[[#This Row],[ASH25]]=0, tblPiNHistorical[[#This Row],[ASH26]]="", tblPiNHistorical[[#This Row],[ASH26]]=0), "", tblPiNHistorical[[#This Row],[ASH26]]-tblPiNHistorical[[#This Row],[ASH25]])</f>
        <v>6162.5500000000011</v>
      </c>
      <c r="AA16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16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16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16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v>
      </c>
      <c r="AE16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169"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1.4</v>
      </c>
    </row>
    <row r="170" spans="1:32">
      <c r="A17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VenezolanosVE1414</v>
      </c>
      <c r="B170" s="105" t="s">
        <v>411</v>
      </c>
      <c r="C170" s="104" t="s">
        <v>412</v>
      </c>
      <c r="D170" s="119" t="s">
        <v>437</v>
      </c>
      <c r="E170" s="104" t="s">
        <v>438</v>
      </c>
      <c r="F170" s="119"/>
      <c r="G170" s="102">
        <v>24774</v>
      </c>
      <c r="H170" s="102" t="s">
        <v>102</v>
      </c>
      <c r="I170" s="206">
        <v>4744</v>
      </c>
      <c r="J170" s="120">
        <v>1116</v>
      </c>
      <c r="K170" s="207">
        <v>6450.0660354875745</v>
      </c>
      <c r="L170" s="207">
        <v>2325.9088655379064</v>
      </c>
      <c r="M170" s="207">
        <v>9691.7824230444639</v>
      </c>
      <c r="N170" s="298">
        <v>0</v>
      </c>
      <c r="O170" s="114">
        <f>tblPiNAnalysis[[#This Row],[SAMV]]</f>
        <v>4874</v>
      </c>
      <c r="P170" s="115">
        <f>tblPiNAnalysis[[#This Row],[NUT]]</f>
        <v>1001.1743397731281</v>
      </c>
      <c r="Q170" s="115">
        <f>tblPiNAnalysis[[#This Row],[SAL]]</f>
        <v>10500</v>
      </c>
      <c r="R170" s="115">
        <f>tblPiNAnalysis[[#This Row],[EDU]]</f>
        <v>801.64078710332751</v>
      </c>
      <c r="S170" s="115">
        <f>tblPiNAnalysis[[#This Row],[PRO]]</f>
        <v>4275.6304381965929</v>
      </c>
      <c r="T170" s="116">
        <f>tblPiNAnalysis[[#This Row],[ASH]]</f>
        <v>2895.3449999999998</v>
      </c>
      <c r="U170" s="300">
        <f>IF(OR(tblPiNHistorical[[#This Row],[SAMV25]]="", tblPiNHistorical[[#This Row],[SAMV25]]=0, tblPiNHistorical[[#This Row],[SAMV26]]="", tblPiNHistorical[[#This Row],[SAMV26]]=0), "", tblPiNHistorical[[#This Row],[SAMV26]]-tblPiNHistorical[[#This Row],[SAMV25]])</f>
        <v>130</v>
      </c>
      <c r="V170" s="121">
        <f>IF(OR(tblPiNHistorical[[#This Row],[NUT25]]="", tblPiNHistorical[[#This Row],[NUT25]]=0, tblPiNHistorical[[#This Row],[NUT26]]="", tblPiNHistorical[[#This Row],[NUT26]]=0), "", tblPiNHistorical[[#This Row],[NUT26]]-tblPiNHistorical[[#This Row],[NUT25]])</f>
        <v>-114.82566022687195</v>
      </c>
      <c r="W170" s="121">
        <f>IF(OR(tblPiNHistorical[[#This Row],[SAL25]]="", tblPiNHistorical[[#This Row],[SAL25]]=0, tblPiNHistorical[[#This Row],[SAL26]]="", tblPiNHistorical[[#This Row],[SAL26]]=0), "", tblPiNHistorical[[#This Row],[SAL26]]-tblPiNHistorical[[#This Row],[SAL25]])</f>
        <v>4049.9339645124255</v>
      </c>
      <c r="X170" s="121">
        <f>IF(OR(tblPiNHistorical[[#This Row],[EDU25]]="", tblPiNHistorical[[#This Row],[EDU25]]=0, tblPiNHistorical[[#This Row],[EDU26]]="", tblPiNHistorical[[#This Row],[EDU26]]=0), "", tblPiNHistorical[[#This Row],[EDU26]]-tblPiNHistorical[[#This Row],[EDU25]])</f>
        <v>-1524.2680784345789</v>
      </c>
      <c r="Y170" s="121">
        <f>IF(OR(tblPiNHistorical[[#This Row],[PRO25]]="", tblPiNHistorical[[#This Row],[PRO25]]=0, tblPiNHistorical[[#This Row],[PRO26]]="", tblPiNHistorical[[#This Row],[PRO26]]=0), "", tblPiNHistorical[[#This Row],[PRO26]]-tblPiNHistorical[[#This Row],[PRO25]])</f>
        <v>-5416.1519848478711</v>
      </c>
      <c r="Z170" s="223" t="str">
        <f>IF(OR(tblPiNHistorical[[#This Row],[ASH25]]="", tblPiNHistorical[[#This Row],[ASH25]]=0, tblPiNHistorical[[#This Row],[ASH26]]="", tblPiNHistorical[[#This Row],[ASH26]]=0), "", tblPiNHistorical[[#This Row],[ASH26]]-tblPiNHistorical[[#This Row],[ASH25]])</f>
        <v/>
      </c>
      <c r="AA17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v>
      </c>
      <c r="AB17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17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17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17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17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2895.345</v>
      </c>
    </row>
    <row r="171" spans="1:32">
      <c r="A17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VenezolanosVE1415</v>
      </c>
      <c r="B171" s="105" t="s">
        <v>411</v>
      </c>
      <c r="C171" s="104" t="s">
        <v>412</v>
      </c>
      <c r="D171" s="119" t="s">
        <v>439</v>
      </c>
      <c r="E171" s="104" t="s">
        <v>440</v>
      </c>
      <c r="F171" s="119"/>
      <c r="G171" s="102">
        <v>3188</v>
      </c>
      <c r="H171" s="102" t="s">
        <v>102</v>
      </c>
      <c r="I171" s="206">
        <v>610</v>
      </c>
      <c r="J171" s="120">
        <v>116</v>
      </c>
      <c r="K171" s="207">
        <v>830.28499811652659</v>
      </c>
      <c r="L171" s="207">
        <v>245.31971429857205</v>
      </c>
      <c r="M171" s="207">
        <v>1133.4212755281274</v>
      </c>
      <c r="N171" s="298">
        <v>0</v>
      </c>
      <c r="O171" s="114">
        <f>tblPiNAnalysis[[#This Row],[SAMV]]</f>
        <v>8737</v>
      </c>
      <c r="P171" s="115">
        <f>tblPiNAnalysis[[#This Row],[NUT]]</f>
        <v>898.68985601416614</v>
      </c>
      <c r="Q171" s="115">
        <f>tblPiNAnalysis[[#This Row],[SAL]]</f>
        <v>10436.81</v>
      </c>
      <c r="R171" s="115">
        <f>tblPiNAnalysis[[#This Row],[EDU]]</f>
        <v>2770.1186547035877</v>
      </c>
      <c r="S171" s="115">
        <f>tblPiNAnalysis[[#This Row],[PRO]]</f>
        <v>5709.8351619733603</v>
      </c>
      <c r="T171" s="116">
        <f>tblPiNAnalysis[[#This Row],[ASH]]</f>
        <v>0</v>
      </c>
      <c r="U171" s="300">
        <f>IF(OR(tblPiNHistorical[[#This Row],[SAMV25]]="", tblPiNHistorical[[#This Row],[SAMV25]]=0, tblPiNHistorical[[#This Row],[SAMV26]]="", tblPiNHistorical[[#This Row],[SAMV26]]=0), "", tblPiNHistorical[[#This Row],[SAMV26]]-tblPiNHistorical[[#This Row],[SAMV25]])</f>
        <v>8127</v>
      </c>
      <c r="V171" s="121">
        <f>IF(OR(tblPiNHistorical[[#This Row],[NUT25]]="", tblPiNHistorical[[#This Row],[NUT25]]=0, tblPiNHistorical[[#This Row],[NUT26]]="", tblPiNHistorical[[#This Row],[NUT26]]=0), "", tblPiNHistorical[[#This Row],[NUT26]]-tblPiNHistorical[[#This Row],[NUT25]])</f>
        <v>782.68985601416614</v>
      </c>
      <c r="W171" s="121">
        <f>IF(OR(tblPiNHistorical[[#This Row],[SAL25]]="", tblPiNHistorical[[#This Row],[SAL25]]=0, tblPiNHistorical[[#This Row],[SAL26]]="", tblPiNHistorical[[#This Row],[SAL26]]=0), "", tblPiNHistorical[[#This Row],[SAL26]]-tblPiNHistorical[[#This Row],[SAL25]])</f>
        <v>9606.5250018834722</v>
      </c>
      <c r="X171" s="121">
        <f>IF(OR(tblPiNHistorical[[#This Row],[EDU25]]="", tblPiNHistorical[[#This Row],[EDU25]]=0, tblPiNHistorical[[#This Row],[EDU26]]="", tblPiNHistorical[[#This Row],[EDU26]]=0), "", tblPiNHistorical[[#This Row],[EDU26]]-tblPiNHistorical[[#This Row],[EDU25]])</f>
        <v>2524.7989404050159</v>
      </c>
      <c r="Y171" s="121">
        <f>IF(OR(tblPiNHistorical[[#This Row],[PRO25]]="", tblPiNHistorical[[#This Row],[PRO25]]=0, tblPiNHistorical[[#This Row],[PRO26]]="", tblPiNHistorical[[#This Row],[PRO26]]=0), "", tblPiNHistorical[[#This Row],[PRO26]]-tblPiNHistorical[[#This Row],[PRO25]])</f>
        <v>4576.4138864452325</v>
      </c>
      <c r="Z171" s="223" t="str">
        <f>IF(OR(tblPiNHistorical[[#This Row],[ASH25]]="", tblPiNHistorical[[#This Row],[ASH25]]=0, tblPiNHistorical[[#This Row],[ASH26]]="", tblPiNHistorical[[#This Row],[ASH26]]=0), "", tblPiNHistorical[[#This Row],[ASH26]]-tblPiNHistorical[[#This Row],[ASH25]])</f>
        <v/>
      </c>
      <c r="AA17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13.3</v>
      </c>
      <c r="AB17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6.7</v>
      </c>
      <c r="AC17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11.6</v>
      </c>
      <c r="AD17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10.3</v>
      </c>
      <c r="AE17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4</v>
      </c>
      <c r="AF17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72" spans="1:32">
      <c r="A17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VenezolanosVE1416</v>
      </c>
      <c r="B172" s="105" t="s">
        <v>411</v>
      </c>
      <c r="C172" s="104" t="s">
        <v>412</v>
      </c>
      <c r="D172" s="119" t="s">
        <v>441</v>
      </c>
      <c r="E172" s="104" t="s">
        <v>442</v>
      </c>
      <c r="F172" s="119"/>
      <c r="G172" s="102">
        <v>10730</v>
      </c>
      <c r="H172" s="102" t="s">
        <v>102</v>
      </c>
      <c r="I172" s="206">
        <v>2055</v>
      </c>
      <c r="J172" s="120">
        <v>465</v>
      </c>
      <c r="K172" s="207">
        <v>2794.0378218241108</v>
      </c>
      <c r="L172" s="207">
        <v>1144.1588966934316</v>
      </c>
      <c r="M172" s="207">
        <v>5245.3620275480262</v>
      </c>
      <c r="N172" s="298">
        <v>0</v>
      </c>
      <c r="O172" s="114">
        <f>tblPiNAnalysis[[#This Row],[SAMV]]</f>
        <v>3536</v>
      </c>
      <c r="P172" s="115">
        <f>tblPiNAnalysis[[#This Row],[NUT]]</f>
        <v>898.455174473238</v>
      </c>
      <c r="Q172" s="115">
        <f>tblPiNAnalysis[[#This Row],[SAL]]</f>
        <v>10124.735000000001</v>
      </c>
      <c r="R172" s="115">
        <f>tblPiNAnalysis[[#This Row],[EDU]]</f>
        <v>3330.8621270632366</v>
      </c>
      <c r="S172" s="115">
        <f>tblPiNAnalysis[[#This Row],[PRO]]</f>
        <v>6710.7387679135736</v>
      </c>
      <c r="T172" s="116">
        <f>tblPiNAnalysis[[#This Row],[ASH]]</f>
        <v>0</v>
      </c>
      <c r="U172" s="300">
        <f>IF(OR(tblPiNHistorical[[#This Row],[SAMV25]]="", tblPiNHistorical[[#This Row],[SAMV25]]=0, tblPiNHistorical[[#This Row],[SAMV26]]="", tblPiNHistorical[[#This Row],[SAMV26]]=0), "", tblPiNHistorical[[#This Row],[SAMV26]]-tblPiNHistorical[[#This Row],[SAMV25]])</f>
        <v>1481</v>
      </c>
      <c r="V172" s="121">
        <f>IF(OR(tblPiNHistorical[[#This Row],[NUT25]]="", tblPiNHistorical[[#This Row],[NUT25]]=0, tblPiNHistorical[[#This Row],[NUT26]]="", tblPiNHistorical[[#This Row],[NUT26]]=0), "", tblPiNHistorical[[#This Row],[NUT26]]-tblPiNHistorical[[#This Row],[NUT25]])</f>
        <v>433.455174473238</v>
      </c>
      <c r="W172" s="121">
        <f>IF(OR(tblPiNHistorical[[#This Row],[SAL25]]="", tblPiNHistorical[[#This Row],[SAL25]]=0, tblPiNHistorical[[#This Row],[SAL26]]="", tblPiNHistorical[[#This Row],[SAL26]]=0), "", tblPiNHistorical[[#This Row],[SAL26]]-tblPiNHistorical[[#This Row],[SAL25]])</f>
        <v>7330.6971781758893</v>
      </c>
      <c r="X172" s="121">
        <f>IF(OR(tblPiNHistorical[[#This Row],[EDU25]]="", tblPiNHistorical[[#This Row],[EDU25]]=0, tblPiNHistorical[[#This Row],[EDU26]]="", tblPiNHistorical[[#This Row],[EDU26]]=0), "", tblPiNHistorical[[#This Row],[EDU26]]-tblPiNHistorical[[#This Row],[EDU25]])</f>
        <v>2186.7032303698052</v>
      </c>
      <c r="Y172" s="121">
        <f>IF(OR(tblPiNHistorical[[#This Row],[PRO25]]="", tblPiNHistorical[[#This Row],[PRO25]]=0, tblPiNHistorical[[#This Row],[PRO26]]="", tblPiNHistorical[[#This Row],[PRO26]]=0), "", tblPiNHistorical[[#This Row],[PRO26]]-tblPiNHistorical[[#This Row],[PRO25]])</f>
        <v>1465.3767403655474</v>
      </c>
      <c r="Z172" s="223" t="str">
        <f>IF(OR(tblPiNHistorical[[#This Row],[ASH25]]="", tblPiNHistorical[[#This Row],[ASH25]]=0, tblPiNHistorical[[#This Row],[ASH26]]="", tblPiNHistorical[[#This Row],[ASH26]]=0), "", tblPiNHistorical[[#This Row],[ASH26]]-tblPiNHistorical[[#This Row],[ASH25]])</f>
        <v/>
      </c>
      <c r="AA17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0.7</v>
      </c>
      <c r="AB17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17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2.6</v>
      </c>
      <c r="AD17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1.9</v>
      </c>
      <c r="AE17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17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73" spans="1:32">
      <c r="A17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VenezolanosVE1417</v>
      </c>
      <c r="B173" s="105" t="s">
        <v>411</v>
      </c>
      <c r="C173" s="104" t="s">
        <v>412</v>
      </c>
      <c r="D173" s="119" t="s">
        <v>443</v>
      </c>
      <c r="E173" s="104" t="s">
        <v>444</v>
      </c>
      <c r="F173" s="119"/>
      <c r="G173" s="102">
        <v>19008</v>
      </c>
      <c r="H173" s="102" t="s">
        <v>102</v>
      </c>
      <c r="I173" s="206">
        <v>3640</v>
      </c>
      <c r="J173" s="120">
        <v>825</v>
      </c>
      <c r="K173" s="207">
        <v>4949.013801422494</v>
      </c>
      <c r="L173" s="207">
        <v>1554.5647424170199</v>
      </c>
      <c r="M173" s="207">
        <v>9292.0635060235672</v>
      </c>
      <c r="N173" s="298">
        <v>0</v>
      </c>
      <c r="O173" s="114">
        <f>tblPiNAnalysis[[#This Row],[SAMV]]</f>
        <v>3816</v>
      </c>
      <c r="P173" s="115">
        <f>tblPiNAnalysis[[#This Row],[NUT]]</f>
        <v>1776.5089459650733</v>
      </c>
      <c r="Q173" s="115">
        <f>tblPiNAnalysis[[#This Row],[SAL]]</f>
        <v>8198.6299999999992</v>
      </c>
      <c r="R173" s="115">
        <f>tblPiNAnalysis[[#This Row],[EDU]]</f>
        <v>1709.8437548794254</v>
      </c>
      <c r="S173" s="115">
        <f>tblPiNAnalysis[[#This Row],[PRO]]</f>
        <v>5358.1518444516068</v>
      </c>
      <c r="T173" s="116">
        <f>tblPiNAnalysis[[#This Row],[ASH]]</f>
        <v>10107.9</v>
      </c>
      <c r="U173" s="300">
        <f>IF(OR(tblPiNHistorical[[#This Row],[SAMV25]]="", tblPiNHistorical[[#This Row],[SAMV25]]=0, tblPiNHistorical[[#This Row],[SAMV26]]="", tblPiNHistorical[[#This Row],[SAMV26]]=0), "", tblPiNHistorical[[#This Row],[SAMV26]]-tblPiNHistorical[[#This Row],[SAMV25]])</f>
        <v>176</v>
      </c>
      <c r="V173" s="121">
        <f>IF(OR(tblPiNHistorical[[#This Row],[NUT25]]="", tblPiNHistorical[[#This Row],[NUT25]]=0, tblPiNHistorical[[#This Row],[NUT26]]="", tblPiNHistorical[[#This Row],[NUT26]]=0), "", tblPiNHistorical[[#This Row],[NUT26]]-tblPiNHistorical[[#This Row],[NUT25]])</f>
        <v>951.50894596507328</v>
      </c>
      <c r="W173" s="121">
        <f>IF(OR(tblPiNHistorical[[#This Row],[SAL25]]="", tblPiNHistorical[[#This Row],[SAL25]]=0, tblPiNHistorical[[#This Row],[SAL26]]="", tblPiNHistorical[[#This Row],[SAL26]]=0), "", tblPiNHistorical[[#This Row],[SAL26]]-tblPiNHistorical[[#This Row],[SAL25]])</f>
        <v>3249.6161985775052</v>
      </c>
      <c r="X173" s="121">
        <f>IF(OR(tblPiNHistorical[[#This Row],[EDU25]]="", tblPiNHistorical[[#This Row],[EDU25]]=0, tblPiNHistorical[[#This Row],[EDU26]]="", tblPiNHistorical[[#This Row],[EDU26]]=0), "", tblPiNHistorical[[#This Row],[EDU26]]-tblPiNHistorical[[#This Row],[EDU25]])</f>
        <v>155.27901246240549</v>
      </c>
      <c r="Y173" s="121">
        <f>IF(OR(tblPiNHistorical[[#This Row],[PRO25]]="", tblPiNHistorical[[#This Row],[PRO25]]=0, tblPiNHistorical[[#This Row],[PRO26]]="", tblPiNHistorical[[#This Row],[PRO26]]=0), "", tblPiNHistorical[[#This Row],[PRO26]]-tblPiNHistorical[[#This Row],[PRO25]])</f>
        <v>-3933.9116615719604</v>
      </c>
      <c r="Z173" s="223" t="str">
        <f>IF(OR(tblPiNHistorical[[#This Row],[ASH25]]="", tblPiNHistorical[[#This Row],[ASH25]]=0, tblPiNHistorical[[#This Row],[ASH26]]="", tblPiNHistorical[[#This Row],[ASH26]]=0), "", tblPiNHistorical[[#This Row],[ASH26]]-tblPiNHistorical[[#This Row],[ASH25]])</f>
        <v/>
      </c>
      <c r="AA17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v>
      </c>
      <c r="AB17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1.2</v>
      </c>
      <c r="AC17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17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17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17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10107.9</v>
      </c>
    </row>
    <row r="174" spans="1:32">
      <c r="A17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VenezolanosVE1418</v>
      </c>
      <c r="B174" s="105" t="s">
        <v>411</v>
      </c>
      <c r="C174" s="104" t="s">
        <v>412</v>
      </c>
      <c r="D174" s="119" t="s">
        <v>445</v>
      </c>
      <c r="E174" s="104" t="s">
        <v>446</v>
      </c>
      <c r="F174" s="119"/>
      <c r="G174" s="102">
        <v>20128</v>
      </c>
      <c r="H174" s="102" t="s">
        <v>102</v>
      </c>
      <c r="I174" s="206">
        <v>3854</v>
      </c>
      <c r="J174" s="120">
        <v>761</v>
      </c>
      <c r="K174" s="207">
        <v>5240.3071062509653</v>
      </c>
      <c r="L174" s="207">
        <v>1413.9275629179724</v>
      </c>
      <c r="M174" s="207">
        <v>7048.569034941429</v>
      </c>
      <c r="N174" s="298">
        <v>4026</v>
      </c>
      <c r="O174" s="114">
        <f>tblPiNAnalysis[[#This Row],[SAMV]]</f>
        <v>10099</v>
      </c>
      <c r="P174" s="115">
        <f>tblPiNAnalysis[[#This Row],[NUT]]</f>
        <v>1264.1302403729683</v>
      </c>
      <c r="Q174" s="115">
        <f>tblPiNAnalysis[[#This Row],[SAL]]</f>
        <v>9820</v>
      </c>
      <c r="R174" s="115">
        <f>tblPiNAnalysis[[#This Row],[EDU]]</f>
        <v>3127.6448794487815</v>
      </c>
      <c r="S174" s="115">
        <f>tblPiNAnalysis[[#This Row],[PRO]]</f>
        <v>4949.8284253688062</v>
      </c>
      <c r="T174" s="116">
        <f>tblPiNAnalysis[[#This Row],[ASH]]</f>
        <v>0</v>
      </c>
      <c r="U174" s="300">
        <f>IF(OR(tblPiNHistorical[[#This Row],[SAMV25]]="", tblPiNHistorical[[#This Row],[SAMV25]]=0, tblPiNHistorical[[#This Row],[SAMV26]]="", tblPiNHistorical[[#This Row],[SAMV26]]=0), "", tblPiNHistorical[[#This Row],[SAMV26]]-tblPiNHistorical[[#This Row],[SAMV25]])</f>
        <v>6245</v>
      </c>
      <c r="V174" s="121">
        <f>IF(OR(tblPiNHistorical[[#This Row],[NUT25]]="", tblPiNHistorical[[#This Row],[NUT25]]=0, tblPiNHistorical[[#This Row],[NUT26]]="", tblPiNHistorical[[#This Row],[NUT26]]=0), "", tblPiNHistorical[[#This Row],[NUT26]]-tblPiNHistorical[[#This Row],[NUT25]])</f>
        <v>503.13024037296827</v>
      </c>
      <c r="W174" s="121">
        <f>IF(OR(tblPiNHistorical[[#This Row],[SAL25]]="", tblPiNHistorical[[#This Row],[SAL25]]=0, tblPiNHistorical[[#This Row],[SAL26]]="", tblPiNHistorical[[#This Row],[SAL26]]=0), "", tblPiNHistorical[[#This Row],[SAL26]]-tblPiNHistorical[[#This Row],[SAL25]])</f>
        <v>4579.6928937490347</v>
      </c>
      <c r="X174" s="121">
        <f>IF(OR(tblPiNHistorical[[#This Row],[EDU25]]="", tblPiNHistorical[[#This Row],[EDU25]]=0, tblPiNHistorical[[#This Row],[EDU26]]="", tblPiNHistorical[[#This Row],[EDU26]]=0), "", tblPiNHistorical[[#This Row],[EDU26]]-tblPiNHistorical[[#This Row],[EDU25]])</f>
        <v>1713.7173165308091</v>
      </c>
      <c r="Y174" s="121">
        <f>IF(OR(tblPiNHistorical[[#This Row],[PRO25]]="", tblPiNHistorical[[#This Row],[PRO25]]=0, tblPiNHistorical[[#This Row],[PRO26]]="", tblPiNHistorical[[#This Row],[PRO26]]=0), "", tblPiNHistorical[[#This Row],[PRO26]]-tblPiNHistorical[[#This Row],[PRO25]])</f>
        <v>-2098.7406095726228</v>
      </c>
      <c r="Z174" s="223" t="str">
        <f>IF(OR(tblPiNHistorical[[#This Row],[ASH25]]="", tblPiNHistorical[[#This Row],[ASH25]]=0, tblPiNHistorical[[#This Row],[ASH26]]="", tblPiNHistorical[[#This Row],[ASH26]]=0), "", tblPiNHistorical[[#This Row],[ASH26]]-tblPiNHistorical[[#This Row],[ASH25]])</f>
        <v/>
      </c>
      <c r="AA17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1.6</v>
      </c>
      <c r="AB17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17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0.9</v>
      </c>
      <c r="AD17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1.2</v>
      </c>
      <c r="AE17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17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4026</v>
      </c>
    </row>
    <row r="175" spans="1:32">
      <c r="A17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VenezolanosVE1419</v>
      </c>
      <c r="B175" s="105" t="s">
        <v>411</v>
      </c>
      <c r="C175" s="104" t="s">
        <v>412</v>
      </c>
      <c r="D175" s="119" t="s">
        <v>447</v>
      </c>
      <c r="E175" s="104" t="s">
        <v>448</v>
      </c>
      <c r="F175" s="119"/>
      <c r="G175" s="102">
        <v>18037</v>
      </c>
      <c r="H175" s="102" t="s">
        <v>102</v>
      </c>
      <c r="I175" s="206">
        <v>3454</v>
      </c>
      <c r="J175" s="120">
        <v>664</v>
      </c>
      <c r="K175" s="207">
        <v>4696.3614451937183</v>
      </c>
      <c r="L175" s="207">
        <v>1062.1265618637128</v>
      </c>
      <c r="M175" s="207">
        <v>6412.6472856652545</v>
      </c>
      <c r="N175" s="298">
        <v>0</v>
      </c>
      <c r="O175" s="114">
        <f>tblPiNAnalysis[[#This Row],[SAMV]]</f>
        <v>3365</v>
      </c>
      <c r="P175" s="115">
        <f>tblPiNAnalysis[[#This Row],[NUT]]</f>
        <v>903.27898301169591</v>
      </c>
      <c r="Q175" s="115">
        <f>tblPiNAnalysis[[#This Row],[SAL]]</f>
        <v>10000</v>
      </c>
      <c r="R175" s="115">
        <f>tblPiNAnalysis[[#This Row],[EDU]]</f>
        <v>246.88168184300008</v>
      </c>
      <c r="S175" s="115">
        <f>tblPiNAnalysis[[#This Row],[PRO]]</f>
        <v>2419.4013717027783</v>
      </c>
      <c r="T175" s="116">
        <f>tblPiNAnalysis[[#This Row],[ASH]]</f>
        <v>0</v>
      </c>
      <c r="U175" s="300">
        <f>IF(OR(tblPiNHistorical[[#This Row],[SAMV25]]="", tblPiNHistorical[[#This Row],[SAMV25]]=0, tblPiNHistorical[[#This Row],[SAMV26]]="", tblPiNHistorical[[#This Row],[SAMV26]]=0), "", tblPiNHistorical[[#This Row],[SAMV26]]-tblPiNHistorical[[#This Row],[SAMV25]])</f>
        <v>-89</v>
      </c>
      <c r="V175" s="121">
        <f>IF(OR(tblPiNHistorical[[#This Row],[NUT25]]="", tblPiNHistorical[[#This Row],[NUT25]]=0, tblPiNHistorical[[#This Row],[NUT26]]="", tblPiNHistorical[[#This Row],[NUT26]]=0), "", tblPiNHistorical[[#This Row],[NUT26]]-tblPiNHistorical[[#This Row],[NUT25]])</f>
        <v>239.27898301169591</v>
      </c>
      <c r="W175" s="121">
        <f>IF(OR(tblPiNHistorical[[#This Row],[SAL25]]="", tblPiNHistorical[[#This Row],[SAL25]]=0, tblPiNHistorical[[#This Row],[SAL26]]="", tblPiNHistorical[[#This Row],[SAL26]]=0), "", tblPiNHistorical[[#This Row],[SAL26]]-tblPiNHistorical[[#This Row],[SAL25]])</f>
        <v>5303.6385548062817</v>
      </c>
      <c r="X175" s="121">
        <f>IF(OR(tblPiNHistorical[[#This Row],[EDU25]]="", tblPiNHistorical[[#This Row],[EDU25]]=0, tblPiNHistorical[[#This Row],[EDU26]]="", tblPiNHistorical[[#This Row],[EDU26]]=0), "", tblPiNHistorical[[#This Row],[EDU26]]-tblPiNHistorical[[#This Row],[EDU25]])</f>
        <v>-815.2448800207128</v>
      </c>
      <c r="Y175" s="121">
        <f>IF(OR(tblPiNHistorical[[#This Row],[PRO25]]="", tblPiNHistorical[[#This Row],[PRO25]]=0, tblPiNHistorical[[#This Row],[PRO26]]="", tblPiNHistorical[[#This Row],[PRO26]]=0), "", tblPiNHistorical[[#This Row],[PRO26]]-tblPiNHistorical[[#This Row],[PRO25]])</f>
        <v>-3993.2459139624762</v>
      </c>
      <c r="Z175" s="223" t="str">
        <f>IF(OR(tblPiNHistorical[[#This Row],[ASH25]]="", tblPiNHistorical[[#This Row],[ASH25]]=0, tblPiNHistorical[[#This Row],[ASH26]]="", tblPiNHistorical[[#This Row],[ASH26]]=0), "", tblPiNHistorical[[#This Row],[ASH26]]-tblPiNHistorical[[#This Row],[ASH25]])</f>
        <v/>
      </c>
      <c r="AA17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v>
      </c>
      <c r="AB17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0.4</v>
      </c>
      <c r="AC17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1.1000000000000001</v>
      </c>
      <c r="AD17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17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17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76" spans="1:32">
      <c r="A17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VenezolanosVE1420</v>
      </c>
      <c r="B176" s="105" t="s">
        <v>411</v>
      </c>
      <c r="C176" s="104" t="s">
        <v>412</v>
      </c>
      <c r="D176" s="119" t="s">
        <v>203</v>
      </c>
      <c r="E176" s="104" t="s">
        <v>449</v>
      </c>
      <c r="F176" s="119"/>
      <c r="G176" s="102">
        <v>55840</v>
      </c>
      <c r="H176" s="102" t="s">
        <v>102</v>
      </c>
      <c r="I176" s="206">
        <v>10693</v>
      </c>
      <c r="J176" s="120">
        <v>2254</v>
      </c>
      <c r="K176" s="207">
        <v>14538.904609023761</v>
      </c>
      <c r="L176" s="207">
        <v>4801.1415429100261</v>
      </c>
      <c r="M176" s="207">
        <v>9691.7824230444639</v>
      </c>
      <c r="N176" s="298">
        <v>0</v>
      </c>
      <c r="O176" s="114">
        <f>tblPiNAnalysis[[#This Row],[SAMV]]</f>
        <v>8312</v>
      </c>
      <c r="P176" s="115">
        <f>tblPiNAnalysis[[#This Row],[NUT]]</f>
        <v>1375.8079489869829</v>
      </c>
      <c r="Q176" s="115">
        <f>tblPiNAnalysis[[#This Row],[SAL]]</f>
        <v>9900</v>
      </c>
      <c r="R176" s="115">
        <f>tblPiNAnalysis[[#This Row],[EDU]]</f>
        <v>1825.0416204597836</v>
      </c>
      <c r="S176" s="115">
        <f>tblPiNAnalysis[[#This Row],[PRO]]</f>
        <v>4622.189804478041</v>
      </c>
      <c r="T176" s="116">
        <f>tblPiNAnalysis[[#This Row],[ASH]]</f>
        <v>0</v>
      </c>
      <c r="U176" s="300">
        <f>IF(OR(tblPiNHistorical[[#This Row],[SAMV25]]="", tblPiNHistorical[[#This Row],[SAMV25]]=0, tblPiNHistorical[[#This Row],[SAMV26]]="", tblPiNHistorical[[#This Row],[SAMV26]]=0), "", tblPiNHistorical[[#This Row],[SAMV26]]-tblPiNHistorical[[#This Row],[SAMV25]])</f>
        <v>-2381</v>
      </c>
      <c r="V176" s="121">
        <f>IF(OR(tblPiNHistorical[[#This Row],[NUT25]]="", tblPiNHistorical[[#This Row],[NUT25]]=0, tblPiNHistorical[[#This Row],[NUT26]]="", tblPiNHistorical[[#This Row],[NUT26]]=0), "", tblPiNHistorical[[#This Row],[NUT26]]-tblPiNHistorical[[#This Row],[NUT25]])</f>
        <v>-878.19205101301714</v>
      </c>
      <c r="W176" s="121">
        <f>IF(OR(tblPiNHistorical[[#This Row],[SAL25]]="", tblPiNHistorical[[#This Row],[SAL25]]=0, tblPiNHistorical[[#This Row],[SAL26]]="", tblPiNHistorical[[#This Row],[SAL26]]=0), "", tblPiNHistorical[[#This Row],[SAL26]]-tblPiNHistorical[[#This Row],[SAL25]])</f>
        <v>-4638.9046090237607</v>
      </c>
      <c r="X176" s="121">
        <f>IF(OR(tblPiNHistorical[[#This Row],[EDU25]]="", tblPiNHistorical[[#This Row],[EDU25]]=0, tblPiNHistorical[[#This Row],[EDU26]]="", tblPiNHistorical[[#This Row],[EDU26]]=0), "", tblPiNHistorical[[#This Row],[EDU26]]-tblPiNHistorical[[#This Row],[EDU25]])</f>
        <v>-2976.0999224502425</v>
      </c>
      <c r="Y176" s="121">
        <f>IF(OR(tblPiNHistorical[[#This Row],[PRO25]]="", tblPiNHistorical[[#This Row],[PRO25]]=0, tblPiNHistorical[[#This Row],[PRO26]]="", tblPiNHistorical[[#This Row],[PRO26]]=0), "", tblPiNHistorical[[#This Row],[PRO26]]-tblPiNHistorical[[#This Row],[PRO25]])</f>
        <v>-5069.592618566423</v>
      </c>
      <c r="Z176" s="223" t="str">
        <f>IF(OR(tblPiNHistorical[[#This Row],[ASH25]]="", tblPiNHistorical[[#This Row],[ASH25]]=0, tblPiNHistorical[[#This Row],[ASH26]]="", tblPiNHistorical[[#This Row],[ASH26]]=0), "", tblPiNHistorical[[#This Row],[ASH26]]-tblPiNHistorical[[#This Row],[ASH25]])</f>
        <v/>
      </c>
      <c r="AA17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17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-0.4</v>
      </c>
      <c r="AC17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17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17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17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77" spans="1:32">
      <c r="A17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VenezolanosVE1421</v>
      </c>
      <c r="B177" s="105" t="s">
        <v>411</v>
      </c>
      <c r="C177" s="104" t="s">
        <v>412</v>
      </c>
      <c r="D177" s="119" t="s">
        <v>205</v>
      </c>
      <c r="E177" s="104" t="s">
        <v>450</v>
      </c>
      <c r="F177" s="119"/>
      <c r="G177" s="102">
        <v>38455</v>
      </c>
      <c r="H177" s="102" t="s">
        <v>102</v>
      </c>
      <c r="I177" s="206">
        <v>7364</v>
      </c>
      <c r="J177" s="120">
        <v>1406</v>
      </c>
      <c r="K177" s="207">
        <v>10011.968861536398</v>
      </c>
      <c r="L177" s="207">
        <v>1910.4114539614302</v>
      </c>
      <c r="M177" s="207">
        <v>9691.7824230444639</v>
      </c>
      <c r="N177" s="298">
        <v>0</v>
      </c>
      <c r="O177" s="114">
        <f>tblPiNAnalysis[[#This Row],[SAMV]]</f>
        <v>450</v>
      </c>
      <c r="P177" s="115">
        <f>tblPiNAnalysis[[#This Row],[NUT]]</f>
        <v>1000.7781082326004</v>
      </c>
      <c r="Q177" s="115">
        <f>tblPiNAnalysis[[#This Row],[SAL]]</f>
        <v>9863.3950000000004</v>
      </c>
      <c r="R177" s="115">
        <f>tblPiNAnalysis[[#This Row],[EDU]]</f>
        <v>1166.3467736388704</v>
      </c>
      <c r="S177" s="115">
        <f>tblPiNAnalysis[[#This Row],[PRO]]</f>
        <v>1085.1151968958382</v>
      </c>
      <c r="T177" s="116">
        <f>tblPiNAnalysis[[#This Row],[ASH]]</f>
        <v>3648.105</v>
      </c>
      <c r="U177" s="300">
        <f>IF(OR(tblPiNHistorical[[#This Row],[SAMV25]]="", tblPiNHistorical[[#This Row],[SAMV25]]=0, tblPiNHistorical[[#This Row],[SAMV26]]="", tblPiNHistorical[[#This Row],[SAMV26]]=0), "", tblPiNHistorical[[#This Row],[SAMV26]]-tblPiNHistorical[[#This Row],[SAMV25]])</f>
        <v>-6914</v>
      </c>
      <c r="V177" s="121">
        <f>IF(OR(tblPiNHistorical[[#This Row],[NUT25]]="", tblPiNHistorical[[#This Row],[NUT25]]=0, tblPiNHistorical[[#This Row],[NUT26]]="", tblPiNHistorical[[#This Row],[NUT26]]=0), "", tblPiNHistorical[[#This Row],[NUT26]]-tblPiNHistorical[[#This Row],[NUT25]])</f>
        <v>-405.2218917673996</v>
      </c>
      <c r="W177" s="121">
        <f>IF(OR(tblPiNHistorical[[#This Row],[SAL25]]="", tblPiNHistorical[[#This Row],[SAL25]]=0, tblPiNHistorical[[#This Row],[SAL26]]="", tblPiNHistorical[[#This Row],[SAL26]]=0), "", tblPiNHistorical[[#This Row],[SAL26]]-tblPiNHistorical[[#This Row],[SAL25]])</f>
        <v>-148.57386153639709</v>
      </c>
      <c r="X177" s="121">
        <f>IF(OR(tblPiNHistorical[[#This Row],[EDU25]]="", tblPiNHistorical[[#This Row],[EDU25]]=0, tblPiNHistorical[[#This Row],[EDU26]]="", tblPiNHistorical[[#This Row],[EDU26]]=0), "", tblPiNHistorical[[#This Row],[EDU26]]-tblPiNHistorical[[#This Row],[EDU25]])</f>
        <v>-744.06468032255975</v>
      </c>
      <c r="Y177" s="121">
        <f>IF(OR(tblPiNHistorical[[#This Row],[PRO25]]="", tblPiNHistorical[[#This Row],[PRO25]]=0, tblPiNHistorical[[#This Row],[PRO26]]="", tblPiNHistorical[[#This Row],[PRO26]]=0), "", tblPiNHistorical[[#This Row],[PRO26]]-tblPiNHistorical[[#This Row],[PRO25]])</f>
        <v>-8606.6672261486256</v>
      </c>
      <c r="Z177" s="223" t="str">
        <f>IF(OR(tblPiNHistorical[[#This Row],[ASH25]]="", tblPiNHistorical[[#This Row],[ASH25]]=0, tblPiNHistorical[[#This Row],[ASH26]]="", tblPiNHistorical[[#This Row],[ASH26]]=0), "", tblPiNHistorical[[#This Row],[ASH26]]-tblPiNHistorical[[#This Row],[ASH25]])</f>
        <v/>
      </c>
      <c r="AA17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17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-0.3</v>
      </c>
      <c r="AC17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v>
      </c>
      <c r="AD17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17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7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3648.105</v>
      </c>
    </row>
    <row r="178" spans="1:32">
      <c r="A17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VenezolanosVE1422</v>
      </c>
      <c r="B178" s="105" t="s">
        <v>411</v>
      </c>
      <c r="C178" s="104" t="s">
        <v>412</v>
      </c>
      <c r="D178" s="119" t="s">
        <v>451</v>
      </c>
      <c r="E178" s="104" t="s">
        <v>452</v>
      </c>
      <c r="F178" s="119"/>
      <c r="G178" s="102">
        <v>34030</v>
      </c>
      <c r="H178" s="102" t="s">
        <v>102</v>
      </c>
      <c r="I178" s="206">
        <v>6516</v>
      </c>
      <c r="J178" s="120">
        <v>1552</v>
      </c>
      <c r="K178" s="207">
        <v>8859.675958422411</v>
      </c>
      <c r="L178" s="207">
        <v>3322.8968447035199</v>
      </c>
      <c r="M178" s="207">
        <v>9691.7824230444639</v>
      </c>
      <c r="N178" s="298">
        <v>0</v>
      </c>
      <c r="O178" s="114">
        <f>tblPiNAnalysis[[#This Row],[SAMV]]</f>
        <v>2477</v>
      </c>
      <c r="P178" s="115">
        <f>tblPiNAnalysis[[#This Row],[NUT]]</f>
        <v>651.86717274777004</v>
      </c>
      <c r="Q178" s="115">
        <f>tblPiNAnalysis[[#This Row],[SAL]]</f>
        <v>9800</v>
      </c>
      <c r="R178" s="115">
        <f>tblPiNAnalysis[[#This Row],[EDU]]</f>
        <v>234.60195846867936</v>
      </c>
      <c r="S178" s="115">
        <f>tblPiNAnalysis[[#This Row],[PRO]]</f>
        <v>2370.0830649586369</v>
      </c>
      <c r="T178" s="116">
        <f>tblPiNAnalysis[[#This Row],[ASH]]</f>
        <v>0</v>
      </c>
      <c r="U178" s="300">
        <f>IF(OR(tblPiNHistorical[[#This Row],[SAMV25]]="", tblPiNHistorical[[#This Row],[SAMV25]]=0, tblPiNHistorical[[#This Row],[SAMV26]]="", tblPiNHistorical[[#This Row],[SAMV26]]=0), "", tblPiNHistorical[[#This Row],[SAMV26]]-tblPiNHistorical[[#This Row],[SAMV25]])</f>
        <v>-4039</v>
      </c>
      <c r="V178" s="121">
        <f>IF(OR(tblPiNHistorical[[#This Row],[NUT25]]="", tblPiNHistorical[[#This Row],[NUT25]]=0, tblPiNHistorical[[#This Row],[NUT26]]="", tblPiNHistorical[[#This Row],[NUT26]]=0), "", tblPiNHistorical[[#This Row],[NUT26]]-tblPiNHistorical[[#This Row],[NUT25]])</f>
        <v>-900.13282725222996</v>
      </c>
      <c r="W178" s="121">
        <f>IF(OR(tblPiNHistorical[[#This Row],[SAL25]]="", tblPiNHistorical[[#This Row],[SAL25]]=0, tblPiNHistorical[[#This Row],[SAL26]]="", tblPiNHistorical[[#This Row],[SAL26]]=0), "", tblPiNHistorical[[#This Row],[SAL26]]-tblPiNHistorical[[#This Row],[SAL25]])</f>
        <v>940.32404157758901</v>
      </c>
      <c r="X178" s="121">
        <f>IF(OR(tblPiNHistorical[[#This Row],[EDU25]]="", tblPiNHistorical[[#This Row],[EDU25]]=0, tblPiNHistorical[[#This Row],[EDU26]]="", tblPiNHistorical[[#This Row],[EDU26]]=0), "", tblPiNHistorical[[#This Row],[EDU26]]-tblPiNHistorical[[#This Row],[EDU25]])</f>
        <v>-3088.2948862348408</v>
      </c>
      <c r="Y178" s="121">
        <f>IF(OR(tblPiNHistorical[[#This Row],[PRO25]]="", tblPiNHistorical[[#This Row],[PRO25]]=0, tblPiNHistorical[[#This Row],[PRO26]]="", tblPiNHistorical[[#This Row],[PRO26]]=0), "", tblPiNHistorical[[#This Row],[PRO26]]-tblPiNHistorical[[#This Row],[PRO25]])</f>
        <v>-7321.699358085827</v>
      </c>
      <c r="Z178" s="223" t="str">
        <f>IF(OR(tblPiNHistorical[[#This Row],[ASH25]]="", tblPiNHistorical[[#This Row],[ASH25]]=0, tblPiNHistorical[[#This Row],[ASH26]]="", tblPiNHistorical[[#This Row],[ASH26]]=0), "", tblPiNHistorical[[#This Row],[ASH26]]-tblPiNHistorical[[#This Row],[ASH25]])</f>
        <v/>
      </c>
      <c r="AA17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17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17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17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7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17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79" spans="1:32">
      <c r="A17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VenezolanosVE1423</v>
      </c>
      <c r="B179" s="105" t="s">
        <v>411</v>
      </c>
      <c r="C179" s="104" t="s">
        <v>412</v>
      </c>
      <c r="D179" s="119" t="s">
        <v>453</v>
      </c>
      <c r="E179" s="104" t="s">
        <v>454</v>
      </c>
      <c r="F179" s="119"/>
      <c r="G179" s="102">
        <v>11162</v>
      </c>
      <c r="H179" s="102" t="s">
        <v>102</v>
      </c>
      <c r="I179" s="206">
        <v>2137</v>
      </c>
      <c r="J179" s="120">
        <v>402</v>
      </c>
      <c r="K179" s="207">
        <v>2905.9974934078432</v>
      </c>
      <c r="L179" s="207">
        <v>823.5969617452638</v>
      </c>
      <c r="M179" s="207">
        <v>3968.3965738534998</v>
      </c>
      <c r="N179" s="298">
        <v>2232</v>
      </c>
      <c r="O179" s="114">
        <f>tblPiNAnalysis[[#This Row],[SAMV]]</f>
        <v>4276</v>
      </c>
      <c r="P179" s="115">
        <f>tblPiNAnalysis[[#This Row],[NUT]]</f>
        <v>3126.436574519882</v>
      </c>
      <c r="Q179" s="115">
        <f>tblPiNAnalysis[[#This Row],[SAL]]</f>
        <v>7804.0649999999996</v>
      </c>
      <c r="R179" s="115">
        <f>tblPiNAnalysis[[#This Row],[EDU]]</f>
        <v>340.2867341397673</v>
      </c>
      <c r="S179" s="115">
        <f>tblPiNAnalysis[[#This Row],[PRO]]</f>
        <v>5118.2956672700366</v>
      </c>
      <c r="T179" s="116">
        <f>tblPiNAnalysis[[#This Row],[ASH]]</f>
        <v>9621.4500000000007</v>
      </c>
      <c r="U179" s="300">
        <f>IF(OR(tblPiNHistorical[[#This Row],[SAMV25]]="", tblPiNHistorical[[#This Row],[SAMV25]]=0, tblPiNHistorical[[#This Row],[SAMV26]]="", tblPiNHistorical[[#This Row],[SAMV26]]=0), "", tblPiNHistorical[[#This Row],[SAMV26]]-tblPiNHistorical[[#This Row],[SAMV25]])</f>
        <v>2139</v>
      </c>
      <c r="V179" s="121">
        <f>IF(OR(tblPiNHistorical[[#This Row],[NUT25]]="", tblPiNHistorical[[#This Row],[NUT25]]=0, tblPiNHistorical[[#This Row],[NUT26]]="", tblPiNHistorical[[#This Row],[NUT26]]=0), "", tblPiNHistorical[[#This Row],[NUT26]]-tblPiNHistorical[[#This Row],[NUT25]])</f>
        <v>2724.436574519882</v>
      </c>
      <c r="W179" s="121">
        <f>IF(OR(tblPiNHistorical[[#This Row],[SAL25]]="", tblPiNHistorical[[#This Row],[SAL25]]=0, tblPiNHistorical[[#This Row],[SAL26]]="", tblPiNHistorical[[#This Row],[SAL26]]=0), "", tblPiNHistorical[[#This Row],[SAL26]]-tblPiNHistorical[[#This Row],[SAL25]])</f>
        <v>4898.0675065921569</v>
      </c>
      <c r="X179" s="121">
        <f>IF(OR(tblPiNHistorical[[#This Row],[EDU25]]="", tblPiNHistorical[[#This Row],[EDU25]]=0, tblPiNHistorical[[#This Row],[EDU26]]="", tblPiNHistorical[[#This Row],[EDU26]]=0), "", tblPiNHistorical[[#This Row],[EDU26]]-tblPiNHistorical[[#This Row],[EDU25]])</f>
        <v>-483.31022760549649</v>
      </c>
      <c r="Y179" s="121">
        <f>IF(OR(tblPiNHistorical[[#This Row],[PRO25]]="", tblPiNHistorical[[#This Row],[PRO25]]=0, tblPiNHistorical[[#This Row],[PRO26]]="", tblPiNHistorical[[#This Row],[PRO26]]=0), "", tblPiNHistorical[[#This Row],[PRO26]]-tblPiNHistorical[[#This Row],[PRO25]])</f>
        <v>1149.8990934165367</v>
      </c>
      <c r="Z179" s="223">
        <f>IF(OR(tblPiNHistorical[[#This Row],[ASH25]]="", tblPiNHistorical[[#This Row],[ASH25]]=0, tblPiNHistorical[[#This Row],[ASH26]]="", tblPiNHistorical[[#This Row],[ASH26]]=0), "", tblPiNHistorical[[#This Row],[ASH26]]-tblPiNHistorical[[#This Row],[ASH25]])</f>
        <v>7389.4500000000007</v>
      </c>
      <c r="AA17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17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6.8</v>
      </c>
      <c r="AC17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1.7</v>
      </c>
      <c r="AD17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17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179"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3.3</v>
      </c>
    </row>
    <row r="180" spans="1:32">
      <c r="A18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VenezolanosVE1501</v>
      </c>
      <c r="B180" s="105" t="s">
        <v>276</v>
      </c>
      <c r="C180" s="104" t="s">
        <v>455</v>
      </c>
      <c r="D180" s="119" t="s">
        <v>456</v>
      </c>
      <c r="E180" s="104" t="s">
        <v>457</v>
      </c>
      <c r="F180" s="119"/>
      <c r="G180" s="102">
        <v>87371</v>
      </c>
      <c r="H180" s="102" t="s">
        <v>102</v>
      </c>
      <c r="I180" s="206">
        <v>13310</v>
      </c>
      <c r="J180" s="120">
        <v>3786</v>
      </c>
      <c r="K180" s="207">
        <v>22747.629202574382</v>
      </c>
      <c r="L180" s="207">
        <v>12944.272027292915</v>
      </c>
      <c r="M180" s="207">
        <v>56042.476168044435</v>
      </c>
      <c r="N180" s="298">
        <v>17474</v>
      </c>
      <c r="O180" s="114">
        <f>tblPiNAnalysis[[#This Row],[SAMV]]</f>
        <v>2669</v>
      </c>
      <c r="P180" s="115">
        <f>tblPiNAnalysis[[#This Row],[NUT]]</f>
        <v>623.97613362068967</v>
      </c>
      <c r="Q180" s="115">
        <f>tblPiNAnalysis[[#This Row],[SAL]]</f>
        <v>8400</v>
      </c>
      <c r="R180" s="115">
        <f>tblPiNAnalysis[[#This Row],[EDU]]</f>
        <v>526.55138078333516</v>
      </c>
      <c r="S180" s="115">
        <f>tblPiNAnalysis[[#This Row],[PRO]]</f>
        <v>3832.3171540256176</v>
      </c>
      <c r="T180" s="116">
        <f>tblPiNAnalysis[[#This Row],[ASH]]</f>
        <v>9607.7999999999993</v>
      </c>
      <c r="U180" s="300">
        <f>IF(OR(tblPiNHistorical[[#This Row],[SAMV25]]="", tblPiNHistorical[[#This Row],[SAMV25]]=0, tblPiNHistorical[[#This Row],[SAMV26]]="", tblPiNHistorical[[#This Row],[SAMV26]]=0), "", tblPiNHistorical[[#This Row],[SAMV26]]-tblPiNHistorical[[#This Row],[SAMV25]])</f>
        <v>-10641</v>
      </c>
      <c r="V180" s="121">
        <f>IF(OR(tblPiNHistorical[[#This Row],[NUT25]]="", tblPiNHistorical[[#This Row],[NUT25]]=0, tblPiNHistorical[[#This Row],[NUT26]]="", tblPiNHistorical[[#This Row],[NUT26]]=0), "", tblPiNHistorical[[#This Row],[NUT26]]-tblPiNHistorical[[#This Row],[NUT25]])</f>
        <v>-3162.0238663793102</v>
      </c>
      <c r="W180" s="121">
        <f>IF(OR(tblPiNHistorical[[#This Row],[SAL25]]="", tblPiNHistorical[[#This Row],[SAL25]]=0, tblPiNHistorical[[#This Row],[SAL26]]="", tblPiNHistorical[[#This Row],[SAL26]]=0), "", tblPiNHistorical[[#This Row],[SAL26]]-tblPiNHistorical[[#This Row],[SAL25]])</f>
        <v>-14347.629202574382</v>
      </c>
      <c r="X180" s="121">
        <f>IF(OR(tblPiNHistorical[[#This Row],[EDU25]]="", tblPiNHistorical[[#This Row],[EDU25]]=0, tblPiNHistorical[[#This Row],[EDU26]]="", tblPiNHistorical[[#This Row],[EDU26]]=0), "", tblPiNHistorical[[#This Row],[EDU26]]-tblPiNHistorical[[#This Row],[EDU25]])</f>
        <v>-12417.720646509579</v>
      </c>
      <c r="Y180" s="121">
        <f>IF(OR(tblPiNHistorical[[#This Row],[PRO25]]="", tblPiNHistorical[[#This Row],[PRO25]]=0, tblPiNHistorical[[#This Row],[PRO26]]="", tblPiNHistorical[[#This Row],[PRO26]]=0), "", tblPiNHistorical[[#This Row],[PRO26]]-tblPiNHistorical[[#This Row],[PRO25]])</f>
        <v>-52210.15901401882</v>
      </c>
      <c r="Z180" s="223">
        <f>IF(OR(tblPiNHistorical[[#This Row],[ASH25]]="", tblPiNHistorical[[#This Row],[ASH25]]=0, tblPiNHistorical[[#This Row],[ASH26]]="", tblPiNHistorical[[#This Row],[ASH26]]=0), "", tblPiNHistorical[[#This Row],[ASH26]]-tblPiNHistorical[[#This Row],[ASH25]])</f>
        <v>-7866.2000000000007</v>
      </c>
      <c r="AA18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18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18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18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18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80"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-0.5</v>
      </c>
    </row>
    <row r="181" spans="1:32">
      <c r="A18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VenezolanosVE1502</v>
      </c>
      <c r="B181" s="105" t="s">
        <v>276</v>
      </c>
      <c r="C181" s="104" t="s">
        <v>455</v>
      </c>
      <c r="D181" s="119" t="s">
        <v>415</v>
      </c>
      <c r="E181" s="104" t="s">
        <v>458</v>
      </c>
      <c r="F181" s="119"/>
      <c r="G181" s="102">
        <v>20981</v>
      </c>
      <c r="H181" s="102" t="s">
        <v>102</v>
      </c>
      <c r="I181" s="206">
        <v>3196</v>
      </c>
      <c r="J181" s="120">
        <v>928</v>
      </c>
      <c r="K181" s="207">
        <v>5462.2448623107521</v>
      </c>
      <c r="L181" s="207">
        <v>1345.8232141735227</v>
      </c>
      <c r="M181" s="207">
        <v>10256.564836904485</v>
      </c>
      <c r="N181" s="298">
        <v>12589</v>
      </c>
      <c r="O181" s="114">
        <f>tblPiNAnalysis[[#This Row],[SAMV]]</f>
        <v>7822</v>
      </c>
      <c r="P181" s="115">
        <f>tblPiNAnalysis[[#This Row],[NUT]]</f>
        <v>1011.0992329205294</v>
      </c>
      <c r="Q181" s="115">
        <f>tblPiNAnalysis[[#This Row],[SAL]]</f>
        <v>9600</v>
      </c>
      <c r="R181" s="115">
        <f>tblPiNAnalysis[[#This Row],[EDU]]</f>
        <v>1116.9085374350739</v>
      </c>
      <c r="S181" s="115">
        <f>tblPiNAnalysis[[#This Row],[PRO]]</f>
        <v>3998.1787035680691</v>
      </c>
      <c r="T181" s="116">
        <f>tblPiNAnalysis[[#This Row],[ASH]]</f>
        <v>0</v>
      </c>
      <c r="U181" s="300">
        <f>IF(OR(tblPiNHistorical[[#This Row],[SAMV25]]="", tblPiNHistorical[[#This Row],[SAMV25]]=0, tblPiNHistorical[[#This Row],[SAMV26]]="", tblPiNHistorical[[#This Row],[SAMV26]]=0), "", tblPiNHistorical[[#This Row],[SAMV26]]-tblPiNHistorical[[#This Row],[SAMV25]])</f>
        <v>4626</v>
      </c>
      <c r="V181" s="121">
        <f>IF(OR(tblPiNHistorical[[#This Row],[NUT25]]="", tblPiNHistorical[[#This Row],[NUT25]]=0, tblPiNHistorical[[#This Row],[NUT26]]="", tblPiNHistorical[[#This Row],[NUT26]]=0), "", tblPiNHistorical[[#This Row],[NUT26]]-tblPiNHistorical[[#This Row],[NUT25]])</f>
        <v>83.099232920529403</v>
      </c>
      <c r="W181" s="121">
        <f>IF(OR(tblPiNHistorical[[#This Row],[SAL25]]="", tblPiNHistorical[[#This Row],[SAL25]]=0, tblPiNHistorical[[#This Row],[SAL26]]="", tblPiNHistorical[[#This Row],[SAL26]]=0), "", tblPiNHistorical[[#This Row],[SAL26]]-tblPiNHistorical[[#This Row],[SAL25]])</f>
        <v>4137.7551376892479</v>
      </c>
      <c r="X181" s="121">
        <f>IF(OR(tblPiNHistorical[[#This Row],[EDU25]]="", tblPiNHistorical[[#This Row],[EDU25]]=0, tblPiNHistorical[[#This Row],[EDU26]]="", tblPiNHistorical[[#This Row],[EDU26]]=0), "", tblPiNHistorical[[#This Row],[EDU26]]-tblPiNHistorical[[#This Row],[EDU25]])</f>
        <v>-228.91467673844886</v>
      </c>
      <c r="Y181" s="121">
        <f>IF(OR(tblPiNHistorical[[#This Row],[PRO25]]="", tblPiNHistorical[[#This Row],[PRO25]]=0, tblPiNHistorical[[#This Row],[PRO26]]="", tblPiNHistorical[[#This Row],[PRO26]]=0), "", tblPiNHistorical[[#This Row],[PRO26]]-tblPiNHistorical[[#This Row],[PRO25]])</f>
        <v>-6258.3861333364157</v>
      </c>
      <c r="Z181" s="223" t="str">
        <f>IF(OR(tblPiNHistorical[[#This Row],[ASH25]]="", tblPiNHistorical[[#This Row],[ASH25]]=0, tblPiNHistorical[[#This Row],[ASH26]]="", tblPiNHistorical[[#This Row],[ASH26]]=0), "", tblPiNHistorical[[#This Row],[ASH26]]-tblPiNHistorical[[#This Row],[ASH25]])</f>
        <v/>
      </c>
      <c r="AA18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1.4</v>
      </c>
      <c r="AB18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18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18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-0.2</v>
      </c>
      <c r="AE18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18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12589</v>
      </c>
    </row>
    <row r="182" spans="1:32">
      <c r="A18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VenezolanosVE1503</v>
      </c>
      <c r="B182" s="105" t="s">
        <v>276</v>
      </c>
      <c r="C182" s="104" t="s">
        <v>455</v>
      </c>
      <c r="D182" s="119" t="s">
        <v>459</v>
      </c>
      <c r="E182" s="104" t="s">
        <v>460</v>
      </c>
      <c r="F182" s="119"/>
      <c r="G182" s="102">
        <v>240755</v>
      </c>
      <c r="H182" s="102" t="s">
        <v>102</v>
      </c>
      <c r="I182" s="206">
        <v>36676</v>
      </c>
      <c r="J182" s="120">
        <v>8985</v>
      </c>
      <c r="K182" s="207">
        <v>62682.554183582404</v>
      </c>
      <c r="L182" s="207">
        <v>17695.831280809532</v>
      </c>
      <c r="M182" s="207">
        <v>24907.767185797529</v>
      </c>
      <c r="N182" s="298">
        <v>0</v>
      </c>
      <c r="O182" s="114">
        <f>tblPiNAnalysis[[#This Row],[SAMV]]</f>
        <v>3995</v>
      </c>
      <c r="P182" s="115">
        <f>tblPiNAnalysis[[#This Row],[NUT]]</f>
        <v>1256.7226782629036</v>
      </c>
      <c r="Q182" s="115">
        <f>tblPiNAnalysis[[#This Row],[SAL]]</f>
        <v>9573.2199999999993</v>
      </c>
      <c r="R182" s="115">
        <f>tblPiNAnalysis[[#This Row],[EDU]]</f>
        <v>1499.9332107983814</v>
      </c>
      <c r="S182" s="115">
        <f>tblPiNAnalysis[[#This Row],[PRO]]</f>
        <v>5232.1632431114303</v>
      </c>
      <c r="T182" s="116">
        <f>tblPiNAnalysis[[#This Row],[ASH]]</f>
        <v>3540.78</v>
      </c>
      <c r="U182" s="300">
        <f>IF(OR(tblPiNHistorical[[#This Row],[SAMV25]]="", tblPiNHistorical[[#This Row],[SAMV25]]=0, tblPiNHistorical[[#This Row],[SAMV26]]="", tblPiNHistorical[[#This Row],[SAMV26]]=0), "", tblPiNHistorical[[#This Row],[SAMV26]]-tblPiNHistorical[[#This Row],[SAMV25]])</f>
        <v>-32681</v>
      </c>
      <c r="V182" s="121">
        <f>IF(OR(tblPiNHistorical[[#This Row],[NUT25]]="", tblPiNHistorical[[#This Row],[NUT25]]=0, tblPiNHistorical[[#This Row],[NUT26]]="", tblPiNHistorical[[#This Row],[NUT26]]=0), "", tblPiNHistorical[[#This Row],[NUT26]]-tblPiNHistorical[[#This Row],[NUT25]])</f>
        <v>-7728.2773217370959</v>
      </c>
      <c r="W182" s="121">
        <f>IF(OR(tblPiNHistorical[[#This Row],[SAL25]]="", tblPiNHistorical[[#This Row],[SAL25]]=0, tblPiNHistorical[[#This Row],[SAL26]]="", tblPiNHistorical[[#This Row],[SAL26]]=0), "", tblPiNHistorical[[#This Row],[SAL26]]-tblPiNHistorical[[#This Row],[SAL25]])</f>
        <v>-53109.334183582403</v>
      </c>
      <c r="X182" s="121">
        <f>IF(OR(tblPiNHistorical[[#This Row],[EDU25]]="", tblPiNHistorical[[#This Row],[EDU25]]=0, tblPiNHistorical[[#This Row],[EDU26]]="", tblPiNHistorical[[#This Row],[EDU26]]=0), "", tblPiNHistorical[[#This Row],[EDU26]]-tblPiNHistorical[[#This Row],[EDU25]])</f>
        <v>-16195.898070011152</v>
      </c>
      <c r="Y182" s="121">
        <f>IF(OR(tblPiNHistorical[[#This Row],[PRO25]]="", tblPiNHistorical[[#This Row],[PRO25]]=0, tblPiNHistorical[[#This Row],[PRO26]]="", tblPiNHistorical[[#This Row],[PRO26]]=0), "", tblPiNHistorical[[#This Row],[PRO26]]-tblPiNHistorical[[#This Row],[PRO25]])</f>
        <v>-19675.603942686099</v>
      </c>
      <c r="Z182" s="223" t="str">
        <f>IF(OR(tblPiNHistorical[[#This Row],[ASH25]]="", tblPiNHistorical[[#This Row],[ASH25]]=0, tblPiNHistorical[[#This Row],[ASH26]]="", tblPiNHistorical[[#This Row],[ASH26]]=0), "", tblPiNHistorical[[#This Row],[ASH26]]-tblPiNHistorical[[#This Row],[ASH25]])</f>
        <v/>
      </c>
      <c r="AA18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18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18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18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8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18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3540.78</v>
      </c>
    </row>
    <row r="183" spans="1:32">
      <c r="A18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VenezolanosVE1504</v>
      </c>
      <c r="B183" s="105" t="s">
        <v>276</v>
      </c>
      <c r="C183" s="104" t="s">
        <v>455</v>
      </c>
      <c r="D183" s="119" t="s">
        <v>461</v>
      </c>
      <c r="E183" s="104" t="s">
        <v>462</v>
      </c>
      <c r="F183" s="119"/>
      <c r="G183" s="102">
        <v>58940</v>
      </c>
      <c r="H183" s="102" t="s">
        <v>102</v>
      </c>
      <c r="I183" s="206">
        <v>8979</v>
      </c>
      <c r="J183" s="120">
        <v>2569</v>
      </c>
      <c r="K183" s="207">
        <v>15345.410561848164</v>
      </c>
      <c r="L183" s="207">
        <v>6923.6109119335633</v>
      </c>
      <c r="M183" s="207">
        <v>28812.82739083697</v>
      </c>
      <c r="N183" s="298">
        <v>0</v>
      </c>
      <c r="O183" s="114">
        <f>tblPiNAnalysis[[#This Row],[SAMV]]</f>
        <v>9445</v>
      </c>
      <c r="P183" s="115">
        <f>tblPiNAnalysis[[#This Row],[NUT]]</f>
        <v>1096.4043039980627</v>
      </c>
      <c r="Q183" s="115">
        <f>tblPiNAnalysis[[#This Row],[SAL]]</f>
        <v>8864.7549999999992</v>
      </c>
      <c r="R183" s="115">
        <f>tblPiNAnalysis[[#This Row],[EDU]]</f>
        <v>4128.5936195182403</v>
      </c>
      <c r="S183" s="115">
        <f>tblPiNAnalysis[[#This Row],[PRO]]</f>
        <v>3840.3959148130007</v>
      </c>
      <c r="T183" s="116">
        <f>tblPiNAnalysis[[#This Row],[ASH]]</f>
        <v>0</v>
      </c>
      <c r="U183" s="300">
        <f>IF(OR(tblPiNHistorical[[#This Row],[SAMV25]]="", tblPiNHistorical[[#This Row],[SAMV25]]=0, tblPiNHistorical[[#This Row],[SAMV26]]="", tblPiNHistorical[[#This Row],[SAMV26]]=0), "", tblPiNHistorical[[#This Row],[SAMV26]]-tblPiNHistorical[[#This Row],[SAMV25]])</f>
        <v>466</v>
      </c>
      <c r="V183" s="121">
        <f>IF(OR(tblPiNHistorical[[#This Row],[NUT25]]="", tblPiNHistorical[[#This Row],[NUT25]]=0, tblPiNHistorical[[#This Row],[NUT26]]="", tblPiNHistorical[[#This Row],[NUT26]]=0), "", tblPiNHistorical[[#This Row],[NUT26]]-tblPiNHistorical[[#This Row],[NUT25]])</f>
        <v>-1472.5956960019373</v>
      </c>
      <c r="W183" s="121">
        <f>IF(OR(tblPiNHistorical[[#This Row],[SAL25]]="", tblPiNHistorical[[#This Row],[SAL25]]=0, tblPiNHistorical[[#This Row],[SAL26]]="", tblPiNHistorical[[#This Row],[SAL26]]=0), "", tblPiNHistorical[[#This Row],[SAL26]]-tblPiNHistorical[[#This Row],[SAL25]])</f>
        <v>-6480.6555618481652</v>
      </c>
      <c r="X183" s="121">
        <f>IF(OR(tblPiNHistorical[[#This Row],[EDU25]]="", tblPiNHistorical[[#This Row],[EDU25]]=0, tblPiNHistorical[[#This Row],[EDU26]]="", tblPiNHistorical[[#This Row],[EDU26]]=0), "", tblPiNHistorical[[#This Row],[EDU26]]-tblPiNHistorical[[#This Row],[EDU25]])</f>
        <v>-2795.017292415323</v>
      </c>
      <c r="Y183" s="121">
        <f>IF(OR(tblPiNHistorical[[#This Row],[PRO25]]="", tblPiNHistorical[[#This Row],[PRO25]]=0, tblPiNHistorical[[#This Row],[PRO26]]="", tblPiNHistorical[[#This Row],[PRO26]]=0), "", tblPiNHistorical[[#This Row],[PRO26]]-tblPiNHistorical[[#This Row],[PRO25]])</f>
        <v>-24972.431476023969</v>
      </c>
      <c r="Z183" s="223" t="str">
        <f>IF(OR(tblPiNHistorical[[#This Row],[ASH25]]="", tblPiNHistorical[[#This Row],[ASH25]]=0, tblPiNHistorical[[#This Row],[ASH26]]="", tblPiNHistorical[[#This Row],[ASH26]]=0), "", tblPiNHistorical[[#This Row],[ASH26]]-tblPiNHistorical[[#This Row],[ASH25]])</f>
        <v/>
      </c>
      <c r="AA18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18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18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18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18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8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84" spans="1:32">
      <c r="A18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VenezolanosVE1505</v>
      </c>
      <c r="B184" s="105" t="s">
        <v>276</v>
      </c>
      <c r="C184" s="104" t="s">
        <v>455</v>
      </c>
      <c r="D184" s="119" t="s">
        <v>463</v>
      </c>
      <c r="E184" s="104" t="s">
        <v>464</v>
      </c>
      <c r="F184" s="119"/>
      <c r="G184" s="102">
        <v>27515</v>
      </c>
      <c r="H184" s="102" t="s">
        <v>102</v>
      </c>
      <c r="I184" s="206">
        <v>4192</v>
      </c>
      <c r="J184" s="120">
        <v>1297</v>
      </c>
      <c r="K184" s="207">
        <v>7163.4373942511784</v>
      </c>
      <c r="L184" s="207">
        <v>3508.3043722508696</v>
      </c>
      <c r="M184" s="207">
        <v>13450.711667100089</v>
      </c>
      <c r="N184" s="298">
        <v>5503</v>
      </c>
      <c r="O184" s="114">
        <f>tblPiNAnalysis[[#This Row],[SAMV]]</f>
        <v>3964</v>
      </c>
      <c r="P184" s="115">
        <f>tblPiNAnalysis[[#This Row],[NUT]]</f>
        <v>982.13525880133534</v>
      </c>
      <c r="Q184" s="115">
        <f>tblPiNAnalysis[[#This Row],[SAL]]</f>
        <v>9100</v>
      </c>
      <c r="R184" s="115">
        <f>tblPiNAnalysis[[#This Row],[EDU]]</f>
        <v>1347.7145588794669</v>
      </c>
      <c r="S184" s="115">
        <f>tblPiNAnalysis[[#This Row],[PRO]]</f>
        <v>2586.5263587700383</v>
      </c>
      <c r="T184" s="116">
        <f>tblPiNAnalysis[[#This Row],[ASH]]</f>
        <v>7783.7999999999993</v>
      </c>
      <c r="U184" s="300">
        <f>IF(OR(tblPiNHistorical[[#This Row],[SAMV25]]="", tblPiNHistorical[[#This Row],[SAMV25]]=0, tblPiNHistorical[[#This Row],[SAMV26]]="", tblPiNHistorical[[#This Row],[SAMV26]]=0), "", tblPiNHistorical[[#This Row],[SAMV26]]-tblPiNHistorical[[#This Row],[SAMV25]])</f>
        <v>-228</v>
      </c>
      <c r="V184" s="121">
        <f>IF(OR(tblPiNHistorical[[#This Row],[NUT25]]="", tblPiNHistorical[[#This Row],[NUT25]]=0, tblPiNHistorical[[#This Row],[NUT26]]="", tblPiNHistorical[[#This Row],[NUT26]]=0), "", tblPiNHistorical[[#This Row],[NUT26]]-tblPiNHistorical[[#This Row],[NUT25]])</f>
        <v>-314.86474119866466</v>
      </c>
      <c r="W184" s="121">
        <f>IF(OR(tblPiNHistorical[[#This Row],[SAL25]]="", tblPiNHistorical[[#This Row],[SAL25]]=0, tblPiNHistorical[[#This Row],[SAL26]]="", tblPiNHistorical[[#This Row],[SAL26]]=0), "", tblPiNHistorical[[#This Row],[SAL26]]-tblPiNHistorical[[#This Row],[SAL25]])</f>
        <v>1936.5626057488216</v>
      </c>
      <c r="X184" s="121">
        <f>IF(OR(tblPiNHistorical[[#This Row],[EDU25]]="", tblPiNHistorical[[#This Row],[EDU25]]=0, tblPiNHistorical[[#This Row],[EDU26]]="", tblPiNHistorical[[#This Row],[EDU26]]=0), "", tblPiNHistorical[[#This Row],[EDU26]]-tblPiNHistorical[[#This Row],[EDU25]])</f>
        <v>-2160.5898133714027</v>
      </c>
      <c r="Y184" s="121">
        <f>IF(OR(tblPiNHistorical[[#This Row],[PRO25]]="", tblPiNHistorical[[#This Row],[PRO25]]=0, tblPiNHistorical[[#This Row],[PRO26]]="", tblPiNHistorical[[#This Row],[PRO26]]=0), "", tblPiNHistorical[[#This Row],[PRO26]]-tblPiNHistorical[[#This Row],[PRO25]])</f>
        <v>-10864.185308330052</v>
      </c>
      <c r="Z184" s="223">
        <f>IF(OR(tblPiNHistorical[[#This Row],[ASH25]]="", tblPiNHistorical[[#This Row],[ASH25]]=0, tblPiNHistorical[[#This Row],[ASH26]]="", tblPiNHistorical[[#This Row],[ASH26]]=0), "", tblPiNHistorical[[#This Row],[ASH26]]-tblPiNHistorical[[#This Row],[ASH25]])</f>
        <v>2280.7999999999993</v>
      </c>
      <c r="AA18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18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18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18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18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184"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0.4</v>
      </c>
    </row>
    <row r="185" spans="1:32">
      <c r="A18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VenezolanosVE1506</v>
      </c>
      <c r="B185" s="105" t="s">
        <v>276</v>
      </c>
      <c r="C185" s="104" t="s">
        <v>455</v>
      </c>
      <c r="D185" s="119" t="s">
        <v>465</v>
      </c>
      <c r="E185" s="104" t="s">
        <v>466</v>
      </c>
      <c r="F185" s="119"/>
      <c r="G185" s="102">
        <v>51712</v>
      </c>
      <c r="H185" s="102" t="s">
        <v>102</v>
      </c>
      <c r="I185" s="206">
        <v>7878</v>
      </c>
      <c r="J185" s="120">
        <v>1983</v>
      </c>
      <c r="K185" s="207">
        <v>13463.893603109163</v>
      </c>
      <c r="L185" s="207">
        <v>4427.1616612985908</v>
      </c>
      <c r="M185" s="207">
        <v>25279.418561841892</v>
      </c>
      <c r="N185" s="298">
        <v>0</v>
      </c>
      <c r="O185" s="114">
        <f>tblPiNAnalysis[[#This Row],[SAMV]]</f>
        <v>5681</v>
      </c>
      <c r="P185" s="115">
        <f>tblPiNAnalysis[[#This Row],[NUT]]</f>
        <v>946.55745059070625</v>
      </c>
      <c r="Q185" s="115">
        <f>tblPiNAnalysis[[#This Row],[SAL]]</f>
        <v>9100</v>
      </c>
      <c r="R185" s="115">
        <f>tblPiNAnalysis[[#This Row],[EDU]]</f>
        <v>1729.9533770724106</v>
      </c>
      <c r="S185" s="115">
        <f>tblPiNAnalysis[[#This Row],[PRO]]</f>
        <v>3884.6496349898516</v>
      </c>
      <c r="T185" s="116">
        <f>tblPiNAnalysis[[#This Row],[ASH]]</f>
        <v>2629.53</v>
      </c>
      <c r="U185" s="300">
        <f>IF(OR(tblPiNHistorical[[#This Row],[SAMV25]]="", tblPiNHistorical[[#This Row],[SAMV25]]=0, tblPiNHistorical[[#This Row],[SAMV26]]="", tblPiNHistorical[[#This Row],[SAMV26]]=0), "", tblPiNHistorical[[#This Row],[SAMV26]]-tblPiNHistorical[[#This Row],[SAMV25]])</f>
        <v>-2197</v>
      </c>
      <c r="V185" s="121">
        <f>IF(OR(tblPiNHistorical[[#This Row],[NUT25]]="", tblPiNHistorical[[#This Row],[NUT25]]=0, tblPiNHistorical[[#This Row],[NUT26]]="", tblPiNHistorical[[#This Row],[NUT26]]=0), "", tblPiNHistorical[[#This Row],[NUT26]]-tblPiNHistorical[[#This Row],[NUT25]])</f>
        <v>-1036.4425494092939</v>
      </c>
      <c r="W185" s="121">
        <f>IF(OR(tblPiNHistorical[[#This Row],[SAL25]]="", tblPiNHistorical[[#This Row],[SAL25]]=0, tblPiNHistorical[[#This Row],[SAL26]]="", tblPiNHistorical[[#This Row],[SAL26]]=0), "", tblPiNHistorical[[#This Row],[SAL26]]-tblPiNHistorical[[#This Row],[SAL25]])</f>
        <v>-4363.8936031091635</v>
      </c>
      <c r="X185" s="121">
        <f>IF(OR(tblPiNHistorical[[#This Row],[EDU25]]="", tblPiNHistorical[[#This Row],[EDU25]]=0, tblPiNHistorical[[#This Row],[EDU26]]="", tblPiNHistorical[[#This Row],[EDU26]]=0), "", tblPiNHistorical[[#This Row],[EDU26]]-tblPiNHistorical[[#This Row],[EDU25]])</f>
        <v>-2697.2082842261802</v>
      </c>
      <c r="Y185" s="121">
        <f>IF(OR(tblPiNHistorical[[#This Row],[PRO25]]="", tblPiNHistorical[[#This Row],[PRO25]]=0, tblPiNHistorical[[#This Row],[PRO26]]="", tblPiNHistorical[[#This Row],[PRO26]]=0), "", tblPiNHistorical[[#This Row],[PRO26]]-tblPiNHistorical[[#This Row],[PRO25]])</f>
        <v>-21394.768926852041</v>
      </c>
      <c r="Z185" s="223" t="str">
        <f>IF(OR(tblPiNHistorical[[#This Row],[ASH25]]="", tblPiNHistorical[[#This Row],[ASH25]]=0, tblPiNHistorical[[#This Row],[ASH26]]="", tblPiNHistorical[[#This Row],[ASH26]]=0), "", tblPiNHistorical[[#This Row],[ASH26]]-tblPiNHistorical[[#This Row],[ASH25]])</f>
        <v/>
      </c>
      <c r="AA18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-0.3</v>
      </c>
      <c r="AB18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18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18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18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18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2629.53</v>
      </c>
    </row>
    <row r="186" spans="1:32">
      <c r="A18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VenezolanosVE1507</v>
      </c>
      <c r="B186" s="105" t="s">
        <v>276</v>
      </c>
      <c r="C186" s="104" t="s">
        <v>455</v>
      </c>
      <c r="D186" s="119" t="s">
        <v>467</v>
      </c>
      <c r="E186" s="104" t="s">
        <v>468</v>
      </c>
      <c r="F186" s="119"/>
      <c r="G186" s="102">
        <v>61213</v>
      </c>
      <c r="H186" s="102" t="s">
        <v>102</v>
      </c>
      <c r="I186" s="206">
        <v>9325</v>
      </c>
      <c r="J186" s="120">
        <v>2231</v>
      </c>
      <c r="K186" s="207">
        <v>15936.914313489651</v>
      </c>
      <c r="L186" s="207">
        <v>3082.4560154563005</v>
      </c>
      <c r="M186" s="207">
        <v>29923.983764426594</v>
      </c>
      <c r="N186" s="298">
        <v>0</v>
      </c>
      <c r="O186" s="114">
        <f>tblPiNAnalysis[[#This Row],[SAMV]]</f>
        <v>2005</v>
      </c>
      <c r="P186" s="115">
        <f>tblPiNAnalysis[[#This Row],[NUT]]</f>
        <v>352.89594895911921</v>
      </c>
      <c r="Q186" s="115">
        <f>tblPiNAnalysis[[#This Row],[SAL]]</f>
        <v>8800</v>
      </c>
      <c r="R186" s="115">
        <f>tblPiNAnalysis[[#This Row],[EDU]]</f>
        <v>682.39534427035653</v>
      </c>
      <c r="S186" s="115">
        <f>tblPiNAnalysis[[#This Row],[PRO]]</f>
        <v>2402.70758211262</v>
      </c>
      <c r="T186" s="116">
        <f>tblPiNAnalysis[[#This Row],[ASH]]</f>
        <v>0</v>
      </c>
      <c r="U186" s="300">
        <f>IF(OR(tblPiNHistorical[[#This Row],[SAMV25]]="", tblPiNHistorical[[#This Row],[SAMV25]]=0, tblPiNHistorical[[#This Row],[SAMV26]]="", tblPiNHistorical[[#This Row],[SAMV26]]=0), "", tblPiNHistorical[[#This Row],[SAMV26]]-tblPiNHistorical[[#This Row],[SAMV25]])</f>
        <v>-7320</v>
      </c>
      <c r="V186" s="121">
        <f>IF(OR(tblPiNHistorical[[#This Row],[NUT25]]="", tblPiNHistorical[[#This Row],[NUT25]]=0, tblPiNHistorical[[#This Row],[NUT26]]="", tblPiNHistorical[[#This Row],[NUT26]]=0), "", tblPiNHistorical[[#This Row],[NUT26]]-tblPiNHistorical[[#This Row],[NUT25]])</f>
        <v>-1878.1040510408807</v>
      </c>
      <c r="W186" s="121">
        <f>IF(OR(tblPiNHistorical[[#This Row],[SAL25]]="", tblPiNHistorical[[#This Row],[SAL25]]=0, tblPiNHistorical[[#This Row],[SAL26]]="", tblPiNHistorical[[#This Row],[SAL26]]=0), "", tblPiNHistorical[[#This Row],[SAL26]]-tblPiNHistorical[[#This Row],[SAL25]])</f>
        <v>-7136.9143134896512</v>
      </c>
      <c r="X186" s="121">
        <f>IF(OR(tblPiNHistorical[[#This Row],[EDU25]]="", tblPiNHistorical[[#This Row],[EDU25]]=0, tblPiNHistorical[[#This Row],[EDU26]]="", tblPiNHistorical[[#This Row],[EDU26]]=0), "", tblPiNHistorical[[#This Row],[EDU26]]-tblPiNHistorical[[#This Row],[EDU25]])</f>
        <v>-2400.0606711859441</v>
      </c>
      <c r="Y186" s="121">
        <f>IF(OR(tblPiNHistorical[[#This Row],[PRO25]]="", tblPiNHistorical[[#This Row],[PRO25]]=0, tblPiNHistorical[[#This Row],[PRO26]]="", tblPiNHistorical[[#This Row],[PRO26]]=0), "", tblPiNHistorical[[#This Row],[PRO26]]-tblPiNHistorical[[#This Row],[PRO25]])</f>
        <v>-27521.276182313974</v>
      </c>
      <c r="Z186" s="223" t="str">
        <f>IF(OR(tblPiNHistorical[[#This Row],[ASH25]]="", tblPiNHistorical[[#This Row],[ASH25]]=0, tblPiNHistorical[[#This Row],[ASH26]]="", tblPiNHistorical[[#This Row],[ASH26]]=0), "", tblPiNHistorical[[#This Row],[ASH26]]-tblPiNHistorical[[#This Row],[ASH25]])</f>
        <v/>
      </c>
      <c r="AA18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18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18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18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18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8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87" spans="1:32">
      <c r="A18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VenezolanosVE1508</v>
      </c>
      <c r="B187" s="105" t="s">
        <v>276</v>
      </c>
      <c r="C187" s="104" t="s">
        <v>455</v>
      </c>
      <c r="D187" s="119" t="s">
        <v>469</v>
      </c>
      <c r="E187" s="104" t="s">
        <v>470</v>
      </c>
      <c r="F187" s="119"/>
      <c r="G187" s="102">
        <v>117888</v>
      </c>
      <c r="H187" s="102" t="s">
        <v>102</v>
      </c>
      <c r="I187" s="206">
        <v>17959</v>
      </c>
      <c r="J187" s="120">
        <v>4792</v>
      </c>
      <c r="K187" s="207">
        <v>30692.802710804008</v>
      </c>
      <c r="L187" s="207">
        <v>14265.4414651525</v>
      </c>
      <c r="M187" s="207">
        <v>34248.179880471602</v>
      </c>
      <c r="N187" s="298">
        <v>58944</v>
      </c>
      <c r="O187" s="114">
        <f>tblPiNAnalysis[[#This Row],[SAMV]]</f>
        <v>8353</v>
      </c>
      <c r="P187" s="115">
        <f>tblPiNAnalysis[[#This Row],[NUT]]</f>
        <v>1212.5576831221138</v>
      </c>
      <c r="Q187" s="115">
        <f>tblPiNAnalysis[[#This Row],[SAL]]</f>
        <v>8731.1650000000009</v>
      </c>
      <c r="R187" s="115">
        <f>tblPiNAnalysis[[#This Row],[EDU]]</f>
        <v>1269.8432502383553</v>
      </c>
      <c r="S187" s="115">
        <f>tblPiNAnalysis[[#This Row],[PRO]]</f>
        <v>4770.75181838958</v>
      </c>
      <c r="T187" s="116">
        <f>tblPiNAnalysis[[#This Row],[ASH]]</f>
        <v>0</v>
      </c>
      <c r="U187" s="300">
        <f>IF(OR(tblPiNHistorical[[#This Row],[SAMV25]]="", tblPiNHistorical[[#This Row],[SAMV25]]=0, tblPiNHistorical[[#This Row],[SAMV26]]="", tblPiNHistorical[[#This Row],[SAMV26]]=0), "", tblPiNHistorical[[#This Row],[SAMV26]]-tblPiNHistorical[[#This Row],[SAMV25]])</f>
        <v>-9606</v>
      </c>
      <c r="V187" s="121">
        <f>IF(OR(tblPiNHistorical[[#This Row],[NUT25]]="", tblPiNHistorical[[#This Row],[NUT25]]=0, tblPiNHistorical[[#This Row],[NUT26]]="", tblPiNHistorical[[#This Row],[NUT26]]=0), "", tblPiNHistorical[[#This Row],[NUT26]]-tblPiNHistorical[[#This Row],[NUT25]])</f>
        <v>-3579.4423168778862</v>
      </c>
      <c r="W187" s="121">
        <f>IF(OR(tblPiNHistorical[[#This Row],[SAL25]]="", tblPiNHistorical[[#This Row],[SAL25]]=0, tblPiNHistorical[[#This Row],[SAL26]]="", tblPiNHistorical[[#This Row],[SAL26]]=0), "", tblPiNHistorical[[#This Row],[SAL26]]-tblPiNHistorical[[#This Row],[SAL25]])</f>
        <v>-21961.637710804007</v>
      </c>
      <c r="X187" s="121">
        <f>IF(OR(tblPiNHistorical[[#This Row],[EDU25]]="", tblPiNHistorical[[#This Row],[EDU25]]=0, tblPiNHistorical[[#This Row],[EDU26]]="", tblPiNHistorical[[#This Row],[EDU26]]=0), "", tblPiNHistorical[[#This Row],[EDU26]]-tblPiNHistorical[[#This Row],[EDU25]])</f>
        <v>-12995.598214914146</v>
      </c>
      <c r="Y187" s="121">
        <f>IF(OR(tblPiNHistorical[[#This Row],[PRO25]]="", tblPiNHistorical[[#This Row],[PRO25]]=0, tblPiNHistorical[[#This Row],[PRO26]]="", tblPiNHistorical[[#This Row],[PRO26]]=0), "", tblPiNHistorical[[#This Row],[PRO26]]-tblPiNHistorical[[#This Row],[PRO25]])</f>
        <v>-29477.428062082021</v>
      </c>
      <c r="Z187" s="223" t="str">
        <f>IF(OR(tblPiNHistorical[[#This Row],[ASH25]]="", tblPiNHistorical[[#This Row],[ASH25]]=0, tblPiNHistorical[[#This Row],[ASH26]]="", tblPiNHistorical[[#This Row],[ASH26]]=0), "", tblPiNHistorical[[#This Row],[ASH26]]-tblPiNHistorical[[#This Row],[ASH25]])</f>
        <v/>
      </c>
      <c r="AA18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18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18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18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8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8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58944</v>
      </c>
    </row>
    <row r="188" spans="1:32">
      <c r="A18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VenezolanosVE1509</v>
      </c>
      <c r="B188" s="105" t="s">
        <v>276</v>
      </c>
      <c r="C188" s="104" t="s">
        <v>455</v>
      </c>
      <c r="D188" s="119" t="s">
        <v>471</v>
      </c>
      <c r="E188" s="104" t="s">
        <v>472</v>
      </c>
      <c r="F188" s="119"/>
      <c r="G188" s="102">
        <v>58156</v>
      </c>
      <c r="H188" s="102" t="s">
        <v>102</v>
      </c>
      <c r="I188" s="206">
        <v>8859</v>
      </c>
      <c r="J188" s="120">
        <v>2267</v>
      </c>
      <c r="K188" s="207">
        <v>15141.307089757471</v>
      </c>
      <c r="L188" s="207">
        <v>4591.1639429688621</v>
      </c>
      <c r="M188" s="207">
        <v>28429.568879224884</v>
      </c>
      <c r="N188" s="298">
        <v>11631</v>
      </c>
      <c r="O188" s="114">
        <f>tblPiNAnalysis[[#This Row],[SAMV]]</f>
        <v>3236</v>
      </c>
      <c r="P188" s="115">
        <f>tblPiNAnalysis[[#This Row],[NUT]]</f>
        <v>719.34171979746759</v>
      </c>
      <c r="Q188" s="115">
        <f>tblPiNAnalysis[[#This Row],[SAL]]</f>
        <v>8600</v>
      </c>
      <c r="R188" s="115">
        <f>tblPiNAnalysis[[#This Row],[EDU]]</f>
        <v>1718.854180887447</v>
      </c>
      <c r="S188" s="115">
        <f>tblPiNAnalysis[[#This Row],[PRO]]</f>
        <v>3860.0225757413</v>
      </c>
      <c r="T188" s="116">
        <f>tblPiNAnalysis[[#This Row],[ASH]]</f>
        <v>0</v>
      </c>
      <c r="U188" s="300">
        <f>IF(OR(tblPiNHistorical[[#This Row],[SAMV25]]="", tblPiNHistorical[[#This Row],[SAMV25]]=0, tblPiNHistorical[[#This Row],[SAMV26]]="", tblPiNHistorical[[#This Row],[SAMV26]]=0), "", tblPiNHistorical[[#This Row],[SAMV26]]-tblPiNHistorical[[#This Row],[SAMV25]])</f>
        <v>-5623</v>
      </c>
      <c r="V188" s="121">
        <f>IF(OR(tblPiNHistorical[[#This Row],[NUT25]]="", tblPiNHistorical[[#This Row],[NUT25]]=0, tblPiNHistorical[[#This Row],[NUT26]]="", tblPiNHistorical[[#This Row],[NUT26]]=0), "", tblPiNHistorical[[#This Row],[NUT26]]-tblPiNHistorical[[#This Row],[NUT25]])</f>
        <v>-1547.6582802025323</v>
      </c>
      <c r="W188" s="121">
        <f>IF(OR(tblPiNHistorical[[#This Row],[SAL25]]="", tblPiNHistorical[[#This Row],[SAL25]]=0, tblPiNHistorical[[#This Row],[SAL26]]="", tblPiNHistorical[[#This Row],[SAL26]]=0), "", tblPiNHistorical[[#This Row],[SAL26]]-tblPiNHistorical[[#This Row],[SAL25]])</f>
        <v>-6541.3070897574707</v>
      </c>
      <c r="X188" s="121">
        <f>IF(OR(tblPiNHistorical[[#This Row],[EDU25]]="", tblPiNHistorical[[#This Row],[EDU25]]=0, tblPiNHistorical[[#This Row],[EDU26]]="", tblPiNHistorical[[#This Row],[EDU26]]=0), "", tblPiNHistorical[[#This Row],[EDU26]]-tblPiNHistorical[[#This Row],[EDU25]])</f>
        <v>-2872.3097620814151</v>
      </c>
      <c r="Y188" s="121">
        <f>IF(OR(tblPiNHistorical[[#This Row],[PRO25]]="", tblPiNHistorical[[#This Row],[PRO25]]=0, tblPiNHistorical[[#This Row],[PRO26]]="", tblPiNHistorical[[#This Row],[PRO26]]=0), "", tblPiNHistorical[[#This Row],[PRO26]]-tblPiNHistorical[[#This Row],[PRO25]])</f>
        <v>-24569.546303483585</v>
      </c>
      <c r="Z188" s="223" t="str">
        <f>IF(OR(tblPiNHistorical[[#This Row],[ASH25]]="", tblPiNHistorical[[#This Row],[ASH25]]=0, tblPiNHistorical[[#This Row],[ASH26]]="", tblPiNHistorical[[#This Row],[ASH26]]=0), "", tblPiNHistorical[[#This Row],[ASH26]]-tblPiNHistorical[[#This Row],[ASH25]])</f>
        <v/>
      </c>
      <c r="AA18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18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18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18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18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8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11631</v>
      </c>
    </row>
    <row r="189" spans="1:32">
      <c r="A18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VenezolanosVE1510</v>
      </c>
      <c r="B189" s="105" t="s">
        <v>276</v>
      </c>
      <c r="C189" s="104" t="s">
        <v>455</v>
      </c>
      <c r="D189" s="119" t="s">
        <v>473</v>
      </c>
      <c r="E189" s="104" t="s">
        <v>474</v>
      </c>
      <c r="F189" s="119"/>
      <c r="G189" s="102">
        <v>252242</v>
      </c>
      <c r="H189" s="102" t="s">
        <v>102</v>
      </c>
      <c r="I189" s="206">
        <v>38426</v>
      </c>
      <c r="J189" s="120">
        <v>9821</v>
      </c>
      <c r="K189" s="207">
        <v>65673.759922620346</v>
      </c>
      <c r="L189" s="207">
        <v>24407.2644580054</v>
      </c>
      <c r="M189" s="207">
        <v>34248.179880471602</v>
      </c>
      <c r="N189" s="298">
        <v>50448</v>
      </c>
      <c r="O189" s="114">
        <f>tblPiNAnalysis[[#This Row],[SAMV]]</f>
        <v>5695</v>
      </c>
      <c r="P189" s="115">
        <f>tblPiNAnalysis[[#This Row],[NUT]]</f>
        <v>688.18447739880594</v>
      </c>
      <c r="Q189" s="115">
        <f>tblPiNAnalysis[[#This Row],[SAL]]</f>
        <v>8400</v>
      </c>
      <c r="R189" s="115">
        <f>tblPiNAnalysis[[#This Row],[EDU]]</f>
        <v>1785.1604140213531</v>
      </c>
      <c r="S189" s="115">
        <f>tblPiNAnalysis[[#This Row],[PRO]]</f>
        <v>4338.5168143169494</v>
      </c>
      <c r="T189" s="116">
        <f>tblPiNAnalysis[[#This Row],[ASH]]</f>
        <v>0</v>
      </c>
      <c r="U189" s="300">
        <f>IF(OR(tblPiNHistorical[[#This Row],[SAMV25]]="", tblPiNHistorical[[#This Row],[SAMV25]]=0, tblPiNHistorical[[#This Row],[SAMV26]]="", tblPiNHistorical[[#This Row],[SAMV26]]=0), "", tblPiNHistorical[[#This Row],[SAMV26]]-tblPiNHistorical[[#This Row],[SAMV25]])</f>
        <v>-32731</v>
      </c>
      <c r="V189" s="121">
        <f>IF(OR(tblPiNHistorical[[#This Row],[NUT25]]="", tblPiNHistorical[[#This Row],[NUT25]]=0, tblPiNHistorical[[#This Row],[NUT26]]="", tblPiNHistorical[[#This Row],[NUT26]]=0), "", tblPiNHistorical[[#This Row],[NUT26]]-tblPiNHistorical[[#This Row],[NUT25]])</f>
        <v>-9132.815522601195</v>
      </c>
      <c r="W189" s="121">
        <f>IF(OR(tblPiNHistorical[[#This Row],[SAL25]]="", tblPiNHistorical[[#This Row],[SAL25]]=0, tblPiNHistorical[[#This Row],[SAL26]]="", tblPiNHistorical[[#This Row],[SAL26]]=0), "", tblPiNHistorical[[#This Row],[SAL26]]-tblPiNHistorical[[#This Row],[SAL25]])</f>
        <v>-57273.759922620346</v>
      </c>
      <c r="X189" s="121">
        <f>IF(OR(tblPiNHistorical[[#This Row],[EDU25]]="", tblPiNHistorical[[#This Row],[EDU25]]=0, tblPiNHistorical[[#This Row],[EDU26]]="", tblPiNHistorical[[#This Row],[EDU26]]=0), "", tblPiNHistorical[[#This Row],[EDU26]]-tblPiNHistorical[[#This Row],[EDU25]])</f>
        <v>-22622.104043984047</v>
      </c>
      <c r="Y189" s="121">
        <f>IF(OR(tblPiNHistorical[[#This Row],[PRO25]]="", tblPiNHistorical[[#This Row],[PRO25]]=0, tblPiNHistorical[[#This Row],[PRO26]]="", tblPiNHistorical[[#This Row],[PRO26]]=0), "", tblPiNHistorical[[#This Row],[PRO26]]-tblPiNHistorical[[#This Row],[PRO25]])</f>
        <v>-29909.663066154651</v>
      </c>
      <c r="Z189" s="223" t="str">
        <f>IF(OR(tblPiNHistorical[[#This Row],[ASH25]]="", tblPiNHistorical[[#This Row],[ASH25]]=0, tblPiNHistorical[[#This Row],[ASH26]]="", tblPiNHistorical[[#This Row],[ASH26]]=0), "", tblPiNHistorical[[#This Row],[ASH26]]-tblPiNHistorical[[#This Row],[ASH25]])</f>
        <v/>
      </c>
      <c r="AA18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18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18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-0.9</v>
      </c>
      <c r="AD18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8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8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50448</v>
      </c>
    </row>
    <row r="190" spans="1:32">
      <c r="A19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VenezolanosVE1511</v>
      </c>
      <c r="B190" s="105" t="s">
        <v>276</v>
      </c>
      <c r="C190" s="104" t="s">
        <v>455</v>
      </c>
      <c r="D190" s="119" t="s">
        <v>133</v>
      </c>
      <c r="E190" s="104" t="s">
        <v>475</v>
      </c>
      <c r="F190" s="119"/>
      <c r="G190" s="102">
        <v>138776</v>
      </c>
      <c r="H190" s="102" t="s">
        <v>102</v>
      </c>
      <c r="I190" s="206">
        <v>21141</v>
      </c>
      <c r="J190" s="120">
        <v>6012</v>
      </c>
      <c r="K190" s="207">
        <v>36131.268527822642</v>
      </c>
      <c r="L190" s="207">
        <v>18252.654939341875</v>
      </c>
      <c r="M190" s="207">
        <v>34248.179880471602</v>
      </c>
      <c r="N190" s="298">
        <v>27755</v>
      </c>
      <c r="O190" s="114">
        <f>tblPiNAnalysis[[#This Row],[SAMV]]</f>
        <v>1418</v>
      </c>
      <c r="P190" s="115">
        <f>tblPiNAnalysis[[#This Row],[NUT]]</f>
        <v>916.92668144987113</v>
      </c>
      <c r="Q190" s="115">
        <f>tblPiNAnalysis[[#This Row],[SAL]]</f>
        <v>8400</v>
      </c>
      <c r="R190" s="115">
        <f>tblPiNAnalysis[[#This Row],[EDU]]</f>
        <v>932.3776863418052</v>
      </c>
      <c r="S190" s="115">
        <f>tblPiNAnalysis[[#This Row],[PRO]]</f>
        <v>2167.6895411594974</v>
      </c>
      <c r="T190" s="116">
        <f>tblPiNAnalysis[[#This Row],[ASH]]</f>
        <v>6521.4</v>
      </c>
      <c r="U190" s="300">
        <f>IF(OR(tblPiNHistorical[[#This Row],[SAMV25]]="", tblPiNHistorical[[#This Row],[SAMV25]]=0, tblPiNHistorical[[#This Row],[SAMV26]]="", tblPiNHistorical[[#This Row],[SAMV26]]=0), "", tblPiNHistorical[[#This Row],[SAMV26]]-tblPiNHistorical[[#This Row],[SAMV25]])</f>
        <v>-19723</v>
      </c>
      <c r="V190" s="121">
        <f>IF(OR(tblPiNHistorical[[#This Row],[NUT25]]="", tblPiNHistorical[[#This Row],[NUT25]]=0, tblPiNHistorical[[#This Row],[NUT26]]="", tblPiNHistorical[[#This Row],[NUT26]]=0), "", tblPiNHistorical[[#This Row],[NUT26]]-tblPiNHistorical[[#This Row],[NUT25]])</f>
        <v>-5095.0733185501285</v>
      </c>
      <c r="W190" s="121">
        <f>IF(OR(tblPiNHistorical[[#This Row],[SAL25]]="", tblPiNHistorical[[#This Row],[SAL25]]=0, tblPiNHistorical[[#This Row],[SAL26]]="", tblPiNHistorical[[#This Row],[SAL26]]=0), "", tblPiNHistorical[[#This Row],[SAL26]]-tblPiNHistorical[[#This Row],[SAL25]])</f>
        <v>-27731.268527822642</v>
      </c>
      <c r="X190" s="121">
        <f>IF(OR(tblPiNHistorical[[#This Row],[EDU25]]="", tblPiNHistorical[[#This Row],[EDU25]]=0, tblPiNHistorical[[#This Row],[EDU26]]="", tblPiNHistorical[[#This Row],[EDU26]]=0), "", tblPiNHistorical[[#This Row],[EDU26]]-tblPiNHistorical[[#This Row],[EDU25]])</f>
        <v>-17320.277253000069</v>
      </c>
      <c r="Y190" s="121">
        <f>IF(OR(tblPiNHistorical[[#This Row],[PRO25]]="", tblPiNHistorical[[#This Row],[PRO25]]=0, tblPiNHistorical[[#This Row],[PRO26]]="", tblPiNHistorical[[#This Row],[PRO26]]=0), "", tblPiNHistorical[[#This Row],[PRO26]]-tblPiNHistorical[[#This Row],[PRO25]])</f>
        <v>-32080.490339312106</v>
      </c>
      <c r="Z190" s="223">
        <f>IF(OR(tblPiNHistorical[[#This Row],[ASH25]]="", tblPiNHistorical[[#This Row],[ASH25]]=0, tblPiNHistorical[[#This Row],[ASH26]]="", tblPiNHistorical[[#This Row],[ASH26]]=0), "", tblPiNHistorical[[#This Row],[ASH26]]-tblPiNHistorical[[#This Row],[ASH25]])</f>
        <v>-21233.599999999999</v>
      </c>
      <c r="AA19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19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19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19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9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90"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-0.8</v>
      </c>
    </row>
    <row r="191" spans="1:32">
      <c r="A19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VenezolanosVE1512</v>
      </c>
      <c r="B191" s="105" t="s">
        <v>276</v>
      </c>
      <c r="C191" s="104" t="s">
        <v>455</v>
      </c>
      <c r="D191" s="119" t="s">
        <v>476</v>
      </c>
      <c r="E191" s="104" t="s">
        <v>477</v>
      </c>
      <c r="F191" s="119"/>
      <c r="G191" s="102">
        <v>144947</v>
      </c>
      <c r="H191" s="102" t="s">
        <v>102</v>
      </c>
      <c r="I191" s="206">
        <v>22081</v>
      </c>
      <c r="J191" s="120">
        <v>7147</v>
      </c>
      <c r="K191" s="207">
        <v>37738.335672148431</v>
      </c>
      <c r="L191" s="207">
        <v>17656.886863478645</v>
      </c>
      <c r="M191" s="207">
        <v>34248.179880471602</v>
      </c>
      <c r="N191" s="298">
        <v>72474</v>
      </c>
      <c r="O191" s="114">
        <f>tblPiNAnalysis[[#This Row],[SAMV]]</f>
        <v>6063</v>
      </c>
      <c r="P191" s="115">
        <f>tblPiNAnalysis[[#This Row],[NUT]]</f>
        <v>2444.3455748165311</v>
      </c>
      <c r="Q191" s="115">
        <f>tblPiNAnalysis[[#This Row],[SAL]]</f>
        <v>8386.24</v>
      </c>
      <c r="R191" s="115">
        <f>tblPiNAnalysis[[#This Row],[EDU]]</f>
        <v>2433.6208823545603</v>
      </c>
      <c r="S191" s="115">
        <f>tblPiNAnalysis[[#This Row],[PRO]]</f>
        <v>4599.2251812771865</v>
      </c>
      <c r="T191" s="116">
        <f>tblPiNAnalysis[[#This Row],[ASH]]</f>
        <v>0</v>
      </c>
      <c r="U191" s="300">
        <f>IF(OR(tblPiNHistorical[[#This Row],[SAMV25]]="", tblPiNHistorical[[#This Row],[SAMV25]]=0, tblPiNHistorical[[#This Row],[SAMV26]]="", tblPiNHistorical[[#This Row],[SAMV26]]=0), "", tblPiNHistorical[[#This Row],[SAMV26]]-tblPiNHistorical[[#This Row],[SAMV25]])</f>
        <v>-16018</v>
      </c>
      <c r="V191" s="121">
        <f>IF(OR(tblPiNHistorical[[#This Row],[NUT25]]="", tblPiNHistorical[[#This Row],[NUT25]]=0, tblPiNHistorical[[#This Row],[NUT26]]="", tblPiNHistorical[[#This Row],[NUT26]]=0), "", tblPiNHistorical[[#This Row],[NUT26]]-tblPiNHistorical[[#This Row],[NUT25]])</f>
        <v>-4702.6544251834694</v>
      </c>
      <c r="W191" s="121">
        <f>IF(OR(tblPiNHistorical[[#This Row],[SAL25]]="", tblPiNHistorical[[#This Row],[SAL25]]=0, tblPiNHistorical[[#This Row],[SAL26]]="", tblPiNHistorical[[#This Row],[SAL26]]=0), "", tblPiNHistorical[[#This Row],[SAL26]]-tblPiNHistorical[[#This Row],[SAL25]])</f>
        <v>-29352.095672148433</v>
      </c>
      <c r="X191" s="121">
        <f>IF(OR(tblPiNHistorical[[#This Row],[EDU25]]="", tblPiNHistorical[[#This Row],[EDU25]]=0, tblPiNHistorical[[#This Row],[EDU26]]="", tblPiNHistorical[[#This Row],[EDU26]]=0), "", tblPiNHistorical[[#This Row],[EDU26]]-tblPiNHistorical[[#This Row],[EDU25]])</f>
        <v>-15223.265981124085</v>
      </c>
      <c r="Y191" s="121">
        <f>IF(OR(tblPiNHistorical[[#This Row],[PRO25]]="", tblPiNHistorical[[#This Row],[PRO25]]=0, tblPiNHistorical[[#This Row],[PRO26]]="", tblPiNHistorical[[#This Row],[PRO26]]=0), "", tblPiNHistorical[[#This Row],[PRO26]]-tblPiNHistorical[[#This Row],[PRO25]])</f>
        <v>-29648.954699194415</v>
      </c>
      <c r="Z191" s="223" t="str">
        <f>IF(OR(tblPiNHistorical[[#This Row],[ASH25]]="", tblPiNHistorical[[#This Row],[ASH25]]=0, tblPiNHistorical[[#This Row],[ASH26]]="", tblPiNHistorical[[#This Row],[ASH26]]=0), "", tblPiNHistorical[[#This Row],[ASH26]]-tblPiNHistorical[[#This Row],[ASH25]])</f>
        <v/>
      </c>
      <c r="AA19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-0.7</v>
      </c>
      <c r="AB19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19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19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9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9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72474</v>
      </c>
    </row>
    <row r="192" spans="1:32">
      <c r="A19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VenezolanosVE1513</v>
      </c>
      <c r="B192" s="105" t="s">
        <v>276</v>
      </c>
      <c r="C192" s="104" t="s">
        <v>455</v>
      </c>
      <c r="D192" s="119" t="s">
        <v>478</v>
      </c>
      <c r="E192" s="104" t="s">
        <v>479</v>
      </c>
      <c r="F192" s="119"/>
      <c r="G192" s="102">
        <v>68255</v>
      </c>
      <c r="H192" s="102" t="s">
        <v>102</v>
      </c>
      <c r="I192" s="206">
        <v>10398</v>
      </c>
      <c r="J192" s="120">
        <v>2286</v>
      </c>
      <c r="K192" s="207">
        <v>17770.873181644416</v>
      </c>
      <c r="L192" s="207">
        <v>4123.7357469809867</v>
      </c>
      <c r="M192" s="207">
        <v>33366.466466942271</v>
      </c>
      <c r="N192" s="298">
        <v>0</v>
      </c>
      <c r="O192" s="114">
        <f>tblPiNAnalysis[[#This Row],[SAMV]]</f>
        <v>5057</v>
      </c>
      <c r="P192" s="115">
        <f>tblPiNAnalysis[[#This Row],[NUT]]</f>
        <v>2066.5821854677597</v>
      </c>
      <c r="Q192" s="115">
        <f>tblPiNAnalysis[[#This Row],[SAL]]</f>
        <v>8335.8700000000008</v>
      </c>
      <c r="R192" s="115">
        <f>tblPiNAnalysis[[#This Row],[EDU]]</f>
        <v>557.68394852382698</v>
      </c>
      <c r="S192" s="115">
        <f>tblPiNAnalysis[[#This Row],[PRO]]</f>
        <v>4555.8999598207565</v>
      </c>
      <c r="T192" s="116">
        <f>tblPiNAnalysis[[#This Row],[ASH]]</f>
        <v>0</v>
      </c>
      <c r="U192" s="300">
        <f>IF(OR(tblPiNHistorical[[#This Row],[SAMV25]]="", tblPiNHistorical[[#This Row],[SAMV25]]=0, tblPiNHistorical[[#This Row],[SAMV26]]="", tblPiNHistorical[[#This Row],[SAMV26]]=0), "", tblPiNHistorical[[#This Row],[SAMV26]]-tblPiNHistorical[[#This Row],[SAMV25]])</f>
        <v>-5341</v>
      </c>
      <c r="V192" s="121">
        <f>IF(OR(tblPiNHistorical[[#This Row],[NUT25]]="", tblPiNHistorical[[#This Row],[NUT25]]=0, tblPiNHistorical[[#This Row],[NUT26]]="", tblPiNHistorical[[#This Row],[NUT26]]=0), "", tblPiNHistorical[[#This Row],[NUT26]]-tblPiNHistorical[[#This Row],[NUT25]])</f>
        <v>-219.4178145322403</v>
      </c>
      <c r="W192" s="121">
        <f>IF(OR(tblPiNHistorical[[#This Row],[SAL25]]="", tblPiNHistorical[[#This Row],[SAL25]]=0, tblPiNHistorical[[#This Row],[SAL26]]="", tblPiNHistorical[[#This Row],[SAL26]]=0), "", tblPiNHistorical[[#This Row],[SAL26]]-tblPiNHistorical[[#This Row],[SAL25]])</f>
        <v>-9435.0031816444152</v>
      </c>
      <c r="X192" s="121">
        <f>IF(OR(tblPiNHistorical[[#This Row],[EDU25]]="", tblPiNHistorical[[#This Row],[EDU25]]=0, tblPiNHistorical[[#This Row],[EDU26]]="", tblPiNHistorical[[#This Row],[EDU26]]=0), "", tblPiNHistorical[[#This Row],[EDU26]]-tblPiNHistorical[[#This Row],[EDU25]])</f>
        <v>-3566.0517984571597</v>
      </c>
      <c r="Y192" s="121">
        <f>IF(OR(tblPiNHistorical[[#This Row],[PRO25]]="", tblPiNHistorical[[#This Row],[PRO25]]=0, tblPiNHistorical[[#This Row],[PRO26]]="", tblPiNHistorical[[#This Row],[PRO26]]=0), "", tblPiNHistorical[[#This Row],[PRO26]]-tblPiNHistorical[[#This Row],[PRO25]])</f>
        <v>-28810.566507121515</v>
      </c>
      <c r="Z192" s="223" t="str">
        <f>IF(OR(tblPiNHistorical[[#This Row],[ASH25]]="", tblPiNHistorical[[#This Row],[ASH25]]=0, tblPiNHistorical[[#This Row],[ASH26]]="", tblPiNHistorical[[#This Row],[ASH26]]=0), "", tblPiNHistorical[[#This Row],[ASH26]]-tblPiNHistorical[[#This Row],[ASH25]])</f>
        <v/>
      </c>
      <c r="AA19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19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19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19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9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9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93" spans="1:32">
      <c r="A19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VenezolanosVE1514</v>
      </c>
      <c r="B193" s="105" t="s">
        <v>276</v>
      </c>
      <c r="C193" s="104" t="s">
        <v>455</v>
      </c>
      <c r="D193" s="119" t="s">
        <v>171</v>
      </c>
      <c r="E193" s="104" t="s">
        <v>480</v>
      </c>
      <c r="F193" s="119"/>
      <c r="G193" s="102">
        <v>37944</v>
      </c>
      <c r="H193" s="102" t="s">
        <v>102</v>
      </c>
      <c r="I193" s="206">
        <v>5780</v>
      </c>
      <c r="J193" s="120">
        <v>1756</v>
      </c>
      <c r="K193" s="207">
        <v>9879.20252532206</v>
      </c>
      <c r="L193" s="207">
        <v>5142.0801620827988</v>
      </c>
      <c r="M193" s="207">
        <v>18548.929801797047</v>
      </c>
      <c r="N193" s="298">
        <v>0</v>
      </c>
      <c r="O193" s="114">
        <f>tblPiNAnalysis[[#This Row],[SAMV]]</f>
        <v>3303</v>
      </c>
      <c r="P193" s="115">
        <f>tblPiNAnalysis[[#This Row],[NUT]]</f>
        <v>741.48890425405136</v>
      </c>
      <c r="Q193" s="115">
        <f>tblPiNAnalysis[[#This Row],[SAL]]</f>
        <v>8266.8850000000002</v>
      </c>
      <c r="R193" s="115">
        <f>tblPiNAnalysis[[#This Row],[EDU]]</f>
        <v>2372.8880785709603</v>
      </c>
      <c r="S193" s="115">
        <f>tblPiNAnalysis[[#This Row],[PRO]]</f>
        <v>4566.1199741181063</v>
      </c>
      <c r="T193" s="116">
        <f>tblPiNAnalysis[[#This Row],[ASH]]</f>
        <v>0</v>
      </c>
      <c r="U193" s="300">
        <f>IF(OR(tblPiNHistorical[[#This Row],[SAMV25]]="", tblPiNHistorical[[#This Row],[SAMV25]]=0, tblPiNHistorical[[#This Row],[SAMV26]]="", tblPiNHistorical[[#This Row],[SAMV26]]=0), "", tblPiNHistorical[[#This Row],[SAMV26]]-tblPiNHistorical[[#This Row],[SAMV25]])</f>
        <v>-2477</v>
      </c>
      <c r="V193" s="121">
        <f>IF(OR(tblPiNHistorical[[#This Row],[NUT25]]="", tblPiNHistorical[[#This Row],[NUT25]]=0, tblPiNHistorical[[#This Row],[NUT26]]="", tblPiNHistorical[[#This Row],[NUT26]]=0), "", tblPiNHistorical[[#This Row],[NUT26]]-tblPiNHistorical[[#This Row],[NUT25]])</f>
        <v>-1014.5110957459486</v>
      </c>
      <c r="W193" s="121">
        <f>IF(OR(tblPiNHistorical[[#This Row],[SAL25]]="", tblPiNHistorical[[#This Row],[SAL25]]=0, tblPiNHistorical[[#This Row],[SAL26]]="", tblPiNHistorical[[#This Row],[SAL26]]=0), "", tblPiNHistorical[[#This Row],[SAL26]]-tblPiNHistorical[[#This Row],[SAL25]])</f>
        <v>-1612.3175253220597</v>
      </c>
      <c r="X193" s="121">
        <f>IF(OR(tblPiNHistorical[[#This Row],[EDU25]]="", tblPiNHistorical[[#This Row],[EDU25]]=0, tblPiNHistorical[[#This Row],[EDU26]]="", tblPiNHistorical[[#This Row],[EDU26]]=0), "", tblPiNHistorical[[#This Row],[EDU26]]-tblPiNHistorical[[#This Row],[EDU25]])</f>
        <v>-2769.1920835118385</v>
      </c>
      <c r="Y193" s="121">
        <f>IF(OR(tblPiNHistorical[[#This Row],[PRO25]]="", tblPiNHistorical[[#This Row],[PRO25]]=0, tblPiNHistorical[[#This Row],[PRO26]]="", tblPiNHistorical[[#This Row],[PRO26]]=0), "", tblPiNHistorical[[#This Row],[PRO26]]-tblPiNHistorical[[#This Row],[PRO25]])</f>
        <v>-13982.809827678941</v>
      </c>
      <c r="Z193" s="223" t="str">
        <f>IF(OR(tblPiNHistorical[[#This Row],[ASH25]]="", tblPiNHistorical[[#This Row],[ASH25]]=0, tblPiNHistorical[[#This Row],[ASH26]]="", tblPiNHistorical[[#This Row],[ASH26]]=0), "", tblPiNHistorical[[#This Row],[ASH26]]-tblPiNHistorical[[#This Row],[ASH25]])</f>
        <v/>
      </c>
      <c r="AA19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19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19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19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19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19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194" spans="1:32">
      <c r="A19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VenezolanosVE1515</v>
      </c>
      <c r="B194" s="105" t="s">
        <v>276</v>
      </c>
      <c r="C194" s="104" t="s">
        <v>455</v>
      </c>
      <c r="D194" s="119" t="s">
        <v>481</v>
      </c>
      <c r="E194" s="104" t="s">
        <v>482</v>
      </c>
      <c r="F194" s="119"/>
      <c r="G194" s="102">
        <v>111197</v>
      </c>
      <c r="H194" s="102" t="s">
        <v>102</v>
      </c>
      <c r="I194" s="206">
        <v>16939</v>
      </c>
      <c r="J194" s="120">
        <v>5127</v>
      </c>
      <c r="K194" s="207">
        <v>28950.987643156212</v>
      </c>
      <c r="L194" s="207">
        <v>15477.439244738805</v>
      </c>
      <c r="M194" s="207">
        <v>34248.179880471602</v>
      </c>
      <c r="N194" s="298">
        <v>22239</v>
      </c>
      <c r="O194" s="114">
        <f>tblPiNAnalysis[[#This Row],[SAMV]]</f>
        <v>3313</v>
      </c>
      <c r="P194" s="115">
        <f>tblPiNAnalysis[[#This Row],[NUT]]</f>
        <v>834.19808545334001</v>
      </c>
      <c r="Q194" s="115">
        <f>tblPiNAnalysis[[#This Row],[SAL]]</f>
        <v>8163.2250000000004</v>
      </c>
      <c r="R194" s="115">
        <f>tblPiNAnalysis[[#This Row],[EDU]]</f>
        <v>1008.1076222661311</v>
      </c>
      <c r="S194" s="115">
        <f>tblPiNAnalysis[[#This Row],[PRO]]</f>
        <v>4461.5422804707596</v>
      </c>
      <c r="T194" s="116">
        <f>tblPiNAnalysis[[#This Row],[ASH]]</f>
        <v>0</v>
      </c>
      <c r="U194" s="300">
        <f>IF(OR(tblPiNHistorical[[#This Row],[SAMV25]]="", tblPiNHistorical[[#This Row],[SAMV25]]=0, tblPiNHistorical[[#This Row],[SAMV26]]="", tblPiNHistorical[[#This Row],[SAMV26]]=0), "", tblPiNHistorical[[#This Row],[SAMV26]]-tblPiNHistorical[[#This Row],[SAMV25]])</f>
        <v>-13626</v>
      </c>
      <c r="V194" s="121">
        <f>IF(OR(tblPiNHistorical[[#This Row],[NUT25]]="", tblPiNHistorical[[#This Row],[NUT25]]=0, tblPiNHistorical[[#This Row],[NUT26]]="", tblPiNHistorical[[#This Row],[NUT26]]=0), "", tblPiNHistorical[[#This Row],[NUT26]]-tblPiNHistorical[[#This Row],[NUT25]])</f>
        <v>-4292.8019145466596</v>
      </c>
      <c r="W194" s="121">
        <f>IF(OR(tblPiNHistorical[[#This Row],[SAL25]]="", tblPiNHistorical[[#This Row],[SAL25]]=0, tblPiNHistorical[[#This Row],[SAL26]]="", tblPiNHistorical[[#This Row],[SAL26]]=0), "", tblPiNHistorical[[#This Row],[SAL26]]-tblPiNHistorical[[#This Row],[SAL25]])</f>
        <v>-20787.762643156209</v>
      </c>
      <c r="X194" s="121">
        <f>IF(OR(tblPiNHistorical[[#This Row],[EDU25]]="", tblPiNHistorical[[#This Row],[EDU25]]=0, tblPiNHistorical[[#This Row],[EDU26]]="", tblPiNHistorical[[#This Row],[EDU26]]=0), "", tblPiNHistorical[[#This Row],[EDU26]]-tblPiNHistorical[[#This Row],[EDU25]])</f>
        <v>-14469.331622472675</v>
      </c>
      <c r="Y194" s="121">
        <f>IF(OR(tblPiNHistorical[[#This Row],[PRO25]]="", tblPiNHistorical[[#This Row],[PRO25]]=0, tblPiNHistorical[[#This Row],[PRO26]]="", tblPiNHistorical[[#This Row],[PRO26]]=0), "", tblPiNHistorical[[#This Row],[PRO26]]-tblPiNHistorical[[#This Row],[PRO25]])</f>
        <v>-29786.637600000842</v>
      </c>
      <c r="Z194" s="223" t="str">
        <f>IF(OR(tblPiNHistorical[[#This Row],[ASH25]]="", tblPiNHistorical[[#This Row],[ASH25]]=0, tblPiNHistorical[[#This Row],[ASH26]]="", tblPiNHistorical[[#This Row],[ASH26]]=0), "", tblPiNHistorical[[#This Row],[ASH26]]-tblPiNHistorical[[#This Row],[ASH25]])</f>
        <v/>
      </c>
      <c r="AA19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19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19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19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9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9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22239</v>
      </c>
    </row>
    <row r="195" spans="1:32">
      <c r="A19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VenezolanosVE1516</v>
      </c>
      <c r="B195" s="105" t="s">
        <v>276</v>
      </c>
      <c r="C195" s="104" t="s">
        <v>455</v>
      </c>
      <c r="D195" s="119" t="s">
        <v>483</v>
      </c>
      <c r="E195" s="104" t="s">
        <v>484</v>
      </c>
      <c r="F195" s="119"/>
      <c r="G195" s="102">
        <v>21831</v>
      </c>
      <c r="H195" s="102" t="s">
        <v>102</v>
      </c>
      <c r="I195" s="206">
        <v>3326</v>
      </c>
      <c r="J195" s="120">
        <v>999</v>
      </c>
      <c r="K195" s="207">
        <v>5684.1826183705398</v>
      </c>
      <c r="L195" s="207">
        <v>3043.5078577839022</v>
      </c>
      <c r="M195" s="207">
        <v>10672.087457912485</v>
      </c>
      <c r="N195" s="298">
        <v>4366</v>
      </c>
      <c r="O195" s="114">
        <f>tblPiNAnalysis[[#This Row],[SAMV]]</f>
        <v>6238</v>
      </c>
      <c r="P195" s="115">
        <f>tblPiNAnalysis[[#This Row],[NUT]]</f>
        <v>778.64504700271868</v>
      </c>
      <c r="Q195" s="115">
        <f>tblPiNAnalysis[[#This Row],[SAL]]</f>
        <v>7700</v>
      </c>
      <c r="R195" s="115">
        <f>tblPiNAnalysis[[#This Row],[EDU]]</f>
        <v>871.52670008632879</v>
      </c>
      <c r="S195" s="115">
        <f>tblPiNAnalysis[[#This Row],[PRO]]</f>
        <v>8025.2714933742463</v>
      </c>
      <c r="T195" s="116">
        <f>tblPiNAnalysis[[#This Row],[ASH]]</f>
        <v>0</v>
      </c>
      <c r="U195" s="300">
        <f>IF(OR(tblPiNHistorical[[#This Row],[SAMV25]]="", tblPiNHistorical[[#This Row],[SAMV25]]=0, tblPiNHistorical[[#This Row],[SAMV26]]="", tblPiNHistorical[[#This Row],[SAMV26]]=0), "", tblPiNHistorical[[#This Row],[SAMV26]]-tblPiNHistorical[[#This Row],[SAMV25]])</f>
        <v>2912</v>
      </c>
      <c r="V195" s="121">
        <f>IF(OR(tblPiNHistorical[[#This Row],[NUT25]]="", tblPiNHistorical[[#This Row],[NUT25]]=0, tblPiNHistorical[[#This Row],[NUT26]]="", tblPiNHistorical[[#This Row],[NUT26]]=0), "", tblPiNHistorical[[#This Row],[NUT26]]-tblPiNHistorical[[#This Row],[NUT25]])</f>
        <v>-220.35495299728132</v>
      </c>
      <c r="W195" s="121">
        <f>IF(OR(tblPiNHistorical[[#This Row],[SAL25]]="", tblPiNHistorical[[#This Row],[SAL25]]=0, tblPiNHistorical[[#This Row],[SAL26]]="", tblPiNHistorical[[#This Row],[SAL26]]=0), "", tblPiNHistorical[[#This Row],[SAL26]]-tblPiNHistorical[[#This Row],[SAL25]])</f>
        <v>2015.8173816294602</v>
      </c>
      <c r="X195" s="121">
        <f>IF(OR(tblPiNHistorical[[#This Row],[EDU25]]="", tblPiNHistorical[[#This Row],[EDU25]]=0, tblPiNHistorical[[#This Row],[EDU26]]="", tblPiNHistorical[[#This Row],[EDU26]]=0), "", tblPiNHistorical[[#This Row],[EDU26]]-tblPiNHistorical[[#This Row],[EDU25]])</f>
        <v>-2171.9811576975735</v>
      </c>
      <c r="Y195" s="121">
        <f>IF(OR(tblPiNHistorical[[#This Row],[PRO25]]="", tblPiNHistorical[[#This Row],[PRO25]]=0, tblPiNHistorical[[#This Row],[PRO26]]="", tblPiNHistorical[[#This Row],[PRO26]]=0), "", tblPiNHistorical[[#This Row],[PRO26]]-tblPiNHistorical[[#This Row],[PRO25]])</f>
        <v>-2646.8159645382384</v>
      </c>
      <c r="Z195" s="223" t="str">
        <f>IF(OR(tblPiNHistorical[[#This Row],[ASH25]]="", tblPiNHistorical[[#This Row],[ASH25]]=0, tblPiNHistorical[[#This Row],[ASH26]]="", tblPiNHistorical[[#This Row],[ASH26]]=0), "", tblPiNHistorical[[#This Row],[ASH26]]-tblPiNHistorical[[#This Row],[ASH25]])</f>
        <v/>
      </c>
      <c r="AA19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19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19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19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19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-0.2</v>
      </c>
      <c r="AF19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4366</v>
      </c>
    </row>
    <row r="196" spans="1:32">
      <c r="A19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VenezolanosVE1517</v>
      </c>
      <c r="B196" s="105" t="s">
        <v>276</v>
      </c>
      <c r="C196" s="104" t="s">
        <v>455</v>
      </c>
      <c r="D196" s="119" t="s">
        <v>485</v>
      </c>
      <c r="E196" s="104" t="s">
        <v>486</v>
      </c>
      <c r="F196" s="119"/>
      <c r="G196" s="102">
        <v>209987</v>
      </c>
      <c r="H196" s="102" t="s">
        <v>102</v>
      </c>
      <c r="I196" s="206">
        <v>31989</v>
      </c>
      <c r="J196" s="120">
        <v>8134</v>
      </c>
      <c r="K196" s="207">
        <v>54671.98830079945</v>
      </c>
      <c r="L196" s="207">
        <v>13552.159301245925</v>
      </c>
      <c r="M196" s="207">
        <v>34248.179880471602</v>
      </c>
      <c r="N196" s="298">
        <v>0</v>
      </c>
      <c r="O196" s="114">
        <f>tblPiNAnalysis[[#This Row],[SAMV]]</f>
        <v>5053</v>
      </c>
      <c r="P196" s="115">
        <f>tblPiNAnalysis[[#This Row],[NUT]]</f>
        <v>678.01838861406759</v>
      </c>
      <c r="Q196" s="115">
        <f>tblPiNAnalysis[[#This Row],[SAL]]</f>
        <v>6300</v>
      </c>
      <c r="R196" s="115">
        <f>tblPiNAnalysis[[#This Row],[EDU]]</f>
        <v>976.78145024549997</v>
      </c>
      <c r="S196" s="115">
        <f>tblPiNAnalysis[[#This Row],[PRO]]</f>
        <v>2458.3592002563364</v>
      </c>
      <c r="T196" s="116">
        <f>tblPiNAnalysis[[#This Row],[ASH]]</f>
        <v>7957.7999999999993</v>
      </c>
      <c r="U196" s="300">
        <f>IF(OR(tblPiNHistorical[[#This Row],[SAMV25]]="", tblPiNHistorical[[#This Row],[SAMV25]]=0, tblPiNHistorical[[#This Row],[SAMV26]]="", tblPiNHistorical[[#This Row],[SAMV26]]=0), "", tblPiNHistorical[[#This Row],[SAMV26]]-tblPiNHistorical[[#This Row],[SAMV25]])</f>
        <v>-26936</v>
      </c>
      <c r="V196" s="121">
        <f>IF(OR(tblPiNHistorical[[#This Row],[NUT25]]="", tblPiNHistorical[[#This Row],[NUT25]]=0, tblPiNHistorical[[#This Row],[NUT26]]="", tblPiNHistorical[[#This Row],[NUT26]]=0), "", tblPiNHistorical[[#This Row],[NUT26]]-tblPiNHistorical[[#This Row],[NUT25]])</f>
        <v>-7455.9816113859324</v>
      </c>
      <c r="W196" s="121">
        <f>IF(OR(tblPiNHistorical[[#This Row],[SAL25]]="", tblPiNHistorical[[#This Row],[SAL25]]=0, tblPiNHistorical[[#This Row],[SAL26]]="", tblPiNHistorical[[#This Row],[SAL26]]=0), "", tblPiNHistorical[[#This Row],[SAL26]]-tblPiNHistorical[[#This Row],[SAL25]])</f>
        <v>-48371.98830079945</v>
      </c>
      <c r="X196" s="121">
        <f>IF(OR(tblPiNHistorical[[#This Row],[EDU25]]="", tblPiNHistorical[[#This Row],[EDU25]]=0, tblPiNHistorical[[#This Row],[EDU26]]="", tblPiNHistorical[[#This Row],[EDU26]]=0), "", tblPiNHistorical[[#This Row],[EDU26]]-tblPiNHistorical[[#This Row],[EDU25]])</f>
        <v>-12575.377851000425</v>
      </c>
      <c r="Y196" s="121">
        <f>IF(OR(tblPiNHistorical[[#This Row],[PRO25]]="", tblPiNHistorical[[#This Row],[PRO25]]=0, tblPiNHistorical[[#This Row],[PRO26]]="", tblPiNHistorical[[#This Row],[PRO26]]=0), "", tblPiNHistorical[[#This Row],[PRO26]]-tblPiNHistorical[[#This Row],[PRO25]])</f>
        <v>-31789.820680215264</v>
      </c>
      <c r="Z196" s="223" t="str">
        <f>IF(OR(tblPiNHistorical[[#This Row],[ASH25]]="", tblPiNHistorical[[#This Row],[ASH25]]=0, tblPiNHistorical[[#This Row],[ASH26]]="", tblPiNHistorical[[#This Row],[ASH26]]=0), "", tblPiNHistorical[[#This Row],[ASH26]]-tblPiNHistorical[[#This Row],[ASH25]])</f>
        <v/>
      </c>
      <c r="AA19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19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19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-0.9</v>
      </c>
      <c r="AD19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19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9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7957.8</v>
      </c>
    </row>
    <row r="197" spans="1:32">
      <c r="A19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VenezolanosVE1518</v>
      </c>
      <c r="B197" s="105" t="s">
        <v>276</v>
      </c>
      <c r="C197" s="104" t="s">
        <v>455</v>
      </c>
      <c r="D197" s="119" t="s">
        <v>155</v>
      </c>
      <c r="E197" s="104" t="s">
        <v>487</v>
      </c>
      <c r="F197" s="119"/>
      <c r="G197" s="102">
        <v>42597</v>
      </c>
      <c r="H197" s="102" t="s">
        <v>102</v>
      </c>
      <c r="I197" s="206">
        <v>6489</v>
      </c>
      <c r="J197" s="120">
        <v>1682</v>
      </c>
      <c r="K197" s="207">
        <v>11090.943041666345</v>
      </c>
      <c r="L197" s="207">
        <v>5186.7176801058886</v>
      </c>
      <c r="M197" s="207">
        <v>20823.549514209062</v>
      </c>
      <c r="N197" s="298">
        <v>21299</v>
      </c>
      <c r="O197" s="114">
        <f>tblPiNAnalysis[[#This Row],[SAMV]]</f>
        <v>3102</v>
      </c>
      <c r="P197" s="115">
        <f>tblPiNAnalysis[[#This Row],[NUT]]</f>
        <v>1020.2898625197403</v>
      </c>
      <c r="Q197" s="115">
        <f>tblPiNAnalysis[[#This Row],[SAL]]</f>
        <v>7700</v>
      </c>
      <c r="R197" s="115">
        <f>tblPiNAnalysis[[#This Row],[EDU]]</f>
        <v>1352.440333635805</v>
      </c>
      <c r="S197" s="115">
        <f>tblPiNAnalysis[[#This Row],[PRO]]</f>
        <v>1943.4438825821976</v>
      </c>
      <c r="T197" s="116">
        <f>tblPiNAnalysis[[#This Row],[ASH]]</f>
        <v>7863.75</v>
      </c>
      <c r="U197" s="300">
        <f>IF(OR(tblPiNHistorical[[#This Row],[SAMV25]]="", tblPiNHistorical[[#This Row],[SAMV25]]=0, tblPiNHistorical[[#This Row],[SAMV26]]="", tblPiNHistorical[[#This Row],[SAMV26]]=0), "", tblPiNHistorical[[#This Row],[SAMV26]]-tblPiNHistorical[[#This Row],[SAMV25]])</f>
        <v>-3387</v>
      </c>
      <c r="V197" s="121">
        <f>IF(OR(tblPiNHistorical[[#This Row],[NUT25]]="", tblPiNHistorical[[#This Row],[NUT25]]=0, tblPiNHistorical[[#This Row],[NUT26]]="", tblPiNHistorical[[#This Row],[NUT26]]=0), "", tblPiNHistorical[[#This Row],[NUT26]]-tblPiNHistorical[[#This Row],[NUT25]])</f>
        <v>-661.71013748025973</v>
      </c>
      <c r="W197" s="121">
        <f>IF(OR(tblPiNHistorical[[#This Row],[SAL25]]="", tblPiNHistorical[[#This Row],[SAL25]]=0, tblPiNHistorical[[#This Row],[SAL26]]="", tblPiNHistorical[[#This Row],[SAL26]]=0), "", tblPiNHistorical[[#This Row],[SAL26]]-tblPiNHistorical[[#This Row],[SAL25]])</f>
        <v>-3390.9430416663454</v>
      </c>
      <c r="X197" s="121">
        <f>IF(OR(tblPiNHistorical[[#This Row],[EDU25]]="", tblPiNHistorical[[#This Row],[EDU25]]=0, tblPiNHistorical[[#This Row],[EDU26]]="", tblPiNHistorical[[#This Row],[EDU26]]=0), "", tblPiNHistorical[[#This Row],[EDU26]]-tblPiNHistorical[[#This Row],[EDU25]])</f>
        <v>-3834.2773464700836</v>
      </c>
      <c r="Y197" s="121">
        <f>IF(OR(tblPiNHistorical[[#This Row],[PRO25]]="", tblPiNHistorical[[#This Row],[PRO25]]=0, tblPiNHistorical[[#This Row],[PRO26]]="", tblPiNHistorical[[#This Row],[PRO26]]=0), "", tblPiNHistorical[[#This Row],[PRO26]]-tblPiNHistorical[[#This Row],[PRO25]])</f>
        <v>-18880.105631626866</v>
      </c>
      <c r="Z197" s="223">
        <f>IF(OR(tblPiNHistorical[[#This Row],[ASH25]]="", tblPiNHistorical[[#This Row],[ASH25]]=0, tblPiNHistorical[[#This Row],[ASH26]]="", tblPiNHistorical[[#This Row],[ASH26]]=0), "", tblPiNHistorical[[#This Row],[ASH26]]-tblPiNHistorical[[#This Row],[ASH25]])</f>
        <v>-13435.25</v>
      </c>
      <c r="AA19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19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-0.4</v>
      </c>
      <c r="AC19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19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19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97"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-0.6</v>
      </c>
    </row>
    <row r="198" spans="1:32">
      <c r="A19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VenezolanosVE1519</v>
      </c>
      <c r="B198" s="105" t="s">
        <v>276</v>
      </c>
      <c r="C198" s="104" t="s">
        <v>455</v>
      </c>
      <c r="D198" s="119" t="s">
        <v>203</v>
      </c>
      <c r="E198" s="104" t="s">
        <v>488</v>
      </c>
      <c r="F198" s="119"/>
      <c r="G198" s="102">
        <v>600351</v>
      </c>
      <c r="H198" s="102" t="s">
        <v>102</v>
      </c>
      <c r="I198" s="206">
        <v>91455</v>
      </c>
      <c r="J198" s="120">
        <v>22609</v>
      </c>
      <c r="K198" s="207">
        <v>156306.60025998222</v>
      </c>
      <c r="L198" s="207">
        <v>54560.452713375169</v>
      </c>
      <c r="M198" s="207">
        <v>34248.179880471602</v>
      </c>
      <c r="N198" s="298">
        <v>120070</v>
      </c>
      <c r="O198" s="114">
        <f>tblPiNAnalysis[[#This Row],[SAMV]]</f>
        <v>3279</v>
      </c>
      <c r="P198" s="115">
        <f>tblPiNAnalysis[[#This Row],[NUT]]</f>
        <v>750.37548371693617</v>
      </c>
      <c r="Q198" s="115">
        <f>tblPiNAnalysis[[#This Row],[SAL]]</f>
        <v>7720</v>
      </c>
      <c r="R198" s="115">
        <f>tblPiNAnalysis[[#This Row],[EDU]]</f>
        <v>1234.5802627612934</v>
      </c>
      <c r="S198" s="115">
        <f>tblPiNAnalysis[[#This Row],[PRO]]</f>
        <v>1178.4697206372657</v>
      </c>
      <c r="T198" s="116">
        <f>tblPiNAnalysis[[#This Row],[ASH]]</f>
        <v>0</v>
      </c>
      <c r="U198" s="300">
        <f>IF(OR(tblPiNHistorical[[#This Row],[SAMV25]]="", tblPiNHistorical[[#This Row],[SAMV25]]=0, tblPiNHistorical[[#This Row],[SAMV26]]="", tblPiNHistorical[[#This Row],[SAMV26]]=0), "", tblPiNHistorical[[#This Row],[SAMV26]]-tblPiNHistorical[[#This Row],[SAMV25]])</f>
        <v>-88176</v>
      </c>
      <c r="V198" s="121">
        <f>IF(OR(tblPiNHistorical[[#This Row],[NUT25]]="", tblPiNHistorical[[#This Row],[NUT25]]=0, tblPiNHistorical[[#This Row],[NUT26]]="", tblPiNHistorical[[#This Row],[NUT26]]=0), "", tblPiNHistorical[[#This Row],[NUT26]]-tblPiNHistorical[[#This Row],[NUT25]])</f>
        <v>-21858.624516283064</v>
      </c>
      <c r="W198" s="121">
        <f>IF(OR(tblPiNHistorical[[#This Row],[SAL25]]="", tblPiNHistorical[[#This Row],[SAL25]]=0, tblPiNHistorical[[#This Row],[SAL26]]="", tblPiNHistorical[[#This Row],[SAL26]]=0), "", tblPiNHistorical[[#This Row],[SAL26]]-tblPiNHistorical[[#This Row],[SAL25]])</f>
        <v>-148586.60025998222</v>
      </c>
      <c r="X198" s="121">
        <f>IF(OR(tblPiNHistorical[[#This Row],[EDU25]]="", tblPiNHistorical[[#This Row],[EDU25]]=0, tblPiNHistorical[[#This Row],[EDU26]]="", tblPiNHistorical[[#This Row],[EDU26]]=0), "", tblPiNHistorical[[#This Row],[EDU26]]-tblPiNHistorical[[#This Row],[EDU25]])</f>
        <v>-53325.872450613875</v>
      </c>
      <c r="Y198" s="121">
        <f>IF(OR(tblPiNHistorical[[#This Row],[PRO25]]="", tblPiNHistorical[[#This Row],[PRO25]]=0, tblPiNHistorical[[#This Row],[PRO26]]="", tblPiNHistorical[[#This Row],[PRO26]]=0), "", tblPiNHistorical[[#This Row],[PRO26]]-tblPiNHistorical[[#This Row],[PRO25]])</f>
        <v>-33069.710159834336</v>
      </c>
      <c r="Z198" s="223" t="str">
        <f>IF(OR(tblPiNHistorical[[#This Row],[ASH25]]="", tblPiNHistorical[[#This Row],[ASH25]]=0, tblPiNHistorical[[#This Row],[ASH26]]="", tblPiNHistorical[[#This Row],[ASH26]]=0), "", tblPiNHistorical[[#This Row],[ASH26]]-tblPiNHistorical[[#This Row],[ASH25]])</f>
        <v/>
      </c>
      <c r="AA19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19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v>
      </c>
      <c r="AC19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v>
      </c>
      <c r="AD19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19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19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120070</v>
      </c>
    </row>
    <row r="199" spans="1:32">
      <c r="A19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VenezolanosVE1520</v>
      </c>
      <c r="B199" s="105" t="s">
        <v>276</v>
      </c>
      <c r="C199" s="104" t="s">
        <v>455</v>
      </c>
      <c r="D199" s="119" t="s">
        <v>207</v>
      </c>
      <c r="E199" s="104" t="s">
        <v>489</v>
      </c>
      <c r="F199" s="119"/>
      <c r="G199" s="102">
        <v>135432</v>
      </c>
      <c r="H199" s="102" t="s">
        <v>102</v>
      </c>
      <c r="I199" s="206">
        <v>20631</v>
      </c>
      <c r="J199" s="120">
        <v>5271</v>
      </c>
      <c r="K199" s="207">
        <v>35261.351787552579</v>
      </c>
      <c r="L199" s="207">
        <v>15614.834836070942</v>
      </c>
      <c r="M199" s="207">
        <v>34248.179880471602</v>
      </c>
      <c r="N199" s="298">
        <v>27086</v>
      </c>
      <c r="O199" s="114">
        <f>tblPiNAnalysis[[#This Row],[SAMV]]</f>
        <v>1563</v>
      </c>
      <c r="P199" s="115">
        <f>tblPiNAnalysis[[#This Row],[NUT]]</f>
        <v>509.86292503653624</v>
      </c>
      <c r="Q199" s="115">
        <f>tblPiNAnalysis[[#This Row],[SAL]]</f>
        <v>7700</v>
      </c>
      <c r="R199" s="115">
        <f>tblPiNAnalysis[[#This Row],[EDU]]</f>
        <v>726.38710305892255</v>
      </c>
      <c r="S199" s="115">
        <f>tblPiNAnalysis[[#This Row],[PRO]]</f>
        <v>2243.4771602115143</v>
      </c>
      <c r="T199" s="116">
        <f>tblPiNAnalysis[[#This Row],[ASH]]</f>
        <v>5626.2</v>
      </c>
      <c r="U199" s="300">
        <f>IF(OR(tblPiNHistorical[[#This Row],[SAMV25]]="", tblPiNHistorical[[#This Row],[SAMV25]]=0, tblPiNHistorical[[#This Row],[SAMV26]]="", tblPiNHistorical[[#This Row],[SAMV26]]=0), "", tblPiNHistorical[[#This Row],[SAMV26]]-tblPiNHistorical[[#This Row],[SAMV25]])</f>
        <v>-19068</v>
      </c>
      <c r="V199" s="121">
        <f>IF(OR(tblPiNHistorical[[#This Row],[NUT25]]="", tblPiNHistorical[[#This Row],[NUT25]]=0, tblPiNHistorical[[#This Row],[NUT26]]="", tblPiNHistorical[[#This Row],[NUT26]]=0), "", tblPiNHistorical[[#This Row],[NUT26]]-tblPiNHistorical[[#This Row],[NUT25]])</f>
        <v>-4761.1370749634634</v>
      </c>
      <c r="W199" s="121">
        <f>IF(OR(tblPiNHistorical[[#This Row],[SAL25]]="", tblPiNHistorical[[#This Row],[SAL25]]=0, tblPiNHistorical[[#This Row],[SAL26]]="", tblPiNHistorical[[#This Row],[SAL26]]=0), "", tblPiNHistorical[[#This Row],[SAL26]]-tblPiNHistorical[[#This Row],[SAL25]])</f>
        <v>-27561.351787552579</v>
      </c>
      <c r="X199" s="121">
        <f>IF(OR(tblPiNHistorical[[#This Row],[EDU25]]="", tblPiNHistorical[[#This Row],[EDU25]]=0, tblPiNHistorical[[#This Row],[EDU26]]="", tblPiNHistorical[[#This Row],[EDU26]]=0), "", tblPiNHistorical[[#This Row],[EDU26]]-tblPiNHistorical[[#This Row],[EDU25]])</f>
        <v>-14888.447733012021</v>
      </c>
      <c r="Y199" s="121">
        <f>IF(OR(tblPiNHistorical[[#This Row],[PRO25]]="", tblPiNHistorical[[#This Row],[PRO25]]=0, tblPiNHistorical[[#This Row],[PRO26]]="", tblPiNHistorical[[#This Row],[PRO26]]=0), "", tblPiNHistorical[[#This Row],[PRO26]]-tblPiNHistorical[[#This Row],[PRO25]])</f>
        <v>-32004.702720260088</v>
      </c>
      <c r="Z199" s="223">
        <f>IF(OR(tblPiNHistorical[[#This Row],[ASH25]]="", tblPiNHistorical[[#This Row],[ASH25]]=0, tblPiNHistorical[[#This Row],[ASH26]]="", tblPiNHistorical[[#This Row],[ASH26]]=0), "", tblPiNHistorical[[#This Row],[ASH26]]-tblPiNHistorical[[#This Row],[ASH25]])</f>
        <v>-21459.8</v>
      </c>
      <c r="AA19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19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19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19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19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199"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-0.8</v>
      </c>
    </row>
    <row r="200" spans="1:32">
      <c r="A20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VenezolanosVE1521</v>
      </c>
      <c r="B200" s="105" t="s">
        <v>276</v>
      </c>
      <c r="C200" s="104" t="s">
        <v>455</v>
      </c>
      <c r="D200" s="119" t="s">
        <v>209</v>
      </c>
      <c r="E200" s="104" t="s">
        <v>490</v>
      </c>
      <c r="F200" s="119"/>
      <c r="G200" s="102">
        <v>187075</v>
      </c>
      <c r="H200" s="102" t="s">
        <v>102</v>
      </c>
      <c r="I200" s="206">
        <v>28498</v>
      </c>
      <c r="J200" s="120">
        <v>6955</v>
      </c>
      <c r="K200" s="207">
        <v>48706.420313138813</v>
      </c>
      <c r="L200" s="207">
        <v>19531.343807617905</v>
      </c>
      <c r="M200" s="207">
        <v>34248.179880471602</v>
      </c>
      <c r="N200" s="298">
        <v>0</v>
      </c>
      <c r="O200" s="114">
        <f>tblPiNAnalysis[[#This Row],[SAMV]]</f>
        <v>1456</v>
      </c>
      <c r="P200" s="115">
        <f>tblPiNAnalysis[[#This Row],[NUT]]</f>
        <v>283.34738935940982</v>
      </c>
      <c r="Q200" s="115">
        <f>tblPiNAnalysis[[#This Row],[SAL]]</f>
        <v>7700</v>
      </c>
      <c r="R200" s="115">
        <f>tblPiNAnalysis[[#This Row],[EDU]]</f>
        <v>597.02342153398752</v>
      </c>
      <c r="S200" s="115">
        <f>tblPiNAnalysis[[#This Row],[PRO]]</f>
        <v>1741.690382090891</v>
      </c>
      <c r="T200" s="116">
        <f>tblPiNAnalysis[[#This Row],[ASH]]</f>
        <v>1178.9549999999999</v>
      </c>
      <c r="U200" s="300">
        <f>IF(OR(tblPiNHistorical[[#This Row],[SAMV25]]="", tblPiNHistorical[[#This Row],[SAMV25]]=0, tblPiNHistorical[[#This Row],[SAMV26]]="", tblPiNHistorical[[#This Row],[SAMV26]]=0), "", tblPiNHistorical[[#This Row],[SAMV26]]-tblPiNHistorical[[#This Row],[SAMV25]])</f>
        <v>-27042</v>
      </c>
      <c r="V200" s="121">
        <f>IF(OR(tblPiNHistorical[[#This Row],[NUT25]]="", tblPiNHistorical[[#This Row],[NUT25]]=0, tblPiNHistorical[[#This Row],[NUT26]]="", tblPiNHistorical[[#This Row],[NUT26]]=0), "", tblPiNHistorical[[#This Row],[NUT26]]-tblPiNHistorical[[#This Row],[NUT25]])</f>
        <v>-6671.65261064059</v>
      </c>
      <c r="W200" s="121">
        <f>IF(OR(tblPiNHistorical[[#This Row],[SAL25]]="", tblPiNHistorical[[#This Row],[SAL25]]=0, tblPiNHistorical[[#This Row],[SAL26]]="", tblPiNHistorical[[#This Row],[SAL26]]=0), "", tblPiNHistorical[[#This Row],[SAL26]]-tblPiNHistorical[[#This Row],[SAL25]])</f>
        <v>-41006.420313138813</v>
      </c>
      <c r="X200" s="121">
        <f>IF(OR(tblPiNHistorical[[#This Row],[EDU25]]="", tblPiNHistorical[[#This Row],[EDU25]]=0, tblPiNHistorical[[#This Row],[EDU26]]="", tblPiNHistorical[[#This Row],[EDU26]]=0), "", tblPiNHistorical[[#This Row],[EDU26]]-tblPiNHistorical[[#This Row],[EDU25]])</f>
        <v>-18934.320386083917</v>
      </c>
      <c r="Y200" s="121">
        <f>IF(OR(tblPiNHistorical[[#This Row],[PRO25]]="", tblPiNHistorical[[#This Row],[PRO25]]=0, tblPiNHistorical[[#This Row],[PRO26]]="", tblPiNHistorical[[#This Row],[PRO26]]=0), "", tblPiNHistorical[[#This Row],[PRO26]]-tblPiNHistorical[[#This Row],[PRO25]])</f>
        <v>-32506.48949838071</v>
      </c>
      <c r="Z200" s="223" t="str">
        <f>IF(OR(tblPiNHistorical[[#This Row],[ASH25]]="", tblPiNHistorical[[#This Row],[ASH25]]=0, tblPiNHistorical[[#This Row],[ASH26]]="", tblPiNHistorical[[#This Row],[ASH26]]=0), "", tblPiNHistorical[[#This Row],[ASH26]]-tblPiNHistorical[[#This Row],[ASH25]])</f>
        <v/>
      </c>
      <c r="AA20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0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v>
      </c>
      <c r="AC20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20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20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0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1178.955</v>
      </c>
    </row>
    <row r="201" spans="1:32">
      <c r="A20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VenezolanosVE1601</v>
      </c>
      <c r="B201" s="105" t="s">
        <v>491</v>
      </c>
      <c r="C201" s="104" t="s">
        <v>492</v>
      </c>
      <c r="D201" s="119" t="s">
        <v>318</v>
      </c>
      <c r="E201" s="104" t="s">
        <v>493</v>
      </c>
      <c r="F201" s="119"/>
      <c r="G201" s="102">
        <v>18218</v>
      </c>
      <c r="H201" s="102" t="s">
        <v>102</v>
      </c>
      <c r="I201" s="206">
        <v>2705</v>
      </c>
      <c r="J201" s="120">
        <v>702</v>
      </c>
      <c r="K201" s="207">
        <v>4742.9287422241205</v>
      </c>
      <c r="L201" s="207">
        <v>1438.4444154047776</v>
      </c>
      <c r="M201" s="207">
        <v>6476.9977407689521</v>
      </c>
      <c r="N201" s="298">
        <v>0</v>
      </c>
      <c r="O201" s="114">
        <f>tblPiNAnalysis[[#This Row],[SAMV]]</f>
        <v>2727</v>
      </c>
      <c r="P201" s="115">
        <f>tblPiNAnalysis[[#This Row],[NUT]]</f>
        <v>540.28139075847002</v>
      </c>
      <c r="Q201" s="115">
        <f>tblPiNAnalysis[[#This Row],[SAL]]</f>
        <v>7700</v>
      </c>
      <c r="R201" s="115">
        <f>tblPiNAnalysis[[#This Row],[EDU]]</f>
        <v>867.92845520858828</v>
      </c>
      <c r="S201" s="115">
        <f>tblPiNAnalysis[[#This Row],[PRO]]</f>
        <v>2797.31470276043</v>
      </c>
      <c r="T201" s="116">
        <f>tblPiNAnalysis[[#This Row],[ASH]]</f>
        <v>1893.5099999999998</v>
      </c>
      <c r="U201" s="300">
        <f>IF(OR(tblPiNHistorical[[#This Row],[SAMV25]]="", tblPiNHistorical[[#This Row],[SAMV25]]=0, tblPiNHistorical[[#This Row],[SAMV26]]="", tblPiNHistorical[[#This Row],[SAMV26]]=0), "", tblPiNHistorical[[#This Row],[SAMV26]]-tblPiNHistorical[[#This Row],[SAMV25]])</f>
        <v>22</v>
      </c>
      <c r="V201" s="121">
        <f>IF(OR(tblPiNHistorical[[#This Row],[NUT25]]="", tblPiNHistorical[[#This Row],[NUT25]]=0, tblPiNHistorical[[#This Row],[NUT26]]="", tblPiNHistorical[[#This Row],[NUT26]]=0), "", tblPiNHistorical[[#This Row],[NUT26]]-tblPiNHistorical[[#This Row],[NUT25]])</f>
        <v>-161.71860924152998</v>
      </c>
      <c r="W201" s="121">
        <f>IF(OR(tblPiNHistorical[[#This Row],[SAL25]]="", tblPiNHistorical[[#This Row],[SAL25]]=0, tblPiNHistorical[[#This Row],[SAL26]]="", tblPiNHistorical[[#This Row],[SAL26]]=0), "", tblPiNHistorical[[#This Row],[SAL26]]-tblPiNHistorical[[#This Row],[SAL25]])</f>
        <v>2957.0712577758795</v>
      </c>
      <c r="X201" s="121">
        <f>IF(OR(tblPiNHistorical[[#This Row],[EDU25]]="", tblPiNHistorical[[#This Row],[EDU25]]=0, tblPiNHistorical[[#This Row],[EDU26]]="", tblPiNHistorical[[#This Row],[EDU26]]=0), "", tblPiNHistorical[[#This Row],[EDU26]]-tblPiNHistorical[[#This Row],[EDU25]])</f>
        <v>-570.51596019618933</v>
      </c>
      <c r="Y201" s="121">
        <f>IF(OR(tblPiNHistorical[[#This Row],[PRO25]]="", tblPiNHistorical[[#This Row],[PRO25]]=0, tblPiNHistorical[[#This Row],[PRO26]]="", tblPiNHistorical[[#This Row],[PRO26]]=0), "", tblPiNHistorical[[#This Row],[PRO26]]-tblPiNHistorical[[#This Row],[PRO25]])</f>
        <v>-3679.6830380085221</v>
      </c>
      <c r="Z201" s="223" t="str">
        <f>IF(OR(tblPiNHistorical[[#This Row],[ASH25]]="", tblPiNHistorical[[#This Row],[ASH25]]=0, tblPiNHistorical[[#This Row],[ASH26]]="", tblPiNHistorical[[#This Row],[ASH26]]=0), "", tblPiNHistorical[[#This Row],[ASH26]]-tblPiNHistorical[[#This Row],[ASH25]])</f>
        <v/>
      </c>
      <c r="AA20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v>
      </c>
      <c r="AB20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20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20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20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20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1893.51</v>
      </c>
    </row>
    <row r="202" spans="1:32">
      <c r="A20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VenezolanosVE1602</v>
      </c>
      <c r="B202" s="105" t="s">
        <v>491</v>
      </c>
      <c r="C202" s="104" t="s">
        <v>492</v>
      </c>
      <c r="D202" s="119" t="s">
        <v>494</v>
      </c>
      <c r="E202" s="104" t="s">
        <v>495</v>
      </c>
      <c r="F202" s="119"/>
      <c r="G202" s="102">
        <v>11856</v>
      </c>
      <c r="H202" s="102" t="s">
        <v>102</v>
      </c>
      <c r="I202" s="206">
        <v>1760</v>
      </c>
      <c r="J202" s="120">
        <v>593</v>
      </c>
      <c r="K202" s="207">
        <v>3086.3219202064201</v>
      </c>
      <c r="L202" s="207">
        <v>1073.962819453965</v>
      </c>
      <c r="M202" s="207">
        <v>5795.8072878480334</v>
      </c>
      <c r="N202" s="298">
        <v>0</v>
      </c>
      <c r="O202" s="114">
        <f>tblPiNAnalysis[[#This Row],[SAMV]]</f>
        <v>0</v>
      </c>
      <c r="P202" s="115">
        <f>tblPiNAnalysis[[#This Row],[NUT]]</f>
        <v>1127.6680384267049</v>
      </c>
      <c r="Q202" s="115">
        <f>tblPiNAnalysis[[#This Row],[SAL]]</f>
        <v>7541.2650000000003</v>
      </c>
      <c r="R202" s="115">
        <f>tblPiNAnalysis[[#This Row],[EDU]]</f>
        <v>1499.7524248814229</v>
      </c>
      <c r="S202" s="115">
        <f>tblPiNAnalysis[[#This Row],[PRO]]</f>
        <v>3829.6131671941616</v>
      </c>
      <c r="T202" s="116">
        <f>tblPiNAnalysis[[#This Row],[ASH]]</f>
        <v>2789.2350000000001</v>
      </c>
      <c r="U202" s="300" t="str">
        <f>IF(OR(tblPiNHistorical[[#This Row],[SAMV25]]="", tblPiNHistorical[[#This Row],[SAMV25]]=0, tblPiNHistorical[[#This Row],[SAMV26]]="", tblPiNHistorical[[#This Row],[SAMV26]]=0), "", tblPiNHistorical[[#This Row],[SAMV26]]-tblPiNHistorical[[#This Row],[SAMV25]])</f>
        <v/>
      </c>
      <c r="V202" s="121">
        <f>IF(OR(tblPiNHistorical[[#This Row],[NUT25]]="", tblPiNHistorical[[#This Row],[NUT25]]=0, tblPiNHistorical[[#This Row],[NUT26]]="", tblPiNHistorical[[#This Row],[NUT26]]=0), "", tblPiNHistorical[[#This Row],[NUT26]]-tblPiNHistorical[[#This Row],[NUT25]])</f>
        <v>534.66803842670492</v>
      </c>
      <c r="W202" s="121">
        <f>IF(OR(tblPiNHistorical[[#This Row],[SAL25]]="", tblPiNHistorical[[#This Row],[SAL25]]=0, tblPiNHistorical[[#This Row],[SAL26]]="", tblPiNHistorical[[#This Row],[SAL26]]=0), "", tblPiNHistorical[[#This Row],[SAL26]]-tblPiNHistorical[[#This Row],[SAL25]])</f>
        <v>4454.9430797935802</v>
      </c>
      <c r="X202" s="121">
        <f>IF(OR(tblPiNHistorical[[#This Row],[EDU25]]="", tblPiNHistorical[[#This Row],[EDU25]]=0, tblPiNHistorical[[#This Row],[EDU26]]="", tblPiNHistorical[[#This Row],[EDU26]]=0), "", tblPiNHistorical[[#This Row],[EDU26]]-tblPiNHistorical[[#This Row],[EDU25]])</f>
        <v>425.7896054274579</v>
      </c>
      <c r="Y202" s="121">
        <f>IF(OR(tblPiNHistorical[[#This Row],[PRO25]]="", tblPiNHistorical[[#This Row],[PRO25]]=0, tblPiNHistorical[[#This Row],[PRO26]]="", tblPiNHistorical[[#This Row],[PRO26]]=0), "", tblPiNHistorical[[#This Row],[PRO26]]-tblPiNHistorical[[#This Row],[PRO25]])</f>
        <v>-1966.1941206538718</v>
      </c>
      <c r="Z202" s="223" t="str">
        <f>IF(OR(tblPiNHistorical[[#This Row],[ASH25]]="", tblPiNHistorical[[#This Row],[ASH25]]=0, tblPiNHistorical[[#This Row],[ASH26]]="", tblPiNHistorical[[#This Row],[ASH26]]=0), "", tblPiNHistorical[[#This Row],[ASH26]]-tblPiNHistorical[[#This Row],[ASH25]])</f>
        <v/>
      </c>
      <c r="AA202" s="227" t="str">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NoPIN26 1760</v>
      </c>
      <c r="AB20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20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1.4</v>
      </c>
      <c r="AD20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20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20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2789.235</v>
      </c>
    </row>
    <row r="203" spans="1:32">
      <c r="A20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VenezolanosVE1603</v>
      </c>
      <c r="B203" s="105" t="s">
        <v>491</v>
      </c>
      <c r="C203" s="104" t="s">
        <v>492</v>
      </c>
      <c r="D203" s="119" t="s">
        <v>180</v>
      </c>
      <c r="E203" s="104" t="s">
        <v>496</v>
      </c>
      <c r="F203" s="119"/>
      <c r="G203" s="102">
        <v>38648</v>
      </c>
      <c r="H203" s="102" t="s">
        <v>102</v>
      </c>
      <c r="I203" s="206">
        <v>5737</v>
      </c>
      <c r="J203" s="120">
        <v>1774</v>
      </c>
      <c r="K203" s="207">
        <v>10062.499332782152</v>
      </c>
      <c r="L203" s="207">
        <v>3116.8063228360561</v>
      </c>
      <c r="M203" s="207">
        <v>13573.446661280324</v>
      </c>
      <c r="N203" s="298">
        <v>7730</v>
      </c>
      <c r="O203" s="114">
        <f>tblPiNAnalysis[[#This Row],[SAMV]]</f>
        <v>5038</v>
      </c>
      <c r="P203" s="115">
        <f>tblPiNAnalysis[[#This Row],[NUT]]</f>
        <v>601.39446715371628</v>
      </c>
      <c r="Q203" s="115">
        <f>tblPiNAnalysis[[#This Row],[SAL]]</f>
        <v>7512.0649999999996</v>
      </c>
      <c r="R203" s="115">
        <f>tblPiNAnalysis[[#This Row],[EDU]]</f>
        <v>2287.1514982759304</v>
      </c>
      <c r="S203" s="115">
        <f>tblPiNAnalysis[[#This Row],[PRO]]</f>
        <v>3442.6375709185327</v>
      </c>
      <c r="T203" s="116">
        <f>tblPiNAnalysis[[#This Row],[ASH]]</f>
        <v>1389.2175</v>
      </c>
      <c r="U203" s="300">
        <f>IF(OR(tblPiNHistorical[[#This Row],[SAMV25]]="", tblPiNHistorical[[#This Row],[SAMV25]]=0, tblPiNHistorical[[#This Row],[SAMV26]]="", tblPiNHistorical[[#This Row],[SAMV26]]=0), "", tblPiNHistorical[[#This Row],[SAMV26]]-tblPiNHistorical[[#This Row],[SAMV25]])</f>
        <v>-699</v>
      </c>
      <c r="V203" s="121">
        <f>IF(OR(tblPiNHistorical[[#This Row],[NUT25]]="", tblPiNHistorical[[#This Row],[NUT25]]=0, tblPiNHistorical[[#This Row],[NUT26]]="", tblPiNHistorical[[#This Row],[NUT26]]=0), "", tblPiNHistorical[[#This Row],[NUT26]]-tblPiNHistorical[[#This Row],[NUT25]])</f>
        <v>-1172.6055328462837</v>
      </c>
      <c r="W203" s="121">
        <f>IF(OR(tblPiNHistorical[[#This Row],[SAL25]]="", tblPiNHistorical[[#This Row],[SAL25]]=0, tblPiNHistorical[[#This Row],[SAL26]]="", tblPiNHistorical[[#This Row],[SAL26]]=0), "", tblPiNHistorical[[#This Row],[SAL26]]-tblPiNHistorical[[#This Row],[SAL25]])</f>
        <v>-2550.4343327821525</v>
      </c>
      <c r="X203" s="121">
        <f>IF(OR(tblPiNHistorical[[#This Row],[EDU25]]="", tblPiNHistorical[[#This Row],[EDU25]]=0, tblPiNHistorical[[#This Row],[EDU26]]="", tblPiNHistorical[[#This Row],[EDU26]]=0), "", tblPiNHistorical[[#This Row],[EDU26]]-tblPiNHistorical[[#This Row],[EDU25]])</f>
        <v>-829.65482456012569</v>
      </c>
      <c r="Y203" s="121">
        <f>IF(OR(tblPiNHistorical[[#This Row],[PRO25]]="", tblPiNHistorical[[#This Row],[PRO25]]=0, tblPiNHistorical[[#This Row],[PRO26]]="", tblPiNHistorical[[#This Row],[PRO26]]=0), "", tblPiNHistorical[[#This Row],[PRO26]]-tblPiNHistorical[[#This Row],[PRO25]])</f>
        <v>-10130.809090361792</v>
      </c>
      <c r="Z203" s="223">
        <f>IF(OR(tblPiNHistorical[[#This Row],[ASH25]]="", tblPiNHistorical[[#This Row],[ASH25]]=0, tblPiNHistorical[[#This Row],[ASH26]]="", tblPiNHistorical[[#This Row],[ASH26]]=0), "", tblPiNHistorical[[#This Row],[ASH26]]-tblPiNHistorical[[#This Row],[ASH25]])</f>
        <v>-6340.7825000000003</v>
      </c>
      <c r="AA20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20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20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20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20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203"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-0.8</v>
      </c>
    </row>
    <row r="204" spans="1:32">
      <c r="A20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VenezolanosVE1604</v>
      </c>
      <c r="B204" s="105" t="s">
        <v>491</v>
      </c>
      <c r="C204" s="104" t="s">
        <v>492</v>
      </c>
      <c r="D204" s="119" t="s">
        <v>497</v>
      </c>
      <c r="E204" s="104" t="s">
        <v>498</v>
      </c>
      <c r="F204" s="119"/>
      <c r="G204" s="102">
        <v>33738</v>
      </c>
      <c r="H204" s="102" t="s">
        <v>102</v>
      </c>
      <c r="I204" s="206">
        <v>5009</v>
      </c>
      <c r="J204" s="120">
        <v>1512</v>
      </c>
      <c r="K204" s="207">
        <v>8784.375648330697</v>
      </c>
      <c r="L204" s="207">
        <v>3272.5153462458393</v>
      </c>
      <c r="M204" s="207">
        <v>11994.782620378906</v>
      </c>
      <c r="N204" s="298">
        <v>0</v>
      </c>
      <c r="O204" s="114">
        <f>tblPiNAnalysis[[#This Row],[SAMV]]</f>
        <v>2024</v>
      </c>
      <c r="P204" s="115">
        <f>tblPiNAnalysis[[#This Row],[NUT]]</f>
        <v>782.46237614377844</v>
      </c>
      <c r="Q204" s="115">
        <f>tblPiNAnalysis[[#This Row],[SAL]]</f>
        <v>7500</v>
      </c>
      <c r="R204" s="115">
        <f>tblPiNAnalysis[[#This Row],[EDU]]</f>
        <v>2960.1249813816162</v>
      </c>
      <c r="S204" s="115">
        <f>tblPiNAnalysis[[#This Row],[PRO]]</f>
        <v>2042.0259744486805</v>
      </c>
      <c r="T204" s="116">
        <f>tblPiNAnalysis[[#This Row],[ASH]]</f>
        <v>1152.2249999999999</v>
      </c>
      <c r="U204" s="300">
        <f>IF(OR(tblPiNHistorical[[#This Row],[SAMV25]]="", tblPiNHistorical[[#This Row],[SAMV25]]=0, tblPiNHistorical[[#This Row],[SAMV26]]="", tblPiNHistorical[[#This Row],[SAMV26]]=0), "", tblPiNHistorical[[#This Row],[SAMV26]]-tblPiNHistorical[[#This Row],[SAMV25]])</f>
        <v>-2985</v>
      </c>
      <c r="V204" s="121">
        <f>IF(OR(tblPiNHistorical[[#This Row],[NUT25]]="", tblPiNHistorical[[#This Row],[NUT25]]=0, tblPiNHistorical[[#This Row],[NUT26]]="", tblPiNHistorical[[#This Row],[NUT26]]=0), "", tblPiNHistorical[[#This Row],[NUT26]]-tblPiNHistorical[[#This Row],[NUT25]])</f>
        <v>-729.53762385622156</v>
      </c>
      <c r="W204" s="121">
        <f>IF(OR(tblPiNHistorical[[#This Row],[SAL25]]="", tblPiNHistorical[[#This Row],[SAL25]]=0, tblPiNHistorical[[#This Row],[SAL26]]="", tblPiNHistorical[[#This Row],[SAL26]]=0), "", tblPiNHistorical[[#This Row],[SAL26]]-tblPiNHistorical[[#This Row],[SAL25]])</f>
        <v>-1284.375648330697</v>
      </c>
      <c r="X204" s="121">
        <f>IF(OR(tblPiNHistorical[[#This Row],[EDU25]]="", tblPiNHistorical[[#This Row],[EDU25]]=0, tblPiNHistorical[[#This Row],[EDU26]]="", tblPiNHistorical[[#This Row],[EDU26]]=0), "", tblPiNHistorical[[#This Row],[EDU26]]-tblPiNHistorical[[#This Row],[EDU25]])</f>
        <v>-312.3903648642231</v>
      </c>
      <c r="Y204" s="121">
        <f>IF(OR(tblPiNHistorical[[#This Row],[PRO25]]="", tblPiNHistorical[[#This Row],[PRO25]]=0, tblPiNHistorical[[#This Row],[PRO26]]="", tblPiNHistorical[[#This Row],[PRO26]]=0), "", tblPiNHistorical[[#This Row],[PRO26]]-tblPiNHistorical[[#This Row],[PRO25]])</f>
        <v>-9952.7566459302252</v>
      </c>
      <c r="Z204" s="223" t="str">
        <f>IF(OR(tblPiNHistorical[[#This Row],[ASH25]]="", tblPiNHistorical[[#This Row],[ASH25]]=0, tblPiNHistorical[[#This Row],[ASH26]]="", tblPiNHistorical[[#This Row],[ASH26]]=0), "", tblPiNHistorical[[#This Row],[ASH26]]-tblPiNHistorical[[#This Row],[ASH25]])</f>
        <v/>
      </c>
      <c r="AA20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20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20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20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20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0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1152.225</v>
      </c>
    </row>
    <row r="205" spans="1:32">
      <c r="A20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VenezolanosVE1605</v>
      </c>
      <c r="B205" s="105" t="s">
        <v>491</v>
      </c>
      <c r="C205" s="104" t="s">
        <v>492</v>
      </c>
      <c r="D205" s="119" t="s">
        <v>242</v>
      </c>
      <c r="E205" s="104" t="s">
        <v>499</v>
      </c>
      <c r="F205" s="119"/>
      <c r="G205" s="102">
        <v>34463</v>
      </c>
      <c r="H205" s="102" t="s">
        <v>102</v>
      </c>
      <c r="I205" s="206">
        <v>5116</v>
      </c>
      <c r="J205" s="120">
        <v>1533</v>
      </c>
      <c r="K205" s="207">
        <v>8972.6264235599829</v>
      </c>
      <c r="L205" s="207">
        <v>3182.5057527835475</v>
      </c>
      <c r="M205" s="207">
        <v>12252.539968169966</v>
      </c>
      <c r="N205" s="298">
        <v>6893</v>
      </c>
      <c r="O205" s="114">
        <f>tblPiNAnalysis[[#This Row],[SAMV]]</f>
        <v>4066</v>
      </c>
      <c r="P205" s="115">
        <f>tblPiNAnalysis[[#This Row],[NUT]]</f>
        <v>988.64560982563501</v>
      </c>
      <c r="Q205" s="115">
        <f>tblPiNAnalysis[[#This Row],[SAL]]</f>
        <v>7500</v>
      </c>
      <c r="R205" s="115">
        <f>tblPiNAnalysis[[#This Row],[EDU]]</f>
        <v>2203.3600343207081</v>
      </c>
      <c r="S205" s="115">
        <f>tblPiNAnalysis[[#This Row],[PRO]]</f>
        <v>2907.3030004094485</v>
      </c>
      <c r="T205" s="116">
        <f>tblPiNAnalysis[[#This Row],[ASH]]</f>
        <v>7318.8</v>
      </c>
      <c r="U205" s="300">
        <f>IF(OR(tblPiNHistorical[[#This Row],[SAMV25]]="", tblPiNHistorical[[#This Row],[SAMV25]]=0, tblPiNHistorical[[#This Row],[SAMV26]]="", tblPiNHistorical[[#This Row],[SAMV26]]=0), "", tblPiNHistorical[[#This Row],[SAMV26]]-tblPiNHistorical[[#This Row],[SAMV25]])</f>
        <v>-1050</v>
      </c>
      <c r="V205" s="121">
        <f>IF(OR(tblPiNHistorical[[#This Row],[NUT25]]="", tblPiNHistorical[[#This Row],[NUT25]]=0, tblPiNHistorical[[#This Row],[NUT26]]="", tblPiNHistorical[[#This Row],[NUT26]]=0), "", tblPiNHistorical[[#This Row],[NUT26]]-tblPiNHistorical[[#This Row],[NUT25]])</f>
        <v>-544.35439017436499</v>
      </c>
      <c r="W205" s="121">
        <f>IF(OR(tblPiNHistorical[[#This Row],[SAL25]]="", tblPiNHistorical[[#This Row],[SAL25]]=0, tblPiNHistorical[[#This Row],[SAL26]]="", tblPiNHistorical[[#This Row],[SAL26]]=0), "", tblPiNHistorical[[#This Row],[SAL26]]-tblPiNHistorical[[#This Row],[SAL25]])</f>
        <v>-1472.6264235599829</v>
      </c>
      <c r="X205" s="121">
        <f>IF(OR(tblPiNHistorical[[#This Row],[EDU25]]="", tblPiNHistorical[[#This Row],[EDU25]]=0, tblPiNHistorical[[#This Row],[EDU26]]="", tblPiNHistorical[[#This Row],[EDU26]]=0), "", tblPiNHistorical[[#This Row],[EDU26]]-tblPiNHistorical[[#This Row],[EDU25]])</f>
        <v>-979.14571846283934</v>
      </c>
      <c r="Y205" s="121">
        <f>IF(OR(tblPiNHistorical[[#This Row],[PRO25]]="", tblPiNHistorical[[#This Row],[PRO25]]=0, tblPiNHistorical[[#This Row],[PRO26]]="", tblPiNHistorical[[#This Row],[PRO26]]=0), "", tblPiNHistorical[[#This Row],[PRO26]]-tblPiNHistorical[[#This Row],[PRO25]])</f>
        <v>-9345.2369677605166</v>
      </c>
      <c r="Z205" s="223">
        <f>IF(OR(tblPiNHistorical[[#This Row],[ASH25]]="", tblPiNHistorical[[#This Row],[ASH25]]=0, tblPiNHistorical[[#This Row],[ASH26]]="", tblPiNHistorical[[#This Row],[ASH26]]=0), "", tblPiNHistorical[[#This Row],[ASH26]]-tblPiNHistorical[[#This Row],[ASH25]])</f>
        <v>425.80000000000018</v>
      </c>
      <c r="AA20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20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-0.4</v>
      </c>
      <c r="AC20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20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20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05"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0.1</v>
      </c>
    </row>
    <row r="206" spans="1:32">
      <c r="A20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VenezolanosVE1606</v>
      </c>
      <c r="B206" s="105" t="s">
        <v>491</v>
      </c>
      <c r="C206" s="104" t="s">
        <v>492</v>
      </c>
      <c r="D206" s="119" t="s">
        <v>227</v>
      </c>
      <c r="E206" s="104" t="s">
        <v>500</v>
      </c>
      <c r="F206" s="119"/>
      <c r="G206" s="102">
        <v>62751</v>
      </c>
      <c r="H206" s="102" t="s">
        <v>102</v>
      </c>
      <c r="I206" s="206">
        <v>9316</v>
      </c>
      <c r="J206" s="120">
        <v>2750</v>
      </c>
      <c r="K206" s="207">
        <v>16338.185702794179</v>
      </c>
      <c r="L206" s="207">
        <v>5734.9314042036494</v>
      </c>
      <c r="M206" s="207">
        <v>13573.446661280324</v>
      </c>
      <c r="N206" s="298">
        <v>0</v>
      </c>
      <c r="O206" s="114">
        <f>tblPiNAnalysis[[#This Row],[SAMV]]</f>
        <v>749</v>
      </c>
      <c r="P206" s="115">
        <f>tblPiNAnalysis[[#This Row],[NUT]]</f>
        <v>642.5012691935076</v>
      </c>
      <c r="Q206" s="115">
        <f>tblPiNAnalysis[[#This Row],[SAL]]</f>
        <v>7379.57</v>
      </c>
      <c r="R206" s="115">
        <f>tblPiNAnalysis[[#This Row],[EDU]]</f>
        <v>1976.8928440547584</v>
      </c>
      <c r="S206" s="115">
        <f>tblPiNAnalysis[[#This Row],[PRO]]</f>
        <v>4891.2259421636199</v>
      </c>
      <c r="T206" s="116">
        <f>tblPiNAnalysis[[#This Row],[ASH]]</f>
        <v>0</v>
      </c>
      <c r="U206" s="300">
        <f>IF(OR(tblPiNHistorical[[#This Row],[SAMV25]]="", tblPiNHistorical[[#This Row],[SAMV25]]=0, tblPiNHistorical[[#This Row],[SAMV26]]="", tblPiNHistorical[[#This Row],[SAMV26]]=0), "", tblPiNHistorical[[#This Row],[SAMV26]]-tblPiNHistorical[[#This Row],[SAMV25]])</f>
        <v>-8567</v>
      </c>
      <c r="V206" s="121">
        <f>IF(OR(tblPiNHistorical[[#This Row],[NUT25]]="", tblPiNHistorical[[#This Row],[NUT25]]=0, tblPiNHistorical[[#This Row],[NUT26]]="", tblPiNHistorical[[#This Row],[NUT26]]=0), "", tblPiNHistorical[[#This Row],[NUT26]]-tblPiNHistorical[[#This Row],[NUT25]])</f>
        <v>-2107.4987308064924</v>
      </c>
      <c r="W206" s="121">
        <f>IF(OR(tblPiNHistorical[[#This Row],[SAL25]]="", tblPiNHistorical[[#This Row],[SAL25]]=0, tblPiNHistorical[[#This Row],[SAL26]]="", tblPiNHistorical[[#This Row],[SAL26]]=0), "", tblPiNHistorical[[#This Row],[SAL26]]-tblPiNHistorical[[#This Row],[SAL25]])</f>
        <v>-8958.615702794179</v>
      </c>
      <c r="X206" s="121">
        <f>IF(OR(tblPiNHistorical[[#This Row],[EDU25]]="", tblPiNHistorical[[#This Row],[EDU25]]=0, tblPiNHistorical[[#This Row],[EDU26]]="", tblPiNHistorical[[#This Row],[EDU26]]=0), "", tblPiNHistorical[[#This Row],[EDU26]]-tblPiNHistorical[[#This Row],[EDU25]])</f>
        <v>-3758.0385601488911</v>
      </c>
      <c r="Y206" s="121">
        <f>IF(OR(tblPiNHistorical[[#This Row],[PRO25]]="", tblPiNHistorical[[#This Row],[PRO25]]=0, tblPiNHistorical[[#This Row],[PRO26]]="", tblPiNHistorical[[#This Row],[PRO26]]=0), "", tblPiNHistorical[[#This Row],[PRO26]]-tblPiNHistorical[[#This Row],[PRO25]])</f>
        <v>-8682.2207191167035</v>
      </c>
      <c r="Z206" s="223" t="str">
        <f>IF(OR(tblPiNHistorical[[#This Row],[ASH25]]="", tblPiNHistorical[[#This Row],[ASH25]]=0, tblPiNHistorical[[#This Row],[ASH26]]="", tblPiNHistorical[[#This Row],[ASH26]]=0), "", tblPiNHistorical[[#This Row],[ASH26]]-tblPiNHistorical[[#This Row],[ASH25]])</f>
        <v/>
      </c>
      <c r="AA20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0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20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20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20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20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07" spans="1:32">
      <c r="A20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VenezolanosVE1607</v>
      </c>
      <c r="B207" s="105" t="s">
        <v>491</v>
      </c>
      <c r="C207" s="104" t="s">
        <v>492</v>
      </c>
      <c r="D207" s="119" t="s">
        <v>100</v>
      </c>
      <c r="E207" s="104" t="s">
        <v>501</v>
      </c>
      <c r="F207" s="119"/>
      <c r="G207" s="102">
        <v>45274</v>
      </c>
      <c r="H207" s="102" t="s">
        <v>102</v>
      </c>
      <c r="I207" s="206">
        <v>6721</v>
      </c>
      <c r="J207" s="120">
        <v>2084</v>
      </c>
      <c r="K207" s="207">
        <v>11787.470910014697</v>
      </c>
      <c r="L207" s="207">
        <v>4923.9279768588858</v>
      </c>
      <c r="M207" s="207">
        <v>18663.489159260447</v>
      </c>
      <c r="N207" s="298">
        <v>0</v>
      </c>
      <c r="O207" s="114">
        <f>tblPiNAnalysis[[#This Row],[SAMV]]</f>
        <v>7125</v>
      </c>
      <c r="P207" s="115">
        <f>tblPiNAnalysis[[#This Row],[NUT]]</f>
        <v>576.86059030059187</v>
      </c>
      <c r="Q207" s="115">
        <f>tblPiNAnalysis[[#This Row],[SAL]]</f>
        <v>6570.73</v>
      </c>
      <c r="R207" s="115">
        <f>tblPiNAnalysis[[#This Row],[EDU]]</f>
        <v>607.0968860992474</v>
      </c>
      <c r="S207" s="115">
        <f>tblPiNAnalysis[[#This Row],[PRO]]</f>
        <v>2846.5766565843305</v>
      </c>
      <c r="T207" s="116">
        <f>tblPiNAnalysis[[#This Row],[ASH]]</f>
        <v>0</v>
      </c>
      <c r="U207" s="300">
        <f>IF(OR(tblPiNHistorical[[#This Row],[SAMV25]]="", tblPiNHistorical[[#This Row],[SAMV25]]=0, tblPiNHistorical[[#This Row],[SAMV26]]="", tblPiNHistorical[[#This Row],[SAMV26]]=0), "", tblPiNHistorical[[#This Row],[SAMV26]]-tblPiNHistorical[[#This Row],[SAMV25]])</f>
        <v>404</v>
      </c>
      <c r="V207" s="121">
        <f>IF(OR(tblPiNHistorical[[#This Row],[NUT25]]="", tblPiNHistorical[[#This Row],[NUT25]]=0, tblPiNHistorical[[#This Row],[NUT26]]="", tblPiNHistorical[[#This Row],[NUT26]]=0), "", tblPiNHistorical[[#This Row],[NUT26]]-tblPiNHistorical[[#This Row],[NUT25]])</f>
        <v>-1507.1394096994081</v>
      </c>
      <c r="W207" s="121">
        <f>IF(OR(tblPiNHistorical[[#This Row],[SAL25]]="", tblPiNHistorical[[#This Row],[SAL25]]=0, tblPiNHistorical[[#This Row],[SAL26]]="", tblPiNHistorical[[#This Row],[SAL26]]=0), "", tblPiNHistorical[[#This Row],[SAL26]]-tblPiNHistorical[[#This Row],[SAL25]])</f>
        <v>-5216.7409100146979</v>
      </c>
      <c r="X207" s="121">
        <f>IF(OR(tblPiNHistorical[[#This Row],[EDU25]]="", tblPiNHistorical[[#This Row],[EDU25]]=0, tblPiNHistorical[[#This Row],[EDU26]]="", tblPiNHistorical[[#This Row],[EDU26]]=0), "", tblPiNHistorical[[#This Row],[EDU26]]-tblPiNHistorical[[#This Row],[EDU25]])</f>
        <v>-4316.8310907596388</v>
      </c>
      <c r="Y207" s="121">
        <f>IF(OR(tblPiNHistorical[[#This Row],[PRO25]]="", tblPiNHistorical[[#This Row],[PRO25]]=0, tblPiNHistorical[[#This Row],[PRO26]]="", tblPiNHistorical[[#This Row],[PRO26]]=0), "", tblPiNHistorical[[#This Row],[PRO26]]-tblPiNHistorical[[#This Row],[PRO25]])</f>
        <v>-15816.912502676118</v>
      </c>
      <c r="Z207" s="223" t="str">
        <f>IF(OR(tblPiNHistorical[[#This Row],[ASH25]]="", tblPiNHistorical[[#This Row],[ASH25]]=0, tblPiNHistorical[[#This Row],[ASH26]]="", tblPiNHistorical[[#This Row],[ASH26]]=0), "", tblPiNHistorical[[#This Row],[ASH26]]-tblPiNHistorical[[#This Row],[ASH25]])</f>
        <v/>
      </c>
      <c r="AA20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20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20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20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20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0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08" spans="1:32">
      <c r="A20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VenezolanosVE1608</v>
      </c>
      <c r="B208" s="105" t="s">
        <v>491</v>
      </c>
      <c r="C208" s="104" t="s">
        <v>492</v>
      </c>
      <c r="D208" s="119" t="s">
        <v>502</v>
      </c>
      <c r="E208" s="104" t="s">
        <v>503</v>
      </c>
      <c r="F208" s="119"/>
      <c r="G208" s="102">
        <v>542259</v>
      </c>
      <c r="H208" s="102" t="s">
        <v>102</v>
      </c>
      <c r="I208" s="206">
        <v>80500</v>
      </c>
      <c r="J208" s="120">
        <v>23007</v>
      </c>
      <c r="K208" s="207">
        <v>141182.13666064001</v>
      </c>
      <c r="L208" s="207">
        <v>39541.818614890872</v>
      </c>
      <c r="M208" s="207">
        <v>13573.446661280324</v>
      </c>
      <c r="N208" s="298">
        <v>0</v>
      </c>
      <c r="O208" s="114">
        <f>tblPiNAnalysis[[#This Row],[SAMV]]</f>
        <v>1441</v>
      </c>
      <c r="P208" s="115">
        <f>tblPiNAnalysis[[#This Row],[NUT]]</f>
        <v>694.48460611633641</v>
      </c>
      <c r="Q208" s="115">
        <f>tblPiNAnalysis[[#This Row],[SAL]]</f>
        <v>7102.9</v>
      </c>
      <c r="R208" s="115">
        <f>tblPiNAnalysis[[#This Row],[EDU]]</f>
        <v>592.15632997733667</v>
      </c>
      <c r="S208" s="115">
        <f>tblPiNAnalysis[[#This Row],[PRO]]</f>
        <v>4707.8473060888346</v>
      </c>
      <c r="T208" s="116">
        <f>tblPiNAnalysis[[#This Row],[ASH]]</f>
        <v>0</v>
      </c>
      <c r="U208" s="300">
        <f>IF(OR(tblPiNHistorical[[#This Row],[SAMV25]]="", tblPiNHistorical[[#This Row],[SAMV25]]=0, tblPiNHistorical[[#This Row],[SAMV26]]="", tblPiNHistorical[[#This Row],[SAMV26]]=0), "", tblPiNHistorical[[#This Row],[SAMV26]]-tblPiNHistorical[[#This Row],[SAMV25]])</f>
        <v>-79059</v>
      </c>
      <c r="V208" s="121">
        <f>IF(OR(tblPiNHistorical[[#This Row],[NUT25]]="", tblPiNHistorical[[#This Row],[NUT25]]=0, tblPiNHistorical[[#This Row],[NUT26]]="", tblPiNHistorical[[#This Row],[NUT26]]=0), "", tblPiNHistorical[[#This Row],[NUT26]]-tblPiNHistorical[[#This Row],[NUT25]])</f>
        <v>-22312.515393883663</v>
      </c>
      <c r="W208" s="121">
        <f>IF(OR(tblPiNHistorical[[#This Row],[SAL25]]="", tblPiNHistorical[[#This Row],[SAL25]]=0, tblPiNHistorical[[#This Row],[SAL26]]="", tblPiNHistorical[[#This Row],[SAL26]]=0), "", tblPiNHistorical[[#This Row],[SAL26]]-tblPiNHistorical[[#This Row],[SAL25]])</f>
        <v>-134079.23666064002</v>
      </c>
      <c r="X208" s="121">
        <f>IF(OR(tblPiNHistorical[[#This Row],[EDU25]]="", tblPiNHistorical[[#This Row],[EDU25]]=0, tblPiNHistorical[[#This Row],[EDU26]]="", tblPiNHistorical[[#This Row],[EDU26]]=0), "", tblPiNHistorical[[#This Row],[EDU26]]-tblPiNHistorical[[#This Row],[EDU25]])</f>
        <v>-38949.662284913538</v>
      </c>
      <c r="Y208" s="121">
        <f>IF(OR(tblPiNHistorical[[#This Row],[PRO25]]="", tblPiNHistorical[[#This Row],[PRO25]]=0, tblPiNHistorical[[#This Row],[PRO26]]="", tblPiNHistorical[[#This Row],[PRO26]]=0), "", tblPiNHistorical[[#This Row],[PRO26]]-tblPiNHistorical[[#This Row],[PRO25]])</f>
        <v>-8865.5993551914908</v>
      </c>
      <c r="Z208" s="223" t="str">
        <f>IF(OR(tblPiNHistorical[[#This Row],[ASH25]]="", tblPiNHistorical[[#This Row],[ASH25]]=0, tblPiNHistorical[[#This Row],[ASH26]]="", tblPiNHistorical[[#This Row],[ASH26]]=0), "", tblPiNHistorical[[#This Row],[ASH26]]-tblPiNHistorical[[#This Row],[ASH25]])</f>
        <v/>
      </c>
      <c r="AA20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20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v>
      </c>
      <c r="AC20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-0.9</v>
      </c>
      <c r="AD20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20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20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09" spans="1:32">
      <c r="A20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VenezolanosVE1609</v>
      </c>
      <c r="B209" s="105" t="s">
        <v>491</v>
      </c>
      <c r="C209" s="104" t="s">
        <v>492</v>
      </c>
      <c r="D209" s="119" t="s">
        <v>250</v>
      </c>
      <c r="E209" s="104" t="s">
        <v>504</v>
      </c>
      <c r="F209" s="119"/>
      <c r="G209" s="102">
        <v>46610</v>
      </c>
      <c r="H209" s="102" t="s">
        <v>102</v>
      </c>
      <c r="I209" s="206">
        <v>6919</v>
      </c>
      <c r="J209" s="120">
        <v>2164</v>
      </c>
      <c r="K209" s="207">
        <v>12135.239447411954</v>
      </c>
      <c r="L209" s="207">
        <v>4453.3968920510697</v>
      </c>
      <c r="M209" s="207">
        <v>18663.489159260447</v>
      </c>
      <c r="N209" s="298">
        <v>0</v>
      </c>
      <c r="O209" s="114">
        <f>tblPiNAnalysis[[#This Row],[SAMV]]</f>
        <v>2073</v>
      </c>
      <c r="P209" s="115">
        <f>tblPiNAnalysis[[#This Row],[NUT]]</f>
        <v>625.45348391388063</v>
      </c>
      <c r="Q209" s="115">
        <f>tblPiNAnalysis[[#This Row],[SAL]]</f>
        <v>5600</v>
      </c>
      <c r="R209" s="115">
        <f>tblPiNAnalysis[[#This Row],[EDU]]</f>
        <v>859.20182473808234</v>
      </c>
      <c r="S209" s="115">
        <f>tblPiNAnalysis[[#This Row],[PRO]]</f>
        <v>1298.9656394025792</v>
      </c>
      <c r="T209" s="116">
        <f>tblPiNAnalysis[[#This Row],[ASH]]</f>
        <v>7008</v>
      </c>
      <c r="U209" s="300">
        <f>IF(OR(tblPiNHistorical[[#This Row],[SAMV25]]="", tblPiNHistorical[[#This Row],[SAMV25]]=0, tblPiNHistorical[[#This Row],[SAMV26]]="", tblPiNHistorical[[#This Row],[SAMV26]]=0), "", tblPiNHistorical[[#This Row],[SAMV26]]-tblPiNHistorical[[#This Row],[SAMV25]])</f>
        <v>-4846</v>
      </c>
      <c r="V209" s="121">
        <f>IF(OR(tblPiNHistorical[[#This Row],[NUT25]]="", tblPiNHistorical[[#This Row],[NUT25]]=0, tblPiNHistorical[[#This Row],[NUT26]]="", tblPiNHistorical[[#This Row],[NUT26]]=0), "", tblPiNHistorical[[#This Row],[NUT26]]-tblPiNHistorical[[#This Row],[NUT25]])</f>
        <v>-1538.5465160861195</v>
      </c>
      <c r="W209" s="121">
        <f>IF(OR(tblPiNHistorical[[#This Row],[SAL25]]="", tblPiNHistorical[[#This Row],[SAL25]]=0, tblPiNHistorical[[#This Row],[SAL26]]="", tblPiNHistorical[[#This Row],[SAL26]]=0), "", tblPiNHistorical[[#This Row],[SAL26]]-tblPiNHistorical[[#This Row],[SAL25]])</f>
        <v>-6535.2394474119537</v>
      </c>
      <c r="X209" s="121">
        <f>IF(OR(tblPiNHistorical[[#This Row],[EDU25]]="", tblPiNHistorical[[#This Row],[EDU25]]=0, tblPiNHistorical[[#This Row],[EDU26]]="", tblPiNHistorical[[#This Row],[EDU26]]=0), "", tblPiNHistorical[[#This Row],[EDU26]]-tblPiNHistorical[[#This Row],[EDU25]])</f>
        <v>-3594.1950673129872</v>
      </c>
      <c r="Y209" s="121">
        <f>IF(OR(tblPiNHistorical[[#This Row],[PRO25]]="", tblPiNHistorical[[#This Row],[PRO25]]=0, tblPiNHistorical[[#This Row],[PRO26]]="", tblPiNHistorical[[#This Row],[PRO26]]=0), "", tblPiNHistorical[[#This Row],[PRO26]]-tblPiNHistorical[[#This Row],[PRO25]])</f>
        <v>-17364.523519857867</v>
      </c>
      <c r="Z209" s="223" t="str">
        <f>IF(OR(tblPiNHistorical[[#This Row],[ASH25]]="", tblPiNHistorical[[#This Row],[ASH25]]=0, tblPiNHistorical[[#This Row],[ASH26]]="", tblPiNHistorical[[#This Row],[ASH26]]=0), "", tblPiNHistorical[[#This Row],[ASH26]]-tblPiNHistorical[[#This Row],[ASH25]])</f>
        <v/>
      </c>
      <c r="AA20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-0.7</v>
      </c>
      <c r="AB20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20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20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20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0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7008</v>
      </c>
    </row>
    <row r="210" spans="1:32">
      <c r="A21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VenezolanosVE1610</v>
      </c>
      <c r="B210" s="105" t="s">
        <v>491</v>
      </c>
      <c r="C210" s="104" t="s">
        <v>492</v>
      </c>
      <c r="D210" s="119" t="s">
        <v>505</v>
      </c>
      <c r="E210" s="104" t="s">
        <v>506</v>
      </c>
      <c r="F210" s="119"/>
      <c r="G210" s="102">
        <v>27954</v>
      </c>
      <c r="H210" s="102" t="s">
        <v>102</v>
      </c>
      <c r="I210" s="206">
        <v>4150</v>
      </c>
      <c r="J210" s="120">
        <v>1310</v>
      </c>
      <c r="K210" s="207">
        <v>7278.3694464964246</v>
      </c>
      <c r="L210" s="207">
        <v>2625.5164540175915</v>
      </c>
      <c r="M210" s="207">
        <v>9938.4122760706632</v>
      </c>
      <c r="N210" s="298">
        <v>5591</v>
      </c>
      <c r="O210" s="114">
        <f>tblPiNAnalysis[[#This Row],[SAMV]]</f>
        <v>2034</v>
      </c>
      <c r="P210" s="115">
        <f>tblPiNAnalysis[[#This Row],[NUT]]</f>
        <v>354.05141062751409</v>
      </c>
      <c r="Q210" s="115">
        <f>tblPiNAnalysis[[#This Row],[SAL]]</f>
        <v>7000</v>
      </c>
      <c r="R210" s="115">
        <f>tblPiNAnalysis[[#This Row],[EDU]]</f>
        <v>967.18391296109689</v>
      </c>
      <c r="S210" s="115">
        <f>tblPiNAnalysis[[#This Row],[PRO]]</f>
        <v>2027.8836373640422</v>
      </c>
      <c r="T210" s="116">
        <f>tblPiNAnalysis[[#This Row],[ASH]]</f>
        <v>6100.8</v>
      </c>
      <c r="U210" s="300">
        <f>IF(OR(tblPiNHistorical[[#This Row],[SAMV25]]="", tblPiNHistorical[[#This Row],[SAMV25]]=0, tblPiNHistorical[[#This Row],[SAMV26]]="", tblPiNHistorical[[#This Row],[SAMV26]]=0), "", tblPiNHistorical[[#This Row],[SAMV26]]-tblPiNHistorical[[#This Row],[SAMV25]])</f>
        <v>-2116</v>
      </c>
      <c r="V210" s="121">
        <f>IF(OR(tblPiNHistorical[[#This Row],[NUT25]]="", tblPiNHistorical[[#This Row],[NUT25]]=0, tblPiNHistorical[[#This Row],[NUT26]]="", tblPiNHistorical[[#This Row],[NUT26]]=0), "", tblPiNHistorical[[#This Row],[NUT26]]-tblPiNHistorical[[#This Row],[NUT25]])</f>
        <v>-955.94858937248591</v>
      </c>
      <c r="W210" s="121">
        <f>IF(OR(tblPiNHistorical[[#This Row],[SAL25]]="", tblPiNHistorical[[#This Row],[SAL25]]=0, tblPiNHistorical[[#This Row],[SAL26]]="", tblPiNHistorical[[#This Row],[SAL26]]=0), "", tblPiNHistorical[[#This Row],[SAL26]]-tblPiNHistorical[[#This Row],[SAL25]])</f>
        <v>-278.36944649642464</v>
      </c>
      <c r="X210" s="121">
        <f>IF(OR(tblPiNHistorical[[#This Row],[EDU25]]="", tblPiNHistorical[[#This Row],[EDU25]]=0, tblPiNHistorical[[#This Row],[EDU26]]="", tblPiNHistorical[[#This Row],[EDU26]]=0), "", tblPiNHistorical[[#This Row],[EDU26]]-tblPiNHistorical[[#This Row],[EDU25]])</f>
        <v>-1658.3325410564946</v>
      </c>
      <c r="Y210" s="121">
        <f>IF(OR(tblPiNHistorical[[#This Row],[PRO25]]="", tblPiNHistorical[[#This Row],[PRO25]]=0, tblPiNHistorical[[#This Row],[PRO26]]="", tblPiNHistorical[[#This Row],[PRO26]]=0), "", tblPiNHistorical[[#This Row],[PRO26]]-tblPiNHistorical[[#This Row],[PRO25]])</f>
        <v>-7910.5286387066208</v>
      </c>
      <c r="Z210" s="223">
        <f>IF(OR(tblPiNHistorical[[#This Row],[ASH25]]="", tblPiNHistorical[[#This Row],[ASH25]]=0, tblPiNHistorical[[#This Row],[ASH26]]="", tblPiNHistorical[[#This Row],[ASH26]]=0), "", tblPiNHistorical[[#This Row],[ASH26]]-tblPiNHistorical[[#This Row],[ASH25]])</f>
        <v>509.80000000000018</v>
      </c>
      <c r="AA21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21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21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v>
      </c>
      <c r="AD21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21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10"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0.1</v>
      </c>
    </row>
    <row r="211" spans="1:32">
      <c r="A21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VenezolanosVE1611</v>
      </c>
      <c r="B211" s="105" t="s">
        <v>491</v>
      </c>
      <c r="C211" s="104" t="s">
        <v>492</v>
      </c>
      <c r="D211" s="119" t="s">
        <v>507</v>
      </c>
      <c r="E211" s="104" t="s">
        <v>508</v>
      </c>
      <c r="F211" s="119"/>
      <c r="G211" s="102">
        <v>9809</v>
      </c>
      <c r="H211" s="102" t="s">
        <v>102</v>
      </c>
      <c r="I211" s="206">
        <v>1456</v>
      </c>
      <c r="J211" s="120">
        <v>407</v>
      </c>
      <c r="K211" s="207">
        <v>2554.2657817952331</v>
      </c>
      <c r="L211" s="207">
        <v>908.20604942898376</v>
      </c>
      <c r="M211" s="207">
        <v>3487.3680337689457</v>
      </c>
      <c r="N211" s="298">
        <v>0</v>
      </c>
      <c r="O211" s="114">
        <f>tblPiNAnalysis[[#This Row],[SAMV]]</f>
        <v>1384</v>
      </c>
      <c r="P211" s="115">
        <f>tblPiNAnalysis[[#This Row],[NUT]]</f>
        <v>301.29848694933526</v>
      </c>
      <c r="Q211" s="115">
        <f>tblPiNAnalysis[[#This Row],[SAL]]</f>
        <v>7000</v>
      </c>
      <c r="R211" s="115">
        <f>tblPiNAnalysis[[#This Row],[EDU]]</f>
        <v>996.43837198321842</v>
      </c>
      <c r="S211" s="115">
        <f>tblPiNAnalysis[[#This Row],[PRO]]</f>
        <v>1703.7971984658748</v>
      </c>
      <c r="T211" s="116">
        <f>tblPiNAnalysis[[#This Row],[ASH]]</f>
        <v>1153.3049999999998</v>
      </c>
      <c r="U211" s="300">
        <f>IF(OR(tblPiNHistorical[[#This Row],[SAMV25]]="", tblPiNHistorical[[#This Row],[SAMV25]]=0, tblPiNHistorical[[#This Row],[SAMV26]]="", tblPiNHistorical[[#This Row],[SAMV26]]=0), "", tblPiNHistorical[[#This Row],[SAMV26]]-tblPiNHistorical[[#This Row],[SAMV25]])</f>
        <v>-72</v>
      </c>
      <c r="V211" s="121">
        <f>IF(OR(tblPiNHistorical[[#This Row],[NUT25]]="", tblPiNHistorical[[#This Row],[NUT25]]=0, tblPiNHistorical[[#This Row],[NUT26]]="", tblPiNHistorical[[#This Row],[NUT26]]=0), "", tblPiNHistorical[[#This Row],[NUT26]]-tblPiNHistorical[[#This Row],[NUT25]])</f>
        <v>-105.70151305066474</v>
      </c>
      <c r="W211" s="121">
        <f>IF(OR(tblPiNHistorical[[#This Row],[SAL25]]="", tblPiNHistorical[[#This Row],[SAL25]]=0, tblPiNHistorical[[#This Row],[SAL26]]="", tblPiNHistorical[[#This Row],[SAL26]]=0), "", tblPiNHistorical[[#This Row],[SAL26]]-tblPiNHistorical[[#This Row],[SAL25]])</f>
        <v>4445.7342182047669</v>
      </c>
      <c r="X211" s="121">
        <f>IF(OR(tblPiNHistorical[[#This Row],[EDU25]]="", tblPiNHistorical[[#This Row],[EDU25]]=0, tblPiNHistorical[[#This Row],[EDU26]]="", tblPiNHistorical[[#This Row],[EDU26]]=0), "", tblPiNHistorical[[#This Row],[EDU26]]-tblPiNHistorical[[#This Row],[EDU25]])</f>
        <v>88.232322554234656</v>
      </c>
      <c r="Y211" s="121">
        <f>IF(OR(tblPiNHistorical[[#This Row],[PRO25]]="", tblPiNHistorical[[#This Row],[PRO25]]=0, tblPiNHistorical[[#This Row],[PRO26]]="", tblPiNHistorical[[#This Row],[PRO26]]=0), "", tblPiNHistorical[[#This Row],[PRO26]]-tblPiNHistorical[[#This Row],[PRO25]])</f>
        <v>-1783.5708353030709</v>
      </c>
      <c r="Z211" s="223" t="str">
        <f>IF(OR(tblPiNHistorical[[#This Row],[ASH25]]="", tblPiNHistorical[[#This Row],[ASH25]]=0, tblPiNHistorical[[#This Row],[ASH26]]="", tblPiNHistorical[[#This Row],[ASH26]]=0), "", tblPiNHistorical[[#This Row],[ASH26]]-tblPiNHistorical[[#This Row],[ASH25]])</f>
        <v/>
      </c>
      <c r="AA21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v>
      </c>
      <c r="AB21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-0.3</v>
      </c>
      <c r="AC21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1.7</v>
      </c>
      <c r="AD21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21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21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1153.305</v>
      </c>
    </row>
    <row r="212" spans="1:32">
      <c r="A21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VenezolanosVE1612</v>
      </c>
      <c r="B212" s="105" t="s">
        <v>491</v>
      </c>
      <c r="C212" s="104" t="s">
        <v>492</v>
      </c>
      <c r="D212" s="119" t="s">
        <v>509</v>
      </c>
      <c r="E212" s="104" t="s">
        <v>510</v>
      </c>
      <c r="F212" s="119"/>
      <c r="G212" s="102">
        <v>24238</v>
      </c>
      <c r="H212" s="102" t="s">
        <v>102</v>
      </c>
      <c r="I212" s="206">
        <v>3598</v>
      </c>
      <c r="J212" s="120">
        <v>1379</v>
      </c>
      <c r="K212" s="207">
        <v>6310.3641443963697</v>
      </c>
      <c r="L212" s="207">
        <v>3130.2891579815996</v>
      </c>
      <c r="M212" s="207">
        <v>8617.2725458753903</v>
      </c>
      <c r="N212" s="298">
        <v>0</v>
      </c>
      <c r="O212" s="114">
        <f>tblPiNAnalysis[[#This Row],[SAMV]]</f>
        <v>6869</v>
      </c>
      <c r="P212" s="115">
        <f>tblPiNAnalysis[[#This Row],[NUT]]</f>
        <v>541.97979722789773</v>
      </c>
      <c r="Q212" s="115">
        <f>tblPiNAnalysis[[#This Row],[SAL]]</f>
        <v>6685.34</v>
      </c>
      <c r="R212" s="115">
        <f>tblPiNAnalysis[[#This Row],[EDU]]</f>
        <v>1230.2589417867293</v>
      </c>
      <c r="S212" s="115">
        <f>tblPiNAnalysis[[#This Row],[PRO]]</f>
        <v>3666.4087926650827</v>
      </c>
      <c r="T212" s="116">
        <f>tblPiNAnalysis[[#This Row],[ASH]]</f>
        <v>0</v>
      </c>
      <c r="U212" s="300">
        <f>IF(OR(tblPiNHistorical[[#This Row],[SAMV25]]="", tblPiNHistorical[[#This Row],[SAMV25]]=0, tblPiNHistorical[[#This Row],[SAMV26]]="", tblPiNHistorical[[#This Row],[SAMV26]]=0), "", tblPiNHistorical[[#This Row],[SAMV26]]-tblPiNHistorical[[#This Row],[SAMV25]])</f>
        <v>3271</v>
      </c>
      <c r="V212" s="121">
        <f>IF(OR(tblPiNHistorical[[#This Row],[NUT25]]="", tblPiNHistorical[[#This Row],[NUT25]]=0, tblPiNHistorical[[#This Row],[NUT26]]="", tblPiNHistorical[[#This Row],[NUT26]]=0), "", tblPiNHistorical[[#This Row],[NUT26]]-tblPiNHistorical[[#This Row],[NUT25]])</f>
        <v>-837.02020277210227</v>
      </c>
      <c r="W212" s="121">
        <f>IF(OR(tblPiNHistorical[[#This Row],[SAL25]]="", tblPiNHistorical[[#This Row],[SAL25]]=0, tblPiNHistorical[[#This Row],[SAL26]]="", tblPiNHistorical[[#This Row],[SAL26]]=0), "", tblPiNHistorical[[#This Row],[SAL26]]-tblPiNHistorical[[#This Row],[SAL25]])</f>
        <v>374.97585560363041</v>
      </c>
      <c r="X212" s="121">
        <f>IF(OR(tblPiNHistorical[[#This Row],[EDU25]]="", tblPiNHistorical[[#This Row],[EDU25]]=0, tblPiNHistorical[[#This Row],[EDU26]]="", tblPiNHistorical[[#This Row],[EDU26]]=0), "", tblPiNHistorical[[#This Row],[EDU26]]-tblPiNHistorical[[#This Row],[EDU25]])</f>
        <v>-1900.0302161948703</v>
      </c>
      <c r="Y212" s="121">
        <f>IF(OR(tblPiNHistorical[[#This Row],[PRO25]]="", tblPiNHistorical[[#This Row],[PRO25]]=0, tblPiNHistorical[[#This Row],[PRO26]]="", tblPiNHistorical[[#This Row],[PRO26]]=0), "", tblPiNHistorical[[#This Row],[PRO26]]-tblPiNHistorical[[#This Row],[PRO25]])</f>
        <v>-4950.8637532103076</v>
      </c>
      <c r="Z212" s="223" t="str">
        <f>IF(OR(tblPiNHistorical[[#This Row],[ASH25]]="", tblPiNHistorical[[#This Row],[ASH25]]=0, tblPiNHistorical[[#This Row],[ASH26]]="", tblPiNHistorical[[#This Row],[ASH26]]=0), "", tblPiNHistorical[[#This Row],[ASH26]]-tblPiNHistorical[[#This Row],[ASH25]])</f>
        <v/>
      </c>
      <c r="AA21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1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21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21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21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21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13" spans="1:32">
      <c r="A21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VenezolanosVE1613</v>
      </c>
      <c r="B213" s="105" t="s">
        <v>491</v>
      </c>
      <c r="C213" s="104" t="s">
        <v>492</v>
      </c>
      <c r="D213" s="119" t="s">
        <v>511</v>
      </c>
      <c r="E213" s="104" t="s">
        <v>512</v>
      </c>
      <c r="F213" s="119"/>
      <c r="G213" s="102">
        <v>9625</v>
      </c>
      <c r="H213" s="102" t="s">
        <v>102</v>
      </c>
      <c r="I213" s="206">
        <v>1429</v>
      </c>
      <c r="J213" s="120">
        <v>432</v>
      </c>
      <c r="K213" s="207">
        <v>2505.7168976571547</v>
      </c>
      <c r="L213" s="207">
        <v>1015.3036462923096</v>
      </c>
      <c r="M213" s="207">
        <v>3421.9509965364568</v>
      </c>
      <c r="N213" s="298">
        <v>0</v>
      </c>
      <c r="O213" s="114">
        <f>tblPiNAnalysis[[#This Row],[SAMV]]</f>
        <v>1504</v>
      </c>
      <c r="P213" s="115">
        <f>tblPiNAnalysis[[#This Row],[NUT]]</f>
        <v>305.44893935630103</v>
      </c>
      <c r="Q213" s="115">
        <f>tblPiNAnalysis[[#This Row],[SAL]]</f>
        <v>4900</v>
      </c>
      <c r="R213" s="115">
        <f>tblPiNAnalysis[[#This Row],[EDU]]</f>
        <v>835.38964084982274</v>
      </c>
      <c r="S213" s="115">
        <f>tblPiNAnalysis[[#This Row],[PRO]]</f>
        <v>2250.6556695174286</v>
      </c>
      <c r="T213" s="116">
        <f>tblPiNAnalysis[[#This Row],[ASH]]</f>
        <v>6771</v>
      </c>
      <c r="U213" s="300">
        <f>IF(OR(tblPiNHistorical[[#This Row],[SAMV25]]="", tblPiNHistorical[[#This Row],[SAMV25]]=0, tblPiNHistorical[[#This Row],[SAMV26]]="", tblPiNHistorical[[#This Row],[SAMV26]]=0), "", tblPiNHistorical[[#This Row],[SAMV26]]-tblPiNHistorical[[#This Row],[SAMV25]])</f>
        <v>75</v>
      </c>
      <c r="V213" s="121">
        <f>IF(OR(tblPiNHistorical[[#This Row],[NUT25]]="", tblPiNHistorical[[#This Row],[NUT25]]=0, tblPiNHistorical[[#This Row],[NUT26]]="", tblPiNHistorical[[#This Row],[NUT26]]=0), "", tblPiNHistorical[[#This Row],[NUT26]]-tblPiNHistorical[[#This Row],[NUT25]])</f>
        <v>-126.55106064369897</v>
      </c>
      <c r="W213" s="121">
        <f>IF(OR(tblPiNHistorical[[#This Row],[SAL25]]="", tblPiNHistorical[[#This Row],[SAL25]]=0, tblPiNHistorical[[#This Row],[SAL26]]="", tblPiNHistorical[[#This Row],[SAL26]]=0), "", tblPiNHistorical[[#This Row],[SAL26]]-tblPiNHistorical[[#This Row],[SAL25]])</f>
        <v>2394.2831023428453</v>
      </c>
      <c r="X213" s="121">
        <f>IF(OR(tblPiNHistorical[[#This Row],[EDU25]]="", tblPiNHistorical[[#This Row],[EDU25]]=0, tblPiNHistorical[[#This Row],[EDU26]]="", tblPiNHistorical[[#This Row],[EDU26]]=0), "", tblPiNHistorical[[#This Row],[EDU26]]-tblPiNHistorical[[#This Row],[EDU25]])</f>
        <v>-179.91400544248688</v>
      </c>
      <c r="Y213" s="121">
        <f>IF(OR(tblPiNHistorical[[#This Row],[PRO25]]="", tblPiNHistorical[[#This Row],[PRO25]]=0, tblPiNHistorical[[#This Row],[PRO26]]="", tblPiNHistorical[[#This Row],[PRO26]]=0), "", tblPiNHistorical[[#This Row],[PRO26]]-tblPiNHistorical[[#This Row],[PRO25]])</f>
        <v>-1171.2953270190283</v>
      </c>
      <c r="Z213" s="223" t="str">
        <f>IF(OR(tblPiNHistorical[[#This Row],[ASH25]]="", tblPiNHistorical[[#This Row],[ASH25]]=0, tblPiNHistorical[[#This Row],[ASH26]]="", tblPiNHistorical[[#This Row],[ASH26]]=0), "", tblPiNHistorical[[#This Row],[ASH26]]-tblPiNHistorical[[#This Row],[ASH25]])</f>
        <v/>
      </c>
      <c r="AA21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21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-0.3</v>
      </c>
      <c r="AC21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v>
      </c>
      <c r="AD21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-0.2</v>
      </c>
      <c r="AE21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21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6771</v>
      </c>
    </row>
    <row r="214" spans="1:32">
      <c r="A21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VenezolanosVE1701</v>
      </c>
      <c r="B214" s="105" t="s">
        <v>513</v>
      </c>
      <c r="C214" s="104" t="s">
        <v>514</v>
      </c>
      <c r="D214" s="119" t="s">
        <v>515</v>
      </c>
      <c r="E214" s="104" t="s">
        <v>516</v>
      </c>
      <c r="F214" s="119"/>
      <c r="G214" s="102">
        <v>28294</v>
      </c>
      <c r="H214" s="102" t="s">
        <v>102</v>
      </c>
      <c r="I214" s="206">
        <v>5200</v>
      </c>
      <c r="J214" s="120">
        <v>1119</v>
      </c>
      <c r="K214" s="207">
        <v>7366.5500727880371</v>
      </c>
      <c r="L214" s="207">
        <v>1599.467638030902</v>
      </c>
      <c r="M214" s="207">
        <v>8787.2019938421563</v>
      </c>
      <c r="N214" s="298">
        <v>5659</v>
      </c>
      <c r="O214" s="114">
        <f>tblPiNAnalysis[[#This Row],[SAMV]]</f>
        <v>3908</v>
      </c>
      <c r="P214" s="115">
        <f>tblPiNAnalysis[[#This Row],[NUT]]</f>
        <v>978.79765969788377</v>
      </c>
      <c r="Q214" s="115">
        <f>tblPiNAnalysis[[#This Row],[SAL]]</f>
        <v>6418.89</v>
      </c>
      <c r="R214" s="115">
        <f>tblPiNAnalysis[[#This Row],[EDU]]</f>
        <v>1504.7730863603952</v>
      </c>
      <c r="S214" s="115">
        <f>tblPiNAnalysis[[#This Row],[PRO]]</f>
        <v>3495.846998505845</v>
      </c>
      <c r="T214" s="116">
        <f>tblPiNAnalysis[[#This Row],[ASH]]</f>
        <v>0</v>
      </c>
      <c r="U214" s="300">
        <f>IF(OR(tblPiNHistorical[[#This Row],[SAMV25]]="", tblPiNHistorical[[#This Row],[SAMV25]]=0, tblPiNHistorical[[#This Row],[SAMV26]]="", tblPiNHistorical[[#This Row],[SAMV26]]=0), "", tblPiNHistorical[[#This Row],[SAMV26]]-tblPiNHistorical[[#This Row],[SAMV25]])</f>
        <v>-1292</v>
      </c>
      <c r="V214" s="121">
        <f>IF(OR(tblPiNHistorical[[#This Row],[NUT25]]="", tblPiNHistorical[[#This Row],[NUT25]]=0, tblPiNHistorical[[#This Row],[NUT26]]="", tblPiNHistorical[[#This Row],[NUT26]]=0), "", tblPiNHistorical[[#This Row],[NUT26]]-tblPiNHistorical[[#This Row],[NUT25]])</f>
        <v>-140.20234030211623</v>
      </c>
      <c r="W214" s="121">
        <f>IF(OR(tblPiNHistorical[[#This Row],[SAL25]]="", tblPiNHistorical[[#This Row],[SAL25]]=0, tblPiNHistorical[[#This Row],[SAL26]]="", tblPiNHistorical[[#This Row],[SAL26]]=0), "", tblPiNHistorical[[#This Row],[SAL26]]-tblPiNHistorical[[#This Row],[SAL25]])</f>
        <v>-947.66007278803681</v>
      </c>
      <c r="X214" s="121">
        <f>IF(OR(tblPiNHistorical[[#This Row],[EDU25]]="", tblPiNHistorical[[#This Row],[EDU25]]=0, tblPiNHistorical[[#This Row],[EDU26]]="", tblPiNHistorical[[#This Row],[EDU26]]=0), "", tblPiNHistorical[[#This Row],[EDU26]]-tblPiNHistorical[[#This Row],[EDU25]])</f>
        <v>-94.694551670506826</v>
      </c>
      <c r="Y214" s="121">
        <f>IF(OR(tblPiNHistorical[[#This Row],[PRO25]]="", tblPiNHistorical[[#This Row],[PRO25]]=0, tblPiNHistorical[[#This Row],[PRO26]]="", tblPiNHistorical[[#This Row],[PRO26]]=0), "", tblPiNHistorical[[#This Row],[PRO26]]-tblPiNHistorical[[#This Row],[PRO25]])</f>
        <v>-5291.3549953363108</v>
      </c>
      <c r="Z214" s="223" t="str">
        <f>IF(OR(tblPiNHistorical[[#This Row],[ASH25]]="", tblPiNHistorical[[#This Row],[ASH25]]=0, tblPiNHistorical[[#This Row],[ASH26]]="", tblPiNHistorical[[#This Row],[ASH26]]=0), "", tblPiNHistorical[[#This Row],[ASH26]]-tblPiNHistorical[[#This Row],[ASH25]])</f>
        <v/>
      </c>
      <c r="AA21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21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21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21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21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21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5659</v>
      </c>
    </row>
    <row r="215" spans="1:32">
      <c r="A21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VenezolanosVE1702</v>
      </c>
      <c r="B215" s="105" t="s">
        <v>513</v>
      </c>
      <c r="C215" s="104" t="s">
        <v>514</v>
      </c>
      <c r="D215" s="119" t="s">
        <v>221</v>
      </c>
      <c r="E215" s="104" t="s">
        <v>517</v>
      </c>
      <c r="F215" s="119"/>
      <c r="G215" s="102">
        <v>28309</v>
      </c>
      <c r="H215" s="102" t="s">
        <v>102</v>
      </c>
      <c r="I215" s="206">
        <v>5203</v>
      </c>
      <c r="J215" s="120">
        <v>1074</v>
      </c>
      <c r="K215" s="207">
        <v>7370.5132470033896</v>
      </c>
      <c r="L215" s="207">
        <v>1388.4920218881948</v>
      </c>
      <c r="M215" s="207">
        <v>8787.2019938421563</v>
      </c>
      <c r="N215" s="298">
        <v>14155</v>
      </c>
      <c r="O215" s="114">
        <f>tblPiNAnalysis[[#This Row],[SAMV]]</f>
        <v>0</v>
      </c>
      <c r="P215" s="115">
        <f>tblPiNAnalysis[[#This Row],[NUT]]</f>
        <v>307.67428776412777</v>
      </c>
      <c r="Q215" s="115">
        <f>tblPiNAnalysis[[#This Row],[SAL]]</f>
        <v>3645.9850000000001</v>
      </c>
      <c r="R215" s="115">
        <f>tblPiNAnalysis[[#This Row],[EDU]]</f>
        <v>849.29883177073134</v>
      </c>
      <c r="S215" s="115">
        <f>tblPiNAnalysis[[#This Row],[PRO]]</f>
        <v>1192.0841614712594</v>
      </c>
      <c r="T215" s="116">
        <f>tblPiNAnalysis[[#This Row],[ASH]]</f>
        <v>5993.4</v>
      </c>
      <c r="U215" s="300" t="str">
        <f>IF(OR(tblPiNHistorical[[#This Row],[SAMV25]]="", tblPiNHistorical[[#This Row],[SAMV25]]=0, tblPiNHistorical[[#This Row],[SAMV26]]="", tblPiNHistorical[[#This Row],[SAMV26]]=0), "", tblPiNHistorical[[#This Row],[SAMV26]]-tblPiNHistorical[[#This Row],[SAMV25]])</f>
        <v/>
      </c>
      <c r="V215" s="121">
        <f>IF(OR(tblPiNHistorical[[#This Row],[NUT25]]="", tblPiNHistorical[[#This Row],[NUT25]]=0, tblPiNHistorical[[#This Row],[NUT26]]="", tblPiNHistorical[[#This Row],[NUT26]]=0), "", tblPiNHistorical[[#This Row],[NUT26]]-tblPiNHistorical[[#This Row],[NUT25]])</f>
        <v>-766.32571223587229</v>
      </c>
      <c r="W215" s="121">
        <f>IF(OR(tblPiNHistorical[[#This Row],[SAL25]]="", tblPiNHistorical[[#This Row],[SAL25]]=0, tblPiNHistorical[[#This Row],[SAL26]]="", tblPiNHistorical[[#This Row],[SAL26]]=0), "", tblPiNHistorical[[#This Row],[SAL26]]-tblPiNHistorical[[#This Row],[SAL25]])</f>
        <v>-3724.5282470033894</v>
      </c>
      <c r="X215" s="121">
        <f>IF(OR(tblPiNHistorical[[#This Row],[EDU25]]="", tblPiNHistorical[[#This Row],[EDU25]]=0, tblPiNHistorical[[#This Row],[EDU26]]="", tblPiNHistorical[[#This Row],[EDU26]]=0), "", tblPiNHistorical[[#This Row],[EDU26]]-tblPiNHistorical[[#This Row],[EDU25]])</f>
        <v>-539.19319011746347</v>
      </c>
      <c r="Y215" s="121">
        <f>IF(OR(tblPiNHistorical[[#This Row],[PRO25]]="", tblPiNHistorical[[#This Row],[PRO25]]=0, tblPiNHistorical[[#This Row],[PRO26]]="", tblPiNHistorical[[#This Row],[PRO26]]=0), "", tblPiNHistorical[[#This Row],[PRO26]]-tblPiNHistorical[[#This Row],[PRO25]])</f>
        <v>-7595.1178323708973</v>
      </c>
      <c r="Z215" s="223">
        <f>IF(OR(tblPiNHistorical[[#This Row],[ASH25]]="", tblPiNHistorical[[#This Row],[ASH25]]=0, tblPiNHistorical[[#This Row],[ASH26]]="", tblPiNHistorical[[#This Row],[ASH26]]=0), "", tblPiNHistorical[[#This Row],[ASH26]]-tblPiNHistorical[[#This Row],[ASH25]])</f>
        <v>-8161.6</v>
      </c>
      <c r="AA215" s="227" t="str">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NoPIN26 5203</v>
      </c>
      <c r="AB21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21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21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21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15"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-0.6</v>
      </c>
    </row>
    <row r="216" spans="1:32">
      <c r="A21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VenezolanosVE1703</v>
      </c>
      <c r="B216" s="105" t="s">
        <v>513</v>
      </c>
      <c r="C216" s="104" t="s">
        <v>514</v>
      </c>
      <c r="D216" s="119" t="s">
        <v>518</v>
      </c>
      <c r="E216" s="104" t="s">
        <v>519</v>
      </c>
      <c r="F216" s="119"/>
      <c r="G216" s="102">
        <v>71466</v>
      </c>
      <c r="H216" s="102" t="s">
        <v>102</v>
      </c>
      <c r="I216" s="206">
        <v>13134</v>
      </c>
      <c r="J216" s="120">
        <v>2745</v>
      </c>
      <c r="K216" s="207">
        <v>18607.102941083973</v>
      </c>
      <c r="L216" s="207">
        <v>4640.6109198785716</v>
      </c>
      <c r="M216" s="207">
        <v>12082.402741532962</v>
      </c>
      <c r="N216" s="298">
        <v>14293</v>
      </c>
      <c r="O216" s="114">
        <f>tblPiNAnalysis[[#This Row],[SAMV]]</f>
        <v>2691</v>
      </c>
      <c r="P216" s="115">
        <f>tblPiNAnalysis[[#This Row],[NUT]]</f>
        <v>289.39969787671231</v>
      </c>
      <c r="Q216" s="115">
        <f>tblPiNAnalysis[[#This Row],[SAL]]</f>
        <v>3592.6950000000002</v>
      </c>
      <c r="R216" s="115">
        <f>tblPiNAnalysis[[#This Row],[EDU]]</f>
        <v>1239.8085489569057</v>
      </c>
      <c r="S216" s="115">
        <f>tblPiNAnalysis[[#This Row],[PRO]]</f>
        <v>1174.6605667595963</v>
      </c>
      <c r="T216" s="116">
        <f>tblPiNAnalysis[[#This Row],[ASH]]</f>
        <v>5905.8</v>
      </c>
      <c r="U216" s="300">
        <f>IF(OR(tblPiNHistorical[[#This Row],[SAMV25]]="", tblPiNHistorical[[#This Row],[SAMV25]]=0, tblPiNHistorical[[#This Row],[SAMV26]]="", tblPiNHistorical[[#This Row],[SAMV26]]=0), "", tblPiNHistorical[[#This Row],[SAMV26]]-tblPiNHistorical[[#This Row],[SAMV25]])</f>
        <v>-10443</v>
      </c>
      <c r="V216" s="121">
        <f>IF(OR(tblPiNHistorical[[#This Row],[NUT25]]="", tblPiNHistorical[[#This Row],[NUT25]]=0, tblPiNHistorical[[#This Row],[NUT26]]="", tblPiNHistorical[[#This Row],[NUT26]]=0), "", tblPiNHistorical[[#This Row],[NUT26]]-tblPiNHistorical[[#This Row],[NUT25]])</f>
        <v>-2455.6003021232877</v>
      </c>
      <c r="W216" s="121">
        <f>IF(OR(tblPiNHistorical[[#This Row],[SAL25]]="", tblPiNHistorical[[#This Row],[SAL25]]=0, tblPiNHistorical[[#This Row],[SAL26]]="", tblPiNHistorical[[#This Row],[SAL26]]=0), "", tblPiNHistorical[[#This Row],[SAL26]]-tblPiNHistorical[[#This Row],[SAL25]])</f>
        <v>-15014.407941083973</v>
      </c>
      <c r="X216" s="121">
        <f>IF(OR(tblPiNHistorical[[#This Row],[EDU25]]="", tblPiNHistorical[[#This Row],[EDU25]]=0, tblPiNHistorical[[#This Row],[EDU26]]="", tblPiNHistorical[[#This Row],[EDU26]]=0), "", tblPiNHistorical[[#This Row],[EDU26]]-tblPiNHistorical[[#This Row],[EDU25]])</f>
        <v>-3400.8023709216659</v>
      </c>
      <c r="Y216" s="121">
        <f>IF(OR(tblPiNHistorical[[#This Row],[PRO25]]="", tblPiNHistorical[[#This Row],[PRO25]]=0, tblPiNHistorical[[#This Row],[PRO26]]="", tblPiNHistorical[[#This Row],[PRO26]]=0), "", tblPiNHistorical[[#This Row],[PRO26]]-tblPiNHistorical[[#This Row],[PRO25]])</f>
        <v>-10907.742174773366</v>
      </c>
      <c r="Z216" s="223">
        <f>IF(OR(tblPiNHistorical[[#This Row],[ASH25]]="", tblPiNHistorical[[#This Row],[ASH25]]=0, tblPiNHistorical[[#This Row],[ASH26]]="", tblPiNHistorical[[#This Row],[ASH26]]=0), "", tblPiNHistorical[[#This Row],[ASH26]]-tblPiNHistorical[[#This Row],[ASH25]])</f>
        <v>-8387.2000000000007</v>
      </c>
      <c r="AA21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21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21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21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21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16"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-0.6</v>
      </c>
    </row>
    <row r="217" spans="1:32">
      <c r="A21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VenezolanosVE1704</v>
      </c>
      <c r="B217" s="105" t="s">
        <v>513</v>
      </c>
      <c r="C217" s="104" t="s">
        <v>514</v>
      </c>
      <c r="D217" s="119" t="s">
        <v>520</v>
      </c>
      <c r="E217" s="104" t="s">
        <v>521</v>
      </c>
      <c r="F217" s="119"/>
      <c r="G217" s="102">
        <v>68490</v>
      </c>
      <c r="H217" s="102" t="s">
        <v>102</v>
      </c>
      <c r="I217" s="206">
        <v>12587</v>
      </c>
      <c r="J217" s="120">
        <v>2555</v>
      </c>
      <c r="K217" s="207">
        <v>17832.30238198239</v>
      </c>
      <c r="L217" s="207">
        <v>3919.8567055480785</v>
      </c>
      <c r="M217" s="207">
        <v>12082.402741532962</v>
      </c>
      <c r="N217" s="298">
        <v>13698</v>
      </c>
      <c r="O217" s="114">
        <f>tblPiNAnalysis[[#This Row],[SAMV]]</f>
        <v>1563</v>
      </c>
      <c r="P217" s="115">
        <f>tblPiNAnalysis[[#This Row],[NUT]]</f>
        <v>574.09574535819434</v>
      </c>
      <c r="Q217" s="115">
        <f>tblPiNAnalysis[[#This Row],[SAL]]</f>
        <v>5706.7749999999996</v>
      </c>
      <c r="R217" s="115">
        <f>tblPiNAnalysis[[#This Row],[EDU]]</f>
        <v>888.82925459418493</v>
      </c>
      <c r="S217" s="115">
        <f>tblPiNAnalysis[[#This Row],[PRO]]</f>
        <v>1891.2433872224806</v>
      </c>
      <c r="T217" s="116">
        <f>tblPiNAnalysis[[#This Row],[ASH]]</f>
        <v>1055.3625</v>
      </c>
      <c r="U217" s="300">
        <f>IF(OR(tblPiNHistorical[[#This Row],[SAMV25]]="", tblPiNHistorical[[#This Row],[SAMV25]]=0, tblPiNHistorical[[#This Row],[SAMV26]]="", tblPiNHistorical[[#This Row],[SAMV26]]=0), "", tblPiNHistorical[[#This Row],[SAMV26]]-tblPiNHistorical[[#This Row],[SAMV25]])</f>
        <v>-11024</v>
      </c>
      <c r="V217" s="121">
        <f>IF(OR(tblPiNHistorical[[#This Row],[NUT25]]="", tblPiNHistorical[[#This Row],[NUT25]]=0, tblPiNHistorical[[#This Row],[NUT26]]="", tblPiNHistorical[[#This Row],[NUT26]]=0), "", tblPiNHistorical[[#This Row],[NUT26]]-tblPiNHistorical[[#This Row],[NUT25]])</f>
        <v>-1980.9042546418057</v>
      </c>
      <c r="W217" s="121">
        <f>IF(OR(tblPiNHistorical[[#This Row],[SAL25]]="", tblPiNHistorical[[#This Row],[SAL25]]=0, tblPiNHistorical[[#This Row],[SAL26]]="", tblPiNHistorical[[#This Row],[SAL26]]=0), "", tblPiNHistorical[[#This Row],[SAL26]]-tblPiNHistorical[[#This Row],[SAL25]])</f>
        <v>-12125.527381982391</v>
      </c>
      <c r="X217" s="121">
        <f>IF(OR(tblPiNHistorical[[#This Row],[EDU25]]="", tblPiNHistorical[[#This Row],[EDU25]]=0, tblPiNHistorical[[#This Row],[EDU26]]="", tblPiNHistorical[[#This Row],[EDU26]]=0), "", tblPiNHistorical[[#This Row],[EDU26]]-tblPiNHistorical[[#This Row],[EDU25]])</f>
        <v>-3031.0274509538935</v>
      </c>
      <c r="Y217" s="121">
        <f>IF(OR(tblPiNHistorical[[#This Row],[PRO25]]="", tblPiNHistorical[[#This Row],[PRO25]]=0, tblPiNHistorical[[#This Row],[PRO26]]="", tblPiNHistorical[[#This Row],[PRO26]]=0), "", tblPiNHistorical[[#This Row],[PRO26]]-tblPiNHistorical[[#This Row],[PRO25]])</f>
        <v>-10191.159354310481</v>
      </c>
      <c r="Z217" s="223">
        <f>IF(OR(tblPiNHistorical[[#This Row],[ASH25]]="", tblPiNHistorical[[#This Row],[ASH25]]=0, tblPiNHistorical[[#This Row],[ASH26]]="", tblPiNHistorical[[#This Row],[ASH26]]=0), "", tblPiNHistorical[[#This Row],[ASH26]]-tblPiNHistorical[[#This Row],[ASH25]])</f>
        <v>-12642.637500000001</v>
      </c>
      <c r="AA21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1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21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21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21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17"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-0.9</v>
      </c>
    </row>
    <row r="218" spans="1:32">
      <c r="A21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VenezolanosVE1705</v>
      </c>
      <c r="B218" s="105" t="s">
        <v>513</v>
      </c>
      <c r="C218" s="104" t="s">
        <v>514</v>
      </c>
      <c r="D218" s="119" t="s">
        <v>522</v>
      </c>
      <c r="E218" s="104" t="s">
        <v>523</v>
      </c>
      <c r="F218" s="119"/>
      <c r="G218" s="102">
        <v>40409</v>
      </c>
      <c r="H218" s="102" t="s">
        <v>102</v>
      </c>
      <c r="I218" s="206">
        <v>7427</v>
      </c>
      <c r="J218" s="120">
        <v>1536</v>
      </c>
      <c r="K218" s="207">
        <v>10521.236748209303</v>
      </c>
      <c r="L218" s="207">
        <v>2044.5232197052987</v>
      </c>
      <c r="M218" s="207">
        <v>8787.2019938421563</v>
      </c>
      <c r="N218" s="298">
        <v>8082</v>
      </c>
      <c r="O218" s="114">
        <f>tblPiNAnalysis[[#This Row],[SAMV]]</f>
        <v>2390</v>
      </c>
      <c r="P218" s="115">
        <f>tblPiNAnalysis[[#This Row],[NUT]]</f>
        <v>729.7478730795533</v>
      </c>
      <c r="Q218" s="115">
        <f>tblPiNAnalysis[[#This Row],[SAL]]</f>
        <v>5600</v>
      </c>
      <c r="R218" s="115">
        <f>tblPiNAnalysis[[#This Row],[EDU]]</f>
        <v>1238.2303048707349</v>
      </c>
      <c r="S218" s="115">
        <f>tblPiNAnalysis[[#This Row],[PRO]]</f>
        <v>1497.3692952839319</v>
      </c>
      <c r="T218" s="116">
        <f>tblPiNAnalysis[[#This Row],[ASH]]</f>
        <v>0</v>
      </c>
      <c r="U218" s="300">
        <f>IF(OR(tblPiNHistorical[[#This Row],[SAMV25]]="", tblPiNHistorical[[#This Row],[SAMV25]]=0, tblPiNHistorical[[#This Row],[SAMV26]]="", tblPiNHistorical[[#This Row],[SAMV26]]=0), "", tblPiNHistorical[[#This Row],[SAMV26]]-tblPiNHistorical[[#This Row],[SAMV25]])</f>
        <v>-5037</v>
      </c>
      <c r="V218" s="121">
        <f>IF(OR(tblPiNHistorical[[#This Row],[NUT25]]="", tblPiNHistorical[[#This Row],[NUT25]]=0, tblPiNHistorical[[#This Row],[NUT26]]="", tblPiNHistorical[[#This Row],[NUT26]]=0), "", tblPiNHistorical[[#This Row],[NUT26]]-tblPiNHistorical[[#This Row],[NUT25]])</f>
        <v>-806.2521269204467</v>
      </c>
      <c r="W218" s="121">
        <f>IF(OR(tblPiNHistorical[[#This Row],[SAL25]]="", tblPiNHistorical[[#This Row],[SAL25]]=0, tblPiNHistorical[[#This Row],[SAL26]]="", tblPiNHistorical[[#This Row],[SAL26]]=0), "", tblPiNHistorical[[#This Row],[SAL26]]-tblPiNHistorical[[#This Row],[SAL25]])</f>
        <v>-4921.2367482093032</v>
      </c>
      <c r="X218" s="121">
        <f>IF(OR(tblPiNHistorical[[#This Row],[EDU25]]="", tblPiNHistorical[[#This Row],[EDU25]]=0, tblPiNHistorical[[#This Row],[EDU26]]="", tblPiNHistorical[[#This Row],[EDU26]]=0), "", tblPiNHistorical[[#This Row],[EDU26]]-tblPiNHistorical[[#This Row],[EDU25]])</f>
        <v>-806.29291483456382</v>
      </c>
      <c r="Y218" s="121">
        <f>IF(OR(tblPiNHistorical[[#This Row],[PRO25]]="", tblPiNHistorical[[#This Row],[PRO25]]=0, tblPiNHistorical[[#This Row],[PRO26]]="", tblPiNHistorical[[#This Row],[PRO26]]=0), "", tblPiNHistorical[[#This Row],[PRO26]]-tblPiNHistorical[[#This Row],[PRO25]])</f>
        <v>-7289.8326985582244</v>
      </c>
      <c r="Z218" s="223" t="str">
        <f>IF(OR(tblPiNHistorical[[#This Row],[ASH25]]="", tblPiNHistorical[[#This Row],[ASH25]]=0, tblPiNHistorical[[#This Row],[ASH26]]="", tblPiNHistorical[[#This Row],[ASH26]]=0), "", tblPiNHistorical[[#This Row],[ASH26]]-tblPiNHistorical[[#This Row],[ASH25]])</f>
        <v/>
      </c>
      <c r="AA21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-0.7</v>
      </c>
      <c r="AB21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21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21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21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1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8082</v>
      </c>
    </row>
    <row r="219" spans="1:32">
      <c r="A21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VenezolanosVE1706</v>
      </c>
      <c r="B219" s="105" t="s">
        <v>513</v>
      </c>
      <c r="C219" s="104" t="s">
        <v>514</v>
      </c>
      <c r="D219" s="119" t="s">
        <v>524</v>
      </c>
      <c r="E219" s="104" t="s">
        <v>525</v>
      </c>
      <c r="F219" s="119"/>
      <c r="G219" s="102">
        <v>48952</v>
      </c>
      <c r="H219" s="102" t="s">
        <v>102</v>
      </c>
      <c r="I219" s="206">
        <v>8997</v>
      </c>
      <c r="J219" s="120">
        <v>1724</v>
      </c>
      <c r="K219" s="207">
        <v>12744.577483022531</v>
      </c>
      <c r="L219" s="207">
        <v>2121.8357490305943</v>
      </c>
      <c r="M219" s="207">
        <v>8787.2019938421563</v>
      </c>
      <c r="N219" s="298">
        <v>9790</v>
      </c>
      <c r="O219" s="114">
        <f>tblPiNAnalysis[[#This Row],[SAMV]]</f>
        <v>874</v>
      </c>
      <c r="P219" s="115">
        <f>tblPiNAnalysis[[#This Row],[NUT]]</f>
        <v>283.07551045075127</v>
      </c>
      <c r="Q219" s="115">
        <f>tblPiNAnalysis[[#This Row],[SAL]]</f>
        <v>4800</v>
      </c>
      <c r="R219" s="115">
        <f>tblPiNAnalysis[[#This Row],[EDU]]</f>
        <v>548.50316720818068</v>
      </c>
      <c r="S219" s="115">
        <f>tblPiNAnalysis[[#This Row],[PRO]]</f>
        <v>368.70546341625953</v>
      </c>
      <c r="T219" s="116">
        <f>tblPiNAnalysis[[#This Row],[ASH]]</f>
        <v>5509.2</v>
      </c>
      <c r="U219" s="300">
        <f>IF(OR(tblPiNHistorical[[#This Row],[SAMV25]]="", tblPiNHistorical[[#This Row],[SAMV25]]=0, tblPiNHistorical[[#This Row],[SAMV26]]="", tblPiNHistorical[[#This Row],[SAMV26]]=0), "", tblPiNHistorical[[#This Row],[SAMV26]]-tblPiNHistorical[[#This Row],[SAMV25]])</f>
        <v>-8123</v>
      </c>
      <c r="V219" s="121">
        <f>IF(OR(tblPiNHistorical[[#This Row],[NUT25]]="", tblPiNHistorical[[#This Row],[NUT25]]=0, tblPiNHistorical[[#This Row],[NUT26]]="", tblPiNHistorical[[#This Row],[NUT26]]=0), "", tblPiNHistorical[[#This Row],[NUT26]]-tblPiNHistorical[[#This Row],[NUT25]])</f>
        <v>-1440.9244895492488</v>
      </c>
      <c r="W219" s="121">
        <f>IF(OR(tblPiNHistorical[[#This Row],[SAL25]]="", tblPiNHistorical[[#This Row],[SAL25]]=0, tblPiNHistorical[[#This Row],[SAL26]]="", tblPiNHistorical[[#This Row],[SAL26]]=0), "", tblPiNHistorical[[#This Row],[SAL26]]-tblPiNHistorical[[#This Row],[SAL25]])</f>
        <v>-7944.5774830225309</v>
      </c>
      <c r="X219" s="121">
        <f>IF(OR(tblPiNHistorical[[#This Row],[EDU25]]="", tblPiNHistorical[[#This Row],[EDU25]]=0, tblPiNHistorical[[#This Row],[EDU26]]="", tblPiNHistorical[[#This Row],[EDU26]]=0), "", tblPiNHistorical[[#This Row],[EDU26]]-tblPiNHistorical[[#This Row],[EDU25]])</f>
        <v>-1573.3325818224137</v>
      </c>
      <c r="Y219" s="121">
        <f>IF(OR(tblPiNHistorical[[#This Row],[PRO25]]="", tblPiNHistorical[[#This Row],[PRO25]]=0, tblPiNHistorical[[#This Row],[PRO26]]="", tblPiNHistorical[[#This Row],[PRO26]]=0), "", tblPiNHistorical[[#This Row],[PRO26]]-tblPiNHistorical[[#This Row],[PRO25]])</f>
        <v>-8418.4965304258967</v>
      </c>
      <c r="Z219" s="223">
        <f>IF(OR(tblPiNHistorical[[#This Row],[ASH25]]="", tblPiNHistorical[[#This Row],[ASH25]]=0, tblPiNHistorical[[#This Row],[ASH26]]="", tblPiNHistorical[[#This Row],[ASH26]]=0), "", tblPiNHistorical[[#This Row],[ASH26]]-tblPiNHistorical[[#This Row],[ASH25]])</f>
        <v>-4280.8</v>
      </c>
      <c r="AA21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1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21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21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21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219"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-0.4</v>
      </c>
    </row>
    <row r="220" spans="1:32">
      <c r="A22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VenezolanosVE1707</v>
      </c>
      <c r="B220" s="105" t="s">
        <v>513</v>
      </c>
      <c r="C220" s="104" t="s">
        <v>514</v>
      </c>
      <c r="D220" s="119" t="s">
        <v>526</v>
      </c>
      <c r="E220" s="104" t="s">
        <v>527</v>
      </c>
      <c r="F220" s="119"/>
      <c r="G220" s="102">
        <v>35691</v>
      </c>
      <c r="H220" s="102" t="s">
        <v>102</v>
      </c>
      <c r="I220" s="206">
        <v>6559</v>
      </c>
      <c r="J220" s="120">
        <v>1387</v>
      </c>
      <c r="K220" s="207">
        <v>9292.652741449765</v>
      </c>
      <c r="L220" s="207">
        <v>1911.9576324434197</v>
      </c>
      <c r="M220" s="207">
        <v>8787.2019938421563</v>
      </c>
      <c r="N220" s="298">
        <v>17846</v>
      </c>
      <c r="O220" s="114">
        <f>tblPiNAnalysis[[#This Row],[SAMV]]</f>
        <v>813</v>
      </c>
      <c r="P220" s="115">
        <f>tblPiNAnalysis[[#This Row],[NUT]]</f>
        <v>559.55234364825174</v>
      </c>
      <c r="Q220" s="115">
        <f>tblPiNAnalysis[[#This Row],[SAL]]</f>
        <v>5338.8549999999996</v>
      </c>
      <c r="R220" s="115">
        <f>tblPiNAnalysis[[#This Row],[EDU]]</f>
        <v>1034.4343188909027</v>
      </c>
      <c r="S220" s="115">
        <f>tblPiNAnalysis[[#This Row],[PRO]]</f>
        <v>2917.9065028591913</v>
      </c>
      <c r="T220" s="116">
        <f>tblPiNAnalysis[[#This Row],[ASH]]</f>
        <v>0</v>
      </c>
      <c r="U220" s="300">
        <f>IF(OR(tblPiNHistorical[[#This Row],[SAMV25]]="", tblPiNHistorical[[#This Row],[SAMV25]]=0, tblPiNHistorical[[#This Row],[SAMV26]]="", tblPiNHistorical[[#This Row],[SAMV26]]=0), "", tblPiNHistorical[[#This Row],[SAMV26]]-tblPiNHistorical[[#This Row],[SAMV25]])</f>
        <v>-5746</v>
      </c>
      <c r="V220" s="121">
        <f>IF(OR(tblPiNHistorical[[#This Row],[NUT25]]="", tblPiNHistorical[[#This Row],[NUT25]]=0, tblPiNHistorical[[#This Row],[NUT26]]="", tblPiNHistorical[[#This Row],[NUT26]]=0), "", tblPiNHistorical[[#This Row],[NUT26]]-tblPiNHistorical[[#This Row],[NUT25]])</f>
        <v>-827.44765635174826</v>
      </c>
      <c r="W220" s="121">
        <f>IF(OR(tblPiNHistorical[[#This Row],[SAL25]]="", tblPiNHistorical[[#This Row],[SAL25]]=0, tblPiNHistorical[[#This Row],[SAL26]]="", tblPiNHistorical[[#This Row],[SAL26]]=0), "", tblPiNHistorical[[#This Row],[SAL26]]-tblPiNHistorical[[#This Row],[SAL25]])</f>
        <v>-3953.7977414497655</v>
      </c>
      <c r="X220" s="121">
        <f>IF(OR(tblPiNHistorical[[#This Row],[EDU25]]="", tblPiNHistorical[[#This Row],[EDU25]]=0, tblPiNHistorical[[#This Row],[EDU26]]="", tblPiNHistorical[[#This Row],[EDU26]]=0), "", tblPiNHistorical[[#This Row],[EDU26]]-tblPiNHistorical[[#This Row],[EDU25]])</f>
        <v>-877.52331355251704</v>
      </c>
      <c r="Y220" s="121">
        <f>IF(OR(tblPiNHistorical[[#This Row],[PRO25]]="", tblPiNHistorical[[#This Row],[PRO25]]=0, tblPiNHistorical[[#This Row],[PRO26]]="", tblPiNHistorical[[#This Row],[PRO26]]=0), "", tblPiNHistorical[[#This Row],[PRO26]]-tblPiNHistorical[[#This Row],[PRO25]])</f>
        <v>-5869.295490982965</v>
      </c>
      <c r="Z220" s="223" t="str">
        <f>IF(OR(tblPiNHistorical[[#This Row],[ASH25]]="", tblPiNHistorical[[#This Row],[ASH25]]=0, tblPiNHistorical[[#This Row],[ASH26]]="", tblPiNHistorical[[#This Row],[ASH26]]=0), "", tblPiNHistorical[[#This Row],[ASH26]]-tblPiNHistorical[[#This Row],[ASH25]])</f>
        <v/>
      </c>
      <c r="AA22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2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22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22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22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22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17846</v>
      </c>
    </row>
    <row r="221" spans="1:32">
      <c r="A22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VenezolanosVE1708</v>
      </c>
      <c r="B221" s="105" t="s">
        <v>513</v>
      </c>
      <c r="C221" s="104" t="s">
        <v>514</v>
      </c>
      <c r="D221" s="119" t="s">
        <v>528</v>
      </c>
      <c r="E221" s="104" t="s">
        <v>529</v>
      </c>
      <c r="F221" s="119"/>
      <c r="G221" s="102">
        <v>97667</v>
      </c>
      <c r="H221" s="102" t="s">
        <v>102</v>
      </c>
      <c r="I221" s="206">
        <v>17950</v>
      </c>
      <c r="J221" s="120">
        <v>3894</v>
      </c>
      <c r="K221" s="207">
        <v>25428.716559260924</v>
      </c>
      <c r="L221" s="207">
        <v>5694.159424596075</v>
      </c>
      <c r="M221" s="207">
        <v>12082.402741532962</v>
      </c>
      <c r="N221" s="298">
        <v>19533</v>
      </c>
      <c r="O221" s="114">
        <f>tblPiNAnalysis[[#This Row],[SAMV]]</f>
        <v>2184</v>
      </c>
      <c r="P221" s="115">
        <f>tblPiNAnalysis[[#This Row],[NUT]]</f>
        <v>425.99653851825843</v>
      </c>
      <c r="Q221" s="115">
        <f>tblPiNAnalysis[[#This Row],[SAL]]</f>
        <v>5200</v>
      </c>
      <c r="R221" s="115">
        <f>tblPiNAnalysis[[#This Row],[EDU]]</f>
        <v>1213.8393721090986</v>
      </c>
      <c r="S221" s="115">
        <f>tblPiNAnalysis[[#This Row],[PRO]]</f>
        <v>2614.441663292575</v>
      </c>
      <c r="T221" s="116">
        <f>tblPiNAnalysis[[#This Row],[ASH]]</f>
        <v>0</v>
      </c>
      <c r="U221" s="300">
        <f>IF(OR(tblPiNHistorical[[#This Row],[SAMV25]]="", tblPiNHistorical[[#This Row],[SAMV25]]=0, tblPiNHistorical[[#This Row],[SAMV26]]="", tblPiNHistorical[[#This Row],[SAMV26]]=0), "", tblPiNHistorical[[#This Row],[SAMV26]]-tblPiNHistorical[[#This Row],[SAMV25]])</f>
        <v>-15766</v>
      </c>
      <c r="V221" s="121">
        <f>IF(OR(tblPiNHistorical[[#This Row],[NUT25]]="", tblPiNHistorical[[#This Row],[NUT25]]=0, tblPiNHistorical[[#This Row],[NUT26]]="", tblPiNHistorical[[#This Row],[NUT26]]=0), "", tblPiNHistorical[[#This Row],[NUT26]]-tblPiNHistorical[[#This Row],[NUT25]])</f>
        <v>-3468.0034614817414</v>
      </c>
      <c r="W221" s="121">
        <f>IF(OR(tblPiNHistorical[[#This Row],[SAL25]]="", tblPiNHistorical[[#This Row],[SAL25]]=0, tblPiNHistorical[[#This Row],[SAL26]]="", tblPiNHistorical[[#This Row],[SAL26]]=0), "", tblPiNHistorical[[#This Row],[SAL26]]-tblPiNHistorical[[#This Row],[SAL25]])</f>
        <v>-20228.716559260924</v>
      </c>
      <c r="X221" s="121">
        <f>IF(OR(tblPiNHistorical[[#This Row],[EDU25]]="", tblPiNHistorical[[#This Row],[EDU25]]=0, tblPiNHistorical[[#This Row],[EDU26]]="", tblPiNHistorical[[#This Row],[EDU26]]=0), "", tblPiNHistorical[[#This Row],[EDU26]]-tblPiNHistorical[[#This Row],[EDU25]])</f>
        <v>-4480.3200524869762</v>
      </c>
      <c r="Y221" s="121">
        <f>IF(OR(tblPiNHistorical[[#This Row],[PRO25]]="", tblPiNHistorical[[#This Row],[PRO25]]=0, tblPiNHistorical[[#This Row],[PRO26]]="", tblPiNHistorical[[#This Row],[PRO26]]=0), "", tblPiNHistorical[[#This Row],[PRO26]]-tblPiNHistorical[[#This Row],[PRO25]])</f>
        <v>-9467.961078240387</v>
      </c>
      <c r="Z221" s="223" t="str">
        <f>IF(OR(tblPiNHistorical[[#This Row],[ASH25]]="", tblPiNHistorical[[#This Row],[ASH25]]=0, tblPiNHistorical[[#This Row],[ASH26]]="", tblPiNHistorical[[#This Row],[ASH26]]=0), "", tblPiNHistorical[[#This Row],[ASH26]]-tblPiNHistorical[[#This Row],[ASH25]])</f>
        <v/>
      </c>
      <c r="AA22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2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22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22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22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2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19533</v>
      </c>
    </row>
    <row r="222" spans="1:32">
      <c r="A22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VenezolanosVE1709</v>
      </c>
      <c r="B222" s="105" t="s">
        <v>513</v>
      </c>
      <c r="C222" s="104" t="s">
        <v>514</v>
      </c>
      <c r="D222" s="119" t="s">
        <v>530</v>
      </c>
      <c r="E222" s="104" t="s">
        <v>531</v>
      </c>
      <c r="F222" s="119"/>
      <c r="G222" s="102">
        <v>26423</v>
      </c>
      <c r="H222" s="102" t="s">
        <v>102</v>
      </c>
      <c r="I222" s="206">
        <v>4856</v>
      </c>
      <c r="J222" s="120">
        <v>1140</v>
      </c>
      <c r="K222" s="207">
        <v>6879.0796442995752</v>
      </c>
      <c r="L222" s="207">
        <v>1821.9333374804473</v>
      </c>
      <c r="M222" s="207">
        <v>12082.402741532962</v>
      </c>
      <c r="N222" s="298">
        <v>0</v>
      </c>
      <c r="O222" s="114">
        <f>tblPiNAnalysis[[#This Row],[SAMV]]</f>
        <v>2632</v>
      </c>
      <c r="P222" s="115">
        <f>tblPiNAnalysis[[#This Row],[NUT]]</f>
        <v>1275.4925719681594</v>
      </c>
      <c r="Q222" s="115">
        <f>tblPiNAnalysis[[#This Row],[SAL]]</f>
        <v>2882.04</v>
      </c>
      <c r="R222" s="115">
        <f>tblPiNAnalysis[[#This Row],[EDU]]</f>
        <v>672.57931585203801</v>
      </c>
      <c r="S222" s="115">
        <f>tblPiNAnalysis[[#This Row],[PRO]]</f>
        <v>1574.2859885029077</v>
      </c>
      <c r="T222" s="116">
        <f>tblPiNAnalysis[[#This Row],[ASH]]</f>
        <v>4737.5999999999995</v>
      </c>
      <c r="U222" s="300">
        <f>IF(OR(tblPiNHistorical[[#This Row],[SAMV25]]="", tblPiNHistorical[[#This Row],[SAMV25]]=0, tblPiNHistorical[[#This Row],[SAMV26]]="", tblPiNHistorical[[#This Row],[SAMV26]]=0), "", tblPiNHistorical[[#This Row],[SAMV26]]-tblPiNHistorical[[#This Row],[SAMV25]])</f>
        <v>-2224</v>
      </c>
      <c r="V222" s="121">
        <f>IF(OR(tblPiNHistorical[[#This Row],[NUT25]]="", tblPiNHistorical[[#This Row],[NUT25]]=0, tblPiNHistorical[[#This Row],[NUT26]]="", tblPiNHistorical[[#This Row],[NUT26]]=0), "", tblPiNHistorical[[#This Row],[NUT26]]-tblPiNHistorical[[#This Row],[NUT25]])</f>
        <v>135.49257196815938</v>
      </c>
      <c r="W222" s="121">
        <f>IF(OR(tblPiNHistorical[[#This Row],[SAL25]]="", tblPiNHistorical[[#This Row],[SAL25]]=0, tblPiNHistorical[[#This Row],[SAL26]]="", tblPiNHistorical[[#This Row],[SAL26]]=0), "", tblPiNHistorical[[#This Row],[SAL26]]-tblPiNHistorical[[#This Row],[SAL25]])</f>
        <v>-3997.0396442995752</v>
      </c>
      <c r="X222" s="121">
        <f>IF(OR(tblPiNHistorical[[#This Row],[EDU25]]="", tblPiNHistorical[[#This Row],[EDU25]]=0, tblPiNHistorical[[#This Row],[EDU26]]="", tblPiNHistorical[[#This Row],[EDU26]]=0), "", tblPiNHistorical[[#This Row],[EDU26]]-tblPiNHistorical[[#This Row],[EDU25]])</f>
        <v>-1149.3540216284093</v>
      </c>
      <c r="Y222" s="121">
        <f>IF(OR(tblPiNHistorical[[#This Row],[PRO25]]="", tblPiNHistorical[[#This Row],[PRO25]]=0, tblPiNHistorical[[#This Row],[PRO26]]="", tblPiNHistorical[[#This Row],[PRO26]]=0), "", tblPiNHistorical[[#This Row],[PRO26]]-tblPiNHistorical[[#This Row],[PRO25]])</f>
        <v>-10508.116753030054</v>
      </c>
      <c r="Z222" s="223" t="str">
        <f>IF(OR(tblPiNHistorical[[#This Row],[ASH25]]="", tblPiNHistorical[[#This Row],[ASH25]]=0, tblPiNHistorical[[#This Row],[ASH26]]="", tblPiNHistorical[[#This Row],[ASH26]]=0), "", tblPiNHistorical[[#This Row],[ASH26]]-tblPiNHistorical[[#This Row],[ASH25]])</f>
        <v/>
      </c>
      <c r="AA22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22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22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22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22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2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4737.6</v>
      </c>
    </row>
    <row r="223" spans="1:32">
      <c r="A22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VenezolanosVE1710</v>
      </c>
      <c r="B223" s="105" t="s">
        <v>513</v>
      </c>
      <c r="C223" s="104" t="s">
        <v>514</v>
      </c>
      <c r="D223" s="119" t="s">
        <v>532</v>
      </c>
      <c r="E223" s="104" t="s">
        <v>533</v>
      </c>
      <c r="F223" s="119"/>
      <c r="G223" s="102">
        <v>36924</v>
      </c>
      <c r="H223" s="102" t="s">
        <v>102</v>
      </c>
      <c r="I223" s="206">
        <v>6786</v>
      </c>
      <c r="J223" s="120">
        <v>1518</v>
      </c>
      <c r="K223" s="207">
        <v>9613.6698528933848</v>
      </c>
      <c r="L223" s="207">
        <v>2068.8530916333943</v>
      </c>
      <c r="M223" s="207">
        <v>8787.2019938421563</v>
      </c>
      <c r="N223" s="298">
        <v>7385</v>
      </c>
      <c r="O223" s="114">
        <f>tblPiNAnalysis[[#This Row],[SAMV]]</f>
        <v>3063</v>
      </c>
      <c r="P223" s="115">
        <f>tblPiNAnalysis[[#This Row],[NUT]]</f>
        <v>424.67871277834007</v>
      </c>
      <c r="Q223" s="115">
        <f>tblPiNAnalysis[[#This Row],[SAL]]</f>
        <v>4191.66</v>
      </c>
      <c r="R223" s="115">
        <f>tblPiNAnalysis[[#This Row],[EDU]]</f>
        <v>881.64855293492519</v>
      </c>
      <c r="S223" s="115">
        <f>tblPiNAnalysis[[#This Row],[PRO]]</f>
        <v>2290.3437934194194</v>
      </c>
      <c r="T223" s="116">
        <f>tblPiNAnalysis[[#This Row],[ASH]]</f>
        <v>0</v>
      </c>
      <c r="U223" s="300">
        <f>IF(OR(tblPiNHistorical[[#This Row],[SAMV25]]="", tblPiNHistorical[[#This Row],[SAMV25]]=0, tblPiNHistorical[[#This Row],[SAMV26]]="", tblPiNHistorical[[#This Row],[SAMV26]]=0), "", tblPiNHistorical[[#This Row],[SAMV26]]-tblPiNHistorical[[#This Row],[SAMV25]])</f>
        <v>-3723</v>
      </c>
      <c r="V223" s="121">
        <f>IF(OR(tblPiNHistorical[[#This Row],[NUT25]]="", tblPiNHistorical[[#This Row],[NUT25]]=0, tblPiNHistorical[[#This Row],[NUT26]]="", tblPiNHistorical[[#This Row],[NUT26]]=0), "", tblPiNHistorical[[#This Row],[NUT26]]-tblPiNHistorical[[#This Row],[NUT25]])</f>
        <v>-1093.32128722166</v>
      </c>
      <c r="W223" s="121">
        <f>IF(OR(tblPiNHistorical[[#This Row],[SAL25]]="", tblPiNHistorical[[#This Row],[SAL25]]=0, tblPiNHistorical[[#This Row],[SAL26]]="", tblPiNHistorical[[#This Row],[SAL26]]=0), "", tblPiNHistorical[[#This Row],[SAL26]]-tblPiNHistorical[[#This Row],[SAL25]])</f>
        <v>-5422.009852893385</v>
      </c>
      <c r="X223" s="121">
        <f>IF(OR(tblPiNHistorical[[#This Row],[EDU25]]="", tblPiNHistorical[[#This Row],[EDU25]]=0, tblPiNHistorical[[#This Row],[EDU26]]="", tblPiNHistorical[[#This Row],[EDU26]]=0), "", tblPiNHistorical[[#This Row],[EDU26]]-tblPiNHistorical[[#This Row],[EDU25]])</f>
        <v>-1187.2045386984692</v>
      </c>
      <c r="Y223" s="121">
        <f>IF(OR(tblPiNHistorical[[#This Row],[PRO25]]="", tblPiNHistorical[[#This Row],[PRO25]]=0, tblPiNHistorical[[#This Row],[PRO26]]="", tblPiNHistorical[[#This Row],[PRO26]]=0), "", tblPiNHistorical[[#This Row],[PRO26]]-tblPiNHistorical[[#This Row],[PRO25]])</f>
        <v>-6496.8582004227374</v>
      </c>
      <c r="Z223" s="223" t="str">
        <f>IF(OR(tblPiNHistorical[[#This Row],[ASH25]]="", tblPiNHistorical[[#This Row],[ASH25]]=0, tblPiNHistorical[[#This Row],[ASH26]]="", tblPiNHistorical[[#This Row],[ASH26]]=0), "", tblPiNHistorical[[#This Row],[ASH26]]-tblPiNHistorical[[#This Row],[ASH25]])</f>
        <v/>
      </c>
      <c r="AA22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22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22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22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22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22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7385</v>
      </c>
    </row>
    <row r="224" spans="1:32">
      <c r="A22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VenezolanosVE1711</v>
      </c>
      <c r="B224" s="105" t="s">
        <v>513</v>
      </c>
      <c r="C224" s="104" t="s">
        <v>514</v>
      </c>
      <c r="D224" s="119" t="s">
        <v>534</v>
      </c>
      <c r="E224" s="104" t="s">
        <v>535</v>
      </c>
      <c r="F224" s="119"/>
      <c r="G224" s="102">
        <v>8985</v>
      </c>
      <c r="H224" s="102" t="s">
        <v>102</v>
      </c>
      <c r="I224" s="206">
        <v>1651</v>
      </c>
      <c r="J224" s="120">
        <v>385</v>
      </c>
      <c r="K224" s="207">
        <v>2339.2635806123139</v>
      </c>
      <c r="L224" s="207">
        <v>528.14373883442136</v>
      </c>
      <c r="M224" s="207">
        <v>3194.4134757277989</v>
      </c>
      <c r="N224" s="298">
        <v>0</v>
      </c>
      <c r="O224" s="114">
        <f>tblPiNAnalysis[[#This Row],[SAMV]]</f>
        <v>3804</v>
      </c>
      <c r="P224" s="115">
        <f>tblPiNAnalysis[[#This Row],[NUT]]</f>
        <v>360.08565603655256</v>
      </c>
      <c r="Q224" s="115">
        <f>tblPiNAnalysis[[#This Row],[SAL]]</f>
        <v>4165.7449999999999</v>
      </c>
      <c r="R224" s="115">
        <f>tblPiNAnalysis[[#This Row],[EDU]]</f>
        <v>1296.6873932481874</v>
      </c>
      <c r="S224" s="115">
        <f>tblPiNAnalysis[[#This Row],[PRO]]</f>
        <v>1145.4493736036115</v>
      </c>
      <c r="T224" s="116">
        <f>tblPiNAnalysis[[#This Row],[ASH]]</f>
        <v>770.37750000000005</v>
      </c>
      <c r="U224" s="300">
        <f>IF(OR(tblPiNHistorical[[#This Row],[SAMV25]]="", tblPiNHistorical[[#This Row],[SAMV25]]=0, tblPiNHistorical[[#This Row],[SAMV26]]="", tblPiNHistorical[[#This Row],[SAMV26]]=0), "", tblPiNHistorical[[#This Row],[SAMV26]]-tblPiNHistorical[[#This Row],[SAMV25]])</f>
        <v>2153</v>
      </c>
      <c r="V224" s="121">
        <f>IF(OR(tblPiNHistorical[[#This Row],[NUT25]]="", tblPiNHistorical[[#This Row],[NUT25]]=0, tblPiNHistorical[[#This Row],[NUT26]]="", tblPiNHistorical[[#This Row],[NUT26]]=0), "", tblPiNHistorical[[#This Row],[NUT26]]-tblPiNHistorical[[#This Row],[NUT25]])</f>
        <v>-24.914343963447436</v>
      </c>
      <c r="W224" s="121">
        <f>IF(OR(tblPiNHistorical[[#This Row],[SAL25]]="", tblPiNHistorical[[#This Row],[SAL25]]=0, tblPiNHistorical[[#This Row],[SAL26]]="", tblPiNHistorical[[#This Row],[SAL26]]=0), "", tblPiNHistorical[[#This Row],[SAL26]]-tblPiNHistorical[[#This Row],[SAL25]])</f>
        <v>1826.4814193876859</v>
      </c>
      <c r="X224" s="121">
        <f>IF(OR(tblPiNHistorical[[#This Row],[EDU25]]="", tblPiNHistorical[[#This Row],[EDU25]]=0, tblPiNHistorical[[#This Row],[EDU26]]="", tblPiNHistorical[[#This Row],[EDU26]]=0), "", tblPiNHistorical[[#This Row],[EDU26]]-tblPiNHistorical[[#This Row],[EDU25]])</f>
        <v>768.54365441376603</v>
      </c>
      <c r="Y224" s="121">
        <f>IF(OR(tblPiNHistorical[[#This Row],[PRO25]]="", tblPiNHistorical[[#This Row],[PRO25]]=0, tblPiNHistorical[[#This Row],[PRO26]]="", tblPiNHistorical[[#This Row],[PRO26]]=0), "", tblPiNHistorical[[#This Row],[PRO26]]-tblPiNHistorical[[#This Row],[PRO25]])</f>
        <v>-2048.9641021241873</v>
      </c>
      <c r="Z224" s="223" t="str">
        <f>IF(OR(tblPiNHistorical[[#This Row],[ASH25]]="", tblPiNHistorical[[#This Row],[ASH25]]=0, tblPiNHistorical[[#This Row],[ASH26]]="", tblPiNHistorical[[#This Row],[ASH26]]=0), "", tblPiNHistorical[[#This Row],[ASH26]]-tblPiNHistorical[[#This Row],[ASH25]])</f>
        <v/>
      </c>
      <c r="AA22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1.3</v>
      </c>
      <c r="AB22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22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22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1.5</v>
      </c>
      <c r="AE22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22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New26 770.3775</v>
      </c>
    </row>
    <row r="225" spans="1:32">
      <c r="A22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VenezolanosVE1801</v>
      </c>
      <c r="B225" s="105" t="s">
        <v>536</v>
      </c>
      <c r="C225" s="104" t="s">
        <v>537</v>
      </c>
      <c r="D225" s="119" t="s">
        <v>538</v>
      </c>
      <c r="E225" s="104" t="s">
        <v>539</v>
      </c>
      <c r="F225" s="119"/>
      <c r="G225" s="102">
        <v>20717</v>
      </c>
      <c r="H225" s="102" t="s">
        <v>102</v>
      </c>
      <c r="I225" s="206">
        <v>2544</v>
      </c>
      <c r="J225" s="120">
        <v>927</v>
      </c>
      <c r="K225" s="207">
        <v>5393.880107095908</v>
      </c>
      <c r="L225" s="207">
        <v>2097.4205592907138</v>
      </c>
      <c r="M225" s="207">
        <v>7365.4606540515088</v>
      </c>
      <c r="N225" s="298">
        <v>0</v>
      </c>
      <c r="O225" s="114">
        <f>tblPiNAnalysis[[#This Row],[SAMV]]</f>
        <v>370</v>
      </c>
      <c r="P225" s="115">
        <f>tblPiNAnalysis[[#This Row],[NUT]]</f>
        <v>373.09920837778191</v>
      </c>
      <c r="Q225" s="115">
        <f>tblPiNAnalysis[[#This Row],[SAL]]</f>
        <v>4055.15</v>
      </c>
      <c r="R225" s="115">
        <f>tblPiNAnalysis[[#This Row],[EDU]]</f>
        <v>364.77624849130399</v>
      </c>
      <c r="S225" s="115">
        <f>tblPiNAnalysis[[#This Row],[PRO]]</f>
        <v>2215.7540530207029</v>
      </c>
      <c r="T225" s="116">
        <f>tblPiNAnalysis[[#This Row],[ASH]]</f>
        <v>749.92499999999995</v>
      </c>
      <c r="U225" s="300">
        <f>IF(OR(tblPiNHistorical[[#This Row],[SAMV25]]="", tblPiNHistorical[[#This Row],[SAMV25]]=0, tblPiNHistorical[[#This Row],[SAMV26]]="", tblPiNHistorical[[#This Row],[SAMV26]]=0), "", tblPiNHistorical[[#This Row],[SAMV26]]-tblPiNHistorical[[#This Row],[SAMV25]])</f>
        <v>-2174</v>
      </c>
      <c r="V225" s="121">
        <f>IF(OR(tblPiNHistorical[[#This Row],[NUT25]]="", tblPiNHistorical[[#This Row],[NUT25]]=0, tblPiNHistorical[[#This Row],[NUT26]]="", tblPiNHistorical[[#This Row],[NUT26]]=0), "", tblPiNHistorical[[#This Row],[NUT26]]-tblPiNHistorical[[#This Row],[NUT25]])</f>
        <v>-553.90079162221809</v>
      </c>
      <c r="W225" s="121">
        <f>IF(OR(tblPiNHistorical[[#This Row],[SAL25]]="", tblPiNHistorical[[#This Row],[SAL25]]=0, tblPiNHistorical[[#This Row],[SAL26]]="", tblPiNHistorical[[#This Row],[SAL26]]=0), "", tblPiNHistorical[[#This Row],[SAL26]]-tblPiNHistorical[[#This Row],[SAL25]])</f>
        <v>-1338.7301070959079</v>
      </c>
      <c r="X225" s="121">
        <f>IF(OR(tblPiNHistorical[[#This Row],[EDU25]]="", tblPiNHistorical[[#This Row],[EDU25]]=0, tblPiNHistorical[[#This Row],[EDU26]]="", tblPiNHistorical[[#This Row],[EDU26]]=0), "", tblPiNHistorical[[#This Row],[EDU26]]-tblPiNHistorical[[#This Row],[EDU25]])</f>
        <v>-1732.6443107994098</v>
      </c>
      <c r="Y225" s="121">
        <f>IF(OR(tblPiNHistorical[[#This Row],[PRO25]]="", tblPiNHistorical[[#This Row],[PRO25]]=0, tblPiNHistorical[[#This Row],[PRO26]]="", tblPiNHistorical[[#This Row],[PRO26]]=0), "", tblPiNHistorical[[#This Row],[PRO26]]-tblPiNHistorical[[#This Row],[PRO25]])</f>
        <v>-5149.7066010308063</v>
      </c>
      <c r="Z225" s="223" t="str">
        <f>IF(OR(tblPiNHistorical[[#This Row],[ASH25]]="", tblPiNHistorical[[#This Row],[ASH25]]=0, tblPiNHistorical[[#This Row],[ASH26]]="", tblPiNHistorical[[#This Row],[ASH26]]=0), "", tblPiNHistorical[[#This Row],[ASH26]]-tblPiNHistorical[[#This Row],[ASH25]])</f>
        <v/>
      </c>
      <c r="AA22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2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22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22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22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22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New26 749.925</v>
      </c>
    </row>
    <row r="226" spans="1:32">
      <c r="A22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VenezolanosVE1802</v>
      </c>
      <c r="B226" s="105" t="s">
        <v>536</v>
      </c>
      <c r="C226" s="104" t="s">
        <v>537</v>
      </c>
      <c r="D226" s="119" t="s">
        <v>540</v>
      </c>
      <c r="E226" s="104" t="s">
        <v>541</v>
      </c>
      <c r="F226" s="119"/>
      <c r="G226" s="102">
        <v>151334</v>
      </c>
      <c r="H226" s="102" t="s">
        <v>102</v>
      </c>
      <c r="I226" s="206">
        <v>18585</v>
      </c>
      <c r="J226" s="120">
        <v>6848</v>
      </c>
      <c r="K226" s="207">
        <v>39400.887255489157</v>
      </c>
      <c r="L226" s="207">
        <v>17157.75764347324</v>
      </c>
      <c r="M226" s="207">
        <v>12184.726523655789</v>
      </c>
      <c r="N226" s="298">
        <v>0</v>
      </c>
      <c r="O226" s="114">
        <f>tblPiNAnalysis[[#This Row],[SAMV]]</f>
        <v>2808</v>
      </c>
      <c r="P226" s="115">
        <f>tblPiNAnalysis[[#This Row],[NUT]]</f>
        <v>772.55810387521024</v>
      </c>
      <c r="Q226" s="115">
        <f>tblPiNAnalysis[[#This Row],[SAL]]</f>
        <v>2800</v>
      </c>
      <c r="R226" s="115">
        <f>tblPiNAnalysis[[#This Row],[EDU]]</f>
        <v>1642.1886787801559</v>
      </c>
      <c r="S226" s="115">
        <f>tblPiNAnalysis[[#This Row],[PRO]]</f>
        <v>1571.8223741396118</v>
      </c>
      <c r="T226" s="116">
        <f>tblPiNAnalysis[[#This Row],[ASH]]</f>
        <v>3949.2</v>
      </c>
      <c r="U226" s="300">
        <f>IF(OR(tblPiNHistorical[[#This Row],[SAMV25]]="", tblPiNHistorical[[#This Row],[SAMV25]]=0, tblPiNHistorical[[#This Row],[SAMV26]]="", tblPiNHistorical[[#This Row],[SAMV26]]=0), "", tblPiNHistorical[[#This Row],[SAMV26]]-tblPiNHistorical[[#This Row],[SAMV25]])</f>
        <v>-15777</v>
      </c>
      <c r="V226" s="121">
        <f>IF(OR(tblPiNHistorical[[#This Row],[NUT25]]="", tblPiNHistorical[[#This Row],[NUT25]]=0, tblPiNHistorical[[#This Row],[NUT26]]="", tblPiNHistorical[[#This Row],[NUT26]]=0), "", tblPiNHistorical[[#This Row],[NUT26]]-tblPiNHistorical[[#This Row],[NUT25]])</f>
        <v>-6075.4418961247902</v>
      </c>
      <c r="W226" s="121">
        <f>IF(OR(tblPiNHistorical[[#This Row],[SAL25]]="", tblPiNHistorical[[#This Row],[SAL25]]=0, tblPiNHistorical[[#This Row],[SAL26]]="", tblPiNHistorical[[#This Row],[SAL26]]=0), "", tblPiNHistorical[[#This Row],[SAL26]]-tblPiNHistorical[[#This Row],[SAL25]])</f>
        <v>-36600.887255489157</v>
      </c>
      <c r="X226" s="121">
        <f>IF(OR(tblPiNHistorical[[#This Row],[EDU25]]="", tblPiNHistorical[[#This Row],[EDU25]]=0, tblPiNHistorical[[#This Row],[EDU26]]="", tblPiNHistorical[[#This Row],[EDU26]]=0), "", tblPiNHistorical[[#This Row],[EDU26]]-tblPiNHistorical[[#This Row],[EDU25]])</f>
        <v>-15515.568964693084</v>
      </c>
      <c r="Y226" s="121">
        <f>IF(OR(tblPiNHistorical[[#This Row],[PRO25]]="", tblPiNHistorical[[#This Row],[PRO25]]=0, tblPiNHistorical[[#This Row],[PRO26]]="", tblPiNHistorical[[#This Row],[PRO26]]=0), "", tblPiNHistorical[[#This Row],[PRO26]]-tblPiNHistorical[[#This Row],[PRO25]])</f>
        <v>-10612.904149516176</v>
      </c>
      <c r="Z226" s="223" t="str">
        <f>IF(OR(tblPiNHistorical[[#This Row],[ASH25]]="", tblPiNHistorical[[#This Row],[ASH25]]=0, tblPiNHistorical[[#This Row],[ASH26]]="", tblPiNHistorical[[#This Row],[ASH26]]=0), "", tblPiNHistorical[[#This Row],[ASH26]]-tblPiNHistorical[[#This Row],[ASH25]])</f>
        <v/>
      </c>
      <c r="AA22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22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22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-0.9</v>
      </c>
      <c r="AD22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22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2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3949.2</v>
      </c>
    </row>
    <row r="227" spans="1:32">
      <c r="A22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VenezolanosVE1803</v>
      </c>
      <c r="B227" s="105" t="s">
        <v>536</v>
      </c>
      <c r="C227" s="104" t="s">
        <v>537</v>
      </c>
      <c r="D227" s="119" t="s">
        <v>542</v>
      </c>
      <c r="E227" s="104" t="s">
        <v>543</v>
      </c>
      <c r="F227" s="119"/>
      <c r="G227" s="102">
        <v>44945</v>
      </c>
      <c r="H227" s="102" t="s">
        <v>102</v>
      </c>
      <c r="I227" s="206">
        <v>5520</v>
      </c>
      <c r="J227" s="120">
        <v>1762</v>
      </c>
      <c r="K227" s="207">
        <v>11702.262664384602</v>
      </c>
      <c r="L227" s="207">
        <v>5140.4961481177525</v>
      </c>
      <c r="M227" s="207">
        <v>16753.998970026711</v>
      </c>
      <c r="N227" s="298">
        <v>0</v>
      </c>
      <c r="O227" s="114">
        <f>tblPiNAnalysis[[#This Row],[SAMV]]</f>
        <v>2041</v>
      </c>
      <c r="P227" s="115">
        <f>tblPiNAnalysis[[#This Row],[NUT]]</f>
        <v>296.04012024201961</v>
      </c>
      <c r="Q227" s="115">
        <f>tblPiNAnalysis[[#This Row],[SAL]]</f>
        <v>3575.54</v>
      </c>
      <c r="R227" s="115">
        <f>tblPiNAnalysis[[#This Row],[EDU]]</f>
        <v>1191.3681633360216</v>
      </c>
      <c r="S227" s="115">
        <f>tblPiNAnalysis[[#This Row],[PRO]]</f>
        <v>1954.1814522464369</v>
      </c>
      <c r="T227" s="116">
        <f>tblPiNAnalysis[[#This Row],[ASH]]</f>
        <v>0</v>
      </c>
      <c r="U227" s="300">
        <f>IF(OR(tblPiNHistorical[[#This Row],[SAMV25]]="", tblPiNHistorical[[#This Row],[SAMV25]]=0, tblPiNHistorical[[#This Row],[SAMV26]]="", tblPiNHistorical[[#This Row],[SAMV26]]=0), "", tblPiNHistorical[[#This Row],[SAMV26]]-tblPiNHistorical[[#This Row],[SAMV25]])</f>
        <v>-3479</v>
      </c>
      <c r="V227" s="121">
        <f>IF(OR(tblPiNHistorical[[#This Row],[NUT25]]="", tblPiNHistorical[[#This Row],[NUT25]]=0, tblPiNHistorical[[#This Row],[NUT26]]="", tblPiNHistorical[[#This Row],[NUT26]]=0), "", tblPiNHistorical[[#This Row],[NUT26]]-tblPiNHistorical[[#This Row],[NUT25]])</f>
        <v>-1465.9598797579804</v>
      </c>
      <c r="W227" s="121">
        <f>IF(OR(tblPiNHistorical[[#This Row],[SAL25]]="", tblPiNHistorical[[#This Row],[SAL25]]=0, tblPiNHistorical[[#This Row],[SAL26]]="", tblPiNHistorical[[#This Row],[SAL26]]=0), "", tblPiNHistorical[[#This Row],[SAL26]]-tblPiNHistorical[[#This Row],[SAL25]])</f>
        <v>-8126.7226643846016</v>
      </c>
      <c r="X227" s="121">
        <f>IF(OR(tblPiNHistorical[[#This Row],[EDU25]]="", tblPiNHistorical[[#This Row],[EDU25]]=0, tblPiNHistorical[[#This Row],[EDU26]]="", tblPiNHistorical[[#This Row],[EDU26]]=0), "", tblPiNHistorical[[#This Row],[EDU26]]-tblPiNHistorical[[#This Row],[EDU25]])</f>
        <v>-3949.1279847817309</v>
      </c>
      <c r="Y227" s="121">
        <f>IF(OR(tblPiNHistorical[[#This Row],[PRO25]]="", tblPiNHistorical[[#This Row],[PRO25]]=0, tblPiNHistorical[[#This Row],[PRO26]]="", tblPiNHistorical[[#This Row],[PRO26]]=0), "", tblPiNHistorical[[#This Row],[PRO26]]-tblPiNHistorical[[#This Row],[PRO25]])</f>
        <v>-14799.817517780273</v>
      </c>
      <c r="Z227" s="223" t="str">
        <f>IF(OR(tblPiNHistorical[[#This Row],[ASH25]]="", tblPiNHistorical[[#This Row],[ASH25]]=0, tblPiNHistorical[[#This Row],[ASH26]]="", tblPiNHistorical[[#This Row],[ASH26]]=0), "", tblPiNHistorical[[#This Row],[ASH26]]-tblPiNHistorical[[#This Row],[ASH25]])</f>
        <v/>
      </c>
      <c r="AA22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22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22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22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22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2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28" spans="1:32">
      <c r="A22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VenezolanosVE1804</v>
      </c>
      <c r="B228" s="105" t="s">
        <v>536</v>
      </c>
      <c r="C228" s="104" t="s">
        <v>537</v>
      </c>
      <c r="D228" s="119" t="s">
        <v>544</v>
      </c>
      <c r="E228" s="104" t="s">
        <v>545</v>
      </c>
      <c r="F228" s="119"/>
      <c r="G228" s="102">
        <v>192644</v>
      </c>
      <c r="H228" s="102" t="s">
        <v>102</v>
      </c>
      <c r="I228" s="206">
        <v>23658</v>
      </c>
      <c r="J228" s="120">
        <v>10249</v>
      </c>
      <c r="K228" s="207">
        <v>50156.942075958141</v>
      </c>
      <c r="L228" s="207">
        <v>22010.305031365206</v>
      </c>
      <c r="M228" s="207">
        <v>12184.726523655789</v>
      </c>
      <c r="N228" s="298">
        <v>0</v>
      </c>
      <c r="O228" s="114">
        <f>tblPiNAnalysis[[#This Row],[SAMV]]</f>
        <v>1314</v>
      </c>
      <c r="P228" s="115">
        <f>tblPiNAnalysis[[#This Row],[NUT]]</f>
        <v>210.86923722366373</v>
      </c>
      <c r="Q228" s="115">
        <f>tblPiNAnalysis[[#This Row],[SAL]]</f>
        <v>2800</v>
      </c>
      <c r="R228" s="115">
        <f>tblPiNAnalysis[[#This Row],[EDU]]</f>
        <v>359.99597372483004</v>
      </c>
      <c r="S228" s="115">
        <f>tblPiNAnalysis[[#This Row],[PRO]]</f>
        <v>1414.1736128856162</v>
      </c>
      <c r="T228" s="116">
        <f>tblPiNAnalysis[[#This Row],[ASH]]</f>
        <v>3545.4</v>
      </c>
      <c r="U228" s="300">
        <f>IF(OR(tblPiNHistorical[[#This Row],[SAMV25]]="", tblPiNHistorical[[#This Row],[SAMV25]]=0, tblPiNHistorical[[#This Row],[SAMV26]]="", tblPiNHistorical[[#This Row],[SAMV26]]=0), "", tblPiNHistorical[[#This Row],[SAMV26]]-tblPiNHistorical[[#This Row],[SAMV25]])</f>
        <v>-22344</v>
      </c>
      <c r="V228" s="121">
        <f>IF(OR(tblPiNHistorical[[#This Row],[NUT25]]="", tblPiNHistorical[[#This Row],[NUT25]]=0, tblPiNHistorical[[#This Row],[NUT26]]="", tblPiNHistorical[[#This Row],[NUT26]]=0), "", tblPiNHistorical[[#This Row],[NUT26]]-tblPiNHistorical[[#This Row],[NUT25]])</f>
        <v>-10038.130762776336</v>
      </c>
      <c r="W228" s="121">
        <f>IF(OR(tblPiNHistorical[[#This Row],[SAL25]]="", tblPiNHistorical[[#This Row],[SAL25]]=0, tblPiNHistorical[[#This Row],[SAL26]]="", tblPiNHistorical[[#This Row],[SAL26]]=0), "", tblPiNHistorical[[#This Row],[SAL26]]-tblPiNHistorical[[#This Row],[SAL25]])</f>
        <v>-47356.942075958141</v>
      </c>
      <c r="X228" s="121">
        <f>IF(OR(tblPiNHistorical[[#This Row],[EDU25]]="", tblPiNHistorical[[#This Row],[EDU25]]=0, tblPiNHistorical[[#This Row],[EDU26]]="", tblPiNHistorical[[#This Row],[EDU26]]=0), "", tblPiNHistorical[[#This Row],[EDU26]]-tblPiNHistorical[[#This Row],[EDU25]])</f>
        <v>-21650.309057640377</v>
      </c>
      <c r="Y228" s="121">
        <f>IF(OR(tblPiNHistorical[[#This Row],[PRO25]]="", tblPiNHistorical[[#This Row],[PRO25]]=0, tblPiNHistorical[[#This Row],[PRO26]]="", tblPiNHistorical[[#This Row],[PRO26]]=0), "", tblPiNHistorical[[#This Row],[PRO26]]-tblPiNHistorical[[#This Row],[PRO25]])</f>
        <v>-10770.552910770173</v>
      </c>
      <c r="Z228" s="223" t="str">
        <f>IF(OR(tblPiNHistorical[[#This Row],[ASH25]]="", tblPiNHistorical[[#This Row],[ASH25]]=0, tblPiNHistorical[[#This Row],[ASH26]]="", tblPiNHistorical[[#This Row],[ASH26]]=0), "", tblPiNHistorical[[#This Row],[ASH26]]-tblPiNHistorical[[#This Row],[ASH25]])</f>
        <v/>
      </c>
      <c r="AA22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2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v>
      </c>
      <c r="AC22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-0.9</v>
      </c>
      <c r="AD22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22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2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3545.4</v>
      </c>
    </row>
    <row r="229" spans="1:32">
      <c r="A22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VenezolanosVE1805</v>
      </c>
      <c r="B229" s="105" t="s">
        <v>536</v>
      </c>
      <c r="C229" s="104" t="s">
        <v>537</v>
      </c>
      <c r="D229" s="119" t="s">
        <v>546</v>
      </c>
      <c r="E229" s="104" t="s">
        <v>547</v>
      </c>
      <c r="F229" s="119"/>
      <c r="G229" s="102">
        <v>37553</v>
      </c>
      <c r="H229" s="102" t="s">
        <v>102</v>
      </c>
      <c r="I229" s="206">
        <v>4612</v>
      </c>
      <c r="J229" s="120">
        <v>1629</v>
      </c>
      <c r="K229" s="207">
        <v>9777.1507892767113</v>
      </c>
      <c r="L229" s="207">
        <v>5731.5773743003319</v>
      </c>
      <c r="M229" s="207">
        <v>12184.726523655789</v>
      </c>
      <c r="N229" s="298">
        <v>7511</v>
      </c>
      <c r="O229" s="114">
        <f>tblPiNAnalysis[[#This Row],[SAMV]]</f>
        <v>1255</v>
      </c>
      <c r="P229" s="115">
        <f>tblPiNAnalysis[[#This Row],[NUT]]</f>
        <v>180.5503454248958</v>
      </c>
      <c r="Q229" s="115">
        <f>tblPiNAnalysis[[#This Row],[SAL]]</f>
        <v>2060.79</v>
      </c>
      <c r="R229" s="115">
        <f>tblPiNAnalysis[[#This Row],[EDU]]</f>
        <v>235.61749526304493</v>
      </c>
      <c r="S229" s="115">
        <f>tblPiNAnalysis[[#This Row],[PRO]]</f>
        <v>1126.0258670886487</v>
      </c>
      <c r="T229" s="116">
        <f>tblPiNAnalysis[[#This Row],[ASH]]</f>
        <v>3387.6</v>
      </c>
      <c r="U229" s="300">
        <f>IF(OR(tblPiNHistorical[[#This Row],[SAMV25]]="", tblPiNHistorical[[#This Row],[SAMV25]]=0, tblPiNHistorical[[#This Row],[SAMV26]]="", tblPiNHistorical[[#This Row],[SAMV26]]=0), "", tblPiNHistorical[[#This Row],[SAMV26]]-tblPiNHistorical[[#This Row],[SAMV25]])</f>
        <v>-3357</v>
      </c>
      <c r="V229" s="121">
        <f>IF(OR(tblPiNHistorical[[#This Row],[NUT25]]="", tblPiNHistorical[[#This Row],[NUT25]]=0, tblPiNHistorical[[#This Row],[NUT26]]="", tblPiNHistorical[[#This Row],[NUT26]]=0), "", tblPiNHistorical[[#This Row],[NUT26]]-tblPiNHistorical[[#This Row],[NUT25]])</f>
        <v>-1448.4496545751042</v>
      </c>
      <c r="W229" s="121">
        <f>IF(OR(tblPiNHistorical[[#This Row],[SAL25]]="", tblPiNHistorical[[#This Row],[SAL25]]=0, tblPiNHistorical[[#This Row],[SAL26]]="", tblPiNHistorical[[#This Row],[SAL26]]=0), "", tblPiNHistorical[[#This Row],[SAL26]]-tblPiNHistorical[[#This Row],[SAL25]])</f>
        <v>-7716.3607892767113</v>
      </c>
      <c r="X229" s="121">
        <f>IF(OR(tblPiNHistorical[[#This Row],[EDU25]]="", tblPiNHistorical[[#This Row],[EDU25]]=0, tblPiNHistorical[[#This Row],[EDU26]]="", tblPiNHistorical[[#This Row],[EDU26]]=0), "", tblPiNHistorical[[#This Row],[EDU26]]-tblPiNHistorical[[#This Row],[EDU25]])</f>
        <v>-5495.9598790372875</v>
      </c>
      <c r="Y229" s="121">
        <f>IF(OR(tblPiNHistorical[[#This Row],[PRO25]]="", tblPiNHistorical[[#This Row],[PRO25]]=0, tblPiNHistorical[[#This Row],[PRO26]]="", tblPiNHistorical[[#This Row],[PRO26]]=0), "", tblPiNHistorical[[#This Row],[PRO26]]-tblPiNHistorical[[#This Row],[PRO25]])</f>
        <v>-11058.70065656714</v>
      </c>
      <c r="Z229" s="223">
        <f>IF(OR(tblPiNHistorical[[#This Row],[ASH25]]="", tblPiNHistorical[[#This Row],[ASH25]]=0, tblPiNHistorical[[#This Row],[ASH26]]="", tblPiNHistorical[[#This Row],[ASH26]]=0), "", tblPiNHistorical[[#This Row],[ASH26]]-tblPiNHistorical[[#This Row],[ASH25]])</f>
        <v>-4123.3999999999996</v>
      </c>
      <c r="AA22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-0.7</v>
      </c>
      <c r="AB22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22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22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22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29"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-0.5</v>
      </c>
    </row>
    <row r="230" spans="1:32">
      <c r="A23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VenezolanosVE1806</v>
      </c>
      <c r="B230" s="105" t="s">
        <v>536</v>
      </c>
      <c r="C230" s="104" t="s">
        <v>537</v>
      </c>
      <c r="D230" s="119" t="s">
        <v>548</v>
      </c>
      <c r="E230" s="104" t="s">
        <v>549</v>
      </c>
      <c r="F230" s="119"/>
      <c r="G230" s="102">
        <v>23744</v>
      </c>
      <c r="H230" s="102" t="s">
        <v>102</v>
      </c>
      <c r="I230" s="206">
        <v>2916</v>
      </c>
      <c r="J230" s="120">
        <v>1062</v>
      </c>
      <c r="K230" s="207">
        <v>6181.5609823973855</v>
      </c>
      <c r="L230" s="207">
        <v>3367.6475704380709</v>
      </c>
      <c r="M230" s="207">
        <v>11607.257780251663</v>
      </c>
      <c r="N230" s="298">
        <v>4749</v>
      </c>
      <c r="O230" s="114">
        <f>tblPiNAnalysis[[#This Row],[SAMV]]</f>
        <v>1025</v>
      </c>
      <c r="P230" s="115">
        <f>tblPiNAnalysis[[#This Row],[NUT]]</f>
        <v>257.8809837219161</v>
      </c>
      <c r="Q230" s="115">
        <f>tblPiNAnalysis[[#This Row],[SAL]]</f>
        <v>2800</v>
      </c>
      <c r="R230" s="115">
        <f>tblPiNAnalysis[[#This Row],[EDU]]</f>
        <v>966.93994402349165</v>
      </c>
      <c r="S230" s="115">
        <f>tblPiNAnalysis[[#This Row],[PRO]]</f>
        <v>1443.131982687471</v>
      </c>
      <c r="T230" s="116">
        <f>tblPiNAnalysis[[#This Row],[ASH]]</f>
        <v>0</v>
      </c>
      <c r="U230" s="300">
        <f>IF(OR(tblPiNHistorical[[#This Row],[SAMV25]]="", tblPiNHistorical[[#This Row],[SAMV25]]=0, tblPiNHistorical[[#This Row],[SAMV26]]="", tblPiNHistorical[[#This Row],[SAMV26]]=0), "", tblPiNHistorical[[#This Row],[SAMV26]]-tblPiNHistorical[[#This Row],[SAMV25]])</f>
        <v>-1891</v>
      </c>
      <c r="V230" s="121">
        <f>IF(OR(tblPiNHistorical[[#This Row],[NUT25]]="", tblPiNHistorical[[#This Row],[NUT25]]=0, tblPiNHistorical[[#This Row],[NUT26]]="", tblPiNHistorical[[#This Row],[NUT26]]=0), "", tblPiNHistorical[[#This Row],[NUT26]]-tblPiNHistorical[[#This Row],[NUT25]])</f>
        <v>-804.1190162780839</v>
      </c>
      <c r="W230" s="121">
        <f>IF(OR(tblPiNHistorical[[#This Row],[SAL25]]="", tblPiNHistorical[[#This Row],[SAL25]]=0, tblPiNHistorical[[#This Row],[SAL26]]="", tblPiNHistorical[[#This Row],[SAL26]]=0), "", tblPiNHistorical[[#This Row],[SAL26]]-tblPiNHistorical[[#This Row],[SAL25]])</f>
        <v>-3381.5609823973855</v>
      </c>
      <c r="X230" s="121">
        <f>IF(OR(tblPiNHistorical[[#This Row],[EDU25]]="", tblPiNHistorical[[#This Row],[EDU25]]=0, tblPiNHistorical[[#This Row],[EDU26]]="", tblPiNHistorical[[#This Row],[EDU26]]=0), "", tblPiNHistorical[[#This Row],[EDU26]]-tblPiNHistorical[[#This Row],[EDU25]])</f>
        <v>-2400.7076264145794</v>
      </c>
      <c r="Y230" s="121">
        <f>IF(OR(tblPiNHistorical[[#This Row],[PRO25]]="", tblPiNHistorical[[#This Row],[PRO25]]=0, tblPiNHistorical[[#This Row],[PRO26]]="", tblPiNHistorical[[#This Row],[PRO26]]=0), "", tblPiNHistorical[[#This Row],[PRO26]]-tblPiNHistorical[[#This Row],[PRO25]])</f>
        <v>-10164.125797564191</v>
      </c>
      <c r="Z230" s="223" t="str">
        <f>IF(OR(tblPiNHistorical[[#This Row],[ASH25]]="", tblPiNHistorical[[#This Row],[ASH25]]=0, tblPiNHistorical[[#This Row],[ASH26]]="", tblPiNHistorical[[#This Row],[ASH26]]=0), "", tblPiNHistorical[[#This Row],[ASH26]]-tblPiNHistorical[[#This Row],[ASH25]])</f>
        <v/>
      </c>
      <c r="AA23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23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23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23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23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3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4749</v>
      </c>
    </row>
    <row r="231" spans="1:32">
      <c r="A23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VenezolanosVE1807</v>
      </c>
      <c r="B231" s="105" t="s">
        <v>536</v>
      </c>
      <c r="C231" s="104" t="s">
        <v>537</v>
      </c>
      <c r="D231" s="119" t="s">
        <v>550</v>
      </c>
      <c r="E231" s="104" t="s">
        <v>551</v>
      </c>
      <c r="F231" s="119"/>
      <c r="G231" s="102">
        <v>49228</v>
      </c>
      <c r="H231" s="102" t="s">
        <v>102</v>
      </c>
      <c r="I231" s="206">
        <v>6046</v>
      </c>
      <c r="J231" s="120">
        <v>1996</v>
      </c>
      <c r="K231" s="207">
        <v>12816.90541245273</v>
      </c>
      <c r="L231" s="207">
        <v>7058.3503356189358</v>
      </c>
      <c r="M231" s="207">
        <v>12184.726523655789</v>
      </c>
      <c r="N231" s="298">
        <v>9846</v>
      </c>
      <c r="O231" s="114">
        <f>tblPiNAnalysis[[#This Row],[SAMV]]</f>
        <v>392</v>
      </c>
      <c r="P231" s="115">
        <f>tblPiNAnalysis[[#This Row],[NUT]]</f>
        <v>297.91205260869572</v>
      </c>
      <c r="Q231" s="115">
        <f>tblPiNAnalysis[[#This Row],[SAL]]</f>
        <v>2000</v>
      </c>
      <c r="R231" s="115">
        <f>tblPiNAnalysis[[#This Row],[EDU]]</f>
        <v>209.70964428889977</v>
      </c>
      <c r="S231" s="115">
        <f>tblPiNAnalysis[[#This Row],[PRO]]</f>
        <v>562.00574270415348</v>
      </c>
      <c r="T231" s="116">
        <f>tblPiNAnalysis[[#This Row],[ASH]]</f>
        <v>1879.2</v>
      </c>
      <c r="U231" s="300">
        <f>IF(OR(tblPiNHistorical[[#This Row],[SAMV25]]="", tblPiNHistorical[[#This Row],[SAMV25]]=0, tblPiNHistorical[[#This Row],[SAMV26]]="", tblPiNHistorical[[#This Row],[SAMV26]]=0), "", tblPiNHistorical[[#This Row],[SAMV26]]-tblPiNHistorical[[#This Row],[SAMV25]])</f>
        <v>-5654</v>
      </c>
      <c r="V231" s="121">
        <f>IF(OR(tblPiNHistorical[[#This Row],[NUT25]]="", tblPiNHistorical[[#This Row],[NUT25]]=0, tblPiNHistorical[[#This Row],[NUT26]]="", tblPiNHistorical[[#This Row],[NUT26]]=0), "", tblPiNHistorical[[#This Row],[NUT26]]-tblPiNHistorical[[#This Row],[NUT25]])</f>
        <v>-1698.0879473913042</v>
      </c>
      <c r="W231" s="121">
        <f>IF(OR(tblPiNHistorical[[#This Row],[SAL25]]="", tblPiNHistorical[[#This Row],[SAL25]]=0, tblPiNHistorical[[#This Row],[SAL26]]="", tblPiNHistorical[[#This Row],[SAL26]]=0), "", tblPiNHistorical[[#This Row],[SAL26]]-tblPiNHistorical[[#This Row],[SAL25]])</f>
        <v>-10816.90541245273</v>
      </c>
      <c r="X231" s="121">
        <f>IF(OR(tblPiNHistorical[[#This Row],[EDU25]]="", tblPiNHistorical[[#This Row],[EDU25]]=0, tblPiNHistorical[[#This Row],[EDU26]]="", tblPiNHistorical[[#This Row],[EDU26]]=0), "", tblPiNHistorical[[#This Row],[EDU26]]-tblPiNHistorical[[#This Row],[EDU25]])</f>
        <v>-6848.6406913300361</v>
      </c>
      <c r="Y231" s="121">
        <f>IF(OR(tblPiNHistorical[[#This Row],[PRO25]]="", tblPiNHistorical[[#This Row],[PRO25]]=0, tblPiNHistorical[[#This Row],[PRO26]]="", tblPiNHistorical[[#This Row],[PRO26]]=0), "", tblPiNHistorical[[#This Row],[PRO26]]-tblPiNHistorical[[#This Row],[PRO25]])</f>
        <v>-11622.720780951635</v>
      </c>
      <c r="Z231" s="223">
        <f>IF(OR(tblPiNHistorical[[#This Row],[ASH25]]="", tblPiNHistorical[[#This Row],[ASH25]]=0, tblPiNHistorical[[#This Row],[ASH26]]="", tblPiNHistorical[[#This Row],[ASH26]]=0), "", tblPiNHistorical[[#This Row],[ASH26]]-tblPiNHistorical[[#This Row],[ASH25]])</f>
        <v>-7966.8</v>
      </c>
      <c r="AA23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3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23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23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23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231" s="118">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-0.8</v>
      </c>
    </row>
    <row r="232" spans="1:32">
      <c r="A23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VenezolanosVE1808</v>
      </c>
      <c r="B232" s="105" t="s">
        <v>536</v>
      </c>
      <c r="C232" s="104" t="s">
        <v>537</v>
      </c>
      <c r="D232" s="119" t="s">
        <v>171</v>
      </c>
      <c r="E232" s="104" t="s">
        <v>552</v>
      </c>
      <c r="F232" s="119"/>
      <c r="G232" s="102">
        <v>177175</v>
      </c>
      <c r="H232" s="102" t="s">
        <v>102</v>
      </c>
      <c r="I232" s="206">
        <v>21758</v>
      </c>
      <c r="J232" s="120">
        <v>7476</v>
      </c>
      <c r="K232" s="207">
        <v>46129.366279605303</v>
      </c>
      <c r="L232" s="207">
        <v>18082.646831829221</v>
      </c>
      <c r="M232" s="207">
        <v>16753.998970026711</v>
      </c>
      <c r="N232" s="298">
        <v>0</v>
      </c>
      <c r="O232" s="114">
        <f>tblPiNAnalysis[[#This Row],[SAMV]]</f>
        <v>345</v>
      </c>
      <c r="P232" s="115">
        <f>tblPiNAnalysis[[#This Row],[NUT]]</f>
        <v>140.940754629065</v>
      </c>
      <c r="Q232" s="115">
        <f>tblPiNAnalysis[[#This Row],[SAL]]</f>
        <v>1800</v>
      </c>
      <c r="R232" s="115">
        <f>tblPiNAnalysis[[#This Row],[EDU]]</f>
        <v>352.52286114586201</v>
      </c>
      <c r="S232" s="115">
        <f>tblPiNAnalysis[[#This Row],[PRO]]</f>
        <v>495.25410276611228</v>
      </c>
      <c r="T232" s="116">
        <f>tblPiNAnalysis[[#This Row],[ASH]]</f>
        <v>1656</v>
      </c>
      <c r="U232" s="300">
        <f>IF(OR(tblPiNHistorical[[#This Row],[SAMV25]]="", tblPiNHistorical[[#This Row],[SAMV25]]=0, tblPiNHistorical[[#This Row],[SAMV26]]="", tblPiNHistorical[[#This Row],[SAMV26]]=0), "", tblPiNHistorical[[#This Row],[SAMV26]]-tblPiNHistorical[[#This Row],[SAMV25]])</f>
        <v>-21413</v>
      </c>
      <c r="V232" s="121">
        <f>IF(OR(tblPiNHistorical[[#This Row],[NUT25]]="", tblPiNHistorical[[#This Row],[NUT25]]=0, tblPiNHistorical[[#This Row],[NUT26]]="", tblPiNHistorical[[#This Row],[NUT26]]=0), "", tblPiNHistorical[[#This Row],[NUT26]]-tblPiNHistorical[[#This Row],[NUT25]])</f>
        <v>-7335.0592453709351</v>
      </c>
      <c r="W232" s="121">
        <f>IF(OR(tblPiNHistorical[[#This Row],[SAL25]]="", tblPiNHistorical[[#This Row],[SAL25]]=0, tblPiNHistorical[[#This Row],[SAL26]]="", tblPiNHistorical[[#This Row],[SAL26]]=0), "", tblPiNHistorical[[#This Row],[SAL26]]-tblPiNHistorical[[#This Row],[SAL25]])</f>
        <v>-44329.366279605303</v>
      </c>
      <c r="X232" s="121">
        <f>IF(OR(tblPiNHistorical[[#This Row],[EDU25]]="", tblPiNHistorical[[#This Row],[EDU25]]=0, tblPiNHistorical[[#This Row],[EDU26]]="", tblPiNHistorical[[#This Row],[EDU26]]=0), "", tblPiNHistorical[[#This Row],[EDU26]]-tblPiNHistorical[[#This Row],[EDU25]])</f>
        <v>-17730.123970683358</v>
      </c>
      <c r="Y232" s="121">
        <f>IF(OR(tblPiNHistorical[[#This Row],[PRO25]]="", tblPiNHistorical[[#This Row],[PRO25]]=0, tblPiNHistorical[[#This Row],[PRO26]]="", tblPiNHistorical[[#This Row],[PRO26]]=0), "", tblPiNHistorical[[#This Row],[PRO26]]-tblPiNHistorical[[#This Row],[PRO25]])</f>
        <v>-16258.744867260599</v>
      </c>
      <c r="Z232" s="223" t="str">
        <f>IF(OR(tblPiNHistorical[[#This Row],[ASH25]]="", tblPiNHistorical[[#This Row],[ASH25]]=0, tblPiNHistorical[[#This Row],[ASH26]]="", tblPiNHistorical[[#This Row],[ASH26]]=0), "", tblPiNHistorical[[#This Row],[ASH26]]-tblPiNHistorical[[#This Row],[ASH25]])</f>
        <v/>
      </c>
      <c r="AA23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23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v>
      </c>
      <c r="AC23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v>
      </c>
      <c r="AD23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23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23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1656</v>
      </c>
    </row>
    <row r="233" spans="1:32">
      <c r="A23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VenezolanosVE1809</v>
      </c>
      <c r="B233" s="105" t="s">
        <v>536</v>
      </c>
      <c r="C233" s="104" t="s">
        <v>537</v>
      </c>
      <c r="D233" s="119" t="s">
        <v>553</v>
      </c>
      <c r="E233" s="104" t="s">
        <v>554</v>
      </c>
      <c r="F233" s="119"/>
      <c r="G233" s="102">
        <v>16191</v>
      </c>
      <c r="H233" s="102" t="s">
        <v>102</v>
      </c>
      <c r="I233" s="206">
        <v>1988</v>
      </c>
      <c r="J233" s="120">
        <v>695</v>
      </c>
      <c r="K233" s="207">
        <v>4215.8265715821244</v>
      </c>
      <c r="L233" s="207">
        <v>2315.7894551776762</v>
      </c>
      <c r="M233" s="207">
        <v>5756.3437490827819</v>
      </c>
      <c r="N233" s="298">
        <v>0</v>
      </c>
      <c r="O233" s="114">
        <f>tblPiNAnalysis[[#This Row],[SAMV]]</f>
        <v>6492</v>
      </c>
      <c r="P233" s="115">
        <f>tblPiNAnalysis[[#This Row],[NUT]]</f>
        <v>501.35654671603083</v>
      </c>
      <c r="Q233" s="115">
        <f>tblPiNAnalysis[[#This Row],[SAL]]</f>
        <v>5600</v>
      </c>
      <c r="R233" s="115">
        <f>tblPiNAnalysis[[#This Row],[EDU]]</f>
        <v>564.32144762904727</v>
      </c>
      <c r="S233" s="115">
        <f>tblPiNAnalysis[[#This Row],[PRO]]</f>
        <v>1787.8278929823746</v>
      </c>
      <c r="T233" s="116">
        <f>tblPiNAnalysis[[#This Row],[ASH]]</f>
        <v>0</v>
      </c>
      <c r="U233" s="300">
        <f>IF(OR(tblPiNHistorical[[#This Row],[SAMV25]]="", tblPiNHistorical[[#This Row],[SAMV25]]=0, tblPiNHistorical[[#This Row],[SAMV26]]="", tblPiNHistorical[[#This Row],[SAMV26]]=0), "", tblPiNHistorical[[#This Row],[SAMV26]]-tblPiNHistorical[[#This Row],[SAMV25]])</f>
        <v>4504</v>
      </c>
      <c r="V233" s="121">
        <f>IF(OR(tblPiNHistorical[[#This Row],[NUT25]]="", tblPiNHistorical[[#This Row],[NUT25]]=0, tblPiNHistorical[[#This Row],[NUT26]]="", tblPiNHistorical[[#This Row],[NUT26]]=0), "", tblPiNHistorical[[#This Row],[NUT26]]-tblPiNHistorical[[#This Row],[NUT25]])</f>
        <v>-193.64345328396917</v>
      </c>
      <c r="W233" s="121">
        <f>IF(OR(tblPiNHistorical[[#This Row],[SAL25]]="", tblPiNHistorical[[#This Row],[SAL25]]=0, tblPiNHistorical[[#This Row],[SAL26]]="", tblPiNHistorical[[#This Row],[SAL26]]=0), "", tblPiNHistorical[[#This Row],[SAL26]]-tblPiNHistorical[[#This Row],[SAL25]])</f>
        <v>1384.1734284178756</v>
      </c>
      <c r="X233" s="121">
        <f>IF(OR(tblPiNHistorical[[#This Row],[EDU25]]="", tblPiNHistorical[[#This Row],[EDU25]]=0, tblPiNHistorical[[#This Row],[EDU26]]="", tblPiNHistorical[[#This Row],[EDU26]]=0), "", tblPiNHistorical[[#This Row],[EDU26]]-tblPiNHistorical[[#This Row],[EDU25]])</f>
        <v>-1751.468007548629</v>
      </c>
      <c r="Y233" s="121">
        <f>IF(OR(tblPiNHistorical[[#This Row],[PRO25]]="", tblPiNHistorical[[#This Row],[PRO25]]=0, tblPiNHistorical[[#This Row],[PRO26]]="", tblPiNHistorical[[#This Row],[PRO26]]=0), "", tblPiNHistorical[[#This Row],[PRO26]]-tblPiNHistorical[[#This Row],[PRO25]])</f>
        <v>-3968.5158561004073</v>
      </c>
      <c r="Z233" s="223" t="str">
        <f>IF(OR(tblPiNHistorical[[#This Row],[ASH25]]="", tblPiNHistorical[[#This Row],[ASH25]]=0, tblPiNHistorical[[#This Row],[ASH26]]="", tblPiNHistorical[[#This Row],[ASH26]]=0), "", tblPiNHistorical[[#This Row],[ASH26]]-tblPiNHistorical[[#This Row],[ASH25]])</f>
        <v/>
      </c>
      <c r="AA23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2.2999999999999998</v>
      </c>
      <c r="AB23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-0.3</v>
      </c>
      <c r="AC23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23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23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23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34" spans="1:32">
      <c r="A23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VenezolanosVE1810</v>
      </c>
      <c r="B234" s="105" t="s">
        <v>536</v>
      </c>
      <c r="C234" s="104" t="s">
        <v>537</v>
      </c>
      <c r="D234" s="119" t="s">
        <v>555</v>
      </c>
      <c r="E234" s="104" t="s">
        <v>556</v>
      </c>
      <c r="F234" s="119"/>
      <c r="G234" s="102">
        <v>23757</v>
      </c>
      <c r="H234" s="102" t="s">
        <v>102</v>
      </c>
      <c r="I234" s="206">
        <v>2918</v>
      </c>
      <c r="J234" s="120">
        <v>1030</v>
      </c>
      <c r="K234" s="207">
        <v>6185.5241566127388</v>
      </c>
      <c r="L234" s="207">
        <v>3104.3332509017109</v>
      </c>
      <c r="M234" s="207">
        <v>8446.2638778926339</v>
      </c>
      <c r="N234" s="298">
        <v>4751</v>
      </c>
      <c r="O234" s="114">
        <f>tblPiNAnalysis[[#This Row],[SAMV]]</f>
        <v>4206</v>
      </c>
      <c r="P234" s="115">
        <f>tblPiNAnalysis[[#This Row],[NUT]]</f>
        <v>536.02058710119832</v>
      </c>
      <c r="Q234" s="115">
        <f>tblPiNAnalysis[[#This Row],[SAL]]</f>
        <v>7000</v>
      </c>
      <c r="R234" s="115">
        <f>tblPiNAnalysis[[#This Row],[EDU]]</f>
        <v>978.65629612686234</v>
      </c>
      <c r="S234" s="115">
        <f>tblPiNAnalysis[[#This Row],[PRO]]</f>
        <v>1762.1698596741035</v>
      </c>
      <c r="T234" s="116">
        <f>tblPiNAnalysis[[#This Row],[ASH]]</f>
        <v>0</v>
      </c>
      <c r="U234" s="300">
        <f>IF(OR(tblPiNHistorical[[#This Row],[SAMV25]]="", tblPiNHistorical[[#This Row],[SAMV25]]=0, tblPiNHistorical[[#This Row],[SAMV26]]="", tblPiNHistorical[[#This Row],[SAMV26]]=0), "", tblPiNHistorical[[#This Row],[SAMV26]]-tblPiNHistorical[[#This Row],[SAMV25]])</f>
        <v>1288</v>
      </c>
      <c r="V234" s="121">
        <f>IF(OR(tblPiNHistorical[[#This Row],[NUT25]]="", tblPiNHistorical[[#This Row],[NUT25]]=0, tblPiNHistorical[[#This Row],[NUT26]]="", tblPiNHistorical[[#This Row],[NUT26]]=0), "", tblPiNHistorical[[#This Row],[NUT26]]-tblPiNHistorical[[#This Row],[NUT25]])</f>
        <v>-493.97941289880168</v>
      </c>
      <c r="W234" s="121">
        <f>IF(OR(tblPiNHistorical[[#This Row],[SAL25]]="", tblPiNHistorical[[#This Row],[SAL25]]=0, tblPiNHistorical[[#This Row],[SAL26]]="", tblPiNHistorical[[#This Row],[SAL26]]=0), "", tblPiNHistorical[[#This Row],[SAL26]]-tblPiNHistorical[[#This Row],[SAL25]])</f>
        <v>814.47584338726119</v>
      </c>
      <c r="X234" s="121">
        <f>IF(OR(tblPiNHistorical[[#This Row],[EDU25]]="", tblPiNHistorical[[#This Row],[EDU25]]=0, tblPiNHistorical[[#This Row],[EDU26]]="", tblPiNHistorical[[#This Row],[EDU26]]=0), "", tblPiNHistorical[[#This Row],[EDU26]]-tblPiNHistorical[[#This Row],[EDU25]])</f>
        <v>-2125.6769547748486</v>
      </c>
      <c r="Y234" s="121">
        <f>IF(OR(tblPiNHistorical[[#This Row],[PRO25]]="", tblPiNHistorical[[#This Row],[PRO25]]=0, tblPiNHistorical[[#This Row],[PRO26]]="", tblPiNHistorical[[#This Row],[PRO26]]=0), "", tblPiNHistorical[[#This Row],[PRO26]]-tblPiNHistorical[[#This Row],[PRO25]])</f>
        <v>-6684.0940182185304</v>
      </c>
      <c r="Z234" s="223" t="str">
        <f>IF(OR(tblPiNHistorical[[#This Row],[ASH25]]="", tblPiNHistorical[[#This Row],[ASH25]]=0, tblPiNHistorical[[#This Row],[ASH26]]="", tblPiNHistorical[[#This Row],[ASH26]]=0), "", tblPiNHistorical[[#This Row],[ASH26]]-tblPiNHistorical[[#This Row],[ASH25]])</f>
        <v/>
      </c>
      <c r="AA23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23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23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23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23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3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4751</v>
      </c>
    </row>
    <row r="235" spans="1:32">
      <c r="A23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VenezolanosVE1811</v>
      </c>
      <c r="B235" s="105" t="s">
        <v>536</v>
      </c>
      <c r="C235" s="104" t="s">
        <v>537</v>
      </c>
      <c r="D235" s="119" t="s">
        <v>557</v>
      </c>
      <c r="E235" s="104" t="s">
        <v>558</v>
      </c>
      <c r="F235" s="119"/>
      <c r="G235" s="102">
        <v>17623</v>
      </c>
      <c r="H235" s="102" t="s">
        <v>102</v>
      </c>
      <c r="I235" s="206">
        <v>2164</v>
      </c>
      <c r="J235" s="120">
        <v>816</v>
      </c>
      <c r="K235" s="207">
        <v>4588.3649478253392</v>
      </c>
      <c r="L235" s="207">
        <v>2086.3567133338743</v>
      </c>
      <c r="M235" s="207">
        <v>6265.458951892153</v>
      </c>
      <c r="N235" s="298">
        <v>0</v>
      </c>
      <c r="O235" s="114">
        <f>tblPiNAnalysis[[#This Row],[SAMV]]</f>
        <v>4011</v>
      </c>
      <c r="P235" s="115">
        <f>tblPiNAnalysis[[#This Row],[NUT]]</f>
        <v>333.36352493202162</v>
      </c>
      <c r="Q235" s="115">
        <f>tblPiNAnalysis[[#This Row],[SAL]]</f>
        <v>3378.8049999999998</v>
      </c>
      <c r="R235" s="115">
        <f>tblPiNAnalysis[[#This Row],[EDU]]</f>
        <v>1205.5446487473928</v>
      </c>
      <c r="S235" s="115">
        <f>tblPiNAnalysis[[#This Row],[PRO]]</f>
        <v>1104.7275085333315</v>
      </c>
      <c r="T235" s="116">
        <f>tblPiNAnalysis[[#This Row],[ASH]]</f>
        <v>0</v>
      </c>
      <c r="U235" s="300">
        <f>IF(OR(tblPiNHistorical[[#This Row],[SAMV25]]="", tblPiNHistorical[[#This Row],[SAMV25]]=0, tblPiNHistorical[[#This Row],[SAMV26]]="", tblPiNHistorical[[#This Row],[SAMV26]]=0), "", tblPiNHistorical[[#This Row],[SAMV26]]-tblPiNHistorical[[#This Row],[SAMV25]])</f>
        <v>1847</v>
      </c>
      <c r="V235" s="121">
        <f>IF(OR(tblPiNHistorical[[#This Row],[NUT25]]="", tblPiNHistorical[[#This Row],[NUT25]]=0, tblPiNHistorical[[#This Row],[NUT26]]="", tblPiNHistorical[[#This Row],[NUT26]]=0), "", tblPiNHistorical[[#This Row],[NUT26]]-tblPiNHistorical[[#This Row],[NUT25]])</f>
        <v>-482.63647506797838</v>
      </c>
      <c r="W235" s="121">
        <f>IF(OR(tblPiNHistorical[[#This Row],[SAL25]]="", tblPiNHistorical[[#This Row],[SAL25]]=0, tblPiNHistorical[[#This Row],[SAL26]]="", tblPiNHistorical[[#This Row],[SAL26]]=0), "", tblPiNHistorical[[#This Row],[SAL26]]-tblPiNHistorical[[#This Row],[SAL25]])</f>
        <v>-1209.5599478253393</v>
      </c>
      <c r="X235" s="121">
        <f>IF(OR(tblPiNHistorical[[#This Row],[EDU25]]="", tblPiNHistorical[[#This Row],[EDU25]]=0, tblPiNHistorical[[#This Row],[EDU26]]="", tblPiNHistorical[[#This Row],[EDU26]]=0), "", tblPiNHistorical[[#This Row],[EDU26]]-tblPiNHistorical[[#This Row],[EDU25]])</f>
        <v>-880.81206458648148</v>
      </c>
      <c r="Y235" s="121">
        <f>IF(OR(tblPiNHistorical[[#This Row],[PRO25]]="", tblPiNHistorical[[#This Row],[PRO25]]=0, tblPiNHistorical[[#This Row],[PRO26]]="", tblPiNHistorical[[#This Row],[PRO26]]=0), "", tblPiNHistorical[[#This Row],[PRO26]]-tblPiNHistorical[[#This Row],[PRO25]])</f>
        <v>-5160.7314433588217</v>
      </c>
      <c r="Z235" s="223" t="str">
        <f>IF(OR(tblPiNHistorical[[#This Row],[ASH25]]="", tblPiNHistorical[[#This Row],[ASH25]]=0, tblPiNHistorical[[#This Row],[ASH26]]="", tblPiNHistorical[[#This Row],[ASH26]]=0), "", tblPiNHistorical[[#This Row],[ASH26]]-tblPiNHistorical[[#This Row],[ASH25]])</f>
        <v/>
      </c>
      <c r="AA23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3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23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23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23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3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36" spans="1:32">
      <c r="A23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VenezolanosVE1812</v>
      </c>
      <c r="B236" s="105" t="s">
        <v>536</v>
      </c>
      <c r="C236" s="104" t="s">
        <v>537</v>
      </c>
      <c r="D236" s="119" t="s">
        <v>559</v>
      </c>
      <c r="E236" s="104" t="s">
        <v>560</v>
      </c>
      <c r="F236" s="119"/>
      <c r="G236" s="102">
        <v>17601</v>
      </c>
      <c r="H236" s="102" t="s">
        <v>102</v>
      </c>
      <c r="I236" s="206">
        <v>2162</v>
      </c>
      <c r="J236" s="120">
        <v>733</v>
      </c>
      <c r="K236" s="207">
        <v>4582.4201865023097</v>
      </c>
      <c r="L236" s="207">
        <v>2336.8530704045406</v>
      </c>
      <c r="M236" s="207">
        <v>6257.637349614356</v>
      </c>
      <c r="N236" s="298">
        <v>0</v>
      </c>
      <c r="O236" s="114">
        <f>tblPiNAnalysis[[#This Row],[SAMV]]</f>
        <v>6484</v>
      </c>
      <c r="P236" s="115">
        <f>tblPiNAnalysis[[#This Row],[NUT]]</f>
        <v>1249.4776991208244</v>
      </c>
      <c r="Q236" s="115">
        <f>tblPiNAnalysis[[#This Row],[SAL]]</f>
        <v>14200.325000000001</v>
      </c>
      <c r="R236" s="115">
        <f>tblPiNAnalysis[[#This Row],[EDU]]</f>
        <v>4182.1619709896941</v>
      </c>
      <c r="S236" s="115">
        <f>tblPiNAnalysis[[#This Row],[PRO]]</f>
        <v>4656.918103490163</v>
      </c>
      <c r="T236" s="116">
        <f>tblPiNAnalysis[[#This Row],[ASH]]</f>
        <v>0</v>
      </c>
      <c r="U236" s="300">
        <f>IF(OR(tblPiNHistorical[[#This Row],[SAMV25]]="", tblPiNHistorical[[#This Row],[SAMV25]]=0, tblPiNHistorical[[#This Row],[SAMV26]]="", tblPiNHistorical[[#This Row],[SAMV26]]=0), "", tblPiNHistorical[[#This Row],[SAMV26]]-tblPiNHistorical[[#This Row],[SAMV25]])</f>
        <v>4322</v>
      </c>
      <c r="V236" s="121">
        <f>IF(OR(tblPiNHistorical[[#This Row],[NUT25]]="", tblPiNHistorical[[#This Row],[NUT25]]=0, tblPiNHistorical[[#This Row],[NUT26]]="", tblPiNHistorical[[#This Row],[NUT26]]=0), "", tblPiNHistorical[[#This Row],[NUT26]]-tblPiNHistorical[[#This Row],[NUT25]])</f>
        <v>516.47769912082435</v>
      </c>
      <c r="W236" s="121">
        <f>IF(OR(tblPiNHistorical[[#This Row],[SAL25]]="", tblPiNHistorical[[#This Row],[SAL25]]=0, tblPiNHistorical[[#This Row],[SAL26]]="", tblPiNHistorical[[#This Row],[SAL26]]=0), "", tblPiNHistorical[[#This Row],[SAL26]]-tblPiNHistorical[[#This Row],[SAL25]])</f>
        <v>9617.9048134976911</v>
      </c>
      <c r="X236" s="121">
        <f>IF(OR(tblPiNHistorical[[#This Row],[EDU25]]="", tblPiNHistorical[[#This Row],[EDU25]]=0, tblPiNHistorical[[#This Row],[EDU26]]="", tblPiNHistorical[[#This Row],[EDU26]]=0), "", tblPiNHistorical[[#This Row],[EDU26]]-tblPiNHistorical[[#This Row],[EDU25]])</f>
        <v>1845.3089005851534</v>
      </c>
      <c r="Y236" s="121">
        <f>IF(OR(tblPiNHistorical[[#This Row],[PRO25]]="", tblPiNHistorical[[#This Row],[PRO25]]=0, tblPiNHistorical[[#This Row],[PRO26]]="", tblPiNHistorical[[#This Row],[PRO26]]=0), "", tblPiNHistorical[[#This Row],[PRO26]]-tblPiNHistorical[[#This Row],[PRO25]])</f>
        <v>-1600.719246124193</v>
      </c>
      <c r="Z236" s="223" t="str">
        <f>IF(OR(tblPiNHistorical[[#This Row],[ASH25]]="", tblPiNHistorical[[#This Row],[ASH25]]=0, tblPiNHistorical[[#This Row],[ASH26]]="", tblPiNHistorical[[#This Row],[ASH26]]=0), "", tblPiNHistorical[[#This Row],[ASH26]]-tblPiNHistorical[[#This Row],[ASH25]])</f>
        <v/>
      </c>
      <c r="AA23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v>
      </c>
      <c r="AB23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23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2.1</v>
      </c>
      <c r="AD23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23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23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37" spans="1:32">
      <c r="A23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VenezolanosVE1813</v>
      </c>
      <c r="B237" s="105" t="s">
        <v>536</v>
      </c>
      <c r="C237" s="104" t="s">
        <v>537</v>
      </c>
      <c r="D237" s="119" t="s">
        <v>203</v>
      </c>
      <c r="E237" s="104" t="s">
        <v>561</v>
      </c>
      <c r="F237" s="119"/>
      <c r="G237" s="102">
        <v>41037</v>
      </c>
      <c r="H237" s="102" t="s">
        <v>102</v>
      </c>
      <c r="I237" s="206">
        <v>5040</v>
      </c>
      <c r="J237" s="120">
        <v>1694</v>
      </c>
      <c r="K237" s="207">
        <v>10684.717684592628</v>
      </c>
      <c r="L237" s="207">
        <v>4892.9493665813889</v>
      </c>
      <c r="M237" s="207">
        <v>12184.726523655789</v>
      </c>
      <c r="N237" s="298">
        <v>0</v>
      </c>
      <c r="O237" s="114">
        <f>tblPiNAnalysis[[#This Row],[SAMV]]</f>
        <v>3542</v>
      </c>
      <c r="P237" s="115">
        <f>tblPiNAnalysis[[#This Row],[NUT]]</f>
        <v>522.29015376917062</v>
      </c>
      <c r="Q237" s="115">
        <f>tblPiNAnalysis[[#This Row],[SAL]]</f>
        <v>6204.6350000000002</v>
      </c>
      <c r="R237" s="115">
        <f>tblPiNAnalysis[[#This Row],[EDU]]</f>
        <v>1568.0794749023617</v>
      </c>
      <c r="S237" s="115">
        <f>tblPiNAnalysis[[#This Row],[PRO]]</f>
        <v>2034.7757573892627</v>
      </c>
      <c r="T237" s="116">
        <f>tblPiNAnalysis[[#This Row],[ASH]]</f>
        <v>0</v>
      </c>
      <c r="U237" s="300">
        <f>IF(OR(tblPiNHistorical[[#This Row],[SAMV25]]="", tblPiNHistorical[[#This Row],[SAMV25]]=0, tblPiNHistorical[[#This Row],[SAMV26]]="", tblPiNHistorical[[#This Row],[SAMV26]]=0), "", tblPiNHistorical[[#This Row],[SAMV26]]-tblPiNHistorical[[#This Row],[SAMV25]])</f>
        <v>-1498</v>
      </c>
      <c r="V237" s="121">
        <f>IF(OR(tblPiNHistorical[[#This Row],[NUT25]]="", tblPiNHistorical[[#This Row],[NUT25]]=0, tblPiNHistorical[[#This Row],[NUT26]]="", tblPiNHistorical[[#This Row],[NUT26]]=0), "", tblPiNHistorical[[#This Row],[NUT26]]-tblPiNHistorical[[#This Row],[NUT25]])</f>
        <v>-1171.7098462308295</v>
      </c>
      <c r="W237" s="121">
        <f>IF(OR(tblPiNHistorical[[#This Row],[SAL25]]="", tblPiNHistorical[[#This Row],[SAL25]]=0, tblPiNHistorical[[#This Row],[SAL26]]="", tblPiNHistorical[[#This Row],[SAL26]]=0), "", tblPiNHistorical[[#This Row],[SAL26]]-tblPiNHistorical[[#This Row],[SAL25]])</f>
        <v>-4480.0826845926276</v>
      </c>
      <c r="X237" s="121">
        <f>IF(OR(tblPiNHistorical[[#This Row],[EDU25]]="", tblPiNHistorical[[#This Row],[EDU25]]=0, tblPiNHistorical[[#This Row],[EDU26]]="", tblPiNHistorical[[#This Row],[EDU26]]=0), "", tblPiNHistorical[[#This Row],[EDU26]]-tblPiNHistorical[[#This Row],[EDU25]])</f>
        <v>-3324.8698916790272</v>
      </c>
      <c r="Y237" s="121">
        <f>IF(OR(tblPiNHistorical[[#This Row],[PRO25]]="", tblPiNHistorical[[#This Row],[PRO25]]=0, tblPiNHistorical[[#This Row],[PRO26]]="", tblPiNHistorical[[#This Row],[PRO26]]=0), "", tblPiNHistorical[[#This Row],[PRO26]]-tblPiNHistorical[[#This Row],[PRO25]])</f>
        <v>-10149.950766266526</v>
      </c>
      <c r="Z237" s="223" t="str">
        <f>IF(OR(tblPiNHistorical[[#This Row],[ASH25]]="", tblPiNHistorical[[#This Row],[ASH25]]=0, tblPiNHistorical[[#This Row],[ASH26]]="", tblPiNHistorical[[#This Row],[ASH26]]=0), "", tblPiNHistorical[[#This Row],[ASH26]]-tblPiNHistorical[[#This Row],[ASH25]])</f>
        <v/>
      </c>
      <c r="AA23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-0.3</v>
      </c>
      <c r="AB23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23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23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23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3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38" spans="1:32">
      <c r="A23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VenezolanosVE1814</v>
      </c>
      <c r="B238" s="105" t="s">
        <v>536</v>
      </c>
      <c r="C238" s="104" t="s">
        <v>537</v>
      </c>
      <c r="D238" s="119" t="s">
        <v>562</v>
      </c>
      <c r="E238" s="104" t="s">
        <v>563</v>
      </c>
      <c r="F238" s="119"/>
      <c r="G238" s="102">
        <v>62947</v>
      </c>
      <c r="H238" s="102" t="s">
        <v>102</v>
      </c>
      <c r="I238" s="206">
        <v>7730</v>
      </c>
      <c r="J238" s="120">
        <v>2509</v>
      </c>
      <c r="K238" s="207">
        <v>16388.716174039935</v>
      </c>
      <c r="L238" s="207">
        <v>7334.9865524641227</v>
      </c>
      <c r="M238" s="207">
        <v>16753.998970026711</v>
      </c>
      <c r="N238" s="298">
        <v>0</v>
      </c>
      <c r="O238" s="114">
        <f>tblPiNAnalysis[[#This Row],[SAMV]]</f>
        <v>54084</v>
      </c>
      <c r="P238" s="115">
        <f>tblPiNAnalysis[[#This Row],[NUT]]</f>
        <v>16279.187688197813</v>
      </c>
      <c r="Q238" s="115">
        <f>tblPiNAnalysis[[#This Row],[SAL]]</f>
        <v>151950.23000000001</v>
      </c>
      <c r="R238" s="115">
        <f>tblPiNAnalysis[[#This Row],[EDU]]</f>
        <v>52451.343098291385</v>
      </c>
      <c r="S238" s="115">
        <f>tblPiNAnalysis[[#This Row],[PRO]]</f>
        <v>83052.063587334997</v>
      </c>
      <c r="T238" s="116">
        <f>tblPiNAnalysis[[#This Row],[ASH]]</f>
        <v>0</v>
      </c>
      <c r="U238" s="300">
        <f>IF(OR(tblPiNHistorical[[#This Row],[SAMV25]]="", tblPiNHistorical[[#This Row],[SAMV25]]=0, tblPiNHistorical[[#This Row],[SAMV26]]="", tblPiNHistorical[[#This Row],[SAMV26]]=0), "", tblPiNHistorical[[#This Row],[SAMV26]]-tblPiNHistorical[[#This Row],[SAMV25]])</f>
        <v>46354</v>
      </c>
      <c r="V238" s="121">
        <f>IF(OR(tblPiNHistorical[[#This Row],[NUT25]]="", tblPiNHistorical[[#This Row],[NUT25]]=0, tblPiNHistorical[[#This Row],[NUT26]]="", tblPiNHistorical[[#This Row],[NUT26]]=0), "", tblPiNHistorical[[#This Row],[NUT26]]-tblPiNHistorical[[#This Row],[NUT25]])</f>
        <v>13770.187688197813</v>
      </c>
      <c r="W238" s="121">
        <f>IF(OR(tblPiNHistorical[[#This Row],[SAL25]]="", tblPiNHistorical[[#This Row],[SAL25]]=0, tblPiNHistorical[[#This Row],[SAL26]]="", tblPiNHistorical[[#This Row],[SAL26]]=0), "", tblPiNHistorical[[#This Row],[SAL26]]-tblPiNHistorical[[#This Row],[SAL25]])</f>
        <v>135561.51382596008</v>
      </c>
      <c r="X238" s="121">
        <f>IF(OR(tblPiNHistorical[[#This Row],[EDU25]]="", tblPiNHistorical[[#This Row],[EDU25]]=0, tblPiNHistorical[[#This Row],[EDU26]]="", tblPiNHistorical[[#This Row],[EDU26]]=0), "", tblPiNHistorical[[#This Row],[EDU26]]-tblPiNHistorical[[#This Row],[EDU25]])</f>
        <v>45116.356545827264</v>
      </c>
      <c r="Y238" s="121">
        <f>IF(OR(tblPiNHistorical[[#This Row],[PRO25]]="", tblPiNHistorical[[#This Row],[PRO25]]=0, tblPiNHistorical[[#This Row],[PRO26]]="", tblPiNHistorical[[#This Row],[PRO26]]=0), "", tblPiNHistorical[[#This Row],[PRO26]]-tblPiNHistorical[[#This Row],[PRO25]])</f>
        <v>66298.064617308293</v>
      </c>
      <c r="Z238" s="223" t="str">
        <f>IF(OR(tblPiNHistorical[[#This Row],[ASH25]]="", tblPiNHistorical[[#This Row],[ASH25]]=0, tblPiNHistorical[[#This Row],[ASH26]]="", tblPiNHistorical[[#This Row],[ASH26]]=0), "", tblPiNHistorical[[#This Row],[ASH26]]-tblPiNHistorical[[#This Row],[ASH25]])</f>
        <v/>
      </c>
      <c r="AA23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6</v>
      </c>
      <c r="AB23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5.5</v>
      </c>
      <c r="AC23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8.3000000000000007</v>
      </c>
      <c r="AD23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6.2</v>
      </c>
      <c r="AE23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4</v>
      </c>
      <c r="AF23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39" spans="1:32">
      <c r="A23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VenezolanosVE1901</v>
      </c>
      <c r="B239" s="105" t="s">
        <v>203</v>
      </c>
      <c r="C239" s="104" t="s">
        <v>564</v>
      </c>
      <c r="D239" s="119" t="s">
        <v>237</v>
      </c>
      <c r="E239" s="104" t="s">
        <v>565</v>
      </c>
      <c r="F239" s="119"/>
      <c r="G239" s="102">
        <v>25652</v>
      </c>
      <c r="H239" s="102" t="s">
        <v>102</v>
      </c>
      <c r="I239" s="206">
        <v>3976</v>
      </c>
      <c r="J239" s="120">
        <v>1271</v>
      </c>
      <c r="K239" s="207">
        <v>6678.9393464242312</v>
      </c>
      <c r="L239" s="207">
        <v>2292.1333733980628</v>
      </c>
      <c r="M239" s="207">
        <v>12539.983851879027</v>
      </c>
      <c r="N239" s="298">
        <v>5130</v>
      </c>
      <c r="O239" s="114">
        <f>tblPiNAnalysis[[#This Row],[SAMV]]</f>
        <v>22545</v>
      </c>
      <c r="P239" s="115">
        <f>tblPiNAnalysis[[#This Row],[NUT]]</f>
        <v>4518.0852922033991</v>
      </c>
      <c r="Q239" s="115">
        <f>tblPiNAnalysis[[#This Row],[SAL]]</f>
        <v>53558.64</v>
      </c>
      <c r="R239" s="115">
        <f>tblPiNAnalysis[[#This Row],[EDU]]</f>
        <v>18542.705483909733</v>
      </c>
      <c r="S239" s="115">
        <f>tblPiNAnalysis[[#This Row],[PRO]]</f>
        <v>35128.519976030446</v>
      </c>
      <c r="T239" s="116">
        <f>tblPiNAnalysis[[#This Row],[ASH]]</f>
        <v>0</v>
      </c>
      <c r="U239" s="300">
        <f>IF(OR(tblPiNHistorical[[#This Row],[SAMV25]]="", tblPiNHistorical[[#This Row],[SAMV25]]=0, tblPiNHistorical[[#This Row],[SAMV26]]="", tblPiNHistorical[[#This Row],[SAMV26]]=0), "", tblPiNHistorical[[#This Row],[SAMV26]]-tblPiNHistorical[[#This Row],[SAMV25]])</f>
        <v>18569</v>
      </c>
      <c r="V239" s="121">
        <f>IF(OR(tblPiNHistorical[[#This Row],[NUT25]]="", tblPiNHistorical[[#This Row],[NUT25]]=0, tblPiNHistorical[[#This Row],[NUT26]]="", tblPiNHistorical[[#This Row],[NUT26]]=0), "", tblPiNHistorical[[#This Row],[NUT26]]-tblPiNHistorical[[#This Row],[NUT25]])</f>
        <v>3247.0852922033991</v>
      </c>
      <c r="W239" s="121">
        <f>IF(OR(tblPiNHistorical[[#This Row],[SAL25]]="", tblPiNHistorical[[#This Row],[SAL25]]=0, tblPiNHistorical[[#This Row],[SAL26]]="", tblPiNHistorical[[#This Row],[SAL26]]=0), "", tblPiNHistorical[[#This Row],[SAL26]]-tblPiNHistorical[[#This Row],[SAL25]])</f>
        <v>46879.700653575768</v>
      </c>
      <c r="X239" s="121">
        <f>IF(OR(tblPiNHistorical[[#This Row],[EDU25]]="", tblPiNHistorical[[#This Row],[EDU25]]=0, tblPiNHistorical[[#This Row],[EDU26]]="", tblPiNHistorical[[#This Row],[EDU26]]=0), "", tblPiNHistorical[[#This Row],[EDU26]]-tblPiNHistorical[[#This Row],[EDU25]])</f>
        <v>16250.57211051167</v>
      </c>
      <c r="Y239" s="121">
        <f>IF(OR(tblPiNHistorical[[#This Row],[PRO25]]="", tblPiNHistorical[[#This Row],[PRO25]]=0, tblPiNHistorical[[#This Row],[PRO26]]="", tblPiNHistorical[[#This Row],[PRO26]]=0), "", tblPiNHistorical[[#This Row],[PRO26]]-tblPiNHistorical[[#This Row],[PRO25]])</f>
        <v>22588.536124151418</v>
      </c>
      <c r="Z239" s="223" t="str">
        <f>IF(OR(tblPiNHistorical[[#This Row],[ASH25]]="", tblPiNHistorical[[#This Row],[ASH25]]=0, tblPiNHistorical[[#This Row],[ASH26]]="", tblPiNHistorical[[#This Row],[ASH26]]=0), "", tblPiNHistorical[[#This Row],[ASH26]]-tblPiNHistorical[[#This Row],[ASH25]])</f>
        <v/>
      </c>
      <c r="AA23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4.7</v>
      </c>
      <c r="AB23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2.6</v>
      </c>
      <c r="AC23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7</v>
      </c>
      <c r="AD23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7.1</v>
      </c>
      <c r="AE23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1.8</v>
      </c>
      <c r="AF23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5130</v>
      </c>
    </row>
    <row r="240" spans="1:32">
      <c r="A24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VenezolanosVE1902</v>
      </c>
      <c r="B240" s="105" t="s">
        <v>203</v>
      </c>
      <c r="C240" s="104" t="s">
        <v>564</v>
      </c>
      <c r="D240" s="119" t="s">
        <v>566</v>
      </c>
      <c r="E240" s="104" t="s">
        <v>567</v>
      </c>
      <c r="F240" s="119"/>
      <c r="G240" s="102">
        <v>20073</v>
      </c>
      <c r="H240" s="102" t="s">
        <v>102</v>
      </c>
      <c r="I240" s="206">
        <v>3111</v>
      </c>
      <c r="J240" s="120">
        <v>1283</v>
      </c>
      <c r="K240" s="207">
        <v>5226.4359964972282</v>
      </c>
      <c r="L240" s="207">
        <v>1251.5912593027081</v>
      </c>
      <c r="M240" s="207">
        <v>7136.5010237377965</v>
      </c>
      <c r="N240" s="298">
        <v>4015</v>
      </c>
      <c r="O240" s="114">
        <f>tblPiNAnalysis[[#This Row],[SAMV]]</f>
        <v>12096</v>
      </c>
      <c r="P240" s="115">
        <f>tblPiNAnalysis[[#This Row],[NUT]]</f>
        <v>1580.0448921920083</v>
      </c>
      <c r="Q240" s="115">
        <f>tblPiNAnalysis[[#This Row],[SAL]]</f>
        <v>18212.404999999999</v>
      </c>
      <c r="R240" s="115">
        <f>tblPiNAnalysis[[#This Row],[EDU]]</f>
        <v>7090.1834771293461</v>
      </c>
      <c r="S240" s="115">
        <f>tblPiNAnalysis[[#This Row],[PRO]]</f>
        <v>9954.4292768645246</v>
      </c>
      <c r="T240" s="116">
        <f>tblPiNAnalysis[[#This Row],[ASH]]</f>
        <v>0</v>
      </c>
      <c r="U240" s="300">
        <f>IF(OR(tblPiNHistorical[[#This Row],[SAMV25]]="", tblPiNHistorical[[#This Row],[SAMV25]]=0, tblPiNHistorical[[#This Row],[SAMV26]]="", tblPiNHistorical[[#This Row],[SAMV26]]=0), "", tblPiNHistorical[[#This Row],[SAMV26]]-tblPiNHistorical[[#This Row],[SAMV25]])</f>
        <v>8985</v>
      </c>
      <c r="V240" s="121">
        <f>IF(OR(tblPiNHistorical[[#This Row],[NUT25]]="", tblPiNHistorical[[#This Row],[NUT25]]=0, tblPiNHistorical[[#This Row],[NUT26]]="", tblPiNHistorical[[#This Row],[NUT26]]=0), "", tblPiNHistorical[[#This Row],[NUT26]]-tblPiNHistorical[[#This Row],[NUT25]])</f>
        <v>297.04489219200832</v>
      </c>
      <c r="W240" s="121">
        <f>IF(OR(tblPiNHistorical[[#This Row],[SAL25]]="", tblPiNHistorical[[#This Row],[SAL25]]=0, tblPiNHistorical[[#This Row],[SAL26]]="", tblPiNHistorical[[#This Row],[SAL26]]=0), "", tblPiNHistorical[[#This Row],[SAL26]]-tblPiNHistorical[[#This Row],[SAL25]])</f>
        <v>12985.969003502771</v>
      </c>
      <c r="X240" s="121">
        <f>IF(OR(tblPiNHistorical[[#This Row],[EDU25]]="", tblPiNHistorical[[#This Row],[EDU25]]=0, tblPiNHistorical[[#This Row],[EDU26]]="", tblPiNHistorical[[#This Row],[EDU26]]=0), "", tblPiNHistorical[[#This Row],[EDU26]]-tblPiNHistorical[[#This Row],[EDU25]])</f>
        <v>5838.5922178266383</v>
      </c>
      <c r="Y240" s="121">
        <f>IF(OR(tblPiNHistorical[[#This Row],[PRO25]]="", tblPiNHistorical[[#This Row],[PRO25]]=0, tblPiNHistorical[[#This Row],[PRO26]]="", tblPiNHistorical[[#This Row],[PRO26]]=0), "", tblPiNHistorical[[#This Row],[PRO26]]-tblPiNHistorical[[#This Row],[PRO25]])</f>
        <v>2817.9282531267281</v>
      </c>
      <c r="Z240" s="223" t="str">
        <f>IF(OR(tblPiNHistorical[[#This Row],[ASH25]]="", tblPiNHistorical[[#This Row],[ASH25]]=0, tblPiNHistorical[[#This Row],[ASH26]]="", tblPiNHistorical[[#This Row],[ASH26]]=0), "", tblPiNHistorical[[#This Row],[ASH26]]-tblPiNHistorical[[#This Row],[ASH25]])</f>
        <v/>
      </c>
      <c r="AA24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2.9</v>
      </c>
      <c r="AB24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24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2.5</v>
      </c>
      <c r="AD24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4.7</v>
      </c>
      <c r="AE24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24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4015</v>
      </c>
    </row>
    <row r="241" spans="1:32">
      <c r="A24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VenezolanosVE1903</v>
      </c>
      <c r="B241" s="105" t="s">
        <v>203</v>
      </c>
      <c r="C241" s="104" t="s">
        <v>564</v>
      </c>
      <c r="D241" s="119" t="s">
        <v>221</v>
      </c>
      <c r="E241" s="104" t="s">
        <v>568</v>
      </c>
      <c r="F241" s="119"/>
      <c r="G241" s="102">
        <v>47200</v>
      </c>
      <c r="H241" s="102" t="s">
        <v>102</v>
      </c>
      <c r="I241" s="206">
        <v>7316</v>
      </c>
      <c r="J241" s="120">
        <v>4365</v>
      </c>
      <c r="K241" s="207">
        <v>12288.812448256896</v>
      </c>
      <c r="L241" s="207">
        <v>3484.4258133477397</v>
      </c>
      <c r="M241" s="207">
        <v>16064.518523133533</v>
      </c>
      <c r="N241" s="298">
        <v>9440</v>
      </c>
      <c r="O241" s="114">
        <f>tblPiNAnalysis[[#This Row],[SAMV]]</f>
        <v>3248</v>
      </c>
      <c r="P241" s="115">
        <f>tblPiNAnalysis[[#This Row],[NUT]]</f>
        <v>3566.8624968842641</v>
      </c>
      <c r="Q241" s="115">
        <f>tblPiNAnalysis[[#This Row],[SAL]]</f>
        <v>42683.1</v>
      </c>
      <c r="R241" s="115">
        <f>tblPiNAnalysis[[#This Row],[EDU]]</f>
        <v>14318.871194062362</v>
      </c>
      <c r="S241" s="115">
        <f>tblPiNAnalysis[[#This Row],[PRO]]</f>
        <v>23329.477917240263</v>
      </c>
      <c r="T241" s="116">
        <f>tblPiNAnalysis[[#This Row],[ASH]]</f>
        <v>0</v>
      </c>
      <c r="U241" s="300">
        <f>IF(OR(tblPiNHistorical[[#This Row],[SAMV25]]="", tblPiNHistorical[[#This Row],[SAMV25]]=0, tblPiNHistorical[[#This Row],[SAMV26]]="", tblPiNHistorical[[#This Row],[SAMV26]]=0), "", tblPiNHistorical[[#This Row],[SAMV26]]-tblPiNHistorical[[#This Row],[SAMV25]])</f>
        <v>-4068</v>
      </c>
      <c r="V241" s="121">
        <f>IF(OR(tblPiNHistorical[[#This Row],[NUT25]]="", tblPiNHistorical[[#This Row],[NUT25]]=0, tblPiNHistorical[[#This Row],[NUT26]]="", tblPiNHistorical[[#This Row],[NUT26]]=0), "", tblPiNHistorical[[#This Row],[NUT26]]-tblPiNHistorical[[#This Row],[NUT25]])</f>
        <v>-798.13750311573585</v>
      </c>
      <c r="W241" s="121">
        <f>IF(OR(tblPiNHistorical[[#This Row],[SAL25]]="", tblPiNHistorical[[#This Row],[SAL25]]=0, tblPiNHistorical[[#This Row],[SAL26]]="", tblPiNHistorical[[#This Row],[SAL26]]=0), "", tblPiNHistorical[[#This Row],[SAL26]]-tblPiNHistorical[[#This Row],[SAL25]])</f>
        <v>30394.287551743102</v>
      </c>
      <c r="X241" s="121">
        <f>IF(OR(tblPiNHistorical[[#This Row],[EDU25]]="", tblPiNHistorical[[#This Row],[EDU25]]=0, tblPiNHistorical[[#This Row],[EDU26]]="", tblPiNHistorical[[#This Row],[EDU26]]=0), "", tblPiNHistorical[[#This Row],[EDU26]]-tblPiNHistorical[[#This Row],[EDU25]])</f>
        <v>10834.445380714622</v>
      </c>
      <c r="Y241" s="121">
        <f>IF(OR(tblPiNHistorical[[#This Row],[PRO25]]="", tblPiNHistorical[[#This Row],[PRO25]]=0, tblPiNHistorical[[#This Row],[PRO26]]="", tblPiNHistorical[[#This Row],[PRO26]]=0), "", tblPiNHistorical[[#This Row],[PRO26]]-tblPiNHistorical[[#This Row],[PRO25]])</f>
        <v>7264.9593941067305</v>
      </c>
      <c r="Z241" s="223" t="str">
        <f>IF(OR(tblPiNHistorical[[#This Row],[ASH25]]="", tblPiNHistorical[[#This Row],[ASH25]]=0, tblPiNHistorical[[#This Row],[ASH26]]="", tblPiNHistorical[[#This Row],[ASH26]]=0), "", tblPiNHistorical[[#This Row],[ASH26]]-tblPiNHistorical[[#This Row],[ASH25]])</f>
        <v/>
      </c>
      <c r="AA24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24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24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2.5</v>
      </c>
      <c r="AD24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3.1</v>
      </c>
      <c r="AE24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24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9440</v>
      </c>
    </row>
    <row r="242" spans="1:32">
      <c r="A24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VenezolanosVE1904</v>
      </c>
      <c r="B242" s="105" t="s">
        <v>203</v>
      </c>
      <c r="C242" s="104" t="s">
        <v>564</v>
      </c>
      <c r="D242" s="119" t="s">
        <v>569</v>
      </c>
      <c r="E242" s="104" t="s">
        <v>570</v>
      </c>
      <c r="F242" s="119"/>
      <c r="G242" s="102">
        <v>31111</v>
      </c>
      <c r="H242" s="102" t="s">
        <v>102</v>
      </c>
      <c r="I242" s="206">
        <v>4822</v>
      </c>
      <c r="J242" s="120">
        <v>3352</v>
      </c>
      <c r="K242" s="207">
        <v>8099.7373026284067</v>
      </c>
      <c r="L242" s="207">
        <v>2471.9266013682513</v>
      </c>
      <c r="M242" s="207">
        <v>15208.616779035101</v>
      </c>
      <c r="N242" s="298">
        <v>6222</v>
      </c>
      <c r="O242" s="114">
        <f>tblPiNAnalysis[[#This Row],[SAMV]]</f>
        <v>38884</v>
      </c>
      <c r="P242" s="115">
        <f>tblPiNAnalysis[[#This Row],[NUT]]</f>
        <v>6392.629447164305</v>
      </c>
      <c r="Q242" s="115">
        <f>tblPiNAnalysis[[#This Row],[SAL]]</f>
        <v>78758.97</v>
      </c>
      <c r="R242" s="115">
        <f>tblPiNAnalysis[[#This Row],[EDU]]</f>
        <v>30250.578094044064</v>
      </c>
      <c r="S242" s="115">
        <f>tblPiNAnalysis[[#This Row],[PRO]]</f>
        <v>43047.614896752777</v>
      </c>
      <c r="T242" s="116">
        <f>tblPiNAnalysis[[#This Row],[ASH]]</f>
        <v>0</v>
      </c>
      <c r="U242" s="300">
        <f>IF(OR(tblPiNHistorical[[#This Row],[SAMV25]]="", tblPiNHistorical[[#This Row],[SAMV25]]=0, tblPiNHistorical[[#This Row],[SAMV26]]="", tblPiNHistorical[[#This Row],[SAMV26]]=0), "", tblPiNHistorical[[#This Row],[SAMV26]]-tblPiNHistorical[[#This Row],[SAMV25]])</f>
        <v>34062</v>
      </c>
      <c r="V242" s="121">
        <f>IF(OR(tblPiNHistorical[[#This Row],[NUT25]]="", tblPiNHistorical[[#This Row],[NUT25]]=0, tblPiNHistorical[[#This Row],[NUT26]]="", tblPiNHistorical[[#This Row],[NUT26]]=0), "", tblPiNHistorical[[#This Row],[NUT26]]-tblPiNHistorical[[#This Row],[NUT25]])</f>
        <v>3040.629447164305</v>
      </c>
      <c r="W242" s="121">
        <f>IF(OR(tblPiNHistorical[[#This Row],[SAL25]]="", tblPiNHistorical[[#This Row],[SAL25]]=0, tblPiNHistorical[[#This Row],[SAL26]]="", tblPiNHistorical[[#This Row],[SAL26]]=0), "", tblPiNHistorical[[#This Row],[SAL26]]-tblPiNHistorical[[#This Row],[SAL25]])</f>
        <v>70659.232697371597</v>
      </c>
      <c r="X242" s="121">
        <f>IF(OR(tblPiNHistorical[[#This Row],[EDU25]]="", tblPiNHistorical[[#This Row],[EDU25]]=0, tblPiNHistorical[[#This Row],[EDU26]]="", tblPiNHistorical[[#This Row],[EDU26]]=0), "", tblPiNHistorical[[#This Row],[EDU26]]-tblPiNHistorical[[#This Row],[EDU25]])</f>
        <v>27778.651492675814</v>
      </c>
      <c r="Y242" s="121">
        <f>IF(OR(tblPiNHistorical[[#This Row],[PRO25]]="", tblPiNHistorical[[#This Row],[PRO25]]=0, tblPiNHistorical[[#This Row],[PRO26]]="", tblPiNHistorical[[#This Row],[PRO26]]=0), "", tblPiNHistorical[[#This Row],[PRO26]]-tblPiNHistorical[[#This Row],[PRO25]])</f>
        <v>27838.998117717674</v>
      </c>
      <c r="Z242" s="223" t="str">
        <f>IF(OR(tblPiNHistorical[[#This Row],[ASH25]]="", tblPiNHistorical[[#This Row],[ASH25]]=0, tblPiNHistorical[[#This Row],[ASH26]]="", tblPiNHistorical[[#This Row],[ASH26]]=0), "", tblPiNHistorical[[#This Row],[ASH26]]-tblPiNHistorical[[#This Row],[ASH25]])</f>
        <v/>
      </c>
      <c r="AA24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7.1</v>
      </c>
      <c r="AB24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24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8.6999999999999993</v>
      </c>
      <c r="AD24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11.2</v>
      </c>
      <c r="AE24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1.8</v>
      </c>
      <c r="AF24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6222</v>
      </c>
    </row>
    <row r="243" spans="1:32">
      <c r="A24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VenezolanosVE1905</v>
      </c>
      <c r="B243" s="105" t="s">
        <v>203</v>
      </c>
      <c r="C243" s="104" t="s">
        <v>564</v>
      </c>
      <c r="D243" s="119" t="s">
        <v>571</v>
      </c>
      <c r="E243" s="104" t="s">
        <v>572</v>
      </c>
      <c r="F243" s="119"/>
      <c r="G243" s="102">
        <v>138798</v>
      </c>
      <c r="H243" s="102" t="s">
        <v>102</v>
      </c>
      <c r="I243" s="206">
        <v>21514</v>
      </c>
      <c r="J243" s="120">
        <v>10250</v>
      </c>
      <c r="K243" s="207">
        <v>36137.213289145671</v>
      </c>
      <c r="L243" s="207">
        <v>8270.9762285054258</v>
      </c>
      <c r="M243" s="207">
        <v>16064.518523133533</v>
      </c>
      <c r="N243" s="298">
        <v>27760</v>
      </c>
      <c r="O243" s="114">
        <f>tblPiNAnalysis[[#This Row],[SAMV]]</f>
        <v>2602</v>
      </c>
      <c r="P243" s="115">
        <f>tblPiNAnalysis[[#This Row],[NUT]]</f>
        <v>2820.5739515941978</v>
      </c>
      <c r="Q243" s="115">
        <f>tblPiNAnalysis[[#This Row],[SAL]]</f>
        <v>42740.404999999999</v>
      </c>
      <c r="R243" s="115">
        <f>tblPiNAnalysis[[#This Row],[EDU]]</f>
        <v>13587.822532323293</v>
      </c>
      <c r="S243" s="115">
        <f>tblPiNAnalysis[[#This Row],[PRO]]</f>
        <v>23360.799347315569</v>
      </c>
      <c r="T243" s="116">
        <f>tblPiNAnalysis[[#This Row],[ASH]]</f>
        <v>0</v>
      </c>
      <c r="U243" s="300">
        <f>IF(OR(tblPiNHistorical[[#This Row],[SAMV25]]="", tblPiNHistorical[[#This Row],[SAMV25]]=0, tblPiNHistorical[[#This Row],[SAMV26]]="", tblPiNHistorical[[#This Row],[SAMV26]]=0), "", tblPiNHistorical[[#This Row],[SAMV26]]-tblPiNHistorical[[#This Row],[SAMV25]])</f>
        <v>-18912</v>
      </c>
      <c r="V243" s="121">
        <f>IF(OR(tblPiNHistorical[[#This Row],[NUT25]]="", tblPiNHistorical[[#This Row],[NUT25]]=0, tblPiNHistorical[[#This Row],[NUT26]]="", tblPiNHistorical[[#This Row],[NUT26]]=0), "", tblPiNHistorical[[#This Row],[NUT26]]-tblPiNHistorical[[#This Row],[NUT25]])</f>
        <v>-7429.4260484058022</v>
      </c>
      <c r="W243" s="121">
        <f>IF(OR(tblPiNHistorical[[#This Row],[SAL25]]="", tblPiNHistorical[[#This Row],[SAL25]]=0, tblPiNHistorical[[#This Row],[SAL26]]="", tblPiNHistorical[[#This Row],[SAL26]]=0), "", tblPiNHistorical[[#This Row],[SAL26]]-tblPiNHistorical[[#This Row],[SAL25]])</f>
        <v>6603.1917108543275</v>
      </c>
      <c r="X243" s="121">
        <f>IF(OR(tblPiNHistorical[[#This Row],[EDU25]]="", tblPiNHistorical[[#This Row],[EDU25]]=0, tblPiNHistorical[[#This Row],[EDU26]]="", tblPiNHistorical[[#This Row],[EDU26]]=0), "", tblPiNHistorical[[#This Row],[EDU26]]-tblPiNHistorical[[#This Row],[EDU25]])</f>
        <v>5316.846303817867</v>
      </c>
      <c r="Y243" s="121">
        <f>IF(OR(tblPiNHistorical[[#This Row],[PRO25]]="", tblPiNHistorical[[#This Row],[PRO25]]=0, tblPiNHistorical[[#This Row],[PRO26]]="", tblPiNHistorical[[#This Row],[PRO26]]=0), "", tblPiNHistorical[[#This Row],[PRO26]]-tblPiNHistorical[[#This Row],[PRO25]])</f>
        <v>7296.2808241820367</v>
      </c>
      <c r="Z243" s="223" t="str">
        <f>IF(OR(tblPiNHistorical[[#This Row],[ASH25]]="", tblPiNHistorical[[#This Row],[ASH25]]=0, tblPiNHistorical[[#This Row],[ASH26]]="", tblPiNHistorical[[#This Row],[ASH26]]=0), "", tblPiNHistorical[[#This Row],[ASH26]]-tblPiNHistorical[[#This Row],[ASH25]])</f>
        <v/>
      </c>
      <c r="AA24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4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24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24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24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24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27760</v>
      </c>
    </row>
    <row r="244" spans="1:32">
      <c r="A24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VenezolanosVE1906</v>
      </c>
      <c r="B244" s="105" t="s">
        <v>203</v>
      </c>
      <c r="C244" s="104" t="s">
        <v>564</v>
      </c>
      <c r="D244" s="119" t="s">
        <v>180</v>
      </c>
      <c r="E244" s="104" t="s">
        <v>573</v>
      </c>
      <c r="F244" s="119"/>
      <c r="G244" s="102">
        <v>21871</v>
      </c>
      <c r="H244" s="102" t="s">
        <v>102</v>
      </c>
      <c r="I244" s="206">
        <v>3390</v>
      </c>
      <c r="J244" s="120">
        <v>902</v>
      </c>
      <c r="K244" s="207">
        <v>5694.0905539089235</v>
      </c>
      <c r="L244" s="207">
        <v>1456.3238033346236</v>
      </c>
      <c r="M244" s="207">
        <v>10691.641463606979</v>
      </c>
      <c r="N244" s="298">
        <v>0</v>
      </c>
      <c r="O244" s="114">
        <f>tblPiNAnalysis[[#This Row],[SAMV]]</f>
        <v>3017</v>
      </c>
      <c r="P244" s="115">
        <f>tblPiNAnalysis[[#This Row],[NUT]]</f>
        <v>408.07836554268766</v>
      </c>
      <c r="Q244" s="115">
        <f>tblPiNAnalysis[[#This Row],[SAL]]</f>
        <v>6300</v>
      </c>
      <c r="R244" s="115">
        <f>tblPiNAnalysis[[#This Row],[EDU]]</f>
        <v>625.55238667151411</v>
      </c>
      <c r="S244" s="115">
        <f>tblPiNAnalysis[[#This Row],[PRO]]</f>
        <v>2888.9530504494292</v>
      </c>
      <c r="T244" s="116">
        <f>tblPiNAnalysis[[#This Row],[ASH]]</f>
        <v>0</v>
      </c>
      <c r="U244" s="300">
        <f>IF(OR(tblPiNHistorical[[#This Row],[SAMV25]]="", tblPiNHistorical[[#This Row],[SAMV25]]=0, tblPiNHistorical[[#This Row],[SAMV26]]="", tblPiNHistorical[[#This Row],[SAMV26]]=0), "", tblPiNHistorical[[#This Row],[SAMV26]]-tblPiNHistorical[[#This Row],[SAMV25]])</f>
        <v>-373</v>
      </c>
      <c r="V244" s="121">
        <f>IF(OR(tblPiNHistorical[[#This Row],[NUT25]]="", tblPiNHistorical[[#This Row],[NUT25]]=0, tblPiNHistorical[[#This Row],[NUT26]]="", tblPiNHistorical[[#This Row],[NUT26]]=0), "", tblPiNHistorical[[#This Row],[NUT26]]-tblPiNHistorical[[#This Row],[NUT25]])</f>
        <v>-493.92163445731234</v>
      </c>
      <c r="W244" s="121">
        <f>IF(OR(tblPiNHistorical[[#This Row],[SAL25]]="", tblPiNHistorical[[#This Row],[SAL25]]=0, tblPiNHistorical[[#This Row],[SAL26]]="", tblPiNHistorical[[#This Row],[SAL26]]=0), "", tblPiNHistorical[[#This Row],[SAL26]]-tblPiNHistorical[[#This Row],[SAL25]])</f>
        <v>605.90944609107646</v>
      </c>
      <c r="X244" s="121">
        <f>IF(OR(tblPiNHistorical[[#This Row],[EDU25]]="", tblPiNHistorical[[#This Row],[EDU25]]=0, tblPiNHistorical[[#This Row],[EDU26]]="", tblPiNHistorical[[#This Row],[EDU26]]=0), "", tblPiNHistorical[[#This Row],[EDU26]]-tblPiNHistorical[[#This Row],[EDU25]])</f>
        <v>-830.77141666310945</v>
      </c>
      <c r="Y244" s="121">
        <f>IF(OR(tblPiNHistorical[[#This Row],[PRO25]]="", tblPiNHistorical[[#This Row],[PRO25]]=0, tblPiNHistorical[[#This Row],[PRO26]]="", tblPiNHistorical[[#This Row],[PRO26]]=0), "", tblPiNHistorical[[#This Row],[PRO26]]-tblPiNHistorical[[#This Row],[PRO25]])</f>
        <v>-7802.6884131575498</v>
      </c>
      <c r="Z244" s="223" t="str">
        <f>IF(OR(tblPiNHistorical[[#This Row],[ASH25]]="", tblPiNHistorical[[#This Row],[ASH25]]=0, tblPiNHistorical[[#This Row],[ASH26]]="", tblPiNHistorical[[#This Row],[ASH26]]=0), "", tblPiNHistorical[[#This Row],[ASH26]]-tblPiNHistorical[[#This Row],[ASH25]])</f>
        <v/>
      </c>
      <c r="AA24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24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24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24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24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24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45" spans="1:32">
      <c r="A24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VenezolanosVE1907</v>
      </c>
      <c r="B245" s="105" t="s">
        <v>203</v>
      </c>
      <c r="C245" s="104" t="s">
        <v>564</v>
      </c>
      <c r="D245" s="119" t="s">
        <v>574</v>
      </c>
      <c r="E245" s="104" t="s">
        <v>575</v>
      </c>
      <c r="F245" s="119"/>
      <c r="G245" s="102">
        <v>20915</v>
      </c>
      <c r="H245" s="102" t="s">
        <v>102</v>
      </c>
      <c r="I245" s="206">
        <v>3242</v>
      </c>
      <c r="J245" s="120">
        <v>2337</v>
      </c>
      <c r="K245" s="207">
        <v>5445.4013718955011</v>
      </c>
      <c r="L245" s="207">
        <v>1691.6000805692543</v>
      </c>
      <c r="M245" s="207">
        <v>10224.300727508571</v>
      </c>
      <c r="N245" s="298">
        <v>0</v>
      </c>
      <c r="O245" s="114">
        <f>tblPiNAnalysis[[#This Row],[SAMV]]</f>
        <v>31124</v>
      </c>
      <c r="P245" s="115">
        <f>tblPiNAnalysis[[#This Row],[NUT]]</f>
        <v>4506.5957131958357</v>
      </c>
      <c r="Q245" s="115">
        <f>tblPiNAnalysis[[#This Row],[SAL]]</f>
        <v>54030.584999999999</v>
      </c>
      <c r="R245" s="115">
        <f>tblPiNAnalysis[[#This Row],[EDU]]</f>
        <v>18335.03499985169</v>
      </c>
      <c r="S245" s="115">
        <f>tblPiNAnalysis[[#This Row],[PRO]]</f>
        <v>29531.719570815454</v>
      </c>
      <c r="T245" s="116">
        <f>tblPiNAnalysis[[#This Row],[ASH]]</f>
        <v>0</v>
      </c>
      <c r="U245" s="300">
        <f>IF(OR(tblPiNHistorical[[#This Row],[SAMV25]]="", tblPiNHistorical[[#This Row],[SAMV25]]=0, tblPiNHistorical[[#This Row],[SAMV26]]="", tblPiNHistorical[[#This Row],[SAMV26]]=0), "", tblPiNHistorical[[#This Row],[SAMV26]]-tblPiNHistorical[[#This Row],[SAMV25]])</f>
        <v>27882</v>
      </c>
      <c r="V245" s="121">
        <f>IF(OR(tblPiNHistorical[[#This Row],[NUT25]]="", tblPiNHistorical[[#This Row],[NUT25]]=0, tblPiNHistorical[[#This Row],[NUT26]]="", tblPiNHistorical[[#This Row],[NUT26]]=0), "", tblPiNHistorical[[#This Row],[NUT26]]-tblPiNHistorical[[#This Row],[NUT25]])</f>
        <v>2169.5957131958357</v>
      </c>
      <c r="W245" s="121">
        <f>IF(OR(tblPiNHistorical[[#This Row],[SAL25]]="", tblPiNHistorical[[#This Row],[SAL25]]=0, tblPiNHistorical[[#This Row],[SAL26]]="", tblPiNHistorical[[#This Row],[SAL26]]=0), "", tblPiNHistorical[[#This Row],[SAL26]]-tblPiNHistorical[[#This Row],[SAL25]])</f>
        <v>48585.183628104496</v>
      </c>
      <c r="X245" s="121">
        <f>IF(OR(tblPiNHistorical[[#This Row],[EDU25]]="", tblPiNHistorical[[#This Row],[EDU25]]=0, tblPiNHistorical[[#This Row],[EDU26]]="", tblPiNHistorical[[#This Row],[EDU26]]=0), "", tblPiNHistorical[[#This Row],[EDU26]]-tblPiNHistorical[[#This Row],[EDU25]])</f>
        <v>16643.434919282437</v>
      </c>
      <c r="Y245" s="121">
        <f>IF(OR(tblPiNHistorical[[#This Row],[PRO25]]="", tblPiNHistorical[[#This Row],[PRO25]]=0, tblPiNHistorical[[#This Row],[PRO26]]="", tblPiNHistorical[[#This Row],[PRO26]]=0), "", tblPiNHistorical[[#This Row],[PRO26]]-tblPiNHistorical[[#This Row],[PRO25]])</f>
        <v>19307.418843306885</v>
      </c>
      <c r="Z245" s="223" t="str">
        <f>IF(OR(tblPiNHistorical[[#This Row],[ASH25]]="", tblPiNHistorical[[#This Row],[ASH25]]=0, tblPiNHistorical[[#This Row],[ASH26]]="", tblPiNHistorical[[#This Row],[ASH26]]=0), "", tblPiNHistorical[[#This Row],[ASH26]]-tblPiNHistorical[[#This Row],[ASH25]])</f>
        <v/>
      </c>
      <c r="AA24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8.6</v>
      </c>
      <c r="AB24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24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8.9</v>
      </c>
      <c r="AD24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9.8000000000000007</v>
      </c>
      <c r="AE24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1.9</v>
      </c>
      <c r="AF24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46" spans="1:32">
      <c r="A24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VenezolanosVE1908</v>
      </c>
      <c r="B246" s="105" t="s">
        <v>203</v>
      </c>
      <c r="C246" s="104" t="s">
        <v>564</v>
      </c>
      <c r="D246" s="119" t="s">
        <v>576</v>
      </c>
      <c r="E246" s="104" t="s">
        <v>577</v>
      </c>
      <c r="F246" s="119"/>
      <c r="G246" s="102">
        <v>34936</v>
      </c>
      <c r="H246" s="102" t="s">
        <v>102</v>
      </c>
      <c r="I246" s="206">
        <v>5415</v>
      </c>
      <c r="J246" s="120">
        <v>1604</v>
      </c>
      <c r="K246" s="207">
        <v>9095.4848242359349</v>
      </c>
      <c r="L246" s="207">
        <v>3260.2128293308992</v>
      </c>
      <c r="M246" s="207">
        <v>16064.518523133533</v>
      </c>
      <c r="N246" s="298">
        <v>17468</v>
      </c>
      <c r="O246" s="114">
        <f>tblPiNAnalysis[[#This Row],[SAMV]]</f>
        <v>8775</v>
      </c>
      <c r="P246" s="115">
        <f>tblPiNAnalysis[[#This Row],[NUT]]</f>
        <v>3880.6235656391223</v>
      </c>
      <c r="Q246" s="115">
        <f>tblPiNAnalysis[[#This Row],[SAL]]</f>
        <v>45953.864999999998</v>
      </c>
      <c r="R246" s="115">
        <f>tblPiNAnalysis[[#This Row],[EDU]]</f>
        <v>15410.149695459808</v>
      </c>
      <c r="S246" s="115">
        <f>tblPiNAnalysis[[#This Row],[PRO]]</f>
        <v>25117.193426188365</v>
      </c>
      <c r="T246" s="116">
        <f>tblPiNAnalysis[[#This Row],[ASH]]</f>
        <v>0</v>
      </c>
      <c r="U246" s="300">
        <f>IF(OR(tblPiNHistorical[[#This Row],[SAMV25]]="", tblPiNHistorical[[#This Row],[SAMV25]]=0, tblPiNHistorical[[#This Row],[SAMV26]]="", tblPiNHistorical[[#This Row],[SAMV26]]=0), "", tblPiNHistorical[[#This Row],[SAMV26]]-tblPiNHistorical[[#This Row],[SAMV25]])</f>
        <v>3360</v>
      </c>
      <c r="V246" s="121">
        <f>IF(OR(tblPiNHistorical[[#This Row],[NUT25]]="", tblPiNHistorical[[#This Row],[NUT25]]=0, tblPiNHistorical[[#This Row],[NUT26]]="", tblPiNHistorical[[#This Row],[NUT26]]=0), "", tblPiNHistorical[[#This Row],[NUT26]]-tblPiNHistorical[[#This Row],[NUT25]])</f>
        <v>2276.6235656391223</v>
      </c>
      <c r="W246" s="121">
        <f>IF(OR(tblPiNHistorical[[#This Row],[SAL25]]="", tblPiNHistorical[[#This Row],[SAL25]]=0, tblPiNHistorical[[#This Row],[SAL26]]="", tblPiNHistorical[[#This Row],[SAL26]]=0), "", tblPiNHistorical[[#This Row],[SAL26]]-tblPiNHistorical[[#This Row],[SAL25]])</f>
        <v>36858.380175764061</v>
      </c>
      <c r="X246" s="121">
        <f>IF(OR(tblPiNHistorical[[#This Row],[EDU25]]="", tblPiNHistorical[[#This Row],[EDU25]]=0, tblPiNHistorical[[#This Row],[EDU26]]="", tblPiNHistorical[[#This Row],[EDU26]]=0), "", tblPiNHistorical[[#This Row],[EDU26]]-tblPiNHistorical[[#This Row],[EDU25]])</f>
        <v>12149.936866128908</v>
      </c>
      <c r="Y246" s="121">
        <f>IF(OR(tblPiNHistorical[[#This Row],[PRO25]]="", tblPiNHistorical[[#This Row],[PRO25]]=0, tblPiNHistorical[[#This Row],[PRO26]]="", tblPiNHistorical[[#This Row],[PRO26]]=0), "", tblPiNHistorical[[#This Row],[PRO26]]-tblPiNHistorical[[#This Row],[PRO25]])</f>
        <v>9052.6749030548326</v>
      </c>
      <c r="Z246" s="223" t="str">
        <f>IF(OR(tblPiNHistorical[[#This Row],[ASH25]]="", tblPiNHistorical[[#This Row],[ASH25]]=0, tblPiNHistorical[[#This Row],[ASH26]]="", tblPiNHistorical[[#This Row],[ASH26]]=0), "", tblPiNHistorical[[#This Row],[ASH26]]-tblPiNHistorical[[#This Row],[ASH25]])</f>
        <v/>
      </c>
      <c r="AA24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24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1.4</v>
      </c>
      <c r="AC24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4.0999999999999996</v>
      </c>
      <c r="AD24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3.7</v>
      </c>
      <c r="AE24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24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17468</v>
      </c>
    </row>
    <row r="247" spans="1:32">
      <c r="A24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VenezolanosVE1909</v>
      </c>
      <c r="B247" s="105" t="s">
        <v>203</v>
      </c>
      <c r="C247" s="104" t="s">
        <v>564</v>
      </c>
      <c r="D247" s="119" t="s">
        <v>100</v>
      </c>
      <c r="E247" s="104" t="s">
        <v>578</v>
      </c>
      <c r="F247" s="119"/>
      <c r="G247" s="102">
        <v>9586</v>
      </c>
      <c r="H247" s="102" t="s">
        <v>102</v>
      </c>
      <c r="I247" s="206">
        <v>1486</v>
      </c>
      <c r="J247" s="120">
        <v>386</v>
      </c>
      <c r="K247" s="207">
        <v>2495.8089621187714</v>
      </c>
      <c r="L247" s="207">
        <v>637.76889505718304</v>
      </c>
      <c r="M247" s="207">
        <v>3408.0854288621799</v>
      </c>
      <c r="N247" s="298">
        <v>0</v>
      </c>
      <c r="O247" s="114">
        <f>tblPiNAnalysis[[#This Row],[SAMV]]</f>
        <v>1562</v>
      </c>
      <c r="P247" s="115">
        <f>tblPiNAnalysis[[#This Row],[NUT]]</f>
        <v>1812.6728286743305</v>
      </c>
      <c r="Q247" s="115">
        <f>tblPiNAnalysis[[#This Row],[SAL]]</f>
        <v>21900</v>
      </c>
      <c r="R247" s="115">
        <f>tblPiNAnalysis[[#This Row],[EDU]]</f>
        <v>1947.0969898683175</v>
      </c>
      <c r="S247" s="115">
        <f>tblPiNAnalysis[[#This Row],[PRO]]</f>
        <v>6055.2513038751149</v>
      </c>
      <c r="T247" s="116">
        <f>tblPiNAnalysis[[#This Row],[ASH]]</f>
        <v>0</v>
      </c>
      <c r="U247" s="300">
        <f>IF(OR(tblPiNHistorical[[#This Row],[SAMV25]]="", tblPiNHistorical[[#This Row],[SAMV25]]=0, tblPiNHistorical[[#This Row],[SAMV26]]="", tblPiNHistorical[[#This Row],[SAMV26]]=0), "", tblPiNHistorical[[#This Row],[SAMV26]]-tblPiNHistorical[[#This Row],[SAMV25]])</f>
        <v>76</v>
      </c>
      <c r="V247" s="121">
        <f>IF(OR(tblPiNHistorical[[#This Row],[NUT25]]="", tblPiNHistorical[[#This Row],[NUT25]]=0, tblPiNHistorical[[#This Row],[NUT26]]="", tblPiNHistorical[[#This Row],[NUT26]]=0), "", tblPiNHistorical[[#This Row],[NUT26]]-tblPiNHistorical[[#This Row],[NUT25]])</f>
        <v>1426.6728286743305</v>
      </c>
      <c r="W247" s="121">
        <f>IF(OR(tblPiNHistorical[[#This Row],[SAL25]]="", tblPiNHistorical[[#This Row],[SAL25]]=0, tblPiNHistorical[[#This Row],[SAL26]]="", tblPiNHistorical[[#This Row],[SAL26]]=0), "", tblPiNHistorical[[#This Row],[SAL26]]-tblPiNHistorical[[#This Row],[SAL25]])</f>
        <v>19404.191037881228</v>
      </c>
      <c r="X247" s="121">
        <f>IF(OR(tblPiNHistorical[[#This Row],[EDU25]]="", tblPiNHistorical[[#This Row],[EDU25]]=0, tblPiNHistorical[[#This Row],[EDU26]]="", tblPiNHistorical[[#This Row],[EDU26]]=0), "", tblPiNHistorical[[#This Row],[EDU26]]-tblPiNHistorical[[#This Row],[EDU25]])</f>
        <v>1309.3280948111344</v>
      </c>
      <c r="Y247" s="121">
        <f>IF(OR(tblPiNHistorical[[#This Row],[PRO25]]="", tblPiNHistorical[[#This Row],[PRO25]]=0, tblPiNHistorical[[#This Row],[PRO26]]="", tblPiNHistorical[[#This Row],[PRO26]]=0), "", tblPiNHistorical[[#This Row],[PRO26]]-tblPiNHistorical[[#This Row],[PRO25]])</f>
        <v>2647.165875012935</v>
      </c>
      <c r="Z247" s="223" t="str">
        <f>IF(OR(tblPiNHistorical[[#This Row],[ASH25]]="", tblPiNHistorical[[#This Row],[ASH25]]=0, tblPiNHistorical[[#This Row],[ASH26]]="", tblPiNHistorical[[#This Row],[ASH26]]=0), "", tblPiNHistorical[[#This Row],[ASH26]]-tblPiNHistorical[[#This Row],[ASH25]])</f>
        <v/>
      </c>
      <c r="AA24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24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3.7</v>
      </c>
      <c r="AC24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7.8</v>
      </c>
      <c r="AD24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2.1</v>
      </c>
      <c r="AE24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4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48" spans="1:32">
      <c r="A24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VenezolanosVE1910</v>
      </c>
      <c r="B248" s="105" t="s">
        <v>203</v>
      </c>
      <c r="C248" s="104" t="s">
        <v>564</v>
      </c>
      <c r="D248" s="119" t="s">
        <v>528</v>
      </c>
      <c r="E248" s="104" t="s">
        <v>579</v>
      </c>
      <c r="F248" s="119"/>
      <c r="G248" s="102">
        <v>22338</v>
      </c>
      <c r="H248" s="102" t="s">
        <v>102</v>
      </c>
      <c r="I248" s="206">
        <v>3462</v>
      </c>
      <c r="J248" s="120">
        <v>987</v>
      </c>
      <c r="K248" s="207">
        <v>5815.9581610310388</v>
      </c>
      <c r="L248" s="207">
        <v>2066.7794824405719</v>
      </c>
      <c r="M248" s="207">
        <v>17868.983694693048</v>
      </c>
      <c r="N248" s="298">
        <v>0</v>
      </c>
      <c r="O248" s="114">
        <f>tblPiNAnalysis[[#This Row],[SAMV]]</f>
        <v>4906</v>
      </c>
      <c r="P248" s="115">
        <f>tblPiNAnalysis[[#This Row],[NUT]]</f>
        <v>910.18086668605383</v>
      </c>
      <c r="Q248" s="115">
        <f>tblPiNAnalysis[[#This Row],[SAL]]</f>
        <v>11200</v>
      </c>
      <c r="R248" s="115">
        <f>tblPiNAnalysis[[#This Row],[EDU]]</f>
        <v>1558.6935086411447</v>
      </c>
      <c r="S248" s="115">
        <f>tblPiNAnalysis[[#This Row],[PRO]]</f>
        <v>696.79264464438666</v>
      </c>
      <c r="T248" s="116">
        <f>tblPiNAnalysis[[#This Row],[ASH]]</f>
        <v>0</v>
      </c>
      <c r="U248" s="300">
        <f>IF(OR(tblPiNHistorical[[#This Row],[SAMV25]]="", tblPiNHistorical[[#This Row],[SAMV25]]=0, tblPiNHistorical[[#This Row],[SAMV26]]="", tblPiNHistorical[[#This Row],[SAMV26]]=0), "", tblPiNHistorical[[#This Row],[SAMV26]]-tblPiNHistorical[[#This Row],[SAMV25]])</f>
        <v>1444</v>
      </c>
      <c r="V248" s="121">
        <f>IF(OR(tblPiNHistorical[[#This Row],[NUT25]]="", tblPiNHistorical[[#This Row],[NUT25]]=0, tblPiNHistorical[[#This Row],[NUT26]]="", tblPiNHistorical[[#This Row],[NUT26]]=0), "", tblPiNHistorical[[#This Row],[NUT26]]-tblPiNHistorical[[#This Row],[NUT25]])</f>
        <v>-76.819133313946168</v>
      </c>
      <c r="W248" s="121">
        <f>IF(OR(tblPiNHistorical[[#This Row],[SAL25]]="", tblPiNHistorical[[#This Row],[SAL25]]=0, tblPiNHistorical[[#This Row],[SAL26]]="", tblPiNHistorical[[#This Row],[SAL26]]=0), "", tblPiNHistorical[[#This Row],[SAL26]]-tblPiNHistorical[[#This Row],[SAL25]])</f>
        <v>5384.0418389689612</v>
      </c>
      <c r="X248" s="121">
        <f>IF(OR(tblPiNHistorical[[#This Row],[EDU25]]="", tblPiNHistorical[[#This Row],[EDU25]]=0, tblPiNHistorical[[#This Row],[EDU26]]="", tblPiNHistorical[[#This Row],[EDU26]]=0), "", tblPiNHistorical[[#This Row],[EDU26]]-tblPiNHistorical[[#This Row],[EDU25]])</f>
        <v>-508.08597379942717</v>
      </c>
      <c r="Y248" s="121">
        <f>IF(OR(tblPiNHistorical[[#This Row],[PRO25]]="", tblPiNHistorical[[#This Row],[PRO25]]=0, tblPiNHistorical[[#This Row],[PRO26]]="", tblPiNHistorical[[#This Row],[PRO26]]=0), "", tblPiNHistorical[[#This Row],[PRO26]]-tblPiNHistorical[[#This Row],[PRO25]])</f>
        <v>-17172.191050048663</v>
      </c>
      <c r="Z248" s="223" t="str">
        <f>IF(OR(tblPiNHistorical[[#This Row],[ASH25]]="", tblPiNHistorical[[#This Row],[ASH25]]=0, tblPiNHistorical[[#This Row],[ASH26]]="", tblPiNHistorical[[#This Row],[ASH26]]=0), "", tblPiNHistorical[[#This Row],[ASH26]]-tblPiNHistorical[[#This Row],[ASH25]])</f>
        <v/>
      </c>
      <c r="AA24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24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24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0.9</v>
      </c>
      <c r="AD24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-0.2</v>
      </c>
      <c r="AE24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24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49" spans="1:32">
      <c r="A24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VenezolanosVE1911</v>
      </c>
      <c r="B249" s="105" t="s">
        <v>203</v>
      </c>
      <c r="C249" s="104" t="s">
        <v>564</v>
      </c>
      <c r="D249" s="119" t="s">
        <v>580</v>
      </c>
      <c r="E249" s="104" t="s">
        <v>581</v>
      </c>
      <c r="F249" s="119"/>
      <c r="G249" s="102">
        <v>14300</v>
      </c>
      <c r="H249" s="102" t="s">
        <v>102</v>
      </c>
      <c r="I249" s="206">
        <v>2217</v>
      </c>
      <c r="J249" s="120">
        <v>593</v>
      </c>
      <c r="K249" s="207">
        <v>3723.402175324471</v>
      </c>
      <c r="L249" s="207">
        <v>985.58874802589366</v>
      </c>
      <c r="M249" s="207">
        <v>5084.0414805684504</v>
      </c>
      <c r="N249" s="298">
        <v>0</v>
      </c>
      <c r="O249" s="114">
        <f>tblPiNAnalysis[[#This Row],[SAMV]]</f>
        <v>17100</v>
      </c>
      <c r="P249" s="115">
        <f>tblPiNAnalysis[[#This Row],[NUT]]</f>
        <v>2112.0067110644577</v>
      </c>
      <c r="Q249" s="115">
        <f>tblPiNAnalysis[[#This Row],[SAL]]</f>
        <v>47700</v>
      </c>
      <c r="R249" s="115">
        <f>tblPiNAnalysis[[#This Row],[EDU]]</f>
        <v>4205.5268157862192</v>
      </c>
      <c r="S249" s="115">
        <f>tblPiNAnalysis[[#This Row],[PRO]]</f>
        <v>7763.698746203655</v>
      </c>
      <c r="T249" s="116">
        <f>tblPiNAnalysis[[#This Row],[ASH]]</f>
        <v>0</v>
      </c>
      <c r="U249" s="300">
        <f>IF(OR(tblPiNHistorical[[#This Row],[SAMV25]]="", tblPiNHistorical[[#This Row],[SAMV25]]=0, tblPiNHistorical[[#This Row],[SAMV26]]="", tblPiNHistorical[[#This Row],[SAMV26]]=0), "", tblPiNHistorical[[#This Row],[SAMV26]]-tblPiNHistorical[[#This Row],[SAMV25]])</f>
        <v>14883</v>
      </c>
      <c r="V249" s="121">
        <f>IF(OR(tblPiNHistorical[[#This Row],[NUT25]]="", tblPiNHistorical[[#This Row],[NUT25]]=0, tblPiNHistorical[[#This Row],[NUT26]]="", tblPiNHistorical[[#This Row],[NUT26]]=0), "", tblPiNHistorical[[#This Row],[NUT26]]-tblPiNHistorical[[#This Row],[NUT25]])</f>
        <v>1519.0067110644577</v>
      </c>
      <c r="W249" s="121">
        <f>IF(OR(tblPiNHistorical[[#This Row],[SAL25]]="", tblPiNHistorical[[#This Row],[SAL25]]=0, tblPiNHistorical[[#This Row],[SAL26]]="", tblPiNHistorical[[#This Row],[SAL26]]=0), "", tblPiNHistorical[[#This Row],[SAL26]]-tblPiNHistorical[[#This Row],[SAL25]])</f>
        <v>43976.597824675526</v>
      </c>
      <c r="X249" s="121">
        <f>IF(OR(tblPiNHistorical[[#This Row],[EDU25]]="", tblPiNHistorical[[#This Row],[EDU25]]=0, tblPiNHistorical[[#This Row],[EDU26]]="", tblPiNHistorical[[#This Row],[EDU26]]=0), "", tblPiNHistorical[[#This Row],[EDU26]]-tblPiNHistorical[[#This Row],[EDU25]])</f>
        <v>3219.9380677603258</v>
      </c>
      <c r="Y249" s="121">
        <f>IF(OR(tblPiNHistorical[[#This Row],[PRO25]]="", tblPiNHistorical[[#This Row],[PRO25]]=0, tblPiNHistorical[[#This Row],[PRO26]]="", tblPiNHistorical[[#This Row],[PRO26]]=0), "", tblPiNHistorical[[#This Row],[PRO26]]-tblPiNHistorical[[#This Row],[PRO25]])</f>
        <v>2679.6572656352046</v>
      </c>
      <c r="Z249" s="223" t="str">
        <f>IF(OR(tblPiNHistorical[[#This Row],[ASH25]]="", tblPiNHistorical[[#This Row],[ASH25]]=0, tblPiNHistorical[[#This Row],[ASH26]]="", tblPiNHistorical[[#This Row],[ASH26]]=0), "", tblPiNHistorical[[#This Row],[ASH26]]-tblPiNHistorical[[#This Row],[ASH25]])</f>
        <v/>
      </c>
      <c r="AA24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6.7</v>
      </c>
      <c r="AB24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2.6</v>
      </c>
      <c r="AC24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11.8</v>
      </c>
      <c r="AD24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3.3</v>
      </c>
      <c r="AE24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24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50" spans="1:32">
      <c r="A25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VenezolanosVE1912</v>
      </c>
      <c r="B250" s="105" t="s">
        <v>203</v>
      </c>
      <c r="C250" s="104" t="s">
        <v>564</v>
      </c>
      <c r="D250" s="119" t="s">
        <v>582</v>
      </c>
      <c r="E250" s="104" t="s">
        <v>583</v>
      </c>
      <c r="F250" s="119"/>
      <c r="G250" s="102">
        <v>53889</v>
      </c>
      <c r="H250" s="102" t="s">
        <v>102</v>
      </c>
      <c r="I250" s="206">
        <v>8353</v>
      </c>
      <c r="J250" s="120">
        <v>2312</v>
      </c>
      <c r="K250" s="207">
        <v>14030.627515904695</v>
      </c>
      <c r="L250" s="207">
        <v>4710.7774631271577</v>
      </c>
      <c r="M250" s="207">
        <v>16064.518523133533</v>
      </c>
      <c r="N250" s="298">
        <v>26945</v>
      </c>
      <c r="O250" s="114">
        <f>tblPiNAnalysis[[#This Row],[SAMV]]</f>
        <v>5055</v>
      </c>
      <c r="P250" s="115">
        <f>tblPiNAnalysis[[#This Row],[NUT]]</f>
        <v>1231.0694342439137</v>
      </c>
      <c r="Q250" s="115">
        <f>tblPiNAnalysis[[#This Row],[SAL]]</f>
        <v>21000</v>
      </c>
      <c r="R250" s="115">
        <f>tblPiNAnalysis[[#This Row],[EDU]]</f>
        <v>1763.0692104279424</v>
      </c>
      <c r="S250" s="115">
        <f>tblPiNAnalysis[[#This Row],[PRO]]</f>
        <v>2294.5988706338317</v>
      </c>
      <c r="T250" s="116">
        <f>tblPiNAnalysis[[#This Row],[ASH]]</f>
        <v>0</v>
      </c>
      <c r="U250" s="300">
        <f>IF(OR(tblPiNHistorical[[#This Row],[SAMV25]]="", tblPiNHistorical[[#This Row],[SAMV25]]=0, tblPiNHistorical[[#This Row],[SAMV26]]="", tblPiNHistorical[[#This Row],[SAMV26]]=0), "", tblPiNHistorical[[#This Row],[SAMV26]]-tblPiNHistorical[[#This Row],[SAMV25]])</f>
        <v>-3298</v>
      </c>
      <c r="V250" s="121">
        <f>IF(OR(tblPiNHistorical[[#This Row],[NUT25]]="", tblPiNHistorical[[#This Row],[NUT25]]=0, tblPiNHistorical[[#This Row],[NUT26]]="", tblPiNHistorical[[#This Row],[NUT26]]=0), "", tblPiNHistorical[[#This Row],[NUT26]]-tblPiNHistorical[[#This Row],[NUT25]])</f>
        <v>-1080.9305657560863</v>
      </c>
      <c r="W250" s="121">
        <f>IF(OR(tblPiNHistorical[[#This Row],[SAL25]]="", tblPiNHistorical[[#This Row],[SAL25]]=0, tblPiNHistorical[[#This Row],[SAL26]]="", tblPiNHistorical[[#This Row],[SAL26]]=0), "", tblPiNHistorical[[#This Row],[SAL26]]-tblPiNHistorical[[#This Row],[SAL25]])</f>
        <v>6969.3724840953055</v>
      </c>
      <c r="X250" s="121">
        <f>IF(OR(tblPiNHistorical[[#This Row],[EDU25]]="", tblPiNHistorical[[#This Row],[EDU25]]=0, tblPiNHistorical[[#This Row],[EDU26]]="", tblPiNHistorical[[#This Row],[EDU26]]=0), "", tblPiNHistorical[[#This Row],[EDU26]]-tblPiNHistorical[[#This Row],[EDU25]])</f>
        <v>-2947.7082526992153</v>
      </c>
      <c r="Y250" s="121">
        <f>IF(OR(tblPiNHistorical[[#This Row],[PRO25]]="", tblPiNHistorical[[#This Row],[PRO25]]=0, tblPiNHistorical[[#This Row],[PRO26]]="", tblPiNHistorical[[#This Row],[PRO26]]=0), "", tblPiNHistorical[[#This Row],[PRO26]]-tblPiNHistorical[[#This Row],[PRO25]])</f>
        <v>-13769.919652499701</v>
      </c>
      <c r="Z250" s="223" t="str">
        <f>IF(OR(tblPiNHistorical[[#This Row],[ASH25]]="", tblPiNHistorical[[#This Row],[ASH25]]=0, tblPiNHistorical[[#This Row],[ASH26]]="", tblPiNHistorical[[#This Row],[ASH26]]=0), "", tblPiNHistorical[[#This Row],[ASH26]]-tblPiNHistorical[[#This Row],[ASH25]])</f>
        <v/>
      </c>
      <c r="AA25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25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25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25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25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5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26945</v>
      </c>
    </row>
    <row r="251" spans="1:32">
      <c r="A25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VenezolanosVE1913</v>
      </c>
      <c r="B251" s="105" t="s">
        <v>203</v>
      </c>
      <c r="C251" s="104" t="s">
        <v>564</v>
      </c>
      <c r="D251" s="119" t="s">
        <v>584</v>
      </c>
      <c r="E251" s="104" t="s">
        <v>585</v>
      </c>
      <c r="F251" s="119"/>
      <c r="G251" s="102">
        <v>58192</v>
      </c>
      <c r="H251" s="102" t="s">
        <v>102</v>
      </c>
      <c r="I251" s="206">
        <v>9020</v>
      </c>
      <c r="J251" s="120">
        <v>2660</v>
      </c>
      <c r="K251" s="207">
        <v>15151.215025295853</v>
      </c>
      <c r="L251" s="207">
        <v>4654.1381549047901</v>
      </c>
      <c r="M251" s="207">
        <v>16064.518523133533</v>
      </c>
      <c r="N251" s="298">
        <v>11638</v>
      </c>
      <c r="O251" s="114">
        <f>tblPiNAnalysis[[#This Row],[SAMV]]</f>
        <v>5870</v>
      </c>
      <c r="P251" s="115">
        <f>tblPiNAnalysis[[#This Row],[NUT]]</f>
        <v>2350.918913724151</v>
      </c>
      <c r="Q251" s="115">
        <f>tblPiNAnalysis[[#This Row],[SAL]]</f>
        <v>19997.255000000001</v>
      </c>
      <c r="R251" s="115">
        <f>tblPiNAnalysis[[#This Row],[EDU]]</f>
        <v>4358.0776772139025</v>
      </c>
      <c r="S251" s="115">
        <f>tblPiNAnalysis[[#This Row],[PRO]]</f>
        <v>9441.9008092993136</v>
      </c>
      <c r="T251" s="116">
        <f>tblPiNAnalysis[[#This Row],[ASH]]</f>
        <v>0</v>
      </c>
      <c r="U251" s="300">
        <f>IF(OR(tblPiNHistorical[[#This Row],[SAMV25]]="", tblPiNHistorical[[#This Row],[SAMV25]]=0, tblPiNHistorical[[#This Row],[SAMV26]]="", tblPiNHistorical[[#This Row],[SAMV26]]=0), "", tblPiNHistorical[[#This Row],[SAMV26]]-tblPiNHistorical[[#This Row],[SAMV25]])</f>
        <v>-3150</v>
      </c>
      <c r="V251" s="121">
        <f>IF(OR(tblPiNHistorical[[#This Row],[NUT25]]="", tblPiNHistorical[[#This Row],[NUT25]]=0, tblPiNHistorical[[#This Row],[NUT26]]="", tblPiNHistorical[[#This Row],[NUT26]]=0), "", tblPiNHistorical[[#This Row],[NUT26]]-tblPiNHistorical[[#This Row],[NUT25]])</f>
        <v>-309.08108627584897</v>
      </c>
      <c r="W251" s="121">
        <f>IF(OR(tblPiNHistorical[[#This Row],[SAL25]]="", tblPiNHistorical[[#This Row],[SAL25]]=0, tblPiNHistorical[[#This Row],[SAL26]]="", tblPiNHistorical[[#This Row],[SAL26]]=0), "", tblPiNHistorical[[#This Row],[SAL26]]-tblPiNHistorical[[#This Row],[SAL25]])</f>
        <v>4846.0399747041483</v>
      </c>
      <c r="X251" s="121">
        <f>IF(OR(tblPiNHistorical[[#This Row],[EDU25]]="", tblPiNHistorical[[#This Row],[EDU25]]=0, tblPiNHistorical[[#This Row],[EDU26]]="", tblPiNHistorical[[#This Row],[EDU26]]=0), "", tblPiNHistorical[[#This Row],[EDU26]]-tblPiNHistorical[[#This Row],[EDU25]])</f>
        <v>-296.06047769088764</v>
      </c>
      <c r="Y251" s="121">
        <f>IF(OR(tblPiNHistorical[[#This Row],[PRO25]]="", tblPiNHistorical[[#This Row],[PRO25]]=0, tblPiNHistorical[[#This Row],[PRO26]]="", tblPiNHistorical[[#This Row],[PRO26]]=0), "", tblPiNHistorical[[#This Row],[PRO26]]-tblPiNHistorical[[#This Row],[PRO25]])</f>
        <v>-6622.6177138342191</v>
      </c>
      <c r="Z251" s="223" t="str">
        <f>IF(OR(tblPiNHistorical[[#This Row],[ASH25]]="", tblPiNHistorical[[#This Row],[ASH25]]=0, tblPiNHistorical[[#This Row],[ASH26]]="", tblPiNHistorical[[#This Row],[ASH26]]=0), "", tblPiNHistorical[[#This Row],[ASH26]]-tblPiNHistorical[[#This Row],[ASH25]])</f>
        <v/>
      </c>
      <c r="AA25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-0.3</v>
      </c>
      <c r="AB25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25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25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25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25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11638</v>
      </c>
    </row>
    <row r="252" spans="1:32">
      <c r="A25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VenezolanosVE1914</v>
      </c>
      <c r="B252" s="105" t="s">
        <v>203</v>
      </c>
      <c r="C252" s="104" t="s">
        <v>564</v>
      </c>
      <c r="D252" s="119" t="s">
        <v>203</v>
      </c>
      <c r="E252" s="104" t="s">
        <v>586</v>
      </c>
      <c r="F252" s="119"/>
      <c r="G252" s="102">
        <v>358919</v>
      </c>
      <c r="H252" s="102" t="s">
        <v>102</v>
      </c>
      <c r="I252" s="206">
        <v>55632</v>
      </c>
      <c r="J252" s="120">
        <v>16193</v>
      </c>
      <c r="K252" s="207">
        <v>93447.684823816613</v>
      </c>
      <c r="L252" s="207">
        <v>22383.595900381912</v>
      </c>
      <c r="M252" s="207">
        <v>16064.518523133533</v>
      </c>
      <c r="N252" s="298">
        <v>0</v>
      </c>
      <c r="O252" s="114">
        <f>tblPiNAnalysis[[#This Row],[SAMV]]</f>
        <v>3843</v>
      </c>
      <c r="P252" s="115">
        <f>tblPiNAnalysis[[#This Row],[NUT]]</f>
        <v>2735.4918458675638</v>
      </c>
      <c r="Q252" s="115">
        <f>tblPiNAnalysis[[#This Row],[SAL]]</f>
        <v>24408.645</v>
      </c>
      <c r="R252" s="115">
        <f>tblPiNAnalysis[[#This Row],[EDU]]</f>
        <v>3993.8365335946228</v>
      </c>
      <c r="S252" s="115">
        <f>tblPiNAnalysis[[#This Row],[PRO]]</f>
        <v>5762.3910126514802</v>
      </c>
      <c r="T252" s="116">
        <f>tblPiNAnalysis[[#This Row],[ASH]]</f>
        <v>9027.8549999999996</v>
      </c>
      <c r="U252" s="300">
        <f>IF(OR(tblPiNHistorical[[#This Row],[SAMV25]]="", tblPiNHistorical[[#This Row],[SAMV25]]=0, tblPiNHistorical[[#This Row],[SAMV26]]="", tblPiNHistorical[[#This Row],[SAMV26]]=0), "", tblPiNHistorical[[#This Row],[SAMV26]]-tblPiNHistorical[[#This Row],[SAMV25]])</f>
        <v>-51789</v>
      </c>
      <c r="V252" s="121">
        <f>IF(OR(tblPiNHistorical[[#This Row],[NUT25]]="", tblPiNHistorical[[#This Row],[NUT25]]=0, tblPiNHistorical[[#This Row],[NUT26]]="", tblPiNHistorical[[#This Row],[NUT26]]=0), "", tblPiNHistorical[[#This Row],[NUT26]]-tblPiNHistorical[[#This Row],[NUT25]])</f>
        <v>-13457.508154132436</v>
      </c>
      <c r="W252" s="121">
        <f>IF(OR(tblPiNHistorical[[#This Row],[SAL25]]="", tblPiNHistorical[[#This Row],[SAL25]]=0, tblPiNHistorical[[#This Row],[SAL26]]="", tblPiNHistorical[[#This Row],[SAL26]]=0), "", tblPiNHistorical[[#This Row],[SAL26]]-tblPiNHistorical[[#This Row],[SAL25]])</f>
        <v>-69039.039823816609</v>
      </c>
      <c r="X252" s="121">
        <f>IF(OR(tblPiNHistorical[[#This Row],[EDU25]]="", tblPiNHistorical[[#This Row],[EDU25]]=0, tblPiNHistorical[[#This Row],[EDU26]]="", tblPiNHistorical[[#This Row],[EDU26]]=0), "", tblPiNHistorical[[#This Row],[EDU26]]-tblPiNHistorical[[#This Row],[EDU25]])</f>
        <v>-18389.75936678729</v>
      </c>
      <c r="Y252" s="121">
        <f>IF(OR(tblPiNHistorical[[#This Row],[PRO25]]="", tblPiNHistorical[[#This Row],[PRO25]]=0, tblPiNHistorical[[#This Row],[PRO26]]="", tblPiNHistorical[[#This Row],[PRO26]]=0), "", tblPiNHistorical[[#This Row],[PRO26]]-tblPiNHistorical[[#This Row],[PRO25]])</f>
        <v>-10302.127510482052</v>
      </c>
      <c r="Z252" s="223" t="str">
        <f>IF(OR(tblPiNHistorical[[#This Row],[ASH25]]="", tblPiNHistorical[[#This Row],[ASH25]]=0, tblPiNHistorical[[#This Row],[ASH26]]="", tblPiNHistorical[[#This Row],[ASH26]]=0), "", tblPiNHistorical[[#This Row],[ASH26]]-tblPiNHistorical[[#This Row],[ASH25]])</f>
        <v/>
      </c>
      <c r="AA25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5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25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25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25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25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9027.855</v>
      </c>
    </row>
    <row r="253" spans="1:32">
      <c r="A25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VenezolanosVE1915</v>
      </c>
      <c r="B253" s="105" t="s">
        <v>203</v>
      </c>
      <c r="C253" s="104" t="s">
        <v>564</v>
      </c>
      <c r="D253" s="119" t="s">
        <v>587</v>
      </c>
      <c r="E253" s="104" t="s">
        <v>588</v>
      </c>
      <c r="F253" s="119"/>
      <c r="G253" s="102">
        <v>38511</v>
      </c>
      <c r="H253" s="102" t="s">
        <v>102</v>
      </c>
      <c r="I253" s="206">
        <v>5969</v>
      </c>
      <c r="J253" s="120">
        <v>1657</v>
      </c>
      <c r="K253" s="207">
        <v>10026.830764843973</v>
      </c>
      <c r="L253" s="207">
        <v>2936.6067937507064</v>
      </c>
      <c r="M253" s="207">
        <v>26287.39394694578</v>
      </c>
      <c r="N253" s="298">
        <v>0</v>
      </c>
      <c r="O253" s="114">
        <f>tblPiNAnalysis[[#This Row],[SAMV]]</f>
        <v>4452</v>
      </c>
      <c r="P253" s="115">
        <f>tblPiNAnalysis[[#This Row],[NUT]]</f>
        <v>1025.3949492626957</v>
      </c>
      <c r="Q253" s="115">
        <f>tblPiNAnalysis[[#This Row],[SAL]]</f>
        <v>11200</v>
      </c>
      <c r="R253" s="115">
        <f>tblPiNAnalysis[[#This Row],[EDU]]</f>
        <v>1095.9410729399117</v>
      </c>
      <c r="S253" s="115">
        <f>tblPiNAnalysis[[#This Row],[PRO]]</f>
        <v>709.02866701210633</v>
      </c>
      <c r="T253" s="116">
        <f>tblPiNAnalysis[[#This Row],[ASH]]</f>
        <v>0</v>
      </c>
      <c r="U253" s="300">
        <f>IF(OR(tblPiNHistorical[[#This Row],[SAMV25]]="", tblPiNHistorical[[#This Row],[SAMV25]]=0, tblPiNHistorical[[#This Row],[SAMV26]]="", tblPiNHistorical[[#This Row],[SAMV26]]=0), "", tblPiNHistorical[[#This Row],[SAMV26]]-tblPiNHistorical[[#This Row],[SAMV25]])</f>
        <v>-1517</v>
      </c>
      <c r="V253" s="121">
        <f>IF(OR(tblPiNHistorical[[#This Row],[NUT25]]="", tblPiNHistorical[[#This Row],[NUT25]]=0, tblPiNHistorical[[#This Row],[NUT26]]="", tblPiNHistorical[[#This Row],[NUT26]]=0), "", tblPiNHistorical[[#This Row],[NUT26]]-tblPiNHistorical[[#This Row],[NUT25]])</f>
        <v>-631.60505073730428</v>
      </c>
      <c r="W253" s="121">
        <f>IF(OR(tblPiNHistorical[[#This Row],[SAL25]]="", tblPiNHistorical[[#This Row],[SAL25]]=0, tblPiNHistorical[[#This Row],[SAL26]]="", tblPiNHistorical[[#This Row],[SAL26]]=0), "", tblPiNHistorical[[#This Row],[SAL26]]-tblPiNHistorical[[#This Row],[SAL25]])</f>
        <v>1173.1692351560268</v>
      </c>
      <c r="X253" s="121">
        <f>IF(OR(tblPiNHistorical[[#This Row],[EDU25]]="", tblPiNHistorical[[#This Row],[EDU25]]=0, tblPiNHistorical[[#This Row],[EDU26]]="", tblPiNHistorical[[#This Row],[EDU26]]=0), "", tblPiNHistorical[[#This Row],[EDU26]]-tblPiNHistorical[[#This Row],[EDU25]])</f>
        <v>-1840.6657208107947</v>
      </c>
      <c r="Y253" s="121">
        <f>IF(OR(tblPiNHistorical[[#This Row],[PRO25]]="", tblPiNHistorical[[#This Row],[PRO25]]=0, tblPiNHistorical[[#This Row],[PRO26]]="", tblPiNHistorical[[#This Row],[PRO26]]=0), "", tblPiNHistorical[[#This Row],[PRO26]]-tblPiNHistorical[[#This Row],[PRO25]])</f>
        <v>-25578.365279933674</v>
      </c>
      <c r="Z253" s="223" t="str">
        <f>IF(OR(tblPiNHistorical[[#This Row],[ASH25]]="", tblPiNHistorical[[#This Row],[ASH25]]=0, tblPiNHistorical[[#This Row],[ASH26]]="", tblPiNHistorical[[#This Row],[ASH26]]=0), "", tblPiNHistorical[[#This Row],[ASH26]]-tblPiNHistorical[[#This Row],[ASH25]])</f>
        <v/>
      </c>
      <c r="AA25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-0.3</v>
      </c>
      <c r="AB25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-0.4</v>
      </c>
      <c r="AC25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25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25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25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54" spans="1:32">
      <c r="A25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VenezolanosVE2001</v>
      </c>
      <c r="B254" s="105" t="s">
        <v>589</v>
      </c>
      <c r="C254" s="104" t="s">
        <v>590</v>
      </c>
      <c r="D254" s="119" t="s">
        <v>591</v>
      </c>
      <c r="E254" s="104" t="s">
        <v>592</v>
      </c>
      <c r="F254" s="119"/>
      <c r="G254" s="102">
        <v>20358</v>
      </c>
      <c r="H254" s="102" t="s">
        <v>102</v>
      </c>
      <c r="I254" s="206">
        <v>2714</v>
      </c>
      <c r="J254" s="120">
        <v>791</v>
      </c>
      <c r="K254" s="207">
        <v>5300.7455130351036</v>
      </c>
      <c r="L254" s="207">
        <v>1114.7946885137414</v>
      </c>
      <c r="M254" s="207">
        <v>7237.8263259729019</v>
      </c>
      <c r="N254" s="298">
        <v>0</v>
      </c>
      <c r="O254" s="114">
        <f>tblPiNAnalysis[[#This Row],[SAMV]]</f>
        <v>6633</v>
      </c>
      <c r="P254" s="115">
        <f>tblPiNAnalysis[[#This Row],[NUT]]</f>
        <v>2740.1407555150554</v>
      </c>
      <c r="Q254" s="115">
        <f>tblPiNAnalysis[[#This Row],[SAL]]</f>
        <v>18115.314999999999</v>
      </c>
      <c r="R254" s="115">
        <f>tblPiNAnalysis[[#This Row],[EDU]]</f>
        <v>6869.3296573939679</v>
      </c>
      <c r="S254" s="115">
        <f>tblPiNAnalysis[[#This Row],[PRO]]</f>
        <v>9858.3672104852449</v>
      </c>
      <c r="T254" s="116">
        <f>tblPiNAnalysis[[#This Row],[ASH]]</f>
        <v>0</v>
      </c>
      <c r="U254" s="300">
        <f>IF(OR(tblPiNHistorical[[#This Row],[SAMV25]]="", tblPiNHistorical[[#This Row],[SAMV25]]=0, tblPiNHistorical[[#This Row],[SAMV26]]="", tblPiNHistorical[[#This Row],[SAMV26]]=0), "", tblPiNHistorical[[#This Row],[SAMV26]]-tblPiNHistorical[[#This Row],[SAMV25]])</f>
        <v>3919</v>
      </c>
      <c r="V254" s="121">
        <f>IF(OR(tblPiNHistorical[[#This Row],[NUT25]]="", tblPiNHistorical[[#This Row],[NUT25]]=0, tblPiNHistorical[[#This Row],[NUT26]]="", tblPiNHistorical[[#This Row],[NUT26]]=0), "", tblPiNHistorical[[#This Row],[NUT26]]-tblPiNHistorical[[#This Row],[NUT25]])</f>
        <v>1949.1407555150554</v>
      </c>
      <c r="W254" s="121">
        <f>IF(OR(tblPiNHistorical[[#This Row],[SAL25]]="", tblPiNHistorical[[#This Row],[SAL25]]=0, tblPiNHistorical[[#This Row],[SAL26]]="", tblPiNHistorical[[#This Row],[SAL26]]=0), "", tblPiNHistorical[[#This Row],[SAL26]]-tblPiNHistorical[[#This Row],[SAL25]])</f>
        <v>12814.569486964894</v>
      </c>
      <c r="X254" s="121">
        <f>IF(OR(tblPiNHistorical[[#This Row],[EDU25]]="", tblPiNHistorical[[#This Row],[EDU25]]=0, tblPiNHistorical[[#This Row],[EDU26]]="", tblPiNHistorical[[#This Row],[EDU26]]=0), "", tblPiNHistorical[[#This Row],[EDU26]]-tblPiNHistorical[[#This Row],[EDU25]])</f>
        <v>5754.5349688802262</v>
      </c>
      <c r="Y254" s="121">
        <f>IF(OR(tblPiNHistorical[[#This Row],[PRO25]]="", tblPiNHistorical[[#This Row],[PRO25]]=0, tblPiNHistorical[[#This Row],[PRO26]]="", tblPiNHistorical[[#This Row],[PRO26]]=0), "", tblPiNHistorical[[#This Row],[PRO26]]-tblPiNHistorical[[#This Row],[PRO25]])</f>
        <v>2620.5408845123429</v>
      </c>
      <c r="Z254" s="223" t="str">
        <f>IF(OR(tblPiNHistorical[[#This Row],[ASH25]]="", tblPiNHistorical[[#This Row],[ASH25]]=0, tblPiNHistorical[[#This Row],[ASH26]]="", tblPiNHistorical[[#This Row],[ASH26]]=0), "", tblPiNHistorical[[#This Row],[ASH26]]-tblPiNHistorical[[#This Row],[ASH25]])</f>
        <v/>
      </c>
      <c r="AA25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1.4</v>
      </c>
      <c r="AB25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2.5</v>
      </c>
      <c r="AC25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2.4</v>
      </c>
      <c r="AD25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5.2</v>
      </c>
      <c r="AE25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25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55" spans="1:32">
      <c r="A25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VenezolanosVE2002</v>
      </c>
      <c r="B255" s="105" t="s">
        <v>589</v>
      </c>
      <c r="C255" s="104" t="s">
        <v>590</v>
      </c>
      <c r="D255" s="119" t="s">
        <v>593</v>
      </c>
      <c r="E255" s="104" t="s">
        <v>594</v>
      </c>
      <c r="F255" s="119"/>
      <c r="G255" s="102">
        <v>10061</v>
      </c>
      <c r="H255" s="102" t="s">
        <v>102</v>
      </c>
      <c r="I255" s="206">
        <v>1341</v>
      </c>
      <c r="J255" s="120">
        <v>434</v>
      </c>
      <c r="K255" s="207">
        <v>2619.6581563485634</v>
      </c>
      <c r="L255" s="207">
        <v>794.49243092072925</v>
      </c>
      <c r="M255" s="207">
        <v>3576.9609325873553</v>
      </c>
      <c r="N255" s="298">
        <v>0</v>
      </c>
      <c r="O255" s="114">
        <f>tblPiNAnalysis[[#This Row],[SAMV]]</f>
        <v>4157</v>
      </c>
      <c r="P255" s="115">
        <f>tblPiNAnalysis[[#This Row],[NUT]]</f>
        <v>3921.4168690948582</v>
      </c>
      <c r="Q255" s="115">
        <f>tblPiNAnalysis[[#This Row],[SAL]]</f>
        <v>39015.945</v>
      </c>
      <c r="R255" s="115">
        <f>tblPiNAnalysis[[#This Row],[EDU]]</f>
        <v>17343.303575727121</v>
      </c>
      <c r="S255" s="115">
        <f>tblPiNAnalysis[[#This Row],[PRO]]</f>
        <v>25479.00577212789</v>
      </c>
      <c r="T255" s="116">
        <f>tblPiNAnalysis[[#This Row],[ASH]]</f>
        <v>0</v>
      </c>
      <c r="U255" s="300">
        <f>IF(OR(tblPiNHistorical[[#This Row],[SAMV25]]="", tblPiNHistorical[[#This Row],[SAMV25]]=0, tblPiNHistorical[[#This Row],[SAMV26]]="", tblPiNHistorical[[#This Row],[SAMV26]]=0), "", tblPiNHistorical[[#This Row],[SAMV26]]-tblPiNHistorical[[#This Row],[SAMV25]])</f>
        <v>2816</v>
      </c>
      <c r="V255" s="121">
        <f>IF(OR(tblPiNHistorical[[#This Row],[NUT25]]="", tblPiNHistorical[[#This Row],[NUT25]]=0, tblPiNHistorical[[#This Row],[NUT26]]="", tblPiNHistorical[[#This Row],[NUT26]]=0), "", tblPiNHistorical[[#This Row],[NUT26]]-tblPiNHistorical[[#This Row],[NUT25]])</f>
        <v>3487.4168690948582</v>
      </c>
      <c r="W255" s="121">
        <f>IF(OR(tblPiNHistorical[[#This Row],[SAL25]]="", tblPiNHistorical[[#This Row],[SAL25]]=0, tblPiNHistorical[[#This Row],[SAL26]]="", tblPiNHistorical[[#This Row],[SAL26]]=0), "", tblPiNHistorical[[#This Row],[SAL26]]-tblPiNHistorical[[#This Row],[SAL25]])</f>
        <v>36396.28684365144</v>
      </c>
      <c r="X255" s="121">
        <f>IF(OR(tblPiNHistorical[[#This Row],[EDU25]]="", tblPiNHistorical[[#This Row],[EDU25]]=0, tblPiNHistorical[[#This Row],[EDU26]]="", tblPiNHistorical[[#This Row],[EDU26]]=0), "", tblPiNHistorical[[#This Row],[EDU26]]-tblPiNHistorical[[#This Row],[EDU25]])</f>
        <v>16548.81114480639</v>
      </c>
      <c r="Y255" s="121">
        <f>IF(OR(tblPiNHistorical[[#This Row],[PRO25]]="", tblPiNHistorical[[#This Row],[PRO25]]=0, tblPiNHistorical[[#This Row],[PRO26]]="", tblPiNHistorical[[#This Row],[PRO26]]=0), "", tblPiNHistorical[[#This Row],[PRO26]]-tblPiNHistorical[[#This Row],[PRO25]])</f>
        <v>21902.044839540533</v>
      </c>
      <c r="Z255" s="223" t="str">
        <f>IF(OR(tblPiNHistorical[[#This Row],[ASH25]]="", tblPiNHistorical[[#This Row],[ASH25]]=0, tblPiNHistorical[[#This Row],[ASH26]]="", tblPiNHistorical[[#This Row],[ASH26]]=0), "", tblPiNHistorical[[#This Row],[ASH26]]-tblPiNHistorical[[#This Row],[ASH25]])</f>
        <v/>
      </c>
      <c r="AA25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2.1</v>
      </c>
      <c r="AB25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8</v>
      </c>
      <c r="AC25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13.9</v>
      </c>
      <c r="AD25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20.8</v>
      </c>
      <c r="AE25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6.1</v>
      </c>
      <c r="AF25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56" spans="1:32">
      <c r="A25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VenezolanosVE2003</v>
      </c>
      <c r="B256" s="105" t="s">
        <v>589</v>
      </c>
      <c r="C256" s="104" t="s">
        <v>590</v>
      </c>
      <c r="D256" s="119" t="s">
        <v>595</v>
      </c>
      <c r="E256" s="104" t="s">
        <v>596</v>
      </c>
      <c r="F256" s="119"/>
      <c r="G256" s="102">
        <v>59335</v>
      </c>
      <c r="H256" s="102" t="s">
        <v>102</v>
      </c>
      <c r="I256" s="206">
        <v>7911</v>
      </c>
      <c r="J256" s="120">
        <v>2383</v>
      </c>
      <c r="K256" s="207">
        <v>15448.453091447353</v>
      </c>
      <c r="L256" s="207">
        <v>3584.2729065486433</v>
      </c>
      <c r="M256" s="207">
        <v>10837.523798463702</v>
      </c>
      <c r="N256" s="298">
        <v>0</v>
      </c>
      <c r="O256" s="114">
        <f>tblPiNAnalysis[[#This Row],[SAMV]]</f>
        <v>9408</v>
      </c>
      <c r="P256" s="115">
        <f>tblPiNAnalysis[[#This Row],[NUT]]</f>
        <v>6357.5386841085128</v>
      </c>
      <c r="Q256" s="115">
        <f>tblPiNAnalysis[[#This Row],[SAL]]</f>
        <v>65773</v>
      </c>
      <c r="R256" s="115">
        <f>tblPiNAnalysis[[#This Row],[EDU]]</f>
        <v>25902.874823037222</v>
      </c>
      <c r="S256" s="115">
        <f>tblPiNAnalysis[[#This Row],[PRO]]</f>
        <v>42952.455634489117</v>
      </c>
      <c r="T256" s="116">
        <f>tblPiNAnalysis[[#This Row],[ASH]]</f>
        <v>0</v>
      </c>
      <c r="U256" s="300">
        <f>IF(OR(tblPiNHistorical[[#This Row],[SAMV25]]="", tblPiNHistorical[[#This Row],[SAMV25]]=0, tblPiNHistorical[[#This Row],[SAMV26]]="", tblPiNHistorical[[#This Row],[SAMV26]]=0), "", tblPiNHistorical[[#This Row],[SAMV26]]-tblPiNHistorical[[#This Row],[SAMV25]])</f>
        <v>1497</v>
      </c>
      <c r="V256" s="121">
        <f>IF(OR(tblPiNHistorical[[#This Row],[NUT25]]="", tblPiNHistorical[[#This Row],[NUT25]]=0, tblPiNHistorical[[#This Row],[NUT26]]="", tblPiNHistorical[[#This Row],[NUT26]]=0), "", tblPiNHistorical[[#This Row],[NUT26]]-tblPiNHistorical[[#This Row],[NUT25]])</f>
        <v>3974.5386841085128</v>
      </c>
      <c r="W256" s="121">
        <f>IF(OR(tblPiNHistorical[[#This Row],[SAL25]]="", tblPiNHistorical[[#This Row],[SAL25]]=0, tblPiNHistorical[[#This Row],[SAL26]]="", tblPiNHistorical[[#This Row],[SAL26]]=0), "", tblPiNHistorical[[#This Row],[SAL26]]-tblPiNHistorical[[#This Row],[SAL25]])</f>
        <v>50324.546908552649</v>
      </c>
      <c r="X256" s="121">
        <f>IF(OR(tblPiNHistorical[[#This Row],[EDU25]]="", tblPiNHistorical[[#This Row],[EDU25]]=0, tblPiNHistorical[[#This Row],[EDU26]]="", tblPiNHistorical[[#This Row],[EDU26]]=0), "", tblPiNHistorical[[#This Row],[EDU26]]-tblPiNHistorical[[#This Row],[EDU25]])</f>
        <v>22318.60191648858</v>
      </c>
      <c r="Y256" s="121">
        <f>IF(OR(tblPiNHistorical[[#This Row],[PRO25]]="", tblPiNHistorical[[#This Row],[PRO25]]=0, tblPiNHistorical[[#This Row],[PRO26]]="", tblPiNHistorical[[#This Row],[PRO26]]=0), "", tblPiNHistorical[[#This Row],[PRO26]]-tblPiNHistorical[[#This Row],[PRO25]])</f>
        <v>32114.931836025415</v>
      </c>
      <c r="Z256" s="223" t="str">
        <f>IF(OR(tblPiNHistorical[[#This Row],[ASH25]]="", tblPiNHistorical[[#This Row],[ASH25]]=0, tblPiNHistorical[[#This Row],[ASH26]]="", tblPiNHistorical[[#This Row],[ASH26]]=0), "", tblPiNHistorical[[#This Row],[ASH26]]-tblPiNHistorical[[#This Row],[ASH25]])</f>
        <v/>
      </c>
      <c r="AA25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25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1.7</v>
      </c>
      <c r="AC25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3.3</v>
      </c>
      <c r="AD25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6.2</v>
      </c>
      <c r="AE25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3</v>
      </c>
      <c r="AF25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57" spans="1:32">
      <c r="A25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VenezolanosVE2004</v>
      </c>
      <c r="B257" s="105" t="s">
        <v>589</v>
      </c>
      <c r="C257" s="104" t="s">
        <v>590</v>
      </c>
      <c r="D257" s="119" t="s">
        <v>180</v>
      </c>
      <c r="E257" s="104" t="s">
        <v>597</v>
      </c>
      <c r="F257" s="119"/>
      <c r="G257" s="102">
        <v>61630</v>
      </c>
      <c r="H257" s="102" t="s">
        <v>102</v>
      </c>
      <c r="I257" s="206">
        <v>8217</v>
      </c>
      <c r="J257" s="120">
        <v>5662</v>
      </c>
      <c r="K257" s="207">
        <v>16045.901604411873</v>
      </c>
      <c r="L257" s="207">
        <v>4250.7360174728919</v>
      </c>
      <c r="M257" s="207">
        <v>10837.523798463702</v>
      </c>
      <c r="N257" s="298">
        <v>0</v>
      </c>
      <c r="O257" s="114">
        <f>tblPiNAnalysis[[#This Row],[SAMV]]</f>
        <v>16022</v>
      </c>
      <c r="P257" s="115">
        <f>tblPiNAnalysis[[#This Row],[NUT]]</f>
        <v>7038.7984495794626</v>
      </c>
      <c r="Q257" s="115">
        <f>tblPiNAnalysis[[#This Row],[SAL]]</f>
        <v>62017.88</v>
      </c>
      <c r="R257" s="115">
        <f>tblPiNAnalysis[[#This Row],[EDU]]</f>
        <v>20993.755731756064</v>
      </c>
      <c r="S257" s="115">
        <f>tblPiNAnalysis[[#This Row],[PRO]]</f>
        <v>40500.208888830828</v>
      </c>
      <c r="T257" s="116">
        <f>tblPiNAnalysis[[#This Row],[ASH]]</f>
        <v>0</v>
      </c>
      <c r="U257" s="300">
        <f>IF(OR(tblPiNHistorical[[#This Row],[SAMV25]]="", tblPiNHistorical[[#This Row],[SAMV25]]=0, tblPiNHistorical[[#This Row],[SAMV26]]="", tblPiNHistorical[[#This Row],[SAMV26]]=0), "", tblPiNHistorical[[#This Row],[SAMV26]]-tblPiNHistorical[[#This Row],[SAMV25]])</f>
        <v>7805</v>
      </c>
      <c r="V257" s="121">
        <f>IF(OR(tblPiNHistorical[[#This Row],[NUT25]]="", tblPiNHistorical[[#This Row],[NUT25]]=0, tblPiNHistorical[[#This Row],[NUT26]]="", tblPiNHistorical[[#This Row],[NUT26]]=0), "", tblPiNHistorical[[#This Row],[NUT26]]-tblPiNHistorical[[#This Row],[NUT25]])</f>
        <v>1376.7984495794626</v>
      </c>
      <c r="W257" s="121">
        <f>IF(OR(tblPiNHistorical[[#This Row],[SAL25]]="", tblPiNHistorical[[#This Row],[SAL25]]=0, tblPiNHistorical[[#This Row],[SAL26]]="", tblPiNHistorical[[#This Row],[SAL26]]=0), "", tblPiNHistorical[[#This Row],[SAL26]]-tblPiNHistorical[[#This Row],[SAL25]])</f>
        <v>45971.978395588128</v>
      </c>
      <c r="X257" s="121">
        <f>IF(OR(tblPiNHistorical[[#This Row],[EDU25]]="", tblPiNHistorical[[#This Row],[EDU25]]=0, tblPiNHistorical[[#This Row],[EDU26]]="", tblPiNHistorical[[#This Row],[EDU26]]=0), "", tblPiNHistorical[[#This Row],[EDU26]]-tblPiNHistorical[[#This Row],[EDU25]])</f>
        <v>16743.019714283171</v>
      </c>
      <c r="Y257" s="121">
        <f>IF(OR(tblPiNHistorical[[#This Row],[PRO25]]="", tblPiNHistorical[[#This Row],[PRO25]]=0, tblPiNHistorical[[#This Row],[PRO26]]="", tblPiNHistorical[[#This Row],[PRO26]]=0), "", tblPiNHistorical[[#This Row],[PRO26]]-tblPiNHistorical[[#This Row],[PRO25]])</f>
        <v>29662.685090367126</v>
      </c>
      <c r="Z257" s="223" t="str">
        <f>IF(OR(tblPiNHistorical[[#This Row],[ASH25]]="", tblPiNHistorical[[#This Row],[ASH25]]=0, tblPiNHistorical[[#This Row],[ASH26]]="", tblPiNHistorical[[#This Row],[ASH26]]=0), "", tblPiNHistorical[[#This Row],[ASH26]]-tblPiNHistorical[[#This Row],[ASH25]])</f>
        <v/>
      </c>
      <c r="AA25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5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25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2.9</v>
      </c>
      <c r="AD25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3.9</v>
      </c>
      <c r="AE25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2.7</v>
      </c>
      <c r="AF25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58" spans="1:32">
      <c r="A25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VenezolanosVE2005</v>
      </c>
      <c r="B258" s="105" t="s">
        <v>589</v>
      </c>
      <c r="C258" s="104" t="s">
        <v>590</v>
      </c>
      <c r="D258" s="119" t="s">
        <v>598</v>
      </c>
      <c r="E258" s="104" t="s">
        <v>599</v>
      </c>
      <c r="F258" s="119"/>
      <c r="G258" s="102">
        <v>122053</v>
      </c>
      <c r="H258" s="102" t="s">
        <v>102</v>
      </c>
      <c r="I258" s="206">
        <v>16274</v>
      </c>
      <c r="J258" s="120">
        <v>4469</v>
      </c>
      <c r="K258" s="207">
        <v>31777.721652256991</v>
      </c>
      <c r="L258" s="207">
        <v>5858.6487209167281</v>
      </c>
      <c r="M258" s="207">
        <v>7881.8354897917834</v>
      </c>
      <c r="N258" s="298">
        <v>0</v>
      </c>
      <c r="O258" s="114">
        <f>tblPiNAnalysis[[#This Row],[SAMV]]</f>
        <v>7272</v>
      </c>
      <c r="P258" s="115">
        <f>tblPiNAnalysis[[#This Row],[NUT]]</f>
        <v>1225.5224837356045</v>
      </c>
      <c r="Q258" s="115">
        <f>tblPiNAnalysis[[#This Row],[SAL]]</f>
        <v>10858.385</v>
      </c>
      <c r="R258" s="115">
        <f>tblPiNAnalysis[[#This Row],[EDU]]</f>
        <v>3570.2601250770635</v>
      </c>
      <c r="S258" s="115">
        <f>tblPiNAnalysis[[#This Row],[PRO]]</f>
        <v>5909.1407818646749</v>
      </c>
      <c r="T258" s="116">
        <f>tblPiNAnalysis[[#This Row],[ASH]]</f>
        <v>0</v>
      </c>
      <c r="U258" s="300">
        <f>IF(OR(tblPiNHistorical[[#This Row],[SAMV25]]="", tblPiNHistorical[[#This Row],[SAMV25]]=0, tblPiNHistorical[[#This Row],[SAMV26]]="", tblPiNHistorical[[#This Row],[SAMV26]]=0), "", tblPiNHistorical[[#This Row],[SAMV26]]-tblPiNHistorical[[#This Row],[SAMV25]])</f>
        <v>-9002</v>
      </c>
      <c r="V258" s="121">
        <f>IF(OR(tblPiNHistorical[[#This Row],[NUT25]]="", tblPiNHistorical[[#This Row],[NUT25]]=0, tblPiNHistorical[[#This Row],[NUT26]]="", tblPiNHistorical[[#This Row],[NUT26]]=0), "", tblPiNHistorical[[#This Row],[NUT26]]-tblPiNHistorical[[#This Row],[NUT25]])</f>
        <v>-3243.4775162643955</v>
      </c>
      <c r="W258" s="121">
        <f>IF(OR(tblPiNHistorical[[#This Row],[SAL25]]="", tblPiNHistorical[[#This Row],[SAL25]]=0, tblPiNHistorical[[#This Row],[SAL26]]="", tblPiNHistorical[[#This Row],[SAL26]]=0), "", tblPiNHistorical[[#This Row],[SAL26]]-tblPiNHistorical[[#This Row],[SAL25]])</f>
        <v>-20919.336652256992</v>
      </c>
      <c r="X258" s="121">
        <f>IF(OR(tblPiNHistorical[[#This Row],[EDU25]]="", tblPiNHistorical[[#This Row],[EDU25]]=0, tblPiNHistorical[[#This Row],[EDU26]]="", tblPiNHistorical[[#This Row],[EDU26]]=0), "", tblPiNHistorical[[#This Row],[EDU26]]-tblPiNHistorical[[#This Row],[EDU25]])</f>
        <v>-2288.3885958396645</v>
      </c>
      <c r="Y258" s="121">
        <f>IF(OR(tblPiNHistorical[[#This Row],[PRO25]]="", tblPiNHistorical[[#This Row],[PRO25]]=0, tblPiNHistorical[[#This Row],[PRO26]]="", tblPiNHistorical[[#This Row],[PRO26]]=0), "", tblPiNHistorical[[#This Row],[PRO26]]-tblPiNHistorical[[#This Row],[PRO25]])</f>
        <v>-1972.6947079271085</v>
      </c>
      <c r="Z258" s="223" t="str">
        <f>IF(OR(tblPiNHistorical[[#This Row],[ASH25]]="", tblPiNHistorical[[#This Row],[ASH25]]=0, tblPiNHistorical[[#This Row],[ASH26]]="", tblPiNHistorical[[#This Row],[ASH26]]=0), "", tblPiNHistorical[[#This Row],[ASH26]]-tblPiNHistorical[[#This Row],[ASH25]])</f>
        <v/>
      </c>
      <c r="AA25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25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25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25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25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-0.3</v>
      </c>
      <c r="AF25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59" spans="1:32">
      <c r="A25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VenezolanosVE2006</v>
      </c>
      <c r="B259" s="105" t="s">
        <v>589</v>
      </c>
      <c r="C259" s="104" t="s">
        <v>590</v>
      </c>
      <c r="D259" s="119" t="s">
        <v>600</v>
      </c>
      <c r="E259" s="104" t="s">
        <v>601</v>
      </c>
      <c r="F259" s="119"/>
      <c r="G259" s="102">
        <v>33124</v>
      </c>
      <c r="H259" s="102" t="s">
        <v>102</v>
      </c>
      <c r="I259" s="206">
        <v>4417</v>
      </c>
      <c r="J259" s="120">
        <v>1316</v>
      </c>
      <c r="K259" s="207">
        <v>8623.8670926088871</v>
      </c>
      <c r="L259" s="207">
        <v>1953.2767697515703</v>
      </c>
      <c r="M259" s="207">
        <v>7881.8354897917834</v>
      </c>
      <c r="N259" s="298">
        <v>0</v>
      </c>
      <c r="O259" s="114">
        <f>tblPiNAnalysis[[#This Row],[SAMV]]</f>
        <v>5518</v>
      </c>
      <c r="P259" s="115">
        <f>tblPiNAnalysis[[#This Row],[NUT]]</f>
        <v>1062.1235955794591</v>
      </c>
      <c r="Q259" s="115">
        <f>tblPiNAnalysis[[#This Row],[SAL]]</f>
        <v>9295.82</v>
      </c>
      <c r="R259" s="115">
        <f>tblPiNAnalysis[[#This Row],[EDU]]</f>
        <v>3731.5934749367134</v>
      </c>
      <c r="S259" s="115">
        <f>tblPiNAnalysis[[#This Row],[PRO]]</f>
        <v>5058.7918058600098</v>
      </c>
      <c r="T259" s="116">
        <f>tblPiNAnalysis[[#This Row],[ASH]]</f>
        <v>0</v>
      </c>
      <c r="U259" s="300">
        <f>IF(OR(tblPiNHistorical[[#This Row],[SAMV25]]="", tblPiNHistorical[[#This Row],[SAMV25]]=0, tblPiNHistorical[[#This Row],[SAMV26]]="", tblPiNHistorical[[#This Row],[SAMV26]]=0), "", tblPiNHistorical[[#This Row],[SAMV26]]-tblPiNHistorical[[#This Row],[SAMV25]])</f>
        <v>1101</v>
      </c>
      <c r="V259" s="121">
        <f>IF(OR(tblPiNHistorical[[#This Row],[NUT25]]="", tblPiNHistorical[[#This Row],[NUT25]]=0, tblPiNHistorical[[#This Row],[NUT26]]="", tblPiNHistorical[[#This Row],[NUT26]]=0), "", tblPiNHistorical[[#This Row],[NUT26]]-tblPiNHistorical[[#This Row],[NUT25]])</f>
        <v>-253.87640442054089</v>
      </c>
      <c r="W259" s="121">
        <f>IF(OR(tblPiNHistorical[[#This Row],[SAL25]]="", tblPiNHistorical[[#This Row],[SAL25]]=0, tblPiNHistorical[[#This Row],[SAL26]]="", tblPiNHistorical[[#This Row],[SAL26]]=0), "", tblPiNHistorical[[#This Row],[SAL26]]-tblPiNHistorical[[#This Row],[SAL25]])</f>
        <v>671.9529073911126</v>
      </c>
      <c r="X259" s="121">
        <f>IF(OR(tblPiNHistorical[[#This Row],[EDU25]]="", tblPiNHistorical[[#This Row],[EDU25]]=0, tblPiNHistorical[[#This Row],[EDU26]]="", tblPiNHistorical[[#This Row],[EDU26]]=0), "", tblPiNHistorical[[#This Row],[EDU26]]-tblPiNHistorical[[#This Row],[EDU25]])</f>
        <v>1778.3167051851431</v>
      </c>
      <c r="Y259" s="121">
        <f>IF(OR(tblPiNHistorical[[#This Row],[PRO25]]="", tblPiNHistorical[[#This Row],[PRO25]]=0, tblPiNHistorical[[#This Row],[PRO26]]="", tblPiNHistorical[[#This Row],[PRO26]]=0), "", tblPiNHistorical[[#This Row],[PRO26]]-tblPiNHistorical[[#This Row],[PRO25]])</f>
        <v>-2823.0436839317736</v>
      </c>
      <c r="Z259" s="223" t="str">
        <f>IF(OR(tblPiNHistorical[[#This Row],[ASH25]]="", tblPiNHistorical[[#This Row],[ASH25]]=0, tblPiNHistorical[[#This Row],[ASH26]]="", tblPiNHistorical[[#This Row],[ASH26]]=0), "", tblPiNHistorical[[#This Row],[ASH26]]-tblPiNHistorical[[#This Row],[ASH25]])</f>
        <v/>
      </c>
      <c r="AA25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25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25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25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25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25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60" spans="1:32">
      <c r="A26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VenezolanosVE2007</v>
      </c>
      <c r="B260" s="105" t="s">
        <v>589</v>
      </c>
      <c r="C260" s="104" t="s">
        <v>590</v>
      </c>
      <c r="D260" s="119" t="s">
        <v>602</v>
      </c>
      <c r="E260" s="104" t="s">
        <v>603</v>
      </c>
      <c r="F260" s="119"/>
      <c r="G260" s="102">
        <v>45891</v>
      </c>
      <c r="H260" s="102" t="s">
        <v>102</v>
      </c>
      <c r="I260" s="206">
        <v>6119</v>
      </c>
      <c r="J260" s="120">
        <v>2005</v>
      </c>
      <c r="K260" s="207">
        <v>11947.979465736509</v>
      </c>
      <c r="L260" s="207">
        <v>3947.3349946046551</v>
      </c>
      <c r="M260" s="207">
        <v>10837.523798463702</v>
      </c>
      <c r="N260" s="298">
        <v>0</v>
      </c>
      <c r="O260" s="114">
        <f>tblPiNAnalysis[[#This Row],[SAMV]]</f>
        <v>6373</v>
      </c>
      <c r="P260" s="115">
        <f>tblPiNAnalysis[[#This Row],[NUT]]</f>
        <v>7704.3234166661578</v>
      </c>
      <c r="Q260" s="115">
        <f>tblPiNAnalysis[[#This Row],[SAL]]</f>
        <v>58761.714999999997</v>
      </c>
      <c r="R260" s="115">
        <f>tblPiNAnalysis[[#This Row],[EDU]]</f>
        <v>27407.382433939973</v>
      </c>
      <c r="S260" s="115">
        <f>tblPiNAnalysis[[#This Row],[PRO]]</f>
        <v>38373.800139023515</v>
      </c>
      <c r="T260" s="116">
        <f>tblPiNAnalysis[[#This Row],[ASH]]</f>
        <v>0</v>
      </c>
      <c r="U260" s="300">
        <f>IF(OR(tblPiNHistorical[[#This Row],[SAMV25]]="", tblPiNHistorical[[#This Row],[SAMV25]]=0, tblPiNHistorical[[#This Row],[SAMV26]]="", tblPiNHistorical[[#This Row],[SAMV26]]=0), "", tblPiNHistorical[[#This Row],[SAMV26]]-tblPiNHistorical[[#This Row],[SAMV25]])</f>
        <v>254</v>
      </c>
      <c r="V260" s="121">
        <f>IF(OR(tblPiNHistorical[[#This Row],[NUT25]]="", tblPiNHistorical[[#This Row],[NUT25]]=0, tblPiNHistorical[[#This Row],[NUT26]]="", tblPiNHistorical[[#This Row],[NUT26]]=0), "", tblPiNHistorical[[#This Row],[NUT26]]-tblPiNHistorical[[#This Row],[NUT25]])</f>
        <v>5699.3234166661578</v>
      </c>
      <c r="W260" s="121">
        <f>IF(OR(tblPiNHistorical[[#This Row],[SAL25]]="", tblPiNHistorical[[#This Row],[SAL25]]=0, tblPiNHistorical[[#This Row],[SAL26]]="", tblPiNHistorical[[#This Row],[SAL26]]=0), "", tblPiNHistorical[[#This Row],[SAL26]]-tblPiNHistorical[[#This Row],[SAL25]])</f>
        <v>46813.735534263484</v>
      </c>
      <c r="X260" s="121">
        <f>IF(OR(tblPiNHistorical[[#This Row],[EDU25]]="", tblPiNHistorical[[#This Row],[EDU25]]=0, tblPiNHistorical[[#This Row],[EDU26]]="", tblPiNHistorical[[#This Row],[EDU26]]=0), "", tblPiNHistorical[[#This Row],[EDU26]]-tblPiNHistorical[[#This Row],[EDU25]])</f>
        <v>23460.047439335318</v>
      </c>
      <c r="Y260" s="121">
        <f>IF(OR(tblPiNHistorical[[#This Row],[PRO25]]="", tblPiNHistorical[[#This Row],[PRO25]]=0, tblPiNHistorical[[#This Row],[PRO26]]="", tblPiNHistorical[[#This Row],[PRO26]]=0), "", tblPiNHistorical[[#This Row],[PRO26]]-tblPiNHistorical[[#This Row],[PRO25]])</f>
        <v>27536.276340559813</v>
      </c>
      <c r="Z260" s="223" t="str">
        <f>IF(OR(tblPiNHistorical[[#This Row],[ASH25]]="", tblPiNHistorical[[#This Row],[ASH25]]=0, tblPiNHistorical[[#This Row],[ASH26]]="", tblPiNHistorical[[#This Row],[ASH26]]=0), "", tblPiNHistorical[[#This Row],[ASH26]]-tblPiNHistorical[[#This Row],[ASH25]])</f>
        <v/>
      </c>
      <c r="AA26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v>
      </c>
      <c r="AB26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2.8</v>
      </c>
      <c r="AC26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3.9</v>
      </c>
      <c r="AD26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5.9</v>
      </c>
      <c r="AE26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2.5</v>
      </c>
      <c r="AF26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61" spans="1:32">
      <c r="A26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VenezolanosVE2008</v>
      </c>
      <c r="B261" s="105" t="s">
        <v>589</v>
      </c>
      <c r="C261" s="104" t="s">
        <v>590</v>
      </c>
      <c r="D261" s="119" t="s">
        <v>129</v>
      </c>
      <c r="E261" s="104" t="s">
        <v>604</v>
      </c>
      <c r="F261" s="119"/>
      <c r="G261" s="102">
        <v>4127</v>
      </c>
      <c r="H261" s="102" t="s">
        <v>102</v>
      </c>
      <c r="I261" s="206">
        <v>550</v>
      </c>
      <c r="J261" s="120">
        <v>176</v>
      </c>
      <c r="K261" s="207">
        <v>1074.0202123607576</v>
      </c>
      <c r="L261" s="207">
        <v>290.53162563748481</v>
      </c>
      <c r="M261" s="207">
        <v>1467.2614818395798</v>
      </c>
      <c r="N261" s="298">
        <v>0</v>
      </c>
      <c r="O261" s="114">
        <f>tblPiNAnalysis[[#This Row],[SAMV]]</f>
        <v>16330</v>
      </c>
      <c r="P261" s="115">
        <f>tblPiNAnalysis[[#This Row],[NUT]]</f>
        <v>8367.4211679149848</v>
      </c>
      <c r="Q261" s="115">
        <f>tblPiNAnalysis[[#This Row],[SAL]]</f>
        <v>68117.03</v>
      </c>
      <c r="R261" s="115">
        <f>tblPiNAnalysis[[#This Row],[EDU]]</f>
        <v>25367.005990331818</v>
      </c>
      <c r="S261" s="115">
        <f>tblPiNAnalysis[[#This Row],[PRO]]</f>
        <v>44483.202971252096</v>
      </c>
      <c r="T261" s="116">
        <f>tblPiNAnalysis[[#This Row],[ASH]]</f>
        <v>0</v>
      </c>
      <c r="U261" s="300">
        <f>IF(OR(tblPiNHistorical[[#This Row],[SAMV25]]="", tblPiNHistorical[[#This Row],[SAMV25]]=0, tblPiNHistorical[[#This Row],[SAMV26]]="", tblPiNHistorical[[#This Row],[SAMV26]]=0), "", tblPiNHistorical[[#This Row],[SAMV26]]-tblPiNHistorical[[#This Row],[SAMV25]])</f>
        <v>15780</v>
      </c>
      <c r="V261" s="121">
        <f>IF(OR(tblPiNHistorical[[#This Row],[NUT25]]="", tblPiNHistorical[[#This Row],[NUT25]]=0, tblPiNHistorical[[#This Row],[NUT26]]="", tblPiNHistorical[[#This Row],[NUT26]]=0), "", tblPiNHistorical[[#This Row],[NUT26]]-tblPiNHistorical[[#This Row],[NUT25]])</f>
        <v>8191.4211679149848</v>
      </c>
      <c r="W261" s="121">
        <f>IF(OR(tblPiNHistorical[[#This Row],[SAL25]]="", tblPiNHistorical[[#This Row],[SAL25]]=0, tblPiNHistorical[[#This Row],[SAL26]]="", tblPiNHistorical[[#This Row],[SAL26]]=0), "", tblPiNHistorical[[#This Row],[SAL26]]-tblPiNHistorical[[#This Row],[SAL25]])</f>
        <v>67043.009787639239</v>
      </c>
      <c r="X261" s="121">
        <f>IF(OR(tblPiNHistorical[[#This Row],[EDU25]]="", tblPiNHistorical[[#This Row],[EDU25]]=0, tblPiNHistorical[[#This Row],[EDU26]]="", tblPiNHistorical[[#This Row],[EDU26]]=0), "", tblPiNHistorical[[#This Row],[EDU26]]-tblPiNHistorical[[#This Row],[EDU25]])</f>
        <v>25076.474364694332</v>
      </c>
      <c r="Y261" s="121">
        <f>IF(OR(tblPiNHistorical[[#This Row],[PRO25]]="", tblPiNHistorical[[#This Row],[PRO25]]=0, tblPiNHistorical[[#This Row],[PRO26]]="", tblPiNHistorical[[#This Row],[PRO26]]=0), "", tblPiNHistorical[[#This Row],[PRO26]]-tblPiNHistorical[[#This Row],[PRO25]])</f>
        <v>43015.941489412515</v>
      </c>
      <c r="Z261" s="223" t="str">
        <f>IF(OR(tblPiNHistorical[[#This Row],[ASH25]]="", tblPiNHistorical[[#This Row],[ASH25]]=0, tblPiNHistorical[[#This Row],[ASH26]]="", tblPiNHistorical[[#This Row],[ASH26]]=0), "", tblPiNHistorical[[#This Row],[ASH26]]-tblPiNHistorical[[#This Row],[ASH25]])</f>
        <v/>
      </c>
      <c r="AA26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28.7</v>
      </c>
      <c r="AB26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46.5</v>
      </c>
      <c r="AC26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62.4</v>
      </c>
      <c r="AD26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86.3</v>
      </c>
      <c r="AE26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29.3</v>
      </c>
      <c r="AF26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62" spans="1:32">
      <c r="A26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VenezolanosVE2009</v>
      </c>
      <c r="B262" s="105" t="s">
        <v>589</v>
      </c>
      <c r="C262" s="104" t="s">
        <v>590</v>
      </c>
      <c r="D262" s="119" t="s">
        <v>605</v>
      </c>
      <c r="E262" s="104" t="s">
        <v>606</v>
      </c>
      <c r="F262" s="119"/>
      <c r="G262" s="102">
        <v>48476</v>
      </c>
      <c r="H262" s="102" t="s">
        <v>102</v>
      </c>
      <c r="I262" s="206">
        <v>6463</v>
      </c>
      <c r="J262" s="120">
        <v>2226</v>
      </c>
      <c r="K262" s="207">
        <v>12620.728288792739</v>
      </c>
      <c r="L262" s="207">
        <v>4423.3404519992746</v>
      </c>
      <c r="M262" s="207">
        <v>7881.8354897917834</v>
      </c>
      <c r="N262" s="298">
        <v>9695</v>
      </c>
      <c r="O262" s="114">
        <f>tblPiNAnalysis[[#This Row],[SAMV]]</f>
        <v>3885</v>
      </c>
      <c r="P262" s="115">
        <f>tblPiNAnalysis[[#This Row],[NUT]]</f>
        <v>2979.6105942653098</v>
      </c>
      <c r="Q262" s="115">
        <f>tblPiNAnalysis[[#This Row],[SAL]]</f>
        <v>34808.955000000002</v>
      </c>
      <c r="R262" s="115">
        <f>tblPiNAnalysis[[#This Row],[EDU]]</f>
        <v>14705.995417972239</v>
      </c>
      <c r="S262" s="115">
        <f>tblPiNAnalysis[[#This Row],[PRO]]</f>
        <v>22731.669458903019</v>
      </c>
      <c r="T262" s="116">
        <f>tblPiNAnalysis[[#This Row],[ASH]]</f>
        <v>0</v>
      </c>
      <c r="U262" s="300">
        <f>IF(OR(tblPiNHistorical[[#This Row],[SAMV25]]="", tblPiNHistorical[[#This Row],[SAMV25]]=0, tblPiNHistorical[[#This Row],[SAMV26]]="", tblPiNHistorical[[#This Row],[SAMV26]]=0), "", tblPiNHistorical[[#This Row],[SAMV26]]-tblPiNHistorical[[#This Row],[SAMV25]])</f>
        <v>-2578</v>
      </c>
      <c r="V262" s="121">
        <f>IF(OR(tblPiNHistorical[[#This Row],[NUT25]]="", tblPiNHistorical[[#This Row],[NUT25]]=0, tblPiNHistorical[[#This Row],[NUT26]]="", tblPiNHistorical[[#This Row],[NUT26]]=0), "", tblPiNHistorical[[#This Row],[NUT26]]-tblPiNHistorical[[#This Row],[NUT25]])</f>
        <v>753.61059426530983</v>
      </c>
      <c r="W262" s="121">
        <f>IF(OR(tblPiNHistorical[[#This Row],[SAL25]]="", tblPiNHistorical[[#This Row],[SAL25]]=0, tblPiNHistorical[[#This Row],[SAL26]]="", tblPiNHistorical[[#This Row],[SAL26]]=0), "", tblPiNHistorical[[#This Row],[SAL26]]-tblPiNHistorical[[#This Row],[SAL25]])</f>
        <v>22188.226711207262</v>
      </c>
      <c r="X262" s="121">
        <f>IF(OR(tblPiNHistorical[[#This Row],[EDU25]]="", tblPiNHistorical[[#This Row],[EDU25]]=0, tblPiNHistorical[[#This Row],[EDU26]]="", tblPiNHistorical[[#This Row],[EDU26]]=0), "", tblPiNHistorical[[#This Row],[EDU26]]-tblPiNHistorical[[#This Row],[EDU25]])</f>
        <v>10282.654965972964</v>
      </c>
      <c r="Y262" s="121">
        <f>IF(OR(tblPiNHistorical[[#This Row],[PRO25]]="", tblPiNHistorical[[#This Row],[PRO25]]=0, tblPiNHistorical[[#This Row],[PRO26]]="", tblPiNHistorical[[#This Row],[PRO26]]=0), "", tblPiNHistorical[[#This Row],[PRO26]]-tblPiNHistorical[[#This Row],[PRO25]])</f>
        <v>14849.833969111236</v>
      </c>
      <c r="Z262" s="223" t="str">
        <f>IF(OR(tblPiNHistorical[[#This Row],[ASH25]]="", tblPiNHistorical[[#This Row],[ASH25]]=0, tblPiNHistorical[[#This Row],[ASH26]]="", tblPiNHistorical[[#This Row],[ASH26]]=0), "", tblPiNHistorical[[#This Row],[ASH26]]-tblPiNHistorical[[#This Row],[ASH25]])</f>
        <v/>
      </c>
      <c r="AA26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26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0.3</v>
      </c>
      <c r="AC26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1.8</v>
      </c>
      <c r="AD26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2.2999999999999998</v>
      </c>
      <c r="AE26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1.9</v>
      </c>
      <c r="AF26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9695</v>
      </c>
    </row>
    <row r="263" spans="1:32">
      <c r="A26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VenezolanosVE2010</v>
      </c>
      <c r="B263" s="105" t="s">
        <v>589</v>
      </c>
      <c r="C263" s="104" t="s">
        <v>590</v>
      </c>
      <c r="D263" s="119" t="s">
        <v>607</v>
      </c>
      <c r="E263" s="104" t="s">
        <v>608</v>
      </c>
      <c r="F263" s="119"/>
      <c r="G263" s="102">
        <v>43236</v>
      </c>
      <c r="H263" s="102" t="s">
        <v>102</v>
      </c>
      <c r="I263" s="206">
        <v>5765</v>
      </c>
      <c r="J263" s="120">
        <v>1530</v>
      </c>
      <c r="K263" s="207">
        <v>11256.405565157349</v>
      </c>
      <c r="L263" s="207">
        <v>2087.8324000947478</v>
      </c>
      <c r="M263" s="207">
        <v>7881.8354897917834</v>
      </c>
      <c r="N263" s="298">
        <v>0</v>
      </c>
      <c r="O263" s="114">
        <f>tblPiNAnalysis[[#This Row],[SAMV]]</f>
        <v>4857</v>
      </c>
      <c r="P263" s="115">
        <f>tblPiNAnalysis[[#This Row],[NUT]]</f>
        <v>2247.6550118364421</v>
      </c>
      <c r="Q263" s="115">
        <f>tblPiNAnalysis[[#This Row],[SAL]]</f>
        <v>23934.875</v>
      </c>
      <c r="R263" s="115">
        <f>tblPiNAnalysis[[#This Row],[EDU]]</f>
        <v>9984.748005802081</v>
      </c>
      <c r="S263" s="115">
        <f>tblPiNAnalysis[[#This Row],[PRO]]</f>
        <v>15630.451044570606</v>
      </c>
      <c r="T263" s="116">
        <f>tblPiNAnalysis[[#This Row],[ASH]]</f>
        <v>0</v>
      </c>
      <c r="U263" s="300">
        <f>IF(OR(tblPiNHistorical[[#This Row],[SAMV25]]="", tblPiNHistorical[[#This Row],[SAMV25]]=0, tblPiNHistorical[[#This Row],[SAMV26]]="", tblPiNHistorical[[#This Row],[SAMV26]]=0), "", tblPiNHistorical[[#This Row],[SAMV26]]-tblPiNHistorical[[#This Row],[SAMV25]])</f>
        <v>-908</v>
      </c>
      <c r="V263" s="121">
        <f>IF(OR(tblPiNHistorical[[#This Row],[NUT25]]="", tblPiNHistorical[[#This Row],[NUT25]]=0, tblPiNHistorical[[#This Row],[NUT26]]="", tblPiNHistorical[[#This Row],[NUT26]]=0), "", tblPiNHistorical[[#This Row],[NUT26]]-tblPiNHistorical[[#This Row],[NUT25]])</f>
        <v>717.6550118364421</v>
      </c>
      <c r="W263" s="121">
        <f>IF(OR(tblPiNHistorical[[#This Row],[SAL25]]="", tblPiNHistorical[[#This Row],[SAL25]]=0, tblPiNHistorical[[#This Row],[SAL26]]="", tblPiNHistorical[[#This Row],[SAL26]]=0), "", tblPiNHistorical[[#This Row],[SAL26]]-tblPiNHistorical[[#This Row],[SAL25]])</f>
        <v>12678.469434842651</v>
      </c>
      <c r="X263" s="121">
        <f>IF(OR(tblPiNHistorical[[#This Row],[EDU25]]="", tblPiNHistorical[[#This Row],[EDU25]]=0, tblPiNHistorical[[#This Row],[EDU26]]="", tblPiNHistorical[[#This Row],[EDU26]]=0), "", tblPiNHistorical[[#This Row],[EDU26]]-tblPiNHistorical[[#This Row],[EDU25]])</f>
        <v>7896.9156057073333</v>
      </c>
      <c r="Y263" s="121">
        <f>IF(OR(tblPiNHistorical[[#This Row],[PRO25]]="", tblPiNHistorical[[#This Row],[PRO25]]=0, tblPiNHistorical[[#This Row],[PRO26]]="", tblPiNHistorical[[#This Row],[PRO26]]=0), "", tblPiNHistorical[[#This Row],[PRO26]]-tblPiNHistorical[[#This Row],[PRO25]])</f>
        <v>7748.6155547788221</v>
      </c>
      <c r="Z263" s="223" t="str">
        <f>IF(OR(tblPiNHistorical[[#This Row],[ASH25]]="", tblPiNHistorical[[#This Row],[ASH25]]=0, tblPiNHistorical[[#This Row],[ASH26]]="", tblPiNHistorical[[#This Row],[ASH26]]=0), "", tblPiNHistorical[[#This Row],[ASH26]]-tblPiNHistorical[[#This Row],[ASH25]])</f>
        <v/>
      </c>
      <c r="AA26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26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26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1.1000000000000001</v>
      </c>
      <c r="AD26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3.8</v>
      </c>
      <c r="AE26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26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64" spans="1:32">
      <c r="A26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VenezolanosVE2011</v>
      </c>
      <c r="B264" s="105" t="s">
        <v>589</v>
      </c>
      <c r="C264" s="104" t="s">
        <v>590</v>
      </c>
      <c r="D264" s="119" t="s">
        <v>133</v>
      </c>
      <c r="E264" s="104" t="s">
        <v>609</v>
      </c>
      <c r="F264" s="119"/>
      <c r="G264" s="102">
        <v>36964</v>
      </c>
      <c r="H264" s="102" t="s">
        <v>102</v>
      </c>
      <c r="I264" s="206">
        <v>4929</v>
      </c>
      <c r="J264" s="120">
        <v>1389</v>
      </c>
      <c r="K264" s="207">
        <v>9623.5777884317686</v>
      </c>
      <c r="L264" s="207">
        <v>1599.6379936542364</v>
      </c>
      <c r="M264" s="207">
        <v>7881.8354897917834</v>
      </c>
      <c r="N264" s="298">
        <v>0</v>
      </c>
      <c r="O264" s="114">
        <f>tblPiNAnalysis[[#This Row],[SAMV]]</f>
        <v>1613</v>
      </c>
      <c r="P264" s="115">
        <f>tblPiNAnalysis[[#This Row],[NUT]]</f>
        <v>697.61988669560958</v>
      </c>
      <c r="Q264" s="115">
        <f>tblPiNAnalysis[[#This Row],[SAL]]</f>
        <v>7700</v>
      </c>
      <c r="R264" s="115">
        <f>tblPiNAnalysis[[#This Row],[EDU]]</f>
        <v>429.39301219337653</v>
      </c>
      <c r="S264" s="115">
        <f>tblPiNAnalysis[[#This Row],[PRO]]</f>
        <v>4481.9202736243888</v>
      </c>
      <c r="T264" s="116">
        <f>tblPiNAnalysis[[#This Row],[ASH]]</f>
        <v>0</v>
      </c>
      <c r="U264" s="300">
        <f>IF(OR(tblPiNHistorical[[#This Row],[SAMV25]]="", tblPiNHistorical[[#This Row],[SAMV25]]=0, tblPiNHistorical[[#This Row],[SAMV26]]="", tblPiNHistorical[[#This Row],[SAMV26]]=0), "", tblPiNHistorical[[#This Row],[SAMV26]]-tblPiNHistorical[[#This Row],[SAMV25]])</f>
        <v>-3316</v>
      </c>
      <c r="V264" s="121">
        <f>IF(OR(tblPiNHistorical[[#This Row],[NUT25]]="", tblPiNHistorical[[#This Row],[NUT25]]=0, tblPiNHistorical[[#This Row],[NUT26]]="", tblPiNHistorical[[#This Row],[NUT26]]=0), "", tblPiNHistorical[[#This Row],[NUT26]]-tblPiNHistorical[[#This Row],[NUT25]])</f>
        <v>-691.38011330439042</v>
      </c>
      <c r="W264" s="121">
        <f>IF(OR(tblPiNHistorical[[#This Row],[SAL25]]="", tblPiNHistorical[[#This Row],[SAL25]]=0, tblPiNHistorical[[#This Row],[SAL26]]="", tblPiNHistorical[[#This Row],[SAL26]]=0), "", tblPiNHistorical[[#This Row],[SAL26]]-tblPiNHistorical[[#This Row],[SAL25]])</f>
        <v>-1923.5777884317686</v>
      </c>
      <c r="X264" s="121">
        <f>IF(OR(tblPiNHistorical[[#This Row],[EDU25]]="", tblPiNHistorical[[#This Row],[EDU25]]=0, tblPiNHistorical[[#This Row],[EDU26]]="", tblPiNHistorical[[#This Row],[EDU26]]=0), "", tblPiNHistorical[[#This Row],[EDU26]]-tblPiNHistorical[[#This Row],[EDU25]])</f>
        <v>-1170.2449814608599</v>
      </c>
      <c r="Y264" s="121">
        <f>IF(OR(tblPiNHistorical[[#This Row],[PRO25]]="", tblPiNHistorical[[#This Row],[PRO25]]=0, tblPiNHistorical[[#This Row],[PRO26]]="", tblPiNHistorical[[#This Row],[PRO26]]=0), "", tblPiNHistorical[[#This Row],[PRO26]]-tblPiNHistorical[[#This Row],[PRO25]])</f>
        <v>-3399.9152161673946</v>
      </c>
      <c r="Z264" s="223" t="str">
        <f>IF(OR(tblPiNHistorical[[#This Row],[ASH25]]="", tblPiNHistorical[[#This Row],[ASH25]]=0, tblPiNHistorical[[#This Row],[ASH26]]="", tblPiNHistorical[[#This Row],[ASH26]]=0), "", tblPiNHistorical[[#This Row],[ASH26]]-tblPiNHistorical[[#This Row],[ASH25]])</f>
        <v/>
      </c>
      <c r="AA26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-0.7</v>
      </c>
      <c r="AB26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26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26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26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26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65" spans="1:32">
      <c r="A26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VenezolanosVE2012</v>
      </c>
      <c r="B265" s="105" t="s">
        <v>589</v>
      </c>
      <c r="C265" s="104" t="s">
        <v>590</v>
      </c>
      <c r="D265" s="119" t="s">
        <v>610</v>
      </c>
      <c r="E265" s="104" t="s">
        <v>611</v>
      </c>
      <c r="F265" s="119"/>
      <c r="G265" s="102">
        <v>41000</v>
      </c>
      <c r="H265" s="102" t="s">
        <v>102</v>
      </c>
      <c r="I265" s="206">
        <v>5467</v>
      </c>
      <c r="J265" s="120">
        <v>1561</v>
      </c>
      <c r="K265" s="207">
        <v>10674.809749054244</v>
      </c>
      <c r="L265" s="207">
        <v>2848.6909792551487</v>
      </c>
      <c r="M265" s="207">
        <v>10837.523798463702</v>
      </c>
      <c r="N265" s="298">
        <v>0</v>
      </c>
      <c r="O265" s="114">
        <f>tblPiNAnalysis[[#This Row],[SAMV]]</f>
        <v>0</v>
      </c>
      <c r="P265" s="115">
        <f>tblPiNAnalysis[[#This Row],[NUT]]</f>
        <v>2746.9106472440089</v>
      </c>
      <c r="Q265" s="115">
        <f>tblPiNAnalysis[[#This Row],[SAL]]</f>
        <v>36460.945</v>
      </c>
      <c r="R265" s="115">
        <f>tblPiNAnalysis[[#This Row],[EDU]]</f>
        <v>6729.1439243947816</v>
      </c>
      <c r="S265" s="115">
        <f>tblPiNAnalysis[[#This Row],[PRO]]</f>
        <v>25705.486702254173</v>
      </c>
      <c r="T265" s="116">
        <f>tblPiNAnalysis[[#This Row],[ASH]]</f>
        <v>0</v>
      </c>
      <c r="U265" s="300" t="str">
        <f>IF(OR(tblPiNHistorical[[#This Row],[SAMV25]]="", tblPiNHistorical[[#This Row],[SAMV25]]=0, tblPiNHistorical[[#This Row],[SAMV26]]="", tblPiNHistorical[[#This Row],[SAMV26]]=0), "", tblPiNHistorical[[#This Row],[SAMV26]]-tblPiNHistorical[[#This Row],[SAMV25]])</f>
        <v/>
      </c>
      <c r="V265" s="121">
        <f>IF(OR(tblPiNHistorical[[#This Row],[NUT25]]="", tblPiNHistorical[[#This Row],[NUT25]]=0, tblPiNHistorical[[#This Row],[NUT26]]="", tblPiNHistorical[[#This Row],[NUT26]]=0), "", tblPiNHistorical[[#This Row],[NUT26]]-tblPiNHistorical[[#This Row],[NUT25]])</f>
        <v>1185.9106472440089</v>
      </c>
      <c r="W265" s="121">
        <f>IF(OR(tblPiNHistorical[[#This Row],[SAL25]]="", tblPiNHistorical[[#This Row],[SAL25]]=0, tblPiNHistorical[[#This Row],[SAL26]]="", tblPiNHistorical[[#This Row],[SAL26]]=0), "", tblPiNHistorical[[#This Row],[SAL26]]-tblPiNHistorical[[#This Row],[SAL25]])</f>
        <v>25786.135250945757</v>
      </c>
      <c r="X265" s="121">
        <f>IF(OR(tblPiNHistorical[[#This Row],[EDU25]]="", tblPiNHistorical[[#This Row],[EDU25]]=0, tblPiNHistorical[[#This Row],[EDU26]]="", tblPiNHistorical[[#This Row],[EDU26]]=0), "", tblPiNHistorical[[#This Row],[EDU26]]-tblPiNHistorical[[#This Row],[EDU25]])</f>
        <v>3880.4529451396329</v>
      </c>
      <c r="Y265" s="121">
        <f>IF(OR(tblPiNHistorical[[#This Row],[PRO25]]="", tblPiNHistorical[[#This Row],[PRO25]]=0, tblPiNHistorical[[#This Row],[PRO26]]="", tblPiNHistorical[[#This Row],[PRO26]]=0), "", tblPiNHistorical[[#This Row],[PRO26]]-tblPiNHistorical[[#This Row],[PRO25]])</f>
        <v>14867.962903790471</v>
      </c>
      <c r="Z265" s="223" t="str">
        <f>IF(OR(tblPiNHistorical[[#This Row],[ASH25]]="", tblPiNHistorical[[#This Row],[ASH25]]=0, tblPiNHistorical[[#This Row],[ASH26]]="", tblPiNHistorical[[#This Row],[ASH26]]=0), "", tblPiNHistorical[[#This Row],[ASH26]]-tblPiNHistorical[[#This Row],[ASH25]])</f>
        <v/>
      </c>
      <c r="AA265" s="227" t="str">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NoPIN26 5467</v>
      </c>
      <c r="AB26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26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2.4</v>
      </c>
      <c r="AD26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1.4</v>
      </c>
      <c r="AE26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1.4</v>
      </c>
      <c r="AF26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66" spans="1:32">
      <c r="A26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VenezolanosVE2013</v>
      </c>
      <c r="B266" s="105" t="s">
        <v>589</v>
      </c>
      <c r="C266" s="104" t="s">
        <v>590</v>
      </c>
      <c r="D266" s="119" t="s">
        <v>612</v>
      </c>
      <c r="E266" s="104" t="s">
        <v>613</v>
      </c>
      <c r="F266" s="119"/>
      <c r="G266" s="102">
        <v>9879</v>
      </c>
      <c r="H266" s="102" t="s">
        <v>102</v>
      </c>
      <c r="I266" s="206">
        <v>1317</v>
      </c>
      <c r="J266" s="120">
        <v>433</v>
      </c>
      <c r="K266" s="207">
        <v>2572.1000657643235</v>
      </c>
      <c r="L266" s="207">
        <v>747.54064136453906</v>
      </c>
      <c r="M266" s="207">
        <v>4829.350556397666</v>
      </c>
      <c r="N266" s="298">
        <v>0</v>
      </c>
      <c r="O266" s="114">
        <f>tblPiNAnalysis[[#This Row],[SAMV]]</f>
        <v>2030</v>
      </c>
      <c r="P266" s="115">
        <f>tblPiNAnalysis[[#This Row],[NUT]]</f>
        <v>408.33944637997649</v>
      </c>
      <c r="Q266" s="115">
        <f>tblPiNAnalysis[[#This Row],[SAL]]</f>
        <v>5600</v>
      </c>
      <c r="R266" s="115">
        <f>tblPiNAnalysis[[#This Row],[EDU]]</f>
        <v>359.83107966044281</v>
      </c>
      <c r="S266" s="115">
        <f>tblPiNAnalysis[[#This Row],[PRO]]</f>
        <v>3134.281962033936</v>
      </c>
      <c r="T266" s="116">
        <f>tblPiNAnalysis[[#This Row],[ASH]]</f>
        <v>0</v>
      </c>
      <c r="U266" s="300">
        <f>IF(OR(tblPiNHistorical[[#This Row],[SAMV25]]="", tblPiNHistorical[[#This Row],[SAMV25]]=0, tblPiNHistorical[[#This Row],[SAMV26]]="", tblPiNHistorical[[#This Row],[SAMV26]]=0), "", tblPiNHistorical[[#This Row],[SAMV26]]-tblPiNHistorical[[#This Row],[SAMV25]])</f>
        <v>713</v>
      </c>
      <c r="V266" s="121">
        <f>IF(OR(tblPiNHistorical[[#This Row],[NUT25]]="", tblPiNHistorical[[#This Row],[NUT25]]=0, tblPiNHistorical[[#This Row],[NUT26]]="", tblPiNHistorical[[#This Row],[NUT26]]=0), "", tblPiNHistorical[[#This Row],[NUT26]]-tblPiNHistorical[[#This Row],[NUT25]])</f>
        <v>-24.660553620023506</v>
      </c>
      <c r="W266" s="121">
        <f>IF(OR(tblPiNHistorical[[#This Row],[SAL25]]="", tblPiNHistorical[[#This Row],[SAL25]]=0, tblPiNHistorical[[#This Row],[SAL26]]="", tblPiNHistorical[[#This Row],[SAL26]]=0), "", tblPiNHistorical[[#This Row],[SAL26]]-tblPiNHistorical[[#This Row],[SAL25]])</f>
        <v>3027.8999342356765</v>
      </c>
      <c r="X266" s="121">
        <f>IF(OR(tblPiNHistorical[[#This Row],[EDU25]]="", tblPiNHistorical[[#This Row],[EDU25]]=0, tblPiNHistorical[[#This Row],[EDU26]]="", tblPiNHistorical[[#This Row],[EDU26]]=0), "", tblPiNHistorical[[#This Row],[EDU26]]-tblPiNHistorical[[#This Row],[EDU25]])</f>
        <v>-387.70956170409625</v>
      </c>
      <c r="Y266" s="121">
        <f>IF(OR(tblPiNHistorical[[#This Row],[PRO25]]="", tblPiNHistorical[[#This Row],[PRO25]]=0, tblPiNHistorical[[#This Row],[PRO26]]="", tblPiNHistorical[[#This Row],[PRO26]]=0), "", tblPiNHistorical[[#This Row],[PRO26]]-tblPiNHistorical[[#This Row],[PRO25]])</f>
        <v>-1695.06859436373</v>
      </c>
      <c r="Z266" s="223" t="str">
        <f>IF(OR(tblPiNHistorical[[#This Row],[ASH25]]="", tblPiNHistorical[[#This Row],[ASH25]]=0, tblPiNHistorical[[#This Row],[ASH26]]="", tblPiNHistorical[[#This Row],[ASH26]]=0), "", tblPiNHistorical[[#This Row],[ASH26]]-tblPiNHistorical[[#This Row],[ASH25]])</f>
        <v/>
      </c>
      <c r="AA26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26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26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1.2</v>
      </c>
      <c r="AD26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26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26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67" spans="1:32">
      <c r="A26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VenezolanosVE2014</v>
      </c>
      <c r="B267" s="105" t="s">
        <v>589</v>
      </c>
      <c r="C267" s="104" t="s">
        <v>590</v>
      </c>
      <c r="D267" s="119" t="s">
        <v>614</v>
      </c>
      <c r="E267" s="104" t="s">
        <v>615</v>
      </c>
      <c r="F267" s="119"/>
      <c r="G267" s="102">
        <v>80680</v>
      </c>
      <c r="H267" s="102" t="s">
        <v>102</v>
      </c>
      <c r="I267" s="206">
        <v>10757</v>
      </c>
      <c r="J267" s="120">
        <v>7677</v>
      </c>
      <c r="K267" s="207">
        <v>21005.814134926586</v>
      </c>
      <c r="L267" s="207">
        <v>3723.5094686287412</v>
      </c>
      <c r="M267" s="207">
        <v>17734.129852031514</v>
      </c>
      <c r="N267" s="298">
        <v>0</v>
      </c>
      <c r="O267" s="114">
        <f>tblPiNAnalysis[[#This Row],[SAMV]]</f>
        <v>1611</v>
      </c>
      <c r="P267" s="115">
        <f>tblPiNAnalysis[[#This Row],[NUT]]</f>
        <v>264.11224350327905</v>
      </c>
      <c r="Q267" s="115">
        <f>tblPiNAnalysis[[#This Row],[SAL]]</f>
        <v>6300</v>
      </c>
      <c r="R267" s="115">
        <f>tblPiNAnalysis[[#This Row],[EDU]]</f>
        <v>226.56538299061805</v>
      </c>
      <c r="S267" s="115">
        <f>tblPiNAnalysis[[#This Row],[PRO]]</f>
        <v>2486.839152799339</v>
      </c>
      <c r="T267" s="116">
        <f>tblPiNAnalysis[[#This Row],[ASH]]</f>
        <v>1304.6400000000001</v>
      </c>
      <c r="U267" s="300">
        <f>IF(OR(tblPiNHistorical[[#This Row],[SAMV25]]="", tblPiNHistorical[[#This Row],[SAMV25]]=0, tblPiNHistorical[[#This Row],[SAMV26]]="", tblPiNHistorical[[#This Row],[SAMV26]]=0), "", tblPiNHistorical[[#This Row],[SAMV26]]-tblPiNHistorical[[#This Row],[SAMV25]])</f>
        <v>-9146</v>
      </c>
      <c r="V267" s="121">
        <f>IF(OR(tblPiNHistorical[[#This Row],[NUT25]]="", tblPiNHistorical[[#This Row],[NUT25]]=0, tblPiNHistorical[[#This Row],[NUT26]]="", tblPiNHistorical[[#This Row],[NUT26]]=0), "", tblPiNHistorical[[#This Row],[NUT26]]-tblPiNHistorical[[#This Row],[NUT25]])</f>
        <v>-7412.8877564967206</v>
      </c>
      <c r="W267" s="121">
        <f>IF(OR(tblPiNHistorical[[#This Row],[SAL25]]="", tblPiNHistorical[[#This Row],[SAL25]]=0, tblPiNHistorical[[#This Row],[SAL26]]="", tblPiNHistorical[[#This Row],[SAL26]]=0), "", tblPiNHistorical[[#This Row],[SAL26]]-tblPiNHistorical[[#This Row],[SAL25]])</f>
        <v>-14705.814134926586</v>
      </c>
      <c r="X267" s="121">
        <f>IF(OR(tblPiNHistorical[[#This Row],[EDU25]]="", tblPiNHistorical[[#This Row],[EDU25]]=0, tblPiNHistorical[[#This Row],[EDU26]]="", tblPiNHistorical[[#This Row],[EDU26]]=0), "", tblPiNHistorical[[#This Row],[EDU26]]-tblPiNHistorical[[#This Row],[EDU25]])</f>
        <v>-3496.9440856381229</v>
      </c>
      <c r="Y267" s="121">
        <f>IF(OR(tblPiNHistorical[[#This Row],[PRO25]]="", tblPiNHistorical[[#This Row],[PRO25]]=0, tblPiNHistorical[[#This Row],[PRO26]]="", tblPiNHistorical[[#This Row],[PRO26]]=0), "", tblPiNHistorical[[#This Row],[PRO26]]-tblPiNHistorical[[#This Row],[PRO25]])</f>
        <v>-15247.290699232175</v>
      </c>
      <c r="Z267" s="223" t="str">
        <f>IF(OR(tblPiNHistorical[[#This Row],[ASH25]]="", tblPiNHistorical[[#This Row],[ASH25]]=0, tblPiNHistorical[[#This Row],[ASH26]]="", tblPiNHistorical[[#This Row],[ASH26]]=0), "", tblPiNHistorical[[#This Row],[ASH26]]-tblPiNHistorical[[#This Row],[ASH25]])</f>
        <v/>
      </c>
      <c r="AA26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6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v>
      </c>
      <c r="AC26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26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26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6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1304.64</v>
      </c>
    </row>
    <row r="268" spans="1:32">
      <c r="A26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VenezolanosVE2015</v>
      </c>
      <c r="B268" s="105" t="s">
        <v>589</v>
      </c>
      <c r="C268" s="104" t="s">
        <v>590</v>
      </c>
      <c r="D268" s="119" t="s">
        <v>141</v>
      </c>
      <c r="E268" s="104" t="s">
        <v>616</v>
      </c>
      <c r="F268" s="119"/>
      <c r="G268" s="102">
        <v>27547</v>
      </c>
      <c r="H268" s="102" t="s">
        <v>102</v>
      </c>
      <c r="I268" s="206">
        <v>3673</v>
      </c>
      <c r="J268" s="120">
        <v>1034</v>
      </c>
      <c r="K268" s="207">
        <v>7172.3545362357227</v>
      </c>
      <c r="L268" s="207">
        <v>1492.7520057257161</v>
      </c>
      <c r="M268" s="207">
        <v>7881.8354897917834</v>
      </c>
      <c r="N268" s="298">
        <v>5509</v>
      </c>
      <c r="O268" s="114">
        <f>tblPiNAnalysis[[#This Row],[SAMV]]</f>
        <v>2865</v>
      </c>
      <c r="P268" s="115">
        <f>tblPiNAnalysis[[#This Row],[NUT]]</f>
        <v>805.34152665643967</v>
      </c>
      <c r="Q268" s="115">
        <f>tblPiNAnalysis[[#This Row],[SAL]]</f>
        <v>11200</v>
      </c>
      <c r="R268" s="115">
        <f>tblPiNAnalysis[[#This Row],[EDU]]</f>
        <v>1531.6189700667658</v>
      </c>
      <c r="S268" s="115">
        <f>tblPiNAnalysis[[#This Row],[PRO]]</f>
        <v>4422.7343252444371</v>
      </c>
      <c r="T268" s="116">
        <f>tblPiNAnalysis[[#This Row],[ASH]]</f>
        <v>0</v>
      </c>
      <c r="U268" s="300">
        <f>IF(OR(tblPiNHistorical[[#This Row],[SAMV25]]="", tblPiNHistorical[[#This Row],[SAMV25]]=0, tblPiNHistorical[[#This Row],[SAMV26]]="", tblPiNHistorical[[#This Row],[SAMV26]]=0), "", tblPiNHistorical[[#This Row],[SAMV26]]-tblPiNHistorical[[#This Row],[SAMV25]])</f>
        <v>-808</v>
      </c>
      <c r="V268" s="121">
        <f>IF(OR(tblPiNHistorical[[#This Row],[NUT25]]="", tblPiNHistorical[[#This Row],[NUT25]]=0, tblPiNHistorical[[#This Row],[NUT26]]="", tblPiNHistorical[[#This Row],[NUT26]]=0), "", tblPiNHistorical[[#This Row],[NUT26]]-tblPiNHistorical[[#This Row],[NUT25]])</f>
        <v>-228.65847334356033</v>
      </c>
      <c r="W268" s="121">
        <f>IF(OR(tblPiNHistorical[[#This Row],[SAL25]]="", tblPiNHistorical[[#This Row],[SAL25]]=0, tblPiNHistorical[[#This Row],[SAL26]]="", tblPiNHistorical[[#This Row],[SAL26]]=0), "", tblPiNHistorical[[#This Row],[SAL26]]-tblPiNHistorical[[#This Row],[SAL25]])</f>
        <v>4027.6454637642773</v>
      </c>
      <c r="X268" s="121">
        <f>IF(OR(tblPiNHistorical[[#This Row],[EDU25]]="", tblPiNHistorical[[#This Row],[EDU25]]=0, tblPiNHistorical[[#This Row],[EDU26]]="", tblPiNHistorical[[#This Row],[EDU26]]=0), "", tblPiNHistorical[[#This Row],[EDU26]]-tblPiNHistorical[[#This Row],[EDU25]])</f>
        <v>38.866964341049652</v>
      </c>
      <c r="Y268" s="121">
        <f>IF(OR(tblPiNHistorical[[#This Row],[PRO25]]="", tblPiNHistorical[[#This Row],[PRO25]]=0, tblPiNHistorical[[#This Row],[PRO26]]="", tblPiNHistorical[[#This Row],[PRO26]]=0), "", tblPiNHistorical[[#This Row],[PRO26]]-tblPiNHistorical[[#This Row],[PRO25]])</f>
        <v>-3459.1011645473463</v>
      </c>
      <c r="Z268" s="223" t="str">
        <f>IF(OR(tblPiNHistorical[[#This Row],[ASH25]]="", tblPiNHistorical[[#This Row],[ASH25]]=0, tblPiNHistorical[[#This Row],[ASH26]]="", tblPiNHistorical[[#This Row],[ASH26]]=0), "", tblPiNHistorical[[#This Row],[ASH26]]-tblPiNHistorical[[#This Row],[ASH25]])</f>
        <v/>
      </c>
      <c r="AA26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26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26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26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v>
      </c>
      <c r="AE26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26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5509</v>
      </c>
    </row>
    <row r="269" spans="1:32">
      <c r="A26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VenezolanosVE2016</v>
      </c>
      <c r="B269" s="105" t="s">
        <v>589</v>
      </c>
      <c r="C269" s="104" t="s">
        <v>590</v>
      </c>
      <c r="D269" s="119" t="s">
        <v>100</v>
      </c>
      <c r="E269" s="104" t="s">
        <v>617</v>
      </c>
      <c r="F269" s="119"/>
      <c r="G269" s="102">
        <v>22464</v>
      </c>
      <c r="H269" s="102" t="s">
        <v>102</v>
      </c>
      <c r="I269" s="206">
        <v>2995</v>
      </c>
      <c r="J269" s="120">
        <v>2599</v>
      </c>
      <c r="K269" s="207">
        <v>5848.6543483077039</v>
      </c>
      <c r="L269" s="207">
        <v>1965.9554953965874</v>
      </c>
      <c r="M269" s="207">
        <v>10837.523798463702</v>
      </c>
      <c r="N269" s="298">
        <v>0</v>
      </c>
      <c r="O269" s="114">
        <f>tblPiNAnalysis[[#This Row],[SAMV]]</f>
        <v>4312</v>
      </c>
      <c r="P269" s="115">
        <f>tblPiNAnalysis[[#This Row],[NUT]]</f>
        <v>314.40830904005691</v>
      </c>
      <c r="Q269" s="115">
        <f>tblPiNAnalysis[[#This Row],[SAL]]</f>
        <v>7700</v>
      </c>
      <c r="R269" s="115">
        <f>tblPiNAnalysis[[#This Row],[EDU]]</f>
        <v>303.65470564064265</v>
      </c>
      <c r="S269" s="115">
        <f>tblPiNAnalysis[[#This Row],[PRO]]</f>
        <v>5548.0393350945496</v>
      </c>
      <c r="T269" s="116">
        <f>tblPiNAnalysis[[#This Row],[ASH]]</f>
        <v>0</v>
      </c>
      <c r="U269" s="300">
        <f>IF(OR(tblPiNHistorical[[#This Row],[SAMV25]]="", tblPiNHistorical[[#This Row],[SAMV25]]=0, tblPiNHistorical[[#This Row],[SAMV26]]="", tblPiNHistorical[[#This Row],[SAMV26]]=0), "", tblPiNHistorical[[#This Row],[SAMV26]]-tblPiNHistorical[[#This Row],[SAMV25]])</f>
        <v>1317</v>
      </c>
      <c r="V269" s="121">
        <f>IF(OR(tblPiNHistorical[[#This Row],[NUT25]]="", tblPiNHistorical[[#This Row],[NUT25]]=0, tblPiNHistorical[[#This Row],[NUT26]]="", tblPiNHistorical[[#This Row],[NUT26]]=0), "", tblPiNHistorical[[#This Row],[NUT26]]-tblPiNHistorical[[#This Row],[NUT25]])</f>
        <v>-2284.5916909599432</v>
      </c>
      <c r="W269" s="121">
        <f>IF(OR(tblPiNHistorical[[#This Row],[SAL25]]="", tblPiNHistorical[[#This Row],[SAL25]]=0, tblPiNHistorical[[#This Row],[SAL26]]="", tblPiNHistorical[[#This Row],[SAL26]]=0), "", tblPiNHistorical[[#This Row],[SAL26]]-tblPiNHistorical[[#This Row],[SAL25]])</f>
        <v>1851.3456516922961</v>
      </c>
      <c r="X269" s="121">
        <f>IF(OR(tblPiNHistorical[[#This Row],[EDU25]]="", tblPiNHistorical[[#This Row],[EDU25]]=0, tblPiNHistorical[[#This Row],[EDU26]]="", tblPiNHistorical[[#This Row],[EDU26]]=0), "", tblPiNHistorical[[#This Row],[EDU26]]-tblPiNHistorical[[#This Row],[EDU25]])</f>
        <v>-1662.3007897559446</v>
      </c>
      <c r="Y269" s="121">
        <f>IF(OR(tblPiNHistorical[[#This Row],[PRO25]]="", tblPiNHistorical[[#This Row],[PRO25]]=0, tblPiNHistorical[[#This Row],[PRO26]]="", tblPiNHistorical[[#This Row],[PRO26]]=0), "", tblPiNHistorical[[#This Row],[PRO26]]-tblPiNHistorical[[#This Row],[PRO25]])</f>
        <v>-5289.4844633691528</v>
      </c>
      <c r="Z269" s="223" t="str">
        <f>IF(OR(tblPiNHistorical[[#This Row],[ASH25]]="", tblPiNHistorical[[#This Row],[ASH25]]=0, tblPiNHistorical[[#This Row],[ASH26]]="", tblPiNHistorical[[#This Row],[ASH26]]=0), "", tblPiNHistorical[[#This Row],[ASH26]]-tblPiNHistorical[[#This Row],[ASH25]])</f>
        <v/>
      </c>
      <c r="AA26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26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26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26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26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26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70" spans="1:32">
      <c r="A27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VenezolanosVE2017</v>
      </c>
      <c r="B270" s="105" t="s">
        <v>589</v>
      </c>
      <c r="C270" s="104" t="s">
        <v>590</v>
      </c>
      <c r="D270" s="119" t="s">
        <v>618</v>
      </c>
      <c r="E270" s="104" t="s">
        <v>619</v>
      </c>
      <c r="F270" s="119"/>
      <c r="G270" s="102">
        <v>13558</v>
      </c>
      <c r="H270" s="102" t="s">
        <v>102</v>
      </c>
      <c r="I270" s="206">
        <v>1808</v>
      </c>
      <c r="J270" s="120">
        <v>473</v>
      </c>
      <c r="K270" s="207">
        <v>3530.1974323259956</v>
      </c>
      <c r="L270" s="207">
        <v>615.25770802332545</v>
      </c>
      <c r="M270" s="207">
        <v>4820.2401673809118</v>
      </c>
      <c r="N270" s="298">
        <v>0</v>
      </c>
      <c r="O270" s="114">
        <f>tblPiNAnalysis[[#This Row],[SAMV]]</f>
        <v>740</v>
      </c>
      <c r="P270" s="115">
        <f>tblPiNAnalysis[[#This Row],[NUT]]</f>
        <v>1054.3717550327922</v>
      </c>
      <c r="Q270" s="115">
        <f>tblPiNAnalysis[[#This Row],[SAL]]</f>
        <v>12153.405000000001</v>
      </c>
      <c r="R270" s="115">
        <f>tblPiNAnalysis[[#This Row],[EDU]]</f>
        <v>1687.606030139551</v>
      </c>
      <c r="S270" s="115">
        <f>tblPiNAnalysis[[#This Row],[PRO]]</f>
        <v>8568.3240139444952</v>
      </c>
      <c r="T270" s="116">
        <f>tblPiNAnalysis[[#This Row],[ASH]]</f>
        <v>19978.2</v>
      </c>
      <c r="U270" s="300">
        <f>IF(OR(tblPiNHistorical[[#This Row],[SAMV25]]="", tblPiNHistorical[[#This Row],[SAMV25]]=0, tblPiNHistorical[[#This Row],[SAMV26]]="", tblPiNHistorical[[#This Row],[SAMV26]]=0), "", tblPiNHistorical[[#This Row],[SAMV26]]-tblPiNHistorical[[#This Row],[SAMV25]])</f>
        <v>-1068</v>
      </c>
      <c r="V270" s="121">
        <f>IF(OR(tblPiNHistorical[[#This Row],[NUT25]]="", tblPiNHistorical[[#This Row],[NUT25]]=0, tblPiNHistorical[[#This Row],[NUT26]]="", tblPiNHistorical[[#This Row],[NUT26]]=0), "", tblPiNHistorical[[#This Row],[NUT26]]-tblPiNHistorical[[#This Row],[NUT25]])</f>
        <v>581.37175503279218</v>
      </c>
      <c r="W270" s="121">
        <f>IF(OR(tblPiNHistorical[[#This Row],[SAL25]]="", tblPiNHistorical[[#This Row],[SAL25]]=0, tblPiNHistorical[[#This Row],[SAL26]]="", tblPiNHistorical[[#This Row],[SAL26]]=0), "", tblPiNHistorical[[#This Row],[SAL26]]-tblPiNHistorical[[#This Row],[SAL25]])</f>
        <v>8623.207567674006</v>
      </c>
      <c r="X270" s="121">
        <f>IF(OR(tblPiNHistorical[[#This Row],[EDU25]]="", tblPiNHistorical[[#This Row],[EDU25]]=0, tblPiNHistorical[[#This Row],[EDU26]]="", tblPiNHistorical[[#This Row],[EDU26]]=0), "", tblPiNHistorical[[#This Row],[EDU26]]-tblPiNHistorical[[#This Row],[EDU25]])</f>
        <v>1072.3483221162255</v>
      </c>
      <c r="Y270" s="121">
        <f>IF(OR(tblPiNHistorical[[#This Row],[PRO25]]="", tblPiNHistorical[[#This Row],[PRO25]]=0, tblPiNHistorical[[#This Row],[PRO26]]="", tblPiNHistorical[[#This Row],[PRO26]]=0), "", tblPiNHistorical[[#This Row],[PRO26]]-tblPiNHistorical[[#This Row],[PRO25]])</f>
        <v>3748.0838465635834</v>
      </c>
      <c r="Z270" s="223" t="str">
        <f>IF(OR(tblPiNHistorical[[#This Row],[ASH25]]="", tblPiNHistorical[[#This Row],[ASH25]]=0, tblPiNHistorical[[#This Row],[ASH26]]="", tblPiNHistorical[[#This Row],[ASH26]]=0), "", tblPiNHistorical[[#This Row],[ASH26]]-tblPiNHistorical[[#This Row],[ASH25]])</f>
        <v/>
      </c>
      <c r="AA27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27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1.2</v>
      </c>
      <c r="AC27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2.4</v>
      </c>
      <c r="AD27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1.7</v>
      </c>
      <c r="AE27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7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19978.2</v>
      </c>
    </row>
    <row r="271" spans="1:32">
      <c r="A27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VenezolanosVE2018</v>
      </c>
      <c r="B271" s="105" t="s">
        <v>589</v>
      </c>
      <c r="C271" s="104" t="s">
        <v>590</v>
      </c>
      <c r="D271" s="119" t="s">
        <v>620</v>
      </c>
      <c r="E271" s="104" t="s">
        <v>621</v>
      </c>
      <c r="F271" s="119"/>
      <c r="G271" s="102">
        <v>19547</v>
      </c>
      <c r="H271" s="102" t="s">
        <v>102</v>
      </c>
      <c r="I271" s="206">
        <v>2606</v>
      </c>
      <c r="J271" s="120">
        <v>727</v>
      </c>
      <c r="K271" s="207">
        <v>5089.7064860675382</v>
      </c>
      <c r="L271" s="207">
        <v>991.76279862961962</v>
      </c>
      <c r="M271" s="207">
        <v>6949.4936238231821</v>
      </c>
      <c r="N271" s="298">
        <v>0</v>
      </c>
      <c r="O271" s="114">
        <f>tblPiNAnalysis[[#This Row],[SAMV]]</f>
        <v>5022</v>
      </c>
      <c r="P271" s="115">
        <f>tblPiNAnalysis[[#This Row],[NUT]]</f>
        <v>1437.5561402678572</v>
      </c>
      <c r="Q271" s="115">
        <f>tblPiNAnalysis[[#This Row],[SAL]]</f>
        <v>10326.215</v>
      </c>
      <c r="R271" s="115">
        <f>tblPiNAnalysis[[#This Row],[EDU]]</f>
        <v>2807.2836822234208</v>
      </c>
      <c r="S271" s="115">
        <f>tblPiNAnalysis[[#This Row],[PRO]]</f>
        <v>3146.3216527686955</v>
      </c>
      <c r="T271" s="116">
        <f>tblPiNAnalysis[[#This Row],[ASH]]</f>
        <v>0</v>
      </c>
      <c r="U271" s="300">
        <f>IF(OR(tblPiNHistorical[[#This Row],[SAMV25]]="", tblPiNHistorical[[#This Row],[SAMV25]]=0, tblPiNHistorical[[#This Row],[SAMV26]]="", tblPiNHistorical[[#This Row],[SAMV26]]=0), "", tblPiNHistorical[[#This Row],[SAMV26]]-tblPiNHistorical[[#This Row],[SAMV25]])</f>
        <v>2416</v>
      </c>
      <c r="V271" s="121">
        <f>IF(OR(tblPiNHistorical[[#This Row],[NUT25]]="", tblPiNHistorical[[#This Row],[NUT25]]=0, tblPiNHistorical[[#This Row],[NUT26]]="", tblPiNHistorical[[#This Row],[NUT26]]=0), "", tblPiNHistorical[[#This Row],[NUT26]]-tblPiNHistorical[[#This Row],[NUT25]])</f>
        <v>710.55614026785724</v>
      </c>
      <c r="W271" s="121">
        <f>IF(OR(tblPiNHistorical[[#This Row],[SAL25]]="", tblPiNHistorical[[#This Row],[SAL25]]=0, tblPiNHistorical[[#This Row],[SAL26]]="", tblPiNHistorical[[#This Row],[SAL26]]=0), "", tblPiNHistorical[[#This Row],[SAL26]]-tblPiNHistorical[[#This Row],[SAL25]])</f>
        <v>5236.5085139324619</v>
      </c>
      <c r="X271" s="121">
        <f>IF(OR(tblPiNHistorical[[#This Row],[EDU25]]="", tblPiNHistorical[[#This Row],[EDU25]]=0, tblPiNHistorical[[#This Row],[EDU26]]="", tblPiNHistorical[[#This Row],[EDU26]]=0), "", tblPiNHistorical[[#This Row],[EDU26]]-tblPiNHistorical[[#This Row],[EDU25]])</f>
        <v>1815.520883593801</v>
      </c>
      <c r="Y271" s="121">
        <f>IF(OR(tblPiNHistorical[[#This Row],[PRO25]]="", tblPiNHistorical[[#This Row],[PRO25]]=0, tblPiNHistorical[[#This Row],[PRO26]]="", tblPiNHistorical[[#This Row],[PRO26]]=0), "", tblPiNHistorical[[#This Row],[PRO26]]-tblPiNHistorical[[#This Row],[PRO25]])</f>
        <v>-3803.1719710544867</v>
      </c>
      <c r="Z271" s="223" t="str">
        <f>IF(OR(tblPiNHistorical[[#This Row],[ASH25]]="", tblPiNHistorical[[#This Row],[ASH25]]=0, tblPiNHistorical[[#This Row],[ASH26]]="", tblPiNHistorical[[#This Row],[ASH26]]=0), "", tblPiNHistorical[[#This Row],[ASH26]]-tblPiNHistorical[[#This Row],[ASH25]])</f>
        <v/>
      </c>
      <c r="AA27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7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v>
      </c>
      <c r="AC27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v>
      </c>
      <c r="AD27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1.8</v>
      </c>
      <c r="AE27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27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72" spans="1:32">
      <c r="A27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VenezolanosVE2019</v>
      </c>
      <c r="B272" s="105" t="s">
        <v>589</v>
      </c>
      <c r="C272" s="104" t="s">
        <v>590</v>
      </c>
      <c r="D272" s="119" t="s">
        <v>622</v>
      </c>
      <c r="E272" s="104" t="s">
        <v>623</v>
      </c>
      <c r="F272" s="119"/>
      <c r="G272" s="102">
        <v>32180</v>
      </c>
      <c r="H272" s="102" t="s">
        <v>102</v>
      </c>
      <c r="I272" s="206">
        <v>4291</v>
      </c>
      <c r="J272" s="120">
        <v>1423</v>
      </c>
      <c r="K272" s="207">
        <v>8378.1502912569795</v>
      </c>
      <c r="L272" s="207">
        <v>2999.4828201120113</v>
      </c>
      <c r="M272" s="207">
        <v>10837.523798463702</v>
      </c>
      <c r="N272" s="298">
        <v>0</v>
      </c>
      <c r="O272" s="114">
        <f>tblPiNAnalysis[[#This Row],[SAMV]]</f>
        <v>0</v>
      </c>
      <c r="P272" s="115">
        <f>tblPiNAnalysis[[#This Row],[NUT]]</f>
        <v>1261.2460013428754</v>
      </c>
      <c r="Q272" s="115">
        <f>tblPiNAnalysis[[#This Row],[SAL]]</f>
        <v>8862.5650000000005</v>
      </c>
      <c r="R272" s="115">
        <f>tblPiNAnalysis[[#This Row],[EDU]]</f>
        <v>2579.0220908425704</v>
      </c>
      <c r="S272" s="115">
        <f>tblPiNAnalysis[[#This Row],[PRO]]</f>
        <v>4500.597130470037</v>
      </c>
      <c r="T272" s="116">
        <f>tblPiNAnalysis[[#This Row],[ASH]]</f>
        <v>0</v>
      </c>
      <c r="U272" s="300" t="str">
        <f>IF(OR(tblPiNHistorical[[#This Row],[SAMV25]]="", tblPiNHistorical[[#This Row],[SAMV25]]=0, tblPiNHistorical[[#This Row],[SAMV26]]="", tblPiNHistorical[[#This Row],[SAMV26]]=0), "", tblPiNHistorical[[#This Row],[SAMV26]]-tblPiNHistorical[[#This Row],[SAMV25]])</f>
        <v/>
      </c>
      <c r="V272" s="121">
        <f>IF(OR(tblPiNHistorical[[#This Row],[NUT25]]="", tblPiNHistorical[[#This Row],[NUT25]]=0, tblPiNHistorical[[#This Row],[NUT26]]="", tblPiNHistorical[[#This Row],[NUT26]]=0), "", tblPiNHistorical[[#This Row],[NUT26]]-tblPiNHistorical[[#This Row],[NUT25]])</f>
        <v>-161.75399865712461</v>
      </c>
      <c r="W272" s="121">
        <f>IF(OR(tblPiNHistorical[[#This Row],[SAL25]]="", tblPiNHistorical[[#This Row],[SAL25]]=0, tblPiNHistorical[[#This Row],[SAL26]]="", tblPiNHistorical[[#This Row],[SAL26]]=0), "", tblPiNHistorical[[#This Row],[SAL26]]-tblPiNHistorical[[#This Row],[SAL25]])</f>
        <v>484.41470874302104</v>
      </c>
      <c r="X272" s="121">
        <f>IF(OR(tblPiNHistorical[[#This Row],[EDU25]]="", tblPiNHistorical[[#This Row],[EDU25]]=0, tblPiNHistorical[[#This Row],[EDU26]]="", tblPiNHistorical[[#This Row],[EDU26]]=0), "", tblPiNHistorical[[#This Row],[EDU26]]-tblPiNHistorical[[#This Row],[EDU25]])</f>
        <v>-420.46072926944089</v>
      </c>
      <c r="Y272" s="121">
        <f>IF(OR(tblPiNHistorical[[#This Row],[PRO25]]="", tblPiNHistorical[[#This Row],[PRO25]]=0, tblPiNHistorical[[#This Row],[PRO26]]="", tblPiNHistorical[[#This Row],[PRO26]]=0), "", tblPiNHistorical[[#This Row],[PRO26]]-tblPiNHistorical[[#This Row],[PRO25]])</f>
        <v>-6336.9266679936654</v>
      </c>
      <c r="Z272" s="223" t="str">
        <f>IF(OR(tblPiNHistorical[[#This Row],[ASH25]]="", tblPiNHistorical[[#This Row],[ASH25]]=0, tblPiNHistorical[[#This Row],[ASH26]]="", tblPiNHistorical[[#This Row],[ASH26]]=0), "", tblPiNHistorical[[#This Row],[ASH26]]-tblPiNHistorical[[#This Row],[ASH25]])</f>
        <v/>
      </c>
      <c r="AA272" s="227" t="str">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NoPIN26 4291</v>
      </c>
      <c r="AB27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27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27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27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27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73" spans="1:32">
      <c r="A27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VenezolanosVE2020</v>
      </c>
      <c r="B273" s="105" t="s">
        <v>589</v>
      </c>
      <c r="C273" s="104" t="s">
        <v>590</v>
      </c>
      <c r="D273" s="119" t="s">
        <v>624</v>
      </c>
      <c r="E273" s="104" t="s">
        <v>625</v>
      </c>
      <c r="F273" s="119"/>
      <c r="G273" s="102">
        <v>51879</v>
      </c>
      <c r="H273" s="102" t="s">
        <v>102</v>
      </c>
      <c r="I273" s="206">
        <v>6917</v>
      </c>
      <c r="J273" s="120">
        <v>2010</v>
      </c>
      <c r="K273" s="207">
        <v>13507.488519478051</v>
      </c>
      <c r="L273" s="207">
        <v>3825.3535738275837</v>
      </c>
      <c r="M273" s="207">
        <v>10837.523798463702</v>
      </c>
      <c r="N273" s="298">
        <v>25940</v>
      </c>
      <c r="O273" s="114">
        <f>tblPiNAnalysis[[#This Row],[SAMV]]</f>
        <v>44156</v>
      </c>
      <c r="P273" s="115">
        <f>tblPiNAnalysis[[#This Row],[NUT]]</f>
        <v>5023.1804908069553</v>
      </c>
      <c r="Q273" s="115">
        <f>tblPiNAnalysis[[#This Row],[SAL]]</f>
        <v>64982.775000000001</v>
      </c>
      <c r="R273" s="115">
        <f>tblPiNAnalysis[[#This Row],[EDU]]</f>
        <v>26944.260546227328</v>
      </c>
      <c r="S273" s="115">
        <f>tblPiNAnalysis[[#This Row],[PRO]]</f>
        <v>21214.594239055157</v>
      </c>
      <c r="T273" s="116">
        <f>tblPiNAnalysis[[#This Row],[ASH]]</f>
        <v>0</v>
      </c>
      <c r="U273" s="300">
        <f>IF(OR(tblPiNHistorical[[#This Row],[SAMV25]]="", tblPiNHistorical[[#This Row],[SAMV25]]=0, tblPiNHistorical[[#This Row],[SAMV26]]="", tblPiNHistorical[[#This Row],[SAMV26]]=0), "", tblPiNHistorical[[#This Row],[SAMV26]]-tblPiNHistorical[[#This Row],[SAMV25]])</f>
        <v>37239</v>
      </c>
      <c r="V273" s="121">
        <f>IF(OR(tblPiNHistorical[[#This Row],[NUT25]]="", tblPiNHistorical[[#This Row],[NUT25]]=0, tblPiNHistorical[[#This Row],[NUT26]]="", tblPiNHistorical[[#This Row],[NUT26]]=0), "", tblPiNHistorical[[#This Row],[NUT26]]-tblPiNHistorical[[#This Row],[NUT25]])</f>
        <v>3013.1804908069553</v>
      </c>
      <c r="W273" s="121">
        <f>IF(OR(tblPiNHistorical[[#This Row],[SAL25]]="", tblPiNHistorical[[#This Row],[SAL25]]=0, tblPiNHistorical[[#This Row],[SAL26]]="", tblPiNHistorical[[#This Row],[SAL26]]=0), "", tblPiNHistorical[[#This Row],[SAL26]]-tblPiNHistorical[[#This Row],[SAL25]])</f>
        <v>51475.286480521951</v>
      </c>
      <c r="X273" s="121">
        <f>IF(OR(tblPiNHistorical[[#This Row],[EDU25]]="", tblPiNHistorical[[#This Row],[EDU25]]=0, tblPiNHistorical[[#This Row],[EDU26]]="", tblPiNHistorical[[#This Row],[EDU26]]=0), "", tblPiNHistorical[[#This Row],[EDU26]]-tblPiNHistorical[[#This Row],[EDU25]])</f>
        <v>23118.906972399745</v>
      </c>
      <c r="Y273" s="121">
        <f>IF(OR(tblPiNHistorical[[#This Row],[PRO25]]="", tblPiNHistorical[[#This Row],[PRO25]]=0, tblPiNHistorical[[#This Row],[PRO26]]="", tblPiNHistorical[[#This Row],[PRO26]]=0), "", tblPiNHistorical[[#This Row],[PRO26]]-tblPiNHistorical[[#This Row],[PRO25]])</f>
        <v>10377.070440591455</v>
      </c>
      <c r="Z273" s="223" t="str">
        <f>IF(OR(tblPiNHistorical[[#This Row],[ASH25]]="", tblPiNHistorical[[#This Row],[ASH25]]=0, tblPiNHistorical[[#This Row],[ASH26]]="", tblPiNHistorical[[#This Row],[ASH26]]=0), "", tblPiNHistorical[[#This Row],[ASH26]]-tblPiNHistorical[[#This Row],[ASH25]])</f>
        <v/>
      </c>
      <c r="AA27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5.4</v>
      </c>
      <c r="AB27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1.5</v>
      </c>
      <c r="AC27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3.8</v>
      </c>
      <c r="AD27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6</v>
      </c>
      <c r="AE27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27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25940</v>
      </c>
    </row>
    <row r="274" spans="1:32">
      <c r="A27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VenezolanosVE2021</v>
      </c>
      <c r="B274" s="105" t="s">
        <v>589</v>
      </c>
      <c r="C274" s="104" t="s">
        <v>590</v>
      </c>
      <c r="D274" s="119" t="s">
        <v>626</v>
      </c>
      <c r="E274" s="104" t="s">
        <v>627</v>
      </c>
      <c r="F274" s="119"/>
      <c r="G274" s="102">
        <v>5905</v>
      </c>
      <c r="H274" s="102" t="s">
        <v>102</v>
      </c>
      <c r="I274" s="206">
        <v>787</v>
      </c>
      <c r="J274" s="120">
        <v>257</v>
      </c>
      <c r="K274" s="207">
        <v>1537.7115955570994</v>
      </c>
      <c r="L274" s="207">
        <v>363.67178848467188</v>
      </c>
      <c r="M274" s="207">
        <v>2099.3891568361328</v>
      </c>
      <c r="N274" s="298">
        <v>0</v>
      </c>
      <c r="O274" s="114">
        <f>tblPiNAnalysis[[#This Row],[SAMV]]</f>
        <v>3589</v>
      </c>
      <c r="P274" s="115">
        <f>tblPiNAnalysis[[#This Row],[NUT]]</f>
        <v>1189.1478528783309</v>
      </c>
      <c r="Q274" s="115">
        <f>tblPiNAnalysis[[#This Row],[SAL]]</f>
        <v>14200</v>
      </c>
      <c r="R274" s="115">
        <f>tblPiNAnalysis[[#This Row],[EDU]]</f>
        <v>2387.1514870308474</v>
      </c>
      <c r="S274" s="115">
        <f>tblPiNAnalysis[[#This Row],[PRO]]</f>
        <v>7269.7336864531699</v>
      </c>
      <c r="T274" s="116">
        <f>tblPiNAnalysis[[#This Row],[ASH]]</f>
        <v>0</v>
      </c>
      <c r="U274" s="300">
        <f>IF(OR(tblPiNHistorical[[#This Row],[SAMV25]]="", tblPiNHistorical[[#This Row],[SAMV25]]=0, tblPiNHistorical[[#This Row],[SAMV26]]="", tblPiNHistorical[[#This Row],[SAMV26]]=0), "", tblPiNHistorical[[#This Row],[SAMV26]]-tblPiNHistorical[[#This Row],[SAMV25]])</f>
        <v>2802</v>
      </c>
      <c r="V274" s="121">
        <f>IF(OR(tblPiNHistorical[[#This Row],[NUT25]]="", tblPiNHistorical[[#This Row],[NUT25]]=0, tblPiNHistorical[[#This Row],[NUT26]]="", tblPiNHistorical[[#This Row],[NUT26]]=0), "", tblPiNHistorical[[#This Row],[NUT26]]-tblPiNHistorical[[#This Row],[NUT25]])</f>
        <v>932.14785287833092</v>
      </c>
      <c r="W274" s="121">
        <f>IF(OR(tblPiNHistorical[[#This Row],[SAL25]]="", tblPiNHistorical[[#This Row],[SAL25]]=0, tblPiNHistorical[[#This Row],[SAL26]]="", tblPiNHistorical[[#This Row],[SAL26]]=0), "", tblPiNHistorical[[#This Row],[SAL26]]-tblPiNHistorical[[#This Row],[SAL25]])</f>
        <v>12662.288404442901</v>
      </c>
      <c r="X274" s="121">
        <f>IF(OR(tblPiNHistorical[[#This Row],[EDU25]]="", tblPiNHistorical[[#This Row],[EDU25]]=0, tblPiNHistorical[[#This Row],[EDU26]]="", tblPiNHistorical[[#This Row],[EDU26]]=0), "", tblPiNHistorical[[#This Row],[EDU26]]-tblPiNHistorical[[#This Row],[EDU25]])</f>
        <v>2023.4796985461755</v>
      </c>
      <c r="Y274" s="121">
        <f>IF(OR(tblPiNHistorical[[#This Row],[PRO25]]="", tblPiNHistorical[[#This Row],[PRO25]]=0, tblPiNHistorical[[#This Row],[PRO26]]="", tblPiNHistorical[[#This Row],[PRO26]]=0), "", tblPiNHistorical[[#This Row],[PRO26]]-tblPiNHistorical[[#This Row],[PRO25]])</f>
        <v>5170.3445296170376</v>
      </c>
      <c r="Z274" s="223" t="str">
        <f>IF(OR(tblPiNHistorical[[#This Row],[ASH25]]="", tblPiNHistorical[[#This Row],[ASH25]]=0, tblPiNHistorical[[#This Row],[ASH26]]="", tblPiNHistorical[[#This Row],[ASH26]]=0), "", tblPiNHistorical[[#This Row],[ASH26]]-tblPiNHistorical[[#This Row],[ASH25]])</f>
        <v/>
      </c>
      <c r="AA27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3.6</v>
      </c>
      <c r="AB27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3.6</v>
      </c>
      <c r="AC27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8.1999999999999993</v>
      </c>
      <c r="AD27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5.6</v>
      </c>
      <c r="AE27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2.5</v>
      </c>
      <c r="AF27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75" spans="1:32">
      <c r="A27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VenezolanosVE2022</v>
      </c>
      <c r="B275" s="105" t="s">
        <v>589</v>
      </c>
      <c r="C275" s="104" t="s">
        <v>590</v>
      </c>
      <c r="D275" s="119" t="s">
        <v>628</v>
      </c>
      <c r="E275" s="104" t="s">
        <v>629</v>
      </c>
      <c r="F275" s="119"/>
      <c r="G275" s="102">
        <v>17911</v>
      </c>
      <c r="H275" s="102" t="s">
        <v>102</v>
      </c>
      <c r="I275" s="206">
        <v>2388</v>
      </c>
      <c r="J275" s="120">
        <v>732</v>
      </c>
      <c r="K275" s="207">
        <v>4663.6652579170532</v>
      </c>
      <c r="L275" s="207">
        <v>1249.0020640963426</v>
      </c>
      <c r="M275" s="207">
        <v>8755.7948998520678</v>
      </c>
      <c r="N275" s="298">
        <v>0</v>
      </c>
      <c r="O275" s="114">
        <f>tblPiNAnalysis[[#This Row],[SAMV]]</f>
        <v>4245</v>
      </c>
      <c r="P275" s="115">
        <f>tblPiNAnalysis[[#This Row],[NUT]]</f>
        <v>469.55532719131901</v>
      </c>
      <c r="Q275" s="115">
        <f>tblPiNAnalysis[[#This Row],[SAL]]</f>
        <v>6300</v>
      </c>
      <c r="R275" s="115">
        <f>tblPiNAnalysis[[#This Row],[EDU]]</f>
        <v>1424.1678098333255</v>
      </c>
      <c r="S275" s="115">
        <f>tblPiNAnalysis[[#This Row],[PRO]]</f>
        <v>1460.7916965566078</v>
      </c>
      <c r="T275" s="116">
        <f>tblPiNAnalysis[[#This Row],[ASH]]</f>
        <v>0</v>
      </c>
      <c r="U275" s="300">
        <f>IF(OR(tblPiNHistorical[[#This Row],[SAMV25]]="", tblPiNHistorical[[#This Row],[SAMV25]]=0, tblPiNHistorical[[#This Row],[SAMV26]]="", tblPiNHistorical[[#This Row],[SAMV26]]=0), "", tblPiNHistorical[[#This Row],[SAMV26]]-tblPiNHistorical[[#This Row],[SAMV25]])</f>
        <v>1857</v>
      </c>
      <c r="V275" s="121">
        <f>IF(OR(tblPiNHistorical[[#This Row],[NUT25]]="", tblPiNHistorical[[#This Row],[NUT25]]=0, tblPiNHistorical[[#This Row],[NUT26]]="", tblPiNHistorical[[#This Row],[NUT26]]=0), "", tblPiNHistorical[[#This Row],[NUT26]]-tblPiNHistorical[[#This Row],[NUT25]])</f>
        <v>-262.44467280868099</v>
      </c>
      <c r="W275" s="121">
        <f>IF(OR(tblPiNHistorical[[#This Row],[SAL25]]="", tblPiNHistorical[[#This Row],[SAL25]]=0, tblPiNHistorical[[#This Row],[SAL26]]="", tblPiNHistorical[[#This Row],[SAL26]]=0), "", tblPiNHistorical[[#This Row],[SAL26]]-tblPiNHistorical[[#This Row],[SAL25]])</f>
        <v>1636.3347420829468</v>
      </c>
      <c r="X275" s="121">
        <f>IF(OR(tblPiNHistorical[[#This Row],[EDU25]]="", tblPiNHistorical[[#This Row],[EDU25]]=0, tblPiNHistorical[[#This Row],[EDU26]]="", tblPiNHistorical[[#This Row],[EDU26]]=0), "", tblPiNHistorical[[#This Row],[EDU26]]-tblPiNHistorical[[#This Row],[EDU25]])</f>
        <v>175.1657457369829</v>
      </c>
      <c r="Y275" s="121">
        <f>IF(OR(tblPiNHistorical[[#This Row],[PRO25]]="", tblPiNHistorical[[#This Row],[PRO25]]=0, tblPiNHistorical[[#This Row],[PRO26]]="", tblPiNHistorical[[#This Row],[PRO26]]=0), "", tblPiNHistorical[[#This Row],[PRO26]]-tblPiNHistorical[[#This Row],[PRO25]])</f>
        <v>-7295.0032032954605</v>
      </c>
      <c r="Z275" s="223" t="str">
        <f>IF(OR(tblPiNHistorical[[#This Row],[ASH25]]="", tblPiNHistorical[[#This Row],[ASH25]]=0, tblPiNHistorical[[#This Row],[ASH26]]="", tblPiNHistorical[[#This Row],[ASH26]]=0), "", tblPiNHistorical[[#This Row],[ASH26]]-tblPiNHistorical[[#This Row],[ASH25]])</f>
        <v/>
      </c>
      <c r="AA27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27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-0.4</v>
      </c>
      <c r="AC27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27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27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7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76" spans="1:32">
      <c r="A27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VenezolanosVE2023</v>
      </c>
      <c r="B276" s="105" t="s">
        <v>589</v>
      </c>
      <c r="C276" s="104" t="s">
        <v>590</v>
      </c>
      <c r="D276" s="119" t="s">
        <v>630</v>
      </c>
      <c r="E276" s="104" t="s">
        <v>631</v>
      </c>
      <c r="F276" s="119"/>
      <c r="G276" s="102">
        <v>263765</v>
      </c>
      <c r="H276" s="102" t="s">
        <v>102</v>
      </c>
      <c r="I276" s="206">
        <v>35169</v>
      </c>
      <c r="J276" s="120">
        <v>21101</v>
      </c>
      <c r="K276" s="207">
        <v>68673.882803642831</v>
      </c>
      <c r="L276" s="207">
        <v>10804.255944996999</v>
      </c>
      <c r="M276" s="207">
        <v>7881.8354897917834</v>
      </c>
      <c r="N276" s="298">
        <v>0</v>
      </c>
      <c r="O276" s="114">
        <f>tblPiNAnalysis[[#This Row],[SAMV]]</f>
        <v>733</v>
      </c>
      <c r="P276" s="115">
        <f>tblPiNAnalysis[[#This Row],[NUT]]</f>
        <v>189.82809688826026</v>
      </c>
      <c r="Q276" s="115">
        <f>tblPiNAnalysis[[#This Row],[SAL]]</f>
        <v>3500</v>
      </c>
      <c r="R276" s="115">
        <f>tblPiNAnalysis[[#This Row],[EDU]]</f>
        <v>445.31725736203504</v>
      </c>
      <c r="S276" s="115">
        <f>tblPiNAnalysis[[#This Row],[PRO]]</f>
        <v>435.07605665220876</v>
      </c>
      <c r="T276" s="116">
        <f>tblPiNAnalysis[[#This Row],[ASH]]</f>
        <v>0</v>
      </c>
      <c r="U276" s="300">
        <f>IF(OR(tblPiNHistorical[[#This Row],[SAMV25]]="", tblPiNHistorical[[#This Row],[SAMV25]]=0, tblPiNHistorical[[#This Row],[SAMV26]]="", tblPiNHistorical[[#This Row],[SAMV26]]=0), "", tblPiNHistorical[[#This Row],[SAMV26]]-tblPiNHistorical[[#This Row],[SAMV25]])</f>
        <v>-34436</v>
      </c>
      <c r="V276" s="121">
        <f>IF(OR(tblPiNHistorical[[#This Row],[NUT25]]="", tblPiNHistorical[[#This Row],[NUT25]]=0, tblPiNHistorical[[#This Row],[NUT26]]="", tblPiNHistorical[[#This Row],[NUT26]]=0), "", tblPiNHistorical[[#This Row],[NUT26]]-tblPiNHistorical[[#This Row],[NUT25]])</f>
        <v>-20911.171903111739</v>
      </c>
      <c r="W276" s="121">
        <f>IF(OR(tblPiNHistorical[[#This Row],[SAL25]]="", tblPiNHistorical[[#This Row],[SAL25]]=0, tblPiNHistorical[[#This Row],[SAL26]]="", tblPiNHistorical[[#This Row],[SAL26]]=0), "", tblPiNHistorical[[#This Row],[SAL26]]-tblPiNHistorical[[#This Row],[SAL25]])</f>
        <v>-65173.882803642831</v>
      </c>
      <c r="X276" s="121">
        <f>IF(OR(tblPiNHistorical[[#This Row],[EDU25]]="", tblPiNHistorical[[#This Row],[EDU25]]=0, tblPiNHistorical[[#This Row],[EDU26]]="", tblPiNHistorical[[#This Row],[EDU26]]=0), "", tblPiNHistorical[[#This Row],[EDU26]]-tblPiNHistorical[[#This Row],[EDU25]])</f>
        <v>-10358.938687634964</v>
      </c>
      <c r="Y276" s="121">
        <f>IF(OR(tblPiNHistorical[[#This Row],[PRO25]]="", tblPiNHistorical[[#This Row],[PRO25]]=0, tblPiNHistorical[[#This Row],[PRO26]]="", tblPiNHistorical[[#This Row],[PRO26]]=0), "", tblPiNHistorical[[#This Row],[PRO26]]-tblPiNHistorical[[#This Row],[PRO25]])</f>
        <v>-7446.7594331395749</v>
      </c>
      <c r="Z276" s="223" t="str">
        <f>IF(OR(tblPiNHistorical[[#This Row],[ASH25]]="", tblPiNHistorical[[#This Row],[ASH25]]=0, tblPiNHistorical[[#This Row],[ASH26]]="", tblPiNHistorical[[#This Row],[ASH26]]=0), "", tblPiNHistorical[[#This Row],[ASH26]]-tblPiNHistorical[[#This Row],[ASH25]])</f>
        <v/>
      </c>
      <c r="AA27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27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v>
      </c>
      <c r="AC27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-0.9</v>
      </c>
      <c r="AD27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27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7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77" spans="1:32">
      <c r="A27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VenezolanosVE2024</v>
      </c>
      <c r="B277" s="105" t="s">
        <v>589</v>
      </c>
      <c r="C277" s="104" t="s">
        <v>590</v>
      </c>
      <c r="D277" s="119" t="s">
        <v>632</v>
      </c>
      <c r="E277" s="104" t="s">
        <v>633</v>
      </c>
      <c r="F277" s="119"/>
      <c r="G277" s="102">
        <v>10243</v>
      </c>
      <c r="H277" s="102" t="s">
        <v>102</v>
      </c>
      <c r="I277" s="206">
        <v>1366</v>
      </c>
      <c r="J277" s="120">
        <v>443</v>
      </c>
      <c r="K277" s="207">
        <v>2667.2162469328036</v>
      </c>
      <c r="L277" s="207">
        <v>812.52077680081993</v>
      </c>
      <c r="M277" s="207">
        <v>5007.2920082175606</v>
      </c>
      <c r="N277" s="298">
        <v>0</v>
      </c>
      <c r="O277" s="114">
        <f>tblPiNAnalysis[[#This Row],[SAMV]]</f>
        <v>2260</v>
      </c>
      <c r="P277" s="115">
        <f>tblPiNAnalysis[[#This Row],[NUT]]</f>
        <v>528.83147596117101</v>
      </c>
      <c r="Q277" s="115">
        <f>tblPiNAnalysis[[#This Row],[SAL]]</f>
        <v>8400</v>
      </c>
      <c r="R277" s="115">
        <f>tblPiNAnalysis[[#This Row],[EDU]]</f>
        <v>1330.934324580694</v>
      </c>
      <c r="S277" s="115">
        <f>tblPiNAnalysis[[#This Row],[PRO]]</f>
        <v>1342.3626892095244</v>
      </c>
      <c r="T277" s="116">
        <f>tblPiNAnalysis[[#This Row],[ASH]]</f>
        <v>0</v>
      </c>
      <c r="U277" s="300">
        <f>IF(OR(tblPiNHistorical[[#This Row],[SAMV25]]="", tblPiNHistorical[[#This Row],[SAMV25]]=0, tblPiNHistorical[[#This Row],[SAMV26]]="", tblPiNHistorical[[#This Row],[SAMV26]]=0), "", tblPiNHistorical[[#This Row],[SAMV26]]-tblPiNHistorical[[#This Row],[SAMV25]])</f>
        <v>894</v>
      </c>
      <c r="V277" s="121">
        <f>IF(OR(tblPiNHistorical[[#This Row],[NUT25]]="", tblPiNHistorical[[#This Row],[NUT25]]=0, tblPiNHistorical[[#This Row],[NUT26]]="", tblPiNHistorical[[#This Row],[NUT26]]=0), "", tblPiNHistorical[[#This Row],[NUT26]]-tblPiNHistorical[[#This Row],[NUT25]])</f>
        <v>85.831475961171009</v>
      </c>
      <c r="W277" s="121">
        <f>IF(OR(tblPiNHistorical[[#This Row],[SAL25]]="", tblPiNHistorical[[#This Row],[SAL25]]=0, tblPiNHistorical[[#This Row],[SAL26]]="", tblPiNHistorical[[#This Row],[SAL26]]=0), "", tblPiNHistorical[[#This Row],[SAL26]]-tblPiNHistorical[[#This Row],[SAL25]])</f>
        <v>5732.7837530671968</v>
      </c>
      <c r="X277" s="121">
        <f>IF(OR(tblPiNHistorical[[#This Row],[EDU25]]="", tblPiNHistorical[[#This Row],[EDU25]]=0, tblPiNHistorical[[#This Row],[EDU26]]="", tblPiNHistorical[[#This Row],[EDU26]]=0), "", tblPiNHistorical[[#This Row],[EDU26]]-tblPiNHistorical[[#This Row],[EDU25]])</f>
        <v>518.41354777987408</v>
      </c>
      <c r="Y277" s="121">
        <f>IF(OR(tblPiNHistorical[[#This Row],[PRO25]]="", tblPiNHistorical[[#This Row],[PRO25]]=0, tblPiNHistorical[[#This Row],[PRO26]]="", tblPiNHistorical[[#This Row],[PRO26]]=0), "", tblPiNHistorical[[#This Row],[PRO26]]-tblPiNHistorical[[#This Row],[PRO25]])</f>
        <v>-3664.9293190080361</v>
      </c>
      <c r="Z277" s="223" t="str">
        <f>IF(OR(tblPiNHistorical[[#This Row],[ASH25]]="", tblPiNHistorical[[#This Row],[ASH25]]=0, tblPiNHistorical[[#This Row],[ASH26]]="", tblPiNHistorical[[#This Row],[ASH26]]=0), "", tblPiNHistorical[[#This Row],[ASH26]]-tblPiNHistorical[[#This Row],[ASH25]])</f>
        <v/>
      </c>
      <c r="AA27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0.7</v>
      </c>
      <c r="AB27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27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2.1</v>
      </c>
      <c r="AD27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27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27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78" spans="1:32">
      <c r="A27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VenezolanosVE2025</v>
      </c>
      <c r="B278" s="105" t="s">
        <v>589</v>
      </c>
      <c r="C278" s="104" t="s">
        <v>590</v>
      </c>
      <c r="D278" s="119" t="s">
        <v>157</v>
      </c>
      <c r="E278" s="104" t="s">
        <v>634</v>
      </c>
      <c r="F278" s="119"/>
      <c r="G278" s="102">
        <v>2445</v>
      </c>
      <c r="H278" s="102" t="s">
        <v>102</v>
      </c>
      <c r="I278" s="206">
        <v>326</v>
      </c>
      <c r="J278" s="120">
        <v>103</v>
      </c>
      <c r="K278" s="207">
        <v>636.08946156421246</v>
      </c>
      <c r="L278" s="207">
        <v>138.87299278630408</v>
      </c>
      <c r="M278" s="207">
        <v>869.26443496432591</v>
      </c>
      <c r="N278" s="298">
        <v>0</v>
      </c>
      <c r="O278" s="114">
        <f>tblPiNAnalysis[[#This Row],[SAMV]]</f>
        <v>4642</v>
      </c>
      <c r="P278" s="115">
        <f>tblPiNAnalysis[[#This Row],[NUT]]</f>
        <v>2466.1111424030519</v>
      </c>
      <c r="Q278" s="115">
        <f>tblPiNAnalysis[[#This Row],[SAL]]</f>
        <v>37278.544999999998</v>
      </c>
      <c r="R278" s="115">
        <f>tblPiNAnalysis[[#This Row],[EDU]]</f>
        <v>13344.091291575234</v>
      </c>
      <c r="S278" s="115">
        <f>tblPiNAnalysis[[#This Row],[PRO]]</f>
        <v>17084.053400253753</v>
      </c>
      <c r="T278" s="116">
        <f>tblPiNAnalysis[[#This Row],[ASH]]</f>
        <v>0</v>
      </c>
      <c r="U278" s="300">
        <f>IF(OR(tblPiNHistorical[[#This Row],[SAMV25]]="", tblPiNHistorical[[#This Row],[SAMV25]]=0, tblPiNHistorical[[#This Row],[SAMV26]]="", tblPiNHistorical[[#This Row],[SAMV26]]=0), "", tblPiNHistorical[[#This Row],[SAMV26]]-tblPiNHistorical[[#This Row],[SAMV25]])</f>
        <v>4316</v>
      </c>
      <c r="V278" s="121">
        <f>IF(OR(tblPiNHistorical[[#This Row],[NUT25]]="", tblPiNHistorical[[#This Row],[NUT25]]=0, tblPiNHistorical[[#This Row],[NUT26]]="", tblPiNHistorical[[#This Row],[NUT26]]=0), "", tblPiNHistorical[[#This Row],[NUT26]]-tblPiNHistorical[[#This Row],[NUT25]])</f>
        <v>2363.1111424030519</v>
      </c>
      <c r="W278" s="121">
        <f>IF(OR(tblPiNHistorical[[#This Row],[SAL25]]="", tblPiNHistorical[[#This Row],[SAL25]]=0, tblPiNHistorical[[#This Row],[SAL26]]="", tblPiNHistorical[[#This Row],[SAL26]]=0), "", tblPiNHistorical[[#This Row],[SAL26]]-tblPiNHistorical[[#This Row],[SAL25]])</f>
        <v>36642.455538435788</v>
      </c>
      <c r="X278" s="121">
        <f>IF(OR(tblPiNHistorical[[#This Row],[EDU25]]="", tblPiNHistorical[[#This Row],[EDU25]]=0, tblPiNHistorical[[#This Row],[EDU26]]="", tblPiNHistorical[[#This Row],[EDU26]]=0), "", tblPiNHistorical[[#This Row],[EDU26]]-tblPiNHistorical[[#This Row],[EDU25]])</f>
        <v>13205.21829878893</v>
      </c>
      <c r="Y278" s="121">
        <f>IF(OR(tblPiNHistorical[[#This Row],[PRO25]]="", tblPiNHistorical[[#This Row],[PRO25]]=0, tblPiNHistorical[[#This Row],[PRO26]]="", tblPiNHistorical[[#This Row],[PRO26]]=0), "", tblPiNHistorical[[#This Row],[PRO26]]-tblPiNHistorical[[#This Row],[PRO25]])</f>
        <v>16214.788965289428</v>
      </c>
      <c r="Z278" s="223" t="str">
        <f>IF(OR(tblPiNHistorical[[#This Row],[ASH25]]="", tblPiNHistorical[[#This Row],[ASH25]]=0, tblPiNHistorical[[#This Row],[ASH26]]="", tblPiNHistorical[[#This Row],[ASH26]]=0), "", tblPiNHistorical[[#This Row],[ASH26]]-tblPiNHistorical[[#This Row],[ASH25]])</f>
        <v/>
      </c>
      <c r="AA27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13.2</v>
      </c>
      <c r="AB27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22.9</v>
      </c>
      <c r="AC27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57.6</v>
      </c>
      <c r="AD27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95.1</v>
      </c>
      <c r="AE27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18.7</v>
      </c>
      <c r="AF27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79" spans="1:32">
      <c r="A27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VenezolanosVE2026</v>
      </c>
      <c r="B279" s="105" t="s">
        <v>589</v>
      </c>
      <c r="C279" s="104" t="s">
        <v>590</v>
      </c>
      <c r="D279" s="119" t="s">
        <v>203</v>
      </c>
      <c r="E279" s="104" t="s">
        <v>635</v>
      </c>
      <c r="F279" s="119"/>
      <c r="G279" s="102">
        <v>7320</v>
      </c>
      <c r="H279" s="102" t="s">
        <v>102</v>
      </c>
      <c r="I279" s="206">
        <v>976</v>
      </c>
      <c r="J279" s="120">
        <v>305</v>
      </c>
      <c r="K279" s="207">
        <v>1906.2867975849608</v>
      </c>
      <c r="L279" s="207">
        <v>543.959178933967</v>
      </c>
      <c r="M279" s="207">
        <v>2602.4603942490248</v>
      </c>
      <c r="N279" s="298">
        <v>0</v>
      </c>
      <c r="O279" s="114">
        <f>tblPiNAnalysis[[#This Row],[SAMV]]</f>
        <v>4775</v>
      </c>
      <c r="P279" s="115">
        <f>tblPiNAnalysis[[#This Row],[NUT]]</f>
        <v>945.87224101947027</v>
      </c>
      <c r="Q279" s="115">
        <f>tblPiNAnalysis[[#This Row],[SAL]]</f>
        <v>15789.714285714284</v>
      </c>
      <c r="R279" s="115">
        <f>tblPiNAnalysis[[#This Row],[EDU]]</f>
        <v>1981.1064038764769</v>
      </c>
      <c r="S279" s="115">
        <f>tblPiNAnalysis[[#This Row],[PRO]]</f>
        <v>2835.772544569355</v>
      </c>
      <c r="T279" s="116">
        <f>tblPiNAnalysis[[#This Row],[ASH]]</f>
        <v>0</v>
      </c>
      <c r="U279" s="300">
        <f>IF(OR(tblPiNHistorical[[#This Row],[SAMV25]]="", tblPiNHistorical[[#This Row],[SAMV25]]=0, tblPiNHistorical[[#This Row],[SAMV26]]="", tblPiNHistorical[[#This Row],[SAMV26]]=0), "", tblPiNHistorical[[#This Row],[SAMV26]]-tblPiNHistorical[[#This Row],[SAMV25]])</f>
        <v>3799</v>
      </c>
      <c r="V279" s="121">
        <f>IF(OR(tblPiNHistorical[[#This Row],[NUT25]]="", tblPiNHistorical[[#This Row],[NUT25]]=0, tblPiNHistorical[[#This Row],[NUT26]]="", tblPiNHistorical[[#This Row],[NUT26]]=0), "", tblPiNHistorical[[#This Row],[NUT26]]-tblPiNHistorical[[#This Row],[NUT25]])</f>
        <v>640.87224101947027</v>
      </c>
      <c r="W279" s="121">
        <f>IF(OR(tblPiNHistorical[[#This Row],[SAL25]]="", tblPiNHistorical[[#This Row],[SAL25]]=0, tblPiNHistorical[[#This Row],[SAL26]]="", tblPiNHistorical[[#This Row],[SAL26]]=0), "", tblPiNHistorical[[#This Row],[SAL26]]-tblPiNHistorical[[#This Row],[SAL25]])</f>
        <v>13883.427488129324</v>
      </c>
      <c r="X279" s="121">
        <f>IF(OR(tblPiNHistorical[[#This Row],[EDU25]]="", tblPiNHistorical[[#This Row],[EDU25]]=0, tblPiNHistorical[[#This Row],[EDU26]]="", tblPiNHistorical[[#This Row],[EDU26]]=0), "", tblPiNHistorical[[#This Row],[EDU26]]-tblPiNHistorical[[#This Row],[EDU25]])</f>
        <v>1437.1472249425099</v>
      </c>
      <c r="Y279" s="121">
        <f>IF(OR(tblPiNHistorical[[#This Row],[PRO25]]="", tblPiNHistorical[[#This Row],[PRO25]]=0, tblPiNHistorical[[#This Row],[PRO26]]="", tblPiNHistorical[[#This Row],[PRO26]]=0), "", tblPiNHistorical[[#This Row],[PRO26]]-tblPiNHistorical[[#This Row],[PRO25]])</f>
        <v>233.31215032033015</v>
      </c>
      <c r="Z279" s="223" t="str">
        <f>IF(OR(tblPiNHistorical[[#This Row],[ASH25]]="", tblPiNHistorical[[#This Row],[ASH25]]=0, tblPiNHistorical[[#This Row],[ASH26]]="", tblPiNHistorical[[#This Row],[ASH26]]=0), "", tblPiNHistorical[[#This Row],[ASH26]]-tblPiNHistorical[[#This Row],[ASH25]])</f>
        <v/>
      </c>
      <c r="AA27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3.9</v>
      </c>
      <c r="AB27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2.1</v>
      </c>
      <c r="AC27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7.3</v>
      </c>
      <c r="AD27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2.6</v>
      </c>
      <c r="AE27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27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80" spans="1:32">
      <c r="A28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VenezolanosVE2027</v>
      </c>
      <c r="B280" s="105" t="s">
        <v>589</v>
      </c>
      <c r="C280" s="104" t="s">
        <v>590</v>
      </c>
      <c r="D280" s="119" t="s">
        <v>636</v>
      </c>
      <c r="E280" s="104" t="s">
        <v>637</v>
      </c>
      <c r="F280" s="119"/>
      <c r="G280" s="102">
        <v>49577</v>
      </c>
      <c r="H280" s="102" t="s">
        <v>102</v>
      </c>
      <c r="I280" s="206">
        <v>6610</v>
      </c>
      <c r="J280" s="120">
        <v>3456</v>
      </c>
      <c r="K280" s="207">
        <v>12908.058419405857</v>
      </c>
      <c r="L280" s="207">
        <v>3528.17734091798</v>
      </c>
      <c r="M280" s="207">
        <v>10837.523798463702</v>
      </c>
      <c r="N280" s="298">
        <v>0</v>
      </c>
      <c r="O280" s="114">
        <f>tblPiNAnalysis[[#This Row],[SAMV]]</f>
        <v>0</v>
      </c>
      <c r="P280" s="115">
        <f>tblPiNAnalysis[[#This Row],[NUT]]</f>
        <v>318.523220257388</v>
      </c>
      <c r="Q280" s="115">
        <f>tblPiNAnalysis[[#This Row],[SAL]]</f>
        <v>3524.0749999999998</v>
      </c>
      <c r="R280" s="115">
        <f>tblPiNAnalysis[[#This Row],[EDU]]</f>
        <v>889.06114501106993</v>
      </c>
      <c r="S280" s="115">
        <f>tblPiNAnalysis[[#This Row],[PRO]]</f>
        <v>969.01022536956725</v>
      </c>
      <c r="T280" s="116">
        <f>tblPiNAnalysis[[#This Row],[ASH]]</f>
        <v>0</v>
      </c>
      <c r="U280" s="300" t="str">
        <f>IF(OR(tblPiNHistorical[[#This Row],[SAMV25]]="", tblPiNHistorical[[#This Row],[SAMV25]]=0, tblPiNHistorical[[#This Row],[SAMV26]]="", tblPiNHistorical[[#This Row],[SAMV26]]=0), "", tblPiNHistorical[[#This Row],[SAMV26]]-tblPiNHistorical[[#This Row],[SAMV25]])</f>
        <v/>
      </c>
      <c r="V280" s="121">
        <f>IF(OR(tblPiNHistorical[[#This Row],[NUT25]]="", tblPiNHistorical[[#This Row],[NUT25]]=0, tblPiNHistorical[[#This Row],[NUT26]]="", tblPiNHistorical[[#This Row],[NUT26]]=0), "", tblPiNHistorical[[#This Row],[NUT26]]-tblPiNHistorical[[#This Row],[NUT25]])</f>
        <v>-3137.4767797426121</v>
      </c>
      <c r="W280" s="121">
        <f>IF(OR(tblPiNHistorical[[#This Row],[SAL25]]="", tblPiNHistorical[[#This Row],[SAL25]]=0, tblPiNHistorical[[#This Row],[SAL26]]="", tblPiNHistorical[[#This Row],[SAL26]]=0), "", tblPiNHistorical[[#This Row],[SAL26]]-tblPiNHistorical[[#This Row],[SAL25]])</f>
        <v>-9383.9834194058567</v>
      </c>
      <c r="X280" s="121">
        <f>IF(OR(tblPiNHistorical[[#This Row],[EDU25]]="", tblPiNHistorical[[#This Row],[EDU25]]=0, tblPiNHistorical[[#This Row],[EDU26]]="", tblPiNHistorical[[#This Row],[EDU26]]=0), "", tblPiNHistorical[[#This Row],[EDU26]]-tblPiNHistorical[[#This Row],[EDU25]])</f>
        <v>-2639.11619590691</v>
      </c>
      <c r="Y280" s="121">
        <f>IF(OR(tblPiNHistorical[[#This Row],[PRO25]]="", tblPiNHistorical[[#This Row],[PRO25]]=0, tblPiNHistorical[[#This Row],[PRO26]]="", tblPiNHistorical[[#This Row],[PRO26]]=0), "", tblPiNHistorical[[#This Row],[PRO26]]-tblPiNHistorical[[#This Row],[PRO25]])</f>
        <v>-9868.5135730941347</v>
      </c>
      <c r="Z280" s="223" t="str">
        <f>IF(OR(tblPiNHistorical[[#This Row],[ASH25]]="", tblPiNHistorical[[#This Row],[ASH25]]=0, tblPiNHistorical[[#This Row],[ASH26]]="", tblPiNHistorical[[#This Row],[ASH26]]=0), "", tblPiNHistorical[[#This Row],[ASH26]]-tblPiNHistorical[[#This Row],[ASH25]])</f>
        <v/>
      </c>
      <c r="AA280" s="227" t="str">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NoPIN26 6610</v>
      </c>
      <c r="AB28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28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28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28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8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81" spans="1:32">
      <c r="A28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VenezolanosVE2028</v>
      </c>
      <c r="B281" s="105" t="s">
        <v>589</v>
      </c>
      <c r="C281" s="104" t="s">
        <v>590</v>
      </c>
      <c r="D281" s="119" t="s">
        <v>638</v>
      </c>
      <c r="E281" s="104" t="s">
        <v>639</v>
      </c>
      <c r="F281" s="119"/>
      <c r="G281" s="102">
        <v>20104</v>
      </c>
      <c r="H281" s="102" t="s">
        <v>102</v>
      </c>
      <c r="I281" s="206">
        <v>2681</v>
      </c>
      <c r="J281" s="120">
        <v>875</v>
      </c>
      <c r="K281" s="207">
        <v>5234.3623449279357</v>
      </c>
      <c r="L281" s="207">
        <v>1883.6673703170272</v>
      </c>
      <c r="M281" s="207">
        <v>9827.8432620527055</v>
      </c>
      <c r="N281" s="298">
        <v>0</v>
      </c>
      <c r="O281" s="114">
        <f>tblPiNAnalysis[[#This Row],[SAMV]]</f>
        <v>1158</v>
      </c>
      <c r="P281" s="115">
        <f>tblPiNAnalysis[[#This Row],[NUT]]</f>
        <v>305.16899987864076</v>
      </c>
      <c r="Q281" s="115">
        <f>tblPiNAnalysis[[#This Row],[SAL]]</f>
        <v>4900</v>
      </c>
      <c r="R281" s="115">
        <f>tblPiNAnalysis[[#This Row],[EDU]]</f>
        <v>868.78559646071756</v>
      </c>
      <c r="S281" s="115">
        <f>tblPiNAnalysis[[#This Row],[PRO]]</f>
        <v>929.56734410905574</v>
      </c>
      <c r="T281" s="116">
        <f>tblPiNAnalysis[[#This Row],[ASH]]</f>
        <v>0</v>
      </c>
      <c r="U281" s="300">
        <f>IF(OR(tblPiNHistorical[[#This Row],[SAMV25]]="", tblPiNHistorical[[#This Row],[SAMV25]]=0, tblPiNHistorical[[#This Row],[SAMV26]]="", tblPiNHistorical[[#This Row],[SAMV26]]=0), "", tblPiNHistorical[[#This Row],[SAMV26]]-tblPiNHistorical[[#This Row],[SAMV25]])</f>
        <v>-1523</v>
      </c>
      <c r="V281" s="121">
        <f>IF(OR(tblPiNHistorical[[#This Row],[NUT25]]="", tblPiNHistorical[[#This Row],[NUT25]]=0, tblPiNHistorical[[#This Row],[NUT26]]="", tblPiNHistorical[[#This Row],[NUT26]]=0), "", tblPiNHistorical[[#This Row],[NUT26]]-tblPiNHistorical[[#This Row],[NUT25]])</f>
        <v>-569.83100012135924</v>
      </c>
      <c r="W281" s="121">
        <f>IF(OR(tblPiNHistorical[[#This Row],[SAL25]]="", tblPiNHistorical[[#This Row],[SAL25]]=0, tblPiNHistorical[[#This Row],[SAL26]]="", tblPiNHistorical[[#This Row],[SAL26]]=0), "", tblPiNHistorical[[#This Row],[SAL26]]-tblPiNHistorical[[#This Row],[SAL25]])</f>
        <v>-334.36234492793574</v>
      </c>
      <c r="X281" s="121">
        <f>IF(OR(tblPiNHistorical[[#This Row],[EDU25]]="", tblPiNHistorical[[#This Row],[EDU25]]=0, tblPiNHistorical[[#This Row],[EDU26]]="", tblPiNHistorical[[#This Row],[EDU26]]=0), "", tblPiNHistorical[[#This Row],[EDU26]]-tblPiNHistorical[[#This Row],[EDU25]])</f>
        <v>-1014.8817738563097</v>
      </c>
      <c r="Y281" s="121">
        <f>IF(OR(tblPiNHistorical[[#This Row],[PRO25]]="", tblPiNHistorical[[#This Row],[PRO25]]=0, tblPiNHistorical[[#This Row],[PRO26]]="", tblPiNHistorical[[#This Row],[PRO26]]=0), "", tblPiNHistorical[[#This Row],[PRO26]]-tblPiNHistorical[[#This Row],[PRO25]])</f>
        <v>-8898.2759179436507</v>
      </c>
      <c r="Z281" s="223" t="str">
        <f>IF(OR(tblPiNHistorical[[#This Row],[ASH25]]="", tblPiNHistorical[[#This Row],[ASH25]]=0, tblPiNHistorical[[#This Row],[ASH26]]="", tblPiNHistorical[[#This Row],[ASH26]]=0), "", tblPiNHistorical[[#This Row],[ASH26]]-tblPiNHistorical[[#This Row],[ASH25]])</f>
        <v/>
      </c>
      <c r="AA28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28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28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28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28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8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82" spans="1:32">
      <c r="A28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VenezolanosVE2029</v>
      </c>
      <c r="B282" s="105" t="s">
        <v>589</v>
      </c>
      <c r="C282" s="104" t="s">
        <v>590</v>
      </c>
      <c r="D282" s="119" t="s">
        <v>640</v>
      </c>
      <c r="E282" s="104" t="s">
        <v>641</v>
      </c>
      <c r="F282" s="119"/>
      <c r="G282" s="102">
        <v>7649</v>
      </c>
      <c r="H282" s="102" t="s">
        <v>102</v>
      </c>
      <c r="I282" s="206">
        <v>1020</v>
      </c>
      <c r="J282" s="120">
        <v>279</v>
      </c>
      <c r="K282" s="207">
        <v>1991.4950432150579</v>
      </c>
      <c r="L282" s="207">
        <v>583.78518162643172</v>
      </c>
      <c r="M282" s="207">
        <v>2719.4289010397256</v>
      </c>
      <c r="N282" s="298">
        <v>0</v>
      </c>
      <c r="O282" s="114">
        <f>tblPiNAnalysis[[#This Row],[SAMV]]</f>
        <v>2534</v>
      </c>
      <c r="P282" s="115">
        <f>tblPiNAnalysis[[#This Row],[NUT]]</f>
        <v>522.72420593754259</v>
      </c>
      <c r="Q282" s="115">
        <f>tblPiNAnalysis[[#This Row],[SAL]]</f>
        <v>5473.54</v>
      </c>
      <c r="R282" s="115">
        <f>tblPiNAnalysis[[#This Row],[EDU]]</f>
        <v>1002.8945037551084</v>
      </c>
      <c r="S282" s="115">
        <f>tblPiNAnalysis[[#This Row],[PRO]]</f>
        <v>1505.0520289634417</v>
      </c>
      <c r="T282" s="116">
        <f>tblPiNAnalysis[[#This Row],[ASH]]</f>
        <v>0</v>
      </c>
      <c r="U282" s="300">
        <f>IF(OR(tblPiNHistorical[[#This Row],[SAMV25]]="", tblPiNHistorical[[#This Row],[SAMV25]]=0, tblPiNHistorical[[#This Row],[SAMV26]]="", tblPiNHistorical[[#This Row],[SAMV26]]=0), "", tblPiNHistorical[[#This Row],[SAMV26]]-tblPiNHistorical[[#This Row],[SAMV25]])</f>
        <v>1514</v>
      </c>
      <c r="V282" s="121">
        <f>IF(OR(tblPiNHistorical[[#This Row],[NUT25]]="", tblPiNHistorical[[#This Row],[NUT25]]=0, tblPiNHistorical[[#This Row],[NUT26]]="", tblPiNHistorical[[#This Row],[NUT26]]=0), "", tblPiNHistorical[[#This Row],[NUT26]]-tblPiNHistorical[[#This Row],[NUT25]])</f>
        <v>243.72420593754259</v>
      </c>
      <c r="W282" s="121">
        <f>IF(OR(tblPiNHistorical[[#This Row],[SAL25]]="", tblPiNHistorical[[#This Row],[SAL25]]=0, tblPiNHistorical[[#This Row],[SAL26]]="", tblPiNHistorical[[#This Row],[SAL26]]=0), "", tblPiNHistorical[[#This Row],[SAL26]]-tblPiNHistorical[[#This Row],[SAL25]])</f>
        <v>3482.0449567849419</v>
      </c>
      <c r="X282" s="121">
        <f>IF(OR(tblPiNHistorical[[#This Row],[EDU25]]="", tblPiNHistorical[[#This Row],[EDU25]]=0, tblPiNHistorical[[#This Row],[EDU26]]="", tblPiNHistorical[[#This Row],[EDU26]]=0), "", tblPiNHistorical[[#This Row],[EDU26]]-tblPiNHistorical[[#This Row],[EDU25]])</f>
        <v>419.10932212867669</v>
      </c>
      <c r="Y282" s="121">
        <f>IF(OR(tblPiNHistorical[[#This Row],[PRO25]]="", tblPiNHistorical[[#This Row],[PRO25]]=0, tblPiNHistorical[[#This Row],[PRO26]]="", tblPiNHistorical[[#This Row],[PRO26]]=0), "", tblPiNHistorical[[#This Row],[PRO26]]-tblPiNHistorical[[#This Row],[PRO25]])</f>
        <v>-1214.3768720762839</v>
      </c>
      <c r="Z282" s="223" t="str">
        <f>IF(OR(tblPiNHistorical[[#This Row],[ASH25]]="", tblPiNHistorical[[#This Row],[ASH25]]=0, tblPiNHistorical[[#This Row],[ASH26]]="", tblPiNHistorical[[#This Row],[ASH26]]=0), "", tblPiNHistorical[[#This Row],[ASH26]]-tblPiNHistorical[[#This Row],[ASH25]])</f>
        <v/>
      </c>
      <c r="AA28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1.5</v>
      </c>
      <c r="AB28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28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1.7</v>
      </c>
      <c r="AD28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28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28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83" spans="1:32">
      <c r="A28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VenezolanosVE2101</v>
      </c>
      <c r="B283" s="105" t="s">
        <v>642</v>
      </c>
      <c r="C283" s="104" t="s">
        <v>643</v>
      </c>
      <c r="D283" s="119" t="s">
        <v>415</v>
      </c>
      <c r="E283" s="104" t="s">
        <v>644</v>
      </c>
      <c r="F283" s="119"/>
      <c r="G283" s="102">
        <v>14699</v>
      </c>
      <c r="H283" s="102" t="s">
        <v>102</v>
      </c>
      <c r="I283" s="206">
        <v>2361</v>
      </c>
      <c r="J283" s="120">
        <v>635</v>
      </c>
      <c r="K283" s="207">
        <v>3827.4354984774964</v>
      </c>
      <c r="L283" s="207">
        <v>1876.5056366813922</v>
      </c>
      <c r="M283" s="207">
        <v>7185.6082425841978</v>
      </c>
      <c r="N283" s="298">
        <v>0</v>
      </c>
      <c r="O283" s="114">
        <f>tblPiNAnalysis[[#This Row],[SAMV]]</f>
        <v>845</v>
      </c>
      <c r="P283" s="115">
        <f>tblPiNAnalysis[[#This Row],[NUT]]</f>
        <v>207.64490296220634</v>
      </c>
      <c r="Q283" s="115">
        <f>tblPiNAnalysis[[#This Row],[SAL]]</f>
        <v>4495</v>
      </c>
      <c r="R283" s="115">
        <f>tblPiNAnalysis[[#This Row],[EDU]]</f>
        <v>292.25911754380951</v>
      </c>
      <c r="S283" s="115">
        <f>tblPiNAnalysis[[#This Row],[PRO]]</f>
        <v>167.27260924729282</v>
      </c>
      <c r="T283" s="116">
        <f>tblPiNAnalysis[[#This Row],[ASH]]</f>
        <v>0</v>
      </c>
      <c r="U283" s="300">
        <f>IF(OR(tblPiNHistorical[[#This Row],[SAMV25]]="", tblPiNHistorical[[#This Row],[SAMV25]]=0, tblPiNHistorical[[#This Row],[SAMV26]]="", tblPiNHistorical[[#This Row],[SAMV26]]=0), "", tblPiNHistorical[[#This Row],[SAMV26]]-tblPiNHistorical[[#This Row],[SAMV25]])</f>
        <v>-1516</v>
      </c>
      <c r="V283" s="121">
        <f>IF(OR(tblPiNHistorical[[#This Row],[NUT25]]="", tblPiNHistorical[[#This Row],[NUT25]]=0, tblPiNHistorical[[#This Row],[NUT26]]="", tblPiNHistorical[[#This Row],[NUT26]]=0), "", tblPiNHistorical[[#This Row],[NUT26]]-tblPiNHistorical[[#This Row],[NUT25]])</f>
        <v>-427.35509703779366</v>
      </c>
      <c r="W283" s="121">
        <f>IF(OR(tblPiNHistorical[[#This Row],[SAL25]]="", tblPiNHistorical[[#This Row],[SAL25]]=0, tblPiNHistorical[[#This Row],[SAL26]]="", tblPiNHistorical[[#This Row],[SAL26]]=0), "", tblPiNHistorical[[#This Row],[SAL26]]-tblPiNHistorical[[#This Row],[SAL25]])</f>
        <v>667.56450152250363</v>
      </c>
      <c r="X283" s="121">
        <f>IF(OR(tblPiNHistorical[[#This Row],[EDU25]]="", tblPiNHistorical[[#This Row],[EDU25]]=0, tblPiNHistorical[[#This Row],[EDU26]]="", tblPiNHistorical[[#This Row],[EDU26]]=0), "", tblPiNHistorical[[#This Row],[EDU26]]-tblPiNHistorical[[#This Row],[EDU25]])</f>
        <v>-1584.2465191375827</v>
      </c>
      <c r="Y283" s="121">
        <f>IF(OR(tblPiNHistorical[[#This Row],[PRO25]]="", tblPiNHistorical[[#This Row],[PRO25]]=0, tblPiNHistorical[[#This Row],[PRO26]]="", tblPiNHistorical[[#This Row],[PRO26]]=0), "", tblPiNHistorical[[#This Row],[PRO26]]-tblPiNHistorical[[#This Row],[PRO25]])</f>
        <v>-7018.3356333369047</v>
      </c>
      <c r="Z283" s="223" t="str">
        <f>IF(OR(tblPiNHistorical[[#This Row],[ASH25]]="", tblPiNHistorical[[#This Row],[ASH25]]=0, tblPiNHistorical[[#This Row],[ASH26]]="", tblPiNHistorical[[#This Row],[ASH26]]=0), "", tblPiNHistorical[[#This Row],[ASH26]]-tblPiNHistorical[[#This Row],[ASH25]])</f>
        <v/>
      </c>
      <c r="AA28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28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28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28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28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28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84" spans="1:32">
      <c r="A28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VenezolanosVE2102</v>
      </c>
      <c r="B284" s="105" t="s">
        <v>642</v>
      </c>
      <c r="C284" s="104" t="s">
        <v>643</v>
      </c>
      <c r="D284" s="119" t="s">
        <v>645</v>
      </c>
      <c r="E284" s="104" t="s">
        <v>646</v>
      </c>
      <c r="F284" s="119"/>
      <c r="G284" s="102">
        <v>83176</v>
      </c>
      <c r="H284" s="102" t="s">
        <v>102</v>
      </c>
      <c r="I284" s="206">
        <v>13359</v>
      </c>
      <c r="J284" s="120">
        <v>3471</v>
      </c>
      <c r="K284" s="207">
        <v>21655.774706244538</v>
      </c>
      <c r="L284" s="207">
        <v>8905.9696815826901</v>
      </c>
      <c r="M284" s="207">
        <v>9244.7155053794722</v>
      </c>
      <c r="N284" s="298">
        <v>0</v>
      </c>
      <c r="O284" s="114">
        <f>tblPiNAnalysis[[#This Row],[SAMV]]</f>
        <v>746</v>
      </c>
      <c r="P284" s="115">
        <f>tblPiNAnalysis[[#This Row],[NUT]]</f>
        <v>693.6631542500686</v>
      </c>
      <c r="Q284" s="115">
        <f>tblPiNAnalysis[[#This Row],[SAL]]</f>
        <v>8165.05</v>
      </c>
      <c r="R284" s="115">
        <f>tblPiNAnalysis[[#This Row],[EDU]]</f>
        <v>1868.6308938031632</v>
      </c>
      <c r="S284" s="115">
        <f>tblPiNAnalysis[[#This Row],[PRO]]</f>
        <v>2245.1329613171638</v>
      </c>
      <c r="T284" s="116">
        <f>tblPiNAnalysis[[#This Row],[ASH]]</f>
        <v>0</v>
      </c>
      <c r="U284" s="300">
        <f>IF(OR(tblPiNHistorical[[#This Row],[SAMV25]]="", tblPiNHistorical[[#This Row],[SAMV25]]=0, tblPiNHistorical[[#This Row],[SAMV26]]="", tblPiNHistorical[[#This Row],[SAMV26]]=0), "", tblPiNHistorical[[#This Row],[SAMV26]]-tblPiNHistorical[[#This Row],[SAMV25]])</f>
        <v>-12613</v>
      </c>
      <c r="V284" s="121">
        <f>IF(OR(tblPiNHistorical[[#This Row],[NUT25]]="", tblPiNHistorical[[#This Row],[NUT25]]=0, tblPiNHistorical[[#This Row],[NUT26]]="", tblPiNHistorical[[#This Row],[NUT26]]=0), "", tblPiNHistorical[[#This Row],[NUT26]]-tblPiNHistorical[[#This Row],[NUT25]])</f>
        <v>-2777.3368457499314</v>
      </c>
      <c r="W284" s="121">
        <f>IF(OR(tblPiNHistorical[[#This Row],[SAL25]]="", tblPiNHistorical[[#This Row],[SAL25]]=0, tblPiNHistorical[[#This Row],[SAL26]]="", tblPiNHistorical[[#This Row],[SAL26]]=0), "", tblPiNHistorical[[#This Row],[SAL26]]-tblPiNHistorical[[#This Row],[SAL25]])</f>
        <v>-13490.724706244539</v>
      </c>
      <c r="X284" s="121">
        <f>IF(OR(tblPiNHistorical[[#This Row],[EDU25]]="", tblPiNHistorical[[#This Row],[EDU25]]=0, tblPiNHistorical[[#This Row],[EDU26]]="", tblPiNHistorical[[#This Row],[EDU26]]=0), "", tblPiNHistorical[[#This Row],[EDU26]]-tblPiNHistorical[[#This Row],[EDU25]])</f>
        <v>-7037.3387877795267</v>
      </c>
      <c r="Y284" s="121">
        <f>IF(OR(tblPiNHistorical[[#This Row],[PRO25]]="", tblPiNHistorical[[#This Row],[PRO25]]=0, tblPiNHistorical[[#This Row],[PRO26]]="", tblPiNHistorical[[#This Row],[PRO26]]=0), "", tblPiNHistorical[[#This Row],[PRO26]]-tblPiNHistorical[[#This Row],[PRO25]])</f>
        <v>-6999.5825440623084</v>
      </c>
      <c r="Z284" s="223" t="str">
        <f>IF(OR(tblPiNHistorical[[#This Row],[ASH25]]="", tblPiNHistorical[[#This Row],[ASH25]]=0, tblPiNHistorical[[#This Row],[ASH26]]="", tblPiNHistorical[[#This Row],[ASH26]]=0), "", tblPiNHistorical[[#This Row],[ASH26]]-tblPiNHistorical[[#This Row],[ASH25]])</f>
        <v/>
      </c>
      <c r="AA28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8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28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28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28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8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85" spans="1:32">
      <c r="A28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VenezolanosVE2103</v>
      </c>
      <c r="B285" s="105" t="s">
        <v>642</v>
      </c>
      <c r="C285" s="104" t="s">
        <v>643</v>
      </c>
      <c r="D285" s="119" t="s">
        <v>180</v>
      </c>
      <c r="E285" s="104" t="s">
        <v>647</v>
      </c>
      <c r="F285" s="119"/>
      <c r="G285" s="102">
        <v>15285</v>
      </c>
      <c r="H285" s="102" t="s">
        <v>102</v>
      </c>
      <c r="I285" s="206">
        <v>2455</v>
      </c>
      <c r="J285" s="120">
        <v>706</v>
      </c>
      <c r="K285" s="207">
        <v>3980.0177057686001</v>
      </c>
      <c r="L285" s="207">
        <v>1868.0088761658981</v>
      </c>
      <c r="M285" s="207">
        <v>7472.0744260085348</v>
      </c>
      <c r="N285" s="298">
        <v>3057</v>
      </c>
      <c r="O285" s="114">
        <f>tblPiNAnalysis[[#This Row],[SAMV]]</f>
        <v>7679</v>
      </c>
      <c r="P285" s="115">
        <f>tblPiNAnalysis[[#This Row],[NUT]]</f>
        <v>857.33692726325989</v>
      </c>
      <c r="Q285" s="115">
        <f>tblPiNAnalysis[[#This Row],[SAL]]</f>
        <v>9248.3700000000008</v>
      </c>
      <c r="R285" s="115">
        <f>tblPiNAnalysis[[#This Row],[EDU]]</f>
        <v>1349.8584867288907</v>
      </c>
      <c r="S285" s="115">
        <f>tblPiNAnalysis[[#This Row],[PRO]]</f>
        <v>2543.0120238647428</v>
      </c>
      <c r="T285" s="116">
        <f>tblPiNAnalysis[[#This Row],[ASH]]</f>
        <v>0</v>
      </c>
      <c r="U285" s="300">
        <f>IF(OR(tblPiNHistorical[[#This Row],[SAMV25]]="", tblPiNHistorical[[#This Row],[SAMV25]]=0, tblPiNHistorical[[#This Row],[SAMV26]]="", tblPiNHistorical[[#This Row],[SAMV26]]=0), "", tblPiNHistorical[[#This Row],[SAMV26]]-tblPiNHistorical[[#This Row],[SAMV25]])</f>
        <v>5224</v>
      </c>
      <c r="V285" s="121">
        <f>IF(OR(tblPiNHistorical[[#This Row],[NUT25]]="", tblPiNHistorical[[#This Row],[NUT25]]=0, tblPiNHistorical[[#This Row],[NUT26]]="", tblPiNHistorical[[#This Row],[NUT26]]=0), "", tblPiNHistorical[[#This Row],[NUT26]]-tblPiNHistorical[[#This Row],[NUT25]])</f>
        <v>151.33692726325989</v>
      </c>
      <c r="W285" s="121">
        <f>IF(OR(tblPiNHistorical[[#This Row],[SAL25]]="", tblPiNHistorical[[#This Row],[SAL25]]=0, tblPiNHistorical[[#This Row],[SAL26]]="", tblPiNHistorical[[#This Row],[SAL26]]=0), "", tblPiNHistorical[[#This Row],[SAL26]]-tblPiNHistorical[[#This Row],[SAL25]])</f>
        <v>5268.3522942314012</v>
      </c>
      <c r="X285" s="121">
        <f>IF(OR(tblPiNHistorical[[#This Row],[EDU25]]="", tblPiNHistorical[[#This Row],[EDU25]]=0, tblPiNHistorical[[#This Row],[EDU26]]="", tblPiNHistorical[[#This Row],[EDU26]]=0), "", tblPiNHistorical[[#This Row],[EDU26]]-tblPiNHistorical[[#This Row],[EDU25]])</f>
        <v>-518.15038943700733</v>
      </c>
      <c r="Y285" s="121">
        <f>IF(OR(tblPiNHistorical[[#This Row],[PRO25]]="", tblPiNHistorical[[#This Row],[PRO25]]=0, tblPiNHistorical[[#This Row],[PRO26]]="", tblPiNHistorical[[#This Row],[PRO26]]=0), "", tblPiNHistorical[[#This Row],[PRO26]]-tblPiNHistorical[[#This Row],[PRO25]])</f>
        <v>-4929.0624021437925</v>
      </c>
      <c r="Z285" s="223" t="str">
        <f>IF(OR(tblPiNHistorical[[#This Row],[ASH25]]="", tblPiNHistorical[[#This Row],[ASH25]]=0, tblPiNHistorical[[#This Row],[ASH26]]="", tblPiNHistorical[[#This Row],[ASH26]]=0), "", tblPiNHistorical[[#This Row],[ASH26]]-tblPiNHistorical[[#This Row],[ASH25]])</f>
        <v/>
      </c>
      <c r="AA28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2.1</v>
      </c>
      <c r="AB28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28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1.3</v>
      </c>
      <c r="AD28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-0.3</v>
      </c>
      <c r="AE28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28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3057</v>
      </c>
    </row>
    <row r="286" spans="1:32">
      <c r="A28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VenezolanosVE2104</v>
      </c>
      <c r="B286" s="105" t="s">
        <v>642</v>
      </c>
      <c r="C286" s="104" t="s">
        <v>643</v>
      </c>
      <c r="D286" s="119" t="s">
        <v>648</v>
      </c>
      <c r="E286" s="104" t="s">
        <v>649</v>
      </c>
      <c r="F286" s="119"/>
      <c r="G286" s="102">
        <v>27811</v>
      </c>
      <c r="H286" s="102" t="s">
        <v>102</v>
      </c>
      <c r="I286" s="206">
        <v>4467</v>
      </c>
      <c r="J286" s="120">
        <v>1181</v>
      </c>
      <c r="K286" s="207">
        <v>7240.7192914505677</v>
      </c>
      <c r="L286" s="207">
        <v>3095.7889715315441</v>
      </c>
      <c r="M286" s="207">
        <v>6723.4294584577974</v>
      </c>
      <c r="N286" s="298">
        <v>0</v>
      </c>
      <c r="O286" s="114">
        <f>tblPiNAnalysis[[#This Row],[SAMV]]</f>
        <v>551</v>
      </c>
      <c r="P286" s="115">
        <f>tblPiNAnalysis[[#This Row],[NUT]]</f>
        <v>101.06160878920954</v>
      </c>
      <c r="Q286" s="115">
        <f>tblPiNAnalysis[[#This Row],[SAL]]</f>
        <v>2550.4</v>
      </c>
      <c r="R286" s="115">
        <f>tblPiNAnalysis[[#This Row],[EDU]]</f>
        <v>349.47561915041911</v>
      </c>
      <c r="S286" s="115">
        <f>tblPiNAnalysis[[#This Row],[PRO]]</f>
        <v>327.0848601221565</v>
      </c>
      <c r="T286" s="116">
        <f>tblPiNAnalysis[[#This Row],[ASH]]</f>
        <v>0</v>
      </c>
      <c r="U286" s="300">
        <f>IF(OR(tblPiNHistorical[[#This Row],[SAMV25]]="", tblPiNHistorical[[#This Row],[SAMV25]]=0, tblPiNHistorical[[#This Row],[SAMV26]]="", tblPiNHistorical[[#This Row],[SAMV26]]=0), "", tblPiNHistorical[[#This Row],[SAMV26]]-tblPiNHistorical[[#This Row],[SAMV25]])</f>
        <v>-3916</v>
      </c>
      <c r="V286" s="121">
        <f>IF(OR(tblPiNHistorical[[#This Row],[NUT25]]="", tblPiNHistorical[[#This Row],[NUT25]]=0, tblPiNHistorical[[#This Row],[NUT26]]="", tblPiNHistorical[[#This Row],[NUT26]]=0), "", tblPiNHistorical[[#This Row],[NUT26]]-tblPiNHistorical[[#This Row],[NUT25]])</f>
        <v>-1079.9383912107905</v>
      </c>
      <c r="W286" s="121">
        <f>IF(OR(tblPiNHistorical[[#This Row],[SAL25]]="", tblPiNHistorical[[#This Row],[SAL25]]=0, tblPiNHistorical[[#This Row],[SAL26]]="", tblPiNHistorical[[#This Row],[SAL26]]=0), "", tblPiNHistorical[[#This Row],[SAL26]]-tblPiNHistorical[[#This Row],[SAL25]])</f>
        <v>-4690.3192914505671</v>
      </c>
      <c r="X286" s="121">
        <f>IF(OR(tblPiNHistorical[[#This Row],[EDU25]]="", tblPiNHistorical[[#This Row],[EDU25]]=0, tblPiNHistorical[[#This Row],[EDU26]]="", tblPiNHistorical[[#This Row],[EDU26]]=0), "", tblPiNHistorical[[#This Row],[EDU26]]-tblPiNHistorical[[#This Row],[EDU25]])</f>
        <v>-2746.3133523811248</v>
      </c>
      <c r="Y286" s="121">
        <f>IF(OR(tblPiNHistorical[[#This Row],[PRO25]]="", tblPiNHistorical[[#This Row],[PRO25]]=0, tblPiNHistorical[[#This Row],[PRO26]]="", tblPiNHistorical[[#This Row],[PRO26]]=0), "", tblPiNHistorical[[#This Row],[PRO26]]-tblPiNHistorical[[#This Row],[PRO25]])</f>
        <v>-6396.3445983356405</v>
      </c>
      <c r="Z286" s="223" t="str">
        <f>IF(OR(tblPiNHistorical[[#This Row],[ASH25]]="", tblPiNHistorical[[#This Row],[ASH25]]=0, tblPiNHistorical[[#This Row],[ASH26]]="", tblPiNHistorical[[#This Row],[ASH26]]=0), "", tblPiNHistorical[[#This Row],[ASH26]]-tblPiNHistorical[[#This Row],[ASH25]])</f>
        <v/>
      </c>
      <c r="AA28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8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28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28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28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28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87" spans="1:32">
      <c r="A28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VenezolanosVE2105</v>
      </c>
      <c r="B287" s="105" t="s">
        <v>642</v>
      </c>
      <c r="C287" s="104" t="s">
        <v>643</v>
      </c>
      <c r="D287" s="119" t="s">
        <v>650</v>
      </c>
      <c r="E287" s="104" t="s">
        <v>651</v>
      </c>
      <c r="F287" s="119"/>
      <c r="G287" s="102">
        <v>27358</v>
      </c>
      <c r="H287" s="102" t="s">
        <v>102</v>
      </c>
      <c r="I287" s="206">
        <v>4394</v>
      </c>
      <c r="J287" s="120">
        <v>1120</v>
      </c>
      <c r="K287" s="207">
        <v>7122.8148585438057</v>
      </c>
      <c r="L287" s="207">
        <v>3189.2379595775942</v>
      </c>
      <c r="M287" s="207">
        <v>9244.7155053794722</v>
      </c>
      <c r="N287" s="298">
        <v>0</v>
      </c>
      <c r="O287" s="114">
        <f>tblPiNAnalysis[[#This Row],[SAMV]]</f>
        <v>731</v>
      </c>
      <c r="P287" s="115">
        <f>tblPiNAnalysis[[#This Row],[NUT]]</f>
        <v>361.92584057595525</v>
      </c>
      <c r="Q287" s="115">
        <f>tblPiNAnalysis[[#This Row],[SAL]]</f>
        <v>4900</v>
      </c>
      <c r="R287" s="115">
        <f>tblPiNAnalysis[[#This Row],[EDU]]</f>
        <v>568.89259314690139</v>
      </c>
      <c r="S287" s="115">
        <f>tblPiNAnalysis[[#This Row],[PRO]]</f>
        <v>1099.884314844649</v>
      </c>
      <c r="T287" s="116">
        <f>tblPiNAnalysis[[#This Row],[ASH]]</f>
        <v>0</v>
      </c>
      <c r="U287" s="300">
        <f>IF(OR(tblPiNHistorical[[#This Row],[SAMV25]]="", tblPiNHistorical[[#This Row],[SAMV25]]=0, tblPiNHistorical[[#This Row],[SAMV26]]="", tblPiNHistorical[[#This Row],[SAMV26]]=0), "", tblPiNHistorical[[#This Row],[SAMV26]]-tblPiNHistorical[[#This Row],[SAMV25]])</f>
        <v>-3663</v>
      </c>
      <c r="V287" s="121">
        <f>IF(OR(tblPiNHistorical[[#This Row],[NUT25]]="", tblPiNHistorical[[#This Row],[NUT25]]=0, tblPiNHistorical[[#This Row],[NUT26]]="", tblPiNHistorical[[#This Row],[NUT26]]=0), "", tblPiNHistorical[[#This Row],[NUT26]]-tblPiNHistorical[[#This Row],[NUT25]])</f>
        <v>-758.07415942404475</v>
      </c>
      <c r="W287" s="121">
        <f>IF(OR(tblPiNHistorical[[#This Row],[SAL25]]="", tblPiNHistorical[[#This Row],[SAL25]]=0, tblPiNHistorical[[#This Row],[SAL26]]="", tblPiNHistorical[[#This Row],[SAL26]]=0), "", tblPiNHistorical[[#This Row],[SAL26]]-tblPiNHistorical[[#This Row],[SAL25]])</f>
        <v>-2222.8148585438057</v>
      </c>
      <c r="X287" s="121">
        <f>IF(OR(tblPiNHistorical[[#This Row],[EDU25]]="", tblPiNHistorical[[#This Row],[EDU25]]=0, tblPiNHistorical[[#This Row],[EDU26]]="", tblPiNHistorical[[#This Row],[EDU26]]=0), "", tblPiNHistorical[[#This Row],[EDU26]]-tblPiNHistorical[[#This Row],[EDU25]])</f>
        <v>-2620.3453664306926</v>
      </c>
      <c r="Y287" s="121">
        <f>IF(OR(tblPiNHistorical[[#This Row],[PRO25]]="", tblPiNHistorical[[#This Row],[PRO25]]=0, tblPiNHistorical[[#This Row],[PRO26]]="", tblPiNHistorical[[#This Row],[PRO26]]=0), "", tblPiNHistorical[[#This Row],[PRO26]]-tblPiNHistorical[[#This Row],[PRO25]])</f>
        <v>-8144.8311905348237</v>
      </c>
      <c r="Z287" s="223" t="str">
        <f>IF(OR(tblPiNHistorical[[#This Row],[ASH25]]="", tblPiNHistorical[[#This Row],[ASH25]]=0, tblPiNHistorical[[#This Row],[ASH26]]="", tblPiNHistorical[[#This Row],[ASH26]]=0), "", tblPiNHistorical[[#This Row],[ASH26]]-tblPiNHistorical[[#This Row],[ASH25]])</f>
        <v/>
      </c>
      <c r="AA28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28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28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28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28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8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88" spans="1:32">
      <c r="A28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VenezolanosVE2106</v>
      </c>
      <c r="B288" s="105" t="s">
        <v>642</v>
      </c>
      <c r="C288" s="104" t="s">
        <v>643</v>
      </c>
      <c r="D288" s="119" t="s">
        <v>652</v>
      </c>
      <c r="E288" s="104" t="s">
        <v>653</v>
      </c>
      <c r="F288" s="119"/>
      <c r="G288" s="102">
        <v>27128</v>
      </c>
      <c r="H288" s="102" t="s">
        <v>102</v>
      </c>
      <c r="I288" s="206">
        <v>4357</v>
      </c>
      <c r="J288" s="120">
        <v>1138</v>
      </c>
      <c r="K288" s="207">
        <v>7063.3672453135059</v>
      </c>
      <c r="L288" s="207">
        <v>2504.7519789925936</v>
      </c>
      <c r="M288" s="207">
        <v>9244.7155053794722</v>
      </c>
      <c r="N288" s="298">
        <v>0</v>
      </c>
      <c r="O288" s="114">
        <f>tblPiNAnalysis[[#This Row],[SAMV]]</f>
        <v>307</v>
      </c>
      <c r="P288" s="115">
        <f>tblPiNAnalysis[[#This Row],[NUT]]</f>
        <v>442.62210821644396</v>
      </c>
      <c r="Q288" s="115">
        <f>tblPiNAnalysis[[#This Row],[SAL]]</f>
        <v>7700</v>
      </c>
      <c r="R288" s="115">
        <f>tblPiNAnalysis[[#This Row],[EDU]]</f>
        <v>2817.5361394400416</v>
      </c>
      <c r="S288" s="115">
        <f>tblPiNAnalysis[[#This Row],[PRO]]</f>
        <v>1850.6037851464991</v>
      </c>
      <c r="T288" s="116">
        <f>tblPiNAnalysis[[#This Row],[ASH]]</f>
        <v>0</v>
      </c>
      <c r="U288" s="300">
        <f>IF(OR(tblPiNHistorical[[#This Row],[SAMV25]]="", tblPiNHistorical[[#This Row],[SAMV25]]=0, tblPiNHistorical[[#This Row],[SAMV26]]="", tblPiNHistorical[[#This Row],[SAMV26]]=0), "", tblPiNHistorical[[#This Row],[SAMV26]]-tblPiNHistorical[[#This Row],[SAMV25]])</f>
        <v>-4050</v>
      </c>
      <c r="V288" s="121">
        <f>IF(OR(tblPiNHistorical[[#This Row],[NUT25]]="", tblPiNHistorical[[#This Row],[NUT25]]=0, tblPiNHistorical[[#This Row],[NUT26]]="", tblPiNHistorical[[#This Row],[NUT26]]=0), "", tblPiNHistorical[[#This Row],[NUT26]]-tblPiNHistorical[[#This Row],[NUT25]])</f>
        <v>-695.37789178355604</v>
      </c>
      <c r="W288" s="121">
        <f>IF(OR(tblPiNHistorical[[#This Row],[SAL25]]="", tblPiNHistorical[[#This Row],[SAL25]]=0, tblPiNHistorical[[#This Row],[SAL26]]="", tblPiNHistorical[[#This Row],[SAL26]]=0), "", tblPiNHistorical[[#This Row],[SAL26]]-tblPiNHistorical[[#This Row],[SAL25]])</f>
        <v>636.63275468649408</v>
      </c>
      <c r="X288" s="121">
        <f>IF(OR(tblPiNHistorical[[#This Row],[EDU25]]="", tblPiNHistorical[[#This Row],[EDU25]]=0, tblPiNHistorical[[#This Row],[EDU26]]="", tblPiNHistorical[[#This Row],[EDU26]]=0), "", tblPiNHistorical[[#This Row],[EDU26]]-tblPiNHistorical[[#This Row],[EDU25]])</f>
        <v>312.7841604474479</v>
      </c>
      <c r="Y288" s="121">
        <f>IF(OR(tblPiNHistorical[[#This Row],[PRO25]]="", tblPiNHistorical[[#This Row],[PRO25]]=0, tblPiNHistorical[[#This Row],[PRO26]]="", tblPiNHistorical[[#This Row],[PRO26]]=0), "", tblPiNHistorical[[#This Row],[PRO26]]-tblPiNHistorical[[#This Row],[PRO25]])</f>
        <v>-7394.1117202329733</v>
      </c>
      <c r="Z288" s="223" t="str">
        <f>IF(OR(tblPiNHistorical[[#This Row],[ASH25]]="", tblPiNHistorical[[#This Row],[ASH25]]=0, tblPiNHistorical[[#This Row],[ASH26]]="", tblPiNHistorical[[#This Row],[ASH26]]=0), "", tblPiNHistorical[[#This Row],[ASH26]]-tblPiNHistorical[[#This Row],[ASH25]])</f>
        <v/>
      </c>
      <c r="AA28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28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28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28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0.1</v>
      </c>
      <c r="AE28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8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89" spans="1:32">
      <c r="A28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VenezolanosVE2107</v>
      </c>
      <c r="B289" s="105" t="s">
        <v>642</v>
      </c>
      <c r="C289" s="104" t="s">
        <v>643</v>
      </c>
      <c r="D289" s="119" t="s">
        <v>654</v>
      </c>
      <c r="E289" s="104" t="s">
        <v>655</v>
      </c>
      <c r="F289" s="119"/>
      <c r="G289" s="102">
        <v>4551</v>
      </c>
      <c r="H289" s="102" t="s">
        <v>102</v>
      </c>
      <c r="I289" s="206">
        <v>731</v>
      </c>
      <c r="J289" s="120">
        <v>182</v>
      </c>
      <c r="K289" s="207">
        <v>1184.9890903906512</v>
      </c>
      <c r="L289" s="207">
        <v>524.67947346312644</v>
      </c>
      <c r="M289" s="207">
        <v>1618.0050893753157</v>
      </c>
      <c r="N289" s="298">
        <v>0</v>
      </c>
      <c r="O289" s="114">
        <f>tblPiNAnalysis[[#This Row],[SAMV]]</f>
        <v>684</v>
      </c>
      <c r="P289" s="115">
        <f>tblPiNAnalysis[[#This Row],[NUT]]</f>
        <v>1624.1428270476888</v>
      </c>
      <c r="Q289" s="115">
        <f>tblPiNAnalysis[[#This Row],[SAL]]</f>
        <v>25472.255000000001</v>
      </c>
      <c r="R289" s="115">
        <f>tblPiNAnalysis[[#This Row],[EDU]]</f>
        <v>12153.83749973066</v>
      </c>
      <c r="S289" s="115">
        <f>tblPiNAnalysis[[#This Row],[PRO]]</f>
        <v>13912.59483332986</v>
      </c>
      <c r="T289" s="116">
        <f>tblPiNAnalysis[[#This Row],[ASH]]</f>
        <v>0</v>
      </c>
      <c r="U289" s="300">
        <f>IF(OR(tblPiNHistorical[[#This Row],[SAMV25]]="", tblPiNHistorical[[#This Row],[SAMV25]]=0, tblPiNHistorical[[#This Row],[SAMV26]]="", tblPiNHistorical[[#This Row],[SAMV26]]=0), "", tblPiNHistorical[[#This Row],[SAMV26]]-tblPiNHistorical[[#This Row],[SAMV25]])</f>
        <v>-47</v>
      </c>
      <c r="V289" s="121">
        <f>IF(OR(tblPiNHistorical[[#This Row],[NUT25]]="", tblPiNHistorical[[#This Row],[NUT25]]=0, tblPiNHistorical[[#This Row],[NUT26]]="", tblPiNHistorical[[#This Row],[NUT26]]=0), "", tblPiNHistorical[[#This Row],[NUT26]]-tblPiNHistorical[[#This Row],[NUT25]])</f>
        <v>1442.1428270476888</v>
      </c>
      <c r="W289" s="121">
        <f>IF(OR(tblPiNHistorical[[#This Row],[SAL25]]="", tblPiNHistorical[[#This Row],[SAL25]]=0, tblPiNHistorical[[#This Row],[SAL26]]="", tblPiNHistorical[[#This Row],[SAL26]]=0), "", tblPiNHistorical[[#This Row],[SAL26]]-tblPiNHistorical[[#This Row],[SAL25]])</f>
        <v>24287.265909609348</v>
      </c>
      <c r="X289" s="121">
        <f>IF(OR(tblPiNHistorical[[#This Row],[EDU25]]="", tblPiNHistorical[[#This Row],[EDU25]]=0, tblPiNHistorical[[#This Row],[EDU26]]="", tblPiNHistorical[[#This Row],[EDU26]]=0), "", tblPiNHistorical[[#This Row],[EDU26]]-tblPiNHistorical[[#This Row],[EDU25]])</f>
        <v>11629.158026267534</v>
      </c>
      <c r="Y289" s="121">
        <f>IF(OR(tblPiNHistorical[[#This Row],[PRO25]]="", tblPiNHistorical[[#This Row],[PRO25]]=0, tblPiNHistorical[[#This Row],[PRO26]]="", tblPiNHistorical[[#This Row],[PRO26]]=0), "", tblPiNHistorical[[#This Row],[PRO26]]-tblPiNHistorical[[#This Row],[PRO25]])</f>
        <v>12294.589743954544</v>
      </c>
      <c r="Z289" s="223" t="str">
        <f>IF(OR(tblPiNHistorical[[#This Row],[ASH25]]="", tblPiNHistorical[[#This Row],[ASH25]]=0, tblPiNHistorical[[#This Row],[ASH26]]="", tblPiNHistorical[[#This Row],[ASH26]]=0), "", tblPiNHistorical[[#This Row],[ASH26]]-tblPiNHistorical[[#This Row],[ASH25]])</f>
        <v/>
      </c>
      <c r="AA28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28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7.9</v>
      </c>
      <c r="AC28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20.5</v>
      </c>
      <c r="AD28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22.2</v>
      </c>
      <c r="AE28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7.6</v>
      </c>
      <c r="AF28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90" spans="1:32">
      <c r="A29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VenezolanosVE2108</v>
      </c>
      <c r="B290" s="105" t="s">
        <v>642</v>
      </c>
      <c r="C290" s="104" t="s">
        <v>643</v>
      </c>
      <c r="D290" s="119" t="s">
        <v>656</v>
      </c>
      <c r="E290" s="104" t="s">
        <v>657</v>
      </c>
      <c r="F290" s="119"/>
      <c r="G290" s="102">
        <v>5331</v>
      </c>
      <c r="H290" s="102" t="s">
        <v>102</v>
      </c>
      <c r="I290" s="206">
        <v>856</v>
      </c>
      <c r="J290" s="120">
        <v>211</v>
      </c>
      <c r="K290" s="207">
        <v>1388.1017689275104</v>
      </c>
      <c r="L290" s="207">
        <v>520.19835379042479</v>
      </c>
      <c r="M290" s="207">
        <v>1895.3164428608677</v>
      </c>
      <c r="N290" s="298">
        <v>0</v>
      </c>
      <c r="O290" s="114">
        <f>tblPiNAnalysis[[#This Row],[SAMV]]</f>
        <v>5423</v>
      </c>
      <c r="P290" s="115">
        <f>tblPiNAnalysis[[#This Row],[NUT]]</f>
        <v>5456.6570784762444</v>
      </c>
      <c r="Q290" s="115">
        <f>tblPiNAnalysis[[#This Row],[SAL]]</f>
        <v>78378.64</v>
      </c>
      <c r="R290" s="115">
        <f>tblPiNAnalysis[[#This Row],[EDU]]</f>
        <v>30147.151139031852</v>
      </c>
      <c r="S290" s="115">
        <f>tblPiNAnalysis[[#This Row],[PRO]]</f>
        <v>51371.200323210702</v>
      </c>
      <c r="T290" s="116">
        <f>tblPiNAnalysis[[#This Row],[ASH]]</f>
        <v>0</v>
      </c>
      <c r="U290" s="300">
        <f>IF(OR(tblPiNHistorical[[#This Row],[SAMV25]]="", tblPiNHistorical[[#This Row],[SAMV25]]=0, tblPiNHistorical[[#This Row],[SAMV26]]="", tblPiNHistorical[[#This Row],[SAMV26]]=0), "", tblPiNHistorical[[#This Row],[SAMV26]]-tblPiNHistorical[[#This Row],[SAMV25]])</f>
        <v>4567</v>
      </c>
      <c r="V290" s="121">
        <f>IF(OR(tblPiNHistorical[[#This Row],[NUT25]]="", tblPiNHistorical[[#This Row],[NUT25]]=0, tblPiNHistorical[[#This Row],[NUT26]]="", tblPiNHistorical[[#This Row],[NUT26]]=0), "", tblPiNHistorical[[#This Row],[NUT26]]-tblPiNHistorical[[#This Row],[NUT25]])</f>
        <v>5245.6570784762444</v>
      </c>
      <c r="W290" s="121">
        <f>IF(OR(tblPiNHistorical[[#This Row],[SAL25]]="", tblPiNHistorical[[#This Row],[SAL25]]=0, tblPiNHistorical[[#This Row],[SAL26]]="", tblPiNHistorical[[#This Row],[SAL26]]=0), "", tblPiNHistorical[[#This Row],[SAL26]]-tblPiNHistorical[[#This Row],[SAL25]])</f>
        <v>76990.538231072482</v>
      </c>
      <c r="X290" s="121">
        <f>IF(OR(tblPiNHistorical[[#This Row],[EDU25]]="", tblPiNHistorical[[#This Row],[EDU25]]=0, tblPiNHistorical[[#This Row],[EDU26]]="", tblPiNHistorical[[#This Row],[EDU26]]=0), "", tblPiNHistorical[[#This Row],[EDU26]]-tblPiNHistorical[[#This Row],[EDU25]])</f>
        <v>29626.952785241429</v>
      </c>
      <c r="Y290" s="121">
        <f>IF(OR(tblPiNHistorical[[#This Row],[PRO25]]="", tblPiNHistorical[[#This Row],[PRO25]]=0, tblPiNHistorical[[#This Row],[PRO26]]="", tblPiNHistorical[[#This Row],[PRO26]]=0), "", tblPiNHistorical[[#This Row],[PRO26]]-tblPiNHistorical[[#This Row],[PRO25]])</f>
        <v>49475.883880349837</v>
      </c>
      <c r="Z290" s="223" t="str">
        <f>IF(OR(tblPiNHistorical[[#This Row],[ASH25]]="", tblPiNHistorical[[#This Row],[ASH25]]=0, tblPiNHistorical[[#This Row],[ASH26]]="", tblPiNHistorical[[#This Row],[ASH26]]=0), "", tblPiNHistorical[[#This Row],[ASH26]]-tblPiNHistorical[[#This Row],[ASH25]])</f>
        <v/>
      </c>
      <c r="AA29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5.3</v>
      </c>
      <c r="AB29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24.9</v>
      </c>
      <c r="AC29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55.5</v>
      </c>
      <c r="AD29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57</v>
      </c>
      <c r="AE29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26.1</v>
      </c>
      <c r="AF29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91" spans="1:32">
      <c r="A29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VenezolanosVE2109</v>
      </c>
      <c r="B291" s="105" t="s">
        <v>642</v>
      </c>
      <c r="C291" s="104" t="s">
        <v>643</v>
      </c>
      <c r="D291" s="119" t="s">
        <v>658</v>
      </c>
      <c r="E291" s="104" t="s">
        <v>659</v>
      </c>
      <c r="F291" s="119"/>
      <c r="G291" s="102">
        <v>19031</v>
      </c>
      <c r="H291" s="102" t="s">
        <v>102</v>
      </c>
      <c r="I291" s="206">
        <v>3056</v>
      </c>
      <c r="J291" s="120">
        <v>901</v>
      </c>
      <c r="K291" s="207">
        <v>4954.9585627455244</v>
      </c>
      <c r="L291" s="207">
        <v>2765.2734412030368</v>
      </c>
      <c r="M291" s="207">
        <v>9244.7155053794722</v>
      </c>
      <c r="N291" s="298">
        <v>0</v>
      </c>
      <c r="O291" s="114">
        <f>tblPiNAnalysis[[#This Row],[SAMV]]</f>
        <v>3543</v>
      </c>
      <c r="P291" s="115">
        <f>tblPiNAnalysis[[#This Row],[NUT]]</f>
        <v>8570.8188499345197</v>
      </c>
      <c r="Q291" s="115">
        <f>tblPiNAnalysis[[#This Row],[SAL]]</f>
        <v>69824.5</v>
      </c>
      <c r="R291" s="115">
        <f>tblPiNAnalysis[[#This Row],[EDU]]</f>
        <v>22396.212342262392</v>
      </c>
      <c r="S291" s="115">
        <f>tblPiNAnalysis[[#This Row],[PRO]]</f>
        <v>45764.616188390435</v>
      </c>
      <c r="T291" s="116">
        <f>tblPiNAnalysis[[#This Row],[ASH]]</f>
        <v>0</v>
      </c>
      <c r="U291" s="300">
        <f>IF(OR(tblPiNHistorical[[#This Row],[SAMV25]]="", tblPiNHistorical[[#This Row],[SAMV25]]=0, tblPiNHistorical[[#This Row],[SAMV26]]="", tblPiNHistorical[[#This Row],[SAMV26]]=0), "", tblPiNHistorical[[#This Row],[SAMV26]]-tblPiNHistorical[[#This Row],[SAMV25]])</f>
        <v>487</v>
      </c>
      <c r="V291" s="121">
        <f>IF(OR(tblPiNHistorical[[#This Row],[NUT25]]="", tblPiNHistorical[[#This Row],[NUT25]]=0, tblPiNHistorical[[#This Row],[NUT26]]="", tblPiNHistorical[[#This Row],[NUT26]]=0), "", tblPiNHistorical[[#This Row],[NUT26]]-tblPiNHistorical[[#This Row],[NUT25]])</f>
        <v>7669.8188499345197</v>
      </c>
      <c r="W291" s="121">
        <f>IF(OR(tblPiNHistorical[[#This Row],[SAL25]]="", tblPiNHistorical[[#This Row],[SAL25]]=0, tblPiNHistorical[[#This Row],[SAL26]]="", tblPiNHistorical[[#This Row],[SAL26]]=0), "", tblPiNHistorical[[#This Row],[SAL26]]-tblPiNHistorical[[#This Row],[SAL25]])</f>
        <v>64869.541437254476</v>
      </c>
      <c r="X291" s="121">
        <f>IF(OR(tblPiNHistorical[[#This Row],[EDU25]]="", tblPiNHistorical[[#This Row],[EDU25]]=0, tblPiNHistorical[[#This Row],[EDU26]]="", tblPiNHistorical[[#This Row],[EDU26]]=0), "", tblPiNHistorical[[#This Row],[EDU26]]-tblPiNHistorical[[#This Row],[EDU25]])</f>
        <v>19630.938901059355</v>
      </c>
      <c r="Y291" s="121">
        <f>IF(OR(tblPiNHistorical[[#This Row],[PRO25]]="", tblPiNHistorical[[#This Row],[PRO25]]=0, tblPiNHistorical[[#This Row],[PRO26]]="", tblPiNHistorical[[#This Row],[PRO26]]=0), "", tblPiNHistorical[[#This Row],[PRO26]]-tblPiNHistorical[[#This Row],[PRO25]])</f>
        <v>36519.900683010965</v>
      </c>
      <c r="Z291" s="223" t="str">
        <f>IF(OR(tblPiNHistorical[[#This Row],[ASH25]]="", tblPiNHistorical[[#This Row],[ASH25]]=0, tblPiNHistorical[[#This Row],[ASH26]]="", tblPiNHistorical[[#This Row],[ASH26]]=0), "", tblPiNHistorical[[#This Row],[ASH26]]-tblPiNHistorical[[#This Row],[ASH25]])</f>
        <v/>
      </c>
      <c r="AA29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29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8.5</v>
      </c>
      <c r="AC29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13.1</v>
      </c>
      <c r="AD29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7.1</v>
      </c>
      <c r="AE29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4</v>
      </c>
      <c r="AF29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92" spans="1:32">
      <c r="A29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VenezolanosVE2110</v>
      </c>
      <c r="B292" s="105" t="s">
        <v>642</v>
      </c>
      <c r="C292" s="104" t="s">
        <v>643</v>
      </c>
      <c r="D292" s="119" t="s">
        <v>276</v>
      </c>
      <c r="E292" s="104" t="s">
        <v>660</v>
      </c>
      <c r="F292" s="119"/>
      <c r="G292" s="102">
        <v>21305</v>
      </c>
      <c r="H292" s="102" t="s">
        <v>102</v>
      </c>
      <c r="I292" s="206">
        <v>3422</v>
      </c>
      <c r="J292" s="120">
        <v>991</v>
      </c>
      <c r="K292" s="207">
        <v>5546.4623143870112</v>
      </c>
      <c r="L292" s="207">
        <v>2368.0348483459857</v>
      </c>
      <c r="M292" s="207">
        <v>9244.7155053794722</v>
      </c>
      <c r="N292" s="298">
        <v>0</v>
      </c>
      <c r="O292" s="114">
        <f>tblPiNAnalysis[[#This Row],[SAMV]]</f>
        <v>5193</v>
      </c>
      <c r="P292" s="115">
        <f>tblPiNAnalysis[[#This Row],[NUT]]</f>
        <v>828.7233462712943</v>
      </c>
      <c r="Q292" s="115">
        <f>tblPiNAnalysis[[#This Row],[SAL]]</f>
        <v>10559.45</v>
      </c>
      <c r="R292" s="115">
        <f>tblPiNAnalysis[[#This Row],[EDU]]</f>
        <v>3703.9087406533395</v>
      </c>
      <c r="S292" s="115">
        <f>tblPiNAnalysis[[#This Row],[PRO]]</f>
        <v>1161.6912499055102</v>
      </c>
      <c r="T292" s="116">
        <f>tblPiNAnalysis[[#This Row],[ASH]]</f>
        <v>17358</v>
      </c>
      <c r="U292" s="300">
        <f>IF(OR(tblPiNHistorical[[#This Row],[SAMV25]]="", tblPiNHistorical[[#This Row],[SAMV25]]=0, tblPiNHistorical[[#This Row],[SAMV26]]="", tblPiNHistorical[[#This Row],[SAMV26]]=0), "", tblPiNHistorical[[#This Row],[SAMV26]]-tblPiNHistorical[[#This Row],[SAMV25]])</f>
        <v>1771</v>
      </c>
      <c r="V292" s="121">
        <f>IF(OR(tblPiNHistorical[[#This Row],[NUT25]]="", tblPiNHistorical[[#This Row],[NUT25]]=0, tblPiNHistorical[[#This Row],[NUT26]]="", tblPiNHistorical[[#This Row],[NUT26]]=0), "", tblPiNHistorical[[#This Row],[NUT26]]-tblPiNHistorical[[#This Row],[NUT25]])</f>
        <v>-162.2766537287057</v>
      </c>
      <c r="W292" s="121">
        <f>IF(OR(tblPiNHistorical[[#This Row],[SAL25]]="", tblPiNHistorical[[#This Row],[SAL25]]=0, tblPiNHistorical[[#This Row],[SAL26]]="", tblPiNHistorical[[#This Row],[SAL26]]=0), "", tblPiNHistorical[[#This Row],[SAL26]]-tblPiNHistorical[[#This Row],[SAL25]])</f>
        <v>5012.9876856129895</v>
      </c>
      <c r="X292" s="121">
        <f>IF(OR(tblPiNHistorical[[#This Row],[EDU25]]="", tblPiNHistorical[[#This Row],[EDU25]]=0, tblPiNHistorical[[#This Row],[EDU26]]="", tblPiNHistorical[[#This Row],[EDU26]]=0), "", tblPiNHistorical[[#This Row],[EDU26]]-tblPiNHistorical[[#This Row],[EDU25]])</f>
        <v>1335.8738923073538</v>
      </c>
      <c r="Y292" s="121">
        <f>IF(OR(tblPiNHistorical[[#This Row],[PRO25]]="", tblPiNHistorical[[#This Row],[PRO25]]=0, tblPiNHistorical[[#This Row],[PRO26]]="", tblPiNHistorical[[#This Row],[PRO26]]=0), "", tblPiNHistorical[[#This Row],[PRO26]]-tblPiNHistorical[[#This Row],[PRO25]])</f>
        <v>-8083.0242554739616</v>
      </c>
      <c r="Z292" s="223" t="str">
        <f>IF(OR(tblPiNHistorical[[#This Row],[ASH25]]="", tblPiNHistorical[[#This Row],[ASH25]]=0, tblPiNHistorical[[#This Row],[ASH26]]="", tblPiNHistorical[[#This Row],[ASH26]]=0), "", tblPiNHistorical[[#This Row],[ASH26]]-tblPiNHistorical[[#This Row],[ASH25]])</f>
        <v/>
      </c>
      <c r="AA29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29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29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0.9</v>
      </c>
      <c r="AD29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29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9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17358</v>
      </c>
    </row>
    <row r="293" spans="1:32">
      <c r="A29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VenezolanosVE2111</v>
      </c>
      <c r="B293" s="105" t="s">
        <v>642</v>
      </c>
      <c r="C293" s="104" t="s">
        <v>643</v>
      </c>
      <c r="D293" s="119" t="s">
        <v>661</v>
      </c>
      <c r="E293" s="104" t="s">
        <v>662</v>
      </c>
      <c r="F293" s="119"/>
      <c r="G293" s="102">
        <v>12606</v>
      </c>
      <c r="H293" s="102" t="s">
        <v>102</v>
      </c>
      <c r="I293" s="206">
        <v>2025</v>
      </c>
      <c r="J293" s="120">
        <v>584</v>
      </c>
      <c r="K293" s="207">
        <v>3282.4990438664113</v>
      </c>
      <c r="L293" s="207">
        <v>1541.6115971645218</v>
      </c>
      <c r="M293" s="207">
        <v>4481.7781051780339</v>
      </c>
      <c r="N293" s="298">
        <v>0</v>
      </c>
      <c r="O293" s="114">
        <f>tblPiNAnalysis[[#This Row],[SAMV]]</f>
        <v>5165</v>
      </c>
      <c r="P293" s="115">
        <f>tblPiNAnalysis[[#This Row],[NUT]]</f>
        <v>1201.0811480764187</v>
      </c>
      <c r="Q293" s="115">
        <f>tblPiNAnalysis[[#This Row],[SAL]]</f>
        <v>15082.895</v>
      </c>
      <c r="R293" s="115">
        <f>tblPiNAnalysis[[#This Row],[EDU]]</f>
        <v>5321.9602595917095</v>
      </c>
      <c r="S293" s="115">
        <f>tblPiNAnalysis[[#This Row],[PRO]]</f>
        <v>4978.0056190645055</v>
      </c>
      <c r="T293" s="116">
        <f>tblPiNAnalysis[[#This Row],[ASH]]</f>
        <v>24793.8</v>
      </c>
      <c r="U293" s="300">
        <f>IF(OR(tblPiNHistorical[[#This Row],[SAMV25]]="", tblPiNHistorical[[#This Row],[SAMV25]]=0, tblPiNHistorical[[#This Row],[SAMV26]]="", tblPiNHistorical[[#This Row],[SAMV26]]=0), "", tblPiNHistorical[[#This Row],[SAMV26]]-tblPiNHistorical[[#This Row],[SAMV25]])</f>
        <v>3140</v>
      </c>
      <c r="V293" s="121">
        <f>IF(OR(tblPiNHistorical[[#This Row],[NUT25]]="", tblPiNHistorical[[#This Row],[NUT25]]=0, tblPiNHistorical[[#This Row],[NUT26]]="", tblPiNHistorical[[#This Row],[NUT26]]=0), "", tblPiNHistorical[[#This Row],[NUT26]]-tblPiNHistorical[[#This Row],[NUT25]])</f>
        <v>617.08114807641869</v>
      </c>
      <c r="W293" s="121">
        <f>IF(OR(tblPiNHistorical[[#This Row],[SAL25]]="", tblPiNHistorical[[#This Row],[SAL25]]=0, tblPiNHistorical[[#This Row],[SAL26]]="", tblPiNHistorical[[#This Row],[SAL26]]=0), "", tblPiNHistorical[[#This Row],[SAL26]]-tblPiNHistorical[[#This Row],[SAL25]])</f>
        <v>11800.395956133589</v>
      </c>
      <c r="X293" s="121">
        <f>IF(OR(tblPiNHistorical[[#This Row],[EDU25]]="", tblPiNHistorical[[#This Row],[EDU25]]=0, tblPiNHistorical[[#This Row],[EDU26]]="", tblPiNHistorical[[#This Row],[EDU26]]=0), "", tblPiNHistorical[[#This Row],[EDU26]]-tblPiNHistorical[[#This Row],[EDU25]])</f>
        <v>3780.3486624271877</v>
      </c>
      <c r="Y293" s="121">
        <f>IF(OR(tblPiNHistorical[[#This Row],[PRO25]]="", tblPiNHistorical[[#This Row],[PRO25]]=0, tblPiNHistorical[[#This Row],[PRO26]]="", tblPiNHistorical[[#This Row],[PRO26]]=0), "", tblPiNHistorical[[#This Row],[PRO26]]-tblPiNHistorical[[#This Row],[PRO25]])</f>
        <v>496.22751388647157</v>
      </c>
      <c r="Z293" s="223" t="str">
        <f>IF(OR(tblPiNHistorical[[#This Row],[ASH25]]="", tblPiNHistorical[[#This Row],[ASH25]]=0, tblPiNHistorical[[#This Row],[ASH26]]="", tblPiNHistorical[[#This Row],[ASH26]]=0), "", tblPiNHistorical[[#This Row],[ASH26]]-tblPiNHistorical[[#This Row],[ASH25]])</f>
        <v/>
      </c>
      <c r="AA29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1.6</v>
      </c>
      <c r="AB29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1.1000000000000001</v>
      </c>
      <c r="AC29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3.6</v>
      </c>
      <c r="AD29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2.5</v>
      </c>
      <c r="AE29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0.1</v>
      </c>
      <c r="AF29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24793.8</v>
      </c>
    </row>
    <row r="294" spans="1:32">
      <c r="A29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VenezolanosVE2112</v>
      </c>
      <c r="B294" s="105" t="s">
        <v>642</v>
      </c>
      <c r="C294" s="104" t="s">
        <v>643</v>
      </c>
      <c r="D294" s="119" t="s">
        <v>663</v>
      </c>
      <c r="E294" s="104" t="s">
        <v>664</v>
      </c>
      <c r="F294" s="119"/>
      <c r="G294" s="102">
        <v>19777</v>
      </c>
      <c r="H294" s="102" t="s">
        <v>102</v>
      </c>
      <c r="I294" s="206">
        <v>3176</v>
      </c>
      <c r="J294" s="120">
        <v>839</v>
      </c>
      <c r="K294" s="207">
        <v>5149.1540992978389</v>
      </c>
      <c r="L294" s="207">
        <v>1996.5003183675142</v>
      </c>
      <c r="M294" s="207">
        <v>9244.7155053794722</v>
      </c>
      <c r="N294" s="298">
        <v>0</v>
      </c>
      <c r="O294" s="114">
        <f>tblPiNAnalysis[[#This Row],[SAMV]]</f>
        <v>8008</v>
      </c>
      <c r="P294" s="115">
        <f>tblPiNAnalysis[[#This Row],[NUT]]</f>
        <v>1364.7572244034973</v>
      </c>
      <c r="Q294" s="115">
        <f>tblPiNAnalysis[[#This Row],[SAL]]</f>
        <v>18268.25</v>
      </c>
      <c r="R294" s="115">
        <f>tblPiNAnalysis[[#This Row],[EDU]]</f>
        <v>6015.0133949058263</v>
      </c>
      <c r="S294" s="115">
        <f>tblPiNAnalysis[[#This Row],[PRO]]</f>
        <v>2009.7700331064902</v>
      </c>
      <c r="T294" s="116">
        <f>tblPiNAnalysis[[#This Row],[ASH]]</f>
        <v>30030</v>
      </c>
      <c r="U294" s="300">
        <f>IF(OR(tblPiNHistorical[[#This Row],[SAMV25]]="", tblPiNHistorical[[#This Row],[SAMV25]]=0, tblPiNHistorical[[#This Row],[SAMV26]]="", tblPiNHistorical[[#This Row],[SAMV26]]=0), "", tblPiNHistorical[[#This Row],[SAMV26]]-tblPiNHistorical[[#This Row],[SAMV25]])</f>
        <v>4832</v>
      </c>
      <c r="V294" s="121">
        <f>IF(OR(tblPiNHistorical[[#This Row],[NUT25]]="", tblPiNHistorical[[#This Row],[NUT25]]=0, tblPiNHistorical[[#This Row],[NUT26]]="", tblPiNHistorical[[#This Row],[NUT26]]=0), "", tblPiNHistorical[[#This Row],[NUT26]]-tblPiNHistorical[[#This Row],[NUT25]])</f>
        <v>525.75722440349728</v>
      </c>
      <c r="W294" s="121">
        <f>IF(OR(tblPiNHistorical[[#This Row],[SAL25]]="", tblPiNHistorical[[#This Row],[SAL25]]=0, tblPiNHistorical[[#This Row],[SAL26]]="", tblPiNHistorical[[#This Row],[SAL26]]=0), "", tblPiNHistorical[[#This Row],[SAL26]]-tblPiNHistorical[[#This Row],[SAL25]])</f>
        <v>13119.095900702161</v>
      </c>
      <c r="X294" s="121">
        <f>IF(OR(tblPiNHistorical[[#This Row],[EDU25]]="", tblPiNHistorical[[#This Row],[EDU25]]=0, tblPiNHistorical[[#This Row],[EDU26]]="", tblPiNHistorical[[#This Row],[EDU26]]=0), "", tblPiNHistorical[[#This Row],[EDU26]]-tblPiNHistorical[[#This Row],[EDU25]])</f>
        <v>4018.5130765383119</v>
      </c>
      <c r="Y294" s="121">
        <f>IF(OR(tblPiNHistorical[[#This Row],[PRO25]]="", tblPiNHistorical[[#This Row],[PRO25]]=0, tblPiNHistorical[[#This Row],[PRO26]]="", tblPiNHistorical[[#This Row],[PRO26]]=0), "", tblPiNHistorical[[#This Row],[PRO26]]-tblPiNHistorical[[#This Row],[PRO25]])</f>
        <v>-7234.9454722729824</v>
      </c>
      <c r="Z294" s="223" t="str">
        <f>IF(OR(tblPiNHistorical[[#This Row],[ASH25]]="", tblPiNHistorical[[#This Row],[ASH25]]=0, tblPiNHistorical[[#This Row],[ASH26]]="", tblPiNHistorical[[#This Row],[ASH26]]=0), "", tblPiNHistorical[[#This Row],[ASH26]]-tblPiNHistorical[[#This Row],[ASH25]])</f>
        <v/>
      </c>
      <c r="AA29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1.5</v>
      </c>
      <c r="AB29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29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2.5</v>
      </c>
      <c r="AD29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v>
      </c>
      <c r="AE29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9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30030</v>
      </c>
    </row>
    <row r="295" spans="1:32">
      <c r="A29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VenezolanosVE2113</v>
      </c>
      <c r="B295" s="105" t="s">
        <v>642</v>
      </c>
      <c r="C295" s="104" t="s">
        <v>643</v>
      </c>
      <c r="D295" s="119" t="s">
        <v>665</v>
      </c>
      <c r="E295" s="104" t="s">
        <v>666</v>
      </c>
      <c r="F295" s="119"/>
      <c r="G295" s="102">
        <v>47549</v>
      </c>
      <c r="H295" s="102" t="s">
        <v>102</v>
      </c>
      <c r="I295" s="206">
        <v>7637</v>
      </c>
      <c r="J295" s="120">
        <v>1898</v>
      </c>
      <c r="K295" s="207">
        <v>12379.965455210024</v>
      </c>
      <c r="L295" s="207">
        <v>5275.6336003665801</v>
      </c>
      <c r="M295" s="207">
        <v>6723.4294584577974</v>
      </c>
      <c r="N295" s="298">
        <v>0</v>
      </c>
      <c r="O295" s="114">
        <f>tblPiNAnalysis[[#This Row],[SAMV]]</f>
        <v>5725</v>
      </c>
      <c r="P295" s="115">
        <f>tblPiNAnalysis[[#This Row],[NUT]]</f>
        <v>1042.5382410310722</v>
      </c>
      <c r="Q295" s="115">
        <f>tblPiNAnalysis[[#This Row],[SAL]]</f>
        <v>13321.04</v>
      </c>
      <c r="R295" s="115">
        <f>tblPiNAnalysis[[#This Row],[EDU]]</f>
        <v>2403.5124428855265</v>
      </c>
      <c r="S295" s="115">
        <f>tblPiNAnalysis[[#This Row],[PRO]]</f>
        <v>1465.5058367283609</v>
      </c>
      <c r="T295" s="116">
        <f>tblPiNAnalysis[[#This Row],[ASH]]</f>
        <v>21897.599999999999</v>
      </c>
      <c r="U295" s="300">
        <f>IF(OR(tblPiNHistorical[[#This Row],[SAMV25]]="", tblPiNHistorical[[#This Row],[SAMV25]]=0, tblPiNHistorical[[#This Row],[SAMV26]]="", tblPiNHistorical[[#This Row],[SAMV26]]=0), "", tblPiNHistorical[[#This Row],[SAMV26]]-tblPiNHistorical[[#This Row],[SAMV25]])</f>
        <v>-1912</v>
      </c>
      <c r="V295" s="121">
        <f>IF(OR(tblPiNHistorical[[#This Row],[NUT25]]="", tblPiNHistorical[[#This Row],[NUT25]]=0, tblPiNHistorical[[#This Row],[NUT26]]="", tblPiNHistorical[[#This Row],[NUT26]]=0), "", tblPiNHistorical[[#This Row],[NUT26]]-tblPiNHistorical[[#This Row],[NUT25]])</f>
        <v>-855.46175896892782</v>
      </c>
      <c r="W295" s="121">
        <f>IF(OR(tblPiNHistorical[[#This Row],[SAL25]]="", tblPiNHistorical[[#This Row],[SAL25]]=0, tblPiNHistorical[[#This Row],[SAL26]]="", tblPiNHistorical[[#This Row],[SAL26]]=0), "", tblPiNHistorical[[#This Row],[SAL26]]-tblPiNHistorical[[#This Row],[SAL25]])</f>
        <v>941.07454478997715</v>
      </c>
      <c r="X295" s="121">
        <f>IF(OR(tblPiNHistorical[[#This Row],[EDU25]]="", tblPiNHistorical[[#This Row],[EDU25]]=0, tblPiNHistorical[[#This Row],[EDU26]]="", tblPiNHistorical[[#This Row],[EDU26]]=0), "", tblPiNHistorical[[#This Row],[EDU26]]-tblPiNHistorical[[#This Row],[EDU25]])</f>
        <v>-2872.1211574810536</v>
      </c>
      <c r="Y295" s="121">
        <f>IF(OR(tblPiNHistorical[[#This Row],[PRO25]]="", tblPiNHistorical[[#This Row],[PRO25]]=0, tblPiNHistorical[[#This Row],[PRO26]]="", tblPiNHistorical[[#This Row],[PRO26]]=0), "", tblPiNHistorical[[#This Row],[PRO26]]-tblPiNHistorical[[#This Row],[PRO25]])</f>
        <v>-5257.9236217294365</v>
      </c>
      <c r="Z295" s="223" t="str">
        <f>IF(OR(tblPiNHistorical[[#This Row],[ASH25]]="", tblPiNHistorical[[#This Row],[ASH25]]=0, tblPiNHistorical[[#This Row],[ASH26]]="", tblPiNHistorical[[#This Row],[ASH26]]=0), "", tblPiNHistorical[[#This Row],[ASH26]]-tblPiNHistorical[[#This Row],[ASH25]])</f>
        <v/>
      </c>
      <c r="AA29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-0.3</v>
      </c>
      <c r="AB29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29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29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29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9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21897.6</v>
      </c>
    </row>
    <row r="296" spans="1:32">
      <c r="A29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VenezolanosVE2114</v>
      </c>
      <c r="B296" s="105" t="s">
        <v>642</v>
      </c>
      <c r="C296" s="104" t="s">
        <v>643</v>
      </c>
      <c r="D296" s="119" t="s">
        <v>667</v>
      </c>
      <c r="E296" s="104" t="s">
        <v>668</v>
      </c>
      <c r="F296" s="119"/>
      <c r="G296" s="102">
        <v>28521</v>
      </c>
      <c r="H296" s="102" t="s">
        <v>102</v>
      </c>
      <c r="I296" s="206">
        <v>4581</v>
      </c>
      <c r="J296" s="120">
        <v>1071</v>
      </c>
      <c r="K296" s="207">
        <v>7425.9976860183378</v>
      </c>
      <c r="L296" s="207">
        <v>2791.074632335255</v>
      </c>
      <c r="M296" s="207">
        <v>6723.4294584577974</v>
      </c>
      <c r="N296" s="298">
        <v>0</v>
      </c>
      <c r="O296" s="114">
        <f>tblPiNAnalysis[[#This Row],[SAMV]]</f>
        <v>19419</v>
      </c>
      <c r="P296" s="115">
        <f>tblPiNAnalysis[[#This Row],[NUT]]</f>
        <v>2890.6980307975059</v>
      </c>
      <c r="Q296" s="115">
        <f>tblPiNAnalysis[[#This Row],[SAL]]</f>
        <v>36451.455000000002</v>
      </c>
      <c r="R296" s="115">
        <f>tblPiNAnalysis[[#This Row],[EDU]]</f>
        <v>6781.7569346061528</v>
      </c>
      <c r="S296" s="115">
        <f>tblPiNAnalysis[[#This Row],[PRO]]</f>
        <v>12030.551682092657</v>
      </c>
      <c r="T296" s="116">
        <f>tblPiNAnalysis[[#This Row],[ASH]]</f>
        <v>59920.2</v>
      </c>
      <c r="U296" s="300">
        <f>IF(OR(tblPiNHistorical[[#This Row],[SAMV25]]="", tblPiNHistorical[[#This Row],[SAMV25]]=0, tblPiNHistorical[[#This Row],[SAMV26]]="", tblPiNHistorical[[#This Row],[SAMV26]]=0), "", tblPiNHistorical[[#This Row],[SAMV26]]-tblPiNHistorical[[#This Row],[SAMV25]])</f>
        <v>14838</v>
      </c>
      <c r="V296" s="121">
        <f>IF(OR(tblPiNHistorical[[#This Row],[NUT25]]="", tblPiNHistorical[[#This Row],[NUT25]]=0, tblPiNHistorical[[#This Row],[NUT26]]="", tblPiNHistorical[[#This Row],[NUT26]]=0), "", tblPiNHistorical[[#This Row],[NUT26]]-tblPiNHistorical[[#This Row],[NUT25]])</f>
        <v>1819.6980307975059</v>
      </c>
      <c r="W296" s="121">
        <f>IF(OR(tblPiNHistorical[[#This Row],[SAL25]]="", tblPiNHistorical[[#This Row],[SAL25]]=0, tblPiNHistorical[[#This Row],[SAL26]]="", tblPiNHistorical[[#This Row],[SAL26]]=0), "", tblPiNHistorical[[#This Row],[SAL26]]-tblPiNHistorical[[#This Row],[SAL25]])</f>
        <v>29025.457313981664</v>
      </c>
      <c r="X296" s="121">
        <f>IF(OR(tblPiNHistorical[[#This Row],[EDU25]]="", tblPiNHistorical[[#This Row],[EDU25]]=0, tblPiNHistorical[[#This Row],[EDU26]]="", tblPiNHistorical[[#This Row],[EDU26]]=0), "", tblPiNHistorical[[#This Row],[EDU26]]-tblPiNHistorical[[#This Row],[EDU25]])</f>
        <v>3990.6823022708977</v>
      </c>
      <c r="Y296" s="121">
        <f>IF(OR(tblPiNHistorical[[#This Row],[PRO25]]="", tblPiNHistorical[[#This Row],[PRO25]]=0, tblPiNHistorical[[#This Row],[PRO26]]="", tblPiNHistorical[[#This Row],[PRO26]]=0), "", tblPiNHistorical[[#This Row],[PRO26]]-tblPiNHistorical[[#This Row],[PRO25]])</f>
        <v>5307.1222236348594</v>
      </c>
      <c r="Z296" s="223" t="str">
        <f>IF(OR(tblPiNHistorical[[#This Row],[ASH25]]="", tblPiNHistorical[[#This Row],[ASH25]]=0, tblPiNHistorical[[#This Row],[ASH26]]="", tblPiNHistorical[[#This Row],[ASH26]]=0), "", tblPiNHistorical[[#This Row],[ASH26]]-tblPiNHistorical[[#This Row],[ASH25]])</f>
        <v/>
      </c>
      <c r="AA29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3.2</v>
      </c>
      <c r="AB29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1.7</v>
      </c>
      <c r="AC29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3.9</v>
      </c>
      <c r="AD29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1.4</v>
      </c>
      <c r="AE29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29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59920.2</v>
      </c>
    </row>
    <row r="297" spans="1:32">
      <c r="A29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VenezolanosVE2115</v>
      </c>
      <c r="B297" s="105" t="s">
        <v>642</v>
      </c>
      <c r="C297" s="104" t="s">
        <v>643</v>
      </c>
      <c r="D297" s="119" t="s">
        <v>669</v>
      </c>
      <c r="E297" s="104" t="s">
        <v>670</v>
      </c>
      <c r="F297" s="119"/>
      <c r="G297" s="102">
        <v>22153</v>
      </c>
      <c r="H297" s="102" t="s">
        <v>102</v>
      </c>
      <c r="I297" s="206">
        <v>3558</v>
      </c>
      <c r="J297" s="120">
        <v>954</v>
      </c>
      <c r="K297" s="207">
        <v>5767.4092768929604</v>
      </c>
      <c r="L297" s="207">
        <v>1809.4965874259237</v>
      </c>
      <c r="M297" s="207">
        <v>6723.4294584577974</v>
      </c>
      <c r="N297" s="298">
        <v>0</v>
      </c>
      <c r="O297" s="114">
        <f>tblPiNAnalysis[[#This Row],[SAMV]]</f>
        <v>11556</v>
      </c>
      <c r="P297" s="115">
        <f>tblPiNAnalysis[[#This Row],[NUT]]</f>
        <v>790.32703456896263</v>
      </c>
      <c r="Q297" s="115">
        <f>tblPiNAnalysis[[#This Row],[SAL]]</f>
        <v>7732.5249999999996</v>
      </c>
      <c r="R297" s="115">
        <f>tblPiNAnalysis[[#This Row],[EDU]]</f>
        <v>1456.9017377648943</v>
      </c>
      <c r="S297" s="115">
        <f>tblPiNAnalysis[[#This Row],[PRO]]</f>
        <v>2009.9342229665276</v>
      </c>
      <c r="T297" s="116">
        <f>tblPiNAnalysis[[#This Row],[ASH]]</f>
        <v>0</v>
      </c>
      <c r="U297" s="300">
        <f>IF(OR(tblPiNHistorical[[#This Row],[SAMV25]]="", tblPiNHistorical[[#This Row],[SAMV25]]=0, tblPiNHistorical[[#This Row],[SAMV26]]="", tblPiNHistorical[[#This Row],[SAMV26]]=0), "", tblPiNHistorical[[#This Row],[SAMV26]]-tblPiNHistorical[[#This Row],[SAMV25]])</f>
        <v>7998</v>
      </c>
      <c r="V297" s="121">
        <f>IF(OR(tblPiNHistorical[[#This Row],[NUT25]]="", tblPiNHistorical[[#This Row],[NUT25]]=0, tblPiNHistorical[[#This Row],[NUT26]]="", tblPiNHistorical[[#This Row],[NUT26]]=0), "", tblPiNHistorical[[#This Row],[NUT26]]-tblPiNHistorical[[#This Row],[NUT25]])</f>
        <v>-163.67296543103737</v>
      </c>
      <c r="W297" s="121">
        <f>IF(OR(tblPiNHistorical[[#This Row],[SAL25]]="", tblPiNHistorical[[#This Row],[SAL25]]=0, tblPiNHistorical[[#This Row],[SAL26]]="", tblPiNHistorical[[#This Row],[SAL26]]=0), "", tblPiNHistorical[[#This Row],[SAL26]]-tblPiNHistorical[[#This Row],[SAL25]])</f>
        <v>1965.1157231070392</v>
      </c>
      <c r="X297" s="121">
        <f>IF(OR(tblPiNHistorical[[#This Row],[EDU25]]="", tblPiNHistorical[[#This Row],[EDU25]]=0, tblPiNHistorical[[#This Row],[EDU26]]="", tblPiNHistorical[[#This Row],[EDU26]]=0), "", tblPiNHistorical[[#This Row],[EDU26]]-tblPiNHistorical[[#This Row],[EDU25]])</f>
        <v>-352.59484966102946</v>
      </c>
      <c r="Y297" s="121">
        <f>IF(OR(tblPiNHistorical[[#This Row],[PRO25]]="", tblPiNHistorical[[#This Row],[PRO25]]=0, tblPiNHistorical[[#This Row],[PRO26]]="", tblPiNHistorical[[#This Row],[PRO26]]=0), "", tblPiNHistorical[[#This Row],[PRO26]]-tblPiNHistorical[[#This Row],[PRO25]])</f>
        <v>-4713.4952354912693</v>
      </c>
      <c r="Z297" s="223" t="str">
        <f>IF(OR(tblPiNHistorical[[#This Row],[ASH25]]="", tblPiNHistorical[[#This Row],[ASH25]]=0, tblPiNHistorical[[#This Row],[ASH26]]="", tblPiNHistorical[[#This Row],[ASH26]]=0), "", tblPiNHistorical[[#This Row],[ASH26]]-tblPiNHistorical[[#This Row],[ASH25]])</f>
        <v/>
      </c>
      <c r="AA29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2.2000000000000002</v>
      </c>
      <c r="AB29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29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29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-0.2</v>
      </c>
      <c r="AE29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29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98" spans="1:32">
      <c r="A29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VenezolanosVE2116</v>
      </c>
      <c r="B298" s="105" t="s">
        <v>642</v>
      </c>
      <c r="C298" s="104" t="s">
        <v>643</v>
      </c>
      <c r="D298" s="119" t="s">
        <v>671</v>
      </c>
      <c r="E298" s="104" t="s">
        <v>672</v>
      </c>
      <c r="F298" s="119"/>
      <c r="G298" s="102">
        <v>55409</v>
      </c>
      <c r="H298" s="102" t="s">
        <v>102</v>
      </c>
      <c r="I298" s="206">
        <v>8899</v>
      </c>
      <c r="J298" s="120">
        <v>2259</v>
      </c>
      <c r="K298" s="207">
        <v>14425.954143886189</v>
      </c>
      <c r="L298" s="207">
        <v>5250.4668391891137</v>
      </c>
      <c r="M298" s="207">
        <v>9244.7155053794722</v>
      </c>
      <c r="N298" s="298">
        <v>0</v>
      </c>
      <c r="O298" s="114">
        <f>tblPiNAnalysis[[#This Row],[SAMV]]</f>
        <v>107958</v>
      </c>
      <c r="P298" s="115">
        <f>tblPiNAnalysis[[#This Row],[NUT]]</f>
        <v>8696.0417474611477</v>
      </c>
      <c r="Q298" s="115">
        <f>tblPiNAnalysis[[#This Row],[SAL]]</f>
        <v>71903.539999999994</v>
      </c>
      <c r="R298" s="115">
        <f>tblPiNAnalysis[[#This Row],[EDU]]</f>
        <v>17762.778481389076</v>
      </c>
      <c r="S298" s="115">
        <f>tblPiNAnalysis[[#This Row],[PRO]]</f>
        <v>18690.063827590944</v>
      </c>
      <c r="T298" s="116">
        <f>tblPiNAnalysis[[#This Row],[ASH]]</f>
        <v>0</v>
      </c>
      <c r="U298" s="300">
        <f>IF(OR(tblPiNHistorical[[#This Row],[SAMV25]]="", tblPiNHistorical[[#This Row],[SAMV25]]=0, tblPiNHistorical[[#This Row],[SAMV26]]="", tblPiNHistorical[[#This Row],[SAMV26]]=0), "", tblPiNHistorical[[#This Row],[SAMV26]]-tblPiNHistorical[[#This Row],[SAMV25]])</f>
        <v>99059</v>
      </c>
      <c r="V298" s="121">
        <f>IF(OR(tblPiNHistorical[[#This Row],[NUT25]]="", tblPiNHistorical[[#This Row],[NUT25]]=0, tblPiNHistorical[[#This Row],[NUT26]]="", tblPiNHistorical[[#This Row],[NUT26]]=0), "", tblPiNHistorical[[#This Row],[NUT26]]-tblPiNHistorical[[#This Row],[NUT25]])</f>
        <v>6437.0417474611477</v>
      </c>
      <c r="W298" s="121">
        <f>IF(OR(tblPiNHistorical[[#This Row],[SAL25]]="", tblPiNHistorical[[#This Row],[SAL25]]=0, tblPiNHistorical[[#This Row],[SAL26]]="", tblPiNHistorical[[#This Row],[SAL26]]=0), "", tblPiNHistorical[[#This Row],[SAL26]]-tblPiNHistorical[[#This Row],[SAL25]])</f>
        <v>57477.585856113801</v>
      </c>
      <c r="X298" s="121">
        <f>IF(OR(tblPiNHistorical[[#This Row],[EDU25]]="", tblPiNHistorical[[#This Row],[EDU25]]=0, tblPiNHistorical[[#This Row],[EDU26]]="", tblPiNHistorical[[#This Row],[EDU26]]=0), "", tblPiNHistorical[[#This Row],[EDU26]]-tblPiNHistorical[[#This Row],[EDU25]])</f>
        <v>12512.311642199962</v>
      </c>
      <c r="Y298" s="121">
        <f>IF(OR(tblPiNHistorical[[#This Row],[PRO25]]="", tblPiNHistorical[[#This Row],[PRO25]]=0, tblPiNHistorical[[#This Row],[PRO26]]="", tblPiNHistorical[[#This Row],[PRO26]]=0), "", tblPiNHistorical[[#This Row],[PRO26]]-tblPiNHistorical[[#This Row],[PRO25]])</f>
        <v>9445.3483222114719</v>
      </c>
      <c r="Z298" s="223" t="str">
        <f>IF(OR(tblPiNHistorical[[#This Row],[ASH25]]="", tblPiNHistorical[[#This Row],[ASH25]]=0, tblPiNHistorical[[#This Row],[ASH26]]="", tblPiNHistorical[[#This Row],[ASH26]]=0), "", tblPiNHistorical[[#This Row],[ASH26]]-tblPiNHistorical[[#This Row],[ASH25]])</f>
        <v/>
      </c>
      <c r="AA29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11.1</v>
      </c>
      <c r="AB29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2.8</v>
      </c>
      <c r="AC29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4</v>
      </c>
      <c r="AD29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2.4</v>
      </c>
      <c r="AE29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29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299" spans="1:32">
      <c r="A29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VenezolanosVE2117</v>
      </c>
      <c r="B299" s="105" t="s">
        <v>642</v>
      </c>
      <c r="C299" s="104" t="s">
        <v>643</v>
      </c>
      <c r="D299" s="119" t="s">
        <v>203</v>
      </c>
      <c r="E299" s="104" t="s">
        <v>673</v>
      </c>
      <c r="F299" s="119"/>
      <c r="G299" s="102">
        <v>30715</v>
      </c>
      <c r="H299" s="102" t="s">
        <v>102</v>
      </c>
      <c r="I299" s="206">
        <v>4933</v>
      </c>
      <c r="J299" s="120">
        <v>1373</v>
      </c>
      <c r="K299" s="207">
        <v>7996.6947730292195</v>
      </c>
      <c r="L299" s="207">
        <v>3722.8467621092918</v>
      </c>
      <c r="M299" s="207">
        <v>9244.7155053794722</v>
      </c>
      <c r="N299" s="298">
        <v>6143</v>
      </c>
      <c r="O299" s="114">
        <f>tblPiNAnalysis[[#This Row],[SAMV]]</f>
        <v>18840.6878</v>
      </c>
      <c r="P299" s="115">
        <f>tblPiNAnalysis[[#This Row],[NUT]]</f>
        <v>1664.5379794024445</v>
      </c>
      <c r="Q299" s="115">
        <f>tblPiNAnalysis[[#This Row],[SAL]]</f>
        <v>14017.094999999999</v>
      </c>
      <c r="R299" s="115">
        <f>tblPiNAnalysis[[#This Row],[EDU]]</f>
        <v>1829.0919414811497</v>
      </c>
      <c r="S299" s="115">
        <f>tblPiNAnalysis[[#This Row],[PRO]]</f>
        <v>1214.4993149962011</v>
      </c>
      <c r="T299" s="116">
        <f>tblPiNAnalysis[[#This Row],[ASH]]</f>
        <v>0</v>
      </c>
      <c r="U299" s="300">
        <f>IF(OR(tblPiNHistorical[[#This Row],[SAMV25]]="", tblPiNHistorical[[#This Row],[SAMV25]]=0, tblPiNHistorical[[#This Row],[SAMV26]]="", tblPiNHistorical[[#This Row],[SAMV26]]=0), "", tblPiNHistorical[[#This Row],[SAMV26]]-tblPiNHistorical[[#This Row],[SAMV25]])</f>
        <v>13907.6878</v>
      </c>
      <c r="V299" s="121">
        <f>IF(OR(tblPiNHistorical[[#This Row],[NUT25]]="", tblPiNHistorical[[#This Row],[NUT25]]=0, tblPiNHistorical[[#This Row],[NUT26]]="", tblPiNHistorical[[#This Row],[NUT26]]=0), "", tblPiNHistorical[[#This Row],[NUT26]]-tblPiNHistorical[[#This Row],[NUT25]])</f>
        <v>291.53797940244453</v>
      </c>
      <c r="W299" s="121">
        <f>IF(OR(tblPiNHistorical[[#This Row],[SAL25]]="", tblPiNHistorical[[#This Row],[SAL25]]=0, tblPiNHistorical[[#This Row],[SAL26]]="", tblPiNHistorical[[#This Row],[SAL26]]=0), "", tblPiNHistorical[[#This Row],[SAL26]]-tblPiNHistorical[[#This Row],[SAL25]])</f>
        <v>6020.4002269707798</v>
      </c>
      <c r="X299" s="121">
        <f>IF(OR(tblPiNHistorical[[#This Row],[EDU25]]="", tblPiNHistorical[[#This Row],[EDU25]]=0, tblPiNHistorical[[#This Row],[EDU26]]="", tblPiNHistorical[[#This Row],[EDU26]]=0), "", tblPiNHistorical[[#This Row],[EDU26]]-tblPiNHistorical[[#This Row],[EDU25]])</f>
        <v>-1893.7548206281422</v>
      </c>
      <c r="Y299" s="121">
        <f>IF(OR(tblPiNHistorical[[#This Row],[PRO25]]="", tblPiNHistorical[[#This Row],[PRO25]]=0, tblPiNHistorical[[#This Row],[PRO26]]="", tblPiNHistorical[[#This Row],[PRO26]]=0), "", tblPiNHistorical[[#This Row],[PRO26]]-tblPiNHistorical[[#This Row],[PRO25]])</f>
        <v>-8030.2161903832712</v>
      </c>
      <c r="Z299" s="223" t="str">
        <f>IF(OR(tblPiNHistorical[[#This Row],[ASH25]]="", tblPiNHistorical[[#This Row],[ASH25]]=0, tblPiNHistorical[[#This Row],[ASH26]]="", tblPiNHistorical[[#This Row],[ASH26]]=0), "", tblPiNHistorical[[#This Row],[ASH26]]-tblPiNHistorical[[#This Row],[ASH25]])</f>
        <v/>
      </c>
      <c r="AA29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2.8</v>
      </c>
      <c r="AB29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0.2</v>
      </c>
      <c r="AC29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29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29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29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6143</v>
      </c>
    </row>
    <row r="300" spans="1:32">
      <c r="A30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VenezolanosVE2118</v>
      </c>
      <c r="B300" s="105" t="s">
        <v>642</v>
      </c>
      <c r="C300" s="104" t="s">
        <v>643</v>
      </c>
      <c r="D300" s="119" t="s">
        <v>642</v>
      </c>
      <c r="E300" s="104" t="s">
        <v>674</v>
      </c>
      <c r="F300" s="119"/>
      <c r="G300" s="102">
        <v>54213</v>
      </c>
      <c r="H300" s="102" t="s">
        <v>102</v>
      </c>
      <c r="I300" s="206">
        <v>8707</v>
      </c>
      <c r="J300" s="120">
        <v>2159</v>
      </c>
      <c r="K300" s="207">
        <v>14114.844967980951</v>
      </c>
      <c r="L300" s="207">
        <v>4821.3190475477895</v>
      </c>
      <c r="M300" s="207">
        <v>9244.7155053794722</v>
      </c>
      <c r="N300" s="298">
        <v>0</v>
      </c>
      <c r="O300" s="114">
        <f>tblPiNAnalysis[[#This Row],[SAMV]]</f>
        <v>7586</v>
      </c>
      <c r="P300" s="115">
        <f>tblPiNAnalysis[[#This Row],[NUT]]</f>
        <v>898.4298243468595</v>
      </c>
      <c r="Q300" s="115">
        <f>tblPiNAnalysis[[#This Row],[SAL]]</f>
        <v>10100</v>
      </c>
      <c r="R300" s="115">
        <f>tblPiNAnalysis[[#This Row],[EDU]]</f>
        <v>1075.9238296589212</v>
      </c>
      <c r="S300" s="115">
        <f>tblPiNAnalysis[[#This Row],[PRO]]</f>
        <v>1570.1869903278748</v>
      </c>
      <c r="T300" s="116">
        <f>tblPiNAnalysis[[#This Row],[ASH]]</f>
        <v>0</v>
      </c>
      <c r="U300" s="300">
        <f>IF(OR(tblPiNHistorical[[#This Row],[SAMV25]]="", tblPiNHistorical[[#This Row],[SAMV25]]=0, tblPiNHistorical[[#This Row],[SAMV26]]="", tblPiNHistorical[[#This Row],[SAMV26]]=0), "", tblPiNHistorical[[#This Row],[SAMV26]]-tblPiNHistorical[[#This Row],[SAMV25]])</f>
        <v>-1121</v>
      </c>
      <c r="V300" s="121">
        <f>IF(OR(tblPiNHistorical[[#This Row],[NUT25]]="", tblPiNHistorical[[#This Row],[NUT25]]=0, tblPiNHistorical[[#This Row],[NUT26]]="", tblPiNHistorical[[#This Row],[NUT26]]=0), "", tblPiNHistorical[[#This Row],[NUT26]]-tblPiNHistorical[[#This Row],[NUT25]])</f>
        <v>-1260.5701756531405</v>
      </c>
      <c r="W300" s="121">
        <f>IF(OR(tblPiNHistorical[[#This Row],[SAL25]]="", tblPiNHistorical[[#This Row],[SAL25]]=0, tblPiNHistorical[[#This Row],[SAL26]]="", tblPiNHistorical[[#This Row],[SAL26]]=0), "", tblPiNHistorical[[#This Row],[SAL26]]-tblPiNHistorical[[#This Row],[SAL25]])</f>
        <v>-4014.844967980951</v>
      </c>
      <c r="X300" s="121">
        <f>IF(OR(tblPiNHistorical[[#This Row],[EDU25]]="", tblPiNHistorical[[#This Row],[EDU25]]=0, tblPiNHistorical[[#This Row],[EDU26]]="", tblPiNHistorical[[#This Row],[EDU26]]=0), "", tblPiNHistorical[[#This Row],[EDU26]]-tblPiNHistorical[[#This Row],[EDU25]])</f>
        <v>-3745.3952178888685</v>
      </c>
      <c r="Y300" s="121">
        <f>IF(OR(tblPiNHistorical[[#This Row],[PRO25]]="", tblPiNHistorical[[#This Row],[PRO25]]=0, tblPiNHistorical[[#This Row],[PRO26]]="", tblPiNHistorical[[#This Row],[PRO26]]=0), "", tblPiNHistorical[[#This Row],[PRO26]]-tblPiNHistorical[[#This Row],[PRO25]])</f>
        <v>-7674.5285150515974</v>
      </c>
      <c r="Z300" s="223" t="str">
        <f>IF(OR(tblPiNHistorical[[#This Row],[ASH25]]="", tblPiNHistorical[[#This Row],[ASH25]]=0, tblPiNHistorical[[#This Row],[ASH26]]="", tblPiNHistorical[[#This Row],[ASH26]]=0), "", tblPiNHistorical[[#This Row],[ASH26]]-tblPiNHistorical[[#This Row],[ASH25]])</f>
        <v/>
      </c>
      <c r="AA30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30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30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30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30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30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01" spans="1:32">
      <c r="A30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VenezolanosVE2119</v>
      </c>
      <c r="B301" s="105" t="s">
        <v>642</v>
      </c>
      <c r="C301" s="104" t="s">
        <v>643</v>
      </c>
      <c r="D301" s="119" t="s">
        <v>207</v>
      </c>
      <c r="E301" s="104" t="s">
        <v>675</v>
      </c>
      <c r="F301" s="119"/>
      <c r="G301" s="102">
        <v>33620</v>
      </c>
      <c r="H301" s="102" t="s">
        <v>102</v>
      </c>
      <c r="I301" s="206">
        <v>5400</v>
      </c>
      <c r="J301" s="120">
        <v>1520</v>
      </c>
      <c r="K301" s="207">
        <v>8753.6610481617099</v>
      </c>
      <c r="L301" s="207">
        <v>5244.4745432694872</v>
      </c>
      <c r="M301" s="207">
        <v>6723.4294584577974</v>
      </c>
      <c r="N301" s="298">
        <v>0</v>
      </c>
      <c r="O301" s="114">
        <f>tblPiNAnalysis[[#This Row],[SAMV]]</f>
        <v>8467</v>
      </c>
      <c r="P301" s="115">
        <f>tblPiNAnalysis[[#This Row],[NUT]]</f>
        <v>1319.2623032302058</v>
      </c>
      <c r="Q301" s="115">
        <f>tblPiNAnalysis[[#This Row],[SAL]]</f>
        <v>8868.0400000000009</v>
      </c>
      <c r="R301" s="115">
        <f>tblPiNAnalysis[[#This Row],[EDU]]</f>
        <v>1225.8096815621477</v>
      </c>
      <c r="S301" s="115">
        <f>tblPiNAnalysis[[#This Row],[PRO]]</f>
        <v>2305.091427009429</v>
      </c>
      <c r="T301" s="116">
        <f>tblPiNAnalysis[[#This Row],[ASH]]</f>
        <v>0</v>
      </c>
      <c r="U301" s="300">
        <f>IF(OR(tblPiNHistorical[[#This Row],[SAMV25]]="", tblPiNHistorical[[#This Row],[SAMV25]]=0, tblPiNHistorical[[#This Row],[SAMV26]]="", tblPiNHistorical[[#This Row],[SAMV26]]=0), "", tblPiNHistorical[[#This Row],[SAMV26]]-tblPiNHistorical[[#This Row],[SAMV25]])</f>
        <v>3067</v>
      </c>
      <c r="V301" s="121">
        <f>IF(OR(tblPiNHistorical[[#This Row],[NUT25]]="", tblPiNHistorical[[#This Row],[NUT25]]=0, tblPiNHistorical[[#This Row],[NUT26]]="", tblPiNHistorical[[#This Row],[NUT26]]=0), "", tblPiNHistorical[[#This Row],[NUT26]]-tblPiNHistorical[[#This Row],[NUT25]])</f>
        <v>-200.73769676979418</v>
      </c>
      <c r="W301" s="121">
        <f>IF(OR(tblPiNHistorical[[#This Row],[SAL25]]="", tblPiNHistorical[[#This Row],[SAL25]]=0, tblPiNHistorical[[#This Row],[SAL26]]="", tblPiNHistorical[[#This Row],[SAL26]]=0), "", tblPiNHistorical[[#This Row],[SAL26]]-tblPiNHistorical[[#This Row],[SAL25]])</f>
        <v>114.37895183829096</v>
      </c>
      <c r="X301" s="121">
        <f>IF(OR(tblPiNHistorical[[#This Row],[EDU25]]="", tblPiNHistorical[[#This Row],[EDU25]]=0, tblPiNHistorical[[#This Row],[EDU26]]="", tblPiNHistorical[[#This Row],[EDU26]]=0), "", tblPiNHistorical[[#This Row],[EDU26]]-tblPiNHistorical[[#This Row],[EDU25]])</f>
        <v>-4018.6648617073397</v>
      </c>
      <c r="Y301" s="121">
        <f>IF(OR(tblPiNHistorical[[#This Row],[PRO25]]="", tblPiNHistorical[[#This Row],[PRO25]]=0, tblPiNHistorical[[#This Row],[PRO26]]="", tblPiNHistorical[[#This Row],[PRO26]]=0), "", tblPiNHistorical[[#This Row],[PRO26]]-tblPiNHistorical[[#This Row],[PRO25]])</f>
        <v>-4418.3380314483684</v>
      </c>
      <c r="Z301" s="223" t="str">
        <f>IF(OR(tblPiNHistorical[[#This Row],[ASH25]]="", tblPiNHistorical[[#This Row],[ASH25]]=0, tblPiNHistorical[[#This Row],[ASH26]]="", tblPiNHistorical[[#This Row],[ASH26]]=0), "", tblPiNHistorical[[#This Row],[ASH26]]-tblPiNHistorical[[#This Row],[ASH25]])</f>
        <v/>
      </c>
      <c r="AA30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30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30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v>
      </c>
      <c r="AD30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30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30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02" spans="1:32">
      <c r="A30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VenezolanosVE2120</v>
      </c>
      <c r="B302" s="105" t="s">
        <v>642</v>
      </c>
      <c r="C302" s="104" t="s">
        <v>643</v>
      </c>
      <c r="D302" s="119" t="s">
        <v>676</v>
      </c>
      <c r="E302" s="104" t="s">
        <v>677</v>
      </c>
      <c r="F302" s="119"/>
      <c r="G302" s="102">
        <v>136129</v>
      </c>
      <c r="H302" s="102" t="s">
        <v>102</v>
      </c>
      <c r="I302" s="206">
        <v>21863</v>
      </c>
      <c r="J302" s="120">
        <v>6195</v>
      </c>
      <c r="K302" s="207">
        <v>35442.667007904995</v>
      </c>
      <c r="L302" s="207">
        <v>11135.043294153806</v>
      </c>
      <c r="M302" s="207">
        <v>9244.7155053794722</v>
      </c>
      <c r="N302" s="298">
        <v>0</v>
      </c>
      <c r="O302" s="114">
        <f>tblPiNAnalysis[[#This Row],[SAMV]]</f>
        <v>13015</v>
      </c>
      <c r="P302" s="115">
        <f>tblPiNAnalysis[[#This Row],[NUT]]</f>
        <v>804.34030044827784</v>
      </c>
      <c r="Q302" s="115">
        <f>tblPiNAnalysis[[#This Row],[SAL]]</f>
        <v>6577.3</v>
      </c>
      <c r="R302" s="115">
        <f>tblPiNAnalysis[[#This Row],[EDU]]</f>
        <v>936.40127438740296</v>
      </c>
      <c r="S302" s="115">
        <f>tblPiNAnalysis[[#This Row],[PRO]]</f>
        <v>1709.6537501938551</v>
      </c>
      <c r="T302" s="116">
        <f>tblPiNAnalysis[[#This Row],[ASH]]</f>
        <v>0</v>
      </c>
      <c r="U302" s="300">
        <f>IF(OR(tblPiNHistorical[[#This Row],[SAMV25]]="", tblPiNHistorical[[#This Row],[SAMV25]]=0, tblPiNHistorical[[#This Row],[SAMV26]]="", tblPiNHistorical[[#This Row],[SAMV26]]=0), "", tblPiNHistorical[[#This Row],[SAMV26]]-tblPiNHistorical[[#This Row],[SAMV25]])</f>
        <v>-8848</v>
      </c>
      <c r="V302" s="121">
        <f>IF(OR(tblPiNHistorical[[#This Row],[NUT25]]="", tblPiNHistorical[[#This Row],[NUT25]]=0, tblPiNHistorical[[#This Row],[NUT26]]="", tblPiNHistorical[[#This Row],[NUT26]]=0), "", tblPiNHistorical[[#This Row],[NUT26]]-tblPiNHistorical[[#This Row],[NUT25]])</f>
        <v>-5390.659699551722</v>
      </c>
      <c r="W302" s="121">
        <f>IF(OR(tblPiNHistorical[[#This Row],[SAL25]]="", tblPiNHistorical[[#This Row],[SAL25]]=0, tblPiNHistorical[[#This Row],[SAL26]]="", tblPiNHistorical[[#This Row],[SAL26]]=0), "", tblPiNHistorical[[#This Row],[SAL26]]-tblPiNHistorical[[#This Row],[SAL25]])</f>
        <v>-28865.367007904995</v>
      </c>
      <c r="X302" s="121">
        <f>IF(OR(tblPiNHistorical[[#This Row],[EDU25]]="", tblPiNHistorical[[#This Row],[EDU25]]=0, tblPiNHistorical[[#This Row],[EDU26]]="", tblPiNHistorical[[#This Row],[EDU26]]=0), "", tblPiNHistorical[[#This Row],[EDU26]]-tblPiNHistorical[[#This Row],[EDU25]])</f>
        <v>-10198.642019766403</v>
      </c>
      <c r="Y302" s="121">
        <f>IF(OR(tblPiNHistorical[[#This Row],[PRO25]]="", tblPiNHistorical[[#This Row],[PRO25]]=0, tblPiNHistorical[[#This Row],[PRO26]]="", tblPiNHistorical[[#This Row],[PRO26]]=0), "", tblPiNHistorical[[#This Row],[PRO26]]-tblPiNHistorical[[#This Row],[PRO25]])</f>
        <v>-7535.0617551856176</v>
      </c>
      <c r="Z302" s="223" t="str">
        <f>IF(OR(tblPiNHistorical[[#This Row],[ASH25]]="", tblPiNHistorical[[#This Row],[ASH25]]=0, tblPiNHistorical[[#This Row],[ASH26]]="", tblPiNHistorical[[#This Row],[ASH26]]=0), "", tblPiNHistorical[[#This Row],[ASH26]]-tblPiNHistorical[[#This Row],[ASH25]])</f>
        <v/>
      </c>
      <c r="AA30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30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30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30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30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30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03" spans="1:32">
      <c r="A30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VenezolanosVE2201</v>
      </c>
      <c r="B303" s="105" t="s">
        <v>678</v>
      </c>
      <c r="C303" s="104" t="s">
        <v>679</v>
      </c>
      <c r="D303" s="119" t="s">
        <v>680</v>
      </c>
      <c r="E303" s="104" t="s">
        <v>681</v>
      </c>
      <c r="F303" s="119"/>
      <c r="G303" s="102">
        <v>20485</v>
      </c>
      <c r="H303" s="102" t="s">
        <v>102</v>
      </c>
      <c r="I303" s="206">
        <v>3152</v>
      </c>
      <c r="J303" s="120">
        <v>889</v>
      </c>
      <c r="K303" s="207">
        <v>5333.4417003117687</v>
      </c>
      <c r="L303" s="207">
        <v>2529.5080239589379</v>
      </c>
      <c r="M303" s="207">
        <v>7282.9783027583717</v>
      </c>
      <c r="N303" s="298">
        <v>4097</v>
      </c>
      <c r="O303" s="114">
        <f>tblPiNAnalysis[[#This Row],[SAMV]]</f>
        <v>22381</v>
      </c>
      <c r="P303" s="115">
        <f>tblPiNAnalysis[[#This Row],[NUT]]</f>
        <v>1706.8130058593465</v>
      </c>
      <c r="Q303" s="115">
        <f>tblPiNAnalysis[[#This Row],[SAL]]</f>
        <v>15317.225</v>
      </c>
      <c r="R303" s="115">
        <f>tblPiNAnalysis[[#This Row],[EDU]]</f>
        <v>1612.6245805246131</v>
      </c>
      <c r="S303" s="115">
        <f>tblPiNAnalysis[[#This Row],[PRO]]</f>
        <v>3981.4439304597754</v>
      </c>
      <c r="T303" s="116">
        <f>tblPiNAnalysis[[#This Row],[ASH]]</f>
        <v>0</v>
      </c>
      <c r="U303" s="300">
        <f>IF(OR(tblPiNHistorical[[#This Row],[SAMV25]]="", tblPiNHistorical[[#This Row],[SAMV25]]=0, tblPiNHistorical[[#This Row],[SAMV26]]="", tblPiNHistorical[[#This Row],[SAMV26]]=0), "", tblPiNHistorical[[#This Row],[SAMV26]]-tblPiNHistorical[[#This Row],[SAMV25]])</f>
        <v>19229</v>
      </c>
      <c r="V303" s="121">
        <f>IF(OR(tblPiNHistorical[[#This Row],[NUT25]]="", tblPiNHistorical[[#This Row],[NUT25]]=0, tblPiNHistorical[[#This Row],[NUT26]]="", tblPiNHistorical[[#This Row],[NUT26]]=0), "", tblPiNHistorical[[#This Row],[NUT26]]-tblPiNHistorical[[#This Row],[NUT25]])</f>
        <v>817.8130058593465</v>
      </c>
      <c r="W303" s="121">
        <f>IF(OR(tblPiNHistorical[[#This Row],[SAL25]]="", tblPiNHistorical[[#This Row],[SAL25]]=0, tblPiNHistorical[[#This Row],[SAL26]]="", tblPiNHistorical[[#This Row],[SAL26]]=0), "", tblPiNHistorical[[#This Row],[SAL26]]-tblPiNHistorical[[#This Row],[SAL25]])</f>
        <v>9983.7832996882316</v>
      </c>
      <c r="X303" s="121">
        <f>IF(OR(tblPiNHistorical[[#This Row],[EDU25]]="", tblPiNHistorical[[#This Row],[EDU25]]=0, tblPiNHistorical[[#This Row],[EDU26]]="", tblPiNHistorical[[#This Row],[EDU26]]=0), "", tblPiNHistorical[[#This Row],[EDU26]]-tblPiNHistorical[[#This Row],[EDU25]])</f>
        <v>-916.88344343432482</v>
      </c>
      <c r="Y303" s="121">
        <f>IF(OR(tblPiNHistorical[[#This Row],[PRO25]]="", tblPiNHistorical[[#This Row],[PRO25]]=0, tblPiNHistorical[[#This Row],[PRO26]]="", tblPiNHistorical[[#This Row],[PRO26]]=0), "", tblPiNHistorical[[#This Row],[PRO26]]-tblPiNHistorical[[#This Row],[PRO25]])</f>
        <v>-3301.5343722985963</v>
      </c>
      <c r="Z303" s="223" t="str">
        <f>IF(OR(tblPiNHistorical[[#This Row],[ASH25]]="", tblPiNHistorical[[#This Row],[ASH25]]=0, tblPiNHistorical[[#This Row],[ASH26]]="", tblPiNHistorical[[#This Row],[ASH26]]=0), "", tblPiNHistorical[[#This Row],[ASH26]]-tblPiNHistorical[[#This Row],[ASH25]])</f>
        <v/>
      </c>
      <c r="AA30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6.1</v>
      </c>
      <c r="AB30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30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1.9</v>
      </c>
      <c r="AD30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-0.4</v>
      </c>
      <c r="AE30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30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4097</v>
      </c>
    </row>
    <row r="304" spans="1:32">
      <c r="A30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VenezolanosVE2202</v>
      </c>
      <c r="B304" s="105" t="s">
        <v>678</v>
      </c>
      <c r="C304" s="104" t="s">
        <v>679</v>
      </c>
      <c r="D304" s="119" t="s">
        <v>180</v>
      </c>
      <c r="E304" s="104" t="s">
        <v>682</v>
      </c>
      <c r="F304" s="119"/>
      <c r="G304" s="102">
        <v>31185</v>
      </c>
      <c r="H304" s="102" t="s">
        <v>102</v>
      </c>
      <c r="I304" s="206">
        <v>4798</v>
      </c>
      <c r="J304" s="120">
        <v>1329</v>
      </c>
      <c r="K304" s="207">
        <v>8119.5531737051724</v>
      </c>
      <c r="L304" s="207">
        <v>4258.3352387980631</v>
      </c>
      <c r="M304" s="207">
        <v>7861.3564879685373</v>
      </c>
      <c r="N304" s="298">
        <v>0</v>
      </c>
      <c r="O304" s="114">
        <f>tblPiNAnalysis[[#This Row],[SAMV]]</f>
        <v>6501</v>
      </c>
      <c r="P304" s="115">
        <f>tblPiNAnalysis[[#This Row],[NUT]]</f>
        <v>1216.7153240588023</v>
      </c>
      <c r="Q304" s="115">
        <f>tblPiNAnalysis[[#This Row],[SAL]]</f>
        <v>7493.8149999999996</v>
      </c>
      <c r="R304" s="115">
        <f>tblPiNAnalysis[[#This Row],[EDU]]</f>
        <v>774.02808328521144</v>
      </c>
      <c r="S304" s="115">
        <f>tblPiNAnalysis[[#This Row],[PRO]]</f>
        <v>4914.8182192002769</v>
      </c>
      <c r="T304" s="116">
        <f>tblPiNAnalysis[[#This Row],[ASH]]</f>
        <v>0</v>
      </c>
      <c r="U304" s="300">
        <f>IF(OR(tblPiNHistorical[[#This Row],[SAMV25]]="", tblPiNHistorical[[#This Row],[SAMV25]]=0, tblPiNHistorical[[#This Row],[SAMV26]]="", tblPiNHistorical[[#This Row],[SAMV26]]=0), "", tblPiNHistorical[[#This Row],[SAMV26]]-tblPiNHistorical[[#This Row],[SAMV25]])</f>
        <v>1703</v>
      </c>
      <c r="V304" s="121">
        <f>IF(OR(tblPiNHistorical[[#This Row],[NUT25]]="", tblPiNHistorical[[#This Row],[NUT25]]=0, tblPiNHistorical[[#This Row],[NUT26]]="", tblPiNHistorical[[#This Row],[NUT26]]=0), "", tblPiNHistorical[[#This Row],[NUT26]]-tblPiNHistorical[[#This Row],[NUT25]])</f>
        <v>-112.28467594119775</v>
      </c>
      <c r="W304" s="121">
        <f>IF(OR(tblPiNHistorical[[#This Row],[SAL25]]="", tblPiNHistorical[[#This Row],[SAL25]]=0, tblPiNHistorical[[#This Row],[SAL26]]="", tblPiNHistorical[[#This Row],[SAL26]]=0), "", tblPiNHistorical[[#This Row],[SAL26]]-tblPiNHistorical[[#This Row],[SAL25]])</f>
        <v>-625.73817370517281</v>
      </c>
      <c r="X304" s="121">
        <f>IF(OR(tblPiNHistorical[[#This Row],[EDU25]]="", tblPiNHistorical[[#This Row],[EDU25]]=0, tblPiNHistorical[[#This Row],[EDU26]]="", tblPiNHistorical[[#This Row],[EDU26]]=0), "", tblPiNHistorical[[#This Row],[EDU26]]-tblPiNHistorical[[#This Row],[EDU25]])</f>
        <v>-3484.3071555128518</v>
      </c>
      <c r="Y304" s="121">
        <f>IF(OR(tblPiNHistorical[[#This Row],[PRO25]]="", tblPiNHistorical[[#This Row],[PRO25]]=0, tblPiNHistorical[[#This Row],[PRO26]]="", tblPiNHistorical[[#This Row],[PRO26]]=0), "", tblPiNHistorical[[#This Row],[PRO26]]-tblPiNHistorical[[#This Row],[PRO25]])</f>
        <v>-2946.5382687682604</v>
      </c>
      <c r="Z304" s="223" t="str">
        <f>IF(OR(tblPiNHistorical[[#This Row],[ASH25]]="", tblPiNHistorical[[#This Row],[ASH25]]=0, tblPiNHistorical[[#This Row],[ASH26]]="", tblPiNHistorical[[#This Row],[ASH26]]=0), "", tblPiNHistorical[[#This Row],[ASH26]]-tblPiNHistorical[[#This Row],[ASH25]])</f>
        <v/>
      </c>
      <c r="AA30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0.4</v>
      </c>
      <c r="AB30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30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30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30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-0.4</v>
      </c>
      <c r="AF30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05" spans="1:32">
      <c r="A30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VenezolanosVE2203</v>
      </c>
      <c r="B305" s="105" t="s">
        <v>678</v>
      </c>
      <c r="C305" s="104" t="s">
        <v>679</v>
      </c>
      <c r="D305" s="119" t="s">
        <v>683</v>
      </c>
      <c r="E305" s="104" t="s">
        <v>684</v>
      </c>
      <c r="F305" s="119"/>
      <c r="G305" s="102">
        <v>69732</v>
      </c>
      <c r="H305" s="102" t="s">
        <v>102</v>
      </c>
      <c r="I305" s="206">
        <v>10728</v>
      </c>
      <c r="J305" s="120">
        <v>2724</v>
      </c>
      <c r="K305" s="207">
        <v>18155.301080533693</v>
      </c>
      <c r="L305" s="207">
        <v>7375.2890933053523</v>
      </c>
      <c r="M305" s="207">
        <v>7861.3564879685373</v>
      </c>
      <c r="N305" s="298">
        <v>0</v>
      </c>
      <c r="O305" s="114">
        <f>tblPiNAnalysis[[#This Row],[SAMV]]</f>
        <v>5205</v>
      </c>
      <c r="P305" s="115">
        <f>tblPiNAnalysis[[#This Row],[NUT]]</f>
        <v>617.64677181813954</v>
      </c>
      <c r="Q305" s="115">
        <f>tblPiNAnalysis[[#This Row],[SAL]]</f>
        <v>7599.3</v>
      </c>
      <c r="R305" s="115">
        <f>tblPiNAnalysis[[#This Row],[EDU]]</f>
        <v>1512.7607018517988</v>
      </c>
      <c r="S305" s="115">
        <f>tblPiNAnalysis[[#This Row],[PRO]]</f>
        <v>4167.6474701510706</v>
      </c>
      <c r="T305" s="116">
        <f>tblPiNAnalysis[[#This Row],[ASH]]</f>
        <v>0</v>
      </c>
      <c r="U305" s="300">
        <f>IF(OR(tblPiNHistorical[[#This Row],[SAMV25]]="", tblPiNHistorical[[#This Row],[SAMV25]]=0, tblPiNHistorical[[#This Row],[SAMV26]]="", tblPiNHistorical[[#This Row],[SAMV26]]=0), "", tblPiNHistorical[[#This Row],[SAMV26]]-tblPiNHistorical[[#This Row],[SAMV25]])</f>
        <v>-5523</v>
      </c>
      <c r="V305" s="121">
        <f>IF(OR(tblPiNHistorical[[#This Row],[NUT25]]="", tblPiNHistorical[[#This Row],[NUT25]]=0, tblPiNHistorical[[#This Row],[NUT26]]="", tblPiNHistorical[[#This Row],[NUT26]]=0), "", tblPiNHistorical[[#This Row],[NUT26]]-tblPiNHistorical[[#This Row],[NUT25]])</f>
        <v>-2106.3532281818607</v>
      </c>
      <c r="W305" s="121">
        <f>IF(OR(tblPiNHistorical[[#This Row],[SAL25]]="", tblPiNHistorical[[#This Row],[SAL25]]=0, tblPiNHistorical[[#This Row],[SAL26]]="", tblPiNHistorical[[#This Row],[SAL26]]=0), "", tblPiNHistorical[[#This Row],[SAL26]]-tblPiNHistorical[[#This Row],[SAL25]])</f>
        <v>-10556.001080533693</v>
      </c>
      <c r="X305" s="121">
        <f>IF(OR(tblPiNHistorical[[#This Row],[EDU25]]="", tblPiNHistorical[[#This Row],[EDU25]]=0, tblPiNHistorical[[#This Row],[EDU26]]="", tblPiNHistorical[[#This Row],[EDU26]]=0), "", tblPiNHistorical[[#This Row],[EDU26]]-tblPiNHistorical[[#This Row],[EDU25]])</f>
        <v>-5862.5283914535539</v>
      </c>
      <c r="Y305" s="121">
        <f>IF(OR(tblPiNHistorical[[#This Row],[PRO25]]="", tblPiNHistorical[[#This Row],[PRO25]]=0, tblPiNHistorical[[#This Row],[PRO26]]="", tblPiNHistorical[[#This Row],[PRO26]]=0), "", tblPiNHistorical[[#This Row],[PRO26]]-tblPiNHistorical[[#This Row],[PRO25]])</f>
        <v>-3693.7090178174667</v>
      </c>
      <c r="Z305" s="223" t="str">
        <f>IF(OR(tblPiNHistorical[[#This Row],[ASH25]]="", tblPiNHistorical[[#This Row],[ASH25]]=0, tblPiNHistorical[[#This Row],[ASH26]]="", tblPiNHistorical[[#This Row],[ASH26]]=0), "", tblPiNHistorical[[#This Row],[ASH26]]-tblPiNHistorical[[#This Row],[ASH25]])</f>
        <v/>
      </c>
      <c r="AA30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30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30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30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30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30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06" spans="1:32">
      <c r="A30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VenezolanosVE2204</v>
      </c>
      <c r="B306" s="105" t="s">
        <v>678</v>
      </c>
      <c r="C306" s="104" t="s">
        <v>679</v>
      </c>
      <c r="D306" s="119" t="s">
        <v>685</v>
      </c>
      <c r="E306" s="104" t="s">
        <v>686</v>
      </c>
      <c r="F306" s="119"/>
      <c r="G306" s="102">
        <v>41481</v>
      </c>
      <c r="H306" s="102" t="s">
        <v>102</v>
      </c>
      <c r="I306" s="206">
        <v>6382</v>
      </c>
      <c r="J306" s="120">
        <v>1673</v>
      </c>
      <c r="K306" s="207">
        <v>10799.649736837875</v>
      </c>
      <c r="L306" s="207">
        <v>3865.1541908756917</v>
      </c>
      <c r="M306" s="207">
        <v>7861.3564879685373</v>
      </c>
      <c r="N306" s="298">
        <v>0</v>
      </c>
      <c r="O306" s="114">
        <f>tblPiNAnalysis[[#This Row],[SAMV]]</f>
        <v>3085</v>
      </c>
      <c r="P306" s="115">
        <f>tblPiNAnalysis[[#This Row],[NUT]]</f>
        <v>411.79607385815615</v>
      </c>
      <c r="Q306" s="115">
        <f>tblPiNAnalysis[[#This Row],[SAL]]</f>
        <v>8200</v>
      </c>
      <c r="R306" s="115">
        <f>tblPiNAnalysis[[#This Row],[EDU]]</f>
        <v>782.74782937169016</v>
      </c>
      <c r="S306" s="115">
        <f>tblPiNAnalysis[[#This Row],[PRO]]</f>
        <v>1235.1609966292108</v>
      </c>
      <c r="T306" s="116">
        <f>tblPiNAnalysis[[#This Row],[ASH]]</f>
        <v>0</v>
      </c>
      <c r="U306" s="300">
        <f>IF(OR(tblPiNHistorical[[#This Row],[SAMV25]]="", tblPiNHistorical[[#This Row],[SAMV25]]=0, tblPiNHistorical[[#This Row],[SAMV26]]="", tblPiNHistorical[[#This Row],[SAMV26]]=0), "", tblPiNHistorical[[#This Row],[SAMV26]]-tblPiNHistorical[[#This Row],[SAMV25]])</f>
        <v>-3297</v>
      </c>
      <c r="V306" s="121">
        <f>IF(OR(tblPiNHistorical[[#This Row],[NUT25]]="", tblPiNHistorical[[#This Row],[NUT25]]=0, tblPiNHistorical[[#This Row],[NUT26]]="", tblPiNHistorical[[#This Row],[NUT26]]=0), "", tblPiNHistorical[[#This Row],[NUT26]]-tblPiNHistorical[[#This Row],[NUT25]])</f>
        <v>-1261.2039261418438</v>
      </c>
      <c r="W306" s="121">
        <f>IF(OR(tblPiNHistorical[[#This Row],[SAL25]]="", tblPiNHistorical[[#This Row],[SAL25]]=0, tblPiNHistorical[[#This Row],[SAL26]]="", tblPiNHistorical[[#This Row],[SAL26]]=0), "", tblPiNHistorical[[#This Row],[SAL26]]-tblPiNHistorical[[#This Row],[SAL25]])</f>
        <v>-2599.649736837875</v>
      </c>
      <c r="X306" s="121">
        <f>IF(OR(tblPiNHistorical[[#This Row],[EDU25]]="", tblPiNHistorical[[#This Row],[EDU25]]=0, tblPiNHistorical[[#This Row],[EDU26]]="", tblPiNHistorical[[#This Row],[EDU26]]=0), "", tblPiNHistorical[[#This Row],[EDU26]]-tblPiNHistorical[[#This Row],[EDU25]])</f>
        <v>-3082.4063615040013</v>
      </c>
      <c r="Y306" s="121">
        <f>IF(OR(tblPiNHistorical[[#This Row],[PRO25]]="", tblPiNHistorical[[#This Row],[PRO25]]=0, tblPiNHistorical[[#This Row],[PRO26]]="", tblPiNHistorical[[#This Row],[PRO26]]=0), "", tblPiNHistorical[[#This Row],[PRO26]]-tblPiNHistorical[[#This Row],[PRO25]])</f>
        <v>-6626.1954913393265</v>
      </c>
      <c r="Z306" s="223" t="str">
        <f>IF(OR(tblPiNHistorical[[#This Row],[ASH25]]="", tblPiNHistorical[[#This Row],[ASH25]]=0, tblPiNHistorical[[#This Row],[ASH26]]="", tblPiNHistorical[[#This Row],[ASH26]]=0), "", tblPiNHistorical[[#This Row],[ASH26]]-tblPiNHistorical[[#This Row],[ASH25]])</f>
        <v/>
      </c>
      <c r="AA30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30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30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30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30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30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07" spans="1:32">
      <c r="A30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VenezolanosVE2205</v>
      </c>
      <c r="B307" s="105" t="s">
        <v>678</v>
      </c>
      <c r="C307" s="104" t="s">
        <v>679</v>
      </c>
      <c r="D307" s="119" t="s">
        <v>133</v>
      </c>
      <c r="E307" s="104" t="s">
        <v>687</v>
      </c>
      <c r="F307" s="119"/>
      <c r="G307" s="102">
        <v>57811</v>
      </c>
      <c r="H307" s="102" t="s">
        <v>102</v>
      </c>
      <c r="I307" s="206">
        <v>8894</v>
      </c>
      <c r="J307" s="120">
        <v>2087</v>
      </c>
      <c r="K307" s="207">
        <v>15051.144876358181</v>
      </c>
      <c r="L307" s="207">
        <v>5084.2529300489368</v>
      </c>
      <c r="M307" s="207">
        <v>10809.36517095674</v>
      </c>
      <c r="N307" s="298">
        <v>0</v>
      </c>
      <c r="O307" s="114">
        <f>tblPiNAnalysis[[#This Row],[SAMV]]</f>
        <v>7664</v>
      </c>
      <c r="P307" s="115">
        <f>tblPiNAnalysis[[#This Row],[NUT]]</f>
        <v>2855.4371760479462</v>
      </c>
      <c r="Q307" s="115">
        <f>tblPiNAnalysis[[#This Row],[SAL]]</f>
        <v>45553.095000000001</v>
      </c>
      <c r="R307" s="115">
        <f>tblPiNAnalysis[[#This Row],[EDU]]</f>
        <v>21180.136763199589</v>
      </c>
      <c r="S307" s="115">
        <f>tblPiNAnalysis[[#This Row],[PRO]]</f>
        <v>24982.464323595777</v>
      </c>
      <c r="T307" s="116">
        <f>tblPiNAnalysis[[#This Row],[ASH]]</f>
        <v>0</v>
      </c>
      <c r="U307" s="300">
        <f>IF(OR(tblPiNHistorical[[#This Row],[SAMV25]]="", tblPiNHistorical[[#This Row],[SAMV25]]=0, tblPiNHistorical[[#This Row],[SAMV26]]="", tblPiNHistorical[[#This Row],[SAMV26]]=0), "", tblPiNHistorical[[#This Row],[SAMV26]]-tblPiNHistorical[[#This Row],[SAMV25]])</f>
        <v>-1230</v>
      </c>
      <c r="V307" s="121">
        <f>IF(OR(tblPiNHistorical[[#This Row],[NUT25]]="", tblPiNHistorical[[#This Row],[NUT25]]=0, tblPiNHistorical[[#This Row],[NUT26]]="", tblPiNHistorical[[#This Row],[NUT26]]=0), "", tblPiNHistorical[[#This Row],[NUT26]]-tblPiNHistorical[[#This Row],[NUT25]])</f>
        <v>768.4371760479462</v>
      </c>
      <c r="W307" s="121">
        <f>IF(OR(tblPiNHistorical[[#This Row],[SAL25]]="", tblPiNHistorical[[#This Row],[SAL25]]=0, tblPiNHistorical[[#This Row],[SAL26]]="", tblPiNHistorical[[#This Row],[SAL26]]=0), "", tblPiNHistorical[[#This Row],[SAL26]]-tblPiNHistorical[[#This Row],[SAL25]])</f>
        <v>30501.950123641822</v>
      </c>
      <c r="X307" s="121">
        <f>IF(OR(tblPiNHistorical[[#This Row],[EDU25]]="", tblPiNHistorical[[#This Row],[EDU25]]=0, tblPiNHistorical[[#This Row],[EDU26]]="", tblPiNHistorical[[#This Row],[EDU26]]=0), "", tblPiNHistorical[[#This Row],[EDU26]]-tblPiNHistorical[[#This Row],[EDU25]])</f>
        <v>16095.883833150652</v>
      </c>
      <c r="Y307" s="121">
        <f>IF(OR(tblPiNHistorical[[#This Row],[PRO25]]="", tblPiNHistorical[[#This Row],[PRO25]]=0, tblPiNHistorical[[#This Row],[PRO26]]="", tblPiNHistorical[[#This Row],[PRO26]]=0), "", tblPiNHistorical[[#This Row],[PRO26]]-tblPiNHistorical[[#This Row],[PRO25]])</f>
        <v>14173.099152639037</v>
      </c>
      <c r="Z307" s="223" t="str">
        <f>IF(OR(tblPiNHistorical[[#This Row],[ASH25]]="", tblPiNHistorical[[#This Row],[ASH25]]=0, tblPiNHistorical[[#This Row],[ASH26]]="", tblPiNHistorical[[#This Row],[ASH26]]=0), "", tblPiNHistorical[[#This Row],[ASH26]]-tblPiNHistorical[[#This Row],[ASH25]])</f>
        <v/>
      </c>
      <c r="AA30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30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0.4</v>
      </c>
      <c r="AC30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v>
      </c>
      <c r="AD30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3.2</v>
      </c>
      <c r="AE30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1.3</v>
      </c>
      <c r="AF30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08" spans="1:32">
      <c r="A30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VenezolanosVE2206</v>
      </c>
      <c r="B308" s="105" t="s">
        <v>678</v>
      </c>
      <c r="C308" s="104" t="s">
        <v>679</v>
      </c>
      <c r="D308" s="119" t="s">
        <v>688</v>
      </c>
      <c r="E308" s="104" t="s">
        <v>689</v>
      </c>
      <c r="F308" s="119"/>
      <c r="G308" s="102">
        <v>19673</v>
      </c>
      <c r="H308" s="102" t="s">
        <v>102</v>
      </c>
      <c r="I308" s="206">
        <v>3027</v>
      </c>
      <c r="J308" s="120">
        <v>920</v>
      </c>
      <c r="K308" s="207">
        <v>5122.4026733442033</v>
      </c>
      <c r="L308" s="207">
        <v>2255.2269544163746</v>
      </c>
      <c r="M308" s="207">
        <v>9617.1488506945316</v>
      </c>
      <c r="N308" s="298">
        <v>0</v>
      </c>
      <c r="O308" s="114">
        <f>tblPiNAnalysis[[#This Row],[SAMV]]</f>
        <v>806</v>
      </c>
      <c r="P308" s="115">
        <f>tblPiNAnalysis[[#This Row],[NUT]]</f>
        <v>974.30231466457576</v>
      </c>
      <c r="Q308" s="115">
        <f>tblPiNAnalysis[[#This Row],[SAL]]</f>
        <v>12363.28</v>
      </c>
      <c r="R308" s="115">
        <f>tblPiNAnalysis[[#This Row],[EDU]]</f>
        <v>5596.0528667103608</v>
      </c>
      <c r="S308" s="115">
        <f>tblPiNAnalysis[[#This Row],[PRO]]</f>
        <v>4068.2004354166324</v>
      </c>
      <c r="T308" s="116">
        <f>tblPiNAnalysis[[#This Row],[ASH]]</f>
        <v>0</v>
      </c>
      <c r="U308" s="300">
        <f>IF(OR(tblPiNHistorical[[#This Row],[SAMV25]]="", tblPiNHistorical[[#This Row],[SAMV25]]=0, tblPiNHistorical[[#This Row],[SAMV26]]="", tblPiNHistorical[[#This Row],[SAMV26]]=0), "", tblPiNHistorical[[#This Row],[SAMV26]]-tblPiNHistorical[[#This Row],[SAMV25]])</f>
        <v>-2221</v>
      </c>
      <c r="V308" s="121">
        <f>IF(OR(tblPiNHistorical[[#This Row],[NUT25]]="", tblPiNHistorical[[#This Row],[NUT25]]=0, tblPiNHistorical[[#This Row],[NUT26]]="", tblPiNHistorical[[#This Row],[NUT26]]=0), "", tblPiNHistorical[[#This Row],[NUT26]]-tblPiNHistorical[[#This Row],[NUT25]])</f>
        <v>54.302314664575761</v>
      </c>
      <c r="W308" s="121">
        <f>IF(OR(tblPiNHistorical[[#This Row],[SAL25]]="", tblPiNHistorical[[#This Row],[SAL25]]=0, tblPiNHistorical[[#This Row],[SAL26]]="", tblPiNHistorical[[#This Row],[SAL26]]=0), "", tblPiNHistorical[[#This Row],[SAL26]]-tblPiNHistorical[[#This Row],[SAL25]])</f>
        <v>7240.8773266557973</v>
      </c>
      <c r="X308" s="121">
        <f>IF(OR(tblPiNHistorical[[#This Row],[EDU25]]="", tblPiNHistorical[[#This Row],[EDU25]]=0, tblPiNHistorical[[#This Row],[EDU26]]="", tblPiNHistorical[[#This Row],[EDU26]]=0), "", tblPiNHistorical[[#This Row],[EDU26]]-tblPiNHistorical[[#This Row],[EDU25]])</f>
        <v>3340.8259122939862</v>
      </c>
      <c r="Y308" s="121">
        <f>IF(OR(tblPiNHistorical[[#This Row],[PRO25]]="", tblPiNHistorical[[#This Row],[PRO25]]=0, tblPiNHistorical[[#This Row],[PRO26]]="", tblPiNHistorical[[#This Row],[PRO26]]=0), "", tblPiNHistorical[[#This Row],[PRO26]]-tblPiNHistorical[[#This Row],[PRO25]])</f>
        <v>-5548.9484152778987</v>
      </c>
      <c r="Z308" s="223" t="str">
        <f>IF(OR(tblPiNHistorical[[#This Row],[ASH25]]="", tblPiNHistorical[[#This Row],[ASH25]]=0, tblPiNHistorical[[#This Row],[ASH26]]="", tblPiNHistorical[[#This Row],[ASH26]]=0), "", tblPiNHistorical[[#This Row],[ASH26]]-tblPiNHistorical[[#This Row],[ASH25]])</f>
        <v/>
      </c>
      <c r="AA30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-0.7</v>
      </c>
      <c r="AB30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0.1</v>
      </c>
      <c r="AC30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1.4</v>
      </c>
      <c r="AD30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1.5</v>
      </c>
      <c r="AE30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30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09" spans="1:32">
      <c r="A30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VenezolanosVE2207</v>
      </c>
      <c r="B309" s="105" t="s">
        <v>678</v>
      </c>
      <c r="C309" s="104" t="s">
        <v>679</v>
      </c>
      <c r="D309" s="119" t="s">
        <v>690</v>
      </c>
      <c r="E309" s="104" t="s">
        <v>691</v>
      </c>
      <c r="F309" s="119"/>
      <c r="G309" s="102">
        <v>17200</v>
      </c>
      <c r="H309" s="102" t="s">
        <v>102</v>
      </c>
      <c r="I309" s="206">
        <v>2646</v>
      </c>
      <c r="J309" s="120">
        <v>687</v>
      </c>
      <c r="K309" s="207">
        <v>4478.3868633492839</v>
      </c>
      <c r="L309" s="207">
        <v>1741.5851820511912</v>
      </c>
      <c r="M309" s="207">
        <v>8408.2224486324376</v>
      </c>
      <c r="N309" s="298">
        <v>0</v>
      </c>
      <c r="O309" s="114">
        <f>tblPiNAnalysis[[#This Row],[SAMV]]</f>
        <v>0</v>
      </c>
      <c r="P309" s="115">
        <f>tblPiNAnalysis[[#This Row],[NUT]]</f>
        <v>136.085768063969</v>
      </c>
      <c r="Q309" s="115">
        <f>tblPiNAnalysis[[#This Row],[SAL]]</f>
        <v>1541.76</v>
      </c>
      <c r="R309" s="115">
        <f>tblPiNAnalysis[[#This Row],[EDU]]</f>
        <v>340.19368156891676</v>
      </c>
      <c r="S309" s="115">
        <f>tblPiNAnalysis[[#This Row],[PRO]]</f>
        <v>507.32400328294295</v>
      </c>
      <c r="T309" s="116">
        <f>tblPiNAnalysis[[#This Row],[ASH]]</f>
        <v>0</v>
      </c>
      <c r="U309" s="300" t="str">
        <f>IF(OR(tblPiNHistorical[[#This Row],[SAMV25]]="", tblPiNHistorical[[#This Row],[SAMV25]]=0, tblPiNHistorical[[#This Row],[SAMV26]]="", tblPiNHistorical[[#This Row],[SAMV26]]=0), "", tblPiNHistorical[[#This Row],[SAMV26]]-tblPiNHistorical[[#This Row],[SAMV25]])</f>
        <v/>
      </c>
      <c r="V309" s="121">
        <f>IF(OR(tblPiNHistorical[[#This Row],[NUT25]]="", tblPiNHistorical[[#This Row],[NUT25]]=0, tblPiNHistorical[[#This Row],[NUT26]]="", tblPiNHistorical[[#This Row],[NUT26]]=0), "", tblPiNHistorical[[#This Row],[NUT26]]-tblPiNHistorical[[#This Row],[NUT25]])</f>
        <v>-550.914231936031</v>
      </c>
      <c r="W309" s="121">
        <f>IF(OR(tblPiNHistorical[[#This Row],[SAL25]]="", tblPiNHistorical[[#This Row],[SAL25]]=0, tblPiNHistorical[[#This Row],[SAL26]]="", tblPiNHistorical[[#This Row],[SAL26]]=0), "", tblPiNHistorical[[#This Row],[SAL26]]-tblPiNHistorical[[#This Row],[SAL25]])</f>
        <v>-2936.6268633492837</v>
      </c>
      <c r="X309" s="121">
        <f>IF(OR(tblPiNHistorical[[#This Row],[EDU25]]="", tblPiNHistorical[[#This Row],[EDU25]]=0, tblPiNHistorical[[#This Row],[EDU26]]="", tblPiNHistorical[[#This Row],[EDU26]]=0), "", tblPiNHistorical[[#This Row],[EDU26]]-tblPiNHistorical[[#This Row],[EDU25]])</f>
        <v>-1401.3915004822743</v>
      </c>
      <c r="Y309" s="121">
        <f>IF(OR(tblPiNHistorical[[#This Row],[PRO25]]="", tblPiNHistorical[[#This Row],[PRO25]]=0, tblPiNHistorical[[#This Row],[PRO26]]="", tblPiNHistorical[[#This Row],[PRO26]]=0), "", tblPiNHistorical[[#This Row],[PRO26]]-tblPiNHistorical[[#This Row],[PRO25]])</f>
        <v>-7900.898445349495</v>
      </c>
      <c r="Z309" s="223" t="str">
        <f>IF(OR(tblPiNHistorical[[#This Row],[ASH25]]="", tblPiNHistorical[[#This Row],[ASH25]]=0, tblPiNHistorical[[#This Row],[ASH26]]="", tblPiNHistorical[[#This Row],[ASH26]]=0), "", tblPiNHistorical[[#This Row],[ASH26]]-tblPiNHistorical[[#This Row],[ASH25]])</f>
        <v/>
      </c>
      <c r="AA309" s="227" t="str">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NoPIN26 2646</v>
      </c>
      <c r="AB30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30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30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30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30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10" spans="1:32">
      <c r="A31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VenezolanosVE2208</v>
      </c>
      <c r="B310" s="105" t="s">
        <v>678</v>
      </c>
      <c r="C310" s="104" t="s">
        <v>679</v>
      </c>
      <c r="D310" s="119" t="s">
        <v>692</v>
      </c>
      <c r="E310" s="104" t="s">
        <v>693</v>
      </c>
      <c r="F310" s="119"/>
      <c r="G310" s="102">
        <v>13180</v>
      </c>
      <c r="H310" s="102" t="s">
        <v>102</v>
      </c>
      <c r="I310" s="206">
        <v>2028</v>
      </c>
      <c r="J310" s="120">
        <v>519</v>
      </c>
      <c r="K310" s="207">
        <v>3431.1180769421617</v>
      </c>
      <c r="L310" s="207">
        <v>1761.6841232613961</v>
      </c>
      <c r="M310" s="207">
        <v>6443.0448763357863</v>
      </c>
      <c r="N310" s="298">
        <v>0</v>
      </c>
      <c r="O310" s="114">
        <f>tblPiNAnalysis[[#This Row],[SAMV]]</f>
        <v>6988</v>
      </c>
      <c r="P310" s="115">
        <f>tblPiNAnalysis[[#This Row],[NUT]]</f>
        <v>1314.45144744</v>
      </c>
      <c r="Q310" s="115">
        <f>tblPiNAnalysis[[#This Row],[SAL]]</f>
        <v>15303.355</v>
      </c>
      <c r="R310" s="115">
        <f>tblPiNAnalysis[[#This Row],[EDU]]</f>
        <v>4054.6957429376753</v>
      </c>
      <c r="S310" s="115">
        <f>tblPiNAnalysis[[#This Row],[PRO]]</f>
        <v>5035.6471320179826</v>
      </c>
      <c r="T310" s="116">
        <f>tblPiNAnalysis[[#This Row],[ASH]]</f>
        <v>0</v>
      </c>
      <c r="U310" s="300">
        <f>IF(OR(tblPiNHistorical[[#This Row],[SAMV25]]="", tblPiNHistorical[[#This Row],[SAMV25]]=0, tblPiNHistorical[[#This Row],[SAMV26]]="", tblPiNHistorical[[#This Row],[SAMV26]]=0), "", tblPiNHistorical[[#This Row],[SAMV26]]-tblPiNHistorical[[#This Row],[SAMV25]])</f>
        <v>4960</v>
      </c>
      <c r="V310" s="121">
        <f>IF(OR(tblPiNHistorical[[#This Row],[NUT25]]="", tblPiNHistorical[[#This Row],[NUT25]]=0, tblPiNHistorical[[#This Row],[NUT26]]="", tblPiNHistorical[[#This Row],[NUT26]]=0), "", tblPiNHistorical[[#This Row],[NUT26]]-tblPiNHistorical[[#This Row],[NUT25]])</f>
        <v>795.45144744000004</v>
      </c>
      <c r="W310" s="121">
        <f>IF(OR(tblPiNHistorical[[#This Row],[SAL25]]="", tblPiNHistorical[[#This Row],[SAL25]]=0, tblPiNHistorical[[#This Row],[SAL26]]="", tblPiNHistorical[[#This Row],[SAL26]]=0), "", tblPiNHistorical[[#This Row],[SAL26]]-tblPiNHistorical[[#This Row],[SAL25]])</f>
        <v>11872.236923057837</v>
      </c>
      <c r="X310" s="121">
        <f>IF(OR(tblPiNHistorical[[#This Row],[EDU25]]="", tblPiNHistorical[[#This Row],[EDU25]]=0, tblPiNHistorical[[#This Row],[EDU26]]="", tblPiNHistorical[[#This Row],[EDU26]]=0), "", tblPiNHistorical[[#This Row],[EDU26]]-tblPiNHistorical[[#This Row],[EDU25]])</f>
        <v>2293.0116196762792</v>
      </c>
      <c r="Y310" s="121">
        <f>IF(OR(tblPiNHistorical[[#This Row],[PRO25]]="", tblPiNHistorical[[#This Row],[PRO25]]=0, tblPiNHistorical[[#This Row],[PRO26]]="", tblPiNHistorical[[#This Row],[PRO26]]=0), "", tblPiNHistorical[[#This Row],[PRO26]]-tblPiNHistorical[[#This Row],[PRO25]])</f>
        <v>-1407.3977443178037</v>
      </c>
      <c r="Z310" s="223" t="str">
        <f>IF(OR(tblPiNHistorical[[#This Row],[ASH25]]="", tblPiNHistorical[[#This Row],[ASH25]]=0, tblPiNHistorical[[#This Row],[ASH26]]="", tblPiNHistorical[[#This Row],[ASH26]]=0), "", tblPiNHistorical[[#This Row],[ASH26]]-tblPiNHistorical[[#This Row],[ASH25]])</f>
        <v/>
      </c>
      <c r="AA31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2.4</v>
      </c>
      <c r="AB31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1.5</v>
      </c>
      <c r="AC31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3.5</v>
      </c>
      <c r="AD31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1.3</v>
      </c>
      <c r="AE31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-0.2</v>
      </c>
      <c r="AF31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11" spans="1:32">
      <c r="A31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VenezolanosVE2209</v>
      </c>
      <c r="B311" s="105" t="s">
        <v>678</v>
      </c>
      <c r="C311" s="104" t="s">
        <v>679</v>
      </c>
      <c r="D311" s="119" t="s">
        <v>694</v>
      </c>
      <c r="E311" s="104" t="s">
        <v>695</v>
      </c>
      <c r="F311" s="119"/>
      <c r="G311" s="102">
        <v>58932</v>
      </c>
      <c r="H311" s="102" t="s">
        <v>102</v>
      </c>
      <c r="I311" s="206">
        <v>9066</v>
      </c>
      <c r="J311" s="120">
        <v>2565</v>
      </c>
      <c r="K311" s="207">
        <v>15343.428974740489</v>
      </c>
      <c r="L311" s="207">
        <v>6390.7843503496388</v>
      </c>
      <c r="M311" s="207">
        <v>10809.36517095674</v>
      </c>
      <c r="N311" s="298">
        <v>0</v>
      </c>
      <c r="O311" s="114">
        <f>tblPiNAnalysis[[#This Row],[SAMV]]</f>
        <v>337</v>
      </c>
      <c r="P311" s="115">
        <f>tblPiNAnalysis[[#This Row],[NUT]]</f>
        <v>397.40872664439723</v>
      </c>
      <c r="Q311" s="115">
        <f>tblPiNAnalysis[[#This Row],[SAL]]</f>
        <v>3685.4050000000002</v>
      </c>
      <c r="R311" s="115">
        <f>tblPiNAnalysis[[#This Row],[EDU]]</f>
        <v>676.12951401902478</v>
      </c>
      <c r="S311" s="115">
        <f>tblPiNAnalysis[[#This Row],[PRO]]</f>
        <v>1212.7013402338721</v>
      </c>
      <c r="T311" s="116">
        <f>tblPiNAnalysis[[#This Row],[ASH]]</f>
        <v>0</v>
      </c>
      <c r="U311" s="300">
        <f>IF(OR(tblPiNHistorical[[#This Row],[SAMV25]]="", tblPiNHistorical[[#This Row],[SAMV25]]=0, tblPiNHistorical[[#This Row],[SAMV26]]="", tblPiNHistorical[[#This Row],[SAMV26]]=0), "", tblPiNHistorical[[#This Row],[SAMV26]]-tblPiNHistorical[[#This Row],[SAMV25]])</f>
        <v>-8729</v>
      </c>
      <c r="V311" s="121">
        <f>IF(OR(tblPiNHistorical[[#This Row],[NUT25]]="", tblPiNHistorical[[#This Row],[NUT25]]=0, tblPiNHistorical[[#This Row],[NUT26]]="", tblPiNHistorical[[#This Row],[NUT26]]=0), "", tblPiNHistorical[[#This Row],[NUT26]]-tblPiNHistorical[[#This Row],[NUT25]])</f>
        <v>-2167.5912733556029</v>
      </c>
      <c r="W311" s="121">
        <f>IF(OR(tblPiNHistorical[[#This Row],[SAL25]]="", tblPiNHistorical[[#This Row],[SAL25]]=0, tblPiNHistorical[[#This Row],[SAL26]]="", tblPiNHistorical[[#This Row],[SAL26]]=0), "", tblPiNHistorical[[#This Row],[SAL26]]-tblPiNHistorical[[#This Row],[SAL25]])</f>
        <v>-11658.023974740488</v>
      </c>
      <c r="X311" s="121">
        <f>IF(OR(tblPiNHistorical[[#This Row],[EDU25]]="", tblPiNHistorical[[#This Row],[EDU25]]=0, tblPiNHistorical[[#This Row],[EDU26]]="", tblPiNHistorical[[#This Row],[EDU26]]=0), "", tblPiNHistorical[[#This Row],[EDU26]]-tblPiNHistorical[[#This Row],[EDU25]])</f>
        <v>-5714.6548363306138</v>
      </c>
      <c r="Y311" s="121">
        <f>IF(OR(tblPiNHistorical[[#This Row],[PRO25]]="", tblPiNHistorical[[#This Row],[PRO25]]=0, tblPiNHistorical[[#This Row],[PRO26]]="", tblPiNHistorical[[#This Row],[PRO26]]=0), "", tblPiNHistorical[[#This Row],[PRO26]]-tblPiNHistorical[[#This Row],[PRO25]])</f>
        <v>-9596.6638307228677</v>
      </c>
      <c r="Z311" s="223" t="str">
        <f>IF(OR(tblPiNHistorical[[#This Row],[ASH25]]="", tblPiNHistorical[[#This Row],[ASH25]]=0, tblPiNHistorical[[#This Row],[ASH26]]="", tblPiNHistorical[[#This Row],[ASH26]]=0), "", tblPiNHistorical[[#This Row],[ASH26]]-tblPiNHistorical[[#This Row],[ASH25]])</f>
        <v/>
      </c>
      <c r="AA31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31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31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31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31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31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12" spans="1:32">
      <c r="A31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VenezolanosVE2210</v>
      </c>
      <c r="B312" s="105" t="s">
        <v>678</v>
      </c>
      <c r="C312" s="104" t="s">
        <v>679</v>
      </c>
      <c r="D312" s="119" t="s">
        <v>696</v>
      </c>
      <c r="E312" s="104" t="s">
        <v>697</v>
      </c>
      <c r="F312" s="119"/>
      <c r="G312" s="102">
        <v>101620</v>
      </c>
      <c r="H312" s="102" t="s">
        <v>102</v>
      </c>
      <c r="I312" s="206">
        <v>15634</v>
      </c>
      <c r="J312" s="120">
        <v>4424</v>
      </c>
      <c r="K312" s="207">
        <v>26457.160268145119</v>
      </c>
      <c r="L312" s="207">
        <v>11879.483790849037</v>
      </c>
      <c r="M312" s="207">
        <v>10809.36517095674</v>
      </c>
      <c r="N312" s="298">
        <v>0</v>
      </c>
      <c r="O312" s="114">
        <f>tblPiNAnalysis[[#This Row],[SAMV]]</f>
        <v>4364</v>
      </c>
      <c r="P312" s="115">
        <f>tblPiNAnalysis[[#This Row],[NUT]]</f>
        <v>328.35682092048978</v>
      </c>
      <c r="Q312" s="115">
        <f>tblPiNAnalysis[[#This Row],[SAL]]</f>
        <v>5059.63</v>
      </c>
      <c r="R312" s="115">
        <f>tblPiNAnalysis[[#This Row],[EDU]]</f>
        <v>2079.4913569233327</v>
      </c>
      <c r="S312" s="115">
        <f>tblPiNAnalysis[[#This Row],[PRO]]</f>
        <v>2774.8284933349732</v>
      </c>
      <c r="T312" s="116">
        <f>tblPiNAnalysis[[#This Row],[ASH]]</f>
        <v>0</v>
      </c>
      <c r="U312" s="300">
        <f>IF(OR(tblPiNHistorical[[#This Row],[SAMV25]]="", tblPiNHistorical[[#This Row],[SAMV25]]=0, tblPiNHistorical[[#This Row],[SAMV26]]="", tblPiNHistorical[[#This Row],[SAMV26]]=0), "", tblPiNHistorical[[#This Row],[SAMV26]]-tblPiNHistorical[[#This Row],[SAMV25]])</f>
        <v>-11270</v>
      </c>
      <c r="V312" s="121">
        <f>IF(OR(tblPiNHistorical[[#This Row],[NUT25]]="", tblPiNHistorical[[#This Row],[NUT25]]=0, tblPiNHistorical[[#This Row],[NUT26]]="", tblPiNHistorical[[#This Row],[NUT26]]=0), "", tblPiNHistorical[[#This Row],[NUT26]]-tblPiNHistorical[[#This Row],[NUT25]])</f>
        <v>-4095.6431790795104</v>
      </c>
      <c r="W312" s="121">
        <f>IF(OR(tblPiNHistorical[[#This Row],[SAL25]]="", tblPiNHistorical[[#This Row],[SAL25]]=0, tblPiNHistorical[[#This Row],[SAL26]]="", tblPiNHistorical[[#This Row],[SAL26]]=0), "", tblPiNHistorical[[#This Row],[SAL26]]-tblPiNHistorical[[#This Row],[SAL25]])</f>
        <v>-21397.530268145118</v>
      </c>
      <c r="X312" s="121">
        <f>IF(OR(tblPiNHistorical[[#This Row],[EDU25]]="", tblPiNHistorical[[#This Row],[EDU25]]=0, tblPiNHistorical[[#This Row],[EDU26]]="", tblPiNHistorical[[#This Row],[EDU26]]=0), "", tblPiNHistorical[[#This Row],[EDU26]]-tblPiNHistorical[[#This Row],[EDU25]])</f>
        <v>-9799.992433925705</v>
      </c>
      <c r="Y312" s="121">
        <f>IF(OR(tblPiNHistorical[[#This Row],[PRO25]]="", tblPiNHistorical[[#This Row],[PRO25]]=0, tblPiNHistorical[[#This Row],[PRO26]]="", tblPiNHistorical[[#This Row],[PRO26]]=0), "", tblPiNHistorical[[#This Row],[PRO26]]-tblPiNHistorical[[#This Row],[PRO25]])</f>
        <v>-8034.536677621767</v>
      </c>
      <c r="Z312" s="223" t="str">
        <f>IF(OR(tblPiNHistorical[[#This Row],[ASH25]]="", tblPiNHistorical[[#This Row],[ASH25]]=0, tblPiNHistorical[[#This Row],[ASH26]]="", tblPiNHistorical[[#This Row],[ASH26]]=0), "", tblPiNHistorical[[#This Row],[ASH26]]-tblPiNHistorical[[#This Row],[ASH25]])</f>
        <v/>
      </c>
      <c r="AA31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-0.7</v>
      </c>
      <c r="AB31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31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31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31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31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13" spans="1:32">
      <c r="A31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VenezolanosVE2211</v>
      </c>
      <c r="B313" s="105" t="s">
        <v>678</v>
      </c>
      <c r="C313" s="104" t="s">
        <v>679</v>
      </c>
      <c r="D313" s="119" t="s">
        <v>698</v>
      </c>
      <c r="E313" s="104" t="s">
        <v>699</v>
      </c>
      <c r="F313" s="119"/>
      <c r="G313" s="102">
        <v>100759</v>
      </c>
      <c r="H313" s="102" t="s">
        <v>102</v>
      </c>
      <c r="I313" s="206">
        <v>15501</v>
      </c>
      <c r="J313" s="120">
        <v>4150</v>
      </c>
      <c r="K313" s="207">
        <v>26233.240924977654</v>
      </c>
      <c r="L313" s="207">
        <v>10382.852897468165</v>
      </c>
      <c r="M313" s="207">
        <v>7861.3564879685373</v>
      </c>
      <c r="N313" s="298">
        <v>0</v>
      </c>
      <c r="O313" s="114">
        <f>tblPiNAnalysis[[#This Row],[SAMV]]</f>
        <v>6665</v>
      </c>
      <c r="P313" s="115">
        <f>tblPiNAnalysis[[#This Row],[NUT]]</f>
        <v>606.48514632526735</v>
      </c>
      <c r="Q313" s="115">
        <f>tblPiNAnalysis[[#This Row],[SAL]]</f>
        <v>7297.4449999999997</v>
      </c>
      <c r="R313" s="115">
        <f>tblPiNAnalysis[[#This Row],[EDU]]</f>
        <v>2442.2626103369207</v>
      </c>
      <c r="S313" s="115">
        <f>tblPiNAnalysis[[#This Row],[PRO]]</f>
        <v>4002.1025874510265</v>
      </c>
      <c r="T313" s="116">
        <f>tblPiNAnalysis[[#This Row],[ASH]]</f>
        <v>0</v>
      </c>
      <c r="U313" s="300">
        <f>IF(OR(tblPiNHistorical[[#This Row],[SAMV25]]="", tblPiNHistorical[[#This Row],[SAMV25]]=0, tblPiNHistorical[[#This Row],[SAMV26]]="", tblPiNHistorical[[#This Row],[SAMV26]]=0), "", tblPiNHistorical[[#This Row],[SAMV26]]-tblPiNHistorical[[#This Row],[SAMV25]])</f>
        <v>-8836</v>
      </c>
      <c r="V313" s="121">
        <f>IF(OR(tblPiNHistorical[[#This Row],[NUT25]]="", tblPiNHistorical[[#This Row],[NUT25]]=0, tblPiNHistorical[[#This Row],[NUT26]]="", tblPiNHistorical[[#This Row],[NUT26]]=0), "", tblPiNHistorical[[#This Row],[NUT26]]-tblPiNHistorical[[#This Row],[NUT25]])</f>
        <v>-3543.5148536747329</v>
      </c>
      <c r="W313" s="121">
        <f>IF(OR(tblPiNHistorical[[#This Row],[SAL25]]="", tblPiNHistorical[[#This Row],[SAL25]]=0, tblPiNHistorical[[#This Row],[SAL26]]="", tblPiNHistorical[[#This Row],[SAL26]]=0), "", tblPiNHistorical[[#This Row],[SAL26]]-tblPiNHistorical[[#This Row],[SAL25]])</f>
        <v>-18935.795924977654</v>
      </c>
      <c r="X313" s="121">
        <f>IF(OR(tblPiNHistorical[[#This Row],[EDU25]]="", tblPiNHistorical[[#This Row],[EDU25]]=0, tblPiNHistorical[[#This Row],[EDU26]]="", tblPiNHistorical[[#This Row],[EDU26]]=0), "", tblPiNHistorical[[#This Row],[EDU26]]-tblPiNHistorical[[#This Row],[EDU25]])</f>
        <v>-7940.5902871312446</v>
      </c>
      <c r="Y313" s="121">
        <f>IF(OR(tblPiNHistorical[[#This Row],[PRO25]]="", tblPiNHistorical[[#This Row],[PRO25]]=0, tblPiNHistorical[[#This Row],[PRO26]]="", tblPiNHistorical[[#This Row],[PRO26]]=0), "", tblPiNHistorical[[#This Row],[PRO26]]-tblPiNHistorical[[#This Row],[PRO25]])</f>
        <v>-3859.2539005175108</v>
      </c>
      <c r="Z313" s="223" t="str">
        <f>IF(OR(tblPiNHistorical[[#This Row],[ASH25]]="", tblPiNHistorical[[#This Row],[ASH25]]=0, tblPiNHistorical[[#This Row],[ASH26]]="", tblPiNHistorical[[#This Row],[ASH26]]=0), "", tblPiNHistorical[[#This Row],[ASH26]]-tblPiNHistorical[[#This Row],[ASH25]])</f>
        <v/>
      </c>
      <c r="AA31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31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31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31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31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31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14" spans="1:32">
      <c r="A31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VenezolanosVE2212</v>
      </c>
      <c r="B314" s="105" t="s">
        <v>678</v>
      </c>
      <c r="C314" s="104" t="s">
        <v>679</v>
      </c>
      <c r="D314" s="119" t="s">
        <v>203</v>
      </c>
      <c r="E314" s="104" t="s">
        <v>700</v>
      </c>
      <c r="F314" s="119"/>
      <c r="G314" s="102">
        <v>18988</v>
      </c>
      <c r="H314" s="102" t="s">
        <v>102</v>
      </c>
      <c r="I314" s="206">
        <v>2921</v>
      </c>
      <c r="J314" s="120">
        <v>784</v>
      </c>
      <c r="K314" s="207">
        <v>4944.0598336533021</v>
      </c>
      <c r="L314" s="207">
        <v>1747.8226381431814</v>
      </c>
      <c r="M314" s="207">
        <v>9282.2865031763213</v>
      </c>
      <c r="N314" s="298">
        <v>0</v>
      </c>
      <c r="O314" s="114">
        <f>tblPiNAnalysis[[#This Row],[SAMV]]</f>
        <v>2010</v>
      </c>
      <c r="P314" s="115">
        <f>tblPiNAnalysis[[#This Row],[NUT]]</f>
        <v>265.02125379108611</v>
      </c>
      <c r="Q314" s="115">
        <f>tblPiNAnalysis[[#This Row],[SAL]]</f>
        <v>2200.9499999999998</v>
      </c>
      <c r="R314" s="115">
        <f>tblPiNAnalysis[[#This Row],[EDU]]</f>
        <v>658.45090590077473</v>
      </c>
      <c r="S314" s="115">
        <f>tblPiNAnalysis[[#This Row],[PRO]]</f>
        <v>1207.0563998564339</v>
      </c>
      <c r="T314" s="116">
        <f>tblPiNAnalysis[[#This Row],[ASH]]</f>
        <v>0</v>
      </c>
      <c r="U314" s="300">
        <f>IF(OR(tblPiNHistorical[[#This Row],[SAMV25]]="", tblPiNHistorical[[#This Row],[SAMV25]]=0, tblPiNHistorical[[#This Row],[SAMV26]]="", tblPiNHistorical[[#This Row],[SAMV26]]=0), "", tblPiNHistorical[[#This Row],[SAMV26]]-tblPiNHistorical[[#This Row],[SAMV25]])</f>
        <v>-911</v>
      </c>
      <c r="V314" s="121">
        <f>IF(OR(tblPiNHistorical[[#This Row],[NUT25]]="", tblPiNHistorical[[#This Row],[NUT25]]=0, tblPiNHistorical[[#This Row],[NUT26]]="", tblPiNHistorical[[#This Row],[NUT26]]=0), "", tblPiNHistorical[[#This Row],[NUT26]]-tblPiNHistorical[[#This Row],[NUT25]])</f>
        <v>-518.97874620891389</v>
      </c>
      <c r="W314" s="121">
        <f>IF(OR(tblPiNHistorical[[#This Row],[SAL25]]="", tblPiNHistorical[[#This Row],[SAL25]]=0, tblPiNHistorical[[#This Row],[SAL26]]="", tblPiNHistorical[[#This Row],[SAL26]]=0), "", tblPiNHistorical[[#This Row],[SAL26]]-tblPiNHistorical[[#This Row],[SAL25]])</f>
        <v>-2743.1098336533023</v>
      </c>
      <c r="X314" s="121">
        <f>IF(OR(tblPiNHistorical[[#This Row],[EDU25]]="", tblPiNHistorical[[#This Row],[EDU25]]=0, tblPiNHistorical[[#This Row],[EDU26]]="", tblPiNHistorical[[#This Row],[EDU26]]=0), "", tblPiNHistorical[[#This Row],[EDU26]]-tblPiNHistorical[[#This Row],[EDU25]])</f>
        <v>-1089.3717322424068</v>
      </c>
      <c r="Y314" s="121">
        <f>IF(OR(tblPiNHistorical[[#This Row],[PRO25]]="", tblPiNHistorical[[#This Row],[PRO25]]=0, tblPiNHistorical[[#This Row],[PRO26]]="", tblPiNHistorical[[#This Row],[PRO26]]=0), "", tblPiNHistorical[[#This Row],[PRO26]]-tblPiNHistorical[[#This Row],[PRO25]])</f>
        <v>-8075.2301033198873</v>
      </c>
      <c r="Z314" s="223" t="str">
        <f>IF(OR(tblPiNHistorical[[#This Row],[ASH25]]="", tblPiNHistorical[[#This Row],[ASH25]]=0, tblPiNHistorical[[#This Row],[ASH26]]="", tblPiNHistorical[[#This Row],[ASH26]]=0), "", tblPiNHistorical[[#This Row],[ASH26]]-tblPiNHistorical[[#This Row],[ASH25]])</f>
        <v/>
      </c>
      <c r="AA31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-0.3</v>
      </c>
      <c r="AB31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31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31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31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31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15" spans="1:32">
      <c r="A31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VenezolanosVE2213</v>
      </c>
      <c r="B315" s="105" t="s">
        <v>678</v>
      </c>
      <c r="C315" s="104" t="s">
        <v>679</v>
      </c>
      <c r="D315" s="119" t="s">
        <v>701</v>
      </c>
      <c r="E315" s="104" t="s">
        <v>702</v>
      </c>
      <c r="F315" s="119"/>
      <c r="G315" s="102">
        <v>21966</v>
      </c>
      <c r="H315" s="102" t="s">
        <v>102</v>
      </c>
      <c r="I315" s="206">
        <v>3379</v>
      </c>
      <c r="J315" s="120">
        <v>1239</v>
      </c>
      <c r="K315" s="207">
        <v>5718.8603927548829</v>
      </c>
      <c r="L315" s="207">
        <v>2459.0088145629807</v>
      </c>
      <c r="M315" s="207">
        <v>10738.082227131403</v>
      </c>
      <c r="N315" s="298">
        <v>0</v>
      </c>
      <c r="O315" s="114">
        <f>tblPiNAnalysis[[#This Row],[SAMV]]</f>
        <v>3839</v>
      </c>
      <c r="P315" s="115">
        <f>tblPiNAnalysis[[#This Row],[NUT]]</f>
        <v>345.52603913440515</v>
      </c>
      <c r="Q315" s="115">
        <f>tblPiNAnalysis[[#This Row],[SAL]]</f>
        <v>3821.55</v>
      </c>
      <c r="R315" s="115">
        <f>tblPiNAnalysis[[#This Row],[EDU]]</f>
        <v>994.09074375115142</v>
      </c>
      <c r="S315" s="115">
        <f>tblPiNAnalysis[[#This Row],[PRO]]</f>
        <v>1257.500547910136</v>
      </c>
      <c r="T315" s="116">
        <f>tblPiNAnalysis[[#This Row],[ASH]]</f>
        <v>0</v>
      </c>
      <c r="U315" s="300">
        <f>IF(OR(tblPiNHistorical[[#This Row],[SAMV25]]="", tblPiNHistorical[[#This Row],[SAMV25]]=0, tblPiNHistorical[[#This Row],[SAMV26]]="", tblPiNHistorical[[#This Row],[SAMV26]]=0), "", tblPiNHistorical[[#This Row],[SAMV26]]-tblPiNHistorical[[#This Row],[SAMV25]])</f>
        <v>460</v>
      </c>
      <c r="V315" s="121">
        <f>IF(OR(tblPiNHistorical[[#This Row],[NUT25]]="", tblPiNHistorical[[#This Row],[NUT25]]=0, tblPiNHistorical[[#This Row],[NUT26]]="", tblPiNHistorical[[#This Row],[NUT26]]=0), "", tblPiNHistorical[[#This Row],[NUT26]]-tblPiNHistorical[[#This Row],[NUT25]])</f>
        <v>-893.47396086559479</v>
      </c>
      <c r="W315" s="121">
        <f>IF(OR(tblPiNHistorical[[#This Row],[SAL25]]="", tblPiNHistorical[[#This Row],[SAL25]]=0, tblPiNHistorical[[#This Row],[SAL26]]="", tblPiNHistorical[[#This Row],[SAL26]]=0), "", tblPiNHistorical[[#This Row],[SAL26]]-tblPiNHistorical[[#This Row],[SAL25]])</f>
        <v>-1897.3103927548827</v>
      </c>
      <c r="X315" s="121">
        <f>IF(OR(tblPiNHistorical[[#This Row],[EDU25]]="", tblPiNHistorical[[#This Row],[EDU25]]=0, tblPiNHistorical[[#This Row],[EDU26]]="", tblPiNHistorical[[#This Row],[EDU26]]=0), "", tblPiNHistorical[[#This Row],[EDU26]]-tblPiNHistorical[[#This Row],[EDU25]])</f>
        <v>-1464.9180708118292</v>
      </c>
      <c r="Y315" s="121">
        <f>IF(OR(tblPiNHistorical[[#This Row],[PRO25]]="", tblPiNHistorical[[#This Row],[PRO25]]=0, tblPiNHistorical[[#This Row],[PRO26]]="", tblPiNHistorical[[#This Row],[PRO26]]=0), "", tblPiNHistorical[[#This Row],[PRO26]]-tblPiNHistorical[[#This Row],[PRO25]])</f>
        <v>-9480.5816792212663</v>
      </c>
      <c r="Z315" s="223" t="str">
        <f>IF(OR(tblPiNHistorical[[#This Row],[ASH25]]="", tblPiNHistorical[[#This Row],[ASH25]]=0, tblPiNHistorical[[#This Row],[ASH26]]="", tblPiNHistorical[[#This Row],[ASH26]]=0), "", tblPiNHistorical[[#This Row],[ASH26]]-tblPiNHistorical[[#This Row],[ASH25]])</f>
        <v/>
      </c>
      <c r="AA31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0.1</v>
      </c>
      <c r="AB31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31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31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31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31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16" spans="1:32">
      <c r="A31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VenezolanosVE2214</v>
      </c>
      <c r="B316" s="105" t="s">
        <v>678</v>
      </c>
      <c r="C316" s="104" t="s">
        <v>679</v>
      </c>
      <c r="D316" s="119" t="s">
        <v>703</v>
      </c>
      <c r="E316" s="104" t="s">
        <v>704</v>
      </c>
      <c r="F316" s="119"/>
      <c r="G316" s="102">
        <v>27840</v>
      </c>
      <c r="H316" s="102" t="s">
        <v>102</v>
      </c>
      <c r="I316" s="206">
        <v>4283</v>
      </c>
      <c r="J316" s="120">
        <v>1136</v>
      </c>
      <c r="K316" s="207">
        <v>7248.6456398812752</v>
      </c>
      <c r="L316" s="207">
        <v>3529.1748442154312</v>
      </c>
      <c r="M316" s="207">
        <v>7861.3564879685373</v>
      </c>
      <c r="N316" s="298">
        <v>0</v>
      </c>
      <c r="O316" s="114">
        <f>tblPiNAnalysis[[#This Row],[SAMV]]</f>
        <v>416</v>
      </c>
      <c r="P316" s="115">
        <f>tblPiNAnalysis[[#This Row],[NUT]]</f>
        <v>105.62325593337326</v>
      </c>
      <c r="Q316" s="115">
        <f>tblPiNAnalysis[[#This Row],[SAL]]</f>
        <v>1415.5263157894738</v>
      </c>
      <c r="R316" s="115">
        <f>tblPiNAnalysis[[#This Row],[EDU]]</f>
        <v>202.30879295016928</v>
      </c>
      <c r="S316" s="115">
        <f>tblPiNAnalysis[[#This Row],[PRO]]</f>
        <v>300.02257580511184</v>
      </c>
      <c r="T316" s="116">
        <f>tblPiNAnalysis[[#This Row],[ASH]]</f>
        <v>0</v>
      </c>
      <c r="U316" s="300">
        <f>IF(OR(tblPiNHistorical[[#This Row],[SAMV25]]="", tblPiNHistorical[[#This Row],[SAMV25]]=0, tblPiNHistorical[[#This Row],[SAMV26]]="", tblPiNHistorical[[#This Row],[SAMV26]]=0), "", tblPiNHistorical[[#This Row],[SAMV26]]-tblPiNHistorical[[#This Row],[SAMV25]])</f>
        <v>-3867</v>
      </c>
      <c r="V316" s="121">
        <f>IF(OR(tblPiNHistorical[[#This Row],[NUT25]]="", tblPiNHistorical[[#This Row],[NUT25]]=0, tblPiNHistorical[[#This Row],[NUT26]]="", tblPiNHistorical[[#This Row],[NUT26]]=0), "", tblPiNHistorical[[#This Row],[NUT26]]-tblPiNHistorical[[#This Row],[NUT25]])</f>
        <v>-1030.3767440666268</v>
      </c>
      <c r="W316" s="121">
        <f>IF(OR(tblPiNHistorical[[#This Row],[SAL25]]="", tblPiNHistorical[[#This Row],[SAL25]]=0, tblPiNHistorical[[#This Row],[SAL26]]="", tblPiNHistorical[[#This Row],[SAL26]]=0), "", tblPiNHistorical[[#This Row],[SAL26]]-tblPiNHistorical[[#This Row],[SAL25]])</f>
        <v>-5833.1193240918019</v>
      </c>
      <c r="X316" s="121">
        <f>IF(OR(tblPiNHistorical[[#This Row],[EDU25]]="", tblPiNHistorical[[#This Row],[EDU25]]=0, tblPiNHistorical[[#This Row],[EDU26]]="", tblPiNHistorical[[#This Row],[EDU26]]=0), "", tblPiNHistorical[[#This Row],[EDU26]]-tblPiNHistorical[[#This Row],[EDU25]])</f>
        <v>-3326.8660512652618</v>
      </c>
      <c r="Y316" s="121">
        <f>IF(OR(tblPiNHistorical[[#This Row],[PRO25]]="", tblPiNHistorical[[#This Row],[PRO25]]=0, tblPiNHistorical[[#This Row],[PRO26]]="", tblPiNHistorical[[#This Row],[PRO26]]=0), "", tblPiNHistorical[[#This Row],[PRO26]]-tblPiNHistorical[[#This Row],[PRO25]])</f>
        <v>-7561.3339121634253</v>
      </c>
      <c r="Z316" s="223" t="str">
        <f>IF(OR(tblPiNHistorical[[#This Row],[ASH25]]="", tblPiNHistorical[[#This Row],[ASH25]]=0, tblPiNHistorical[[#This Row],[ASH26]]="", tblPiNHistorical[[#This Row],[ASH26]]=0), "", tblPiNHistorical[[#This Row],[ASH26]]-tblPiNHistorical[[#This Row],[ASH25]])</f>
        <v/>
      </c>
      <c r="AA31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31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31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31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31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31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17" spans="1:32">
      <c r="A31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VenezolanosVE2301</v>
      </c>
      <c r="B317" s="105" t="s">
        <v>705</v>
      </c>
      <c r="C317" s="104" t="s">
        <v>706</v>
      </c>
      <c r="D317" s="119" t="s">
        <v>707</v>
      </c>
      <c r="E317" s="104" t="s">
        <v>708</v>
      </c>
      <c r="F317" s="119"/>
      <c r="G317" s="102">
        <v>11929</v>
      </c>
      <c r="H317" s="102" t="s">
        <v>102</v>
      </c>
      <c r="I317" s="206">
        <v>2029</v>
      </c>
      <c r="J317" s="120">
        <v>621</v>
      </c>
      <c r="K317" s="207">
        <v>3106.1377912831872</v>
      </c>
      <c r="L317" s="207">
        <v>2066.7620114936626</v>
      </c>
      <c r="M317" s="207">
        <v>5831.4933482404849</v>
      </c>
      <c r="N317" s="298">
        <v>7157</v>
      </c>
      <c r="O317" s="114">
        <f>tblPiNAnalysis[[#This Row],[SAMV]]</f>
        <v>623</v>
      </c>
      <c r="P317" s="115">
        <f>tblPiNAnalysis[[#This Row],[NUT]]</f>
        <v>252.1395101639344</v>
      </c>
      <c r="Q317" s="115">
        <f>tblPiNAnalysis[[#This Row],[SAL]]</f>
        <v>2883.6363636363635</v>
      </c>
      <c r="R317" s="115">
        <f>tblPiNAnalysis[[#This Row],[EDU]]</f>
        <v>671.37460056665236</v>
      </c>
      <c r="S317" s="115">
        <f>tblPiNAnalysis[[#This Row],[PRO]]</f>
        <v>898.38625581354472</v>
      </c>
      <c r="T317" s="116">
        <f>tblPiNAnalysis[[#This Row],[ASH]]</f>
        <v>0</v>
      </c>
      <c r="U317" s="300">
        <f>IF(OR(tblPiNHistorical[[#This Row],[SAMV25]]="", tblPiNHistorical[[#This Row],[SAMV25]]=0, tblPiNHistorical[[#This Row],[SAMV26]]="", tblPiNHistorical[[#This Row],[SAMV26]]=0), "", tblPiNHistorical[[#This Row],[SAMV26]]-tblPiNHistorical[[#This Row],[SAMV25]])</f>
        <v>-1406</v>
      </c>
      <c r="V317" s="121">
        <f>IF(OR(tblPiNHistorical[[#This Row],[NUT25]]="", tblPiNHistorical[[#This Row],[NUT25]]=0, tblPiNHistorical[[#This Row],[NUT26]]="", tblPiNHistorical[[#This Row],[NUT26]]=0), "", tblPiNHistorical[[#This Row],[NUT26]]-tblPiNHistorical[[#This Row],[NUT25]])</f>
        <v>-368.8604898360656</v>
      </c>
      <c r="W317" s="121">
        <f>IF(OR(tblPiNHistorical[[#This Row],[SAL25]]="", tblPiNHistorical[[#This Row],[SAL25]]=0, tblPiNHistorical[[#This Row],[SAL26]]="", tblPiNHistorical[[#This Row],[SAL26]]=0), "", tblPiNHistorical[[#This Row],[SAL26]]-tblPiNHistorical[[#This Row],[SAL25]])</f>
        <v>-222.50142764682369</v>
      </c>
      <c r="X317" s="121">
        <f>IF(OR(tblPiNHistorical[[#This Row],[EDU25]]="", tblPiNHistorical[[#This Row],[EDU25]]=0, tblPiNHistorical[[#This Row],[EDU26]]="", tblPiNHistorical[[#This Row],[EDU26]]=0), "", tblPiNHistorical[[#This Row],[EDU26]]-tblPiNHistorical[[#This Row],[EDU25]])</f>
        <v>-1395.3874109270103</v>
      </c>
      <c r="Y317" s="121">
        <f>IF(OR(tblPiNHistorical[[#This Row],[PRO25]]="", tblPiNHistorical[[#This Row],[PRO25]]=0, tblPiNHistorical[[#This Row],[PRO26]]="", tblPiNHistorical[[#This Row],[PRO26]]=0), "", tblPiNHistorical[[#This Row],[PRO26]]-tblPiNHistorical[[#This Row],[PRO25]])</f>
        <v>-4933.1070924269407</v>
      </c>
      <c r="Z317" s="223" t="str">
        <f>IF(OR(tblPiNHistorical[[#This Row],[ASH25]]="", tblPiNHistorical[[#This Row],[ASH25]]=0, tblPiNHistorical[[#This Row],[ASH26]]="", tblPiNHistorical[[#This Row],[ASH26]]=0), "", tblPiNHistorical[[#This Row],[ASH26]]-tblPiNHistorical[[#This Row],[ASH25]])</f>
        <v/>
      </c>
      <c r="AA31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-0.7</v>
      </c>
      <c r="AB31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-0.6</v>
      </c>
      <c r="AC31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31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31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31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7157</v>
      </c>
    </row>
    <row r="318" spans="1:32">
      <c r="A31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VenezolanosVE2302</v>
      </c>
      <c r="B318" s="105" t="s">
        <v>705</v>
      </c>
      <c r="C318" s="104" t="s">
        <v>706</v>
      </c>
      <c r="D318" s="119" t="s">
        <v>709</v>
      </c>
      <c r="E318" s="104" t="s">
        <v>710</v>
      </c>
      <c r="F318" s="119"/>
      <c r="G318" s="102">
        <v>89847</v>
      </c>
      <c r="H318" s="102" t="s">
        <v>102</v>
      </c>
      <c r="I318" s="206">
        <v>15283</v>
      </c>
      <c r="J318" s="120">
        <v>3750</v>
      </c>
      <c r="K318" s="207">
        <v>23392.63580612314</v>
      </c>
      <c r="L318" s="207">
        <v>16234.944563984323</v>
      </c>
      <c r="M318" s="207">
        <v>43921.718740830147</v>
      </c>
      <c r="N318" s="298">
        <v>17969</v>
      </c>
      <c r="O318" s="114">
        <f>tblPiNAnalysis[[#This Row],[SAMV]]</f>
        <v>343</v>
      </c>
      <c r="P318" s="115">
        <f>tblPiNAnalysis[[#This Row],[NUT]]</f>
        <v>856.51694393951448</v>
      </c>
      <c r="Q318" s="115">
        <f>tblPiNAnalysis[[#This Row],[SAL]]</f>
        <v>7505.13</v>
      </c>
      <c r="R318" s="115">
        <f>tblPiNAnalysis[[#This Row],[EDU]]</f>
        <v>2268.489856391257</v>
      </c>
      <c r="S318" s="115">
        <f>tblPiNAnalysis[[#This Row],[PRO]]</f>
        <v>2469.6013625719402</v>
      </c>
      <c r="T318" s="116">
        <f>tblPiNAnalysis[[#This Row],[ASH]]</f>
        <v>0</v>
      </c>
      <c r="U318" s="300">
        <f>IF(OR(tblPiNHistorical[[#This Row],[SAMV25]]="", tblPiNHistorical[[#This Row],[SAMV25]]=0, tblPiNHistorical[[#This Row],[SAMV26]]="", tblPiNHistorical[[#This Row],[SAMV26]]=0), "", tblPiNHistorical[[#This Row],[SAMV26]]-tblPiNHistorical[[#This Row],[SAMV25]])</f>
        <v>-14940</v>
      </c>
      <c r="V318" s="121">
        <f>IF(OR(tblPiNHistorical[[#This Row],[NUT25]]="", tblPiNHistorical[[#This Row],[NUT25]]=0, tblPiNHistorical[[#This Row],[NUT26]]="", tblPiNHistorical[[#This Row],[NUT26]]=0), "", tblPiNHistorical[[#This Row],[NUT26]]-tblPiNHistorical[[#This Row],[NUT25]])</f>
        <v>-2893.4830560604855</v>
      </c>
      <c r="W318" s="121">
        <f>IF(OR(tblPiNHistorical[[#This Row],[SAL25]]="", tblPiNHistorical[[#This Row],[SAL25]]=0, tblPiNHistorical[[#This Row],[SAL26]]="", tblPiNHistorical[[#This Row],[SAL26]]=0), "", tblPiNHistorical[[#This Row],[SAL26]]-tblPiNHistorical[[#This Row],[SAL25]])</f>
        <v>-15887.505806123139</v>
      </c>
      <c r="X318" s="121">
        <f>IF(OR(tblPiNHistorical[[#This Row],[EDU25]]="", tblPiNHistorical[[#This Row],[EDU25]]=0, tblPiNHistorical[[#This Row],[EDU26]]="", tblPiNHistorical[[#This Row],[EDU26]]=0), "", tblPiNHistorical[[#This Row],[EDU26]]-tblPiNHistorical[[#This Row],[EDU25]])</f>
        <v>-13966.454707593066</v>
      </c>
      <c r="Y318" s="121">
        <f>IF(OR(tblPiNHistorical[[#This Row],[PRO25]]="", tblPiNHistorical[[#This Row],[PRO25]]=0, tblPiNHistorical[[#This Row],[PRO26]]="", tblPiNHistorical[[#This Row],[PRO26]]=0), "", tblPiNHistorical[[#This Row],[PRO26]]-tblPiNHistorical[[#This Row],[PRO25]])</f>
        <v>-41452.117378258205</v>
      </c>
      <c r="Z318" s="223" t="str">
        <f>IF(OR(tblPiNHistorical[[#This Row],[ASH25]]="", tblPiNHistorical[[#This Row],[ASH25]]=0, tblPiNHistorical[[#This Row],[ASH26]]="", tblPiNHistorical[[#This Row],[ASH26]]=0), "", tblPiNHistorical[[#This Row],[ASH26]]-tblPiNHistorical[[#This Row],[ASH25]])</f>
        <v/>
      </c>
      <c r="AA31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31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31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31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31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31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17969</v>
      </c>
    </row>
    <row r="319" spans="1:32">
      <c r="A31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VenezolanosVE2303</v>
      </c>
      <c r="B319" s="105" t="s">
        <v>705</v>
      </c>
      <c r="C319" s="104" t="s">
        <v>706</v>
      </c>
      <c r="D319" s="119" t="s">
        <v>711</v>
      </c>
      <c r="E319" s="104" t="s">
        <v>712</v>
      </c>
      <c r="F319" s="119"/>
      <c r="G319" s="102">
        <v>263056</v>
      </c>
      <c r="H319" s="102" t="s">
        <v>102</v>
      </c>
      <c r="I319" s="206">
        <v>44745</v>
      </c>
      <c r="J319" s="120">
        <v>11403</v>
      </c>
      <c r="K319" s="207">
        <v>68488.604409075066</v>
      </c>
      <c r="L319" s="207">
        <v>36514.869793830127</v>
      </c>
      <c r="M319" s="207">
        <v>33384.437820300853</v>
      </c>
      <c r="N319" s="298">
        <v>0</v>
      </c>
      <c r="O319" s="114">
        <f>tblPiNAnalysis[[#This Row],[SAMV]]</f>
        <v>3261</v>
      </c>
      <c r="P319" s="115">
        <f>tblPiNAnalysis[[#This Row],[NUT]]</f>
        <v>210.86653352856581</v>
      </c>
      <c r="Q319" s="115">
        <f>tblPiNAnalysis[[#This Row],[SAL]]</f>
        <v>2856.49</v>
      </c>
      <c r="R319" s="115">
        <f>tblPiNAnalysis[[#This Row],[EDU]]</f>
        <v>531.95229840460456</v>
      </c>
      <c r="S319" s="115">
        <f>tblPiNAnalysis[[#This Row],[PRO]]</f>
        <v>939.9426254006421</v>
      </c>
      <c r="T319" s="116">
        <f>tblPiNAnalysis[[#This Row],[ASH]]</f>
        <v>0</v>
      </c>
      <c r="U319" s="300">
        <f>IF(OR(tblPiNHistorical[[#This Row],[SAMV25]]="", tblPiNHistorical[[#This Row],[SAMV25]]=0, tblPiNHistorical[[#This Row],[SAMV26]]="", tblPiNHistorical[[#This Row],[SAMV26]]=0), "", tblPiNHistorical[[#This Row],[SAMV26]]-tblPiNHistorical[[#This Row],[SAMV25]])</f>
        <v>-41484</v>
      </c>
      <c r="V319" s="121">
        <f>IF(OR(tblPiNHistorical[[#This Row],[NUT25]]="", tblPiNHistorical[[#This Row],[NUT25]]=0, tblPiNHistorical[[#This Row],[NUT26]]="", tblPiNHistorical[[#This Row],[NUT26]]=0), "", tblPiNHistorical[[#This Row],[NUT26]]-tblPiNHistorical[[#This Row],[NUT25]])</f>
        <v>-11192.133466471434</v>
      </c>
      <c r="W319" s="121">
        <f>IF(OR(tblPiNHistorical[[#This Row],[SAL25]]="", tblPiNHistorical[[#This Row],[SAL25]]=0, tblPiNHistorical[[#This Row],[SAL26]]="", tblPiNHistorical[[#This Row],[SAL26]]=0), "", tblPiNHistorical[[#This Row],[SAL26]]-tblPiNHistorical[[#This Row],[SAL25]])</f>
        <v>-65632.11440907506</v>
      </c>
      <c r="X319" s="121">
        <f>IF(OR(tblPiNHistorical[[#This Row],[EDU25]]="", tblPiNHistorical[[#This Row],[EDU25]]=0, tblPiNHistorical[[#This Row],[EDU26]]="", tblPiNHistorical[[#This Row],[EDU26]]=0), "", tblPiNHistorical[[#This Row],[EDU26]]-tblPiNHistorical[[#This Row],[EDU25]])</f>
        <v>-35982.917495425521</v>
      </c>
      <c r="Y319" s="121">
        <f>IF(OR(tblPiNHistorical[[#This Row],[PRO25]]="", tblPiNHistorical[[#This Row],[PRO25]]=0, tblPiNHistorical[[#This Row],[PRO26]]="", tblPiNHistorical[[#This Row],[PRO26]]=0), "", tblPiNHistorical[[#This Row],[PRO26]]-tblPiNHistorical[[#This Row],[PRO25]])</f>
        <v>-32444.49519490021</v>
      </c>
      <c r="Z319" s="223" t="str">
        <f>IF(OR(tblPiNHistorical[[#This Row],[ASH25]]="", tblPiNHistorical[[#This Row],[ASH25]]=0, tblPiNHistorical[[#This Row],[ASH26]]="", tblPiNHistorical[[#This Row],[ASH26]]=0), "", tblPiNHistorical[[#This Row],[ASH26]]-tblPiNHistorical[[#This Row],[ASH25]])</f>
        <v/>
      </c>
      <c r="AA31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31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v>
      </c>
      <c r="AC31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v>
      </c>
      <c r="AD31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31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31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20" spans="1:32">
      <c r="A32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VenezolanosVE2304</v>
      </c>
      <c r="B320" s="105" t="s">
        <v>705</v>
      </c>
      <c r="C320" s="104" t="s">
        <v>706</v>
      </c>
      <c r="D320" s="119" t="s">
        <v>713</v>
      </c>
      <c r="E320" s="104" t="s">
        <v>714</v>
      </c>
      <c r="F320" s="119"/>
      <c r="G320" s="102">
        <v>40702</v>
      </c>
      <c r="H320" s="102" t="s">
        <v>102</v>
      </c>
      <c r="I320" s="206">
        <v>6923</v>
      </c>
      <c r="J320" s="120">
        <v>1777</v>
      </c>
      <c r="K320" s="207">
        <v>10597.527851854855</v>
      </c>
      <c r="L320" s="207">
        <v>7726.8156032902643</v>
      </c>
      <c r="M320" s="207">
        <v>19897.17849443241</v>
      </c>
      <c r="N320" s="298">
        <v>24421</v>
      </c>
      <c r="O320" s="114">
        <f>tblPiNAnalysis[[#This Row],[SAMV]]</f>
        <v>939</v>
      </c>
      <c r="P320" s="115">
        <f>tblPiNAnalysis[[#This Row],[NUT]]</f>
        <v>511.81434141098032</v>
      </c>
      <c r="Q320" s="115">
        <f>tblPiNAnalysis[[#This Row],[SAL]]</f>
        <v>8300</v>
      </c>
      <c r="R320" s="115">
        <f>tblPiNAnalysis[[#This Row],[EDU]]</f>
        <v>754.88110316700897</v>
      </c>
      <c r="S320" s="115">
        <f>tblPiNAnalysis[[#This Row],[PRO]]</f>
        <v>1818.061279817965</v>
      </c>
      <c r="T320" s="116">
        <f>tblPiNAnalysis[[#This Row],[ASH]]</f>
        <v>0</v>
      </c>
      <c r="U320" s="300">
        <f>IF(OR(tblPiNHistorical[[#This Row],[SAMV25]]="", tblPiNHistorical[[#This Row],[SAMV25]]=0, tblPiNHistorical[[#This Row],[SAMV26]]="", tblPiNHistorical[[#This Row],[SAMV26]]=0), "", tblPiNHistorical[[#This Row],[SAMV26]]-tblPiNHistorical[[#This Row],[SAMV25]])</f>
        <v>-5984</v>
      </c>
      <c r="V320" s="121">
        <f>IF(OR(tblPiNHistorical[[#This Row],[NUT25]]="", tblPiNHistorical[[#This Row],[NUT25]]=0, tblPiNHistorical[[#This Row],[NUT26]]="", tblPiNHistorical[[#This Row],[NUT26]]=0), "", tblPiNHistorical[[#This Row],[NUT26]]-tblPiNHistorical[[#This Row],[NUT25]])</f>
        <v>-1265.1856585890196</v>
      </c>
      <c r="W320" s="121">
        <f>IF(OR(tblPiNHistorical[[#This Row],[SAL25]]="", tblPiNHistorical[[#This Row],[SAL25]]=0, tblPiNHistorical[[#This Row],[SAL26]]="", tblPiNHistorical[[#This Row],[SAL26]]=0), "", tblPiNHistorical[[#This Row],[SAL26]]-tblPiNHistorical[[#This Row],[SAL25]])</f>
        <v>-2297.5278518548548</v>
      </c>
      <c r="X320" s="121">
        <f>IF(OR(tblPiNHistorical[[#This Row],[EDU25]]="", tblPiNHistorical[[#This Row],[EDU25]]=0, tblPiNHistorical[[#This Row],[EDU26]]="", tblPiNHistorical[[#This Row],[EDU26]]=0), "", tblPiNHistorical[[#This Row],[EDU26]]-tblPiNHistorical[[#This Row],[EDU25]])</f>
        <v>-6971.934500123255</v>
      </c>
      <c r="Y320" s="121">
        <f>IF(OR(tblPiNHistorical[[#This Row],[PRO25]]="", tblPiNHistorical[[#This Row],[PRO25]]=0, tblPiNHistorical[[#This Row],[PRO26]]="", tblPiNHistorical[[#This Row],[PRO26]]=0), "", tblPiNHistorical[[#This Row],[PRO26]]-tblPiNHistorical[[#This Row],[PRO25]])</f>
        <v>-18079.117214614445</v>
      </c>
      <c r="Z320" s="223" t="str">
        <f>IF(OR(tblPiNHistorical[[#This Row],[ASH25]]="", tblPiNHistorical[[#This Row],[ASH25]]=0, tblPiNHistorical[[#This Row],[ASH26]]="", tblPiNHistorical[[#This Row],[ASH26]]=0), "", tblPiNHistorical[[#This Row],[ASH26]]-tblPiNHistorical[[#This Row],[ASH25]])</f>
        <v/>
      </c>
      <c r="AA32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32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32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32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32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32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24421</v>
      </c>
    </row>
    <row r="321" spans="1:32">
      <c r="A32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VenezolanosVE2305</v>
      </c>
      <c r="B321" s="105" t="s">
        <v>705</v>
      </c>
      <c r="C321" s="104" t="s">
        <v>706</v>
      </c>
      <c r="D321" s="119" t="s">
        <v>715</v>
      </c>
      <c r="E321" s="104" t="s">
        <v>716</v>
      </c>
      <c r="F321" s="119"/>
      <c r="G321" s="102">
        <v>128729</v>
      </c>
      <c r="H321" s="102" t="s">
        <v>102</v>
      </c>
      <c r="I321" s="206">
        <v>21897</v>
      </c>
      <c r="J321" s="120">
        <v>5459</v>
      </c>
      <c r="K321" s="207">
        <v>33515.573545689425</v>
      </c>
      <c r="L321" s="207">
        <v>23118.236467217757</v>
      </c>
      <c r="M321" s="207">
        <v>45903.602002913678</v>
      </c>
      <c r="N321" s="298">
        <v>64365</v>
      </c>
      <c r="O321" s="114">
        <f>tblPiNAnalysis[[#This Row],[SAMV]]</f>
        <v>8743</v>
      </c>
      <c r="P321" s="115">
        <f>tblPiNAnalysis[[#This Row],[NUT]]</f>
        <v>2879.0113153763104</v>
      </c>
      <c r="Q321" s="115">
        <f>tblPiNAnalysis[[#This Row],[SAL]]</f>
        <v>37100</v>
      </c>
      <c r="R321" s="115">
        <f>tblPiNAnalysis[[#This Row],[EDU]]</f>
        <v>7406.9908114573846</v>
      </c>
      <c r="S321" s="115">
        <f>tblPiNAnalysis[[#This Row],[PRO]]</f>
        <v>20576.631283251783</v>
      </c>
      <c r="T321" s="116">
        <f>tblPiNAnalysis[[#This Row],[ASH]]</f>
        <v>0</v>
      </c>
      <c r="U321" s="300">
        <f>IF(OR(tblPiNHistorical[[#This Row],[SAMV25]]="", tblPiNHistorical[[#This Row],[SAMV25]]=0, tblPiNHistorical[[#This Row],[SAMV26]]="", tblPiNHistorical[[#This Row],[SAMV26]]=0), "", tblPiNHistorical[[#This Row],[SAMV26]]-tblPiNHistorical[[#This Row],[SAMV25]])</f>
        <v>-13154</v>
      </c>
      <c r="V321" s="121">
        <f>IF(OR(tblPiNHistorical[[#This Row],[NUT25]]="", tblPiNHistorical[[#This Row],[NUT25]]=0, tblPiNHistorical[[#This Row],[NUT26]]="", tblPiNHistorical[[#This Row],[NUT26]]=0), "", tblPiNHistorical[[#This Row],[NUT26]]-tblPiNHistorical[[#This Row],[NUT25]])</f>
        <v>-2579.9886846236896</v>
      </c>
      <c r="W321" s="121">
        <f>IF(OR(tblPiNHistorical[[#This Row],[SAL25]]="", tblPiNHistorical[[#This Row],[SAL25]]=0, tblPiNHistorical[[#This Row],[SAL26]]="", tblPiNHistorical[[#This Row],[SAL26]]=0), "", tblPiNHistorical[[#This Row],[SAL26]]-tblPiNHistorical[[#This Row],[SAL25]])</f>
        <v>3584.4264543105746</v>
      </c>
      <c r="X321" s="121">
        <f>IF(OR(tblPiNHistorical[[#This Row],[EDU25]]="", tblPiNHistorical[[#This Row],[EDU25]]=0, tblPiNHistorical[[#This Row],[EDU26]]="", tblPiNHistorical[[#This Row],[EDU26]]=0), "", tblPiNHistorical[[#This Row],[EDU26]]-tblPiNHistorical[[#This Row],[EDU25]])</f>
        <v>-15711.245655760373</v>
      </c>
      <c r="Y321" s="121">
        <f>IF(OR(tblPiNHistorical[[#This Row],[PRO25]]="", tblPiNHistorical[[#This Row],[PRO25]]=0, tblPiNHistorical[[#This Row],[PRO26]]="", tblPiNHistorical[[#This Row],[PRO26]]=0), "", tblPiNHistorical[[#This Row],[PRO26]]-tblPiNHistorical[[#This Row],[PRO25]])</f>
        <v>-25326.970719661895</v>
      </c>
      <c r="Z321" s="223" t="str">
        <f>IF(OR(tblPiNHistorical[[#This Row],[ASH25]]="", tblPiNHistorical[[#This Row],[ASH25]]=0, tblPiNHistorical[[#This Row],[ASH26]]="", tblPiNHistorical[[#This Row],[ASH26]]=0), "", tblPiNHistorical[[#This Row],[ASH26]]-tblPiNHistorical[[#This Row],[ASH25]])</f>
        <v/>
      </c>
      <c r="AA32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32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-0.5</v>
      </c>
      <c r="AC32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0.1</v>
      </c>
      <c r="AD32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-0.7</v>
      </c>
      <c r="AE32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-0.6</v>
      </c>
      <c r="AF32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64365</v>
      </c>
    </row>
    <row r="322" spans="1:32">
      <c r="A32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VenezolanosVE2306</v>
      </c>
      <c r="B322" s="105" t="s">
        <v>705</v>
      </c>
      <c r="C322" s="104" t="s">
        <v>706</v>
      </c>
      <c r="D322" s="119" t="s">
        <v>717</v>
      </c>
      <c r="E322" s="104" t="s">
        <v>718</v>
      </c>
      <c r="F322" s="119"/>
      <c r="G322" s="102">
        <v>33942</v>
      </c>
      <c r="H322" s="102" t="s">
        <v>102</v>
      </c>
      <c r="I322" s="206">
        <v>5773</v>
      </c>
      <c r="J322" s="120">
        <v>1498</v>
      </c>
      <c r="K322" s="207">
        <v>8836.8877066841287</v>
      </c>
      <c r="L322" s="207">
        <v>6565.028491825271</v>
      </c>
      <c r="M322" s="207">
        <v>27151.447961557504</v>
      </c>
      <c r="N322" s="298">
        <v>6788</v>
      </c>
      <c r="O322" s="114">
        <f>tblPiNAnalysis[[#This Row],[SAMV]]</f>
        <v>7657</v>
      </c>
      <c r="P322" s="115">
        <f>tblPiNAnalysis[[#This Row],[NUT]]</f>
        <v>1001.228516096149</v>
      </c>
      <c r="Q322" s="115">
        <f>tblPiNAnalysis[[#This Row],[SAL]]</f>
        <v>10380.965</v>
      </c>
      <c r="R322" s="115">
        <f>tblPiNAnalysis[[#This Row],[EDU]]</f>
        <v>2668.9726598559719</v>
      </c>
      <c r="S322" s="115">
        <f>tblPiNAnalysis[[#This Row],[PRO]]</f>
        <v>3440.2848209782264</v>
      </c>
      <c r="T322" s="116">
        <f>tblPiNAnalysis[[#This Row],[ASH]]</f>
        <v>0</v>
      </c>
      <c r="U322" s="300">
        <f>IF(OR(tblPiNHistorical[[#This Row],[SAMV25]]="", tblPiNHistorical[[#This Row],[SAMV25]]=0, tblPiNHistorical[[#This Row],[SAMV26]]="", tblPiNHistorical[[#This Row],[SAMV26]]=0), "", tblPiNHistorical[[#This Row],[SAMV26]]-tblPiNHistorical[[#This Row],[SAMV25]])</f>
        <v>1884</v>
      </c>
      <c r="V322" s="121">
        <f>IF(OR(tblPiNHistorical[[#This Row],[NUT25]]="", tblPiNHistorical[[#This Row],[NUT25]]=0, tblPiNHistorical[[#This Row],[NUT26]]="", tblPiNHistorical[[#This Row],[NUT26]]=0), "", tblPiNHistorical[[#This Row],[NUT26]]-tblPiNHistorical[[#This Row],[NUT25]])</f>
        <v>-496.77148390385105</v>
      </c>
      <c r="W322" s="121">
        <f>IF(OR(tblPiNHistorical[[#This Row],[SAL25]]="", tblPiNHistorical[[#This Row],[SAL25]]=0, tblPiNHistorical[[#This Row],[SAL26]]="", tblPiNHistorical[[#This Row],[SAL26]]=0), "", tblPiNHistorical[[#This Row],[SAL26]]-tblPiNHistorical[[#This Row],[SAL25]])</f>
        <v>1544.0772933158714</v>
      </c>
      <c r="X322" s="121">
        <f>IF(OR(tblPiNHistorical[[#This Row],[EDU25]]="", tblPiNHistorical[[#This Row],[EDU25]]=0, tblPiNHistorical[[#This Row],[EDU26]]="", tblPiNHistorical[[#This Row],[EDU26]]=0), "", tblPiNHistorical[[#This Row],[EDU26]]-tblPiNHistorical[[#This Row],[EDU25]])</f>
        <v>-3896.0558319692991</v>
      </c>
      <c r="Y322" s="121">
        <f>IF(OR(tblPiNHistorical[[#This Row],[PRO25]]="", tblPiNHistorical[[#This Row],[PRO25]]=0, tblPiNHistorical[[#This Row],[PRO26]]="", tblPiNHistorical[[#This Row],[PRO26]]=0), "", tblPiNHistorical[[#This Row],[PRO26]]-tblPiNHistorical[[#This Row],[PRO25]])</f>
        <v>-23711.163140579276</v>
      </c>
      <c r="Z322" s="223" t="str">
        <f>IF(OR(tblPiNHistorical[[#This Row],[ASH25]]="", tblPiNHistorical[[#This Row],[ASH25]]=0, tblPiNHistorical[[#This Row],[ASH26]]="", tblPiNHistorical[[#This Row],[ASH26]]=0), "", tblPiNHistorical[[#This Row],[ASH26]]-tblPiNHistorical[[#This Row],[ASH25]])</f>
        <v/>
      </c>
      <c r="AA32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0.3</v>
      </c>
      <c r="AB32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-0.3</v>
      </c>
      <c r="AC32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32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32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32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6788</v>
      </c>
    </row>
    <row r="323" spans="1:32">
      <c r="A32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VenezolanosVE2307</v>
      </c>
      <c r="B323" s="105" t="s">
        <v>705</v>
      </c>
      <c r="C323" s="104" t="s">
        <v>706</v>
      </c>
      <c r="D323" s="119" t="s">
        <v>719</v>
      </c>
      <c r="E323" s="104" t="s">
        <v>720</v>
      </c>
      <c r="F323" s="119"/>
      <c r="G323" s="102">
        <v>118756</v>
      </c>
      <c r="H323" s="102" t="s">
        <v>102</v>
      </c>
      <c r="I323" s="206">
        <v>20200</v>
      </c>
      <c r="J323" s="120">
        <v>5354</v>
      </c>
      <c r="K323" s="207">
        <v>30918.703641079148</v>
      </c>
      <c r="L323" s="207">
        <v>21712.846298905049</v>
      </c>
      <c r="M323" s="207">
        <v>45903.602002913678</v>
      </c>
      <c r="N323" s="298">
        <v>23751</v>
      </c>
      <c r="O323" s="114">
        <f>tblPiNAnalysis[[#This Row],[SAMV]]</f>
        <v>1108</v>
      </c>
      <c r="P323" s="115">
        <f>tblPiNAnalysis[[#This Row],[NUT]]</f>
        <v>154.43348450889914</v>
      </c>
      <c r="Q323" s="115">
        <f>tblPiNAnalysis[[#This Row],[SAL]]</f>
        <v>1699.44</v>
      </c>
      <c r="R323" s="115">
        <f>tblPiNAnalysis[[#This Row],[EDU]]</f>
        <v>937.93561225383792</v>
      </c>
      <c r="S323" s="115">
        <f>tblPiNAnalysis[[#This Row],[PRO]]</f>
        <v>563.19982161227165</v>
      </c>
      <c r="T323" s="116">
        <f>tblPiNAnalysis[[#This Row],[ASH]]</f>
        <v>0</v>
      </c>
      <c r="U323" s="300">
        <f>IF(OR(tblPiNHistorical[[#This Row],[SAMV25]]="", tblPiNHistorical[[#This Row],[SAMV25]]=0, tblPiNHistorical[[#This Row],[SAMV26]]="", tblPiNHistorical[[#This Row],[SAMV26]]=0), "", tblPiNHistorical[[#This Row],[SAMV26]]-tblPiNHistorical[[#This Row],[SAMV25]])</f>
        <v>-19092</v>
      </c>
      <c r="V323" s="121">
        <f>IF(OR(tblPiNHistorical[[#This Row],[NUT25]]="", tblPiNHistorical[[#This Row],[NUT25]]=0, tblPiNHistorical[[#This Row],[NUT26]]="", tblPiNHistorical[[#This Row],[NUT26]]=0), "", tblPiNHistorical[[#This Row],[NUT26]]-tblPiNHistorical[[#This Row],[NUT25]])</f>
        <v>-5199.5665154911012</v>
      </c>
      <c r="W323" s="121">
        <f>IF(OR(tblPiNHistorical[[#This Row],[SAL25]]="", tblPiNHistorical[[#This Row],[SAL25]]=0, tblPiNHistorical[[#This Row],[SAL26]]="", tblPiNHistorical[[#This Row],[SAL26]]=0), "", tblPiNHistorical[[#This Row],[SAL26]]-tblPiNHistorical[[#This Row],[SAL25]])</f>
        <v>-29219.263641079149</v>
      </c>
      <c r="X323" s="121">
        <f>IF(OR(tblPiNHistorical[[#This Row],[EDU25]]="", tblPiNHistorical[[#This Row],[EDU25]]=0, tblPiNHistorical[[#This Row],[EDU26]]="", tblPiNHistorical[[#This Row],[EDU26]]=0), "", tblPiNHistorical[[#This Row],[EDU26]]-tblPiNHistorical[[#This Row],[EDU25]])</f>
        <v>-20774.910686651212</v>
      </c>
      <c r="Y323" s="121">
        <f>IF(OR(tblPiNHistorical[[#This Row],[PRO25]]="", tblPiNHistorical[[#This Row],[PRO25]]=0, tblPiNHistorical[[#This Row],[PRO26]]="", tblPiNHistorical[[#This Row],[PRO26]]=0), "", tblPiNHistorical[[#This Row],[PRO26]]-tblPiNHistorical[[#This Row],[PRO25]])</f>
        <v>-45340.402181301404</v>
      </c>
      <c r="Z323" s="223" t="str">
        <f>IF(OR(tblPiNHistorical[[#This Row],[ASH25]]="", tblPiNHistorical[[#This Row],[ASH25]]=0, tblPiNHistorical[[#This Row],[ASH26]]="", tblPiNHistorical[[#This Row],[ASH26]]=0), "", tblPiNHistorical[[#This Row],[ASH26]]-tblPiNHistorical[[#This Row],[ASH25]])</f>
        <v/>
      </c>
      <c r="AA32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32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v>
      </c>
      <c r="AC32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-0.9</v>
      </c>
      <c r="AD32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32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32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23751</v>
      </c>
    </row>
    <row r="324" spans="1:32">
      <c r="A32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VenezolanosVE2308</v>
      </c>
      <c r="B324" s="105" t="s">
        <v>705</v>
      </c>
      <c r="C324" s="104" t="s">
        <v>706</v>
      </c>
      <c r="D324" s="119" t="s">
        <v>721</v>
      </c>
      <c r="E324" s="104" t="s">
        <v>722</v>
      </c>
      <c r="F324" s="119"/>
      <c r="G324" s="102">
        <v>30484</v>
      </c>
      <c r="H324" s="102" t="s">
        <v>102</v>
      </c>
      <c r="I324" s="206">
        <v>5185</v>
      </c>
      <c r="J324" s="120">
        <v>1378</v>
      </c>
      <c r="K324" s="207">
        <v>7937.2471597989197</v>
      </c>
      <c r="L324" s="207">
        <v>6601.9057924055487</v>
      </c>
      <c r="M324" s="207">
        <v>14902.107739773908</v>
      </c>
      <c r="N324" s="298">
        <v>6097</v>
      </c>
      <c r="O324" s="114">
        <f>tblPiNAnalysis[[#This Row],[SAMV]]</f>
        <v>665</v>
      </c>
      <c r="P324" s="115">
        <f>tblPiNAnalysis[[#This Row],[NUT]]</f>
        <v>191.19198544738322</v>
      </c>
      <c r="Q324" s="115">
        <f>tblPiNAnalysis[[#This Row],[SAL]]</f>
        <v>1988.885</v>
      </c>
      <c r="R324" s="115">
        <f>tblPiNAnalysis[[#This Row],[EDU]]</f>
        <v>423.40729764383741</v>
      </c>
      <c r="S324" s="115">
        <f>tblPiNAnalysis[[#This Row],[PRO]]</f>
        <v>659.12281528463677</v>
      </c>
      <c r="T324" s="116">
        <f>tblPiNAnalysis[[#This Row],[ASH]]</f>
        <v>0</v>
      </c>
      <c r="U324" s="300">
        <f>IF(OR(tblPiNHistorical[[#This Row],[SAMV25]]="", tblPiNHistorical[[#This Row],[SAMV25]]=0, tblPiNHistorical[[#This Row],[SAMV26]]="", tblPiNHistorical[[#This Row],[SAMV26]]=0), "", tblPiNHistorical[[#This Row],[SAMV26]]-tblPiNHistorical[[#This Row],[SAMV25]])</f>
        <v>-4520</v>
      </c>
      <c r="V324" s="121">
        <f>IF(OR(tblPiNHistorical[[#This Row],[NUT25]]="", tblPiNHistorical[[#This Row],[NUT25]]=0, tblPiNHistorical[[#This Row],[NUT26]]="", tblPiNHistorical[[#This Row],[NUT26]]=0), "", tblPiNHistorical[[#This Row],[NUT26]]-tblPiNHistorical[[#This Row],[NUT25]])</f>
        <v>-1186.8080145526169</v>
      </c>
      <c r="W324" s="121">
        <f>IF(OR(tblPiNHistorical[[#This Row],[SAL25]]="", tblPiNHistorical[[#This Row],[SAL25]]=0, tblPiNHistorical[[#This Row],[SAL26]]="", tblPiNHistorical[[#This Row],[SAL26]]=0), "", tblPiNHistorical[[#This Row],[SAL26]]-tblPiNHistorical[[#This Row],[SAL25]])</f>
        <v>-5948.3621597989195</v>
      </c>
      <c r="X324" s="121">
        <f>IF(OR(tblPiNHistorical[[#This Row],[EDU25]]="", tblPiNHistorical[[#This Row],[EDU25]]=0, tblPiNHistorical[[#This Row],[EDU26]]="", tblPiNHistorical[[#This Row],[EDU26]]=0), "", tblPiNHistorical[[#This Row],[EDU26]]-tblPiNHistorical[[#This Row],[EDU25]])</f>
        <v>-6178.4984947617113</v>
      </c>
      <c r="Y324" s="121">
        <f>IF(OR(tblPiNHistorical[[#This Row],[PRO25]]="", tblPiNHistorical[[#This Row],[PRO25]]=0, tblPiNHistorical[[#This Row],[PRO26]]="", tblPiNHistorical[[#This Row],[PRO26]]=0), "", tblPiNHistorical[[#This Row],[PRO26]]-tblPiNHistorical[[#This Row],[PRO25]])</f>
        <v>-14242.984924489272</v>
      </c>
      <c r="Z324" s="223" t="str">
        <f>IF(OR(tblPiNHistorical[[#This Row],[ASH25]]="", tblPiNHistorical[[#This Row],[ASH25]]=0, tblPiNHistorical[[#This Row],[ASH26]]="", tblPiNHistorical[[#This Row],[ASH26]]=0), "", tblPiNHistorical[[#This Row],[ASH26]]-tblPiNHistorical[[#This Row],[ASH25]])</f>
        <v/>
      </c>
      <c r="AA32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32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32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-0.7</v>
      </c>
      <c r="AD32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32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32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6097</v>
      </c>
    </row>
    <row r="325" spans="1:32">
      <c r="A32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VenezolanosVE2309</v>
      </c>
      <c r="B325" s="105" t="s">
        <v>705</v>
      </c>
      <c r="C325" s="104" t="s">
        <v>706</v>
      </c>
      <c r="D325" s="119" t="s">
        <v>723</v>
      </c>
      <c r="E325" s="104" t="s">
        <v>724</v>
      </c>
      <c r="F325" s="119"/>
      <c r="G325" s="102">
        <v>82210</v>
      </c>
      <c r="H325" s="102" t="s">
        <v>102</v>
      </c>
      <c r="I325" s="206">
        <v>13984</v>
      </c>
      <c r="J325" s="120">
        <v>3519</v>
      </c>
      <c r="K325" s="207">
        <v>21404.113143569597</v>
      </c>
      <c r="L325" s="207">
        <v>14839.610758500738</v>
      </c>
      <c r="M325" s="207">
        <v>65762.787605905425</v>
      </c>
      <c r="N325" s="298">
        <v>0</v>
      </c>
      <c r="O325" s="114">
        <f>tblPiNAnalysis[[#This Row],[SAMV]]</f>
        <v>259</v>
      </c>
      <c r="P325" s="115">
        <f>tblPiNAnalysis[[#This Row],[NUT]]</f>
        <v>743.2191414822812</v>
      </c>
      <c r="Q325" s="115">
        <f>tblPiNAnalysis[[#This Row],[SAL]]</f>
        <v>7948.24</v>
      </c>
      <c r="R325" s="115">
        <f>tblPiNAnalysis[[#This Row],[EDU]]</f>
        <v>1742.9427233950278</v>
      </c>
      <c r="S325" s="115">
        <f>tblPiNAnalysis[[#This Row],[PRO]]</f>
        <v>2634.0720179185632</v>
      </c>
      <c r="T325" s="116">
        <f>tblPiNAnalysis[[#This Row],[ASH]]</f>
        <v>0</v>
      </c>
      <c r="U325" s="300">
        <f>IF(OR(tblPiNHistorical[[#This Row],[SAMV25]]="", tblPiNHistorical[[#This Row],[SAMV25]]=0, tblPiNHistorical[[#This Row],[SAMV26]]="", tblPiNHistorical[[#This Row],[SAMV26]]=0), "", tblPiNHistorical[[#This Row],[SAMV26]]-tblPiNHistorical[[#This Row],[SAMV25]])</f>
        <v>-13725</v>
      </c>
      <c r="V325" s="121">
        <f>IF(OR(tblPiNHistorical[[#This Row],[NUT25]]="", tblPiNHistorical[[#This Row],[NUT25]]=0, tblPiNHistorical[[#This Row],[NUT26]]="", tblPiNHistorical[[#This Row],[NUT26]]=0), "", tblPiNHistorical[[#This Row],[NUT26]]-tblPiNHistorical[[#This Row],[NUT25]])</f>
        <v>-2775.780858517719</v>
      </c>
      <c r="W325" s="121">
        <f>IF(OR(tblPiNHistorical[[#This Row],[SAL25]]="", tblPiNHistorical[[#This Row],[SAL25]]=0, tblPiNHistorical[[#This Row],[SAL26]]="", tblPiNHistorical[[#This Row],[SAL26]]=0), "", tblPiNHistorical[[#This Row],[SAL26]]-tblPiNHistorical[[#This Row],[SAL25]])</f>
        <v>-13455.873143569597</v>
      </c>
      <c r="X325" s="121">
        <f>IF(OR(tblPiNHistorical[[#This Row],[EDU25]]="", tblPiNHistorical[[#This Row],[EDU25]]=0, tblPiNHistorical[[#This Row],[EDU26]]="", tblPiNHistorical[[#This Row],[EDU26]]=0), "", tblPiNHistorical[[#This Row],[EDU26]]-tblPiNHistorical[[#This Row],[EDU25]])</f>
        <v>-13096.668035105709</v>
      </c>
      <c r="Y325" s="121">
        <f>IF(OR(tblPiNHistorical[[#This Row],[PRO25]]="", tblPiNHistorical[[#This Row],[PRO25]]=0, tblPiNHistorical[[#This Row],[PRO26]]="", tblPiNHistorical[[#This Row],[PRO26]]=0), "", tblPiNHistorical[[#This Row],[PRO26]]-tblPiNHistorical[[#This Row],[PRO25]])</f>
        <v>-63128.715587986859</v>
      </c>
      <c r="Z325" s="223" t="str">
        <f>IF(OR(tblPiNHistorical[[#This Row],[ASH25]]="", tblPiNHistorical[[#This Row],[ASH25]]=0, tblPiNHistorical[[#This Row],[ASH26]]="", tblPiNHistorical[[#This Row],[ASH26]]=0), "", tblPiNHistorical[[#This Row],[ASH26]]-tblPiNHistorical[[#This Row],[ASH25]])</f>
        <v/>
      </c>
      <c r="AA32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32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32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-0.6</v>
      </c>
      <c r="AD32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32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32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26" spans="1:32">
      <c r="A32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VenezolanosVE2310</v>
      </c>
      <c r="B326" s="105" t="s">
        <v>705</v>
      </c>
      <c r="C326" s="104" t="s">
        <v>706</v>
      </c>
      <c r="D326" s="119" t="s">
        <v>725</v>
      </c>
      <c r="E326" s="104" t="s">
        <v>726</v>
      </c>
      <c r="F326" s="119"/>
      <c r="G326" s="102">
        <v>203435</v>
      </c>
      <c r="H326" s="102" t="s">
        <v>102</v>
      </c>
      <c r="I326" s="206">
        <v>34604</v>
      </c>
      <c r="J326" s="120">
        <v>8875</v>
      </c>
      <c r="K326" s="207">
        <v>52965.841801089831</v>
      </c>
      <c r="L326" s="207">
        <v>29876.997357891803</v>
      </c>
      <c r="M326" s="207">
        <v>33384.437820300853</v>
      </c>
      <c r="N326" s="298">
        <v>0</v>
      </c>
      <c r="O326" s="114">
        <f>tblPiNAnalysis[[#This Row],[SAMV]]</f>
        <v>2241</v>
      </c>
      <c r="P326" s="115">
        <f>tblPiNAnalysis[[#This Row],[NUT]]</f>
        <v>474.06319783198478</v>
      </c>
      <c r="Q326" s="115">
        <f>tblPiNAnalysis[[#This Row],[SAL]]</f>
        <v>9850</v>
      </c>
      <c r="R326" s="115">
        <f>tblPiNAnalysis[[#This Row],[EDU]]</f>
        <v>1690.5300263777835</v>
      </c>
      <c r="S326" s="115">
        <f>tblPiNAnalysis[[#This Row],[PRO]]</f>
        <v>1559.3232174406776</v>
      </c>
      <c r="T326" s="116">
        <f>tblPiNAnalysis[[#This Row],[ASH]]</f>
        <v>870.14249999999993</v>
      </c>
      <c r="U326" s="300">
        <f>IF(OR(tblPiNHistorical[[#This Row],[SAMV25]]="", tblPiNHistorical[[#This Row],[SAMV25]]=0, tblPiNHistorical[[#This Row],[SAMV26]]="", tblPiNHistorical[[#This Row],[SAMV26]]=0), "", tblPiNHistorical[[#This Row],[SAMV26]]-tblPiNHistorical[[#This Row],[SAMV25]])</f>
        <v>-32363</v>
      </c>
      <c r="V326" s="121">
        <f>IF(OR(tblPiNHistorical[[#This Row],[NUT25]]="", tblPiNHistorical[[#This Row],[NUT25]]=0, tblPiNHistorical[[#This Row],[NUT26]]="", tblPiNHistorical[[#This Row],[NUT26]]=0), "", tblPiNHistorical[[#This Row],[NUT26]]-tblPiNHistorical[[#This Row],[NUT25]])</f>
        <v>-8400.9368021680148</v>
      </c>
      <c r="W326" s="121">
        <f>IF(OR(tblPiNHistorical[[#This Row],[SAL25]]="", tblPiNHistorical[[#This Row],[SAL25]]=0, tblPiNHistorical[[#This Row],[SAL26]]="", tblPiNHistorical[[#This Row],[SAL26]]=0), "", tblPiNHistorical[[#This Row],[SAL26]]-tblPiNHistorical[[#This Row],[SAL25]])</f>
        <v>-43115.841801089831</v>
      </c>
      <c r="X326" s="121">
        <f>IF(OR(tblPiNHistorical[[#This Row],[EDU25]]="", tblPiNHistorical[[#This Row],[EDU25]]=0, tblPiNHistorical[[#This Row],[EDU26]]="", tblPiNHistorical[[#This Row],[EDU26]]=0), "", tblPiNHistorical[[#This Row],[EDU26]]-tblPiNHistorical[[#This Row],[EDU25]])</f>
        <v>-28186.467331514021</v>
      </c>
      <c r="Y326" s="121">
        <f>IF(OR(tblPiNHistorical[[#This Row],[PRO25]]="", tblPiNHistorical[[#This Row],[PRO25]]=0, tblPiNHistorical[[#This Row],[PRO26]]="", tblPiNHistorical[[#This Row],[PRO26]]=0), "", tblPiNHistorical[[#This Row],[PRO26]]-tblPiNHistorical[[#This Row],[PRO25]])</f>
        <v>-31825.114602860176</v>
      </c>
      <c r="Z326" s="223" t="str">
        <f>IF(OR(tblPiNHistorical[[#This Row],[ASH25]]="", tblPiNHistorical[[#This Row],[ASH25]]=0, tblPiNHistorical[[#This Row],[ASH26]]="", tblPiNHistorical[[#This Row],[ASH26]]=0), "", tblPiNHistorical[[#This Row],[ASH26]]-tblPiNHistorical[[#This Row],[ASH25]])</f>
        <v/>
      </c>
      <c r="AA32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32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32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32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32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-1</v>
      </c>
      <c r="AF32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New26 870.1425</v>
      </c>
    </row>
    <row r="327" spans="1:32">
      <c r="A32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VenezolanosVE2311</v>
      </c>
      <c r="B327" s="105" t="s">
        <v>705</v>
      </c>
      <c r="C327" s="104" t="s">
        <v>706</v>
      </c>
      <c r="D327" s="119" t="s">
        <v>727</v>
      </c>
      <c r="E327" s="104" t="s">
        <v>728</v>
      </c>
      <c r="F327" s="119"/>
      <c r="G327" s="102">
        <v>122734</v>
      </c>
      <c r="H327" s="102" t="s">
        <v>102</v>
      </c>
      <c r="I327" s="206">
        <v>20877</v>
      </c>
      <c r="J327" s="120">
        <v>5792</v>
      </c>
      <c r="K327" s="207">
        <v>31955.073698394048</v>
      </c>
      <c r="L327" s="207">
        <v>22116.47630620619</v>
      </c>
      <c r="M327" s="207">
        <v>45903.602002913678</v>
      </c>
      <c r="N327" s="298">
        <v>61367</v>
      </c>
      <c r="O327" s="114">
        <f>tblPiNAnalysis[[#This Row],[SAMV]]</f>
        <v>2917</v>
      </c>
      <c r="P327" s="115">
        <f>tblPiNAnalysis[[#This Row],[NUT]]</f>
        <v>1571.4522412250521</v>
      </c>
      <c r="Q327" s="115">
        <f>tblPiNAnalysis[[#This Row],[SAL]]</f>
        <v>17747.395</v>
      </c>
      <c r="R327" s="115">
        <f>tblPiNAnalysis[[#This Row],[EDU]]</f>
        <v>4229.6640949479497</v>
      </c>
      <c r="S327" s="115">
        <f>tblPiNAnalysis[[#This Row],[PRO]]</f>
        <v>5881.5431542640636</v>
      </c>
      <c r="T327" s="116">
        <f>tblPiNAnalysis[[#This Row],[ASH]]</f>
        <v>0</v>
      </c>
      <c r="U327" s="300">
        <f>IF(OR(tblPiNHistorical[[#This Row],[SAMV25]]="", tblPiNHistorical[[#This Row],[SAMV25]]=0, tblPiNHistorical[[#This Row],[SAMV26]]="", tblPiNHistorical[[#This Row],[SAMV26]]=0), "", tblPiNHistorical[[#This Row],[SAMV26]]-tblPiNHistorical[[#This Row],[SAMV25]])</f>
        <v>-17960</v>
      </c>
      <c r="V327" s="121">
        <f>IF(OR(tblPiNHistorical[[#This Row],[NUT25]]="", tblPiNHistorical[[#This Row],[NUT25]]=0, tblPiNHistorical[[#This Row],[NUT26]]="", tblPiNHistorical[[#This Row],[NUT26]]=0), "", tblPiNHistorical[[#This Row],[NUT26]]-tblPiNHistorical[[#This Row],[NUT25]])</f>
        <v>-4220.5477587749483</v>
      </c>
      <c r="W327" s="121">
        <f>IF(OR(tblPiNHistorical[[#This Row],[SAL25]]="", tblPiNHistorical[[#This Row],[SAL25]]=0, tblPiNHistorical[[#This Row],[SAL26]]="", tblPiNHistorical[[#This Row],[SAL26]]=0), "", tblPiNHistorical[[#This Row],[SAL26]]-tblPiNHistorical[[#This Row],[SAL25]])</f>
        <v>-14207.678698394047</v>
      </c>
      <c r="X327" s="121">
        <f>IF(OR(tblPiNHistorical[[#This Row],[EDU25]]="", tblPiNHistorical[[#This Row],[EDU25]]=0, tblPiNHistorical[[#This Row],[EDU26]]="", tblPiNHistorical[[#This Row],[EDU26]]=0), "", tblPiNHistorical[[#This Row],[EDU26]]-tblPiNHistorical[[#This Row],[EDU25]])</f>
        <v>-17886.812211258242</v>
      </c>
      <c r="Y327" s="121">
        <f>IF(OR(tblPiNHistorical[[#This Row],[PRO25]]="", tblPiNHistorical[[#This Row],[PRO25]]=0, tblPiNHistorical[[#This Row],[PRO26]]="", tblPiNHistorical[[#This Row],[PRO26]]=0), "", tblPiNHistorical[[#This Row],[PRO26]]-tblPiNHistorical[[#This Row],[PRO25]])</f>
        <v>-40022.058848649613</v>
      </c>
      <c r="Z327" s="223" t="str">
        <f>IF(OR(tblPiNHistorical[[#This Row],[ASH25]]="", tblPiNHistorical[[#This Row],[ASH25]]=0, tblPiNHistorical[[#This Row],[ASH26]]="", tblPiNHistorical[[#This Row],[ASH26]]=0), "", tblPiNHistorical[[#This Row],[ASH26]]-tblPiNHistorical[[#This Row],[ASH25]])</f>
        <v/>
      </c>
      <c r="AA32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-0.9</v>
      </c>
      <c r="AB32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32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32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32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32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61367</v>
      </c>
    </row>
    <row r="328" spans="1:32">
      <c r="A32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VenezolanosVE2312</v>
      </c>
      <c r="B328" s="105" t="s">
        <v>705</v>
      </c>
      <c r="C328" s="104" t="s">
        <v>706</v>
      </c>
      <c r="D328" s="119" t="s">
        <v>729</v>
      </c>
      <c r="E328" s="104" t="s">
        <v>730</v>
      </c>
      <c r="F328" s="119"/>
      <c r="G328" s="102">
        <v>207221</v>
      </c>
      <c r="H328" s="102" t="s">
        <v>102</v>
      </c>
      <c r="I328" s="206">
        <v>35248</v>
      </c>
      <c r="J328" s="120">
        <v>9675</v>
      </c>
      <c r="K328" s="207">
        <v>53951.681387158977</v>
      </c>
      <c r="L328" s="207">
        <v>41049.267619545688</v>
      </c>
      <c r="M328" s="207">
        <v>45903.602002913678</v>
      </c>
      <c r="N328" s="298">
        <v>103611</v>
      </c>
      <c r="O328" s="114">
        <f>tblPiNAnalysis[[#This Row],[SAMV]]</f>
        <v>663</v>
      </c>
      <c r="P328" s="115">
        <f>tblPiNAnalysis[[#This Row],[NUT]]</f>
        <v>869.01905017355637</v>
      </c>
      <c r="Q328" s="115">
        <f>tblPiNAnalysis[[#This Row],[SAL]]</f>
        <v>10643.4</v>
      </c>
      <c r="R328" s="115">
        <f>tblPiNAnalysis[[#This Row],[EDU]]</f>
        <v>3570.5693405609359</v>
      </c>
      <c r="S328" s="115">
        <f>tblPiNAnalysis[[#This Row],[PRO]]</f>
        <v>5878.7610245610849</v>
      </c>
      <c r="T328" s="116">
        <f>tblPiNAnalysis[[#This Row],[ASH]]</f>
        <v>0</v>
      </c>
      <c r="U328" s="300">
        <f>IF(OR(tblPiNHistorical[[#This Row],[SAMV25]]="", tblPiNHistorical[[#This Row],[SAMV25]]=0, tblPiNHistorical[[#This Row],[SAMV26]]="", tblPiNHistorical[[#This Row],[SAMV26]]=0), "", tblPiNHistorical[[#This Row],[SAMV26]]-tblPiNHistorical[[#This Row],[SAMV25]])</f>
        <v>-34585</v>
      </c>
      <c r="V328" s="121">
        <f>IF(OR(tblPiNHistorical[[#This Row],[NUT25]]="", tblPiNHistorical[[#This Row],[NUT25]]=0, tblPiNHistorical[[#This Row],[NUT26]]="", tblPiNHistorical[[#This Row],[NUT26]]=0), "", tblPiNHistorical[[#This Row],[NUT26]]-tblPiNHistorical[[#This Row],[NUT25]])</f>
        <v>-8805.980949826444</v>
      </c>
      <c r="W328" s="121">
        <f>IF(OR(tblPiNHistorical[[#This Row],[SAL25]]="", tblPiNHistorical[[#This Row],[SAL25]]=0, tblPiNHistorical[[#This Row],[SAL26]]="", tblPiNHistorical[[#This Row],[SAL26]]=0), "", tblPiNHistorical[[#This Row],[SAL26]]-tblPiNHistorical[[#This Row],[SAL25]])</f>
        <v>-43308.281387158975</v>
      </c>
      <c r="X328" s="121">
        <f>IF(OR(tblPiNHistorical[[#This Row],[EDU25]]="", tblPiNHistorical[[#This Row],[EDU25]]=0, tblPiNHistorical[[#This Row],[EDU26]]="", tblPiNHistorical[[#This Row],[EDU26]]=0), "", tblPiNHistorical[[#This Row],[EDU26]]-tblPiNHistorical[[#This Row],[EDU25]])</f>
        <v>-37478.698278984753</v>
      </c>
      <c r="Y328" s="121">
        <f>IF(OR(tblPiNHistorical[[#This Row],[PRO25]]="", tblPiNHistorical[[#This Row],[PRO25]]=0, tblPiNHistorical[[#This Row],[PRO26]]="", tblPiNHistorical[[#This Row],[PRO26]]=0), "", tblPiNHistorical[[#This Row],[PRO26]]-tblPiNHistorical[[#This Row],[PRO25]])</f>
        <v>-40024.840978352593</v>
      </c>
      <c r="Z328" s="223" t="str">
        <f>IF(OR(tblPiNHistorical[[#This Row],[ASH25]]="", tblPiNHistorical[[#This Row],[ASH25]]=0, tblPiNHistorical[[#This Row],[ASH26]]="", tblPiNHistorical[[#This Row],[ASH26]]=0), "", tblPiNHistorical[[#This Row],[ASH26]]-tblPiNHistorical[[#This Row],[ASH25]])</f>
        <v/>
      </c>
      <c r="AA328"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328"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328"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328"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328"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328"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103611</v>
      </c>
    </row>
    <row r="329" spans="1:32">
      <c r="A329"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VenezolanosVE2313</v>
      </c>
      <c r="B329" s="105" t="s">
        <v>705</v>
      </c>
      <c r="C329" s="104" t="s">
        <v>706</v>
      </c>
      <c r="D329" s="119" t="s">
        <v>731</v>
      </c>
      <c r="E329" s="104" t="s">
        <v>732</v>
      </c>
      <c r="F329" s="119"/>
      <c r="G329" s="102">
        <v>1459448</v>
      </c>
      <c r="H329" s="102" t="s">
        <v>102</v>
      </c>
      <c r="I329" s="206">
        <v>248249</v>
      </c>
      <c r="J329" s="120">
        <v>59642</v>
      </c>
      <c r="K329" s="207">
        <v>379979.23583254067</v>
      </c>
      <c r="L329" s="207">
        <v>212454.04420974551</v>
      </c>
      <c r="M329" s="207">
        <v>45903.602002913678</v>
      </c>
      <c r="N329" s="298">
        <v>0</v>
      </c>
      <c r="O329" s="114">
        <f>tblPiNAnalysis[[#This Row],[SAMV]]</f>
        <v>1836</v>
      </c>
      <c r="P329" s="115">
        <f>tblPiNAnalysis[[#This Row],[NUT]]</f>
        <v>2694.311065042511</v>
      </c>
      <c r="Q329" s="115">
        <f>tblPiNAnalysis[[#This Row],[SAL]]</f>
        <v>20680.169999999998</v>
      </c>
      <c r="R329" s="115">
        <f>tblPiNAnalysis[[#This Row],[EDU]]</f>
        <v>8724.4156836071579</v>
      </c>
      <c r="S329" s="115">
        <f>tblPiNAnalysis[[#This Row],[PRO]]</f>
        <v>13706.948235785261</v>
      </c>
      <c r="T329" s="116">
        <f>tblPiNAnalysis[[#This Row],[ASH]]</f>
        <v>0</v>
      </c>
      <c r="U329" s="300">
        <f>IF(OR(tblPiNHistorical[[#This Row],[SAMV25]]="", tblPiNHistorical[[#This Row],[SAMV25]]=0, tblPiNHistorical[[#This Row],[SAMV26]]="", tblPiNHistorical[[#This Row],[SAMV26]]=0), "", tblPiNHistorical[[#This Row],[SAMV26]]-tblPiNHistorical[[#This Row],[SAMV25]])</f>
        <v>-246413</v>
      </c>
      <c r="V329" s="121">
        <f>IF(OR(tblPiNHistorical[[#This Row],[NUT25]]="", tblPiNHistorical[[#This Row],[NUT25]]=0, tblPiNHistorical[[#This Row],[NUT26]]="", tblPiNHistorical[[#This Row],[NUT26]]=0), "", tblPiNHistorical[[#This Row],[NUT26]]-tblPiNHistorical[[#This Row],[NUT25]])</f>
        <v>-56947.688934957492</v>
      </c>
      <c r="W329" s="121">
        <f>IF(OR(tblPiNHistorical[[#This Row],[SAL25]]="", tblPiNHistorical[[#This Row],[SAL25]]=0, tblPiNHistorical[[#This Row],[SAL26]]="", tblPiNHistorical[[#This Row],[SAL26]]=0), "", tblPiNHistorical[[#This Row],[SAL26]]-tblPiNHistorical[[#This Row],[SAL25]])</f>
        <v>-359299.06583254068</v>
      </c>
      <c r="X329" s="121">
        <f>IF(OR(tblPiNHistorical[[#This Row],[EDU25]]="", tblPiNHistorical[[#This Row],[EDU25]]=0, tblPiNHistorical[[#This Row],[EDU26]]="", tblPiNHistorical[[#This Row],[EDU26]]=0), "", tblPiNHistorical[[#This Row],[EDU26]]-tblPiNHistorical[[#This Row],[EDU25]])</f>
        <v>-203729.62852613835</v>
      </c>
      <c r="Y329" s="121">
        <f>IF(OR(tblPiNHistorical[[#This Row],[PRO25]]="", tblPiNHistorical[[#This Row],[PRO25]]=0, tblPiNHistorical[[#This Row],[PRO26]]="", tblPiNHistorical[[#This Row],[PRO26]]=0), "", tblPiNHistorical[[#This Row],[PRO26]]-tblPiNHistorical[[#This Row],[PRO25]])</f>
        <v>-32196.653767128417</v>
      </c>
      <c r="Z329" s="223" t="str">
        <f>IF(OR(tblPiNHistorical[[#This Row],[ASH25]]="", tblPiNHistorical[[#This Row],[ASH25]]=0, tblPiNHistorical[[#This Row],[ASH26]]="", tblPiNHistorical[[#This Row],[ASH26]]=0), "", tblPiNHistorical[[#This Row],[ASH26]]-tblPiNHistorical[[#This Row],[ASH25]])</f>
        <v/>
      </c>
      <c r="AA329"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329"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-1</v>
      </c>
      <c r="AC329"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-0.9</v>
      </c>
      <c r="AD329"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-1</v>
      </c>
      <c r="AE329"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-0.7</v>
      </c>
      <c r="AF329"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30" spans="1:32">
      <c r="A330"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VenezolanosVE2314</v>
      </c>
      <c r="B330" s="105" t="s">
        <v>705</v>
      </c>
      <c r="C330" s="104" t="s">
        <v>706</v>
      </c>
      <c r="D330" s="119" t="s">
        <v>276</v>
      </c>
      <c r="E330" s="104" t="s">
        <v>733</v>
      </c>
      <c r="F330" s="119"/>
      <c r="G330" s="102">
        <v>97463</v>
      </c>
      <c r="H330" s="102" t="s">
        <v>102</v>
      </c>
      <c r="I330" s="206">
        <v>16578</v>
      </c>
      <c r="J330" s="120">
        <v>4323</v>
      </c>
      <c r="K330" s="207">
        <v>25375.213707353651</v>
      </c>
      <c r="L330" s="207">
        <v>15469.269431717064</v>
      </c>
      <c r="M330" s="207">
        <v>45903.602002913678</v>
      </c>
      <c r="N330" s="298">
        <v>19493</v>
      </c>
      <c r="O330" s="114">
        <f>tblPiNAnalysis[[#This Row],[SAMV]]</f>
        <v>12824</v>
      </c>
      <c r="P330" s="115">
        <f>tblPiNAnalysis[[#This Row],[NUT]]</f>
        <v>1187.199274164188</v>
      </c>
      <c r="Q330" s="115">
        <f>tblPiNAnalysis[[#This Row],[SAL]]</f>
        <v>12548.7</v>
      </c>
      <c r="R330" s="115">
        <f>tblPiNAnalysis[[#This Row],[EDU]]</f>
        <v>2620.5657708745589</v>
      </c>
      <c r="S330" s="115">
        <f>tblPiNAnalysis[[#This Row],[PRO]]</f>
        <v>8317.358190304938</v>
      </c>
      <c r="T330" s="116">
        <f>tblPiNAnalysis[[#This Row],[ASH]]</f>
        <v>0</v>
      </c>
      <c r="U330" s="300">
        <f>IF(OR(tblPiNHistorical[[#This Row],[SAMV25]]="", tblPiNHistorical[[#This Row],[SAMV25]]=0, tblPiNHistorical[[#This Row],[SAMV26]]="", tblPiNHistorical[[#This Row],[SAMV26]]=0), "", tblPiNHistorical[[#This Row],[SAMV26]]-tblPiNHistorical[[#This Row],[SAMV25]])</f>
        <v>-3754</v>
      </c>
      <c r="V330" s="121">
        <f>IF(OR(tblPiNHistorical[[#This Row],[NUT25]]="", tblPiNHistorical[[#This Row],[NUT25]]=0, tblPiNHistorical[[#This Row],[NUT26]]="", tblPiNHistorical[[#This Row],[NUT26]]=0), "", tblPiNHistorical[[#This Row],[NUT26]]-tblPiNHistorical[[#This Row],[NUT25]])</f>
        <v>-3135.800725835812</v>
      </c>
      <c r="W330" s="121">
        <f>IF(OR(tblPiNHistorical[[#This Row],[SAL25]]="", tblPiNHistorical[[#This Row],[SAL25]]=0, tblPiNHistorical[[#This Row],[SAL26]]="", tblPiNHistorical[[#This Row],[SAL26]]=0), "", tblPiNHistorical[[#This Row],[SAL26]]-tblPiNHistorical[[#This Row],[SAL25]])</f>
        <v>-12826.51370735365</v>
      </c>
      <c r="X330" s="121">
        <f>IF(OR(tblPiNHistorical[[#This Row],[EDU25]]="", tblPiNHistorical[[#This Row],[EDU25]]=0, tblPiNHistorical[[#This Row],[EDU26]]="", tblPiNHistorical[[#This Row],[EDU26]]=0), "", tblPiNHistorical[[#This Row],[EDU26]]-tblPiNHistorical[[#This Row],[EDU25]])</f>
        <v>-12848.703660842506</v>
      </c>
      <c r="Y330" s="121">
        <f>IF(OR(tblPiNHistorical[[#This Row],[PRO25]]="", tblPiNHistorical[[#This Row],[PRO25]]=0, tblPiNHistorical[[#This Row],[PRO26]]="", tblPiNHistorical[[#This Row],[PRO26]]=0), "", tblPiNHistorical[[#This Row],[PRO26]]-tblPiNHistorical[[#This Row],[PRO25]])</f>
        <v>-37586.243812608736</v>
      </c>
      <c r="Z330" s="223" t="str">
        <f>IF(OR(tblPiNHistorical[[#This Row],[ASH25]]="", tblPiNHistorical[[#This Row],[ASH25]]=0, tblPiNHistorical[[#This Row],[ASH26]]="", tblPiNHistorical[[#This Row],[ASH26]]=0), "", tblPiNHistorical[[#This Row],[ASH26]]-tblPiNHistorical[[#This Row],[ASH25]])</f>
        <v/>
      </c>
      <c r="AA330"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-0.2</v>
      </c>
      <c r="AB330"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330"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330"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330"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330"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19493</v>
      </c>
    </row>
    <row r="331" spans="1:32">
      <c r="A331"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VenezolanosVE2315</v>
      </c>
      <c r="B331" s="105" t="s">
        <v>705</v>
      </c>
      <c r="C331" s="104" t="s">
        <v>706</v>
      </c>
      <c r="D331" s="119" t="s">
        <v>734</v>
      </c>
      <c r="E331" s="104" t="s">
        <v>735</v>
      </c>
      <c r="F331" s="119"/>
      <c r="G331" s="102">
        <v>65545</v>
      </c>
      <c r="H331" s="102" t="s">
        <v>102</v>
      </c>
      <c r="I331" s="206">
        <v>11149</v>
      </c>
      <c r="J331" s="120">
        <v>3714</v>
      </c>
      <c r="K331" s="207">
        <v>17065.42817131152</v>
      </c>
      <c r="L331" s="207">
        <v>13251.73700494263</v>
      </c>
      <c r="M331" s="207">
        <v>32041.682581140296</v>
      </c>
      <c r="N331" s="298">
        <v>39327</v>
      </c>
      <c r="O331" s="114">
        <f>tblPiNAnalysis[[#This Row],[SAMV]]</f>
        <v>4654</v>
      </c>
      <c r="P331" s="115">
        <f>tblPiNAnalysis[[#This Row],[NUT]]</f>
        <v>575.83036183599347</v>
      </c>
      <c r="Q331" s="115">
        <f>tblPiNAnalysis[[#This Row],[SAL]]</f>
        <v>9830</v>
      </c>
      <c r="R331" s="115">
        <f>tblPiNAnalysis[[#This Row],[EDU]]</f>
        <v>1494.9659260213348</v>
      </c>
      <c r="S331" s="115">
        <f>tblPiNAnalysis[[#This Row],[PRO]]</f>
        <v>4163.1709137784565</v>
      </c>
      <c r="T331" s="116">
        <f>tblPiNAnalysis[[#This Row],[ASH]]</f>
        <v>0</v>
      </c>
      <c r="U331" s="300">
        <f>IF(OR(tblPiNHistorical[[#This Row],[SAMV25]]="", tblPiNHistorical[[#This Row],[SAMV25]]=0, tblPiNHistorical[[#This Row],[SAMV26]]="", tblPiNHistorical[[#This Row],[SAMV26]]=0), "", tblPiNHistorical[[#This Row],[SAMV26]]-tblPiNHistorical[[#This Row],[SAMV25]])</f>
        <v>-6495</v>
      </c>
      <c r="V331" s="121">
        <f>IF(OR(tblPiNHistorical[[#This Row],[NUT25]]="", tblPiNHistorical[[#This Row],[NUT25]]=0, tblPiNHistorical[[#This Row],[NUT26]]="", tblPiNHistorical[[#This Row],[NUT26]]=0), "", tblPiNHistorical[[#This Row],[NUT26]]-tblPiNHistorical[[#This Row],[NUT25]])</f>
        <v>-3138.1696381640068</v>
      </c>
      <c r="W331" s="121">
        <f>IF(OR(tblPiNHistorical[[#This Row],[SAL25]]="", tblPiNHistorical[[#This Row],[SAL25]]=0, tblPiNHistorical[[#This Row],[SAL26]]="", tblPiNHistorical[[#This Row],[SAL26]]=0), "", tblPiNHistorical[[#This Row],[SAL26]]-tblPiNHistorical[[#This Row],[SAL25]])</f>
        <v>-7235.4281713115197</v>
      </c>
      <c r="X331" s="121">
        <f>IF(OR(tblPiNHistorical[[#This Row],[EDU25]]="", tblPiNHistorical[[#This Row],[EDU25]]=0, tblPiNHistorical[[#This Row],[EDU26]]="", tblPiNHistorical[[#This Row],[EDU26]]=0), "", tblPiNHistorical[[#This Row],[EDU26]]-tblPiNHistorical[[#This Row],[EDU25]])</f>
        <v>-11756.771078921294</v>
      </c>
      <c r="Y331" s="121">
        <f>IF(OR(tblPiNHistorical[[#This Row],[PRO25]]="", tblPiNHistorical[[#This Row],[PRO25]]=0, tblPiNHistorical[[#This Row],[PRO26]]="", tblPiNHistorical[[#This Row],[PRO26]]=0), "", tblPiNHistorical[[#This Row],[PRO26]]-tblPiNHistorical[[#This Row],[PRO25]])</f>
        <v>-27878.511667361839</v>
      </c>
      <c r="Z331" s="223" t="str">
        <f>IF(OR(tblPiNHistorical[[#This Row],[ASH25]]="", tblPiNHistorical[[#This Row],[ASH25]]=0, tblPiNHistorical[[#This Row],[ASH26]]="", tblPiNHistorical[[#This Row],[ASH26]]=0), "", tblPiNHistorical[[#This Row],[ASH26]]-tblPiNHistorical[[#This Row],[ASH25]])</f>
        <v/>
      </c>
      <c r="AA331"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-0.6</v>
      </c>
      <c r="AB331"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331"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-0.4</v>
      </c>
      <c r="AD331"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331"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331"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39327</v>
      </c>
    </row>
    <row r="332" spans="1:32">
      <c r="A332"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VenezolanosVE2316</v>
      </c>
      <c r="B332" s="105" t="s">
        <v>705</v>
      </c>
      <c r="C332" s="104" t="s">
        <v>706</v>
      </c>
      <c r="D332" s="119" t="s">
        <v>736</v>
      </c>
      <c r="E332" s="104" t="s">
        <v>737</v>
      </c>
      <c r="F332" s="119"/>
      <c r="G332" s="102">
        <v>85006</v>
      </c>
      <c r="H332" s="102" t="s">
        <v>102</v>
      </c>
      <c r="I332" s="206">
        <v>14459</v>
      </c>
      <c r="J332" s="120">
        <v>4565</v>
      </c>
      <c r="K332" s="207">
        <v>22132.346405640776</v>
      </c>
      <c r="L332" s="207">
        <v>15383.587522750069</v>
      </c>
      <c r="M332" s="207">
        <v>41555.195201654009</v>
      </c>
      <c r="N332" s="298">
        <v>42503</v>
      </c>
      <c r="O332" s="114">
        <f>tblPiNAnalysis[[#This Row],[SAMV]]</f>
        <v>4637</v>
      </c>
      <c r="P332" s="115">
        <f>tblPiNAnalysis[[#This Row],[NUT]]</f>
        <v>817.84521050715773</v>
      </c>
      <c r="Q332" s="115">
        <f>tblPiNAnalysis[[#This Row],[SAL]]</f>
        <v>11637.295</v>
      </c>
      <c r="R332" s="115">
        <f>tblPiNAnalysis[[#This Row],[EDU]]</f>
        <v>1700.2718086262826</v>
      </c>
      <c r="S332" s="115">
        <f>tblPiNAnalysis[[#This Row],[PRO]]</f>
        <v>6337.8875158286055</v>
      </c>
      <c r="T332" s="116">
        <f>tblPiNAnalysis[[#This Row],[ASH]]</f>
        <v>0</v>
      </c>
      <c r="U332" s="300">
        <f>IF(OR(tblPiNHistorical[[#This Row],[SAMV25]]="", tblPiNHistorical[[#This Row],[SAMV25]]=0, tblPiNHistorical[[#This Row],[SAMV26]]="", tblPiNHistorical[[#This Row],[SAMV26]]=0), "", tblPiNHistorical[[#This Row],[SAMV26]]-tblPiNHistorical[[#This Row],[SAMV25]])</f>
        <v>-9822</v>
      </c>
      <c r="V332" s="121">
        <f>IF(OR(tblPiNHistorical[[#This Row],[NUT25]]="", tblPiNHistorical[[#This Row],[NUT25]]=0, tblPiNHistorical[[#This Row],[NUT26]]="", tblPiNHistorical[[#This Row],[NUT26]]=0), "", tblPiNHistorical[[#This Row],[NUT26]]-tblPiNHistorical[[#This Row],[NUT25]])</f>
        <v>-3747.1547894928422</v>
      </c>
      <c r="W332" s="121">
        <f>IF(OR(tblPiNHistorical[[#This Row],[SAL25]]="", tblPiNHistorical[[#This Row],[SAL25]]=0, tblPiNHistorical[[#This Row],[SAL26]]="", tblPiNHistorical[[#This Row],[SAL26]]=0), "", tblPiNHistorical[[#This Row],[SAL26]]-tblPiNHistorical[[#This Row],[SAL25]])</f>
        <v>-10495.051405640776</v>
      </c>
      <c r="X332" s="121">
        <f>IF(OR(tblPiNHistorical[[#This Row],[EDU25]]="", tblPiNHistorical[[#This Row],[EDU25]]=0, tblPiNHistorical[[#This Row],[EDU26]]="", tblPiNHistorical[[#This Row],[EDU26]]=0), "", tblPiNHistorical[[#This Row],[EDU26]]-tblPiNHistorical[[#This Row],[EDU25]])</f>
        <v>-13683.315714123786</v>
      </c>
      <c r="Y332" s="121">
        <f>IF(OR(tblPiNHistorical[[#This Row],[PRO25]]="", tblPiNHistorical[[#This Row],[PRO25]]=0, tblPiNHistorical[[#This Row],[PRO26]]="", tblPiNHistorical[[#This Row],[PRO26]]=0), "", tblPiNHistorical[[#This Row],[PRO26]]-tblPiNHistorical[[#This Row],[PRO25]])</f>
        <v>-35217.307685825406</v>
      </c>
      <c r="Z332" s="223" t="str">
        <f>IF(OR(tblPiNHistorical[[#This Row],[ASH25]]="", tblPiNHistorical[[#This Row],[ASH25]]=0, tblPiNHistorical[[#This Row],[ASH26]]="", tblPiNHistorical[[#This Row],[ASH26]]=0), "", tblPiNHistorical[[#This Row],[ASH26]]-tblPiNHistorical[[#This Row],[ASH25]])</f>
        <v/>
      </c>
      <c r="AA332"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-0.7</v>
      </c>
      <c r="AB332"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332"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-0.5</v>
      </c>
      <c r="AD332"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332"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332"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42503</v>
      </c>
    </row>
    <row r="333" spans="1:32">
      <c r="A333"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VenezolanosVE2317</v>
      </c>
      <c r="B333" s="105" t="s">
        <v>705</v>
      </c>
      <c r="C333" s="104" t="s">
        <v>706</v>
      </c>
      <c r="D333" s="119" t="s">
        <v>350</v>
      </c>
      <c r="E333" s="104" t="s">
        <v>738</v>
      </c>
      <c r="F333" s="119"/>
      <c r="G333" s="102">
        <v>446757</v>
      </c>
      <c r="H333" s="102" t="s">
        <v>102</v>
      </c>
      <c r="I333" s="206">
        <v>75992</v>
      </c>
      <c r="J333" s="120">
        <v>19577</v>
      </c>
      <c r="K333" s="207">
        <v>116317.1816335131</v>
      </c>
      <c r="L333" s="207">
        <v>68182.654520700991</v>
      </c>
      <c r="M333" s="207">
        <v>45903.602002913678</v>
      </c>
      <c r="N333" s="298">
        <v>0</v>
      </c>
      <c r="O333" s="114">
        <f>tblPiNAnalysis[[#This Row],[SAMV]]</f>
        <v>2693</v>
      </c>
      <c r="P333" s="115">
        <f>tblPiNAnalysis[[#This Row],[NUT]]</f>
        <v>1058.7697482615831</v>
      </c>
      <c r="Q333" s="115">
        <f>tblPiNAnalysis[[#This Row],[SAL]]</f>
        <v>19200</v>
      </c>
      <c r="R333" s="115">
        <f>tblPiNAnalysis[[#This Row],[EDU]]</f>
        <v>4953.3977725632158</v>
      </c>
      <c r="S333" s="115">
        <f>tblPiNAnalysis[[#This Row],[PRO]]</f>
        <v>8431.6982991370351</v>
      </c>
      <c r="T333" s="116">
        <f>tblPiNAnalysis[[#This Row],[ASH]]</f>
        <v>0</v>
      </c>
      <c r="U333" s="300">
        <f>IF(OR(tblPiNHistorical[[#This Row],[SAMV25]]="", tblPiNHistorical[[#This Row],[SAMV25]]=0, tblPiNHistorical[[#This Row],[SAMV26]]="", tblPiNHistorical[[#This Row],[SAMV26]]=0), "", tblPiNHistorical[[#This Row],[SAMV26]]-tblPiNHistorical[[#This Row],[SAMV25]])</f>
        <v>-73299</v>
      </c>
      <c r="V333" s="121">
        <f>IF(OR(tblPiNHistorical[[#This Row],[NUT25]]="", tblPiNHistorical[[#This Row],[NUT25]]=0, tblPiNHistorical[[#This Row],[NUT26]]="", tblPiNHistorical[[#This Row],[NUT26]]=0), "", tblPiNHistorical[[#This Row],[NUT26]]-tblPiNHistorical[[#This Row],[NUT25]])</f>
        <v>-18518.230251738416</v>
      </c>
      <c r="W333" s="121">
        <f>IF(OR(tblPiNHistorical[[#This Row],[SAL25]]="", tblPiNHistorical[[#This Row],[SAL25]]=0, tblPiNHistorical[[#This Row],[SAL26]]="", tblPiNHistorical[[#This Row],[SAL26]]=0), "", tblPiNHistorical[[#This Row],[SAL26]]-tblPiNHistorical[[#This Row],[SAL25]])</f>
        <v>-97117.181633513101</v>
      </c>
      <c r="X333" s="121">
        <f>IF(OR(tblPiNHistorical[[#This Row],[EDU25]]="", tblPiNHistorical[[#This Row],[EDU25]]=0, tblPiNHistorical[[#This Row],[EDU26]]="", tblPiNHistorical[[#This Row],[EDU26]]=0), "", tblPiNHistorical[[#This Row],[EDU26]]-tblPiNHistorical[[#This Row],[EDU25]])</f>
        <v>-63229.256748137777</v>
      </c>
      <c r="Y333" s="121">
        <f>IF(OR(tblPiNHistorical[[#This Row],[PRO25]]="", tblPiNHistorical[[#This Row],[PRO25]]=0, tblPiNHistorical[[#This Row],[PRO26]]="", tblPiNHistorical[[#This Row],[PRO26]]=0), "", tblPiNHistorical[[#This Row],[PRO26]]-tblPiNHistorical[[#This Row],[PRO25]])</f>
        <v>-37471.903703776639</v>
      </c>
      <c r="Z333" s="223" t="str">
        <f>IF(OR(tblPiNHistorical[[#This Row],[ASH25]]="", tblPiNHistorical[[#This Row],[ASH25]]=0, tblPiNHistorical[[#This Row],[ASH26]]="", tblPiNHistorical[[#This Row],[ASH26]]=0), "", tblPiNHistorical[[#This Row],[ASH26]]-tblPiNHistorical[[#This Row],[ASH25]])</f>
        <v/>
      </c>
      <c r="AA333"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333"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333"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333"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-0.9</v>
      </c>
      <c r="AE333"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333"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34" spans="1:32">
      <c r="A334"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VenezolanosVE2318</v>
      </c>
      <c r="B334" s="105" t="s">
        <v>705</v>
      </c>
      <c r="C334" s="104" t="s">
        <v>706</v>
      </c>
      <c r="D334" s="119" t="s">
        <v>739</v>
      </c>
      <c r="E334" s="104" t="s">
        <v>740</v>
      </c>
      <c r="F334" s="119"/>
      <c r="G334" s="102">
        <v>59866</v>
      </c>
      <c r="H334" s="102" t="s">
        <v>102</v>
      </c>
      <c r="I334" s="206">
        <v>10183</v>
      </c>
      <c r="J334" s="120">
        <v>2654</v>
      </c>
      <c r="K334" s="207">
        <v>15586.173395430882</v>
      </c>
      <c r="L334" s="207">
        <v>9670.2924269289324</v>
      </c>
      <c r="M334" s="207">
        <v>29265.50262266451</v>
      </c>
      <c r="N334" s="298">
        <v>11973</v>
      </c>
      <c r="O334" s="114">
        <f>tblPiNAnalysis[[#This Row],[SAMV]]</f>
        <v>1892</v>
      </c>
      <c r="P334" s="115">
        <f>tblPiNAnalysis[[#This Row],[NUT]]</f>
        <v>315.33108204809508</v>
      </c>
      <c r="Q334" s="115">
        <f>tblPiNAnalysis[[#This Row],[SAL]]</f>
        <v>11600</v>
      </c>
      <c r="R334" s="115">
        <f>tblPiNAnalysis[[#This Row],[EDU]]</f>
        <v>1779.1048479114643</v>
      </c>
      <c r="S334" s="115">
        <f>tblPiNAnalysis[[#This Row],[PRO]]</f>
        <v>3214.1277692164963</v>
      </c>
      <c r="T334" s="116">
        <f>tblPiNAnalysis[[#This Row],[ASH]]</f>
        <v>0</v>
      </c>
      <c r="U334" s="300">
        <f>IF(OR(tblPiNHistorical[[#This Row],[SAMV25]]="", tblPiNHistorical[[#This Row],[SAMV25]]=0, tblPiNHistorical[[#This Row],[SAMV26]]="", tblPiNHistorical[[#This Row],[SAMV26]]=0), "", tblPiNHistorical[[#This Row],[SAMV26]]-tblPiNHistorical[[#This Row],[SAMV25]])</f>
        <v>-8291</v>
      </c>
      <c r="V334" s="121">
        <f>IF(OR(tblPiNHistorical[[#This Row],[NUT25]]="", tblPiNHistorical[[#This Row],[NUT25]]=0, tblPiNHistorical[[#This Row],[NUT26]]="", tblPiNHistorical[[#This Row],[NUT26]]=0), "", tblPiNHistorical[[#This Row],[NUT26]]-tblPiNHistorical[[#This Row],[NUT25]])</f>
        <v>-2338.6689179519049</v>
      </c>
      <c r="W334" s="121">
        <f>IF(OR(tblPiNHistorical[[#This Row],[SAL25]]="", tblPiNHistorical[[#This Row],[SAL25]]=0, tblPiNHistorical[[#This Row],[SAL26]]="", tblPiNHistorical[[#This Row],[SAL26]]=0), "", tblPiNHistorical[[#This Row],[SAL26]]-tblPiNHistorical[[#This Row],[SAL25]])</f>
        <v>-3986.173395430882</v>
      </c>
      <c r="X334" s="121">
        <f>IF(OR(tblPiNHistorical[[#This Row],[EDU25]]="", tblPiNHistorical[[#This Row],[EDU25]]=0, tblPiNHistorical[[#This Row],[EDU26]]="", tblPiNHistorical[[#This Row],[EDU26]]=0), "", tblPiNHistorical[[#This Row],[EDU26]]-tblPiNHistorical[[#This Row],[EDU25]])</f>
        <v>-7891.1875790174681</v>
      </c>
      <c r="Y334" s="121">
        <f>IF(OR(tblPiNHistorical[[#This Row],[PRO25]]="", tblPiNHistorical[[#This Row],[PRO25]]=0, tblPiNHistorical[[#This Row],[PRO26]]="", tblPiNHistorical[[#This Row],[PRO26]]=0), "", tblPiNHistorical[[#This Row],[PRO26]]-tblPiNHistorical[[#This Row],[PRO25]])</f>
        <v>-26051.374853448015</v>
      </c>
      <c r="Z334" s="223" t="str">
        <f>IF(OR(tblPiNHistorical[[#This Row],[ASH25]]="", tblPiNHistorical[[#This Row],[ASH25]]=0, tblPiNHistorical[[#This Row],[ASH26]]="", tblPiNHistorical[[#This Row],[ASH26]]=0), "", tblPiNHistorical[[#This Row],[ASH26]]-tblPiNHistorical[[#This Row],[ASH25]])</f>
        <v/>
      </c>
      <c r="AA334"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334"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334"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-0.3</v>
      </c>
      <c r="AD334"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334"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-0.9</v>
      </c>
      <c r="AF334"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11973</v>
      </c>
    </row>
    <row r="335" spans="1:32">
      <c r="A335"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VenezolanosVE2319</v>
      </c>
      <c r="B335" s="105" t="s">
        <v>705</v>
      </c>
      <c r="C335" s="104" t="s">
        <v>706</v>
      </c>
      <c r="D335" s="119" t="s">
        <v>155</v>
      </c>
      <c r="E335" s="104" t="s">
        <v>741</v>
      </c>
      <c r="F335" s="119"/>
      <c r="G335" s="102">
        <v>43831</v>
      </c>
      <c r="H335" s="102" t="s">
        <v>102</v>
      </c>
      <c r="I335" s="206">
        <v>7456</v>
      </c>
      <c r="J335" s="120">
        <v>1874</v>
      </c>
      <c r="K335" s="207">
        <v>11411.960153109969</v>
      </c>
      <c r="L335" s="207">
        <v>6205.2826068679142</v>
      </c>
      <c r="M335" s="207">
        <v>21426.790589884207</v>
      </c>
      <c r="N335" s="298">
        <v>8766</v>
      </c>
      <c r="O335" s="114">
        <f>tblPiNAnalysis[[#This Row],[SAMV]]</f>
        <v>32561</v>
      </c>
      <c r="P335" s="115">
        <f>tblPiNAnalysis[[#This Row],[NUT]]</f>
        <v>3623.5597150443477</v>
      </c>
      <c r="Q335" s="115">
        <f>tblPiNAnalysis[[#This Row],[SAL]]</f>
        <v>37929.705000000002</v>
      </c>
      <c r="R335" s="115">
        <f>tblPiNAnalysis[[#This Row],[EDU]]</f>
        <v>11254.360580322158</v>
      </c>
      <c r="S335" s="115">
        <f>tblPiNAnalysis[[#This Row],[PRO]]</f>
        <v>24788.668204962938</v>
      </c>
      <c r="T335" s="116">
        <f>tblPiNAnalysis[[#This Row],[ASH]]</f>
        <v>0</v>
      </c>
      <c r="U335" s="300">
        <f>IF(OR(tblPiNHistorical[[#This Row],[SAMV25]]="", tblPiNHistorical[[#This Row],[SAMV25]]=0, tblPiNHistorical[[#This Row],[SAMV26]]="", tblPiNHistorical[[#This Row],[SAMV26]]=0), "", tblPiNHistorical[[#This Row],[SAMV26]]-tblPiNHistorical[[#This Row],[SAMV25]])</f>
        <v>25105</v>
      </c>
      <c r="V335" s="121">
        <f>IF(OR(tblPiNHistorical[[#This Row],[NUT25]]="", tblPiNHistorical[[#This Row],[NUT25]]=0, tblPiNHistorical[[#This Row],[NUT26]]="", tblPiNHistorical[[#This Row],[NUT26]]=0), "", tblPiNHistorical[[#This Row],[NUT26]]-tblPiNHistorical[[#This Row],[NUT25]])</f>
        <v>1749.5597150443477</v>
      </c>
      <c r="W335" s="121">
        <f>IF(OR(tblPiNHistorical[[#This Row],[SAL25]]="", tblPiNHistorical[[#This Row],[SAL25]]=0, tblPiNHistorical[[#This Row],[SAL26]]="", tblPiNHistorical[[#This Row],[SAL26]]=0), "", tblPiNHistorical[[#This Row],[SAL26]]-tblPiNHistorical[[#This Row],[SAL25]])</f>
        <v>26517.744846890033</v>
      </c>
      <c r="X335" s="121">
        <f>IF(OR(tblPiNHistorical[[#This Row],[EDU25]]="", tblPiNHistorical[[#This Row],[EDU25]]=0, tblPiNHistorical[[#This Row],[EDU26]]="", tblPiNHistorical[[#This Row],[EDU26]]=0), "", tblPiNHistorical[[#This Row],[EDU26]]-tblPiNHistorical[[#This Row],[EDU25]])</f>
        <v>5049.0779734542439</v>
      </c>
      <c r="Y335" s="121">
        <f>IF(OR(tblPiNHistorical[[#This Row],[PRO25]]="", tblPiNHistorical[[#This Row],[PRO25]]=0, tblPiNHistorical[[#This Row],[PRO26]]="", tblPiNHistorical[[#This Row],[PRO26]]=0), "", tblPiNHistorical[[#This Row],[PRO26]]-tblPiNHistorical[[#This Row],[PRO25]])</f>
        <v>3361.8776150787307</v>
      </c>
      <c r="Z335" s="223" t="str">
        <f>IF(OR(tblPiNHistorical[[#This Row],[ASH25]]="", tblPiNHistorical[[#This Row],[ASH25]]=0, tblPiNHistorical[[#This Row],[ASH26]]="", tblPiNHistorical[[#This Row],[ASH26]]=0), "", tblPiNHistorical[[#This Row],[ASH26]]-tblPiNHistorical[[#This Row],[ASH25]])</f>
        <v/>
      </c>
      <c r="AA335"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3.4</v>
      </c>
      <c r="AB335"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0.9</v>
      </c>
      <c r="AC335"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2.2999999999999998</v>
      </c>
      <c r="AD335"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335"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0.2</v>
      </c>
      <c r="AF335"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8766</v>
      </c>
    </row>
    <row r="336" spans="1:32">
      <c r="A336"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VenezolanosVE2320</v>
      </c>
      <c r="B336" s="105" t="s">
        <v>705</v>
      </c>
      <c r="C336" s="104" t="s">
        <v>706</v>
      </c>
      <c r="D336" s="119" t="s">
        <v>203</v>
      </c>
      <c r="E336" s="104" t="s">
        <v>742</v>
      </c>
      <c r="F336" s="119"/>
      <c r="G336" s="102">
        <v>60819</v>
      </c>
      <c r="H336" s="102" t="s">
        <v>102</v>
      </c>
      <c r="I336" s="206">
        <v>10345</v>
      </c>
      <c r="J336" s="120">
        <v>2664</v>
      </c>
      <c r="K336" s="207">
        <v>15834.862577444304</v>
      </c>
      <c r="L336" s="207">
        <v>10460.122194665721</v>
      </c>
      <c r="M336" s="207">
        <v>48651.343868185897</v>
      </c>
      <c r="N336" s="298">
        <v>0</v>
      </c>
      <c r="O336" s="114">
        <f>tblPiNAnalysis[[#This Row],[SAMV]]</f>
        <v>1762</v>
      </c>
      <c r="P336" s="115">
        <f>tblPiNAnalysis[[#This Row],[NUT]]</f>
        <v>3848.9964002932934</v>
      </c>
      <c r="Q336" s="115">
        <f>tblPiNAnalysis[[#This Row],[SAL]]</f>
        <v>37608.14</v>
      </c>
      <c r="R336" s="115">
        <f>tblPiNAnalysis[[#This Row],[EDU]]</f>
        <v>4886.9141415836402</v>
      </c>
      <c r="S336" s="115">
        <f>tblPiNAnalysis[[#This Row],[PRO]]</f>
        <v>24578.511862029907</v>
      </c>
      <c r="T336" s="116">
        <f>tblPiNAnalysis[[#This Row],[ASH]]</f>
        <v>0</v>
      </c>
      <c r="U336" s="300">
        <f>IF(OR(tblPiNHistorical[[#This Row],[SAMV25]]="", tblPiNHistorical[[#This Row],[SAMV25]]=0, tblPiNHistorical[[#This Row],[SAMV26]]="", tblPiNHistorical[[#This Row],[SAMV26]]=0), "", tblPiNHistorical[[#This Row],[SAMV26]]-tblPiNHistorical[[#This Row],[SAMV25]])</f>
        <v>-8583</v>
      </c>
      <c r="V336" s="121">
        <f>IF(OR(tblPiNHistorical[[#This Row],[NUT25]]="", tblPiNHistorical[[#This Row],[NUT25]]=0, tblPiNHistorical[[#This Row],[NUT26]]="", tblPiNHistorical[[#This Row],[NUT26]]=0), "", tblPiNHistorical[[#This Row],[NUT26]]-tblPiNHistorical[[#This Row],[NUT25]])</f>
        <v>1184.9964002932934</v>
      </c>
      <c r="W336" s="121">
        <f>IF(OR(tblPiNHistorical[[#This Row],[SAL25]]="", tblPiNHistorical[[#This Row],[SAL25]]=0, tblPiNHistorical[[#This Row],[SAL26]]="", tblPiNHistorical[[#This Row],[SAL26]]=0), "", tblPiNHistorical[[#This Row],[SAL26]]-tblPiNHistorical[[#This Row],[SAL25]])</f>
        <v>21773.277422555693</v>
      </c>
      <c r="X336" s="121">
        <f>IF(OR(tblPiNHistorical[[#This Row],[EDU25]]="", tblPiNHistorical[[#This Row],[EDU25]]=0, tblPiNHistorical[[#This Row],[EDU26]]="", tblPiNHistorical[[#This Row],[EDU26]]=0), "", tblPiNHistorical[[#This Row],[EDU26]]-tblPiNHistorical[[#This Row],[EDU25]])</f>
        <v>-5573.2080530820804</v>
      </c>
      <c r="Y336" s="121">
        <f>IF(OR(tblPiNHistorical[[#This Row],[PRO25]]="", tblPiNHistorical[[#This Row],[PRO25]]=0, tblPiNHistorical[[#This Row],[PRO26]]="", tblPiNHistorical[[#This Row],[PRO26]]=0), "", tblPiNHistorical[[#This Row],[PRO26]]-tblPiNHistorical[[#This Row],[PRO25]])</f>
        <v>-24072.83200615599</v>
      </c>
      <c r="Z336" s="223" t="str">
        <f>IF(OR(tblPiNHistorical[[#This Row],[ASH25]]="", tblPiNHistorical[[#This Row],[ASH25]]=0, tblPiNHistorical[[#This Row],[ASH26]]="", tblPiNHistorical[[#This Row],[ASH26]]=0), "", tblPiNHistorical[[#This Row],[ASH26]]-tblPiNHistorical[[#This Row],[ASH25]])</f>
        <v/>
      </c>
      <c r="AA336"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-0.8</v>
      </c>
      <c r="AB336"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0.4</v>
      </c>
      <c r="AC336"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1.4</v>
      </c>
      <c r="AD336"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-0.5</v>
      </c>
      <c r="AE336"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-0.5</v>
      </c>
      <c r="AF336"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37" spans="1:32">
      <c r="A337"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VenezolanosVE2321</v>
      </c>
      <c r="B337" s="105" t="s">
        <v>705</v>
      </c>
      <c r="C337" s="104" t="s">
        <v>706</v>
      </c>
      <c r="D337" s="119" t="s">
        <v>743</v>
      </c>
      <c r="E337" s="104" t="s">
        <v>744</v>
      </c>
      <c r="F337" s="119"/>
      <c r="G337" s="102">
        <v>52624</v>
      </c>
      <c r="H337" s="102" t="s">
        <v>102</v>
      </c>
      <c r="I337" s="206">
        <v>8951</v>
      </c>
      <c r="J337" s="120">
        <v>2165</v>
      </c>
      <c r="K337" s="207">
        <v>13700.693262476527</v>
      </c>
      <c r="L337" s="207">
        <v>7748.1422010202486</v>
      </c>
      <c r="M337" s="207">
        <v>25725.249891676362</v>
      </c>
      <c r="N337" s="298">
        <v>0</v>
      </c>
      <c r="O337" s="114">
        <f>tblPiNAnalysis[[#This Row],[SAMV]]</f>
        <v>4744</v>
      </c>
      <c r="P337" s="115">
        <f>tblPiNAnalysis[[#This Row],[NUT]]</f>
        <v>619.609644587086</v>
      </c>
      <c r="Q337" s="115">
        <f>tblPiNAnalysis[[#This Row],[SAL]]</f>
        <v>10390.09</v>
      </c>
      <c r="R337" s="115">
        <f>tblPiNAnalysis[[#This Row],[EDU]]</f>
        <v>1742.9051091990448</v>
      </c>
      <c r="S337" s="115">
        <f>tblPiNAnalysis[[#This Row],[PRO]]</f>
        <v>5658.6364528299455</v>
      </c>
      <c r="T337" s="116">
        <f>tblPiNAnalysis[[#This Row],[ASH]]</f>
        <v>0</v>
      </c>
      <c r="U337" s="300">
        <f>IF(OR(tblPiNHistorical[[#This Row],[SAMV25]]="", tblPiNHistorical[[#This Row],[SAMV25]]=0, tblPiNHistorical[[#This Row],[SAMV26]]="", tblPiNHistorical[[#This Row],[SAMV26]]=0), "", tblPiNHistorical[[#This Row],[SAMV26]]-tblPiNHistorical[[#This Row],[SAMV25]])</f>
        <v>-4207</v>
      </c>
      <c r="V337" s="121">
        <f>IF(OR(tblPiNHistorical[[#This Row],[NUT25]]="", tblPiNHistorical[[#This Row],[NUT25]]=0, tblPiNHistorical[[#This Row],[NUT26]]="", tblPiNHistorical[[#This Row],[NUT26]]=0), "", tblPiNHistorical[[#This Row],[NUT26]]-tblPiNHistorical[[#This Row],[NUT25]])</f>
        <v>-1545.390355412914</v>
      </c>
      <c r="W337" s="121">
        <f>IF(OR(tblPiNHistorical[[#This Row],[SAL25]]="", tblPiNHistorical[[#This Row],[SAL25]]=0, tblPiNHistorical[[#This Row],[SAL26]]="", tblPiNHistorical[[#This Row],[SAL26]]=0), "", tblPiNHistorical[[#This Row],[SAL26]]-tblPiNHistorical[[#This Row],[SAL25]])</f>
        <v>-3310.6032624765267</v>
      </c>
      <c r="X337" s="121">
        <f>IF(OR(tblPiNHistorical[[#This Row],[EDU25]]="", tblPiNHistorical[[#This Row],[EDU25]]=0, tblPiNHistorical[[#This Row],[EDU26]]="", tblPiNHistorical[[#This Row],[EDU26]]=0), "", tblPiNHistorical[[#This Row],[EDU26]]-tblPiNHistorical[[#This Row],[EDU25]])</f>
        <v>-6005.2370918212036</v>
      </c>
      <c r="Y337" s="121">
        <f>IF(OR(tblPiNHistorical[[#This Row],[PRO25]]="", tblPiNHistorical[[#This Row],[PRO25]]=0, tblPiNHistorical[[#This Row],[PRO26]]="", tblPiNHistorical[[#This Row],[PRO26]]=0), "", tblPiNHistorical[[#This Row],[PRO26]]-tblPiNHistorical[[#This Row],[PRO25]])</f>
        <v>-20066.613438846416</v>
      </c>
      <c r="Z337" s="223" t="str">
        <f>IF(OR(tblPiNHistorical[[#This Row],[ASH25]]="", tblPiNHistorical[[#This Row],[ASH25]]=0, tblPiNHistorical[[#This Row],[ASH26]]="", tblPiNHistorical[[#This Row],[ASH26]]=0), "", tblPiNHistorical[[#This Row],[ASH26]]-tblPiNHistorical[[#This Row],[ASH25]])</f>
        <v/>
      </c>
      <c r="AA337" s="227">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-0.5</v>
      </c>
      <c r="AB337" s="228">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-0.7</v>
      </c>
      <c r="AC337" s="228">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-0.2</v>
      </c>
      <c r="AD337" s="228">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-0.8</v>
      </c>
      <c r="AE337" s="228">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337" s="118"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
      </c>
    </row>
    <row r="338" spans="1:32" ht="13.5" thickBot="1">
      <c r="A338" s="112" t="str">
        <f>IFERROR(_xlfn.CONCAT(IF(tblPiNHistorical[[#This Row],[Grupo de población]]="", "",tblPiNHistorical[[#This Row],[Grupo de población]] ), IF(tblPiNHistorical[[#This Row],[Foco de necesidades]]&lt;&gt;"",tblPiNHistorical[[#This Row],[Foco de necesidades]],), _xlfn.IFS(tblPiNHistorical[[#This Row],[Admin 2 Código P]]&lt;&gt;"", tblPiNHistorical[[#This Row],[Admin 2 Código P]], tblPiNHistorical[[#This Row],[Admin 1 Código P]]&lt;&gt;"", tblPiNHistorical[[#This Row],[Admin 1 Código P]])),"")</f>
        <v>VenezolanosVE2401</v>
      </c>
      <c r="B338" s="105" t="s">
        <v>745</v>
      </c>
      <c r="C338" s="104" t="s">
        <v>746</v>
      </c>
      <c r="D338" s="119" t="s">
        <v>747</v>
      </c>
      <c r="E338" s="104" t="s">
        <v>748</v>
      </c>
      <c r="F338" s="119"/>
      <c r="G338" s="102">
        <v>352920</v>
      </c>
      <c r="H338" s="102" t="s">
        <v>102</v>
      </c>
      <c r="I338" s="206">
        <v>38500</v>
      </c>
      <c r="J338" s="120">
        <v>14659</v>
      </c>
      <c r="K338" s="207">
        <v>91885.203389413553</v>
      </c>
      <c r="L338" s="207">
        <v>19642.079214164936</v>
      </c>
      <c r="M338" s="207">
        <v>94724.450838821984</v>
      </c>
      <c r="N338" s="298">
        <v>70584</v>
      </c>
      <c r="O338" s="114">
        <f>tblPiNAnalysis[[#This Row],[SAMV]]</f>
        <v>691</v>
      </c>
      <c r="P338" s="115">
        <f>tblPiNAnalysis[[#This Row],[NUT]]</f>
        <v>2649.657498886203</v>
      </c>
      <c r="Q338" s="115">
        <f>tblPiNAnalysis[[#This Row],[SAL]]</f>
        <v>22703.73</v>
      </c>
      <c r="R338" s="115">
        <f>tblPiNAnalysis[[#This Row],[EDU]]</f>
        <v>8064.0540727214702</v>
      </c>
      <c r="S338" s="115">
        <f>tblPiNAnalysis[[#This Row],[PRO]]</f>
        <v>14825.386229830176</v>
      </c>
      <c r="T338" s="116">
        <f>tblPiNAnalysis[[#This Row],[ASH]]</f>
        <v>0</v>
      </c>
      <c r="U338" s="300">
        <f>IF(OR(tblPiNHistorical[[#This Row],[SAMV25]]="", tblPiNHistorical[[#This Row],[SAMV25]]=0, tblPiNHistorical[[#This Row],[SAMV26]]="", tblPiNHistorical[[#This Row],[SAMV26]]=0), "", tblPiNHistorical[[#This Row],[SAMV26]]-tblPiNHistorical[[#This Row],[SAMV25]])</f>
        <v>-37809</v>
      </c>
      <c r="V338" s="121">
        <f>IF(OR(tblPiNHistorical[[#This Row],[NUT25]]="", tblPiNHistorical[[#This Row],[NUT25]]=0, tblPiNHistorical[[#This Row],[NUT26]]="", tblPiNHistorical[[#This Row],[NUT26]]=0), "", tblPiNHistorical[[#This Row],[NUT26]]-tblPiNHistorical[[#This Row],[NUT25]])</f>
        <v>-12009.342501113797</v>
      </c>
      <c r="W338" s="121">
        <f>IF(OR(tblPiNHistorical[[#This Row],[SAL25]]="", tblPiNHistorical[[#This Row],[SAL25]]=0, tblPiNHistorical[[#This Row],[SAL26]]="", tblPiNHistorical[[#This Row],[SAL26]]=0), "", tblPiNHistorical[[#This Row],[SAL26]]-tblPiNHistorical[[#This Row],[SAL25]])</f>
        <v>-69181.473389413557</v>
      </c>
      <c r="X338" s="121">
        <f>IF(OR(tblPiNHistorical[[#This Row],[EDU25]]="", tblPiNHistorical[[#This Row],[EDU25]]=0, tblPiNHistorical[[#This Row],[EDU26]]="", tblPiNHistorical[[#This Row],[EDU26]]=0), "", tblPiNHistorical[[#This Row],[EDU26]]-tblPiNHistorical[[#This Row],[EDU25]])</f>
        <v>-11578.025141443466</v>
      </c>
      <c r="Y338" s="121">
        <f>IF(OR(tblPiNHistorical[[#This Row],[PRO25]]="", tblPiNHistorical[[#This Row],[PRO25]]=0, tblPiNHistorical[[#This Row],[PRO26]]="", tblPiNHistorical[[#This Row],[PRO26]]=0), "", tblPiNHistorical[[#This Row],[PRO26]]-tblPiNHistorical[[#This Row],[PRO25]])</f>
        <v>-79899.064608991815</v>
      </c>
      <c r="Z338" s="223" t="str">
        <f>IF(OR(tblPiNHistorical[[#This Row],[ASH25]]="", tblPiNHistorical[[#This Row],[ASH25]]=0, tblPiNHistorical[[#This Row],[ASH26]]="", tblPiNHistorical[[#This Row],[ASH26]]=0), "", tblPiNHistorical[[#This Row],[ASH26]]-tblPiNHistorical[[#This Row],[ASH25]])</f>
        <v/>
      </c>
      <c r="AA338" s="229">
        <f>IF(AND(tblPiNHistorical[[#This Row],[SAMV25]]=0,tblPiNHistorical[[#This Row],[SAMV26]]&gt;0),"New26 "&amp;tblPiNHistorical[[#This Row],[SAMV26]],
 IF(AND(tblPiNHistorical[[#This Row],[SAMV25]]&gt;0,tblPiNHistorical[[#This Row],[SAMV26]]=0),"NoPIN26 "&amp;tblPiNHistorical[[#This Row],[SAMV25]],
 IFERROR(ROUND((tblPiNHistorical[[#This Row],[SAMV26]]-tblPiNHistorical[[#This Row],[SAMV25]])/tblPiNHistorical[[#This Row],[SAMV25]], 1), "")
))</f>
        <v>-1</v>
      </c>
      <c r="AB338" s="230">
        <f>IF(AND(tblPiNHistorical[[#This Row],[NUT25]]=0,tblPiNHistorical[[#This Row],[NUT26]]&gt;0),"New26 "&amp;tblPiNHistorical[[#This Row],[NUT26]],
 IF(AND(tblPiNHistorical[[#This Row],[NUT25]]&gt;0,tblPiNHistorical[[#This Row],[NUT26]]=0),"NoPIN26 "&amp;tblPiNHistorical[[#This Row],[NUT25]],
 IFERROR(ROUND((tblPiNHistorical[[#This Row],[NUT26]]-tblPiNHistorical[[#This Row],[NUT25]])/tblPiNHistorical[[#This Row],[NUT25]], 1), "")
))</f>
        <v>-0.8</v>
      </c>
      <c r="AC338" s="230">
        <f>IF(AND(tblPiNHistorical[[#This Row],[SAL25]]=0,tblPiNHistorical[[#This Row],[SAL26]]&gt;0),"New26 "&amp;tblPiNHistorical[[#This Row],[SAL26]],
 IF(AND(tblPiNHistorical[[#This Row],[SAL25]]&gt;0,tblPiNHistorical[[#This Row],[SAL26]]=0),"NoPIN26 "&amp;tblPiNHistorical[[#This Row],[SAL25]],
 IFERROR(ROUND((tblPiNHistorical[[#This Row],[SAL26]]-tblPiNHistorical[[#This Row],[SAL25]])/tblPiNHistorical[[#This Row],[SAL25]], 1), "")
))</f>
        <v>-0.8</v>
      </c>
      <c r="AD338" s="230">
        <f>IF(AND(tblPiNHistorical[[#This Row],[EDU25]]=0,tblPiNHistorical[[#This Row],[EDU26]]&gt;0),"New26 "&amp;tblPiNHistorical[[#This Row],[EDU26]],
 IF(AND(tblPiNHistorical[[#This Row],[EDU25]]&gt;0,tblPiNHistorical[[#This Row],[EDU26]]=0),"NoPIN26 "&amp;tblPiNHistorical[[#This Row],[EDU25]],
 IFERROR(ROUND((tblPiNHistorical[[#This Row],[EDU26]]-tblPiNHistorical[[#This Row],[EDU25]])/tblPiNHistorical[[#This Row],[EDU25]], 1), "")
))</f>
        <v>-0.6</v>
      </c>
      <c r="AE338" s="230">
        <f>IF(AND(tblPiNHistorical[[#This Row],[PRO25]]=0,tblPiNHistorical[[#This Row],[PRO26]]&gt;0),"New26 "&amp;tblPiNHistorical[[#This Row],[PRO26]],
 IF(AND(tblPiNHistorical[[#This Row],[PRO25]]&gt;0,tblPiNHistorical[[#This Row],[PRO26]]=0),"NoPIN26 "&amp;tblPiNHistorical[[#This Row],[PRO25]],
 IFERROR(ROUND((tblPiNHistorical[[#This Row],[PRO26]]-tblPiNHistorical[[#This Row],[PRO25]])/tblPiNHistorical[[#This Row],[PRO25]], 1), "")
))</f>
        <v>-0.8</v>
      </c>
      <c r="AF338" s="231" t="str">
        <f>IF(AND(tblPiNHistorical[[#This Row],[ASH25]]=0,tblPiNHistorical[[#This Row],[ASH26]]&gt;0),"New26 "&amp;tblPiNHistorical[[#This Row],[ASH26]],
 IF(AND(tblPiNHistorical[[#This Row],[ASH25]]&gt;0,tblPiNHistorical[[#This Row],[ASH26]]=0),"NoPIN26 "&amp;tblPiNHistorical[[#This Row],[ASH25]],
 IFERROR(ROUND((tblPiNHistorical[[#This Row],[ASH26]]-tblPiNHistorical[[#This Row],[ASH25]])/tblPiNHistorical[[#This Row],[ASH25]], 1), "")
))</f>
        <v>NoPIN26 70584</v>
      </c>
    </row>
    <row r="339" spans="1:32" ht="13.5" thickTop="1"/>
  </sheetData>
  <mergeCells count="6">
    <mergeCell ref="AA2:AF2"/>
    <mergeCell ref="B2:E2"/>
    <mergeCell ref="G2:H2"/>
    <mergeCell ref="I2:N2"/>
    <mergeCell ref="O2:T2"/>
    <mergeCell ref="U2:Z2"/>
  </mergeCells>
  <phoneticPr fontId="8" type="noConversion"/>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ellIs" priority="1" operator="notBetween" id="{44980C84-2A4A-4B13-B285-48DD8024EE62}">
            <xm:f>Umbrales!$D$13*-1</xm:f>
            <xm:f>Umbrales!$D$13</xm:f>
            <x14:dxf>
              <font>
                <color rgb="FFFF0000"/>
              </font>
              <fill>
                <patternFill patternType="none">
                  <bgColor auto="1"/>
                </patternFill>
              </fill>
            </x14:dxf>
          </x14:cfRule>
          <xm:sqref>AA4:AF338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9E69F-9856-4D47-A31A-7469FA8D9F17}">
  <sheetPr codeName="Sheet6">
    <tabColor theme="7" tint="0.59999389629810485"/>
  </sheetPr>
  <dimension ref="A1:BW680"/>
  <sheetViews>
    <sheetView topLeftCell="AV1" zoomScale="80" zoomScaleNormal="80" workbookViewId="0">
      <selection activeCell="BC1" sqref="BC1"/>
    </sheetView>
  </sheetViews>
  <sheetFormatPr defaultColWidth="16.7109375" defaultRowHeight="14.45"/>
  <cols>
    <col min="1" max="1" width="14.28515625" style="30" bestFit="1" customWidth="1"/>
    <col min="2" max="2" width="13.140625" style="37" bestFit="1" customWidth="1"/>
    <col min="3" max="3" width="19" style="37" bestFit="1" customWidth="1"/>
    <col min="4" max="4" width="22.5703125" style="37" bestFit="1" customWidth="1"/>
    <col min="5" max="5" width="19" style="37" bestFit="1" customWidth="1"/>
    <col min="6" max="6" width="19" style="37" customWidth="1"/>
    <col min="7" max="7" width="12.28515625" style="3" bestFit="1" customWidth="1"/>
    <col min="8" max="8" width="10.5703125" style="3" bestFit="1" customWidth="1"/>
    <col min="9" max="9" width="12.140625" style="8" bestFit="1" customWidth="1"/>
    <col min="10" max="10" width="10.5703125" style="3" bestFit="1" customWidth="1"/>
    <col min="11" max="11" width="13.28515625" style="3" customWidth="1"/>
    <col min="12" max="12" width="10.5703125" style="3" bestFit="1" customWidth="1"/>
    <col min="13" max="13" width="10.85546875" style="3" bestFit="1" customWidth="1"/>
    <col min="14" max="14" width="10.7109375" style="3" bestFit="1" customWidth="1"/>
    <col min="15" max="15" width="11.7109375" style="3" bestFit="1" customWidth="1"/>
    <col min="16" max="16" width="10.85546875" style="3" bestFit="1" customWidth="1"/>
    <col min="17" max="17" width="13.7109375" style="3" bestFit="1" customWidth="1"/>
    <col min="18" max="19" width="12.5703125" style="3" bestFit="1" customWidth="1"/>
    <col min="20" max="20" width="11.5703125" style="3" bestFit="1" customWidth="1"/>
    <col min="21" max="21" width="12" style="3" bestFit="1" customWidth="1"/>
    <col min="22" max="22" width="13.42578125" bestFit="1" customWidth="1"/>
    <col min="23" max="23" width="12.7109375" bestFit="1" customWidth="1"/>
    <col min="24" max="24" width="13" style="3" bestFit="1" customWidth="1"/>
    <col min="25" max="25" width="17.42578125" style="3" bestFit="1" customWidth="1"/>
    <col min="26" max="26" width="20" style="3" bestFit="1" customWidth="1"/>
    <col min="27" max="27" width="20.7109375" style="3" bestFit="1" customWidth="1"/>
    <col min="28" max="28" width="22" style="2" bestFit="1" customWidth="1"/>
    <col min="29" max="29" width="20.7109375" style="3" bestFit="1" customWidth="1"/>
    <col min="30" max="30" width="19.28515625" bestFit="1" customWidth="1"/>
    <col min="31" max="31" width="19.7109375" style="8" bestFit="1" customWidth="1"/>
    <col min="32" max="32" width="20.85546875" style="2" bestFit="1" customWidth="1"/>
    <col min="33" max="33" width="20.5703125" style="6" bestFit="1" customWidth="1"/>
    <col min="34" max="35" width="21.28515625" style="2" bestFit="1" customWidth="1"/>
    <col min="36" max="36" width="21.5703125" bestFit="1" customWidth="1"/>
    <col min="37" max="37" width="19.7109375" style="11" bestFit="1" customWidth="1"/>
    <col min="38" max="38" width="20.85546875" style="2" bestFit="1" customWidth="1"/>
    <col min="39" max="39" width="18.5703125" style="1" bestFit="1" customWidth="1"/>
    <col min="40" max="40" width="20.5703125" style="2" bestFit="1" customWidth="1"/>
    <col min="41" max="41" width="21.28515625" bestFit="1" customWidth="1"/>
    <col min="42" max="42" width="21.5703125" bestFit="1" customWidth="1"/>
    <col min="43" max="43" width="21.85546875" bestFit="1" customWidth="1"/>
    <col min="44" max="44" width="25.5703125" style="8" bestFit="1" customWidth="1"/>
    <col min="45" max="45" width="21.85546875" style="8" bestFit="1" customWidth="1"/>
    <col min="46" max="46" width="16.5703125" bestFit="1" customWidth="1"/>
    <col min="47" max="47" width="15.7109375" bestFit="1" customWidth="1"/>
    <col min="48" max="48" width="20.140625" style="8" bestFit="1" customWidth="1"/>
    <col min="49" max="49" width="16.5703125" bestFit="1" customWidth="1"/>
    <col min="50" max="50" width="21.5703125" bestFit="1" customWidth="1"/>
    <col min="51" max="51" width="16.5703125" style="8" bestFit="1" customWidth="1"/>
    <col min="52" max="52" width="14.42578125" style="2" bestFit="1" customWidth="1"/>
    <col min="53" max="53" width="16.85546875" style="3" bestFit="1" customWidth="1"/>
    <col min="54" max="54" width="17.5703125" bestFit="1" customWidth="1"/>
    <col min="55" max="55" width="20.28515625" bestFit="1" customWidth="1"/>
    <col min="56" max="56" width="21" bestFit="1" customWidth="1"/>
    <col min="57" max="60" width="16.7109375" style="2"/>
    <col min="63" max="63" width="16.7109375" style="33"/>
    <col min="64" max="68" width="16.7109375" style="2"/>
    <col min="71" max="71" width="16.7109375" style="2"/>
    <col min="73" max="73" width="16.7109375" style="4"/>
    <col min="74" max="74" width="16.7109375" style="3"/>
    <col min="75" max="75" width="16.7109375" style="2"/>
  </cols>
  <sheetData>
    <row r="1" spans="1:75" ht="75" customHeight="1" thickBot="1">
      <c r="A1" s="29"/>
      <c r="B1" s="35"/>
      <c r="C1" s="35"/>
      <c r="D1" s="35"/>
      <c r="E1" s="35"/>
      <c r="F1" s="35"/>
      <c r="G1" s="315">
        <f>SUM(tblPiNAnalysis[Población])</f>
        <v>27840326</v>
      </c>
      <c r="H1" s="315">
        <f>G1*13%</f>
        <v>3619242.3800000004</v>
      </c>
      <c r="I1" s="315">
        <f>SUM(tblPiNAnalysis[SAMV])</f>
        <v>5099878.6878000004</v>
      </c>
      <c r="J1" s="315">
        <f>SUM(tblPiNAnalysis[NUT])</f>
        <v>1282418.3584067647</v>
      </c>
      <c r="K1" s="315">
        <f>SUM(tblPiNAnalysis[SAL])</f>
        <v>10537415.136965141</v>
      </c>
      <c r="L1" s="315">
        <f>SUM(tblPiNAnalysis[EDU])</f>
        <v>3254789.6794520281</v>
      </c>
      <c r="M1" s="315">
        <f>SUM(tblPiNAnalysis[PRO])</f>
        <v>5969598.3836873844</v>
      </c>
      <c r="N1" s="315">
        <f>SUM(tblPiNAnalysis[ASH])</f>
        <v>5179743.3924999991</v>
      </c>
      <c r="O1" s="315">
        <f>SUM(tblPiNAnalysis[NNA])</f>
        <v>1912472.5245164516</v>
      </c>
      <c r="P1" s="315">
        <f>SUM(tblPiNAnalysis[VBG])</f>
        <v>2089359.4342905867</v>
      </c>
      <c r="Q1" s="7"/>
      <c r="R1" s="7"/>
      <c r="S1" s="7"/>
      <c r="T1" s="7"/>
      <c r="U1" s="7"/>
      <c r="V1" s="7"/>
      <c r="W1" s="7"/>
      <c r="X1" s="7"/>
      <c r="Y1" s="5"/>
      <c r="Z1" s="5"/>
      <c r="AA1" s="5"/>
      <c r="AB1" s="45" t="str">
        <f>_xlfn.CONCAT(COUNTIF(tblPiNAnalysis[Número de PiN ausentes/cero superior al umbral - Calidad de los datos],"Flagged"), "/", COUNTA(tblPiNAnalysis[Número de PiN ausentes/cero superior al umbral - Calidad de los datos]), " (", ROUND((COUNTIF(tblPiNAnalysis[Número de PiN ausentes/cero superior al umbral - Calidad de los datos],"Flagged")/(COUNTA(tblPiNAnalysis[Número de PiN ausentes/cero superior al umbral - Calidad de los datos]) + COUNTBLANK(tblPiNAnalysis[Número de PiN ausentes/cero superior al umbral - Calidad de los datos])))*100, 0), "%) flagged")</f>
        <v>5/335 (1%) flagged</v>
      </c>
      <c r="AC1" s="45" t="str">
        <f>_xlfn.CONCAT(COUNTIF(tblPiNAnalysis[PiN superior al 90 % de la población total afectada],"Flagged"), "/", COUNTA(tblPiNAnalysis[Admin1]), " (", ROUND((COUNTIF(tblPiNAnalysis[PiN superior al 90 % de la población total afectada],"Flagged")/(COUNTA(tblPiNAnalysis[PiN superior al 90 % de la población total afectada]) + COUNTBLANK(tblPiNAnalysis[PiN superior al 90 % de la población total afectada])))*100, 0), "%) flagged")</f>
        <v>0/335 (0%) flagged</v>
      </c>
      <c r="AD1" s="44" t="str">
        <f>_xlfn.CONCAT(COUNTIF(tblPiNAnalysis[El sector más alto se dirige a subgrupos de población],"Flagged"), "/", COUNTA(tblPiNAnalysis[Admin1]), " (", ROUND((COUNTIF(tblPiNAnalysis[El sector más alto se dirige a subgrupos de población],"Flagged")/(COUNTA(tblPiNAnalysis[El sector más alto se dirige a subgrupos de población]) + COUNTBLANK(tblPiNAnalysis[El sector más alto se dirige a subgrupos de población])))*100, 0), "%) flagged")</f>
        <v>0/335 (0%) flagged</v>
      </c>
      <c r="AE1" s="7"/>
      <c r="AF1" s="5"/>
      <c r="AG1" s="31"/>
      <c r="AH1" s="9"/>
      <c r="AI1" s="5"/>
      <c r="AJ1" s="44" t="str">
        <f>_xlfn.CONCAT(COUNTIF(tblPiNAnalysis[% de diferencia por encima de un umbral especificado entre el más alto y el segundo más alto],"Flagged"), "/", COUNTA(tblPiNAnalysis[Admin1]), " (", ROUND((COUNTIF(tblPiNAnalysis[% de diferencia por encima de un umbral especificado entre el más alto y el segundo más alto],"Flagged")/(COUNTA(tblPiNAnalysis[% de diferencia por encima de un umbral especificado entre el más alto y el segundo más alto]) + COUNTBLANK(tblPiNAnalysis[% de diferencia por encima de un umbral especificado entre el más alto y el segundo más alto])))*100, 0), "%) flagged")</f>
        <v>255/335 (61%) flagged</v>
      </c>
      <c r="AK1" s="7"/>
      <c r="AL1" s="5"/>
      <c r="AM1" s="5"/>
      <c r="AN1" s="7"/>
      <c r="AO1" s="5"/>
      <c r="AP1" s="44" t="str">
        <f>_xlfn.CONCAT(COUNTIF(tblPiNAnalysis[% de diferencia por encima de un umbral especificado entre el más alto y el 3° más alto],"Flagged"), "/", COUNTA(tblPiNAnalysis[Admin1]), " (", ROUND((COUNTIF(tblPiNAnalysis[% de diferencia por encima de un umbral especificado entre el más alto y el 3° más alto],"Flagged")/(COUNTA(tblPiNAnalysis[% de diferencia por encima de un umbral especificado entre el más alto y el 3° más alto]) + COUNTBLANK(tblPiNAnalysis[% de diferencia por encima de un umbral especificado entre el más alto y el 3° más alto])))*100, 0), "%) flagged")</f>
        <v>328/335 (96%) flagged</v>
      </c>
      <c r="AQ1" s="44"/>
      <c r="AR1" s="44" t="str">
        <f>_xlfn.CONCAT(COUNTIF(tblPiNAnalysis[La variación con respecto al año pasado para el sector o sectores más altos ha aumentado o disminuido significativamente],"Flagged"), "/", COUNTA(tblPiNAnalysis[Admin1]), " (", ROUND((COUNTIF(tblPiNAnalysis[La variación con respecto al año pasado para el sector o sectores más altos ha aumentado o disminuido significativamente],"Flagged")/(COUNTA(tblPiNAnalysis[La variación con respecto al año pasado para el sector o sectores más altos ha aumentado o disminuido significativamente]) + COUNTBLANK(tblPiNAnalysis[La variación con respecto al año pasado para el sector o sectores más altos ha aumentado o disminuido significativamente])))*100, 0), "%) flagged")</f>
        <v>130/335 (24%) flagged</v>
      </c>
      <c r="AS1" s="44"/>
      <c r="AT1" s="44" t="str">
        <f>_xlfn.CONCAT(COUNTIF(tblPiNAnalysis[[ ]],"Flagged"), "/", COUNTA(tblPiNAnalysis[Admin1]), " (", ROUND((COUNTIF(tblPiNAnalysis[[ ]],"Flagged")/(COUNTA(tblPiNAnalysis[[ ]]) + COUNTBLANK(tblPiNAnalysis[[ ]])))*100, 0), "%) flagged")</f>
        <v>115/335 (21%) flagged</v>
      </c>
      <c r="AU1" s="86"/>
      <c r="AV1" s="215">
        <f>SUM(tblPiNAnalysis[PiN preliminar])</f>
        <v>9599374.3966150656</v>
      </c>
      <c r="AW1" s="44" t="str">
        <f>_xlfn.CONCAT(COUNTIF(tblPiNAnalysis[Marcador manual],"Flagged"), "/", COUNTA(tblPiNAnalysis[Admin1]), " (", ROUND((COUNTIF(tblPiNAnalysis[Marcador manual],"Flagged")/(COUNTA(tblPiNAnalysis[Marcador manual]) + COUNTBLANK(tblPiNAnalysis[Marcador manual])))*100, 0), "%) flagged")</f>
        <v>0/335 (0%) flagged</v>
      </c>
      <c r="AX1" s="52"/>
      <c r="AY1" s="447" t="str">
        <f>_xlfn.CONCAT(COUNTIF(tblPiNAnalysis[Marcado],"Flagged"), "/", COUNTA(tblPiNAnalysis[Admin1]), " (", ROUND((COUNTIF(tblPiNAnalysis[Marcado],"Flagged")/(COUNTA(tblPiNAnalysis[Marcado]) + COUNTBLANK(tblPiNAnalysis[Marcado])))*100, 0), "%) flagged")</f>
        <v>331/335 (98%) flagged</v>
      </c>
      <c r="AZ1" s="448"/>
      <c r="BA1" s="216">
        <f>SUM(tblPiNAnalysis[PiN final])</f>
        <v>9599374.3966150656</v>
      </c>
      <c r="BB1" s="216"/>
      <c r="BC1" s="265">
        <f>SUM(tblPiNAnalysis[Población meta])</f>
        <v>5453577.4758075317</v>
      </c>
      <c r="BD1" s="265">
        <f>SUM(tblPiNAnalysis[Población priorizada])</f>
        <v>1307780.5550000002</v>
      </c>
      <c r="BE1"/>
      <c r="BF1"/>
      <c r="BG1"/>
      <c r="BH1"/>
      <c r="BK1"/>
      <c r="BL1"/>
      <c r="BM1"/>
      <c r="BN1"/>
      <c r="BO1"/>
      <c r="BP1"/>
      <c r="BS1"/>
      <c r="BU1"/>
      <c r="BV1"/>
      <c r="BW1"/>
    </row>
    <row r="2" spans="1:75" ht="79.900000000000006" customHeight="1" thickTop="1" thickBot="1">
      <c r="A2" s="352"/>
      <c r="B2" s="449" t="s">
        <v>61</v>
      </c>
      <c r="C2" s="450"/>
      <c r="D2" s="450"/>
      <c r="E2" s="450"/>
      <c r="F2" s="353"/>
      <c r="G2" s="449" t="s">
        <v>62</v>
      </c>
      <c r="H2" s="451"/>
      <c r="I2" s="453" t="s">
        <v>749</v>
      </c>
      <c r="J2" s="454"/>
      <c r="K2" s="454"/>
      <c r="L2" s="454"/>
      <c r="M2" s="454"/>
      <c r="N2" s="454"/>
      <c r="O2" s="463" t="s">
        <v>750</v>
      </c>
      <c r="P2" s="464"/>
      <c r="Q2" s="465" t="s">
        <v>751</v>
      </c>
      <c r="R2" s="466"/>
      <c r="S2" s="466"/>
      <c r="T2" s="466"/>
      <c r="U2" s="466"/>
      <c r="V2" s="467"/>
      <c r="W2" s="466" t="s">
        <v>752</v>
      </c>
      <c r="X2" s="466"/>
      <c r="Y2" s="460" t="s">
        <v>753</v>
      </c>
      <c r="Z2" s="461"/>
      <c r="AA2" s="461"/>
      <c r="AB2" s="461"/>
      <c r="AC2" s="461"/>
      <c r="AD2" s="462"/>
      <c r="AE2" s="455" t="s">
        <v>754</v>
      </c>
      <c r="AF2" s="455"/>
      <c r="AG2" s="455"/>
      <c r="AH2" s="457" t="s">
        <v>755</v>
      </c>
      <c r="AI2" s="457"/>
      <c r="AJ2" s="457"/>
      <c r="AK2" s="455" t="s">
        <v>756</v>
      </c>
      <c r="AL2" s="455"/>
      <c r="AM2" s="455"/>
      <c r="AN2" s="457" t="s">
        <v>757</v>
      </c>
      <c r="AO2" s="457"/>
      <c r="AP2" s="457"/>
      <c r="AQ2" s="470" t="s">
        <v>758</v>
      </c>
      <c r="AR2" s="471"/>
      <c r="AS2" s="471"/>
      <c r="AT2" s="472"/>
      <c r="AU2" s="468"/>
      <c r="AV2" s="469"/>
      <c r="AW2" s="456" t="s">
        <v>45</v>
      </c>
      <c r="AX2" s="456"/>
      <c r="AY2" s="458" t="s">
        <v>759</v>
      </c>
      <c r="AZ2" s="459"/>
      <c r="BA2" s="452"/>
      <c r="BB2" s="452"/>
      <c r="BC2" s="446" t="s">
        <v>760</v>
      </c>
      <c r="BD2" s="446"/>
      <c r="BE2"/>
      <c r="BF2"/>
      <c r="BG2"/>
      <c r="BH2"/>
      <c r="BK2"/>
      <c r="BL2"/>
      <c r="BM2"/>
      <c r="BN2"/>
      <c r="BO2"/>
      <c r="BP2"/>
      <c r="BS2"/>
      <c r="BU2"/>
      <c r="BV2"/>
      <c r="BW2"/>
    </row>
    <row r="3" spans="1:75" ht="84.4" customHeight="1" thickTop="1" thickBot="1">
      <c r="A3" s="17" t="s">
        <v>67</v>
      </c>
      <c r="B3" s="43" t="s">
        <v>761</v>
      </c>
      <c r="C3" s="36" t="s">
        <v>762</v>
      </c>
      <c r="D3" s="36" t="s">
        <v>763</v>
      </c>
      <c r="E3" s="36" t="s">
        <v>764</v>
      </c>
      <c r="F3" s="354" t="s">
        <v>72</v>
      </c>
      <c r="G3" s="355" t="s">
        <v>62</v>
      </c>
      <c r="H3" s="17" t="s">
        <v>765</v>
      </c>
      <c r="I3" s="32" t="s">
        <v>92</v>
      </c>
      <c r="J3" s="32" t="s">
        <v>93</v>
      </c>
      <c r="K3" s="32" t="s">
        <v>94</v>
      </c>
      <c r="L3" s="32" t="s">
        <v>95</v>
      </c>
      <c r="M3" s="32" t="s">
        <v>96</v>
      </c>
      <c r="N3" s="40" t="s">
        <v>97</v>
      </c>
      <c r="O3" s="292" t="s">
        <v>766</v>
      </c>
      <c r="P3" s="292" t="s">
        <v>767</v>
      </c>
      <c r="Q3" s="49" t="s">
        <v>768</v>
      </c>
      <c r="R3" s="50" t="s">
        <v>769</v>
      </c>
      <c r="S3" s="50" t="s">
        <v>770</v>
      </c>
      <c r="T3" s="27" t="s">
        <v>771</v>
      </c>
      <c r="U3" s="27" t="s">
        <v>772</v>
      </c>
      <c r="V3" s="28" t="s">
        <v>773</v>
      </c>
      <c r="W3" s="46" t="s">
        <v>774</v>
      </c>
      <c r="X3" s="46" t="s">
        <v>775</v>
      </c>
      <c r="Y3" s="18" t="s">
        <v>776</v>
      </c>
      <c r="Z3" s="19" t="s">
        <v>753</v>
      </c>
      <c r="AA3" s="19" t="s">
        <v>777</v>
      </c>
      <c r="AB3" s="20" t="s">
        <v>778</v>
      </c>
      <c r="AC3" s="20" t="s">
        <v>41</v>
      </c>
      <c r="AD3" s="20" t="s">
        <v>779</v>
      </c>
      <c r="AE3" s="51" t="s">
        <v>780</v>
      </c>
      <c r="AF3" s="22" t="s">
        <v>754</v>
      </c>
      <c r="AG3" s="58" t="s">
        <v>781</v>
      </c>
      <c r="AH3" s="23" t="s">
        <v>782</v>
      </c>
      <c r="AI3" s="24" t="s">
        <v>783</v>
      </c>
      <c r="AJ3" s="25" t="s">
        <v>784</v>
      </c>
      <c r="AK3" s="39" t="s">
        <v>785</v>
      </c>
      <c r="AL3" s="38" t="s">
        <v>756</v>
      </c>
      <c r="AM3" s="38" t="s">
        <v>786</v>
      </c>
      <c r="AN3" s="23" t="s">
        <v>787</v>
      </c>
      <c r="AO3" s="24" t="s">
        <v>788</v>
      </c>
      <c r="AP3" s="25" t="s">
        <v>789</v>
      </c>
      <c r="AQ3" s="23" t="s">
        <v>790</v>
      </c>
      <c r="AR3" s="48" t="s">
        <v>791</v>
      </c>
      <c r="AS3" s="23" t="s">
        <v>792</v>
      </c>
      <c r="AT3" s="47" t="s">
        <v>793</v>
      </c>
      <c r="AU3" s="217" t="s">
        <v>794</v>
      </c>
      <c r="AV3" s="218" t="s">
        <v>795</v>
      </c>
      <c r="AW3" s="26" t="s">
        <v>45</v>
      </c>
      <c r="AX3" s="21" t="s">
        <v>796</v>
      </c>
      <c r="AY3" s="41" t="s">
        <v>797</v>
      </c>
      <c r="AZ3" s="80" t="s">
        <v>798</v>
      </c>
      <c r="BA3" s="82" t="s">
        <v>799</v>
      </c>
      <c r="BB3" s="83" t="s">
        <v>800</v>
      </c>
      <c r="BC3" s="221" t="s">
        <v>801</v>
      </c>
      <c r="BD3" s="221" t="s">
        <v>802</v>
      </c>
      <c r="BE3"/>
      <c r="BF3"/>
      <c r="BG3"/>
      <c r="BH3"/>
      <c r="BK3"/>
      <c r="BL3"/>
      <c r="BM3"/>
      <c r="BN3"/>
      <c r="BO3"/>
      <c r="BP3"/>
      <c r="BS3"/>
      <c r="BU3"/>
      <c r="BV3"/>
      <c r="BW3"/>
    </row>
    <row r="4" spans="1:75" s="59" customFormat="1" ht="15" thickTop="1">
      <c r="A4" s="101" t="str">
        <f>IFERROR(_xlfn.CONCAT(IF(tblPiNAnalysis[[#This Row],[Grupo]]="", "",tblPiNAnalysis[[#This Row],[Grupo]] ),  _xlfn.IFS(tblPiNAnalysis[[#This Row],[Admin2PCODE]]&lt;&gt;"", tblPiNAnalysis[[#This Row],[Admin2PCODE]], tblPiNAnalysis[[#This Row],[Admin1PCODE]]&lt;&gt;"", tblPiNAnalysis[[#This Row],[Admin1PCODE]])),"")</f>
        <v>VenezolanosVE0101</v>
      </c>
      <c r="B4" s="101" t="s">
        <v>98</v>
      </c>
      <c r="C4" s="104" t="s">
        <v>99</v>
      </c>
      <c r="D4" s="129" t="s">
        <v>100</v>
      </c>
      <c r="E4" s="130" t="s">
        <v>101</v>
      </c>
      <c r="F4" s="356"/>
      <c r="G4" s="357">
        <v>1987792</v>
      </c>
      <c r="H4" s="103" t="s">
        <v>102</v>
      </c>
      <c r="I4" s="60">
        <v>407399</v>
      </c>
      <c r="J4" s="134">
        <v>72481.959421549807</v>
      </c>
      <c r="K4" s="57">
        <v>725544.08</v>
      </c>
      <c r="L4" s="57">
        <v>246169.73099071888</v>
      </c>
      <c r="M4" s="57">
        <v>475623.18</v>
      </c>
      <c r="N4" s="57">
        <v>268351.92</v>
      </c>
      <c r="O4" s="57">
        <v>152199.41759999999</v>
      </c>
      <c r="P4" s="57">
        <v>166468.11299999998</v>
      </c>
      <c r="Q4" s="61">
        <f>IFERROR(IF(tblPiNAnalysis[[#This Row],[SAMV]]="", "", MROUND(tblPiNAnalysis[[#This Row],[SAMV]]/tblPiNAnalysis[[#This Row],[Población]], 0.05)), "")</f>
        <v>0.2</v>
      </c>
      <c r="R4" s="62">
        <f>IFERROR(IF(tblPiNAnalysis[[#This Row],[NUT]]="", "", MROUND(tblPiNAnalysis[[#This Row],[NUT]]/tblPiNAnalysis[[#This Row],[Población]], 0.05)), "")</f>
        <v>0.05</v>
      </c>
      <c r="S4" s="62">
        <f>IFERROR(IF(tblPiNAnalysis[[#This Row],[SAL]]="", "", MROUND(tblPiNAnalysis[[#This Row],[SAL]]/tblPiNAnalysis[[#This Row],[Población]], 0.05)), "")</f>
        <v>0.35000000000000003</v>
      </c>
      <c r="T4" s="62">
        <f>IFERROR(IF(tblPiNAnalysis[[#This Row],[EDU]]="", "", MROUND(tblPiNAnalysis[[#This Row],[EDU]]/tblPiNAnalysis[[#This Row],[Población]], 0.05)), "")</f>
        <v>0.1</v>
      </c>
      <c r="U4" s="62">
        <f>IFERROR(IF(tblPiNAnalysis[[#This Row],[PRO]]="", "", MROUND(tblPiNAnalysis[[#This Row],[PRO]]/tblPiNAnalysis[[#This Row],[Población]], 0.05)), "")</f>
        <v>0.25</v>
      </c>
      <c r="V4" s="63">
        <f>IFERROR(IF(tblPiNAnalysis[[#This Row],[ASH]]="", "", MROUND(tblPiNAnalysis[[#This Row],[ASH]]/tblPiNAnalysis[[#This Row],[Población]], 0.05)), "")</f>
        <v>0.15000000000000002</v>
      </c>
      <c r="W4" s="62">
        <f>IFERROR(MROUND(tblPiNAnalysis[[#This Row],[NNA]]/tblPiNAnalysis[[#This Row],[Población]], 0.05), "")</f>
        <v>0.1</v>
      </c>
      <c r="X4" s="62">
        <f>IFERROR(MROUND(tblPiNAnalysis[[#This Row],[VBG]]/tblPiNAnalysis[[#This Row],[Población]], 0.05), "")</f>
        <v>0.1</v>
      </c>
      <c r="Y4" s="64">
        <f>IFERROR(LARGE(tblPiNAnalysis[[#This Row],[SAMV]:[ASH]], 1), "")</f>
        <v>725544.08</v>
      </c>
      <c r="Z4" s="65" t="str" cm="1">
        <f t="array" ref="Z4">IF(tblPiNAnalysis[[#This Row],[PiN más alto]]="", "", _xlfn.TEXTJOIN(CHAR(10), TRUE, IF(tblPiNAnalysis[[#This Row],[PiN más alto]]=tblPiNAnalysis[[#This Row],[SAMV]:[ASH]], tblPiNAnalysis[[#Headers],[SAMV]:[ASH]], "")))</f>
        <v>SAL</v>
      </c>
      <c r="AA4" s="66">
        <f>IF(tblPiNAnalysis[[#This Row],[PiN más alto]]="", "", tblPiNAnalysis[[#This Row],[PiN más alto]]/tblPiNAnalysis[[#This Row],[Población]])</f>
        <v>0.36499999999999999</v>
      </c>
      <c r="AB4" s="67" t="str">
        <f>IF(SUM(tblPiNAnalysis[[#This Row],[SAMV]:[ASH]])=0, "",IF(COUNTIF(tblPiNAnalysis[[#This Row],[SAMV]:[ASH]],"=0")+COUNTIF(tblPiNAnalysis[[#This Row],[SAMV]:[ASH]],"")&gt;=zero_pin_thresh, "Flagged", ""))</f>
        <v/>
      </c>
      <c r="AC4" s="66" t="str">
        <f>IFERROR(IF(tblPiNAnalysis[[#This Row],[PiN más alto]]="", "", IF(tblPiNAnalysis[[#This Row],[% PiN Sectores más altos]]&gt;=flag_pin_perc, "Flagged", "")), "")</f>
        <v/>
      </c>
      <c r="AD4" s="68" t="str" cm="1">
        <f t="array" ref="AD4">IF(tblPiNAnalysis[[#This Row],[PiN más alto]]=0, "",  IF(OR(COUNTIF(tblPiNAnalysis[[#This Row],[Sectores más altos]],tblSubSectorPopulation[Sector])), "Flagged", ""))</f>
        <v/>
      </c>
      <c r="AE4" s="69" cm="1">
        <f t="array" ref="AE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475623.18</v>
      </c>
      <c r="AF4" s="70" t="str" cm="1">
        <f t="array" ref="AF4">IF(tblPiNAnalysis[[#This Row],[2º PiN más alto]]="", "", _xlfn.TEXTJOIN(CHAR(10), TRUE, IF(tblPiNAnalysis[[#This Row],[2º PiN más alto]]=tblPiNAnalysis[[#This Row],[SAMV]:[ASH]], tblPiNAnalysis[[#Headers],[SAMV]:[ASH]], "")))</f>
        <v>PRO</v>
      </c>
      <c r="AG4" s="13">
        <f>IFERROR(tblPiNAnalysis[[#This Row],[2º PiN más alto]]/tblPiNAnalysis[[#This Row],[Población]], "")</f>
        <v>0.23927210694076642</v>
      </c>
      <c r="AH4" s="16">
        <f>IFERROR(tblPiNAnalysis[[#This Row],[PiN más alto]]-tblPiNAnalysis[[#This Row],[2º PiN más alto]], "")</f>
        <v>249920.89999999997</v>
      </c>
      <c r="AI4" s="14">
        <f>IFERROR(((tblPiNAnalysis[[#This Row],[PiN más alto]]-tblPiNAnalysis[[#This Row],[2º PiN más alto]])/tblPiNAnalysis[[#This Row],[2º PiN más alto]]),"")</f>
        <v>0.52545988191744564</v>
      </c>
      <c r="AJ4" s="71" t="str" cm="1">
        <f t="array" ref="AJ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4" s="72" cm="1">
        <f t="array" ref="AK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407399</v>
      </c>
      <c r="AL4" s="73" t="str" cm="1">
        <f t="array" ref="AL4">IF(tblPiNAnalysis[[#This Row],[3º PiN más alto]]="", "", _xlfn.TEXTJOIN(CHAR(10), TRUE, IF(tblPiNAnalysis[[#This Row],[3º PiN más alto]]=tblPiNAnalysis[[#This Row],[SAMV]:[ASH]], tblPiNAnalysis[[#Headers],[SAMV]:[ASH]], "")))</f>
        <v>SAMV</v>
      </c>
      <c r="AM4" s="53">
        <f>IFERROR(tblPiNAnalysis[[#This Row],[3º PiN más alto]]/tblPiNAnalysis[[#This Row],[Población]], "")</f>
        <v>0.20495051796163782</v>
      </c>
      <c r="AN4" s="16">
        <f>IFERROR(tblPiNAnalysis[[#This Row],[PiN más alto]]-tblPiNAnalysis[[#This Row],[3º PiN más alto]],"")</f>
        <v>318145.07999999996</v>
      </c>
      <c r="AO4" s="14">
        <f>IFERROR(tblPiNAnalysis[[#This Row],[Diferencia de PiN entre el más alto y el 3º más alto]]/tblPiNAnalysis[[#This Row],[3º PiN más alto]], "")</f>
        <v>0.78091767530111744</v>
      </c>
      <c r="AP4" s="68" t="str" cm="1">
        <f t="array" ref="AP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4" s="84" cm="1">
        <f t="array" ref="AQ4">IFERROR(IF(tblPiNAnalysis[[#This Row],[ID]]="", "", INDEX(tblPiNHistorical[[SAMV]:[ASH]], MATCH(tblPiNAnalysis[[#This Row],[ID]],tblPiNHistorical[ID], 0),MATCH(_xlfn._xlws.FILTER(tblPiNAnalysis[[#Headers],[SAMV]:[ASH]], tblPiNAnalysis[[#This Row],[PiN más alto]]=tblPiNAnalysis[[#This Row],[SAMV]:[ASH]]), tblPiNHistorical[[#Headers],[SAMV]:[ASH]], 0))), "")</f>
        <v>0.4</v>
      </c>
      <c r="AR4" s="74" t="str" cm="1">
        <f t="array" ref="AR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4" s="74" cm="1">
        <f t="array" ref="AS4">IFERROR(IF(tblPiNAnalysis[[#This Row],[ID]]="", "", INDEX(tblPiNHistorical[[SAMV]:[ASH]], MATCH(tblPiNAnalysis[[#This Row],[ID]],tblPiNHistorical[ID], 0),MATCH(_xlfn._xlws.FILTER(tblPiNAnalysis[[#Headers],[SAMV]:[ASH]], tblPiNAnalysis[[#This Row],[2º PiN más alto]]=tblPiNAnalysis[[#This Row],[SAMV]:[ASH]]), tblPiNHistorical[[#Headers],[SAMV]:[ASH]], 0))), "")</f>
        <v>-0.1</v>
      </c>
      <c r="AT4" s="75" t="str" cm="1">
        <f t="array" ref="AT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4" s="219">
        <f>INDEX(tblSeverityAnalysis[Severidad final], MATCH(tblPiNAnalysis[[#This Row],[ID]],tblSeverityAnalysis[ID], 0))</f>
        <v>3</v>
      </c>
      <c r="AV4" s="220">
        <f>IF(tblPiNAnalysis[[#This Row],[Severidad]]&gt;2,tblPiNAnalysis[[#This Row],[PiN más alto]],)</f>
        <v>725544.08</v>
      </c>
      <c r="AW4" s="54"/>
      <c r="AX4" s="55"/>
      <c r="AY4" s="56">
        <f>COUNTIFS(tblPiNAnalysis[[#This Row],[Número de PiN ausentes/cero superior al umbral - Calidad de los datos]:[Marcador manual]],"Flagged")</f>
        <v>2</v>
      </c>
      <c r="AZ4" s="81" t="str">
        <f>IF(tblPiNAnalysis[[#This Row],[Número de marcadores]]&gt;0, "Flagged", "")</f>
        <v>Flagged</v>
      </c>
      <c r="BA4" s="65">
        <f>tblPiNAnalysis[[#This Row],[PiN preliminar]]</f>
        <v>725544.08</v>
      </c>
      <c r="BB4" s="70"/>
      <c r="BC4" s="70">
        <f>IFERROR(IF(tblPiNAnalysis[[#This Row],[Severidad]]=3,tblPiNAnalysis[[#This Row],[PiN final]]*Umbrales!$D$33,tblPiNAnalysis[[#This Row],[PiN final]]*Umbrales!$D$34),)</f>
        <v>362772.04</v>
      </c>
      <c r="BD4" s="70">
        <f>IFERROR(IF(tblPiNAnalysis[[#This Row],[Severidad]]&gt;3,tblPiNAnalysis[[#This Row],[PiN final]]*Umbrales!$D$34,),)</f>
        <v>0</v>
      </c>
      <c r="BE4" s="76"/>
      <c r="BF4" s="76"/>
      <c r="BG4" s="76"/>
      <c r="BH4" s="76"/>
      <c r="BK4" s="77"/>
      <c r="BL4" s="76"/>
      <c r="BM4" s="76"/>
      <c r="BN4" s="76"/>
      <c r="BO4" s="76"/>
      <c r="BP4" s="76"/>
      <c r="BS4" s="76"/>
      <c r="BU4" s="78"/>
      <c r="BV4" s="79"/>
      <c r="BW4" s="76"/>
    </row>
    <row r="5" spans="1:75" s="59" customFormat="1">
      <c r="A5" s="101" t="str">
        <f>IFERROR(_xlfn.CONCAT(IF(tblPiNAnalysis[[#This Row],[Grupo]]="", "",tblPiNAnalysis[[#This Row],[Grupo]] ),  _xlfn.IFS(tblPiNAnalysis[[#This Row],[Admin2PCODE]]&lt;&gt;"", tblPiNAnalysis[[#This Row],[Admin2PCODE]], tblPiNAnalysis[[#This Row],[Admin1PCODE]]&lt;&gt;"", tblPiNAnalysis[[#This Row],[Admin1PCODE]])),"")</f>
        <v>VenezolanosVE2313</v>
      </c>
      <c r="B5" s="105" t="s">
        <v>705</v>
      </c>
      <c r="C5" s="104" t="s">
        <v>706</v>
      </c>
      <c r="D5" s="119" t="s">
        <v>731</v>
      </c>
      <c r="E5" s="104" t="s">
        <v>732</v>
      </c>
      <c r="F5" s="358"/>
      <c r="G5" s="357">
        <v>1492399</v>
      </c>
      <c r="H5" s="103" t="s">
        <v>102</v>
      </c>
      <c r="I5" s="60">
        <v>236854</v>
      </c>
      <c r="J5" s="134">
        <v>74440.982456016151</v>
      </c>
      <c r="K5" s="57">
        <v>544725.63500000001</v>
      </c>
      <c r="L5" s="87">
        <v>276989.54409941752</v>
      </c>
      <c r="M5" s="87">
        <v>355702.25368979014</v>
      </c>
      <c r="N5" s="57">
        <v>201473.86500000002</v>
      </c>
      <c r="O5" s="57">
        <v>114180.42343442264</v>
      </c>
      <c r="P5" s="57">
        <v>124495.78879142654</v>
      </c>
      <c r="Q5" s="88">
        <f>IFERROR(IF(tblPiNAnalysis[[#This Row],[SAMV]]="", "", MROUND(tblPiNAnalysis[[#This Row],[SAMV]]/tblPiNAnalysis[[#This Row],[Población]], 0.05)), "")</f>
        <v>0.15000000000000002</v>
      </c>
      <c r="R5" s="89">
        <f>IFERROR(IF(tblPiNAnalysis[[#This Row],[NUT]]="", "", MROUND(tblPiNAnalysis[[#This Row],[NUT]]/tblPiNAnalysis[[#This Row],[Población]], 0.05)), "")</f>
        <v>0.05</v>
      </c>
      <c r="S5" s="89">
        <f>IFERROR(IF(tblPiNAnalysis[[#This Row],[SAL]]="", "", MROUND(tblPiNAnalysis[[#This Row],[SAL]]/tblPiNAnalysis[[#This Row],[Población]], 0.05)), "")</f>
        <v>0.35000000000000003</v>
      </c>
      <c r="T5" s="89">
        <f>IFERROR(IF(tblPiNAnalysis[[#This Row],[EDU]]="", "", MROUND(tblPiNAnalysis[[#This Row],[EDU]]/tblPiNAnalysis[[#This Row],[Población]], 0.05)), "")</f>
        <v>0.2</v>
      </c>
      <c r="U5" s="89">
        <f>IFERROR(IF(tblPiNAnalysis[[#This Row],[PRO]]="", "", MROUND(tblPiNAnalysis[[#This Row],[PRO]]/tblPiNAnalysis[[#This Row],[Población]], 0.05)), "")</f>
        <v>0.25</v>
      </c>
      <c r="V5" s="90">
        <f>IFERROR(IF(tblPiNAnalysis[[#This Row],[ASH]]="", "", MROUND(tblPiNAnalysis[[#This Row],[ASH]]/tblPiNAnalysis[[#This Row],[Población]], 0.05)), "")</f>
        <v>0.15000000000000002</v>
      </c>
      <c r="W5" s="89">
        <f>IFERROR(MROUND(tblPiNAnalysis[[#This Row],[NNA]]/tblPiNAnalysis[[#This Row],[Población]], 0.05), "")</f>
        <v>0.1</v>
      </c>
      <c r="X5" s="89">
        <f>IFERROR(MROUND(tblPiNAnalysis[[#This Row],[VBG]]/tblPiNAnalysis[[#This Row],[Población]], 0.05), "")</f>
        <v>0.1</v>
      </c>
      <c r="Y5" s="91">
        <f>IFERROR(LARGE(tblPiNAnalysis[[#This Row],[SAMV]:[ASH]], 1), "")</f>
        <v>544725.63500000001</v>
      </c>
      <c r="Z5" s="92" t="str" cm="1">
        <f t="array" ref="Z5">IF(tblPiNAnalysis[[#This Row],[PiN más alto]]="", "", _xlfn.TEXTJOIN(CHAR(10), TRUE, IF(tblPiNAnalysis[[#This Row],[PiN más alto]]=tblPiNAnalysis[[#This Row],[SAMV]:[ASH]], tblPiNAnalysis[[#Headers],[SAMV]:[ASH]], "")))</f>
        <v>SAL</v>
      </c>
      <c r="AA5" s="93">
        <f>IF(tblPiNAnalysis[[#This Row],[PiN más alto]]="", "", tblPiNAnalysis[[#This Row],[PiN más alto]]/tblPiNAnalysis[[#This Row],[Población]])</f>
        <v>0.36499999999999999</v>
      </c>
      <c r="AB5" s="94" t="str">
        <f>IF(SUM(tblPiNAnalysis[[#This Row],[SAMV]:[ASH]])=0, "",IF(COUNTIF(tblPiNAnalysis[[#This Row],[SAMV]:[ASH]],"=0")+COUNTIF(tblPiNAnalysis[[#This Row],[SAMV]:[ASH]],"")&gt;=zero_pin_thresh, "Flagged", ""))</f>
        <v/>
      </c>
      <c r="AC5" s="95" t="str">
        <f>IFERROR(IF(tblPiNAnalysis[[#This Row],[PiN más alto]]="", "", IF(tblPiNAnalysis[[#This Row],[% PiN Sectores más altos]]&gt;=flag_pin_perc, "Flagged", "")), "")</f>
        <v/>
      </c>
      <c r="AD5" s="96" t="str" cm="1">
        <f t="array" ref="AD5">IF(tblPiNAnalysis[[#This Row],[PiN más alto]]=0, "",  IF(OR(COUNTIF(tblPiNAnalysis[[#This Row],[Sectores más altos]],tblSubSectorPopulation[Sector])), "Flagged", ""))</f>
        <v/>
      </c>
      <c r="AE5" s="16" cm="1">
        <f t="array" ref="AE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355702.25368979014</v>
      </c>
      <c r="AF5" s="97" t="str" cm="1">
        <f t="array" ref="AF5">IF(tblPiNAnalysis[[#This Row],[2º PiN más alto]]="", "", _xlfn.TEXTJOIN(CHAR(10), TRUE, IF(tblPiNAnalysis[[#This Row],[2º PiN más alto]]=tblPiNAnalysis[[#This Row],[SAMV]:[ASH]], tblPiNAnalysis[[#Headers],[SAMV]:[ASH]], "")))</f>
        <v>PRO</v>
      </c>
      <c r="AG5" s="12">
        <f>IFERROR(tblPiNAnalysis[[#This Row],[2º PiN más alto]]/tblPiNAnalysis[[#This Row],[Población]], "")</f>
        <v>0.23834259718064013</v>
      </c>
      <c r="AH5" s="16">
        <f>IFERROR(tblPiNAnalysis[[#This Row],[PiN más alto]]-tblPiNAnalysis[[#This Row],[2º PiN más alto]], "")</f>
        <v>189023.38131020986</v>
      </c>
      <c r="AI5" s="14">
        <f>IFERROR(((tblPiNAnalysis[[#This Row],[PiN más alto]]-tblPiNAnalysis[[#This Row],[2º PiN más alto]])/tblPiNAnalysis[[#This Row],[2º PiN más alto]]),"")</f>
        <v>0.53140900668866209</v>
      </c>
      <c r="AJ5" s="14" t="str" cm="1">
        <f t="array" ref="AJ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5" s="98" cm="1">
        <f t="array" ref="AK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276989.54409941752</v>
      </c>
      <c r="AL5" s="53" t="str" cm="1">
        <f t="array" ref="AL5">IF(tblPiNAnalysis[[#This Row],[3º PiN más alto]]="", "", _xlfn.TEXTJOIN(CHAR(10), TRUE, IF(tblPiNAnalysis[[#This Row],[3º PiN más alto]]=tblPiNAnalysis[[#This Row],[SAMV]:[ASH]], tblPiNAnalysis[[#Headers],[SAMV]:[ASH]], "")))</f>
        <v>EDU</v>
      </c>
      <c r="AM5" s="53">
        <f>IFERROR(tblPiNAnalysis[[#This Row],[3º PiN más alto]]/tblPiNAnalysis[[#This Row],[Población]], "")</f>
        <v>0.18560019411659853</v>
      </c>
      <c r="AN5" s="15">
        <f>IFERROR(tblPiNAnalysis[[#This Row],[PiN más alto]]-tblPiNAnalysis[[#This Row],[3º PiN más alto]],"")</f>
        <v>267736.09090058249</v>
      </c>
      <c r="AO5" s="14">
        <f>IFERROR(tblPiNAnalysis[[#This Row],[Diferencia de PiN entre el más alto y el 3º más alto]]/tblPiNAnalysis[[#This Row],[3º PiN más alto]], "")</f>
        <v>0.96659277075269756</v>
      </c>
      <c r="AP5" s="96" t="str" cm="1">
        <f t="array" ref="AP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5" s="84" cm="1">
        <f t="array" ref="AQ5">IFERROR(IF(tblPiNAnalysis[[#This Row],[ID]]="", "", INDEX(tblPiNHistorical[[SAMV]:[ASH]], MATCH(tblPiNAnalysis[[#This Row],[ID]],tblPiNHistorical[ID], 0),MATCH(_xlfn._xlws.FILTER(tblPiNAnalysis[[#Headers],[SAMV]:[ASH]], tblPiNAnalysis[[#This Row],[PiN más alto]]=tblPiNAnalysis[[#This Row],[SAMV]:[ASH]]), tblPiNHistorical[[#Headers],[SAMV]:[ASH]], 0))), "")</f>
        <v>-0.9</v>
      </c>
      <c r="AR5" s="99" t="str" cm="1">
        <f t="array" ref="AR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5" s="74" cm="1">
        <f t="array" ref="AS5">IFERROR(IF(tblPiNAnalysis[[#This Row],[ID]]="", "", INDEX(tblPiNHistorical[[SAMV]:[ASH]], MATCH(tblPiNAnalysis[[#This Row],[ID]],tblPiNHistorical[ID], 0),MATCH(_xlfn._xlws.FILTER(tblPiNAnalysis[[#Headers],[SAMV]:[ASH]], tblPiNAnalysis[[#This Row],[2º PiN más alto]]=tblPiNAnalysis[[#This Row],[SAMV]:[ASH]]), tblPiNHistorical[[#Headers],[SAMV]:[ASH]], 0))), "")</f>
        <v>-0.7</v>
      </c>
      <c r="AT5" s="100" t="str" cm="1">
        <f t="array" ref="AT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5" s="219">
        <f>INDEX(tblSeverityAnalysis[Severidad final], MATCH(tblPiNAnalysis[[#This Row],[ID]],tblSeverityAnalysis[ID], 0))</f>
        <v>3</v>
      </c>
      <c r="AV5" s="220">
        <f>IF(tblPiNAnalysis[[#This Row],[Severidad]]&gt;2,tblPiNAnalysis[[#This Row],[PiN más alto]],)</f>
        <v>544725.63500000001</v>
      </c>
      <c r="AW5" s="54"/>
      <c r="AX5" s="55"/>
      <c r="AY5" s="56">
        <f>COUNTIFS(tblPiNAnalysis[[#This Row],[Número de PiN ausentes/cero superior al umbral - Calidad de los datos]:[Marcador manual]],"Flagged")</f>
        <v>2</v>
      </c>
      <c r="AZ5" s="427" t="str">
        <f>IF(tblPiNAnalysis[[#This Row],[Número de marcadores]]&gt;0, "Flagged", "")</f>
        <v>Flagged</v>
      </c>
      <c r="BA5" s="92">
        <f>tblPiNAnalysis[[#This Row],[PiN preliminar]]</f>
        <v>544725.63500000001</v>
      </c>
      <c r="BB5" s="97"/>
      <c r="BC5" s="70">
        <f>IFERROR(IF(tblPiNAnalysis[[#This Row],[Severidad]]=3,tblPiNAnalysis[[#This Row],[PiN final]]*Umbrales!$D$33,tblPiNAnalysis[[#This Row],[PiN final]]*Umbrales!$D$34),)</f>
        <v>272362.8175</v>
      </c>
      <c r="BD5" s="70">
        <f>IFERROR(IF(tblPiNAnalysis[[#This Row],[Severidad]]&gt;3,tblPiNAnalysis[[#This Row],[PiN final]]*Umbrales!$D$34,),)</f>
        <v>0</v>
      </c>
      <c r="BE5" s="76"/>
      <c r="BF5" s="76"/>
      <c r="BG5" s="76"/>
      <c r="BH5" s="76"/>
      <c r="BK5" s="77"/>
      <c r="BL5" s="76"/>
      <c r="BM5" s="76"/>
      <c r="BN5" s="76"/>
      <c r="BO5" s="76"/>
      <c r="BP5" s="76"/>
      <c r="BS5" s="76"/>
      <c r="BU5" s="78"/>
      <c r="BV5" s="79"/>
      <c r="BW5" s="76"/>
    </row>
    <row r="6" spans="1:75" s="59" customFormat="1">
      <c r="A6" s="101" t="str">
        <f>IFERROR(_xlfn.CONCAT(IF(tblPiNAnalysis[[#This Row],[Grupo]]="", "",tblPiNAnalysis[[#This Row],[Grupo]] ),  _xlfn.IFS(tblPiNAnalysis[[#This Row],[Admin2PCODE]]&lt;&gt;"", tblPiNAnalysis[[#This Row],[Admin2PCODE]], tblPiNAnalysis[[#This Row],[Admin1PCODE]]&lt;&gt;"", tblPiNAnalysis[[#This Row],[Admin1PCODE]])),"")</f>
        <v>VenezolanosVE0814</v>
      </c>
      <c r="B6" s="105" t="s">
        <v>261</v>
      </c>
      <c r="C6" s="104" t="s">
        <v>262</v>
      </c>
      <c r="D6" s="119" t="s">
        <v>288</v>
      </c>
      <c r="E6" s="104" t="s">
        <v>289</v>
      </c>
      <c r="F6" s="358"/>
      <c r="G6" s="357">
        <v>848590</v>
      </c>
      <c r="H6" s="103" t="s">
        <v>102</v>
      </c>
      <c r="I6" s="60">
        <v>112537</v>
      </c>
      <c r="J6" s="134">
        <v>42739.615875855197</v>
      </c>
      <c r="K6" s="57">
        <v>309735.34999999998</v>
      </c>
      <c r="L6" s="87">
        <v>128658.03014161903</v>
      </c>
      <c r="M6" s="87">
        <v>202269.83533224816</v>
      </c>
      <c r="N6" s="57">
        <v>381865.5</v>
      </c>
      <c r="O6" s="57">
        <v>64928.617141651659</v>
      </c>
      <c r="P6" s="57">
        <v>70794.442366286865</v>
      </c>
      <c r="Q6" s="88">
        <f>IFERROR(IF(tblPiNAnalysis[[#This Row],[SAMV]]="", "", MROUND(tblPiNAnalysis[[#This Row],[SAMV]]/tblPiNAnalysis[[#This Row],[Población]], 0.05)), "")</f>
        <v>0.15000000000000002</v>
      </c>
      <c r="R6" s="89">
        <f>IFERROR(IF(tblPiNAnalysis[[#This Row],[NUT]]="", "", MROUND(tblPiNAnalysis[[#This Row],[NUT]]/tblPiNAnalysis[[#This Row],[Población]], 0.05)), "")</f>
        <v>0.05</v>
      </c>
      <c r="S6" s="89">
        <f>IFERROR(IF(tblPiNAnalysis[[#This Row],[SAL]]="", "", MROUND(tblPiNAnalysis[[#This Row],[SAL]]/tblPiNAnalysis[[#This Row],[Población]], 0.05)), "")</f>
        <v>0.35000000000000003</v>
      </c>
      <c r="T6" s="89">
        <f>IFERROR(IF(tblPiNAnalysis[[#This Row],[EDU]]="", "", MROUND(tblPiNAnalysis[[#This Row],[EDU]]/tblPiNAnalysis[[#This Row],[Población]], 0.05)), "")</f>
        <v>0.15000000000000002</v>
      </c>
      <c r="U6" s="89">
        <f>IFERROR(IF(tblPiNAnalysis[[#This Row],[PRO]]="", "", MROUND(tblPiNAnalysis[[#This Row],[PRO]]/tblPiNAnalysis[[#This Row],[Población]], 0.05)), "")</f>
        <v>0.25</v>
      </c>
      <c r="V6" s="90">
        <f>IFERROR(IF(tblPiNAnalysis[[#This Row],[ASH]]="", "", MROUND(tblPiNAnalysis[[#This Row],[ASH]]/tblPiNAnalysis[[#This Row],[Población]], 0.05)), "")</f>
        <v>0.45</v>
      </c>
      <c r="W6" s="89">
        <f>IFERROR(MROUND(tblPiNAnalysis[[#This Row],[NNA]]/tblPiNAnalysis[[#This Row],[Población]], 0.05), "")</f>
        <v>0.1</v>
      </c>
      <c r="X6" s="89">
        <f>IFERROR(MROUND(tblPiNAnalysis[[#This Row],[VBG]]/tblPiNAnalysis[[#This Row],[Población]], 0.05), "")</f>
        <v>0.1</v>
      </c>
      <c r="Y6" s="91">
        <f>IFERROR(LARGE(tblPiNAnalysis[[#This Row],[SAMV]:[ASH]], 1), "")</f>
        <v>381865.5</v>
      </c>
      <c r="Z6" s="92" t="str" cm="1">
        <f t="array" ref="Z6">IF(tblPiNAnalysis[[#This Row],[PiN más alto]]="", "", _xlfn.TEXTJOIN(CHAR(10), TRUE, IF(tblPiNAnalysis[[#This Row],[PiN más alto]]=tblPiNAnalysis[[#This Row],[SAMV]:[ASH]], tblPiNAnalysis[[#Headers],[SAMV]:[ASH]], "")))</f>
        <v>ASH</v>
      </c>
      <c r="AA6" s="93">
        <f>IF(tblPiNAnalysis[[#This Row],[PiN más alto]]="", "", tblPiNAnalysis[[#This Row],[PiN más alto]]/tblPiNAnalysis[[#This Row],[Población]])</f>
        <v>0.45</v>
      </c>
      <c r="AB6" s="94" t="str">
        <f>IF(SUM(tblPiNAnalysis[[#This Row],[SAMV]:[ASH]])=0, "",IF(COUNTIF(tblPiNAnalysis[[#This Row],[SAMV]:[ASH]],"=0")+COUNTIF(tblPiNAnalysis[[#This Row],[SAMV]:[ASH]],"")&gt;=zero_pin_thresh, "Flagged", ""))</f>
        <v/>
      </c>
      <c r="AC6" s="95" t="str">
        <f>IFERROR(IF(tblPiNAnalysis[[#This Row],[PiN más alto]]="", "", IF(tblPiNAnalysis[[#This Row],[% PiN Sectores más altos]]&gt;=flag_pin_perc, "Flagged", "")), "")</f>
        <v/>
      </c>
      <c r="AD6" s="96" t="str" cm="1">
        <f t="array" ref="AD6">IF(tblPiNAnalysis[[#This Row],[PiN más alto]]=0, "",  IF(OR(COUNTIF(tblPiNAnalysis[[#This Row],[Sectores más altos]],tblSubSectorPopulation[Sector])), "Flagged", ""))</f>
        <v/>
      </c>
      <c r="AE6" s="16" cm="1">
        <f t="array" ref="AE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309735.34999999998</v>
      </c>
      <c r="AF6" s="97" t="str" cm="1">
        <f t="array" ref="AF6">IF(tblPiNAnalysis[[#This Row],[2º PiN más alto]]="", "", _xlfn.TEXTJOIN(CHAR(10), TRUE, IF(tblPiNAnalysis[[#This Row],[2º PiN más alto]]=tblPiNAnalysis[[#This Row],[SAMV]:[ASH]], tblPiNAnalysis[[#Headers],[SAMV]:[ASH]], "")))</f>
        <v>SAL</v>
      </c>
      <c r="AG6" s="12">
        <f>IFERROR(tblPiNAnalysis[[#This Row],[2º PiN más alto]]/tblPiNAnalysis[[#This Row],[Población]], "")</f>
        <v>0.36499999999999999</v>
      </c>
      <c r="AH6" s="16">
        <f>IFERROR(tblPiNAnalysis[[#This Row],[PiN más alto]]-tblPiNAnalysis[[#This Row],[2º PiN más alto]], "")</f>
        <v>72130.150000000023</v>
      </c>
      <c r="AI6" s="14">
        <f>IFERROR(((tblPiNAnalysis[[#This Row],[PiN más alto]]-tblPiNAnalysis[[#This Row],[2º PiN más alto]])/tblPiNAnalysis[[#This Row],[2º PiN más alto]]),"")</f>
        <v>0.23287671232876722</v>
      </c>
      <c r="AJ6" s="14" t="str" cm="1">
        <f t="array" ref="AJ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6" s="98" cm="1">
        <f t="array" ref="AK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202269.83533224816</v>
      </c>
      <c r="AL6" s="53" t="str" cm="1">
        <f t="array" ref="AL6">IF(tblPiNAnalysis[[#This Row],[3º PiN más alto]]="", "", _xlfn.TEXTJOIN(CHAR(10), TRUE, IF(tblPiNAnalysis[[#This Row],[3º PiN más alto]]=tblPiNAnalysis[[#This Row],[SAMV]:[ASH]], tblPiNAnalysis[[#Headers],[SAMV]:[ASH]], "")))</f>
        <v>PRO</v>
      </c>
      <c r="AM6" s="53">
        <f>IFERROR(tblPiNAnalysis[[#This Row],[3º PiN más alto]]/tblPiNAnalysis[[#This Row],[Población]], "")</f>
        <v>0.23835990918140462</v>
      </c>
      <c r="AN6" s="15">
        <f>IFERROR(tblPiNAnalysis[[#This Row],[PiN más alto]]-tblPiNAnalysis[[#This Row],[3º PiN más alto]],"")</f>
        <v>179595.66466775184</v>
      </c>
      <c r="AO6" s="14">
        <f>IFERROR(tblPiNAnalysis[[#This Row],[Diferencia de PiN entre el más alto y el 3º más alto]]/tblPiNAnalysis[[#This Row],[3º PiN más alto]], "")</f>
        <v>0.88790137378985967</v>
      </c>
      <c r="AP6" s="96" t="str" cm="1">
        <f t="array" ref="AP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6" s="84" cm="1">
        <f t="array" ref="AQ6">IFERROR(IF(tblPiNAnalysis[[#This Row],[ID]]="", "", INDEX(tblPiNHistorical[[SAMV]:[ASH]], MATCH(tblPiNAnalysis[[#This Row],[ID]],tblPiNHistorical[ID], 0),MATCH(_xlfn._xlws.FILTER(tblPiNAnalysis[[#Headers],[SAMV]:[ASH]], tblPiNAnalysis[[#This Row],[PiN más alto]]=tblPiNAnalysis[[#This Row],[SAMV]:[ASH]]), tblPiNHistorical[[#Headers],[SAMV]:[ASH]], 0))), "")</f>
        <v>-1</v>
      </c>
      <c r="AR6" s="99" t="str" cm="1">
        <f t="array" ref="AR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6" s="74" cm="1">
        <f t="array" ref="AS6">IFERROR(IF(tblPiNAnalysis[[#This Row],[ID]]="", "", INDEX(tblPiNHistorical[[SAMV]:[ASH]], MATCH(tblPiNAnalysis[[#This Row],[ID]],tblPiNHistorical[ID], 0),MATCH(_xlfn._xlws.FILTER(tblPiNAnalysis[[#Headers],[SAMV]:[ASH]], tblPiNAnalysis[[#This Row],[2º PiN más alto]]=tblPiNAnalysis[[#This Row],[SAMV]:[ASH]]), tblPiNHistorical[[#Headers],[SAMV]:[ASH]], 0))), "")</f>
        <v>-0.9</v>
      </c>
      <c r="AT6" s="100" t="str" cm="1">
        <f t="array" ref="AT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6" s="219">
        <f>INDEX(tblSeverityAnalysis[Severidad final], MATCH(tblPiNAnalysis[[#This Row],[ID]],tblSeverityAnalysis[ID], 0))</f>
        <v>4</v>
      </c>
      <c r="AV6" s="220">
        <f>IF(tblPiNAnalysis[[#This Row],[Severidad]]&gt;2,tblPiNAnalysis[[#This Row],[PiN más alto]],)</f>
        <v>381865.5</v>
      </c>
      <c r="AW6" s="54"/>
      <c r="AX6" s="55"/>
      <c r="AY6" s="56">
        <f>COUNTIFS(tblPiNAnalysis[[#This Row],[Número de PiN ausentes/cero superior al umbral - Calidad de los datos]:[Marcador manual]],"Flagged")</f>
        <v>2</v>
      </c>
      <c r="AZ6" s="427" t="str">
        <f>IF(tblPiNAnalysis[[#This Row],[Número de marcadores]]&gt;0, "Flagged", "")</f>
        <v>Flagged</v>
      </c>
      <c r="BA6" s="92">
        <f>tblPiNAnalysis[[#This Row],[PiN preliminar]]</f>
        <v>381865.5</v>
      </c>
      <c r="BB6" s="97"/>
      <c r="BC6" s="70">
        <f>IFERROR(IF(tblPiNAnalysis[[#This Row],[Severidad]]=3,tblPiNAnalysis[[#This Row],[PiN final]]*Umbrales!$D$33,tblPiNAnalysis[[#This Row],[PiN final]]*Umbrales!$D$34),)</f>
        <v>381865.5</v>
      </c>
      <c r="BD6" s="70">
        <f>IFERROR(IF(tblPiNAnalysis[[#This Row],[Severidad]]&gt;3,tblPiNAnalysis[[#This Row],[PiN final]]*Umbrales!$D$34,),)</f>
        <v>381865.5</v>
      </c>
      <c r="BE6" s="76"/>
      <c r="BF6" s="76"/>
      <c r="BG6" s="76"/>
      <c r="BH6" s="76"/>
      <c r="BK6" s="77"/>
      <c r="BL6" s="76"/>
      <c r="BM6" s="76"/>
      <c r="BN6" s="76"/>
      <c r="BO6" s="76"/>
      <c r="BP6" s="76"/>
      <c r="BS6" s="76"/>
      <c r="BU6" s="78"/>
      <c r="BV6" s="79"/>
      <c r="BW6" s="76"/>
    </row>
    <row r="7" spans="1:75" s="59" customFormat="1">
      <c r="A7" s="101" t="str">
        <f>IFERROR(_xlfn.CONCAT(IF(tblPiNAnalysis[[#This Row],[Grupo]]="", "",tblPiNAnalysis[[#This Row],[Grupo]] ),  _xlfn.IFS(tblPiNAnalysis[[#This Row],[Admin2PCODE]]&lt;&gt;"", tblPiNAnalysis[[#This Row],[Admin2PCODE]], tblPiNAnalysis[[#This Row],[Admin1PCODE]]&lt;&gt;"", tblPiNAnalysis[[#This Row],[Admin1PCODE]])),"")</f>
        <v>VenezolanosVE1303</v>
      </c>
      <c r="B7" s="105" t="s">
        <v>393</v>
      </c>
      <c r="C7" s="104" t="s">
        <v>394</v>
      </c>
      <c r="D7" s="119" t="s">
        <v>398</v>
      </c>
      <c r="E7" s="104" t="s">
        <v>399</v>
      </c>
      <c r="F7" s="358"/>
      <c r="G7" s="357">
        <v>1018728</v>
      </c>
      <c r="H7" s="103" t="s">
        <v>102</v>
      </c>
      <c r="I7" s="60">
        <v>92924</v>
      </c>
      <c r="J7" s="134">
        <v>43618.730557566108</v>
      </c>
      <c r="K7" s="57">
        <v>371835.72</v>
      </c>
      <c r="L7" s="87">
        <v>106430.13227180515</v>
      </c>
      <c r="M7" s="87">
        <v>202318.84329826702</v>
      </c>
      <c r="N7" s="57">
        <v>0</v>
      </c>
      <c r="O7" s="57">
        <v>64944.348698743721</v>
      </c>
      <c r="P7" s="57">
        <v>70811.59515439345</v>
      </c>
      <c r="Q7" s="88">
        <f>IFERROR(IF(tblPiNAnalysis[[#This Row],[SAMV]]="", "", MROUND(tblPiNAnalysis[[#This Row],[SAMV]]/tblPiNAnalysis[[#This Row],[Población]], 0.05)), "")</f>
        <v>0.1</v>
      </c>
      <c r="R7" s="89">
        <f>IFERROR(IF(tblPiNAnalysis[[#This Row],[NUT]]="", "", MROUND(tblPiNAnalysis[[#This Row],[NUT]]/tblPiNAnalysis[[#This Row],[Población]], 0.05)), "")</f>
        <v>0.05</v>
      </c>
      <c r="S7" s="89">
        <f>IFERROR(IF(tblPiNAnalysis[[#This Row],[SAL]]="", "", MROUND(tblPiNAnalysis[[#This Row],[SAL]]/tblPiNAnalysis[[#This Row],[Población]], 0.05)), "")</f>
        <v>0.35000000000000003</v>
      </c>
      <c r="T7" s="89">
        <f>IFERROR(IF(tblPiNAnalysis[[#This Row],[EDU]]="", "", MROUND(tblPiNAnalysis[[#This Row],[EDU]]/tblPiNAnalysis[[#This Row],[Población]], 0.05)), "")</f>
        <v>0.1</v>
      </c>
      <c r="U7" s="89">
        <f>IFERROR(IF(tblPiNAnalysis[[#This Row],[PRO]]="", "", MROUND(tblPiNAnalysis[[#This Row],[PRO]]/tblPiNAnalysis[[#This Row],[Población]], 0.05)), "")</f>
        <v>0.2</v>
      </c>
      <c r="V7" s="90">
        <f>IFERROR(IF(tblPiNAnalysis[[#This Row],[ASH]]="", "", MROUND(tblPiNAnalysis[[#This Row],[ASH]]/tblPiNAnalysis[[#This Row],[Población]], 0.05)), "")</f>
        <v>0</v>
      </c>
      <c r="W7" s="89">
        <f>IFERROR(MROUND(tblPiNAnalysis[[#This Row],[NNA]]/tblPiNAnalysis[[#This Row],[Población]], 0.05), "")</f>
        <v>0.05</v>
      </c>
      <c r="X7" s="89">
        <f>IFERROR(MROUND(tblPiNAnalysis[[#This Row],[VBG]]/tblPiNAnalysis[[#This Row],[Población]], 0.05), "")</f>
        <v>0.05</v>
      </c>
      <c r="Y7" s="91">
        <f>IFERROR(LARGE(tblPiNAnalysis[[#This Row],[SAMV]:[ASH]], 1), "")</f>
        <v>371835.72</v>
      </c>
      <c r="Z7" s="92" t="str" cm="1">
        <f t="array" ref="Z7">IF(tblPiNAnalysis[[#This Row],[PiN más alto]]="", "", _xlfn.TEXTJOIN(CHAR(10), TRUE, IF(tblPiNAnalysis[[#This Row],[PiN más alto]]=tblPiNAnalysis[[#This Row],[SAMV]:[ASH]], tblPiNAnalysis[[#Headers],[SAMV]:[ASH]], "")))</f>
        <v>SAL</v>
      </c>
      <c r="AA7" s="93">
        <f>IF(tblPiNAnalysis[[#This Row],[PiN más alto]]="", "", tblPiNAnalysis[[#This Row],[PiN más alto]]/tblPiNAnalysis[[#This Row],[Población]])</f>
        <v>0.36499999999999999</v>
      </c>
      <c r="AB7" s="94" t="str">
        <f>IF(SUM(tblPiNAnalysis[[#This Row],[SAMV]:[ASH]])=0, "",IF(COUNTIF(tblPiNAnalysis[[#This Row],[SAMV]:[ASH]],"=0")+COUNTIF(tblPiNAnalysis[[#This Row],[SAMV]:[ASH]],"")&gt;=zero_pin_thresh, "Flagged", ""))</f>
        <v/>
      </c>
      <c r="AC7" s="95" t="str">
        <f>IFERROR(IF(tblPiNAnalysis[[#This Row],[PiN más alto]]="", "", IF(tblPiNAnalysis[[#This Row],[% PiN Sectores más altos]]&gt;=flag_pin_perc, "Flagged", "")), "")</f>
        <v/>
      </c>
      <c r="AD7" s="96" t="str" cm="1">
        <f t="array" ref="AD7">IF(tblPiNAnalysis[[#This Row],[PiN más alto]]=0, "",  IF(OR(COUNTIF(tblPiNAnalysis[[#This Row],[Sectores más altos]],tblSubSectorPopulation[Sector])), "Flagged", ""))</f>
        <v/>
      </c>
      <c r="AE7" s="16" cm="1">
        <f t="array" ref="AE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202318.84329826702</v>
      </c>
      <c r="AF7" s="97" t="str" cm="1">
        <f t="array" ref="AF7">IF(tblPiNAnalysis[[#This Row],[2º PiN más alto]]="", "", _xlfn.TEXTJOIN(CHAR(10), TRUE, IF(tblPiNAnalysis[[#This Row],[2º PiN más alto]]=tblPiNAnalysis[[#This Row],[SAMV]:[ASH]], tblPiNAnalysis[[#Headers],[SAMV]:[ASH]], "")))</f>
        <v>PRO</v>
      </c>
      <c r="AG7" s="12">
        <f>IFERROR(tblPiNAnalysis[[#This Row],[2º PiN más alto]]/tblPiNAnalysis[[#This Row],[Población]], "")</f>
        <v>0.19859947237954295</v>
      </c>
      <c r="AH7" s="16">
        <f>IFERROR(tblPiNAnalysis[[#This Row],[PiN más alto]]-tblPiNAnalysis[[#This Row],[2º PiN más alto]], "")</f>
        <v>169516.87670173295</v>
      </c>
      <c r="AI7" s="14">
        <f>IFERROR(((tblPiNAnalysis[[#This Row],[PiN más alto]]-tblPiNAnalysis[[#This Row],[2º PiN más alto]])/tblPiNAnalysis[[#This Row],[2º PiN más alto]]),"")</f>
        <v>0.83786993805527044</v>
      </c>
      <c r="AJ7" s="14" t="str" cm="1">
        <f t="array" ref="AJ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7" s="98" cm="1">
        <f t="array" ref="AK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106430.13227180515</v>
      </c>
      <c r="AL7" s="53" t="str" cm="1">
        <f t="array" ref="AL7">IF(tblPiNAnalysis[[#This Row],[3º PiN más alto]]="", "", _xlfn.TEXTJOIN(CHAR(10), TRUE, IF(tblPiNAnalysis[[#This Row],[3º PiN más alto]]=tblPiNAnalysis[[#This Row],[SAMV]:[ASH]], tblPiNAnalysis[[#Headers],[SAMV]:[ASH]], "")))</f>
        <v>EDU</v>
      </c>
      <c r="AM7" s="53">
        <f>IFERROR(tblPiNAnalysis[[#This Row],[3º PiN más alto]]/tblPiNAnalysis[[#This Row],[Población]], "")</f>
        <v>0.1044735515974874</v>
      </c>
      <c r="AN7" s="15">
        <f>IFERROR(tblPiNAnalysis[[#This Row],[PiN más alto]]-tblPiNAnalysis[[#This Row],[3º PiN más alto]],"")</f>
        <v>265405.58772819483</v>
      </c>
      <c r="AO7" s="14">
        <f>IFERROR(tblPiNAnalysis[[#This Row],[Diferencia de PiN entre el más alto y el 3º más alto]]/tblPiNAnalysis[[#This Row],[3º PiN más alto]], "")</f>
        <v>2.4937072054969582</v>
      </c>
      <c r="AP7" s="96" t="str" cm="1">
        <f t="array" ref="AP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7" s="84" cm="1">
        <f t="array" ref="AQ7">IFERROR(IF(tblPiNAnalysis[[#This Row],[ID]]="", "", INDEX(tblPiNHistorical[[SAMV]:[ASH]], MATCH(tblPiNAnalysis[[#This Row],[ID]],tblPiNHistorical[ID], 0),MATCH(_xlfn._xlws.FILTER(tblPiNAnalysis[[#Headers],[SAMV]:[ASH]], tblPiNAnalysis[[#This Row],[PiN más alto]]=tblPiNAnalysis[[#This Row],[SAMV]:[ASH]]), tblPiNHistorical[[#Headers],[SAMV]:[ASH]], 0))), "")</f>
        <v>-1</v>
      </c>
      <c r="AR7" s="99" t="str" cm="1">
        <f t="array" ref="AR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7" s="74" cm="1">
        <f t="array" ref="AS7">IFERROR(IF(tblPiNAnalysis[[#This Row],[ID]]="", "", INDEX(tblPiNHistorical[[SAMV]:[ASH]], MATCH(tblPiNAnalysis[[#This Row],[ID]],tblPiNHistorical[ID], 0),MATCH(_xlfn._xlws.FILTER(tblPiNAnalysis[[#Headers],[SAMV]:[ASH]], tblPiNAnalysis[[#This Row],[2º PiN más alto]]=tblPiNAnalysis[[#This Row],[SAMV]:[ASH]]), tblPiNHistorical[[#Headers],[SAMV]:[ASH]], 0))), "")</f>
        <v>-0.8</v>
      </c>
      <c r="AT7" s="100" t="str" cm="1">
        <f t="array" ref="AT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7" s="219">
        <f>INDEX(tblSeverityAnalysis[Severidad final], MATCH(tblPiNAnalysis[[#This Row],[ID]],tblSeverityAnalysis[ID], 0))</f>
        <v>3</v>
      </c>
      <c r="AV7" s="220">
        <f>IF(tblPiNAnalysis[[#This Row],[Severidad]]&gt;2,tblPiNAnalysis[[#This Row],[PiN más alto]],)</f>
        <v>371835.72</v>
      </c>
      <c r="AW7" s="54"/>
      <c r="AX7" s="55"/>
      <c r="AY7" s="56">
        <f>COUNTIFS(tblPiNAnalysis[[#This Row],[Número de PiN ausentes/cero superior al umbral - Calidad de los datos]:[Marcador manual]],"Flagged")</f>
        <v>3</v>
      </c>
      <c r="AZ7" s="427" t="str">
        <f>IF(tblPiNAnalysis[[#This Row],[Número de marcadores]]&gt;0, "Flagged", "")</f>
        <v>Flagged</v>
      </c>
      <c r="BA7" s="92">
        <f>tblPiNAnalysis[[#This Row],[PiN preliminar]]</f>
        <v>371835.72</v>
      </c>
      <c r="BB7" s="97"/>
      <c r="BC7" s="70">
        <f>IFERROR(IF(tblPiNAnalysis[[#This Row],[Severidad]]=3,tblPiNAnalysis[[#This Row],[PiN final]]*Umbrales!$D$33,tblPiNAnalysis[[#This Row],[PiN final]]*Umbrales!$D$34),)</f>
        <v>185917.86</v>
      </c>
      <c r="BD7" s="70">
        <f>IFERROR(IF(tblPiNAnalysis[[#This Row],[Severidad]]&gt;3,tblPiNAnalysis[[#This Row],[PiN final]]*Umbrales!$D$34,),)</f>
        <v>0</v>
      </c>
      <c r="BE7" s="76"/>
      <c r="BF7" s="76"/>
      <c r="BG7" s="76"/>
      <c r="BH7" s="76"/>
      <c r="BK7" s="77"/>
      <c r="BL7" s="76"/>
      <c r="BM7" s="76"/>
      <c r="BN7" s="76"/>
      <c r="BO7" s="76"/>
      <c r="BP7" s="76"/>
      <c r="BS7" s="76"/>
      <c r="BU7" s="78"/>
      <c r="BV7" s="79"/>
      <c r="BW7" s="76"/>
    </row>
    <row r="8" spans="1:75">
      <c r="A8" s="101" t="str">
        <f>IFERROR(_xlfn.CONCAT(IF(tblPiNAnalysis[[#This Row],[Grupo]]="", "",tblPiNAnalysis[[#This Row],[Grupo]] ),  _xlfn.IFS(tblPiNAnalysis[[#This Row],[Admin2PCODE]]&lt;&gt;"", tblPiNAnalysis[[#This Row],[Admin2PCODE]], tblPiNAnalysis[[#This Row],[Admin1PCODE]]&lt;&gt;"", tblPiNAnalysis[[#This Row],[Admin1PCODE]])),"")</f>
        <v>VenezolanosVE0701</v>
      </c>
      <c r="B8" s="105" t="s">
        <v>180</v>
      </c>
      <c r="C8" s="104" t="s">
        <v>239</v>
      </c>
      <c r="D8" s="119" t="s">
        <v>240</v>
      </c>
      <c r="E8" s="104" t="s">
        <v>241</v>
      </c>
      <c r="F8" s="358"/>
      <c r="G8" s="357">
        <v>722701</v>
      </c>
      <c r="H8" s="103" t="s">
        <v>102</v>
      </c>
      <c r="I8" s="60">
        <v>146423</v>
      </c>
      <c r="J8" s="134">
        <v>55309.995561158947</v>
      </c>
      <c r="K8" s="57">
        <v>263785.86499999999</v>
      </c>
      <c r="L8" s="87">
        <v>84391.477761359143</v>
      </c>
      <c r="M8" s="87">
        <v>173168.10367716607</v>
      </c>
      <c r="N8" s="57">
        <v>325215.45</v>
      </c>
      <c r="O8" s="57">
        <v>55586.961280370306</v>
      </c>
      <c r="P8" s="57">
        <v>60608.836287008126</v>
      </c>
      <c r="Q8" s="88">
        <f>IFERROR(IF(tblPiNAnalysis[[#This Row],[SAMV]]="", "", MROUND(tblPiNAnalysis[[#This Row],[SAMV]]/tblPiNAnalysis[[#This Row],[Población]], 0.05)), "")</f>
        <v>0.2</v>
      </c>
      <c r="R8" s="89">
        <f>IFERROR(IF(tblPiNAnalysis[[#This Row],[NUT]]="", "", MROUND(tblPiNAnalysis[[#This Row],[NUT]]/tblPiNAnalysis[[#This Row],[Población]], 0.05)), "")</f>
        <v>0.1</v>
      </c>
      <c r="S8" s="89">
        <f>IFERROR(IF(tblPiNAnalysis[[#This Row],[SAL]]="", "", MROUND(tblPiNAnalysis[[#This Row],[SAL]]/tblPiNAnalysis[[#This Row],[Población]], 0.05)), "")</f>
        <v>0.35000000000000003</v>
      </c>
      <c r="T8" s="89">
        <f>IFERROR(IF(tblPiNAnalysis[[#This Row],[EDU]]="", "", MROUND(tblPiNAnalysis[[#This Row],[EDU]]/tblPiNAnalysis[[#This Row],[Población]], 0.05)), "")</f>
        <v>0.1</v>
      </c>
      <c r="U8" s="89">
        <f>IFERROR(IF(tblPiNAnalysis[[#This Row],[PRO]]="", "", MROUND(tblPiNAnalysis[[#This Row],[PRO]]/tblPiNAnalysis[[#This Row],[Población]], 0.05)), "")</f>
        <v>0.25</v>
      </c>
      <c r="V8" s="90">
        <f>IFERROR(IF(tblPiNAnalysis[[#This Row],[ASH]]="", "", MROUND(tblPiNAnalysis[[#This Row],[ASH]]/tblPiNAnalysis[[#This Row],[Población]], 0.05)), "")</f>
        <v>0.45</v>
      </c>
      <c r="W8" s="89">
        <f>IFERROR(MROUND(tblPiNAnalysis[[#This Row],[NNA]]/tblPiNAnalysis[[#This Row],[Población]], 0.05), "")</f>
        <v>0.1</v>
      </c>
      <c r="X8" s="89">
        <f>IFERROR(MROUND(tblPiNAnalysis[[#This Row],[VBG]]/tblPiNAnalysis[[#This Row],[Población]], 0.05), "")</f>
        <v>0.1</v>
      </c>
      <c r="Y8" s="91">
        <f>IFERROR(LARGE(tblPiNAnalysis[[#This Row],[SAMV]:[ASH]], 1), "")</f>
        <v>325215.45</v>
      </c>
      <c r="Z8" s="92" t="str" cm="1">
        <f t="array" ref="Z8">IF(tblPiNAnalysis[[#This Row],[PiN más alto]]="", "", _xlfn.TEXTJOIN(CHAR(10), TRUE, IF(tblPiNAnalysis[[#This Row],[PiN más alto]]=tblPiNAnalysis[[#This Row],[SAMV]:[ASH]], tblPiNAnalysis[[#Headers],[SAMV]:[ASH]], "")))</f>
        <v>ASH</v>
      </c>
      <c r="AA8" s="93">
        <f>IF(tblPiNAnalysis[[#This Row],[PiN más alto]]="", "", tblPiNAnalysis[[#This Row],[PiN más alto]]/tblPiNAnalysis[[#This Row],[Población]])</f>
        <v>0.45</v>
      </c>
      <c r="AB8" s="94" t="str">
        <f>IF(SUM(tblPiNAnalysis[[#This Row],[SAMV]:[ASH]])=0, "",IF(COUNTIF(tblPiNAnalysis[[#This Row],[SAMV]:[ASH]],"=0")+COUNTIF(tblPiNAnalysis[[#This Row],[SAMV]:[ASH]],"")&gt;=zero_pin_thresh, "Flagged", ""))</f>
        <v/>
      </c>
      <c r="AC8" s="95" t="str">
        <f>IFERROR(IF(tblPiNAnalysis[[#This Row],[PiN más alto]]="", "", IF(tblPiNAnalysis[[#This Row],[% PiN Sectores más altos]]&gt;=flag_pin_perc, "Flagged", "")), "")</f>
        <v/>
      </c>
      <c r="AD8" s="96" t="str" cm="1">
        <f t="array" ref="AD8">IF(tblPiNAnalysis[[#This Row],[PiN más alto]]=0, "",  IF(OR(COUNTIF(tblPiNAnalysis[[#This Row],[Sectores más altos]],tblSubSectorPopulation[Sector])), "Flagged", ""))</f>
        <v/>
      </c>
      <c r="AE8" s="16" cm="1">
        <f t="array" ref="AE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263785.86499999999</v>
      </c>
      <c r="AF8" s="97" t="str" cm="1">
        <f t="array" ref="AF8">IF(tblPiNAnalysis[[#This Row],[2º PiN más alto]]="", "", _xlfn.TEXTJOIN(CHAR(10), TRUE, IF(tblPiNAnalysis[[#This Row],[2º PiN más alto]]=tblPiNAnalysis[[#This Row],[SAMV]:[ASH]], tblPiNAnalysis[[#Headers],[SAMV]:[ASH]], "")))</f>
        <v>SAL</v>
      </c>
      <c r="AG8" s="12">
        <f>IFERROR(tblPiNAnalysis[[#This Row],[2º PiN más alto]]/tblPiNAnalysis[[#This Row],[Población]], "")</f>
        <v>0.36499999999999999</v>
      </c>
      <c r="AH8" s="16">
        <f>IFERROR(tblPiNAnalysis[[#This Row],[PiN más alto]]-tblPiNAnalysis[[#This Row],[2º PiN más alto]], "")</f>
        <v>61429.585000000021</v>
      </c>
      <c r="AI8" s="14">
        <f>IFERROR(((tblPiNAnalysis[[#This Row],[PiN más alto]]-tblPiNAnalysis[[#This Row],[2º PiN más alto]])/tblPiNAnalysis[[#This Row],[2º PiN más alto]]),"")</f>
        <v>0.23287671232876722</v>
      </c>
      <c r="AJ8" s="14" t="str" cm="1">
        <f t="array" ref="AJ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8" s="98" cm="1">
        <f t="array" ref="AK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173168.10367716607</v>
      </c>
      <c r="AL8" s="53" t="str" cm="1">
        <f t="array" ref="AL8">IF(tblPiNAnalysis[[#This Row],[3º PiN más alto]]="", "", _xlfn.TEXTJOIN(CHAR(10), TRUE, IF(tblPiNAnalysis[[#This Row],[3º PiN más alto]]=tblPiNAnalysis[[#This Row],[SAMV]:[ASH]], tblPiNAnalysis[[#Headers],[SAMV]:[ASH]], "")))</f>
        <v>PRO</v>
      </c>
      <c r="AM8" s="53">
        <f>IFERROR(tblPiNAnalysis[[#This Row],[3º PiN más alto]]/tblPiNAnalysis[[#This Row],[Población]], "")</f>
        <v>0.23961237590257392</v>
      </c>
      <c r="AN8" s="15">
        <f>IFERROR(tblPiNAnalysis[[#This Row],[PiN más alto]]-tblPiNAnalysis[[#This Row],[3º PiN más alto]],"")</f>
        <v>152047.34632283394</v>
      </c>
      <c r="AO8" s="14">
        <f>IFERROR(tblPiNAnalysis[[#This Row],[Diferencia de PiN entre el más alto y el 3º más alto]]/tblPiNAnalysis[[#This Row],[3º PiN más alto]], "")</f>
        <v>0.87803321220340236</v>
      </c>
      <c r="AP8" s="96" t="str" cm="1">
        <f t="array" ref="AP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8" s="84" cm="1">
        <f t="array" ref="AQ8">IFERROR(IF(tblPiNAnalysis[[#This Row],[ID]]="", "", INDEX(tblPiNHistorical[[SAMV]:[ASH]], MATCH(tblPiNAnalysis[[#This Row],[ID]],tblPiNHistorical[ID], 0),MATCH(_xlfn._xlws.FILTER(tblPiNAnalysis[[#Headers],[SAMV]:[ASH]], tblPiNAnalysis[[#This Row],[PiN más alto]]=tblPiNAnalysis[[#This Row],[SAMV]:[ASH]]), tblPiNHistorical[[#Headers],[SAMV]:[ASH]], 0))), "")</f>
        <v>-0.7</v>
      </c>
      <c r="AR8" s="99" t="str" cm="1">
        <f t="array" ref="AR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8" s="74" cm="1">
        <f t="array" ref="AS8">IFERROR(IF(tblPiNAnalysis[[#This Row],[ID]]="", "", INDEX(tblPiNHistorical[[SAMV]:[ASH]], MATCH(tblPiNAnalysis[[#This Row],[ID]],tblPiNHistorical[ID], 0),MATCH(_xlfn._xlws.FILTER(tblPiNAnalysis[[#Headers],[SAMV]:[ASH]], tblPiNAnalysis[[#This Row],[2º PiN más alto]]=tblPiNAnalysis[[#This Row],[SAMV]:[ASH]]), tblPiNHistorical[[#Headers],[SAMV]:[ASH]], 0))), "")</f>
        <v>-0.9</v>
      </c>
      <c r="AT8" s="100" t="str" cm="1">
        <f t="array" ref="AT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8" s="219">
        <f>INDEX(tblSeverityAnalysis[Severidad final], MATCH(tblPiNAnalysis[[#This Row],[ID]],tblSeverityAnalysis[ID], 0))</f>
        <v>3</v>
      </c>
      <c r="AV8" s="220">
        <f>IF(tblPiNAnalysis[[#This Row],[Severidad]]&gt;2,tblPiNAnalysis[[#This Row],[PiN más alto]],)</f>
        <v>325215.45</v>
      </c>
      <c r="AW8" s="54"/>
      <c r="AX8" s="55"/>
      <c r="AY8" s="56">
        <f>COUNTIFS(tblPiNAnalysis[[#This Row],[Número de PiN ausentes/cero superior al umbral - Calidad de los datos]:[Marcador manual]],"Flagged")</f>
        <v>1</v>
      </c>
      <c r="AZ8" s="34" t="str">
        <f>IF(tblPiNAnalysis[[#This Row],[Número de marcadores]]&gt;0, "Flagged", "")</f>
        <v>Flagged</v>
      </c>
      <c r="BA8" s="92">
        <f>tblPiNAnalysis[[#This Row],[PiN preliminar]]</f>
        <v>325215.45</v>
      </c>
      <c r="BB8" s="97"/>
      <c r="BC8" s="70">
        <f>IFERROR(IF(tblPiNAnalysis[[#This Row],[Severidad]]=3,tblPiNAnalysis[[#This Row],[PiN final]]*Umbrales!$D$33,tblPiNAnalysis[[#This Row],[PiN final]]*Umbrales!$D$34),)</f>
        <v>162607.72500000001</v>
      </c>
      <c r="BD8" s="70">
        <f>IFERROR(IF(tblPiNAnalysis[[#This Row],[Severidad]]&gt;3,tblPiNAnalysis[[#This Row],[PiN final]]*Umbrales!$D$34,),)</f>
        <v>0</v>
      </c>
      <c r="BE8" s="5"/>
      <c r="BF8" s="5"/>
      <c r="BG8" s="5"/>
      <c r="BH8" s="5"/>
      <c r="BK8" s="266"/>
      <c r="BL8" s="5"/>
      <c r="BM8" s="5"/>
      <c r="BN8" s="5"/>
      <c r="BO8" s="5"/>
      <c r="BP8" s="5"/>
      <c r="BS8" s="5"/>
      <c r="BU8" s="10"/>
      <c r="BV8" s="7"/>
      <c r="BW8" s="5"/>
    </row>
    <row r="9" spans="1:75">
      <c r="A9" s="101" t="str">
        <f>IFERROR(_xlfn.CONCAT(IF(tblPiNAnalysis[[#This Row],[Grupo]]="", "",tblPiNAnalysis[[#This Row],[Grupo]] ),  _xlfn.IFS(tblPiNAnalysis[[#This Row],[Admin2PCODE]]&lt;&gt;"", tblPiNAnalysis[[#This Row],[Admin2PCODE]], tblPiNAnalysis[[#This Row],[Admin1PCODE]]&lt;&gt;"", tblPiNAnalysis[[#This Row],[Admin1PCODE]])),"")</f>
        <v>VenezolanosVE1519</v>
      </c>
      <c r="B9" s="105" t="s">
        <v>276</v>
      </c>
      <c r="C9" s="104" t="s">
        <v>455</v>
      </c>
      <c r="D9" s="119" t="s">
        <v>203</v>
      </c>
      <c r="E9" s="104" t="s">
        <v>488</v>
      </c>
      <c r="F9" s="358"/>
      <c r="G9" s="357">
        <v>613902</v>
      </c>
      <c r="H9" s="103" t="s">
        <v>102</v>
      </c>
      <c r="I9" s="60">
        <v>95637</v>
      </c>
      <c r="J9" s="134">
        <v>32923.262776657502</v>
      </c>
      <c r="K9" s="57">
        <v>224074.23</v>
      </c>
      <c r="L9" s="87">
        <v>89542.975049871617</v>
      </c>
      <c r="M9" s="87">
        <v>146863.50970875725</v>
      </c>
      <c r="N9" s="57">
        <v>276255.90000000002</v>
      </c>
      <c r="O9" s="57">
        <v>46996.323106802316</v>
      </c>
      <c r="P9" s="57">
        <v>51402.228398065039</v>
      </c>
      <c r="Q9" s="88">
        <f>IFERROR(IF(tblPiNAnalysis[[#This Row],[SAMV]]="", "", MROUND(tblPiNAnalysis[[#This Row],[SAMV]]/tblPiNAnalysis[[#This Row],[Población]], 0.05)), "")</f>
        <v>0.15000000000000002</v>
      </c>
      <c r="R9" s="89">
        <f>IFERROR(IF(tblPiNAnalysis[[#This Row],[NUT]]="", "", MROUND(tblPiNAnalysis[[#This Row],[NUT]]/tblPiNAnalysis[[#This Row],[Población]], 0.05)), "")</f>
        <v>0.05</v>
      </c>
      <c r="S9" s="89">
        <f>IFERROR(IF(tblPiNAnalysis[[#This Row],[SAL]]="", "", MROUND(tblPiNAnalysis[[#This Row],[SAL]]/tblPiNAnalysis[[#This Row],[Población]], 0.05)), "")</f>
        <v>0.35000000000000003</v>
      </c>
      <c r="T9" s="89">
        <f>IFERROR(IF(tblPiNAnalysis[[#This Row],[EDU]]="", "", MROUND(tblPiNAnalysis[[#This Row],[EDU]]/tblPiNAnalysis[[#This Row],[Población]], 0.05)), "")</f>
        <v>0.15000000000000002</v>
      </c>
      <c r="U9" s="89">
        <f>IFERROR(IF(tblPiNAnalysis[[#This Row],[PRO]]="", "", MROUND(tblPiNAnalysis[[#This Row],[PRO]]/tblPiNAnalysis[[#This Row],[Población]], 0.05)), "")</f>
        <v>0.25</v>
      </c>
      <c r="V9" s="90">
        <f>IFERROR(IF(tblPiNAnalysis[[#This Row],[ASH]]="", "", MROUND(tblPiNAnalysis[[#This Row],[ASH]]/tblPiNAnalysis[[#This Row],[Población]], 0.05)), "")</f>
        <v>0.45</v>
      </c>
      <c r="W9" s="89">
        <f>IFERROR(MROUND(tblPiNAnalysis[[#This Row],[NNA]]/tblPiNAnalysis[[#This Row],[Población]], 0.05), "")</f>
        <v>0.1</v>
      </c>
      <c r="X9" s="89">
        <f>IFERROR(MROUND(tblPiNAnalysis[[#This Row],[VBG]]/tblPiNAnalysis[[#This Row],[Población]], 0.05), "")</f>
        <v>0.1</v>
      </c>
      <c r="Y9" s="91">
        <f>IFERROR(LARGE(tblPiNAnalysis[[#This Row],[SAMV]:[ASH]], 1), "")</f>
        <v>276255.90000000002</v>
      </c>
      <c r="Z9" s="92" t="str" cm="1">
        <f t="array" ref="Z9">IF(tblPiNAnalysis[[#This Row],[PiN más alto]]="", "", _xlfn.TEXTJOIN(CHAR(10), TRUE, IF(tblPiNAnalysis[[#This Row],[PiN más alto]]=tblPiNAnalysis[[#This Row],[SAMV]:[ASH]], tblPiNAnalysis[[#Headers],[SAMV]:[ASH]], "")))</f>
        <v>ASH</v>
      </c>
      <c r="AA9" s="93">
        <f>IF(tblPiNAnalysis[[#This Row],[PiN más alto]]="", "", tblPiNAnalysis[[#This Row],[PiN más alto]]/tblPiNAnalysis[[#This Row],[Población]])</f>
        <v>0.45</v>
      </c>
      <c r="AB9" s="94" t="str">
        <f>IF(SUM(tblPiNAnalysis[[#This Row],[SAMV]:[ASH]])=0, "",IF(COUNTIF(tblPiNAnalysis[[#This Row],[SAMV]:[ASH]],"=0")+COUNTIF(tblPiNAnalysis[[#This Row],[SAMV]:[ASH]],"")&gt;=zero_pin_thresh, "Flagged", ""))</f>
        <v/>
      </c>
      <c r="AC9" s="95" t="str">
        <f>IFERROR(IF(tblPiNAnalysis[[#This Row],[PiN más alto]]="", "", IF(tblPiNAnalysis[[#This Row],[% PiN Sectores más altos]]&gt;=flag_pin_perc, "Flagged", "")), "")</f>
        <v/>
      </c>
      <c r="AD9" s="96" t="str" cm="1">
        <f t="array" ref="AD9">IF(tblPiNAnalysis[[#This Row],[PiN más alto]]=0, "",  IF(OR(COUNTIF(tblPiNAnalysis[[#This Row],[Sectores más altos]],tblSubSectorPopulation[Sector])), "Flagged", ""))</f>
        <v/>
      </c>
      <c r="AE9" s="16" cm="1">
        <f t="array" ref="AE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224074.23</v>
      </c>
      <c r="AF9" s="97" t="str" cm="1">
        <f t="array" ref="AF9">IF(tblPiNAnalysis[[#This Row],[2º PiN más alto]]="", "", _xlfn.TEXTJOIN(CHAR(10), TRUE, IF(tblPiNAnalysis[[#This Row],[2º PiN más alto]]=tblPiNAnalysis[[#This Row],[SAMV]:[ASH]], tblPiNAnalysis[[#Headers],[SAMV]:[ASH]], "")))</f>
        <v>SAL</v>
      </c>
      <c r="AG9" s="12">
        <f>IFERROR(tblPiNAnalysis[[#This Row],[2º PiN más alto]]/tblPiNAnalysis[[#This Row],[Población]], "")</f>
        <v>0.36499999999999999</v>
      </c>
      <c r="AH9" s="16">
        <f>IFERROR(tblPiNAnalysis[[#This Row],[PiN más alto]]-tblPiNAnalysis[[#This Row],[2º PiN más alto]], "")</f>
        <v>52181.670000000013</v>
      </c>
      <c r="AI9" s="14">
        <f>IFERROR(((tblPiNAnalysis[[#This Row],[PiN más alto]]-tblPiNAnalysis[[#This Row],[2º PiN más alto]])/tblPiNAnalysis[[#This Row],[2º PiN más alto]]),"")</f>
        <v>0.23287671232876717</v>
      </c>
      <c r="AJ9" s="14" t="str" cm="1">
        <f t="array" ref="AJ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9" s="98" cm="1">
        <f t="array" ref="AK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146863.50970875725</v>
      </c>
      <c r="AL9" s="53" t="str" cm="1">
        <f t="array" ref="AL9">IF(tblPiNAnalysis[[#This Row],[3º PiN más alto]]="", "", _xlfn.TEXTJOIN(CHAR(10), TRUE, IF(tblPiNAnalysis[[#This Row],[3º PiN más alto]]=tblPiNAnalysis[[#This Row],[SAMV]:[ASH]], tblPiNAnalysis[[#Headers],[SAMV]:[ASH]], "")))</f>
        <v>PRO</v>
      </c>
      <c r="AM9" s="53">
        <f>IFERROR(tblPiNAnalysis[[#This Row],[3º PiN más alto]]/tblPiNAnalysis[[#This Row],[Población]], "")</f>
        <v>0.23922956711129342</v>
      </c>
      <c r="AN9" s="15">
        <f>IFERROR(tblPiNAnalysis[[#This Row],[PiN más alto]]-tblPiNAnalysis[[#This Row],[3º PiN más alto]],"")</f>
        <v>129392.39029124277</v>
      </c>
      <c r="AO9" s="14">
        <f>IFERROR(tblPiNAnalysis[[#This Row],[Diferencia de PiN entre el más alto y el 3º más alto]]/tblPiNAnalysis[[#This Row],[3º PiN más alto]], "")</f>
        <v>0.88103839100562709</v>
      </c>
      <c r="AP9" s="96" t="str" cm="1">
        <f t="array" ref="AP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9" s="84" t="str" cm="1">
        <f t="array" ref="AQ9">IFERROR(IF(tblPiNAnalysis[[#This Row],[ID]]="", "", INDEX(tblPiNHistorical[[SAMV]:[ASH]], MATCH(tblPiNAnalysis[[#This Row],[ID]],tblPiNHistorical[ID], 0),MATCH(_xlfn._xlws.FILTER(tblPiNAnalysis[[#Headers],[SAMV]:[ASH]], tblPiNAnalysis[[#This Row],[PiN más alto]]=tblPiNAnalysis[[#This Row],[SAMV]:[ASH]]), tblPiNHistorical[[#Headers],[SAMV]:[ASH]], 0))), "")</f>
        <v>NoPIN26 120070</v>
      </c>
      <c r="AR9" s="99" t="str" cm="1">
        <f t="array" ref="AR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9" s="74" cm="1">
        <f t="array" ref="AS9">IFERROR(IF(tblPiNAnalysis[[#This Row],[ID]]="", "", INDEX(tblPiNHistorical[[SAMV]:[ASH]], MATCH(tblPiNAnalysis[[#This Row],[ID]],tblPiNHistorical[ID], 0),MATCH(_xlfn._xlws.FILTER(tblPiNAnalysis[[#Headers],[SAMV]:[ASH]], tblPiNAnalysis[[#This Row],[2º PiN más alto]]=tblPiNAnalysis[[#This Row],[SAMV]:[ASH]]), tblPiNHistorical[[#Headers],[SAMV]:[ASH]], 0))), "")</f>
        <v>-1</v>
      </c>
      <c r="AT9" s="100" t="str" cm="1">
        <f t="array" ref="AT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9" s="219">
        <f>INDEX(tblSeverityAnalysis[Severidad final], MATCH(tblPiNAnalysis[[#This Row],[ID]],tblSeverityAnalysis[ID], 0))</f>
        <v>3</v>
      </c>
      <c r="AV9" s="220">
        <f>IF(tblPiNAnalysis[[#This Row],[Severidad]]&gt;2,tblPiNAnalysis[[#This Row],[PiN más alto]],)</f>
        <v>276255.90000000002</v>
      </c>
      <c r="AW9" s="54"/>
      <c r="AX9" s="55"/>
      <c r="AY9" s="56">
        <f>COUNTIFS(tblPiNAnalysis[[#This Row],[Número de PiN ausentes/cero superior al umbral - Calidad de los datos]:[Marcador manual]],"Flagged")</f>
        <v>2</v>
      </c>
      <c r="AZ9" s="34" t="str">
        <f>IF(tblPiNAnalysis[[#This Row],[Número de marcadores]]&gt;0, "Flagged", "")</f>
        <v>Flagged</v>
      </c>
      <c r="BA9" s="92">
        <f>tblPiNAnalysis[[#This Row],[PiN preliminar]]</f>
        <v>276255.90000000002</v>
      </c>
      <c r="BB9" s="97"/>
      <c r="BC9" s="70">
        <f>IFERROR(IF(tblPiNAnalysis[[#This Row],[Severidad]]=3,tblPiNAnalysis[[#This Row],[PiN final]]*Umbrales!$D$33,tblPiNAnalysis[[#This Row],[PiN final]]*Umbrales!$D$34),)</f>
        <v>138127.95000000001</v>
      </c>
      <c r="BD9" s="70">
        <f>IFERROR(IF(tblPiNAnalysis[[#This Row],[Severidad]]&gt;3,tblPiNAnalysis[[#This Row],[PiN final]]*Umbrales!$D$34,),)</f>
        <v>0</v>
      </c>
      <c r="BE9" s="5"/>
      <c r="BF9" s="5"/>
      <c r="BG9" s="5"/>
      <c r="BH9" s="5"/>
      <c r="BK9" s="266"/>
      <c r="BL9" s="5"/>
      <c r="BM9" s="5"/>
      <c r="BN9" s="5"/>
      <c r="BO9" s="5"/>
      <c r="BP9" s="5"/>
      <c r="BS9" s="5"/>
      <c r="BU9" s="10"/>
      <c r="BV9" s="7"/>
      <c r="BW9" s="5"/>
    </row>
    <row r="10" spans="1:75">
      <c r="A10" s="101" t="str">
        <f>IFERROR(_xlfn.CONCAT(IF(tblPiNAnalysis[[#This Row],[Grupo]]="", "",tblPiNAnalysis[[#This Row],[Grupo]] ),  _xlfn.IFS(tblPiNAnalysis[[#This Row],[Admin2PCODE]]&lt;&gt;"", tblPiNAnalysis[[#This Row],[Admin2PCODE]], tblPiNAnalysis[[#This Row],[Admin1PCODE]]&lt;&gt;"", tblPiNAnalysis[[#This Row],[Admin1PCODE]])),"")</f>
        <v>VenezolanosVE0318</v>
      </c>
      <c r="B10" s="105" t="s">
        <v>119</v>
      </c>
      <c r="C10" s="104" t="s">
        <v>120</v>
      </c>
      <c r="D10" s="119" t="s">
        <v>155</v>
      </c>
      <c r="E10" s="104" t="s">
        <v>156</v>
      </c>
      <c r="F10" s="358"/>
      <c r="G10" s="357">
        <v>430938</v>
      </c>
      <c r="H10" s="103" t="s">
        <v>102</v>
      </c>
      <c r="I10" s="60">
        <v>102118</v>
      </c>
      <c r="J10" s="134">
        <v>15306.587667368825</v>
      </c>
      <c r="K10" s="57">
        <v>157292.37</v>
      </c>
      <c r="L10" s="87">
        <v>47018.271789925355</v>
      </c>
      <c r="M10" s="87">
        <v>102856.01449116059</v>
      </c>
      <c r="N10" s="57">
        <v>258562.8</v>
      </c>
      <c r="O10" s="57">
        <v>32913.924637171389</v>
      </c>
      <c r="P10" s="57">
        <v>35999.605071906204</v>
      </c>
      <c r="Q10" s="88">
        <f>IFERROR(IF(tblPiNAnalysis[[#This Row],[SAMV]]="", "", MROUND(tblPiNAnalysis[[#This Row],[SAMV]]/tblPiNAnalysis[[#This Row],[Población]], 0.05)), "")</f>
        <v>0.25</v>
      </c>
      <c r="R10" s="89">
        <f>IFERROR(IF(tblPiNAnalysis[[#This Row],[NUT]]="", "", MROUND(tblPiNAnalysis[[#This Row],[NUT]]/tblPiNAnalysis[[#This Row],[Población]], 0.05)), "")</f>
        <v>0.05</v>
      </c>
      <c r="S10" s="89">
        <f>IFERROR(IF(tblPiNAnalysis[[#This Row],[SAL]]="", "", MROUND(tblPiNAnalysis[[#This Row],[SAL]]/tblPiNAnalysis[[#This Row],[Población]], 0.05)), "")</f>
        <v>0.35000000000000003</v>
      </c>
      <c r="T10" s="89">
        <f>IFERROR(IF(tblPiNAnalysis[[#This Row],[EDU]]="", "", MROUND(tblPiNAnalysis[[#This Row],[EDU]]/tblPiNAnalysis[[#This Row],[Población]], 0.05)), "")</f>
        <v>0.1</v>
      </c>
      <c r="U10" s="89">
        <f>IFERROR(IF(tblPiNAnalysis[[#This Row],[PRO]]="", "", MROUND(tblPiNAnalysis[[#This Row],[PRO]]/tblPiNAnalysis[[#This Row],[Población]], 0.05)), "")</f>
        <v>0.25</v>
      </c>
      <c r="V10" s="90">
        <f>IFERROR(IF(tblPiNAnalysis[[#This Row],[ASH]]="", "", MROUND(tblPiNAnalysis[[#This Row],[ASH]]/tblPiNAnalysis[[#This Row],[Población]], 0.05)), "")</f>
        <v>0.60000000000000009</v>
      </c>
      <c r="W10" s="89">
        <f>IFERROR(MROUND(tblPiNAnalysis[[#This Row],[NNA]]/tblPiNAnalysis[[#This Row],[Población]], 0.05), "")</f>
        <v>0.1</v>
      </c>
      <c r="X10" s="89">
        <f>IFERROR(MROUND(tblPiNAnalysis[[#This Row],[VBG]]/tblPiNAnalysis[[#This Row],[Población]], 0.05), "")</f>
        <v>0.1</v>
      </c>
      <c r="Y10" s="91">
        <f>IFERROR(LARGE(tblPiNAnalysis[[#This Row],[SAMV]:[ASH]], 1), "")</f>
        <v>258562.8</v>
      </c>
      <c r="Z10" s="92" t="str" cm="1">
        <f t="array" ref="Z10">IF(tblPiNAnalysis[[#This Row],[PiN más alto]]="", "", _xlfn.TEXTJOIN(CHAR(10), TRUE, IF(tblPiNAnalysis[[#This Row],[PiN más alto]]=tblPiNAnalysis[[#This Row],[SAMV]:[ASH]], tblPiNAnalysis[[#Headers],[SAMV]:[ASH]], "")))</f>
        <v>ASH</v>
      </c>
      <c r="AA10" s="93">
        <f>IF(tblPiNAnalysis[[#This Row],[PiN más alto]]="", "", tblPiNAnalysis[[#This Row],[PiN más alto]]/tblPiNAnalysis[[#This Row],[Población]])</f>
        <v>0.6</v>
      </c>
      <c r="AB10" s="94" t="str">
        <f>IF(SUM(tblPiNAnalysis[[#This Row],[SAMV]:[ASH]])=0, "",IF(COUNTIF(tblPiNAnalysis[[#This Row],[SAMV]:[ASH]],"=0")+COUNTIF(tblPiNAnalysis[[#This Row],[SAMV]:[ASH]],"")&gt;=zero_pin_thresh, "Flagged", ""))</f>
        <v/>
      </c>
      <c r="AC10" s="95" t="str">
        <f>IFERROR(IF(tblPiNAnalysis[[#This Row],[PiN más alto]]="", "", IF(tblPiNAnalysis[[#This Row],[% PiN Sectores más altos]]&gt;=flag_pin_perc, "Flagged", "")), "")</f>
        <v/>
      </c>
      <c r="AD10" s="96" t="str" cm="1">
        <f t="array" ref="AD10">IF(tblPiNAnalysis[[#This Row],[PiN más alto]]=0, "",  IF(OR(COUNTIF(tblPiNAnalysis[[#This Row],[Sectores más altos]],tblSubSectorPopulation[Sector])), "Flagged", ""))</f>
        <v/>
      </c>
      <c r="AE10" s="16" cm="1">
        <f t="array" ref="AE1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157292.37</v>
      </c>
      <c r="AF10" s="97" t="str" cm="1">
        <f t="array" ref="AF10">IF(tblPiNAnalysis[[#This Row],[2º PiN más alto]]="", "", _xlfn.TEXTJOIN(CHAR(10), TRUE, IF(tblPiNAnalysis[[#This Row],[2º PiN más alto]]=tblPiNAnalysis[[#This Row],[SAMV]:[ASH]], tblPiNAnalysis[[#Headers],[SAMV]:[ASH]], "")))</f>
        <v>SAL</v>
      </c>
      <c r="AG10" s="12">
        <f>IFERROR(tblPiNAnalysis[[#This Row],[2º PiN más alto]]/tblPiNAnalysis[[#This Row],[Población]], "")</f>
        <v>0.36499999999999999</v>
      </c>
      <c r="AH10" s="16">
        <f>IFERROR(tblPiNAnalysis[[#This Row],[PiN más alto]]-tblPiNAnalysis[[#This Row],[2º PiN más alto]], "")</f>
        <v>101270.43</v>
      </c>
      <c r="AI10" s="14">
        <f>IFERROR(((tblPiNAnalysis[[#This Row],[PiN más alto]]-tblPiNAnalysis[[#This Row],[2º PiN más alto]])/tblPiNAnalysis[[#This Row],[2º PiN más alto]]),"")</f>
        <v>0.64383561643835618</v>
      </c>
      <c r="AJ10" s="14" t="str" cm="1">
        <f t="array" ref="AJ1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0" s="98" cm="1">
        <f t="array" ref="AK1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102856.01449116059</v>
      </c>
      <c r="AL10" s="53" t="str" cm="1">
        <f t="array" ref="AL10">IF(tblPiNAnalysis[[#This Row],[3º PiN más alto]]="", "", _xlfn.TEXTJOIN(CHAR(10), TRUE, IF(tblPiNAnalysis[[#This Row],[3º PiN más alto]]=tblPiNAnalysis[[#This Row],[SAMV]:[ASH]], tblPiNAnalysis[[#Headers],[SAMV]:[ASH]], "")))</f>
        <v>PRO</v>
      </c>
      <c r="AM10" s="53">
        <f>IFERROR(tblPiNAnalysis[[#This Row],[3º PiN más alto]]/tblPiNAnalysis[[#This Row],[Población]], "")</f>
        <v>0.23867937961182487</v>
      </c>
      <c r="AN10" s="15">
        <f>IFERROR(tblPiNAnalysis[[#This Row],[PiN más alto]]-tblPiNAnalysis[[#This Row],[3º PiN más alto]],"")</f>
        <v>155706.78550883941</v>
      </c>
      <c r="AO10" s="14">
        <f>IFERROR(tblPiNAnalysis[[#This Row],[Diferencia de PiN entre el más alto y el 3º más alto]]/tblPiNAnalysis[[#This Row],[3º PiN más alto]], "")</f>
        <v>1.5138325773085521</v>
      </c>
      <c r="AP10" s="96" t="str" cm="1">
        <f t="array" ref="AP1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0" s="84" cm="1">
        <f t="array" ref="AQ10">IFERROR(IF(tblPiNAnalysis[[#This Row],[ID]]="", "", INDEX(tblPiNHistorical[[SAMV]:[ASH]], MATCH(tblPiNAnalysis[[#This Row],[ID]],tblPiNHistorical[ID], 0),MATCH(_xlfn._xlws.FILTER(tblPiNAnalysis[[#Headers],[SAMV]:[ASH]], tblPiNAnalysis[[#This Row],[PiN más alto]]=tblPiNAnalysis[[#This Row],[SAMV]:[ASH]]), tblPiNHistorical[[#Headers],[SAMV]:[ASH]], 0))), "")</f>
        <v>-0.1</v>
      </c>
      <c r="AR10" s="99" t="str" cm="1">
        <f t="array" ref="AR1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0" s="74" cm="1">
        <f t="array" ref="AS10">IFERROR(IF(tblPiNAnalysis[[#This Row],[ID]]="", "", INDEX(tblPiNHistorical[[SAMV]:[ASH]], MATCH(tblPiNAnalysis[[#This Row],[ID]],tblPiNHistorical[ID], 0),MATCH(_xlfn._xlws.FILTER(tblPiNAnalysis[[#Headers],[SAMV]:[ASH]], tblPiNAnalysis[[#This Row],[2º PiN más alto]]=tblPiNAnalysis[[#This Row],[SAMV]:[ASH]]), tblPiNHistorical[[#Headers],[SAMV]:[ASH]], 0))), "")</f>
        <v>-0.6</v>
      </c>
      <c r="AT10" s="100" t="str" cm="1">
        <f t="array" ref="AT1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0" s="219">
        <f>INDEX(tblSeverityAnalysis[Severidad final], MATCH(tblPiNAnalysis[[#This Row],[ID]],tblSeverityAnalysis[ID], 0))</f>
        <v>3</v>
      </c>
      <c r="AV10" s="220">
        <f>IF(tblPiNAnalysis[[#This Row],[Severidad]]&gt;2,tblPiNAnalysis[[#This Row],[PiN más alto]],)</f>
        <v>258562.8</v>
      </c>
      <c r="AW10" s="54"/>
      <c r="AX10" s="55"/>
      <c r="AY10" s="56">
        <f>COUNTIFS(tblPiNAnalysis[[#This Row],[Número de PiN ausentes/cero superior al umbral - Calidad de los datos]:[Marcador manual]],"Flagged")</f>
        <v>2</v>
      </c>
      <c r="AZ10" s="34" t="str">
        <f>IF(tblPiNAnalysis[[#This Row],[Número de marcadores]]&gt;0, "Flagged", "")</f>
        <v>Flagged</v>
      </c>
      <c r="BA10" s="92">
        <f>tblPiNAnalysis[[#This Row],[PiN preliminar]]</f>
        <v>258562.8</v>
      </c>
      <c r="BB10" s="97"/>
      <c r="BC10" s="70">
        <f>IFERROR(IF(tblPiNAnalysis[[#This Row],[Severidad]]=3,tblPiNAnalysis[[#This Row],[PiN final]]*Umbrales!$D$33,tblPiNAnalysis[[#This Row],[PiN final]]*Umbrales!$D$34),)</f>
        <v>129281.4</v>
      </c>
      <c r="BD10" s="70">
        <f>IFERROR(IF(tblPiNAnalysis[[#This Row],[Severidad]]&gt;3,tblPiNAnalysis[[#This Row],[PiN final]]*Umbrales!$D$34,),)</f>
        <v>0</v>
      </c>
      <c r="BE10" s="5"/>
      <c r="BF10" s="5"/>
      <c r="BG10" s="5"/>
      <c r="BH10" s="5"/>
      <c r="BK10" s="266"/>
      <c r="BL10" s="5"/>
      <c r="BM10" s="5"/>
      <c r="BN10" s="5"/>
      <c r="BO10" s="5"/>
      <c r="BP10" s="5"/>
      <c r="BS10" s="5"/>
      <c r="BU10" s="10"/>
      <c r="BV10" s="7"/>
      <c r="BW10" s="5"/>
    </row>
    <row r="11" spans="1:75">
      <c r="A11" s="101" t="str">
        <f>IFERROR(_xlfn.CONCAT(IF(tblPiNAnalysis[[#This Row],[Grupo]]="", "",tblPiNAnalysis[[#This Row],[Grupo]] ),  _xlfn.IFS(tblPiNAnalysis[[#This Row],[Admin2PCODE]]&lt;&gt;"", tblPiNAnalysis[[#This Row],[Admin2PCODE]], tblPiNAnalysis[[#This Row],[Admin1PCODE]]&lt;&gt;"", tblPiNAnalysis[[#This Row],[Admin1PCODE]])),"")</f>
        <v>VenezolanosVE0705</v>
      </c>
      <c r="B11" s="105" t="s">
        <v>180</v>
      </c>
      <c r="C11" s="104" t="s">
        <v>239</v>
      </c>
      <c r="D11" s="119" t="s">
        <v>803</v>
      </c>
      <c r="E11" s="104" t="s">
        <v>249</v>
      </c>
      <c r="F11" s="358"/>
      <c r="G11" s="357">
        <v>350010</v>
      </c>
      <c r="H11" s="103" t="s">
        <v>102</v>
      </c>
      <c r="I11" s="60">
        <v>112245</v>
      </c>
      <c r="J11" s="134">
        <v>12970.93718897102</v>
      </c>
      <c r="K11" s="57">
        <v>127753.65</v>
      </c>
      <c r="L11" s="87">
        <v>44158.500390264089</v>
      </c>
      <c r="M11" s="87">
        <v>83866.727689659892</v>
      </c>
      <c r="N11" s="57">
        <v>210006</v>
      </c>
      <c r="O11" s="57">
        <v>26837.352860691164</v>
      </c>
      <c r="P11" s="57">
        <v>29353.354691380962</v>
      </c>
      <c r="Q11" s="88">
        <f>IFERROR(IF(tblPiNAnalysis[[#This Row],[SAMV]]="", "", MROUND(tblPiNAnalysis[[#This Row],[SAMV]]/tblPiNAnalysis[[#This Row],[Población]], 0.05)), "")</f>
        <v>0.30000000000000004</v>
      </c>
      <c r="R11" s="89">
        <f>IFERROR(IF(tblPiNAnalysis[[#This Row],[NUT]]="", "", MROUND(tblPiNAnalysis[[#This Row],[NUT]]/tblPiNAnalysis[[#This Row],[Población]], 0.05)), "")</f>
        <v>0.05</v>
      </c>
      <c r="S11" s="89">
        <f>IFERROR(IF(tblPiNAnalysis[[#This Row],[SAL]]="", "", MROUND(tblPiNAnalysis[[#This Row],[SAL]]/tblPiNAnalysis[[#This Row],[Población]], 0.05)), "")</f>
        <v>0.35000000000000003</v>
      </c>
      <c r="T11" s="89">
        <f>IFERROR(IF(tblPiNAnalysis[[#This Row],[EDU]]="", "", MROUND(tblPiNAnalysis[[#This Row],[EDU]]/tblPiNAnalysis[[#This Row],[Población]], 0.05)), "")</f>
        <v>0.15000000000000002</v>
      </c>
      <c r="U11" s="89">
        <f>IFERROR(IF(tblPiNAnalysis[[#This Row],[PRO]]="", "", MROUND(tblPiNAnalysis[[#This Row],[PRO]]/tblPiNAnalysis[[#This Row],[Población]], 0.05)), "")</f>
        <v>0.25</v>
      </c>
      <c r="V11" s="90">
        <f>IFERROR(IF(tblPiNAnalysis[[#This Row],[ASH]]="", "", MROUND(tblPiNAnalysis[[#This Row],[ASH]]/tblPiNAnalysis[[#This Row],[Población]], 0.05)), "")</f>
        <v>0.60000000000000009</v>
      </c>
      <c r="W11" s="89">
        <f>IFERROR(MROUND(tblPiNAnalysis[[#This Row],[NNA]]/tblPiNAnalysis[[#This Row],[Población]], 0.05), "")</f>
        <v>0.1</v>
      </c>
      <c r="X11" s="89">
        <f>IFERROR(MROUND(tblPiNAnalysis[[#This Row],[VBG]]/tblPiNAnalysis[[#This Row],[Población]], 0.05), "")</f>
        <v>0.1</v>
      </c>
      <c r="Y11" s="91">
        <f>IFERROR(LARGE(tblPiNAnalysis[[#This Row],[SAMV]:[ASH]], 1), "")</f>
        <v>210006</v>
      </c>
      <c r="Z11" s="92" t="str" cm="1">
        <f t="array" ref="Z11">IF(tblPiNAnalysis[[#This Row],[PiN más alto]]="", "", _xlfn.TEXTJOIN(CHAR(10), TRUE, IF(tblPiNAnalysis[[#This Row],[PiN más alto]]=tblPiNAnalysis[[#This Row],[SAMV]:[ASH]], tblPiNAnalysis[[#Headers],[SAMV]:[ASH]], "")))</f>
        <v>ASH</v>
      </c>
      <c r="AA11" s="93">
        <f>IF(tblPiNAnalysis[[#This Row],[PiN más alto]]="", "", tblPiNAnalysis[[#This Row],[PiN más alto]]/tblPiNAnalysis[[#This Row],[Población]])</f>
        <v>0.6</v>
      </c>
      <c r="AB11" s="94" t="str">
        <f>IF(SUM(tblPiNAnalysis[[#This Row],[SAMV]:[ASH]])=0, "",IF(COUNTIF(tblPiNAnalysis[[#This Row],[SAMV]:[ASH]],"=0")+COUNTIF(tblPiNAnalysis[[#This Row],[SAMV]:[ASH]],"")&gt;=zero_pin_thresh, "Flagged", ""))</f>
        <v/>
      </c>
      <c r="AC11" s="95" t="str">
        <f>IFERROR(IF(tblPiNAnalysis[[#This Row],[PiN más alto]]="", "", IF(tblPiNAnalysis[[#This Row],[% PiN Sectores más altos]]&gt;=flag_pin_perc, "Flagged", "")), "")</f>
        <v/>
      </c>
      <c r="AD11" s="96" t="str" cm="1">
        <f t="array" ref="AD11">IF(tblPiNAnalysis[[#This Row],[PiN más alto]]=0, "",  IF(OR(COUNTIF(tblPiNAnalysis[[#This Row],[Sectores más altos]],tblSubSectorPopulation[Sector])), "Flagged", ""))</f>
        <v/>
      </c>
      <c r="AE11" s="16" cm="1">
        <f t="array" ref="AE1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127753.65</v>
      </c>
      <c r="AF11" s="97" t="str" cm="1">
        <f t="array" ref="AF11">IF(tblPiNAnalysis[[#This Row],[2º PiN más alto]]="", "", _xlfn.TEXTJOIN(CHAR(10), TRUE, IF(tblPiNAnalysis[[#This Row],[2º PiN más alto]]=tblPiNAnalysis[[#This Row],[SAMV]:[ASH]], tblPiNAnalysis[[#Headers],[SAMV]:[ASH]], "")))</f>
        <v>SAL</v>
      </c>
      <c r="AG11" s="12">
        <f>IFERROR(tblPiNAnalysis[[#This Row],[2º PiN más alto]]/tblPiNAnalysis[[#This Row],[Población]], "")</f>
        <v>0.36499999999999999</v>
      </c>
      <c r="AH11" s="16">
        <f>IFERROR(tblPiNAnalysis[[#This Row],[PiN más alto]]-tblPiNAnalysis[[#This Row],[2º PiN más alto]], "")</f>
        <v>82252.350000000006</v>
      </c>
      <c r="AI11" s="14">
        <f>IFERROR(((tblPiNAnalysis[[#This Row],[PiN más alto]]-tblPiNAnalysis[[#This Row],[2º PiN más alto]])/tblPiNAnalysis[[#This Row],[2º PiN más alto]]),"")</f>
        <v>0.64383561643835618</v>
      </c>
      <c r="AJ11" s="14" t="str" cm="1">
        <f t="array" ref="AJ1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1" s="98" cm="1">
        <f t="array" ref="AK1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112245</v>
      </c>
      <c r="AL11" s="53" t="str" cm="1">
        <f t="array" ref="AL11">IF(tblPiNAnalysis[[#This Row],[3º PiN más alto]]="", "", _xlfn.TEXTJOIN(CHAR(10), TRUE, IF(tblPiNAnalysis[[#This Row],[3º PiN más alto]]=tblPiNAnalysis[[#This Row],[SAMV]:[ASH]], tblPiNAnalysis[[#Headers],[SAMV]:[ASH]], "")))</f>
        <v>SAMV</v>
      </c>
      <c r="AM11" s="53">
        <f>IFERROR(tblPiNAnalysis[[#This Row],[3º PiN más alto]]/tblPiNAnalysis[[#This Row],[Población]], "")</f>
        <v>0.3206908374046456</v>
      </c>
      <c r="AN11" s="15">
        <f>IFERROR(tblPiNAnalysis[[#This Row],[PiN más alto]]-tblPiNAnalysis[[#This Row],[3º PiN más alto]],"")</f>
        <v>97761</v>
      </c>
      <c r="AO11" s="14">
        <f>IFERROR(tblPiNAnalysis[[#This Row],[Diferencia de PiN entre el más alto y el 3º más alto]]/tblPiNAnalysis[[#This Row],[3º PiN más alto]], "")</f>
        <v>0.87096084458105039</v>
      </c>
      <c r="AP11" s="96" t="str" cm="1">
        <f t="array" ref="AP1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1" s="84" t="str" cm="1">
        <f t="array" ref="AQ11">IFERROR(IF(tblPiNAnalysis[[#This Row],[ID]]="", "", INDEX(tblPiNHistorical[[SAMV]:[ASH]], MATCH(tblPiNAnalysis[[#This Row],[ID]],tblPiNHistorical[ID], 0),MATCH(_xlfn._xlws.FILTER(tblPiNAnalysis[[#Headers],[SAMV]:[ASH]], tblPiNAnalysis[[#This Row],[PiN más alto]]=tblPiNAnalysis[[#This Row],[SAMV]:[ASH]]), tblPiNHistorical[[#Headers],[SAMV]:[ASH]], 0))), "")</f>
        <v>New26 5335.47</v>
      </c>
      <c r="AR11" s="99" t="str" cm="1">
        <f t="array" ref="AR1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1" s="74" cm="1">
        <f t="array" ref="AS11">IFERROR(IF(tblPiNAnalysis[[#This Row],[ID]]="", "", INDEX(tblPiNHistorical[[SAMV]:[ASH]], MATCH(tblPiNAnalysis[[#This Row],[ID]],tblPiNHistorical[ID], 0),MATCH(_xlfn._xlws.FILTER(tblPiNAnalysis[[#Headers],[SAMV]:[ASH]], tblPiNAnalysis[[#This Row],[2º PiN más alto]]=tblPiNAnalysis[[#This Row],[SAMV]:[ASH]]), tblPiNHistorical[[#Headers],[SAMV]:[ASH]], 0))), "")</f>
        <v>-0.8</v>
      </c>
      <c r="AT11" s="100" t="str" cm="1">
        <f t="array" ref="AT1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1" s="219">
        <f>INDEX(tblSeverityAnalysis[Severidad final], MATCH(tblPiNAnalysis[[#This Row],[ID]],tblSeverityAnalysis[ID], 0))</f>
        <v>3</v>
      </c>
      <c r="AV11" s="220">
        <f>IF(tblPiNAnalysis[[#This Row],[Severidad]]&gt;2,tblPiNAnalysis[[#This Row],[PiN más alto]],)</f>
        <v>210006</v>
      </c>
      <c r="AW11" s="54"/>
      <c r="AX11" s="55"/>
      <c r="AY11" s="56">
        <f>COUNTIFS(tblPiNAnalysis[[#This Row],[Número de PiN ausentes/cero superior al umbral - Calidad de los datos]:[Marcador manual]],"Flagged")</f>
        <v>2</v>
      </c>
      <c r="AZ11" s="34" t="str">
        <f>IF(tblPiNAnalysis[[#This Row],[Número de marcadores]]&gt;0, "Flagged", "")</f>
        <v>Flagged</v>
      </c>
      <c r="BA11" s="92">
        <f>tblPiNAnalysis[[#This Row],[PiN preliminar]]</f>
        <v>210006</v>
      </c>
      <c r="BB11" s="97"/>
      <c r="BC11" s="70">
        <f>IFERROR(IF(tblPiNAnalysis[[#This Row],[Severidad]]=3,tblPiNAnalysis[[#This Row],[PiN final]]*Umbrales!$D$33,tblPiNAnalysis[[#This Row],[PiN final]]*Umbrales!$D$34),)</f>
        <v>105003</v>
      </c>
      <c r="BD11" s="70">
        <f>IFERROR(IF(tblPiNAnalysis[[#This Row],[Severidad]]&gt;3,tblPiNAnalysis[[#This Row],[PiN final]]*Umbrales!$D$34,),)</f>
        <v>0</v>
      </c>
      <c r="BE11" s="5"/>
      <c r="BF11" s="5"/>
      <c r="BG11" s="5"/>
      <c r="BH11" s="5"/>
      <c r="BK11" s="266"/>
      <c r="BL11" s="5"/>
      <c r="BM11" s="5"/>
      <c r="BN11" s="5"/>
      <c r="BO11" s="5"/>
      <c r="BP11" s="5"/>
      <c r="BS11" s="5"/>
      <c r="BU11" s="10"/>
      <c r="BV11" s="7"/>
      <c r="BW11" s="5"/>
    </row>
    <row r="12" spans="1:75">
      <c r="A12" s="101" t="str">
        <f>IFERROR(_xlfn.CONCAT(IF(tblPiNAnalysis[[#This Row],[Grupo]]="", "",tblPiNAnalysis[[#This Row],[Grupo]] ),  _xlfn.IFS(tblPiNAnalysis[[#This Row],[Admin2PCODE]]&lt;&gt;"", tblPiNAnalysis[[#This Row],[Admin2PCODE]], tblPiNAnalysis[[#This Row],[Admin1PCODE]]&lt;&gt;"", tblPiNAnalysis[[#This Row],[Admin1PCODE]])),"")</f>
        <v>VenezolanosVE1608</v>
      </c>
      <c r="B12" s="105" t="s">
        <v>491</v>
      </c>
      <c r="C12" s="104" t="s">
        <v>492</v>
      </c>
      <c r="D12" s="119" t="s">
        <v>502</v>
      </c>
      <c r="E12" s="104" t="s">
        <v>503</v>
      </c>
      <c r="F12" s="358"/>
      <c r="G12" s="357">
        <v>554507</v>
      </c>
      <c r="H12" s="103" t="s">
        <v>102</v>
      </c>
      <c r="I12" s="60">
        <v>161344</v>
      </c>
      <c r="J12" s="134">
        <v>21117.765311778934</v>
      </c>
      <c r="K12" s="57">
        <v>202395.05499999999</v>
      </c>
      <c r="L12" s="87">
        <v>43027.272228408598</v>
      </c>
      <c r="M12" s="87">
        <v>110727.55005107232</v>
      </c>
      <c r="N12" s="57">
        <v>0</v>
      </c>
      <c r="O12" s="57">
        <v>35432.816016343146</v>
      </c>
      <c r="P12" s="57">
        <v>38754.642517875305</v>
      </c>
      <c r="Q12" s="88">
        <f>IFERROR(IF(tblPiNAnalysis[[#This Row],[SAMV]]="", "", MROUND(tblPiNAnalysis[[#This Row],[SAMV]]/tblPiNAnalysis[[#This Row],[Población]], 0.05)), "")</f>
        <v>0.30000000000000004</v>
      </c>
      <c r="R12" s="89">
        <f>IFERROR(IF(tblPiNAnalysis[[#This Row],[NUT]]="", "", MROUND(tblPiNAnalysis[[#This Row],[NUT]]/tblPiNAnalysis[[#This Row],[Población]], 0.05)), "")</f>
        <v>0.05</v>
      </c>
      <c r="S12" s="89">
        <f>IFERROR(IF(tblPiNAnalysis[[#This Row],[SAL]]="", "", MROUND(tblPiNAnalysis[[#This Row],[SAL]]/tblPiNAnalysis[[#This Row],[Población]], 0.05)), "")</f>
        <v>0.35000000000000003</v>
      </c>
      <c r="T12" s="89">
        <f>IFERROR(IF(tblPiNAnalysis[[#This Row],[EDU]]="", "", MROUND(tblPiNAnalysis[[#This Row],[EDU]]/tblPiNAnalysis[[#This Row],[Población]], 0.05)), "")</f>
        <v>0.1</v>
      </c>
      <c r="U12" s="89">
        <f>IFERROR(IF(tblPiNAnalysis[[#This Row],[PRO]]="", "", MROUND(tblPiNAnalysis[[#This Row],[PRO]]/tblPiNAnalysis[[#This Row],[Población]], 0.05)), "")</f>
        <v>0.2</v>
      </c>
      <c r="V12" s="90">
        <f>IFERROR(IF(tblPiNAnalysis[[#This Row],[ASH]]="", "", MROUND(tblPiNAnalysis[[#This Row],[ASH]]/tblPiNAnalysis[[#This Row],[Población]], 0.05)), "")</f>
        <v>0</v>
      </c>
      <c r="W12" s="89">
        <f>IFERROR(MROUND(tblPiNAnalysis[[#This Row],[NNA]]/tblPiNAnalysis[[#This Row],[Población]], 0.05), "")</f>
        <v>0.05</v>
      </c>
      <c r="X12" s="89">
        <f>IFERROR(MROUND(tblPiNAnalysis[[#This Row],[VBG]]/tblPiNAnalysis[[#This Row],[Población]], 0.05), "")</f>
        <v>0.05</v>
      </c>
      <c r="Y12" s="91">
        <f>IFERROR(LARGE(tblPiNAnalysis[[#This Row],[SAMV]:[ASH]], 1), "")</f>
        <v>202395.05499999999</v>
      </c>
      <c r="Z12" s="92" t="str" cm="1">
        <f t="array" ref="Z12">IF(tblPiNAnalysis[[#This Row],[PiN más alto]]="", "", _xlfn.TEXTJOIN(CHAR(10), TRUE, IF(tblPiNAnalysis[[#This Row],[PiN más alto]]=tblPiNAnalysis[[#This Row],[SAMV]:[ASH]], tblPiNAnalysis[[#Headers],[SAMV]:[ASH]], "")))</f>
        <v>SAL</v>
      </c>
      <c r="AA12" s="93">
        <f>IF(tblPiNAnalysis[[#This Row],[PiN más alto]]="", "", tblPiNAnalysis[[#This Row],[PiN más alto]]/tblPiNAnalysis[[#This Row],[Población]])</f>
        <v>0.36499999999999999</v>
      </c>
      <c r="AB12" s="94" t="str">
        <f>IF(SUM(tblPiNAnalysis[[#This Row],[SAMV]:[ASH]])=0, "",IF(COUNTIF(tblPiNAnalysis[[#This Row],[SAMV]:[ASH]],"=0")+COUNTIF(tblPiNAnalysis[[#This Row],[SAMV]:[ASH]],"")&gt;=zero_pin_thresh, "Flagged", ""))</f>
        <v/>
      </c>
      <c r="AC12" s="95" t="str">
        <f>IFERROR(IF(tblPiNAnalysis[[#This Row],[PiN más alto]]="", "", IF(tblPiNAnalysis[[#This Row],[% PiN Sectores más altos]]&gt;=flag_pin_perc, "Flagged", "")), "")</f>
        <v/>
      </c>
      <c r="AD12" s="96" t="str" cm="1">
        <f t="array" ref="AD12">IF(tblPiNAnalysis[[#This Row],[PiN más alto]]=0, "",  IF(OR(COUNTIF(tblPiNAnalysis[[#This Row],[Sectores más altos]],tblSubSectorPopulation[Sector])), "Flagged", ""))</f>
        <v/>
      </c>
      <c r="AE12" s="16" cm="1">
        <f t="array" ref="AE1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161344</v>
      </c>
      <c r="AF12" s="97" t="str" cm="1">
        <f t="array" ref="AF12">IF(tblPiNAnalysis[[#This Row],[2º PiN más alto]]="", "", _xlfn.TEXTJOIN(CHAR(10), TRUE, IF(tblPiNAnalysis[[#This Row],[2º PiN más alto]]=tblPiNAnalysis[[#This Row],[SAMV]:[ASH]], tblPiNAnalysis[[#Headers],[SAMV]:[ASH]], "")))</f>
        <v>SAMV</v>
      </c>
      <c r="AG12" s="12">
        <f>IFERROR(tblPiNAnalysis[[#This Row],[2º PiN más alto]]/tblPiNAnalysis[[#This Row],[Población]], "")</f>
        <v>0.29096837370853751</v>
      </c>
      <c r="AH12" s="16">
        <f>IFERROR(tblPiNAnalysis[[#This Row],[PiN más alto]]-tblPiNAnalysis[[#This Row],[2º PiN más alto]], "")</f>
        <v>41051.054999999993</v>
      </c>
      <c r="AI12" s="14">
        <f>IFERROR(((tblPiNAnalysis[[#This Row],[PiN más alto]]-tblPiNAnalysis[[#This Row],[2º PiN más alto]])/tblPiNAnalysis[[#This Row],[2º PiN más alto]]),"")</f>
        <v>0.2544318660749702</v>
      </c>
      <c r="AJ12" s="14" t="str" cm="1">
        <f t="array" ref="AJ1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2" s="98" cm="1">
        <f t="array" ref="AK1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110727.55005107232</v>
      </c>
      <c r="AL12" s="53" t="str" cm="1">
        <f t="array" ref="AL12">IF(tblPiNAnalysis[[#This Row],[3º PiN más alto]]="", "", _xlfn.TEXTJOIN(CHAR(10), TRUE, IF(tblPiNAnalysis[[#This Row],[3º PiN más alto]]=tblPiNAnalysis[[#This Row],[SAMV]:[ASH]], tblPiNAnalysis[[#Headers],[SAMV]:[ASH]], "")))</f>
        <v>PRO</v>
      </c>
      <c r="AM12" s="53">
        <f>IFERROR(tblPiNAnalysis[[#This Row],[3º PiN más alto]]/tblPiNAnalysis[[#This Row],[Población]], "")</f>
        <v>0.19968647835117018</v>
      </c>
      <c r="AN12" s="15">
        <f>IFERROR(tblPiNAnalysis[[#This Row],[PiN más alto]]-tblPiNAnalysis[[#This Row],[3º PiN más alto]],"")</f>
        <v>91667.504948927672</v>
      </c>
      <c r="AO12" s="14">
        <f>IFERROR(tblPiNAnalysis[[#This Row],[Diferencia de PiN entre el más alto y el 3º más alto]]/tblPiNAnalysis[[#This Row],[3º PiN más alto]], "")</f>
        <v>0.82786537683391948</v>
      </c>
      <c r="AP12" s="96" t="str" cm="1">
        <f t="array" ref="AP1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2" s="84" cm="1">
        <f t="array" ref="AQ12">IFERROR(IF(tblPiNAnalysis[[#This Row],[ID]]="", "", INDEX(tblPiNHistorical[[SAMV]:[ASH]], MATCH(tblPiNAnalysis[[#This Row],[ID]],tblPiNHistorical[ID], 0),MATCH(_xlfn._xlws.FILTER(tblPiNAnalysis[[#Headers],[SAMV]:[ASH]], tblPiNAnalysis[[#This Row],[PiN más alto]]=tblPiNAnalysis[[#This Row],[SAMV]:[ASH]]), tblPiNHistorical[[#Headers],[SAMV]:[ASH]], 0))), "")</f>
        <v>-0.9</v>
      </c>
      <c r="AR12" s="99" t="str" cm="1">
        <f t="array" ref="AR1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2" s="74" cm="1">
        <f t="array" ref="AS12">IFERROR(IF(tblPiNAnalysis[[#This Row],[ID]]="", "", INDEX(tblPiNHistorical[[SAMV]:[ASH]], MATCH(tblPiNAnalysis[[#This Row],[ID]],tblPiNHistorical[ID], 0),MATCH(_xlfn._xlws.FILTER(tblPiNAnalysis[[#Headers],[SAMV]:[ASH]], tblPiNAnalysis[[#This Row],[2º PiN más alto]]=tblPiNAnalysis[[#This Row],[SAMV]:[ASH]]), tblPiNHistorical[[#Headers],[SAMV]:[ASH]], 0))), "")</f>
        <v>-1</v>
      </c>
      <c r="AT12" s="100" t="str" cm="1">
        <f t="array" ref="AT1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2" s="219">
        <f>INDEX(tblSeverityAnalysis[Severidad final], MATCH(tblPiNAnalysis[[#This Row],[ID]],tblSeverityAnalysis[ID], 0))</f>
        <v>3</v>
      </c>
      <c r="AV12" s="220">
        <f>IF(tblPiNAnalysis[[#This Row],[Severidad]]&gt;2,tblPiNAnalysis[[#This Row],[PiN más alto]],)</f>
        <v>202395.05499999999</v>
      </c>
      <c r="AW12" s="54"/>
      <c r="AX12" s="55"/>
      <c r="AY12" s="56">
        <f>COUNTIFS(tblPiNAnalysis[[#This Row],[Número de PiN ausentes/cero superior al umbral - Calidad de los datos]:[Marcador manual]],"Flagged")</f>
        <v>2</v>
      </c>
      <c r="AZ12" s="34" t="str">
        <f>IF(tblPiNAnalysis[[#This Row],[Número de marcadores]]&gt;0, "Flagged", "")</f>
        <v>Flagged</v>
      </c>
      <c r="BA12" s="92">
        <f>tblPiNAnalysis[[#This Row],[PiN preliminar]]</f>
        <v>202395.05499999999</v>
      </c>
      <c r="BB12" s="97"/>
      <c r="BC12" s="70">
        <f>IFERROR(IF(tblPiNAnalysis[[#This Row],[Severidad]]=3,tblPiNAnalysis[[#This Row],[PiN final]]*Umbrales!$D$33,tblPiNAnalysis[[#This Row],[PiN final]]*Umbrales!$D$34),)</f>
        <v>101197.5275</v>
      </c>
      <c r="BD12" s="70">
        <f>IFERROR(IF(tblPiNAnalysis[[#This Row],[Severidad]]&gt;3,tblPiNAnalysis[[#This Row],[PiN final]]*Umbrales!$D$34,),)</f>
        <v>0</v>
      </c>
      <c r="BE12" s="5"/>
      <c r="BF12" s="5"/>
      <c r="BG12" s="5"/>
      <c r="BH12" s="5"/>
      <c r="BK12" s="266"/>
      <c r="BL12" s="5"/>
      <c r="BM12" s="5"/>
      <c r="BN12" s="5"/>
      <c r="BO12" s="5"/>
      <c r="BP12" s="5"/>
      <c r="BS12" s="5"/>
      <c r="BU12" s="10"/>
      <c r="BV12" s="7"/>
      <c r="BW12" s="5"/>
    </row>
    <row r="13" spans="1:75">
      <c r="A13" s="101" t="str">
        <f>IFERROR(_xlfn.CONCAT(IF(tblPiNAnalysis[[#This Row],[Grupo]]="", "",tblPiNAnalysis[[#This Row],[Grupo]] ),  _xlfn.IFS(tblPiNAnalysis[[#This Row],[Admin2PCODE]]&lt;&gt;"", tblPiNAnalysis[[#This Row],[Admin2PCODE]], tblPiNAnalysis[[#This Row],[Admin1PCODE]]&lt;&gt;"", tblPiNAnalysis[[#This Row],[Admin1PCODE]])),"")</f>
        <v>VenezolanosVE2317</v>
      </c>
      <c r="B13" s="105" t="s">
        <v>705</v>
      </c>
      <c r="C13" s="104" t="s">
        <v>706</v>
      </c>
      <c r="D13" s="119" t="s">
        <v>350</v>
      </c>
      <c r="E13" s="104" t="s">
        <v>738</v>
      </c>
      <c r="F13" s="358"/>
      <c r="G13" s="357">
        <v>456843</v>
      </c>
      <c r="H13" s="103" t="s">
        <v>102</v>
      </c>
      <c r="I13" s="60">
        <v>137605</v>
      </c>
      <c r="J13" s="134">
        <v>27277.488562299386</v>
      </c>
      <c r="K13" s="57">
        <v>166747.69500000001</v>
      </c>
      <c r="L13" s="87">
        <v>78557.706051057874</v>
      </c>
      <c r="M13" s="87">
        <v>108885.14712379516</v>
      </c>
      <c r="N13" s="57">
        <v>61673.805</v>
      </c>
      <c r="O13" s="57">
        <v>34843.247079614448</v>
      </c>
      <c r="P13" s="57">
        <v>38109.801493328305</v>
      </c>
      <c r="Q13" s="88">
        <f>IFERROR(IF(tblPiNAnalysis[[#This Row],[SAMV]]="", "", MROUND(tblPiNAnalysis[[#This Row],[SAMV]]/tblPiNAnalysis[[#This Row],[Población]], 0.05)), "")</f>
        <v>0.30000000000000004</v>
      </c>
      <c r="R13" s="89">
        <f>IFERROR(IF(tblPiNAnalysis[[#This Row],[NUT]]="", "", MROUND(tblPiNAnalysis[[#This Row],[NUT]]/tblPiNAnalysis[[#This Row],[Población]], 0.05)), "")</f>
        <v>0.05</v>
      </c>
      <c r="S13" s="89">
        <f>IFERROR(IF(tblPiNAnalysis[[#This Row],[SAL]]="", "", MROUND(tblPiNAnalysis[[#This Row],[SAL]]/tblPiNAnalysis[[#This Row],[Población]], 0.05)), "")</f>
        <v>0.35000000000000003</v>
      </c>
      <c r="T13" s="89">
        <f>IFERROR(IF(tblPiNAnalysis[[#This Row],[EDU]]="", "", MROUND(tblPiNAnalysis[[#This Row],[EDU]]/tblPiNAnalysis[[#This Row],[Población]], 0.05)), "")</f>
        <v>0.15000000000000002</v>
      </c>
      <c r="U13" s="89">
        <f>IFERROR(IF(tblPiNAnalysis[[#This Row],[PRO]]="", "", MROUND(tblPiNAnalysis[[#This Row],[PRO]]/tblPiNAnalysis[[#This Row],[Población]], 0.05)), "")</f>
        <v>0.25</v>
      </c>
      <c r="V13" s="90">
        <f>IFERROR(IF(tblPiNAnalysis[[#This Row],[ASH]]="", "", MROUND(tblPiNAnalysis[[#This Row],[ASH]]/tblPiNAnalysis[[#This Row],[Población]], 0.05)), "")</f>
        <v>0.15000000000000002</v>
      </c>
      <c r="W13" s="89">
        <f>IFERROR(MROUND(tblPiNAnalysis[[#This Row],[NNA]]/tblPiNAnalysis[[#This Row],[Población]], 0.05), "")</f>
        <v>0.1</v>
      </c>
      <c r="X13" s="89">
        <f>IFERROR(MROUND(tblPiNAnalysis[[#This Row],[VBG]]/tblPiNAnalysis[[#This Row],[Población]], 0.05), "")</f>
        <v>0.1</v>
      </c>
      <c r="Y13" s="91">
        <f>IFERROR(LARGE(tblPiNAnalysis[[#This Row],[SAMV]:[ASH]], 1), "")</f>
        <v>166747.69500000001</v>
      </c>
      <c r="Z13" s="92" t="str" cm="1">
        <f t="array" ref="Z13">IF(tblPiNAnalysis[[#This Row],[PiN más alto]]="", "", _xlfn.TEXTJOIN(CHAR(10), TRUE, IF(tblPiNAnalysis[[#This Row],[PiN más alto]]=tblPiNAnalysis[[#This Row],[SAMV]:[ASH]], tblPiNAnalysis[[#Headers],[SAMV]:[ASH]], "")))</f>
        <v>SAL</v>
      </c>
      <c r="AA13" s="93">
        <f>IF(tblPiNAnalysis[[#This Row],[PiN más alto]]="", "", tblPiNAnalysis[[#This Row],[PiN más alto]]/tblPiNAnalysis[[#This Row],[Población]])</f>
        <v>0.36499999999999999</v>
      </c>
      <c r="AB13" s="94" t="str">
        <f>IF(SUM(tblPiNAnalysis[[#This Row],[SAMV]:[ASH]])=0, "",IF(COUNTIF(tblPiNAnalysis[[#This Row],[SAMV]:[ASH]],"=0")+COUNTIF(tblPiNAnalysis[[#This Row],[SAMV]:[ASH]],"")&gt;=zero_pin_thresh, "Flagged", ""))</f>
        <v/>
      </c>
      <c r="AC13" s="95" t="str">
        <f>IFERROR(IF(tblPiNAnalysis[[#This Row],[PiN más alto]]="", "", IF(tblPiNAnalysis[[#This Row],[% PiN Sectores más altos]]&gt;=flag_pin_perc, "Flagged", "")), "")</f>
        <v/>
      </c>
      <c r="AD13" s="96" t="str" cm="1">
        <f t="array" ref="AD13">IF(tblPiNAnalysis[[#This Row],[PiN más alto]]=0, "",  IF(OR(COUNTIF(tblPiNAnalysis[[#This Row],[Sectores más altos]],tblSubSectorPopulation[Sector])), "Flagged", ""))</f>
        <v/>
      </c>
      <c r="AE13" s="16" cm="1">
        <f t="array" ref="AE1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137605</v>
      </c>
      <c r="AF13" s="97" t="str" cm="1">
        <f t="array" ref="AF13">IF(tblPiNAnalysis[[#This Row],[2º PiN más alto]]="", "", _xlfn.TEXTJOIN(CHAR(10), TRUE, IF(tblPiNAnalysis[[#This Row],[2º PiN más alto]]=tblPiNAnalysis[[#This Row],[SAMV]:[ASH]], tblPiNAnalysis[[#Headers],[SAMV]:[ASH]], "")))</f>
        <v>SAMV</v>
      </c>
      <c r="AG13" s="12">
        <f>IFERROR(tblPiNAnalysis[[#This Row],[2º PiN más alto]]/tblPiNAnalysis[[#This Row],[Población]], "")</f>
        <v>0.3012085114579845</v>
      </c>
      <c r="AH13" s="16">
        <f>IFERROR(tblPiNAnalysis[[#This Row],[PiN más alto]]-tblPiNAnalysis[[#This Row],[2º PiN más alto]], "")</f>
        <v>29142.695000000007</v>
      </c>
      <c r="AI13" s="14">
        <f>IFERROR(((tblPiNAnalysis[[#This Row],[PiN más alto]]-tblPiNAnalysis[[#This Row],[2º PiN más alto]])/tblPiNAnalysis[[#This Row],[2º PiN más alto]]),"")</f>
        <v>0.21178514588859421</v>
      </c>
      <c r="AJ13" s="14" t="str" cm="1">
        <f t="array" ref="AJ1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3" s="98" cm="1">
        <f t="array" ref="AK1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108885.14712379516</v>
      </c>
      <c r="AL13" s="53" t="str" cm="1">
        <f t="array" ref="AL13">IF(tblPiNAnalysis[[#This Row],[3º PiN más alto]]="", "", _xlfn.TEXTJOIN(CHAR(10), TRUE, IF(tblPiNAnalysis[[#This Row],[3º PiN más alto]]=tblPiNAnalysis[[#This Row],[SAMV]:[ASH]], tblPiNAnalysis[[#Headers],[SAMV]:[ASH]], "")))</f>
        <v>PRO</v>
      </c>
      <c r="AM13" s="53">
        <f>IFERROR(tblPiNAnalysis[[#This Row],[3º PiN más alto]]/tblPiNAnalysis[[#This Row],[Población]], "")</f>
        <v>0.2383425971806401</v>
      </c>
      <c r="AN13" s="15">
        <f>IFERROR(tblPiNAnalysis[[#This Row],[PiN más alto]]-tblPiNAnalysis[[#This Row],[3º PiN más alto]],"")</f>
        <v>57862.547876204844</v>
      </c>
      <c r="AO13" s="14">
        <f>IFERROR(tblPiNAnalysis[[#This Row],[Diferencia de PiN entre el más alto y el 3º más alto]]/tblPiNAnalysis[[#This Row],[3º PiN más alto]], "")</f>
        <v>0.53140900668866231</v>
      </c>
      <c r="AP13" s="96" t="str" cm="1">
        <f t="array" ref="AP1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3" s="84" cm="1">
        <f t="array" ref="AQ13">IFERROR(IF(tblPiNAnalysis[[#This Row],[ID]]="", "", INDEX(tblPiNHistorical[[SAMV]:[ASH]], MATCH(tblPiNAnalysis[[#This Row],[ID]],tblPiNHistorical[ID], 0),MATCH(_xlfn._xlws.FILTER(tblPiNAnalysis[[#Headers],[SAMV]:[ASH]], tblPiNAnalysis[[#This Row],[PiN más alto]]=tblPiNAnalysis[[#This Row],[SAMV]:[ASH]]), tblPiNHistorical[[#Headers],[SAMV]:[ASH]], 0))), "")</f>
        <v>-0.8</v>
      </c>
      <c r="AR13" s="99" t="str" cm="1">
        <f t="array" ref="AR1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3" s="74" cm="1">
        <f t="array" ref="AS13">IFERROR(IF(tblPiNAnalysis[[#This Row],[ID]]="", "", INDEX(tblPiNHistorical[[SAMV]:[ASH]], MATCH(tblPiNAnalysis[[#This Row],[ID]],tblPiNHistorical[ID], 0),MATCH(_xlfn._xlws.FILTER(tblPiNAnalysis[[#Headers],[SAMV]:[ASH]], tblPiNAnalysis[[#This Row],[2º PiN más alto]]=tblPiNAnalysis[[#This Row],[SAMV]:[ASH]]), tblPiNHistorical[[#Headers],[SAMV]:[ASH]], 0))), "")</f>
        <v>-1</v>
      </c>
      <c r="AT13" s="100" t="str" cm="1">
        <f t="array" ref="AT1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3" s="219">
        <f>INDEX(tblSeverityAnalysis[Severidad final], MATCH(tblPiNAnalysis[[#This Row],[ID]],tblSeverityAnalysis[ID], 0))</f>
        <v>3</v>
      </c>
      <c r="AV13" s="220">
        <f>IF(tblPiNAnalysis[[#This Row],[Severidad]]&gt;2,tblPiNAnalysis[[#This Row],[PiN más alto]],)</f>
        <v>166747.69500000001</v>
      </c>
      <c r="AW13" s="54"/>
      <c r="AX13" s="55"/>
      <c r="AY13" s="56">
        <f>COUNTIFS(tblPiNAnalysis[[#This Row],[Número de PiN ausentes/cero superior al umbral - Calidad de los datos]:[Marcador manual]],"Flagged")</f>
        <v>2</v>
      </c>
      <c r="AZ13" s="34" t="str">
        <f>IF(tblPiNAnalysis[[#This Row],[Número de marcadores]]&gt;0, "Flagged", "")</f>
        <v>Flagged</v>
      </c>
      <c r="BA13" s="92">
        <f>tblPiNAnalysis[[#This Row],[PiN preliminar]]</f>
        <v>166747.69500000001</v>
      </c>
      <c r="BB13" s="97"/>
      <c r="BC13" s="70">
        <f>IFERROR(IF(tblPiNAnalysis[[#This Row],[Severidad]]=3,tblPiNAnalysis[[#This Row],[PiN final]]*Umbrales!$D$33,tblPiNAnalysis[[#This Row],[PiN final]]*Umbrales!$D$34),)</f>
        <v>83373.847500000003</v>
      </c>
      <c r="BD13" s="70">
        <f>IFERROR(IF(tblPiNAnalysis[[#This Row],[Severidad]]&gt;3,tblPiNAnalysis[[#This Row],[PiN final]]*Umbrales!$D$34,),)</f>
        <v>0</v>
      </c>
      <c r="BE13" s="5"/>
      <c r="BF13" s="5"/>
      <c r="BG13" s="5"/>
      <c r="BH13" s="5"/>
      <c r="BK13" s="266"/>
      <c r="BL13" s="5"/>
      <c r="BM13" s="5"/>
      <c r="BN13" s="5"/>
      <c r="BO13" s="5"/>
      <c r="BP13" s="5"/>
      <c r="BS13" s="5"/>
      <c r="BU13" s="10"/>
      <c r="BV13" s="7"/>
      <c r="BW13" s="5"/>
    </row>
    <row r="14" spans="1:75">
      <c r="A14" s="101" t="str">
        <f>IFERROR(_xlfn.CONCAT(IF(tblPiNAnalysis[[#This Row],[Grupo]]="", "",tblPiNAnalysis[[#This Row],[Grupo]] ),  _xlfn.IFS(tblPiNAnalysis[[#This Row],[Admin2PCODE]]&lt;&gt;"", tblPiNAnalysis[[#This Row],[Admin2PCODE]], tblPiNAnalysis[[#This Row],[Admin1PCODE]]&lt;&gt;"", tblPiNAnalysis[[#This Row],[Admin1PCODE]])),"")</f>
        <v>VenezolanosVE2401</v>
      </c>
      <c r="B14" s="105" t="s">
        <v>745</v>
      </c>
      <c r="C14" s="104" t="s">
        <v>746</v>
      </c>
      <c r="D14" s="119" t="s">
        <v>747</v>
      </c>
      <c r="E14" s="104" t="s">
        <v>748</v>
      </c>
      <c r="F14" s="358"/>
      <c r="G14" s="357">
        <v>360888</v>
      </c>
      <c r="H14" s="103" t="s">
        <v>102</v>
      </c>
      <c r="I14" s="60">
        <v>16275</v>
      </c>
      <c r="J14" s="134">
        <v>18458.621817052488</v>
      </c>
      <c r="K14" s="57">
        <v>131724.12</v>
      </c>
      <c r="L14" s="87">
        <v>30713.05727595514</v>
      </c>
      <c r="M14" s="87">
        <v>143848.22999999998</v>
      </c>
      <c r="N14" s="57">
        <v>162399.6</v>
      </c>
      <c r="O14" s="57">
        <v>46031.433599999997</v>
      </c>
      <c r="P14" s="57">
        <v>50346.880499999999</v>
      </c>
      <c r="Q14" s="88">
        <f>IFERROR(IF(tblPiNAnalysis[[#This Row],[SAMV]]="", "", MROUND(tblPiNAnalysis[[#This Row],[SAMV]]/tblPiNAnalysis[[#This Row],[Población]], 0.05)), "")</f>
        <v>0.05</v>
      </c>
      <c r="R14" s="89">
        <f>IFERROR(IF(tblPiNAnalysis[[#This Row],[NUT]]="", "", MROUND(tblPiNAnalysis[[#This Row],[NUT]]/tblPiNAnalysis[[#This Row],[Población]], 0.05)), "")</f>
        <v>0.05</v>
      </c>
      <c r="S14" s="89">
        <f>IFERROR(IF(tblPiNAnalysis[[#This Row],[SAL]]="", "", MROUND(tblPiNAnalysis[[#This Row],[SAL]]/tblPiNAnalysis[[#This Row],[Población]], 0.05)), "")</f>
        <v>0.35000000000000003</v>
      </c>
      <c r="T14" s="89">
        <f>IFERROR(IF(tblPiNAnalysis[[#This Row],[EDU]]="", "", MROUND(tblPiNAnalysis[[#This Row],[EDU]]/tblPiNAnalysis[[#This Row],[Población]], 0.05)), "")</f>
        <v>0.1</v>
      </c>
      <c r="U14" s="89">
        <f>IFERROR(IF(tblPiNAnalysis[[#This Row],[PRO]]="", "", MROUND(tblPiNAnalysis[[#This Row],[PRO]]/tblPiNAnalysis[[#This Row],[Población]], 0.05)), "")</f>
        <v>0.4</v>
      </c>
      <c r="V14" s="90">
        <f>IFERROR(IF(tblPiNAnalysis[[#This Row],[ASH]]="", "", MROUND(tblPiNAnalysis[[#This Row],[ASH]]/tblPiNAnalysis[[#This Row],[Población]], 0.05)), "")</f>
        <v>0.45</v>
      </c>
      <c r="W14" s="89">
        <f>IFERROR(MROUND(tblPiNAnalysis[[#This Row],[NNA]]/tblPiNAnalysis[[#This Row],[Población]], 0.05), "")</f>
        <v>0.15000000000000002</v>
      </c>
      <c r="X14" s="89">
        <f>IFERROR(MROUND(tblPiNAnalysis[[#This Row],[VBG]]/tblPiNAnalysis[[#This Row],[Población]], 0.05), "")</f>
        <v>0.15000000000000002</v>
      </c>
      <c r="Y14" s="91">
        <f>IFERROR(LARGE(tblPiNAnalysis[[#This Row],[SAMV]:[ASH]], 1), "")</f>
        <v>162399.6</v>
      </c>
      <c r="Z14" s="92" t="str" cm="1">
        <f t="array" ref="Z14">IF(tblPiNAnalysis[[#This Row],[PiN más alto]]="", "", _xlfn.TEXTJOIN(CHAR(10), TRUE, IF(tblPiNAnalysis[[#This Row],[PiN más alto]]=tblPiNAnalysis[[#This Row],[SAMV]:[ASH]], tblPiNAnalysis[[#Headers],[SAMV]:[ASH]], "")))</f>
        <v>ASH</v>
      </c>
      <c r="AA14" s="93">
        <f>IF(tblPiNAnalysis[[#This Row],[PiN más alto]]="", "", tblPiNAnalysis[[#This Row],[PiN más alto]]/tblPiNAnalysis[[#This Row],[Población]])</f>
        <v>0.45</v>
      </c>
      <c r="AB14" s="94" t="str">
        <f>IF(SUM(tblPiNAnalysis[[#This Row],[SAMV]:[ASH]])=0, "",IF(COUNTIF(tblPiNAnalysis[[#This Row],[SAMV]:[ASH]],"=0")+COUNTIF(tblPiNAnalysis[[#This Row],[SAMV]:[ASH]],"")&gt;=zero_pin_thresh, "Flagged", ""))</f>
        <v/>
      </c>
      <c r="AC14" s="95" t="str">
        <f>IFERROR(IF(tblPiNAnalysis[[#This Row],[PiN más alto]]="", "", IF(tblPiNAnalysis[[#This Row],[% PiN Sectores más altos]]&gt;=flag_pin_perc, "Flagged", "")), "")</f>
        <v/>
      </c>
      <c r="AD14" s="96" t="str" cm="1">
        <f t="array" ref="AD14">IF(tblPiNAnalysis[[#This Row],[PiN más alto]]=0, "",  IF(OR(COUNTIF(tblPiNAnalysis[[#This Row],[Sectores más altos]],tblSubSectorPopulation[Sector])), "Flagged", ""))</f>
        <v/>
      </c>
      <c r="AE14" s="16" cm="1">
        <f t="array" ref="AE1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143848.22999999998</v>
      </c>
      <c r="AF14" s="97" t="str" cm="1">
        <f t="array" ref="AF14">IF(tblPiNAnalysis[[#This Row],[2º PiN más alto]]="", "", _xlfn.TEXTJOIN(CHAR(10), TRUE, IF(tblPiNAnalysis[[#This Row],[2º PiN más alto]]=tblPiNAnalysis[[#This Row],[SAMV]:[ASH]], tblPiNAnalysis[[#Headers],[SAMV]:[ASH]], "")))</f>
        <v>PRO</v>
      </c>
      <c r="AG14" s="12">
        <f>IFERROR(tblPiNAnalysis[[#This Row],[2º PiN más alto]]/tblPiNAnalysis[[#This Row],[Población]], "")</f>
        <v>0.39859521513599783</v>
      </c>
      <c r="AH14" s="16">
        <f>IFERROR(tblPiNAnalysis[[#This Row],[PiN más alto]]-tblPiNAnalysis[[#This Row],[2º PiN más alto]], "")</f>
        <v>18551.370000000024</v>
      </c>
      <c r="AI14" s="14">
        <f>IFERROR(((tblPiNAnalysis[[#This Row],[PiN más alto]]-tblPiNAnalysis[[#This Row],[2º PiN más alto]])/tblPiNAnalysis[[#This Row],[2º PiN más alto]]),"")</f>
        <v>0.12896488194536718</v>
      </c>
      <c r="AJ14" s="14" t="str" cm="1">
        <f t="array" ref="AJ1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4" s="98" cm="1">
        <f t="array" ref="AK1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131724.12</v>
      </c>
      <c r="AL14" s="53" t="str" cm="1">
        <f t="array" ref="AL14">IF(tblPiNAnalysis[[#This Row],[3º PiN más alto]]="", "", _xlfn.TEXTJOIN(CHAR(10), TRUE, IF(tblPiNAnalysis[[#This Row],[3º PiN más alto]]=tblPiNAnalysis[[#This Row],[SAMV]:[ASH]], tblPiNAnalysis[[#Headers],[SAMV]:[ASH]], "")))</f>
        <v>SAL</v>
      </c>
      <c r="AM14" s="53">
        <f>IFERROR(tblPiNAnalysis[[#This Row],[3º PiN más alto]]/tblPiNAnalysis[[#This Row],[Población]], "")</f>
        <v>0.36499999999999999</v>
      </c>
      <c r="AN14" s="15">
        <f>IFERROR(tblPiNAnalysis[[#This Row],[PiN más alto]]-tblPiNAnalysis[[#This Row],[3º PiN más alto]],"")</f>
        <v>30675.48000000001</v>
      </c>
      <c r="AO14" s="14">
        <f>IFERROR(tblPiNAnalysis[[#This Row],[Diferencia de PiN entre el más alto y el 3º más alto]]/tblPiNAnalysis[[#This Row],[3º PiN más alto]], "")</f>
        <v>0.23287671232876722</v>
      </c>
      <c r="AP14" s="96" t="str" cm="1">
        <f t="array" ref="AP1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
      </c>
      <c r="AQ14" s="84" t="str" cm="1">
        <f t="array" ref="AQ14">IFERROR(IF(tblPiNAnalysis[[#This Row],[ID]]="", "", INDEX(tblPiNHistorical[[SAMV]:[ASH]], MATCH(tblPiNAnalysis[[#This Row],[ID]],tblPiNHistorical[ID], 0),MATCH(_xlfn._xlws.FILTER(tblPiNAnalysis[[#Headers],[SAMV]:[ASH]], tblPiNAnalysis[[#This Row],[PiN más alto]]=tblPiNAnalysis[[#This Row],[SAMV]:[ASH]]), tblPiNHistorical[[#Headers],[SAMV]:[ASH]], 0))), "")</f>
        <v>NoPIN26 70584</v>
      </c>
      <c r="AR14" s="99" t="str" cm="1">
        <f t="array" ref="AR1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4" s="74" cm="1">
        <f t="array" ref="AS14">IFERROR(IF(tblPiNAnalysis[[#This Row],[ID]]="", "", INDEX(tblPiNHistorical[[SAMV]:[ASH]], MATCH(tblPiNAnalysis[[#This Row],[ID]],tblPiNHistorical[ID], 0),MATCH(_xlfn._xlws.FILTER(tblPiNAnalysis[[#Headers],[SAMV]:[ASH]], tblPiNAnalysis[[#This Row],[2º PiN más alto]]=tblPiNAnalysis[[#This Row],[SAMV]:[ASH]]), tblPiNHistorical[[#Headers],[SAMV]:[ASH]], 0))), "")</f>
        <v>-0.8</v>
      </c>
      <c r="AT14" s="100" t="str" cm="1">
        <f t="array" ref="AT1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4" s="219">
        <f>INDEX(tblSeverityAnalysis[Severidad final], MATCH(tblPiNAnalysis[[#This Row],[ID]],tblSeverityAnalysis[ID], 0))</f>
        <v>3</v>
      </c>
      <c r="AV14" s="220">
        <f>IF(tblPiNAnalysis[[#This Row],[Severidad]]&gt;2,tblPiNAnalysis[[#This Row],[PiN más alto]],)</f>
        <v>162399.6</v>
      </c>
      <c r="AW14" s="54"/>
      <c r="AX14" s="55"/>
      <c r="AY14" s="56">
        <f>COUNTIFS(tblPiNAnalysis[[#This Row],[Número de PiN ausentes/cero superior al umbral - Calidad de los datos]:[Marcador manual]],"Flagged")</f>
        <v>0</v>
      </c>
      <c r="AZ14" s="34" t="str">
        <f>IF(tblPiNAnalysis[[#This Row],[Número de marcadores]]&gt;0, "Flagged", "")</f>
        <v/>
      </c>
      <c r="BA14" s="92">
        <f>tblPiNAnalysis[[#This Row],[PiN preliminar]]</f>
        <v>162399.6</v>
      </c>
      <c r="BB14" s="97"/>
      <c r="BC14" s="70">
        <f>IFERROR(IF(tblPiNAnalysis[[#This Row],[Severidad]]=3,tblPiNAnalysis[[#This Row],[PiN final]]*Umbrales!$D$33,tblPiNAnalysis[[#This Row],[PiN final]]*Umbrales!$D$34),)</f>
        <v>81199.8</v>
      </c>
      <c r="BD14" s="70">
        <f>IFERROR(IF(tblPiNAnalysis[[#This Row],[Severidad]]&gt;3,tblPiNAnalysis[[#This Row],[PiN final]]*Umbrales!$D$34,),)</f>
        <v>0</v>
      </c>
      <c r="BE14" s="5"/>
      <c r="BF14" s="5"/>
      <c r="BG14" s="5"/>
      <c r="BH14" s="5"/>
      <c r="BK14" s="266"/>
      <c r="BL14" s="5"/>
      <c r="BM14" s="5"/>
      <c r="BN14" s="5"/>
      <c r="BO14" s="5"/>
      <c r="BP14" s="5"/>
      <c r="BS14" s="5"/>
      <c r="BU14" s="10"/>
      <c r="BV14" s="7"/>
      <c r="BW14" s="5"/>
    </row>
    <row r="15" spans="1:75">
      <c r="A15" s="101" t="str">
        <f>IFERROR(_xlfn.CONCAT(IF(tblPiNAnalysis[[#This Row],[Grupo]]="", "",tblPiNAnalysis[[#This Row],[Grupo]] ),  _xlfn.IFS(tblPiNAnalysis[[#This Row],[Admin2PCODE]]&lt;&gt;"", tblPiNAnalysis[[#This Row],[Admin2PCODE]], tblPiNAnalysis[[#This Row],[Admin1PCODE]]&lt;&gt;"", tblPiNAnalysis[[#This Row],[Admin1PCODE]])),"")</f>
        <v>VenezolanosVE2303</v>
      </c>
      <c r="B15" s="105" t="s">
        <v>705</v>
      </c>
      <c r="C15" s="104" t="s">
        <v>706</v>
      </c>
      <c r="D15" s="119" t="s">
        <v>711</v>
      </c>
      <c r="E15" s="104" t="s">
        <v>712</v>
      </c>
      <c r="F15" s="358"/>
      <c r="G15" s="357">
        <v>268988</v>
      </c>
      <c r="H15" s="103" t="s">
        <v>102</v>
      </c>
      <c r="I15" s="60">
        <v>14759</v>
      </c>
      <c r="J15" s="134">
        <v>12650.699210643514</v>
      </c>
      <c r="K15" s="57">
        <v>98180.62</v>
      </c>
      <c r="L15" s="87">
        <v>45790.255526923123</v>
      </c>
      <c r="M15" s="87">
        <v>64111.298530426022</v>
      </c>
      <c r="N15" s="57">
        <v>161392.79999999999</v>
      </c>
      <c r="O15" s="57">
        <v>20579.726828266754</v>
      </c>
      <c r="P15" s="57">
        <v>22438.954485649108</v>
      </c>
      <c r="Q15" s="88">
        <f>IFERROR(IF(tblPiNAnalysis[[#This Row],[SAMV]]="", "", MROUND(tblPiNAnalysis[[#This Row],[SAMV]]/tblPiNAnalysis[[#This Row],[Población]], 0.05)), "")</f>
        <v>0.05</v>
      </c>
      <c r="R15" s="89">
        <f>IFERROR(IF(tblPiNAnalysis[[#This Row],[NUT]]="", "", MROUND(tblPiNAnalysis[[#This Row],[NUT]]/tblPiNAnalysis[[#This Row],[Población]], 0.05)), "")</f>
        <v>0.05</v>
      </c>
      <c r="S15" s="89">
        <f>IFERROR(IF(tblPiNAnalysis[[#This Row],[SAL]]="", "", MROUND(tblPiNAnalysis[[#This Row],[SAL]]/tblPiNAnalysis[[#This Row],[Población]], 0.05)), "")</f>
        <v>0.35000000000000003</v>
      </c>
      <c r="T15" s="89">
        <f>IFERROR(IF(tblPiNAnalysis[[#This Row],[EDU]]="", "", MROUND(tblPiNAnalysis[[#This Row],[EDU]]/tblPiNAnalysis[[#This Row],[Población]], 0.05)), "")</f>
        <v>0.15000000000000002</v>
      </c>
      <c r="U15" s="89">
        <f>IFERROR(IF(tblPiNAnalysis[[#This Row],[PRO]]="", "", MROUND(tblPiNAnalysis[[#This Row],[PRO]]/tblPiNAnalysis[[#This Row],[Población]], 0.05)), "")</f>
        <v>0.25</v>
      </c>
      <c r="V15" s="90">
        <f>IFERROR(IF(tblPiNAnalysis[[#This Row],[ASH]]="", "", MROUND(tblPiNAnalysis[[#This Row],[ASH]]/tblPiNAnalysis[[#This Row],[Población]], 0.05)), "")</f>
        <v>0.60000000000000009</v>
      </c>
      <c r="W15" s="89">
        <f>IFERROR(MROUND(tblPiNAnalysis[[#This Row],[NNA]]/tblPiNAnalysis[[#This Row],[Población]], 0.05), "")</f>
        <v>0.1</v>
      </c>
      <c r="X15" s="89">
        <f>IFERROR(MROUND(tblPiNAnalysis[[#This Row],[VBG]]/tblPiNAnalysis[[#This Row],[Población]], 0.05), "")</f>
        <v>0.1</v>
      </c>
      <c r="Y15" s="91">
        <f>IFERROR(LARGE(tblPiNAnalysis[[#This Row],[SAMV]:[ASH]], 1), "")</f>
        <v>161392.79999999999</v>
      </c>
      <c r="Z15" s="92" t="str" cm="1">
        <f t="array" ref="Z15">IF(tblPiNAnalysis[[#This Row],[PiN más alto]]="", "", _xlfn.TEXTJOIN(CHAR(10), TRUE, IF(tblPiNAnalysis[[#This Row],[PiN más alto]]=tblPiNAnalysis[[#This Row],[SAMV]:[ASH]], tblPiNAnalysis[[#Headers],[SAMV]:[ASH]], "")))</f>
        <v>ASH</v>
      </c>
      <c r="AA15" s="93">
        <f>IF(tblPiNAnalysis[[#This Row],[PiN más alto]]="", "", tblPiNAnalysis[[#This Row],[PiN más alto]]/tblPiNAnalysis[[#This Row],[Población]])</f>
        <v>0.6</v>
      </c>
      <c r="AB15" s="94" t="str">
        <f>IF(SUM(tblPiNAnalysis[[#This Row],[SAMV]:[ASH]])=0, "",IF(COUNTIF(tblPiNAnalysis[[#This Row],[SAMV]:[ASH]],"=0")+COUNTIF(tblPiNAnalysis[[#This Row],[SAMV]:[ASH]],"")&gt;=zero_pin_thresh, "Flagged", ""))</f>
        <v/>
      </c>
      <c r="AC15" s="95" t="str">
        <f>IFERROR(IF(tblPiNAnalysis[[#This Row],[PiN más alto]]="", "", IF(tblPiNAnalysis[[#This Row],[% PiN Sectores más altos]]&gt;=flag_pin_perc, "Flagged", "")), "")</f>
        <v/>
      </c>
      <c r="AD15" s="96" t="str" cm="1">
        <f t="array" ref="AD15">IF(tblPiNAnalysis[[#This Row],[PiN más alto]]=0, "",  IF(OR(COUNTIF(tblPiNAnalysis[[#This Row],[Sectores más altos]],tblSubSectorPopulation[Sector])), "Flagged", ""))</f>
        <v/>
      </c>
      <c r="AE15" s="16" cm="1">
        <f t="array" ref="AE1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98180.62</v>
      </c>
      <c r="AF15" s="97" t="str" cm="1">
        <f t="array" ref="AF15">IF(tblPiNAnalysis[[#This Row],[2º PiN más alto]]="", "", _xlfn.TEXTJOIN(CHAR(10), TRUE, IF(tblPiNAnalysis[[#This Row],[2º PiN más alto]]=tblPiNAnalysis[[#This Row],[SAMV]:[ASH]], tblPiNAnalysis[[#Headers],[SAMV]:[ASH]], "")))</f>
        <v>SAL</v>
      </c>
      <c r="AG15" s="12">
        <f>IFERROR(tblPiNAnalysis[[#This Row],[2º PiN más alto]]/tblPiNAnalysis[[#This Row],[Población]], "")</f>
        <v>0.36499999999999999</v>
      </c>
      <c r="AH15" s="16">
        <f>IFERROR(tblPiNAnalysis[[#This Row],[PiN más alto]]-tblPiNAnalysis[[#This Row],[2º PiN más alto]], "")</f>
        <v>63212.179999999993</v>
      </c>
      <c r="AI15" s="14">
        <f>IFERROR(((tblPiNAnalysis[[#This Row],[PiN más alto]]-tblPiNAnalysis[[#This Row],[2º PiN más alto]])/tblPiNAnalysis[[#This Row],[2º PiN más alto]]),"")</f>
        <v>0.64383561643835607</v>
      </c>
      <c r="AJ15" s="14" t="str" cm="1">
        <f t="array" ref="AJ1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5" s="98" cm="1">
        <f t="array" ref="AK1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64111.298530426022</v>
      </c>
      <c r="AL15" s="53" t="str" cm="1">
        <f t="array" ref="AL15">IF(tblPiNAnalysis[[#This Row],[3º PiN más alto]]="", "", _xlfn.TEXTJOIN(CHAR(10), TRUE, IF(tblPiNAnalysis[[#This Row],[3º PiN más alto]]=tblPiNAnalysis[[#This Row],[SAMV]:[ASH]], tblPiNAnalysis[[#Headers],[SAMV]:[ASH]], "")))</f>
        <v>PRO</v>
      </c>
      <c r="AM15" s="53">
        <f>IFERROR(tblPiNAnalysis[[#This Row],[3º PiN más alto]]/tblPiNAnalysis[[#This Row],[Población]], "")</f>
        <v>0.2383425971806401</v>
      </c>
      <c r="AN15" s="15">
        <f>IFERROR(tblPiNAnalysis[[#This Row],[PiN más alto]]-tblPiNAnalysis[[#This Row],[3º PiN más alto]],"")</f>
        <v>97281.501469573966</v>
      </c>
      <c r="AO15" s="14">
        <f>IFERROR(tblPiNAnalysis[[#This Row],[Diferencia de PiN entre el más alto y el 3º más alto]]/tblPiNAnalysis[[#This Row],[3º PiN más alto]], "")</f>
        <v>1.5173846685293075</v>
      </c>
      <c r="AP15" s="96" t="str" cm="1">
        <f t="array" ref="AP1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5" s="84" t="str" cm="1">
        <f t="array" ref="AQ15">IFERROR(IF(tblPiNAnalysis[[#This Row],[ID]]="", "", INDEX(tblPiNHistorical[[SAMV]:[ASH]], MATCH(tblPiNAnalysis[[#This Row],[ID]],tblPiNHistorical[ID], 0),MATCH(_xlfn._xlws.FILTER(tblPiNAnalysis[[#Headers],[SAMV]:[ASH]], tblPiNAnalysis[[#This Row],[PiN más alto]]=tblPiNAnalysis[[#This Row],[SAMV]:[ASH]]), tblPiNHistorical[[#Headers],[SAMV]:[ASH]], 0))), "")</f>
        <v/>
      </c>
      <c r="AR15" s="99" t="str" cm="1">
        <f t="array" ref="AR1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5" s="74" cm="1">
        <f t="array" ref="AS15">IFERROR(IF(tblPiNAnalysis[[#This Row],[ID]]="", "", INDEX(tblPiNHistorical[[SAMV]:[ASH]], MATCH(tblPiNAnalysis[[#This Row],[ID]],tblPiNHistorical[ID], 0),MATCH(_xlfn._xlws.FILTER(tblPiNAnalysis[[#Headers],[SAMV]:[ASH]], tblPiNAnalysis[[#This Row],[2º PiN más alto]]=tblPiNAnalysis[[#This Row],[SAMV]:[ASH]]), tblPiNHistorical[[#Headers],[SAMV]:[ASH]], 0))), "")</f>
        <v>-1</v>
      </c>
      <c r="AT15" s="100" t="str" cm="1">
        <f t="array" ref="AT1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5" s="219">
        <f>INDEX(tblSeverityAnalysis[Severidad final], MATCH(tblPiNAnalysis[[#This Row],[ID]],tblSeverityAnalysis[ID], 0))</f>
        <v>3</v>
      </c>
      <c r="AV15" s="220">
        <f>IF(tblPiNAnalysis[[#This Row],[Severidad]]&gt;2,tblPiNAnalysis[[#This Row],[PiN más alto]],)</f>
        <v>161392.79999999999</v>
      </c>
      <c r="AW15" s="54"/>
      <c r="AX15" s="55"/>
      <c r="AY15" s="56">
        <f>COUNTIFS(tblPiNAnalysis[[#This Row],[Número de PiN ausentes/cero superior al umbral - Calidad de los datos]:[Marcador manual]],"Flagged")</f>
        <v>3</v>
      </c>
      <c r="AZ15" s="34" t="str">
        <f>IF(tblPiNAnalysis[[#This Row],[Número de marcadores]]&gt;0, "Flagged", "")</f>
        <v>Flagged</v>
      </c>
      <c r="BA15" s="92">
        <f>tblPiNAnalysis[[#This Row],[PiN preliminar]]</f>
        <v>161392.79999999999</v>
      </c>
      <c r="BB15" s="97"/>
      <c r="BC15" s="70">
        <f>IFERROR(IF(tblPiNAnalysis[[#This Row],[Severidad]]=3,tblPiNAnalysis[[#This Row],[PiN final]]*Umbrales!$D$33,tblPiNAnalysis[[#This Row],[PiN final]]*Umbrales!$D$34),)</f>
        <v>80696.399999999994</v>
      </c>
      <c r="BD15" s="70">
        <f>IFERROR(IF(tblPiNAnalysis[[#This Row],[Severidad]]&gt;3,tblPiNAnalysis[[#This Row],[PiN final]]*Umbrales!$D$34,),)</f>
        <v>0</v>
      </c>
      <c r="BE15" s="5"/>
      <c r="BF15" s="5"/>
      <c r="BG15" s="5"/>
      <c r="BH15" s="5"/>
      <c r="BK15" s="266"/>
      <c r="BL15" s="5"/>
      <c r="BM15" s="5"/>
      <c r="BN15" s="5"/>
      <c r="BO15" s="5"/>
      <c r="BP15" s="5"/>
      <c r="BS15" s="5"/>
      <c r="BU15" s="10"/>
      <c r="BV15" s="7"/>
      <c r="BW15" s="5"/>
    </row>
    <row r="16" spans="1:75">
      <c r="A16" s="101" t="str">
        <f>IFERROR(_xlfn.CONCAT(IF(tblPiNAnalysis[[#This Row],[Grupo]]="", "",tblPiNAnalysis[[#This Row],[Grupo]] ),  _xlfn.IFS(tblPiNAnalysis[[#This Row],[Admin2PCODE]]&lt;&gt;"", tblPiNAnalysis[[#This Row],[Admin2PCODE]], tblPiNAnalysis[[#This Row],[Admin1PCODE]]&lt;&gt;"", tblPiNAnalysis[[#This Row],[Admin1PCODE]])),"")</f>
        <v>VenezolanosVE1510</v>
      </c>
      <c r="B16" s="105" t="s">
        <v>276</v>
      </c>
      <c r="C16" s="104" t="s">
        <v>455</v>
      </c>
      <c r="D16" s="119" t="s">
        <v>804</v>
      </c>
      <c r="E16" s="104" t="s">
        <v>474</v>
      </c>
      <c r="F16" s="358"/>
      <c r="G16" s="357">
        <v>257935</v>
      </c>
      <c r="H16" s="103" t="s">
        <v>102</v>
      </c>
      <c r="I16" s="60">
        <v>35886</v>
      </c>
      <c r="J16" s="134">
        <v>10643.490049850534</v>
      </c>
      <c r="K16" s="57">
        <v>94146.274999999994</v>
      </c>
      <c r="L16" s="87">
        <v>33543.140159372037</v>
      </c>
      <c r="M16" s="87">
        <v>61705.678392851456</v>
      </c>
      <c r="N16" s="57">
        <v>154761</v>
      </c>
      <c r="O16" s="57">
        <v>19745.817085712464</v>
      </c>
      <c r="P16" s="57">
        <v>21596.987437498006</v>
      </c>
      <c r="Q16" s="88">
        <f>IFERROR(IF(tblPiNAnalysis[[#This Row],[SAMV]]="", "", MROUND(tblPiNAnalysis[[#This Row],[SAMV]]/tblPiNAnalysis[[#This Row],[Población]], 0.05)), "")</f>
        <v>0.15000000000000002</v>
      </c>
      <c r="R16" s="89">
        <f>IFERROR(IF(tblPiNAnalysis[[#This Row],[NUT]]="", "", MROUND(tblPiNAnalysis[[#This Row],[NUT]]/tblPiNAnalysis[[#This Row],[Población]], 0.05)), "")</f>
        <v>0.05</v>
      </c>
      <c r="S16" s="89">
        <f>IFERROR(IF(tblPiNAnalysis[[#This Row],[SAL]]="", "", MROUND(tblPiNAnalysis[[#This Row],[SAL]]/tblPiNAnalysis[[#This Row],[Población]], 0.05)), "")</f>
        <v>0.35000000000000003</v>
      </c>
      <c r="T16" s="89">
        <f>IFERROR(IF(tblPiNAnalysis[[#This Row],[EDU]]="", "", MROUND(tblPiNAnalysis[[#This Row],[EDU]]/tblPiNAnalysis[[#This Row],[Población]], 0.05)), "")</f>
        <v>0.15000000000000002</v>
      </c>
      <c r="U16" s="89">
        <f>IFERROR(IF(tblPiNAnalysis[[#This Row],[PRO]]="", "", MROUND(tblPiNAnalysis[[#This Row],[PRO]]/tblPiNAnalysis[[#This Row],[Población]], 0.05)), "")</f>
        <v>0.25</v>
      </c>
      <c r="V16" s="90">
        <f>IFERROR(IF(tblPiNAnalysis[[#This Row],[ASH]]="", "", MROUND(tblPiNAnalysis[[#This Row],[ASH]]/tblPiNAnalysis[[#This Row],[Población]], 0.05)), "")</f>
        <v>0.60000000000000009</v>
      </c>
      <c r="W16" s="89">
        <f>IFERROR(MROUND(tblPiNAnalysis[[#This Row],[NNA]]/tblPiNAnalysis[[#This Row],[Población]], 0.05), "")</f>
        <v>0.1</v>
      </c>
      <c r="X16" s="89">
        <f>IFERROR(MROUND(tblPiNAnalysis[[#This Row],[VBG]]/tblPiNAnalysis[[#This Row],[Población]], 0.05), "")</f>
        <v>0.1</v>
      </c>
      <c r="Y16" s="91">
        <f>IFERROR(LARGE(tblPiNAnalysis[[#This Row],[SAMV]:[ASH]], 1), "")</f>
        <v>154761</v>
      </c>
      <c r="Z16" s="92" t="str" cm="1">
        <f t="array" ref="Z16">IF(tblPiNAnalysis[[#This Row],[PiN más alto]]="", "", _xlfn.TEXTJOIN(CHAR(10), TRUE, IF(tblPiNAnalysis[[#This Row],[PiN más alto]]=tblPiNAnalysis[[#This Row],[SAMV]:[ASH]], tblPiNAnalysis[[#Headers],[SAMV]:[ASH]], "")))</f>
        <v>ASH</v>
      </c>
      <c r="AA16" s="93">
        <f>IF(tblPiNAnalysis[[#This Row],[PiN más alto]]="", "", tblPiNAnalysis[[#This Row],[PiN más alto]]/tblPiNAnalysis[[#This Row],[Población]])</f>
        <v>0.6</v>
      </c>
      <c r="AB16" s="94" t="str">
        <f>IF(SUM(tblPiNAnalysis[[#This Row],[SAMV]:[ASH]])=0, "",IF(COUNTIF(tblPiNAnalysis[[#This Row],[SAMV]:[ASH]],"=0")+COUNTIF(tblPiNAnalysis[[#This Row],[SAMV]:[ASH]],"")&gt;=zero_pin_thresh, "Flagged", ""))</f>
        <v/>
      </c>
      <c r="AC16" s="95" t="str">
        <f>IFERROR(IF(tblPiNAnalysis[[#This Row],[PiN más alto]]="", "", IF(tblPiNAnalysis[[#This Row],[% PiN Sectores más altos]]&gt;=flag_pin_perc, "Flagged", "")), "")</f>
        <v/>
      </c>
      <c r="AD16" s="96" t="str" cm="1">
        <f t="array" ref="AD16">IF(tblPiNAnalysis[[#This Row],[PiN más alto]]=0, "",  IF(OR(COUNTIF(tblPiNAnalysis[[#This Row],[Sectores más altos]],tblSubSectorPopulation[Sector])), "Flagged", ""))</f>
        <v/>
      </c>
      <c r="AE16" s="16" cm="1">
        <f t="array" ref="AE1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94146.274999999994</v>
      </c>
      <c r="AF16" s="97" t="str" cm="1">
        <f t="array" ref="AF16">IF(tblPiNAnalysis[[#This Row],[2º PiN más alto]]="", "", _xlfn.TEXTJOIN(CHAR(10), TRUE, IF(tblPiNAnalysis[[#This Row],[2º PiN más alto]]=tblPiNAnalysis[[#This Row],[SAMV]:[ASH]], tblPiNAnalysis[[#Headers],[SAMV]:[ASH]], "")))</f>
        <v>SAL</v>
      </c>
      <c r="AG16" s="12">
        <f>IFERROR(tblPiNAnalysis[[#This Row],[2º PiN más alto]]/tblPiNAnalysis[[#This Row],[Población]], "")</f>
        <v>0.36499999999999999</v>
      </c>
      <c r="AH16" s="16">
        <f>IFERROR(tblPiNAnalysis[[#This Row],[PiN más alto]]-tblPiNAnalysis[[#This Row],[2º PiN más alto]], "")</f>
        <v>60614.725000000006</v>
      </c>
      <c r="AI16" s="14">
        <f>IFERROR(((tblPiNAnalysis[[#This Row],[PiN más alto]]-tblPiNAnalysis[[#This Row],[2º PiN más alto]])/tblPiNAnalysis[[#This Row],[2º PiN más alto]]),"")</f>
        <v>0.6438356164383563</v>
      </c>
      <c r="AJ16" s="14" t="str" cm="1">
        <f t="array" ref="AJ1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6" s="98" cm="1">
        <f t="array" ref="AK1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61705.678392851456</v>
      </c>
      <c r="AL16" s="53" t="str" cm="1">
        <f t="array" ref="AL16">IF(tblPiNAnalysis[[#This Row],[3º PiN más alto]]="", "", _xlfn.TEXTJOIN(CHAR(10), TRUE, IF(tblPiNAnalysis[[#This Row],[3º PiN más alto]]=tblPiNAnalysis[[#This Row],[SAMV]:[ASH]], tblPiNAnalysis[[#Headers],[SAMV]:[ASH]], "")))</f>
        <v>PRO</v>
      </c>
      <c r="AM16" s="53">
        <f>IFERROR(tblPiNAnalysis[[#This Row],[3º PiN más alto]]/tblPiNAnalysis[[#This Row],[Población]], "")</f>
        <v>0.23922956711129337</v>
      </c>
      <c r="AN16" s="15">
        <f>IFERROR(tblPiNAnalysis[[#This Row],[PiN más alto]]-tblPiNAnalysis[[#This Row],[3º PiN más alto]],"")</f>
        <v>93055.321607148537</v>
      </c>
      <c r="AO16" s="14">
        <f>IFERROR(tblPiNAnalysis[[#This Row],[Diferencia de PiN entre el más alto y el 3º más alto]]/tblPiNAnalysis[[#This Row],[3º PiN más alto]], "")</f>
        <v>1.5080511880075029</v>
      </c>
      <c r="AP16" s="96" t="str" cm="1">
        <f t="array" ref="AP1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6" s="84" t="str" cm="1">
        <f t="array" ref="AQ16">IFERROR(IF(tblPiNAnalysis[[#This Row],[ID]]="", "", INDEX(tblPiNHistorical[[SAMV]:[ASH]], MATCH(tblPiNAnalysis[[#This Row],[ID]],tblPiNHistorical[ID], 0),MATCH(_xlfn._xlws.FILTER(tblPiNAnalysis[[#Headers],[SAMV]:[ASH]], tblPiNAnalysis[[#This Row],[PiN más alto]]=tblPiNAnalysis[[#This Row],[SAMV]:[ASH]]), tblPiNHistorical[[#Headers],[SAMV]:[ASH]], 0))), "")</f>
        <v>NoPIN26 50448</v>
      </c>
      <c r="AR16" s="99" t="str" cm="1">
        <f t="array" ref="AR1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6" s="74" cm="1">
        <f t="array" ref="AS16">IFERROR(IF(tblPiNAnalysis[[#This Row],[ID]]="", "", INDEX(tblPiNHistorical[[SAMV]:[ASH]], MATCH(tblPiNAnalysis[[#This Row],[ID]],tblPiNHistorical[ID], 0),MATCH(_xlfn._xlws.FILTER(tblPiNAnalysis[[#Headers],[SAMV]:[ASH]], tblPiNAnalysis[[#This Row],[2º PiN más alto]]=tblPiNAnalysis[[#This Row],[SAMV]:[ASH]]), tblPiNHistorical[[#Headers],[SAMV]:[ASH]], 0))), "")</f>
        <v>-0.9</v>
      </c>
      <c r="AT16" s="100" t="str" cm="1">
        <f t="array" ref="AT1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6" s="219">
        <f>INDEX(tblSeverityAnalysis[Severidad final], MATCH(tblPiNAnalysis[[#This Row],[ID]],tblSeverityAnalysis[ID], 0))</f>
        <v>3</v>
      </c>
      <c r="AV16" s="220">
        <f>IF(tblPiNAnalysis[[#This Row],[Severidad]]&gt;2,tblPiNAnalysis[[#This Row],[PiN más alto]],)</f>
        <v>154761</v>
      </c>
      <c r="AW16" s="54"/>
      <c r="AX16" s="55"/>
      <c r="AY16" s="56">
        <f>COUNTIFS(tblPiNAnalysis[[#This Row],[Número de PiN ausentes/cero superior al umbral - Calidad de los datos]:[Marcador manual]],"Flagged")</f>
        <v>2</v>
      </c>
      <c r="AZ16" s="34" t="str">
        <f>IF(tblPiNAnalysis[[#This Row],[Número de marcadores]]&gt;0, "Flagged", "")</f>
        <v>Flagged</v>
      </c>
      <c r="BA16" s="92">
        <f>tblPiNAnalysis[[#This Row],[PiN preliminar]]</f>
        <v>154761</v>
      </c>
      <c r="BB16" s="97"/>
      <c r="BC16" s="70">
        <f>IFERROR(IF(tblPiNAnalysis[[#This Row],[Severidad]]=3,tblPiNAnalysis[[#This Row],[PiN final]]*Umbrales!$D$33,tblPiNAnalysis[[#This Row],[PiN final]]*Umbrales!$D$34),)</f>
        <v>77380.5</v>
      </c>
      <c r="BD16" s="70">
        <f>IFERROR(IF(tblPiNAnalysis[[#This Row],[Severidad]]&gt;3,tblPiNAnalysis[[#This Row],[PiN final]]*Umbrales!$D$34,),)</f>
        <v>0</v>
      </c>
      <c r="BE16" s="5"/>
      <c r="BF16" s="5"/>
      <c r="BG16" s="5"/>
      <c r="BH16" s="5"/>
      <c r="BK16" s="266"/>
      <c r="BL16" s="5"/>
      <c r="BM16" s="5"/>
      <c r="BN16" s="5"/>
      <c r="BO16" s="5"/>
      <c r="BP16" s="5"/>
      <c r="BS16" s="5"/>
      <c r="BU16" s="10"/>
      <c r="BV16" s="7"/>
      <c r="BW16" s="5"/>
    </row>
    <row r="17" spans="1:56">
      <c r="A17" s="101" t="str">
        <f>IFERROR(_xlfn.CONCAT(IF(tblPiNAnalysis[[#This Row],[Grupo]]="", "",tblPiNAnalysis[[#This Row],[Grupo]] ),  _xlfn.IFS(tblPiNAnalysis[[#This Row],[Admin2PCODE]]&lt;&gt;"", tblPiNAnalysis[[#This Row],[Admin2PCODE]], tblPiNAnalysis[[#This Row],[Admin1PCODE]]&lt;&gt;"", tblPiNAnalysis[[#This Row],[Admin1PCODE]])),"")</f>
        <v>VenezolanosVE1105</v>
      </c>
      <c r="B17" s="105" t="s">
        <v>316</v>
      </c>
      <c r="C17" s="104" t="s">
        <v>317</v>
      </c>
      <c r="D17" s="119" t="s">
        <v>325</v>
      </c>
      <c r="E17" s="104" t="s">
        <v>326</v>
      </c>
      <c r="F17" s="358"/>
      <c r="G17" s="357">
        <v>244856</v>
      </c>
      <c r="H17" s="103" t="s">
        <v>102</v>
      </c>
      <c r="I17" s="60">
        <v>38160</v>
      </c>
      <c r="J17" s="134">
        <v>8347.3800908109988</v>
      </c>
      <c r="K17" s="57">
        <v>89372.44</v>
      </c>
      <c r="L17" s="87">
        <v>29910.209550073934</v>
      </c>
      <c r="M17" s="87">
        <v>58600.25286118134</v>
      </c>
      <c r="N17" s="57">
        <v>146913.60000000001</v>
      </c>
      <c r="O17" s="57">
        <v>18810.681168439209</v>
      </c>
      <c r="P17" s="57">
        <v>20510.088501413466</v>
      </c>
      <c r="Q17" s="88">
        <f>IFERROR(IF(tblPiNAnalysis[[#This Row],[SAMV]]="", "", MROUND(tblPiNAnalysis[[#This Row],[SAMV]]/tblPiNAnalysis[[#This Row],[Población]], 0.05)), "")</f>
        <v>0.15000000000000002</v>
      </c>
      <c r="R17" s="89">
        <f>IFERROR(IF(tblPiNAnalysis[[#This Row],[NUT]]="", "", MROUND(tblPiNAnalysis[[#This Row],[NUT]]/tblPiNAnalysis[[#This Row],[Población]], 0.05)), "")</f>
        <v>0.05</v>
      </c>
      <c r="S17" s="89">
        <f>IFERROR(IF(tblPiNAnalysis[[#This Row],[SAL]]="", "", MROUND(tblPiNAnalysis[[#This Row],[SAL]]/tblPiNAnalysis[[#This Row],[Población]], 0.05)), "")</f>
        <v>0.35000000000000003</v>
      </c>
      <c r="T17" s="89">
        <f>IFERROR(IF(tblPiNAnalysis[[#This Row],[EDU]]="", "", MROUND(tblPiNAnalysis[[#This Row],[EDU]]/tblPiNAnalysis[[#This Row],[Población]], 0.05)), "")</f>
        <v>0.1</v>
      </c>
      <c r="U17" s="89">
        <f>IFERROR(IF(tblPiNAnalysis[[#This Row],[PRO]]="", "", MROUND(tblPiNAnalysis[[#This Row],[PRO]]/tblPiNAnalysis[[#This Row],[Población]], 0.05)), "")</f>
        <v>0.25</v>
      </c>
      <c r="V17" s="90">
        <f>IFERROR(IF(tblPiNAnalysis[[#This Row],[ASH]]="", "", MROUND(tblPiNAnalysis[[#This Row],[ASH]]/tblPiNAnalysis[[#This Row],[Población]], 0.05)), "")</f>
        <v>0.60000000000000009</v>
      </c>
      <c r="W17" s="89">
        <f>IFERROR(MROUND(tblPiNAnalysis[[#This Row],[NNA]]/tblPiNAnalysis[[#This Row],[Población]], 0.05), "")</f>
        <v>0.1</v>
      </c>
      <c r="X17" s="89">
        <f>IFERROR(MROUND(tblPiNAnalysis[[#This Row],[VBG]]/tblPiNAnalysis[[#This Row],[Población]], 0.05), "")</f>
        <v>0.1</v>
      </c>
      <c r="Y17" s="91">
        <f>IFERROR(LARGE(tblPiNAnalysis[[#This Row],[SAMV]:[ASH]], 1), "")</f>
        <v>146913.60000000001</v>
      </c>
      <c r="Z17" s="92" t="str" cm="1">
        <f t="array" ref="Z17">IF(tblPiNAnalysis[[#This Row],[PiN más alto]]="", "", _xlfn.TEXTJOIN(CHAR(10), TRUE, IF(tblPiNAnalysis[[#This Row],[PiN más alto]]=tblPiNAnalysis[[#This Row],[SAMV]:[ASH]], tblPiNAnalysis[[#Headers],[SAMV]:[ASH]], "")))</f>
        <v>ASH</v>
      </c>
      <c r="AA17" s="93">
        <f>IF(tblPiNAnalysis[[#This Row],[PiN más alto]]="", "", tblPiNAnalysis[[#This Row],[PiN más alto]]/tblPiNAnalysis[[#This Row],[Población]])</f>
        <v>0.6</v>
      </c>
      <c r="AB17" s="94" t="str">
        <f>IF(SUM(tblPiNAnalysis[[#This Row],[SAMV]:[ASH]])=0, "",IF(COUNTIF(tblPiNAnalysis[[#This Row],[SAMV]:[ASH]],"=0")+COUNTIF(tblPiNAnalysis[[#This Row],[SAMV]:[ASH]],"")&gt;=zero_pin_thresh, "Flagged", ""))</f>
        <v/>
      </c>
      <c r="AC17" s="95" t="str">
        <f>IFERROR(IF(tblPiNAnalysis[[#This Row],[PiN más alto]]="", "", IF(tblPiNAnalysis[[#This Row],[% PiN Sectores más altos]]&gt;=flag_pin_perc, "Flagged", "")), "")</f>
        <v/>
      </c>
      <c r="AD17" s="96" t="str" cm="1">
        <f t="array" ref="AD17">IF(tblPiNAnalysis[[#This Row],[PiN más alto]]=0, "",  IF(OR(COUNTIF(tblPiNAnalysis[[#This Row],[Sectores más altos]],tblSubSectorPopulation[Sector])), "Flagged", ""))</f>
        <v/>
      </c>
      <c r="AE17" s="16" cm="1">
        <f t="array" ref="AE1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89372.44</v>
      </c>
      <c r="AF17" s="97" t="str" cm="1">
        <f t="array" ref="AF17">IF(tblPiNAnalysis[[#This Row],[2º PiN más alto]]="", "", _xlfn.TEXTJOIN(CHAR(10), TRUE, IF(tblPiNAnalysis[[#This Row],[2º PiN más alto]]=tblPiNAnalysis[[#This Row],[SAMV]:[ASH]], tblPiNAnalysis[[#Headers],[SAMV]:[ASH]], "")))</f>
        <v>SAL</v>
      </c>
      <c r="AG17" s="12">
        <f>IFERROR(tblPiNAnalysis[[#This Row],[2º PiN más alto]]/tblPiNAnalysis[[#This Row],[Población]], "")</f>
        <v>0.36499999999999999</v>
      </c>
      <c r="AH17" s="16">
        <f>IFERROR(tblPiNAnalysis[[#This Row],[PiN más alto]]-tblPiNAnalysis[[#This Row],[2º PiN más alto]], "")</f>
        <v>57541.16</v>
      </c>
      <c r="AI17" s="14">
        <f>IFERROR(((tblPiNAnalysis[[#This Row],[PiN más alto]]-tblPiNAnalysis[[#This Row],[2º PiN más alto]])/tblPiNAnalysis[[#This Row],[2º PiN más alto]]),"")</f>
        <v>0.64383561643835618</v>
      </c>
      <c r="AJ17" s="14" t="str" cm="1">
        <f t="array" ref="AJ1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7" s="98" cm="1">
        <f t="array" ref="AK1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58600.25286118134</v>
      </c>
      <c r="AL17" s="53" t="str" cm="1">
        <f t="array" ref="AL17">IF(tblPiNAnalysis[[#This Row],[3º PiN más alto]]="", "", _xlfn.TEXTJOIN(CHAR(10), TRUE, IF(tblPiNAnalysis[[#This Row],[3º PiN más alto]]=tblPiNAnalysis[[#This Row],[SAMV]:[ASH]], tblPiNAnalysis[[#Headers],[SAMV]:[ASH]], "")))</f>
        <v>PRO</v>
      </c>
      <c r="AM17" s="53">
        <f>IFERROR(tblPiNAnalysis[[#This Row],[3º PiN más alto]]/tblPiNAnalysis[[#This Row],[Población]], "")</f>
        <v>0.23932537026326225</v>
      </c>
      <c r="AN17" s="15">
        <f>IFERROR(tblPiNAnalysis[[#This Row],[PiN más alto]]-tblPiNAnalysis[[#This Row],[3º PiN más alto]],"")</f>
        <v>88313.347138818674</v>
      </c>
      <c r="AO17" s="14">
        <f>IFERROR(tblPiNAnalysis[[#This Row],[Diferencia de PiN entre el más alto y el 3º más alto]]/tblPiNAnalysis[[#This Row],[3º PiN más alto]], "")</f>
        <v>1.5070472024758144</v>
      </c>
      <c r="AP17" s="96" t="str" cm="1">
        <f t="array" ref="AP1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7" s="84" cm="1">
        <f t="array" ref="AQ17">IFERROR(IF(tblPiNAnalysis[[#This Row],[ID]]="", "", INDEX(tblPiNHistorical[[SAMV]:[ASH]], MATCH(tblPiNAnalysis[[#This Row],[ID]],tblPiNHistorical[ID], 0),MATCH(_xlfn._xlws.FILTER(tblPiNAnalysis[[#Headers],[SAMV]:[ASH]], tblPiNAnalysis[[#This Row],[PiN más alto]]=tblPiNAnalysis[[#This Row],[SAMV]:[ASH]]), tblPiNHistorical[[#Headers],[SAMV]:[ASH]], 0))), "")</f>
        <v>-0.8</v>
      </c>
      <c r="AR17" s="99" t="str" cm="1">
        <f t="array" ref="AR1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7" s="74" cm="1">
        <f t="array" ref="AS17">IFERROR(IF(tblPiNAnalysis[[#This Row],[ID]]="", "", INDEX(tblPiNHistorical[[SAMV]:[ASH]], MATCH(tblPiNAnalysis[[#This Row],[ID]],tblPiNHistorical[ID], 0),MATCH(_xlfn._xlws.FILTER(tblPiNAnalysis[[#Headers],[SAMV]:[ASH]], tblPiNAnalysis[[#This Row],[2º PiN más alto]]=tblPiNAnalysis[[#This Row],[SAMV]:[ASH]]), tblPiNHistorical[[#Headers],[SAMV]:[ASH]], 0))), "")</f>
        <v>-0.8</v>
      </c>
      <c r="AT17" s="100" t="str" cm="1">
        <f t="array" ref="AT1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7" s="219">
        <f>INDEX(tblSeverityAnalysis[Severidad final], MATCH(tblPiNAnalysis[[#This Row],[ID]],tblSeverityAnalysis[ID], 0))</f>
        <v>3</v>
      </c>
      <c r="AV17" s="220">
        <f>IF(tblPiNAnalysis[[#This Row],[Severidad]]&gt;2,tblPiNAnalysis[[#This Row],[PiN más alto]],)</f>
        <v>146913.60000000001</v>
      </c>
      <c r="AW17" s="54"/>
      <c r="AX17" s="55"/>
      <c r="AY17" s="56">
        <f>COUNTIFS(tblPiNAnalysis[[#This Row],[Número de PiN ausentes/cero superior al umbral - Calidad de los datos]:[Marcador manual]],"Flagged")</f>
        <v>2</v>
      </c>
      <c r="AZ17" s="34" t="str">
        <f>IF(tblPiNAnalysis[[#This Row],[Número de marcadores]]&gt;0, "Flagged", "")</f>
        <v>Flagged</v>
      </c>
      <c r="BA17" s="92">
        <f>tblPiNAnalysis[[#This Row],[PiN preliminar]]</f>
        <v>146913.60000000001</v>
      </c>
      <c r="BB17" s="97"/>
      <c r="BC17" s="70">
        <f>IFERROR(IF(tblPiNAnalysis[[#This Row],[Severidad]]=3,tblPiNAnalysis[[#This Row],[PiN final]]*Umbrales!$D$33,tblPiNAnalysis[[#This Row],[PiN final]]*Umbrales!$D$34),)</f>
        <v>73456.800000000003</v>
      </c>
      <c r="BD17" s="70">
        <f>IFERROR(IF(tblPiNAnalysis[[#This Row],[Severidad]]&gt;3,tblPiNAnalysis[[#This Row],[PiN final]]*Umbrales!$D$34,),)</f>
        <v>0</v>
      </c>
    </row>
    <row r="18" spans="1:56">
      <c r="A18" s="101" t="str">
        <f>IFERROR(_xlfn.CONCAT(IF(tblPiNAnalysis[[#This Row],[Grupo]]="", "",tblPiNAnalysis[[#This Row],[Grupo]] ),  _xlfn.IFS(tblPiNAnalysis[[#This Row],[Admin2PCODE]]&lt;&gt;"", tblPiNAnalysis[[#This Row],[Admin2PCODE]], tblPiNAnalysis[[#This Row],[Admin1PCODE]]&lt;&gt;"", tblPiNAnalysis[[#This Row],[Admin1PCODE]])),"")</f>
        <v>VenezolanosVE1914</v>
      </c>
      <c r="B18" s="105" t="s">
        <v>203</v>
      </c>
      <c r="C18" s="104" t="s">
        <v>564</v>
      </c>
      <c r="D18" s="119" t="s">
        <v>203</v>
      </c>
      <c r="E18" s="104" t="s">
        <v>586</v>
      </c>
      <c r="F18" s="358"/>
      <c r="G18" s="357">
        <v>367023</v>
      </c>
      <c r="H18" s="103" t="s">
        <v>102</v>
      </c>
      <c r="I18" s="60">
        <v>65550</v>
      </c>
      <c r="J18" s="134">
        <v>18143.747461477506</v>
      </c>
      <c r="K18" s="57">
        <v>133963.39499999999</v>
      </c>
      <c r="L18" s="87">
        <v>30150.587126316201</v>
      </c>
      <c r="M18" s="87">
        <v>87859.886379891061</v>
      </c>
      <c r="N18" s="57">
        <v>49548.105000000003</v>
      </c>
      <c r="O18" s="57">
        <v>28203.023527945032</v>
      </c>
      <c r="P18" s="57">
        <v>30750.960232961868</v>
      </c>
      <c r="Q18" s="88">
        <f>IFERROR(IF(tblPiNAnalysis[[#This Row],[SAMV]]="", "", MROUND(tblPiNAnalysis[[#This Row],[SAMV]]/tblPiNAnalysis[[#This Row],[Población]], 0.05)), "")</f>
        <v>0.2</v>
      </c>
      <c r="R18" s="89">
        <f>IFERROR(IF(tblPiNAnalysis[[#This Row],[NUT]]="", "", MROUND(tblPiNAnalysis[[#This Row],[NUT]]/tblPiNAnalysis[[#This Row],[Población]], 0.05)), "")</f>
        <v>0.05</v>
      </c>
      <c r="S18" s="89">
        <f>IFERROR(IF(tblPiNAnalysis[[#This Row],[SAL]]="", "", MROUND(tblPiNAnalysis[[#This Row],[SAL]]/tblPiNAnalysis[[#This Row],[Población]], 0.05)), "")</f>
        <v>0.35000000000000003</v>
      </c>
      <c r="T18" s="89">
        <f>IFERROR(IF(tblPiNAnalysis[[#This Row],[EDU]]="", "", MROUND(tblPiNAnalysis[[#This Row],[EDU]]/tblPiNAnalysis[[#This Row],[Población]], 0.05)), "")</f>
        <v>0.1</v>
      </c>
      <c r="U18" s="89">
        <f>IFERROR(IF(tblPiNAnalysis[[#This Row],[PRO]]="", "", MROUND(tblPiNAnalysis[[#This Row],[PRO]]/tblPiNAnalysis[[#This Row],[Población]], 0.05)), "")</f>
        <v>0.25</v>
      </c>
      <c r="V18" s="90">
        <f>IFERROR(IF(tblPiNAnalysis[[#This Row],[ASH]]="", "", MROUND(tblPiNAnalysis[[#This Row],[ASH]]/tblPiNAnalysis[[#This Row],[Población]], 0.05)), "")</f>
        <v>0.15000000000000002</v>
      </c>
      <c r="W18" s="89">
        <f>IFERROR(MROUND(tblPiNAnalysis[[#This Row],[NNA]]/tblPiNAnalysis[[#This Row],[Población]], 0.05), "")</f>
        <v>0.1</v>
      </c>
      <c r="X18" s="89">
        <f>IFERROR(MROUND(tblPiNAnalysis[[#This Row],[VBG]]/tblPiNAnalysis[[#This Row],[Población]], 0.05), "")</f>
        <v>0.1</v>
      </c>
      <c r="Y18" s="91">
        <f>IFERROR(LARGE(tblPiNAnalysis[[#This Row],[SAMV]:[ASH]], 1), "")</f>
        <v>133963.39499999999</v>
      </c>
      <c r="Z18" s="92" t="str" cm="1">
        <f t="array" ref="Z18">IF(tblPiNAnalysis[[#This Row],[PiN más alto]]="", "", _xlfn.TEXTJOIN(CHAR(10), TRUE, IF(tblPiNAnalysis[[#This Row],[PiN más alto]]=tblPiNAnalysis[[#This Row],[SAMV]:[ASH]], tblPiNAnalysis[[#Headers],[SAMV]:[ASH]], "")))</f>
        <v>SAL</v>
      </c>
      <c r="AA18" s="93">
        <f>IF(tblPiNAnalysis[[#This Row],[PiN más alto]]="", "", tblPiNAnalysis[[#This Row],[PiN más alto]]/tblPiNAnalysis[[#This Row],[Población]])</f>
        <v>0.36499999999999999</v>
      </c>
      <c r="AB18" s="94" t="str">
        <f>IF(SUM(tblPiNAnalysis[[#This Row],[SAMV]:[ASH]])=0, "",IF(COUNTIF(tblPiNAnalysis[[#This Row],[SAMV]:[ASH]],"=0")+COUNTIF(tblPiNAnalysis[[#This Row],[SAMV]:[ASH]],"")&gt;=zero_pin_thresh, "Flagged", ""))</f>
        <v/>
      </c>
      <c r="AC18" s="95" t="str">
        <f>IFERROR(IF(tblPiNAnalysis[[#This Row],[PiN más alto]]="", "", IF(tblPiNAnalysis[[#This Row],[% PiN Sectores más altos]]&gt;=flag_pin_perc, "Flagged", "")), "")</f>
        <v/>
      </c>
      <c r="AD18" s="96" t="str" cm="1">
        <f t="array" ref="AD18">IF(tblPiNAnalysis[[#This Row],[PiN más alto]]=0, "",  IF(OR(COUNTIF(tblPiNAnalysis[[#This Row],[Sectores más altos]],tblSubSectorPopulation[Sector])), "Flagged", ""))</f>
        <v/>
      </c>
      <c r="AE18" s="16" cm="1">
        <f t="array" ref="AE1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87859.886379891061</v>
      </c>
      <c r="AF18" s="97" t="str" cm="1">
        <f t="array" ref="AF18">IF(tblPiNAnalysis[[#This Row],[2º PiN más alto]]="", "", _xlfn.TEXTJOIN(CHAR(10), TRUE, IF(tblPiNAnalysis[[#This Row],[2º PiN más alto]]=tblPiNAnalysis[[#This Row],[SAMV]:[ASH]], tblPiNAnalysis[[#Headers],[SAMV]:[ASH]], "")))</f>
        <v>PRO</v>
      </c>
      <c r="AG18" s="12">
        <f>IFERROR(tblPiNAnalysis[[#This Row],[2º PiN más alto]]/tblPiNAnalysis[[#This Row],[Población]], "")</f>
        <v>0.23938523302324666</v>
      </c>
      <c r="AH18" s="16">
        <f>IFERROR(tblPiNAnalysis[[#This Row],[PiN más alto]]-tblPiNAnalysis[[#This Row],[2º PiN más alto]], "")</f>
        <v>46103.508620108929</v>
      </c>
      <c r="AI18" s="14">
        <f>IFERROR(((tblPiNAnalysis[[#This Row],[PiN más alto]]-tblPiNAnalysis[[#This Row],[2º PiN más alto]])/tblPiNAnalysis[[#This Row],[2º PiN más alto]]),"")</f>
        <v>0.52473899659698253</v>
      </c>
      <c r="AJ18" s="14" t="str" cm="1">
        <f t="array" ref="AJ1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8" s="98" cm="1">
        <f t="array" ref="AK1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65550</v>
      </c>
      <c r="AL18" s="53" t="str" cm="1">
        <f t="array" ref="AL18">IF(tblPiNAnalysis[[#This Row],[3º PiN más alto]]="", "", _xlfn.TEXTJOIN(CHAR(10), TRUE, IF(tblPiNAnalysis[[#This Row],[3º PiN más alto]]=tblPiNAnalysis[[#This Row],[SAMV]:[ASH]], tblPiNAnalysis[[#Headers],[SAMV]:[ASH]], "")))</f>
        <v>SAMV</v>
      </c>
      <c r="AM18" s="53">
        <f>IFERROR(tblPiNAnalysis[[#This Row],[3º PiN más alto]]/tblPiNAnalysis[[#This Row],[Población]], "")</f>
        <v>0.1785991613604597</v>
      </c>
      <c r="AN18" s="15">
        <f>IFERROR(tblPiNAnalysis[[#This Row],[PiN más alto]]-tblPiNAnalysis[[#This Row],[3º PiN más alto]],"")</f>
        <v>68413.39499999999</v>
      </c>
      <c r="AO18" s="14">
        <f>IFERROR(tblPiNAnalysis[[#This Row],[Diferencia de PiN entre el más alto y el 3º más alto]]/tblPiNAnalysis[[#This Row],[3º PiN más alto]], "")</f>
        <v>1.0436826086956521</v>
      </c>
      <c r="AP18" s="96" t="str" cm="1">
        <f t="array" ref="AP1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8" s="84" cm="1">
        <f t="array" ref="AQ18">IFERROR(IF(tblPiNAnalysis[[#This Row],[ID]]="", "", INDEX(tblPiNHistorical[[SAMV]:[ASH]], MATCH(tblPiNAnalysis[[#This Row],[ID]],tblPiNHistorical[ID], 0),MATCH(_xlfn._xlws.FILTER(tblPiNAnalysis[[#Headers],[SAMV]:[ASH]], tblPiNAnalysis[[#This Row],[PiN más alto]]=tblPiNAnalysis[[#This Row],[SAMV]:[ASH]]), tblPiNHistorical[[#Headers],[SAMV]:[ASH]], 0))), "")</f>
        <v>-0.7</v>
      </c>
      <c r="AR18" s="99" t="str" cm="1">
        <f t="array" ref="AR1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8" s="74" cm="1">
        <f t="array" ref="AS18">IFERROR(IF(tblPiNAnalysis[[#This Row],[ID]]="", "", INDEX(tblPiNHistorical[[SAMV]:[ASH]], MATCH(tblPiNAnalysis[[#This Row],[ID]],tblPiNHistorical[ID], 0),MATCH(_xlfn._xlws.FILTER(tblPiNAnalysis[[#Headers],[SAMV]:[ASH]], tblPiNAnalysis[[#This Row],[2º PiN más alto]]=tblPiNAnalysis[[#This Row],[SAMV]:[ASH]]), tblPiNHistorical[[#Headers],[SAMV]:[ASH]], 0))), "")</f>
        <v>-0.6</v>
      </c>
      <c r="AT18" s="100" t="str" cm="1">
        <f t="array" ref="AT1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8" s="219">
        <f>INDEX(tblSeverityAnalysis[Severidad final], MATCH(tblPiNAnalysis[[#This Row],[ID]],tblSeverityAnalysis[ID], 0))</f>
        <v>3</v>
      </c>
      <c r="AV18" s="220">
        <f>IF(tblPiNAnalysis[[#This Row],[Severidad]]&gt;2,tblPiNAnalysis[[#This Row],[PiN más alto]],)</f>
        <v>133963.39499999999</v>
      </c>
      <c r="AW18" s="54"/>
      <c r="AX18" s="55"/>
      <c r="AY18" s="56">
        <f>COUNTIFS(tblPiNAnalysis[[#This Row],[Número de PiN ausentes/cero superior al umbral - Calidad de los datos]:[Marcador manual]],"Flagged")</f>
        <v>2</v>
      </c>
      <c r="AZ18" s="34" t="str">
        <f>IF(tblPiNAnalysis[[#This Row],[Número de marcadores]]&gt;0, "Flagged", "")</f>
        <v>Flagged</v>
      </c>
      <c r="BA18" s="92">
        <f>tblPiNAnalysis[[#This Row],[PiN preliminar]]</f>
        <v>133963.39499999999</v>
      </c>
      <c r="BB18" s="97"/>
      <c r="BC18" s="70">
        <f>IFERROR(IF(tblPiNAnalysis[[#This Row],[Severidad]]=3,tblPiNAnalysis[[#This Row],[PiN final]]*Umbrales!$D$33,tblPiNAnalysis[[#This Row],[PiN final]]*Umbrales!$D$34),)</f>
        <v>66981.697499999995</v>
      </c>
      <c r="BD18" s="70">
        <f>IFERROR(IF(tblPiNAnalysis[[#This Row],[Severidad]]&gt;3,tblPiNAnalysis[[#This Row],[PiN final]]*Umbrales!$D$34,),)</f>
        <v>0</v>
      </c>
    </row>
    <row r="19" spans="1:56">
      <c r="A19" s="101" t="str">
        <f>IFERROR(_xlfn.CONCAT(IF(tblPiNAnalysis[[#This Row],[Grupo]]="", "",tblPiNAnalysis[[#This Row],[Grupo]] ),  _xlfn.IFS(tblPiNAnalysis[[#This Row],[Admin2PCODE]]&lt;&gt;"", tblPiNAnalysis[[#This Row],[Admin2PCODE]], tblPiNAnalysis[[#This Row],[Admin1PCODE]]&lt;&gt;"", tblPiNAnalysis[[#This Row],[Admin1PCODE]])),"")</f>
        <v>VenezolanosVE0604</v>
      </c>
      <c r="B19" s="105" t="s">
        <v>215</v>
      </c>
      <c r="C19" s="104" t="s">
        <v>216</v>
      </c>
      <c r="D19" s="119" t="s">
        <v>215</v>
      </c>
      <c r="E19" s="104" t="s">
        <v>223</v>
      </c>
      <c r="F19" s="358"/>
      <c r="G19" s="357">
        <v>361844</v>
      </c>
      <c r="H19" s="103" t="s">
        <v>102</v>
      </c>
      <c r="I19" s="60">
        <v>60911</v>
      </c>
      <c r="J19" s="134">
        <v>17693.869597495635</v>
      </c>
      <c r="K19" s="57">
        <v>132073.06</v>
      </c>
      <c r="L19" s="87">
        <v>32131.916071263273</v>
      </c>
      <c r="M19" s="87">
        <v>51966.329549590555</v>
      </c>
      <c r="N19" s="57">
        <v>0</v>
      </c>
      <c r="O19" s="57">
        <v>16629.225455868978</v>
      </c>
      <c r="P19" s="57">
        <v>18188.215342356692</v>
      </c>
      <c r="Q19" s="88">
        <f>IFERROR(IF(tblPiNAnalysis[[#This Row],[SAMV]]="", "", MROUND(tblPiNAnalysis[[#This Row],[SAMV]]/tblPiNAnalysis[[#This Row],[Población]], 0.05)), "")</f>
        <v>0.15000000000000002</v>
      </c>
      <c r="R19" s="89">
        <f>IFERROR(IF(tblPiNAnalysis[[#This Row],[NUT]]="", "", MROUND(tblPiNAnalysis[[#This Row],[NUT]]/tblPiNAnalysis[[#This Row],[Población]], 0.05)), "")</f>
        <v>0.05</v>
      </c>
      <c r="S19" s="89">
        <f>IFERROR(IF(tblPiNAnalysis[[#This Row],[SAL]]="", "", MROUND(tblPiNAnalysis[[#This Row],[SAL]]/tblPiNAnalysis[[#This Row],[Población]], 0.05)), "")</f>
        <v>0.35000000000000003</v>
      </c>
      <c r="T19" s="89">
        <f>IFERROR(IF(tblPiNAnalysis[[#This Row],[EDU]]="", "", MROUND(tblPiNAnalysis[[#This Row],[EDU]]/tblPiNAnalysis[[#This Row],[Población]], 0.05)), "")</f>
        <v>0.1</v>
      </c>
      <c r="U19" s="89">
        <f>IFERROR(IF(tblPiNAnalysis[[#This Row],[PRO]]="", "", MROUND(tblPiNAnalysis[[#This Row],[PRO]]/tblPiNAnalysis[[#This Row],[Población]], 0.05)), "")</f>
        <v>0.15000000000000002</v>
      </c>
      <c r="V19" s="90">
        <f>IFERROR(IF(tblPiNAnalysis[[#This Row],[ASH]]="", "", MROUND(tblPiNAnalysis[[#This Row],[ASH]]/tblPiNAnalysis[[#This Row],[Población]], 0.05)), "")</f>
        <v>0</v>
      </c>
      <c r="W19" s="89">
        <f>IFERROR(MROUND(tblPiNAnalysis[[#This Row],[NNA]]/tblPiNAnalysis[[#This Row],[Población]], 0.05), "")</f>
        <v>0.05</v>
      </c>
      <c r="X19" s="89">
        <f>IFERROR(MROUND(tblPiNAnalysis[[#This Row],[VBG]]/tblPiNAnalysis[[#This Row],[Población]], 0.05), "")</f>
        <v>0.05</v>
      </c>
      <c r="Y19" s="91">
        <f>IFERROR(LARGE(tblPiNAnalysis[[#This Row],[SAMV]:[ASH]], 1), "")</f>
        <v>132073.06</v>
      </c>
      <c r="Z19" s="92" t="str" cm="1">
        <f t="array" ref="Z19">IF(tblPiNAnalysis[[#This Row],[PiN más alto]]="", "", _xlfn.TEXTJOIN(CHAR(10), TRUE, IF(tblPiNAnalysis[[#This Row],[PiN más alto]]=tblPiNAnalysis[[#This Row],[SAMV]:[ASH]], tblPiNAnalysis[[#Headers],[SAMV]:[ASH]], "")))</f>
        <v>SAL</v>
      </c>
      <c r="AA19" s="93">
        <f>IF(tblPiNAnalysis[[#This Row],[PiN más alto]]="", "", tblPiNAnalysis[[#This Row],[PiN más alto]]/tblPiNAnalysis[[#This Row],[Población]])</f>
        <v>0.36499999999999999</v>
      </c>
      <c r="AB19" s="94" t="str">
        <f>IF(SUM(tblPiNAnalysis[[#This Row],[SAMV]:[ASH]])=0, "",IF(COUNTIF(tblPiNAnalysis[[#This Row],[SAMV]:[ASH]],"=0")+COUNTIF(tblPiNAnalysis[[#This Row],[SAMV]:[ASH]],"")&gt;=zero_pin_thresh, "Flagged", ""))</f>
        <v/>
      </c>
      <c r="AC19" s="95" t="str">
        <f>IFERROR(IF(tblPiNAnalysis[[#This Row],[PiN más alto]]="", "", IF(tblPiNAnalysis[[#This Row],[% PiN Sectores más altos]]&gt;=flag_pin_perc, "Flagged", "")), "")</f>
        <v/>
      </c>
      <c r="AD19" s="96" t="str" cm="1">
        <f t="array" ref="AD19">IF(tblPiNAnalysis[[#This Row],[PiN más alto]]=0, "",  IF(OR(COUNTIF(tblPiNAnalysis[[#This Row],[Sectores más altos]],tblSubSectorPopulation[Sector])), "Flagged", ""))</f>
        <v/>
      </c>
      <c r="AE19" s="16" cm="1">
        <f t="array" ref="AE1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60911</v>
      </c>
      <c r="AF19" s="97" t="str" cm="1">
        <f t="array" ref="AF19">IF(tblPiNAnalysis[[#This Row],[2º PiN más alto]]="", "", _xlfn.TEXTJOIN(CHAR(10), TRUE, IF(tblPiNAnalysis[[#This Row],[2º PiN más alto]]=tblPiNAnalysis[[#This Row],[SAMV]:[ASH]], tblPiNAnalysis[[#Headers],[SAMV]:[ASH]], "")))</f>
        <v>SAMV</v>
      </c>
      <c r="AG19" s="12">
        <f>IFERROR(tblPiNAnalysis[[#This Row],[2º PiN más alto]]/tblPiNAnalysis[[#This Row],[Población]], "")</f>
        <v>0.16833497308232276</v>
      </c>
      <c r="AH19" s="16">
        <f>IFERROR(tblPiNAnalysis[[#This Row],[PiN más alto]]-tblPiNAnalysis[[#This Row],[2º PiN más alto]], "")</f>
        <v>71162.06</v>
      </c>
      <c r="AI19" s="14">
        <f>IFERROR(((tblPiNAnalysis[[#This Row],[PiN más alto]]-tblPiNAnalysis[[#This Row],[2º PiN más alto]])/tblPiNAnalysis[[#This Row],[2º PiN más alto]]),"")</f>
        <v>1.1682957101344584</v>
      </c>
      <c r="AJ19" s="14" t="str" cm="1">
        <f t="array" ref="AJ1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9" s="98" cm="1">
        <f t="array" ref="AK1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51966.329549590555</v>
      </c>
      <c r="AL19" s="53" t="str" cm="1">
        <f t="array" ref="AL19">IF(tblPiNAnalysis[[#This Row],[3º PiN más alto]]="", "", _xlfn.TEXTJOIN(CHAR(10), TRUE, IF(tblPiNAnalysis[[#This Row],[3º PiN más alto]]=tblPiNAnalysis[[#This Row],[SAMV]:[ASH]], tblPiNAnalysis[[#Headers],[SAMV]:[ASH]], "")))</f>
        <v>PRO</v>
      </c>
      <c r="AM19" s="53">
        <f>IFERROR(tblPiNAnalysis[[#This Row],[3º PiN más alto]]/tblPiNAnalysis[[#This Row],[Población]], "")</f>
        <v>0.14361528600609808</v>
      </c>
      <c r="AN19" s="15">
        <f>IFERROR(tblPiNAnalysis[[#This Row],[PiN más alto]]-tblPiNAnalysis[[#This Row],[3º PiN más alto]],"")</f>
        <v>80106.730450409435</v>
      </c>
      <c r="AO19" s="14">
        <f>IFERROR(tblPiNAnalysis[[#This Row],[Diferencia de PiN entre el más alto y el 3º más alto]]/tblPiNAnalysis[[#This Row],[3º PiN más alto]], "")</f>
        <v>1.5415121896181834</v>
      </c>
      <c r="AP19" s="96" t="str" cm="1">
        <f t="array" ref="AP1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9" s="84" cm="1">
        <f t="array" ref="AQ19">IFERROR(IF(tblPiNAnalysis[[#This Row],[ID]]="", "", INDEX(tblPiNHistorical[[SAMV]:[ASH]], MATCH(tblPiNAnalysis[[#This Row],[ID]],tblPiNHistorical[ID], 0),MATCH(_xlfn._xlws.FILTER(tblPiNAnalysis[[#Headers],[SAMV]:[ASH]], tblPiNAnalysis[[#This Row],[PiN más alto]]=tblPiNAnalysis[[#This Row],[SAMV]:[ASH]]), tblPiNHistorical[[#Headers],[SAMV]:[ASH]], 0))), "")</f>
        <v>-0.6</v>
      </c>
      <c r="AR19" s="99" t="str" cm="1">
        <f t="array" ref="AR1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9" s="74" cm="1">
        <f t="array" ref="AS19">IFERROR(IF(tblPiNAnalysis[[#This Row],[ID]]="", "", INDEX(tblPiNHistorical[[SAMV]:[ASH]], MATCH(tblPiNAnalysis[[#This Row],[ID]],tblPiNHistorical[ID], 0),MATCH(_xlfn._xlws.FILTER(tblPiNAnalysis[[#Headers],[SAMV]:[ASH]], tblPiNAnalysis[[#This Row],[2º PiN más alto]]=tblPiNAnalysis[[#This Row],[SAMV]:[ASH]]), tblPiNHistorical[[#Headers],[SAMV]:[ASH]], 0))), "")</f>
        <v>-0.9</v>
      </c>
      <c r="AT19" s="100" t="str" cm="1">
        <f t="array" ref="AT1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9" s="219">
        <f>INDEX(tblSeverityAnalysis[Severidad final], MATCH(tblPiNAnalysis[[#This Row],[ID]],tblSeverityAnalysis[ID], 0))</f>
        <v>3</v>
      </c>
      <c r="AV19" s="220">
        <f>IF(tblPiNAnalysis[[#This Row],[Severidad]]&gt;2,tblPiNAnalysis[[#This Row],[PiN más alto]],)</f>
        <v>132073.06</v>
      </c>
      <c r="AW19" s="54"/>
      <c r="AX19" s="55"/>
      <c r="AY19" s="56">
        <f>COUNTIFS(tblPiNAnalysis[[#This Row],[Número de PiN ausentes/cero superior al umbral - Calidad de los datos]:[Marcador manual]],"Flagged")</f>
        <v>2</v>
      </c>
      <c r="AZ19" s="34" t="str">
        <f>IF(tblPiNAnalysis[[#This Row],[Número de marcadores]]&gt;0, "Flagged", "")</f>
        <v>Flagged</v>
      </c>
      <c r="BA19" s="92">
        <f>tblPiNAnalysis[[#This Row],[PiN preliminar]]</f>
        <v>132073.06</v>
      </c>
      <c r="BB19" s="97"/>
      <c r="BC19" s="70">
        <f>IFERROR(IF(tblPiNAnalysis[[#This Row],[Severidad]]=3,tblPiNAnalysis[[#This Row],[PiN final]]*Umbrales!$D$33,tblPiNAnalysis[[#This Row],[PiN final]]*Umbrales!$D$34),)</f>
        <v>66036.53</v>
      </c>
      <c r="BD19" s="70">
        <f>IFERROR(IF(tblPiNAnalysis[[#This Row],[Severidad]]&gt;3,tblPiNAnalysis[[#This Row],[PiN final]]*Umbrales!$D$34,),)</f>
        <v>0</v>
      </c>
    </row>
    <row r="20" spans="1:56">
      <c r="A20" s="101" t="str">
        <f>IFERROR(_xlfn.CONCAT(IF(tblPiNAnalysis[[#This Row],[Grupo]]="", "",tblPiNAnalysis[[#This Row],[Grupo]] ),  _xlfn.IFS(tblPiNAnalysis[[#This Row],[Admin2PCODE]]&lt;&gt;"", tblPiNAnalysis[[#This Row],[Admin2PCODE]], tblPiNAnalysis[[#This Row],[Admin1PCODE]]&lt;&gt;"", tblPiNAnalysis[[#This Row],[Admin1PCODE]])),"")</f>
        <v>VenezolanosVE2312</v>
      </c>
      <c r="B20" s="105" t="s">
        <v>705</v>
      </c>
      <c r="C20" s="104" t="s">
        <v>706</v>
      </c>
      <c r="D20" s="119" t="s">
        <v>729</v>
      </c>
      <c r="E20" s="104" t="s">
        <v>730</v>
      </c>
      <c r="F20" s="358"/>
      <c r="G20" s="357">
        <v>211898</v>
      </c>
      <c r="H20" s="103" t="s">
        <v>102</v>
      </c>
      <c r="I20" s="60">
        <v>48863</v>
      </c>
      <c r="J20" s="134">
        <v>10935.196591865748</v>
      </c>
      <c r="K20" s="57">
        <v>77342.77</v>
      </c>
      <c r="L20" s="87">
        <v>22957.155262497428</v>
      </c>
      <c r="M20" s="87">
        <v>50504.319657383283</v>
      </c>
      <c r="N20" s="57">
        <v>127138.79999999999</v>
      </c>
      <c r="O20" s="57">
        <v>16161.382290362651</v>
      </c>
      <c r="P20" s="57">
        <v>17676.511880084148</v>
      </c>
      <c r="Q20" s="88">
        <f>IFERROR(IF(tblPiNAnalysis[[#This Row],[SAMV]]="", "", MROUND(tblPiNAnalysis[[#This Row],[SAMV]]/tblPiNAnalysis[[#This Row],[Población]], 0.05)), "")</f>
        <v>0.25</v>
      </c>
      <c r="R20" s="89">
        <f>IFERROR(IF(tblPiNAnalysis[[#This Row],[NUT]]="", "", MROUND(tblPiNAnalysis[[#This Row],[NUT]]/tblPiNAnalysis[[#This Row],[Población]], 0.05)), "")</f>
        <v>0.05</v>
      </c>
      <c r="S20" s="89">
        <f>IFERROR(IF(tblPiNAnalysis[[#This Row],[SAL]]="", "", MROUND(tblPiNAnalysis[[#This Row],[SAL]]/tblPiNAnalysis[[#This Row],[Población]], 0.05)), "")</f>
        <v>0.35000000000000003</v>
      </c>
      <c r="T20" s="89">
        <f>IFERROR(IF(tblPiNAnalysis[[#This Row],[EDU]]="", "", MROUND(tblPiNAnalysis[[#This Row],[EDU]]/tblPiNAnalysis[[#This Row],[Población]], 0.05)), "")</f>
        <v>0.1</v>
      </c>
      <c r="U20" s="89">
        <f>IFERROR(IF(tblPiNAnalysis[[#This Row],[PRO]]="", "", MROUND(tblPiNAnalysis[[#This Row],[PRO]]/tblPiNAnalysis[[#This Row],[Población]], 0.05)), "")</f>
        <v>0.25</v>
      </c>
      <c r="V20" s="90">
        <f>IFERROR(IF(tblPiNAnalysis[[#This Row],[ASH]]="", "", MROUND(tblPiNAnalysis[[#This Row],[ASH]]/tblPiNAnalysis[[#This Row],[Población]], 0.05)), "")</f>
        <v>0.60000000000000009</v>
      </c>
      <c r="W20" s="89">
        <f>IFERROR(MROUND(tblPiNAnalysis[[#This Row],[NNA]]/tblPiNAnalysis[[#This Row],[Población]], 0.05), "")</f>
        <v>0.1</v>
      </c>
      <c r="X20" s="89">
        <f>IFERROR(MROUND(tblPiNAnalysis[[#This Row],[VBG]]/tblPiNAnalysis[[#This Row],[Población]], 0.05), "")</f>
        <v>0.1</v>
      </c>
      <c r="Y20" s="91">
        <f>IFERROR(LARGE(tblPiNAnalysis[[#This Row],[SAMV]:[ASH]], 1), "")</f>
        <v>127138.79999999999</v>
      </c>
      <c r="Z20" s="92" t="str" cm="1">
        <f t="array" ref="Z20">IF(tblPiNAnalysis[[#This Row],[PiN más alto]]="", "", _xlfn.TEXTJOIN(CHAR(10), TRUE, IF(tblPiNAnalysis[[#This Row],[PiN más alto]]=tblPiNAnalysis[[#This Row],[SAMV]:[ASH]], tblPiNAnalysis[[#Headers],[SAMV]:[ASH]], "")))</f>
        <v>ASH</v>
      </c>
      <c r="AA20" s="93">
        <f>IF(tblPiNAnalysis[[#This Row],[PiN más alto]]="", "", tblPiNAnalysis[[#This Row],[PiN más alto]]/tblPiNAnalysis[[#This Row],[Población]])</f>
        <v>0.6</v>
      </c>
      <c r="AB20" s="94" t="str">
        <f>IF(SUM(tblPiNAnalysis[[#This Row],[SAMV]:[ASH]])=0, "",IF(COUNTIF(tblPiNAnalysis[[#This Row],[SAMV]:[ASH]],"=0")+COUNTIF(tblPiNAnalysis[[#This Row],[SAMV]:[ASH]],"")&gt;=zero_pin_thresh, "Flagged", ""))</f>
        <v/>
      </c>
      <c r="AC20" s="95" t="str">
        <f>IFERROR(IF(tblPiNAnalysis[[#This Row],[PiN más alto]]="", "", IF(tblPiNAnalysis[[#This Row],[% PiN Sectores más altos]]&gt;=flag_pin_perc, "Flagged", "")), "")</f>
        <v/>
      </c>
      <c r="AD20" s="96" t="str" cm="1">
        <f t="array" ref="AD20">IF(tblPiNAnalysis[[#This Row],[PiN más alto]]=0, "",  IF(OR(COUNTIF(tblPiNAnalysis[[#This Row],[Sectores más altos]],tblSubSectorPopulation[Sector])), "Flagged", ""))</f>
        <v/>
      </c>
      <c r="AE20" s="16" cm="1">
        <f t="array" ref="AE2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77342.77</v>
      </c>
      <c r="AF20" s="97" t="str" cm="1">
        <f t="array" ref="AF20">IF(tblPiNAnalysis[[#This Row],[2º PiN más alto]]="", "", _xlfn.TEXTJOIN(CHAR(10), TRUE, IF(tblPiNAnalysis[[#This Row],[2º PiN más alto]]=tblPiNAnalysis[[#This Row],[SAMV]:[ASH]], tblPiNAnalysis[[#Headers],[SAMV]:[ASH]], "")))</f>
        <v>SAL</v>
      </c>
      <c r="AG20" s="12">
        <f>IFERROR(tblPiNAnalysis[[#This Row],[2º PiN más alto]]/tblPiNAnalysis[[#This Row],[Población]], "")</f>
        <v>0.36500000000000005</v>
      </c>
      <c r="AH20" s="16">
        <f>IFERROR(tblPiNAnalysis[[#This Row],[PiN más alto]]-tblPiNAnalysis[[#This Row],[2º PiN más alto]], "")</f>
        <v>49796.029999999984</v>
      </c>
      <c r="AI20" s="14">
        <f>IFERROR(((tblPiNAnalysis[[#This Row],[PiN más alto]]-tblPiNAnalysis[[#This Row],[2º PiN más alto]])/tblPiNAnalysis[[#This Row],[2º PiN más alto]]),"")</f>
        <v>0.64383561643835596</v>
      </c>
      <c r="AJ20" s="14" t="str" cm="1">
        <f t="array" ref="AJ2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0" s="98" cm="1">
        <f t="array" ref="AK2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50504.319657383283</v>
      </c>
      <c r="AL20" s="53" t="str" cm="1">
        <f t="array" ref="AL20">IF(tblPiNAnalysis[[#This Row],[3º PiN más alto]]="", "", _xlfn.TEXTJOIN(CHAR(10), TRUE, IF(tblPiNAnalysis[[#This Row],[3º PiN más alto]]=tblPiNAnalysis[[#This Row],[SAMV]:[ASH]], tblPiNAnalysis[[#Headers],[SAMV]:[ASH]], "")))</f>
        <v>PRO</v>
      </c>
      <c r="AM20" s="53">
        <f>IFERROR(tblPiNAnalysis[[#This Row],[3º PiN más alto]]/tblPiNAnalysis[[#This Row],[Población]], "")</f>
        <v>0.23834259718064013</v>
      </c>
      <c r="AN20" s="15">
        <f>IFERROR(tblPiNAnalysis[[#This Row],[PiN más alto]]-tblPiNAnalysis[[#This Row],[3º PiN más alto]],"")</f>
        <v>76634.480342616705</v>
      </c>
      <c r="AO20" s="14">
        <f>IFERROR(tblPiNAnalysis[[#This Row],[Diferencia de PiN entre el más alto y el 3º más alto]]/tblPiNAnalysis[[#This Row],[3º PiN más alto]], "")</f>
        <v>1.5173846685293071</v>
      </c>
      <c r="AP20" s="96" t="str" cm="1">
        <f t="array" ref="AP2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0" s="84" t="str" cm="1">
        <f t="array" ref="AQ20">IFERROR(IF(tblPiNAnalysis[[#This Row],[ID]]="", "", INDEX(tblPiNHistorical[[SAMV]:[ASH]], MATCH(tblPiNAnalysis[[#This Row],[ID]],tblPiNHistorical[ID], 0),MATCH(_xlfn._xlws.FILTER(tblPiNAnalysis[[#Headers],[SAMV]:[ASH]], tblPiNAnalysis[[#This Row],[PiN más alto]]=tblPiNAnalysis[[#This Row],[SAMV]:[ASH]]), tblPiNHistorical[[#Headers],[SAMV]:[ASH]], 0))), "")</f>
        <v>NoPIN26 103611</v>
      </c>
      <c r="AR20" s="99" t="str" cm="1">
        <f t="array" ref="AR2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0" s="74" cm="1">
        <f t="array" ref="AS20">IFERROR(IF(tblPiNAnalysis[[#This Row],[ID]]="", "", INDEX(tblPiNHistorical[[SAMV]:[ASH]], MATCH(tblPiNAnalysis[[#This Row],[ID]],tblPiNHistorical[ID], 0),MATCH(_xlfn._xlws.FILTER(tblPiNAnalysis[[#Headers],[SAMV]:[ASH]], tblPiNAnalysis[[#This Row],[2º PiN más alto]]=tblPiNAnalysis[[#This Row],[SAMV]:[ASH]]), tblPiNHistorical[[#Headers],[SAMV]:[ASH]], 0))), "")</f>
        <v>-0.8</v>
      </c>
      <c r="AT20" s="100" t="str" cm="1">
        <f t="array" ref="AT2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0" s="219">
        <f>INDEX(tblSeverityAnalysis[Severidad final], MATCH(tblPiNAnalysis[[#This Row],[ID]],tblSeverityAnalysis[ID], 0))</f>
        <v>4</v>
      </c>
      <c r="AV20" s="220">
        <f>IF(tblPiNAnalysis[[#This Row],[Severidad]]&gt;2,tblPiNAnalysis[[#This Row],[PiN más alto]],)</f>
        <v>127138.79999999999</v>
      </c>
      <c r="AW20" s="54"/>
      <c r="AX20" s="55"/>
      <c r="AY20" s="56">
        <f>COUNTIFS(tblPiNAnalysis[[#This Row],[Número de PiN ausentes/cero superior al umbral - Calidad de los datos]:[Marcador manual]],"Flagged")</f>
        <v>2</v>
      </c>
      <c r="AZ20" s="34" t="str">
        <f>IF(tblPiNAnalysis[[#This Row],[Número de marcadores]]&gt;0, "Flagged", "")</f>
        <v>Flagged</v>
      </c>
      <c r="BA20" s="92">
        <f>tblPiNAnalysis[[#This Row],[PiN preliminar]]</f>
        <v>127138.79999999999</v>
      </c>
      <c r="BB20" s="97"/>
      <c r="BC20" s="70">
        <f>IFERROR(IF(tblPiNAnalysis[[#This Row],[Severidad]]=3,tblPiNAnalysis[[#This Row],[PiN final]]*Umbrales!$D$33,tblPiNAnalysis[[#This Row],[PiN final]]*Umbrales!$D$34),)</f>
        <v>127138.79999999999</v>
      </c>
      <c r="BD20" s="70">
        <f>IFERROR(IF(tblPiNAnalysis[[#This Row],[Severidad]]&gt;3,tblPiNAnalysis[[#This Row],[PiN final]]*Umbrales!$D$34,),)</f>
        <v>127138.79999999999</v>
      </c>
    </row>
    <row r="21" spans="1:56">
      <c r="A21" s="101" t="str">
        <f>IFERROR(_xlfn.CONCAT(IF(tblPiNAnalysis[[#This Row],[Grupo]]="", "",tblPiNAnalysis[[#This Row],[Grupo]] ),  _xlfn.IFS(tblPiNAnalysis[[#This Row],[Admin2PCODE]]&lt;&gt;"", tblPiNAnalysis[[#This Row],[Admin2PCODE]], tblPiNAnalysis[[#This Row],[Admin1PCODE]]&lt;&gt;"", tblPiNAnalysis[[#This Row],[Admin1PCODE]])),"")</f>
        <v>VenezolanosVE0407</v>
      </c>
      <c r="B21" s="105" t="s">
        <v>163</v>
      </c>
      <c r="C21" s="104" t="s">
        <v>164</v>
      </c>
      <c r="D21" s="119" t="s">
        <v>177</v>
      </c>
      <c r="E21" s="104" t="s">
        <v>178</v>
      </c>
      <c r="F21" s="358"/>
      <c r="G21" s="357">
        <v>168860</v>
      </c>
      <c r="H21" s="103" t="s">
        <v>102</v>
      </c>
      <c r="I21" s="60">
        <v>6318</v>
      </c>
      <c r="J21" s="134">
        <v>10039.650037290579</v>
      </c>
      <c r="K21" s="57">
        <v>61633.9</v>
      </c>
      <c r="L21" s="87">
        <v>3417.3421638215896</v>
      </c>
      <c r="M21" s="87">
        <v>40550.316359096505</v>
      </c>
      <c r="N21" s="57">
        <v>101316</v>
      </c>
      <c r="O21" s="57">
        <v>12976.101234910882</v>
      </c>
      <c r="P21" s="57">
        <v>14192.610725683775</v>
      </c>
      <c r="Q21" s="88">
        <f>IFERROR(IF(tblPiNAnalysis[[#This Row],[SAMV]]="", "", MROUND(tblPiNAnalysis[[#This Row],[SAMV]]/tblPiNAnalysis[[#This Row],[Población]], 0.05)), "")</f>
        <v>0.05</v>
      </c>
      <c r="R21" s="89">
        <f>IFERROR(IF(tblPiNAnalysis[[#This Row],[NUT]]="", "", MROUND(tblPiNAnalysis[[#This Row],[NUT]]/tblPiNAnalysis[[#This Row],[Población]], 0.05)), "")</f>
        <v>0.05</v>
      </c>
      <c r="S21" s="89">
        <f>IFERROR(IF(tblPiNAnalysis[[#This Row],[SAL]]="", "", MROUND(tblPiNAnalysis[[#This Row],[SAL]]/tblPiNAnalysis[[#This Row],[Población]], 0.05)), "")</f>
        <v>0.35000000000000003</v>
      </c>
      <c r="T21" s="89">
        <f>IFERROR(IF(tblPiNAnalysis[[#This Row],[EDU]]="", "", MROUND(tblPiNAnalysis[[#This Row],[EDU]]/tblPiNAnalysis[[#This Row],[Población]], 0.05)), "")</f>
        <v>0</v>
      </c>
      <c r="U21" s="89">
        <f>IFERROR(IF(tblPiNAnalysis[[#This Row],[PRO]]="", "", MROUND(tblPiNAnalysis[[#This Row],[PRO]]/tblPiNAnalysis[[#This Row],[Población]], 0.05)), "")</f>
        <v>0.25</v>
      </c>
      <c r="V21" s="90">
        <f>IFERROR(IF(tblPiNAnalysis[[#This Row],[ASH]]="", "", MROUND(tblPiNAnalysis[[#This Row],[ASH]]/tblPiNAnalysis[[#This Row],[Población]], 0.05)), "")</f>
        <v>0.60000000000000009</v>
      </c>
      <c r="W21" s="89">
        <f>IFERROR(MROUND(tblPiNAnalysis[[#This Row],[NNA]]/tblPiNAnalysis[[#This Row],[Población]], 0.05), "")</f>
        <v>0.1</v>
      </c>
      <c r="X21" s="89">
        <f>IFERROR(MROUND(tblPiNAnalysis[[#This Row],[VBG]]/tblPiNAnalysis[[#This Row],[Población]], 0.05), "")</f>
        <v>0.1</v>
      </c>
      <c r="Y21" s="91">
        <f>IFERROR(LARGE(tblPiNAnalysis[[#This Row],[SAMV]:[ASH]], 1), "")</f>
        <v>101316</v>
      </c>
      <c r="Z21" s="92" t="str" cm="1">
        <f t="array" ref="Z21">IF(tblPiNAnalysis[[#This Row],[PiN más alto]]="", "", _xlfn.TEXTJOIN(CHAR(10), TRUE, IF(tblPiNAnalysis[[#This Row],[PiN más alto]]=tblPiNAnalysis[[#This Row],[SAMV]:[ASH]], tblPiNAnalysis[[#Headers],[SAMV]:[ASH]], "")))</f>
        <v>ASH</v>
      </c>
      <c r="AA21" s="93">
        <f>IF(tblPiNAnalysis[[#This Row],[PiN más alto]]="", "", tblPiNAnalysis[[#This Row],[PiN más alto]]/tblPiNAnalysis[[#This Row],[Población]])</f>
        <v>0.6</v>
      </c>
      <c r="AB21" s="94" t="str">
        <f>IF(SUM(tblPiNAnalysis[[#This Row],[SAMV]:[ASH]])=0, "",IF(COUNTIF(tblPiNAnalysis[[#This Row],[SAMV]:[ASH]],"=0")+COUNTIF(tblPiNAnalysis[[#This Row],[SAMV]:[ASH]],"")&gt;=zero_pin_thresh, "Flagged", ""))</f>
        <v/>
      </c>
      <c r="AC21" s="95" t="str">
        <f>IFERROR(IF(tblPiNAnalysis[[#This Row],[PiN más alto]]="", "", IF(tblPiNAnalysis[[#This Row],[% PiN Sectores más altos]]&gt;=flag_pin_perc, "Flagged", "")), "")</f>
        <v/>
      </c>
      <c r="AD21" s="96" t="str" cm="1">
        <f t="array" ref="AD21">IF(tblPiNAnalysis[[#This Row],[PiN más alto]]=0, "",  IF(OR(COUNTIF(tblPiNAnalysis[[#This Row],[Sectores más altos]],tblSubSectorPopulation[Sector])), "Flagged", ""))</f>
        <v/>
      </c>
      <c r="AE21" s="16" cm="1">
        <f t="array" ref="AE2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61633.9</v>
      </c>
      <c r="AF21" s="97" t="str" cm="1">
        <f t="array" ref="AF21">IF(tblPiNAnalysis[[#This Row],[2º PiN más alto]]="", "", _xlfn.TEXTJOIN(CHAR(10), TRUE, IF(tblPiNAnalysis[[#This Row],[2º PiN más alto]]=tblPiNAnalysis[[#This Row],[SAMV]:[ASH]], tblPiNAnalysis[[#Headers],[SAMV]:[ASH]], "")))</f>
        <v>SAL</v>
      </c>
      <c r="AG21" s="12">
        <f>IFERROR(tblPiNAnalysis[[#This Row],[2º PiN más alto]]/tblPiNAnalysis[[#This Row],[Población]], "")</f>
        <v>0.36499999999999999</v>
      </c>
      <c r="AH21" s="16">
        <f>IFERROR(tblPiNAnalysis[[#This Row],[PiN más alto]]-tblPiNAnalysis[[#This Row],[2º PiN más alto]], "")</f>
        <v>39682.1</v>
      </c>
      <c r="AI21" s="14">
        <f>IFERROR(((tblPiNAnalysis[[#This Row],[PiN más alto]]-tblPiNAnalysis[[#This Row],[2º PiN más alto]])/tblPiNAnalysis[[#This Row],[2º PiN más alto]]),"")</f>
        <v>0.64383561643835607</v>
      </c>
      <c r="AJ21" s="14" t="str" cm="1">
        <f t="array" ref="AJ2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1" s="98" cm="1">
        <f t="array" ref="AK2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40550.316359096505</v>
      </c>
      <c r="AL21" s="53" t="str" cm="1">
        <f t="array" ref="AL21">IF(tblPiNAnalysis[[#This Row],[3º PiN más alto]]="", "", _xlfn.TEXTJOIN(CHAR(10), TRUE, IF(tblPiNAnalysis[[#This Row],[3º PiN más alto]]=tblPiNAnalysis[[#This Row],[SAMV]:[ASH]], tblPiNAnalysis[[#Headers],[SAMV]:[ASH]], "")))</f>
        <v>PRO</v>
      </c>
      <c r="AM21" s="53">
        <f>IFERROR(tblPiNAnalysis[[#This Row],[3º PiN más alto]]/tblPiNAnalysis[[#This Row],[Población]], "")</f>
        <v>0.24014163424787696</v>
      </c>
      <c r="AN21" s="15">
        <f>IFERROR(tblPiNAnalysis[[#This Row],[PiN más alto]]-tblPiNAnalysis[[#This Row],[3º PiN más alto]],"")</f>
        <v>60765.683640903495</v>
      </c>
      <c r="AO21" s="14">
        <f>IFERROR(tblPiNAnalysis[[#This Row],[Diferencia de PiN entre el más alto y el 3º más alto]]/tblPiNAnalysis[[#This Row],[3º PiN más alto]], "")</f>
        <v>1.4985255134087789</v>
      </c>
      <c r="AP21" s="96" t="str" cm="1">
        <f t="array" ref="AP2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1" s="84" t="str" cm="1">
        <f t="array" ref="AQ21">IFERROR(IF(tblPiNAnalysis[[#This Row],[ID]]="", "", INDEX(tblPiNHistorical[[SAMV]:[ASH]], MATCH(tblPiNAnalysis[[#This Row],[ID]],tblPiNHistorical[ID], 0),MATCH(_xlfn._xlws.FILTER(tblPiNAnalysis[[#Headers],[SAMV]:[ASH]], tblPiNAnalysis[[#This Row],[PiN más alto]]=tblPiNAnalysis[[#This Row],[SAMV]:[ASH]]), tblPiNHistorical[[#Headers],[SAMV]:[ASH]], 0))), "")</f>
        <v>NoPIN26 82568</v>
      </c>
      <c r="AR21" s="99" t="str" cm="1">
        <f t="array" ref="AR2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1" s="74" cm="1">
        <f t="array" ref="AS21">IFERROR(IF(tblPiNAnalysis[[#This Row],[ID]]="", "", INDEX(tblPiNHistorical[[SAMV]:[ASH]], MATCH(tblPiNAnalysis[[#This Row],[ID]],tblPiNHistorical[ID], 0),MATCH(_xlfn._xlws.FILTER(tblPiNAnalysis[[#Headers],[SAMV]:[ASH]], tblPiNAnalysis[[#This Row],[2º PiN más alto]]=tblPiNAnalysis[[#This Row],[SAMV]:[ASH]]), tblPiNHistorical[[#Headers],[SAMV]:[ASH]], 0))), "")</f>
        <v>0.2</v>
      </c>
      <c r="AT21" s="100" t="str" cm="1">
        <f t="array" ref="AT2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1" s="219">
        <f>INDEX(tblSeverityAnalysis[Severidad final], MATCH(tblPiNAnalysis[[#This Row],[ID]],tblSeverityAnalysis[ID], 0))</f>
        <v>3</v>
      </c>
      <c r="AV21" s="220">
        <f>IF(tblPiNAnalysis[[#This Row],[Severidad]]&gt;2,tblPiNAnalysis[[#This Row],[PiN más alto]],)</f>
        <v>101316</v>
      </c>
      <c r="AW21" s="54"/>
      <c r="AX21" s="55"/>
      <c r="AY21" s="56">
        <f>COUNTIFS(tblPiNAnalysis[[#This Row],[Número de PiN ausentes/cero superior al umbral - Calidad de los datos]:[Marcador manual]],"Flagged")</f>
        <v>2</v>
      </c>
      <c r="AZ21" s="34" t="str">
        <f>IF(tblPiNAnalysis[[#This Row],[Número de marcadores]]&gt;0, "Flagged", "")</f>
        <v>Flagged</v>
      </c>
      <c r="BA21" s="92">
        <f>tblPiNAnalysis[[#This Row],[PiN preliminar]]</f>
        <v>101316</v>
      </c>
      <c r="BB21" s="97"/>
      <c r="BC21" s="70">
        <f>IFERROR(IF(tblPiNAnalysis[[#This Row],[Severidad]]=3,tblPiNAnalysis[[#This Row],[PiN final]]*Umbrales!$D$33,tblPiNAnalysis[[#This Row],[PiN final]]*Umbrales!$D$34),)</f>
        <v>50658</v>
      </c>
      <c r="BD21" s="70">
        <f>IFERROR(IF(tblPiNAnalysis[[#This Row],[Severidad]]&gt;3,tblPiNAnalysis[[#This Row],[PiN final]]*Umbrales!$D$34,),)</f>
        <v>0</v>
      </c>
    </row>
    <row r="22" spans="1:56">
      <c r="A22" s="101" t="str">
        <f>IFERROR(_xlfn.CONCAT(IF(tblPiNAnalysis[[#This Row],[Grupo]]="", "",tblPiNAnalysis[[#This Row],[Grupo]] ),  _xlfn.IFS(tblPiNAnalysis[[#This Row],[Admin2PCODE]]&lt;&gt;"", tblPiNAnalysis[[#This Row],[Admin2PCODE]], tblPiNAnalysis[[#This Row],[Admin1PCODE]]&lt;&gt;"", tblPiNAnalysis[[#This Row],[Admin1PCODE]])),"")</f>
        <v>VenezolanosVE2023</v>
      </c>
      <c r="B22" s="105" t="s">
        <v>589</v>
      </c>
      <c r="C22" s="104" t="s">
        <v>590</v>
      </c>
      <c r="D22" s="119" t="s">
        <v>630</v>
      </c>
      <c r="E22" s="104" t="s">
        <v>631</v>
      </c>
      <c r="F22" s="358"/>
      <c r="G22" s="357">
        <v>269720</v>
      </c>
      <c r="H22" s="103" t="s">
        <v>102</v>
      </c>
      <c r="I22" s="60">
        <v>54165</v>
      </c>
      <c r="J22" s="134">
        <v>21209.378874243779</v>
      </c>
      <c r="K22" s="57">
        <v>98447.8</v>
      </c>
      <c r="L22" s="87">
        <v>35479.946217767319</v>
      </c>
      <c r="M22" s="87">
        <v>53991.252432715999</v>
      </c>
      <c r="N22" s="57">
        <v>0</v>
      </c>
      <c r="O22" s="57">
        <v>17277.20077846912</v>
      </c>
      <c r="P22" s="57">
        <v>18896.938351450597</v>
      </c>
      <c r="Q22" s="88">
        <f>IFERROR(IF(tblPiNAnalysis[[#This Row],[SAMV]]="", "", MROUND(tblPiNAnalysis[[#This Row],[SAMV]]/tblPiNAnalysis[[#This Row],[Población]], 0.05)), "")</f>
        <v>0.2</v>
      </c>
      <c r="R22" s="89">
        <f>IFERROR(IF(tblPiNAnalysis[[#This Row],[NUT]]="", "", MROUND(tblPiNAnalysis[[#This Row],[NUT]]/tblPiNAnalysis[[#This Row],[Población]], 0.05)), "")</f>
        <v>0.1</v>
      </c>
      <c r="S22" s="89">
        <f>IFERROR(IF(tblPiNAnalysis[[#This Row],[SAL]]="", "", MROUND(tblPiNAnalysis[[#This Row],[SAL]]/tblPiNAnalysis[[#This Row],[Población]], 0.05)), "")</f>
        <v>0.35000000000000003</v>
      </c>
      <c r="T22" s="89">
        <f>IFERROR(IF(tblPiNAnalysis[[#This Row],[EDU]]="", "", MROUND(tblPiNAnalysis[[#This Row],[EDU]]/tblPiNAnalysis[[#This Row],[Población]], 0.05)), "")</f>
        <v>0.15000000000000002</v>
      </c>
      <c r="U22" s="89">
        <f>IFERROR(IF(tblPiNAnalysis[[#This Row],[PRO]]="", "", MROUND(tblPiNAnalysis[[#This Row],[PRO]]/tblPiNAnalysis[[#This Row],[Población]], 0.05)), "")</f>
        <v>0.2</v>
      </c>
      <c r="V22" s="90">
        <f>IFERROR(IF(tblPiNAnalysis[[#This Row],[ASH]]="", "", MROUND(tblPiNAnalysis[[#This Row],[ASH]]/tblPiNAnalysis[[#This Row],[Población]], 0.05)), "")</f>
        <v>0</v>
      </c>
      <c r="W22" s="89">
        <f>IFERROR(MROUND(tblPiNAnalysis[[#This Row],[NNA]]/tblPiNAnalysis[[#This Row],[Población]], 0.05), "")</f>
        <v>0.05</v>
      </c>
      <c r="X22" s="89">
        <f>IFERROR(MROUND(tblPiNAnalysis[[#This Row],[VBG]]/tblPiNAnalysis[[#This Row],[Población]], 0.05), "")</f>
        <v>0.05</v>
      </c>
      <c r="Y22" s="91">
        <f>IFERROR(LARGE(tblPiNAnalysis[[#This Row],[SAMV]:[ASH]], 1), "")</f>
        <v>98447.8</v>
      </c>
      <c r="Z22" s="92" t="str" cm="1">
        <f t="array" ref="Z22">IF(tblPiNAnalysis[[#This Row],[PiN más alto]]="", "", _xlfn.TEXTJOIN(CHAR(10), TRUE, IF(tblPiNAnalysis[[#This Row],[PiN más alto]]=tblPiNAnalysis[[#This Row],[SAMV]:[ASH]], tblPiNAnalysis[[#Headers],[SAMV]:[ASH]], "")))</f>
        <v>SAL</v>
      </c>
      <c r="AA22" s="93">
        <f>IF(tblPiNAnalysis[[#This Row],[PiN más alto]]="", "", tblPiNAnalysis[[#This Row],[PiN más alto]]/tblPiNAnalysis[[#This Row],[Población]])</f>
        <v>0.36499999999999999</v>
      </c>
      <c r="AB22" s="94" t="str">
        <f>IF(SUM(tblPiNAnalysis[[#This Row],[SAMV]:[ASH]])=0, "",IF(COUNTIF(tblPiNAnalysis[[#This Row],[SAMV]:[ASH]],"=0")+COUNTIF(tblPiNAnalysis[[#This Row],[SAMV]:[ASH]],"")&gt;=zero_pin_thresh, "Flagged", ""))</f>
        <v/>
      </c>
      <c r="AC22" s="95" t="str">
        <f>IFERROR(IF(tblPiNAnalysis[[#This Row],[PiN más alto]]="", "", IF(tblPiNAnalysis[[#This Row],[% PiN Sectores más altos]]&gt;=flag_pin_perc, "Flagged", "")), "")</f>
        <v/>
      </c>
      <c r="AD22" s="96" t="str" cm="1">
        <f t="array" ref="AD22">IF(tblPiNAnalysis[[#This Row],[PiN más alto]]=0, "",  IF(OR(COUNTIF(tblPiNAnalysis[[#This Row],[Sectores más altos]],tblSubSectorPopulation[Sector])), "Flagged", ""))</f>
        <v/>
      </c>
      <c r="AE22" s="16" cm="1">
        <f t="array" ref="AE2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54165</v>
      </c>
      <c r="AF22" s="97" t="str" cm="1">
        <f t="array" ref="AF22">IF(tblPiNAnalysis[[#This Row],[2º PiN más alto]]="", "", _xlfn.TEXTJOIN(CHAR(10), TRUE, IF(tblPiNAnalysis[[#This Row],[2º PiN más alto]]=tblPiNAnalysis[[#This Row],[SAMV]:[ASH]], tblPiNAnalysis[[#Headers],[SAMV]:[ASH]], "")))</f>
        <v>SAMV</v>
      </c>
      <c r="AG22" s="12">
        <f>IFERROR(tblPiNAnalysis[[#This Row],[2º PiN más alto]]/tblPiNAnalysis[[#This Row],[Población]], "")</f>
        <v>0.20081936823372387</v>
      </c>
      <c r="AH22" s="16">
        <f>IFERROR(tblPiNAnalysis[[#This Row],[PiN más alto]]-tblPiNAnalysis[[#This Row],[2º PiN más alto]], "")</f>
        <v>44282.8</v>
      </c>
      <c r="AI22" s="14">
        <f>IFERROR(((tblPiNAnalysis[[#This Row],[PiN más alto]]-tblPiNAnalysis[[#This Row],[2º PiN más alto]])/tblPiNAnalysis[[#This Row],[2º PiN más alto]]),"")</f>
        <v>0.81755377088525805</v>
      </c>
      <c r="AJ22" s="14" t="str" cm="1">
        <f t="array" ref="AJ2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2" s="98" cm="1">
        <f t="array" ref="AK2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53991.252432715999</v>
      </c>
      <c r="AL22" s="53" t="str" cm="1">
        <f t="array" ref="AL22">IF(tblPiNAnalysis[[#This Row],[3º PiN más alto]]="", "", _xlfn.TEXTJOIN(CHAR(10), TRUE, IF(tblPiNAnalysis[[#This Row],[3º PiN más alto]]=tblPiNAnalysis[[#This Row],[SAMV]:[ASH]], tblPiNAnalysis[[#Headers],[SAMV]:[ASH]], "")))</f>
        <v>PRO</v>
      </c>
      <c r="AM22" s="53">
        <f>IFERROR(tblPiNAnalysis[[#This Row],[3º PiN más alto]]/tblPiNAnalysis[[#This Row],[Población]], "")</f>
        <v>0.2001751906892926</v>
      </c>
      <c r="AN22" s="15">
        <f>IFERROR(tblPiNAnalysis[[#This Row],[PiN más alto]]-tblPiNAnalysis[[#This Row],[3º PiN más alto]],"")</f>
        <v>44456.547567284004</v>
      </c>
      <c r="AO22" s="14">
        <f>IFERROR(tblPiNAnalysis[[#This Row],[Diferencia de PiN entre el más alto y el 3º más alto]]/tblPiNAnalysis[[#This Row],[3º PiN más alto]], "")</f>
        <v>0.82340278404702383</v>
      </c>
      <c r="AP22" s="96" t="str" cm="1">
        <f t="array" ref="AP2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2" s="84" cm="1">
        <f t="array" ref="AQ22">IFERROR(IF(tblPiNAnalysis[[#This Row],[ID]]="", "", INDEX(tblPiNHistorical[[SAMV]:[ASH]], MATCH(tblPiNAnalysis[[#This Row],[ID]],tblPiNHistorical[ID], 0),MATCH(_xlfn._xlws.FILTER(tblPiNAnalysis[[#Headers],[SAMV]:[ASH]], tblPiNAnalysis[[#This Row],[PiN más alto]]=tblPiNAnalysis[[#This Row],[SAMV]:[ASH]]), tblPiNHistorical[[#Headers],[SAMV]:[ASH]], 0))), "")</f>
        <v>-0.9</v>
      </c>
      <c r="AR22" s="99" t="str" cm="1">
        <f t="array" ref="AR2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2" s="74" cm="1">
        <f t="array" ref="AS22">IFERROR(IF(tblPiNAnalysis[[#This Row],[ID]]="", "", INDEX(tblPiNHistorical[[SAMV]:[ASH]], MATCH(tblPiNAnalysis[[#This Row],[ID]],tblPiNHistorical[ID], 0),MATCH(_xlfn._xlws.FILTER(tblPiNAnalysis[[#Headers],[SAMV]:[ASH]], tblPiNAnalysis[[#This Row],[2º PiN más alto]]=tblPiNAnalysis[[#This Row],[SAMV]:[ASH]]), tblPiNHistorical[[#Headers],[SAMV]:[ASH]], 0))), "")</f>
        <v>-1</v>
      </c>
      <c r="AT22" s="100" t="str" cm="1">
        <f t="array" ref="AT2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2" s="219">
        <f>INDEX(tblSeverityAnalysis[Severidad final], MATCH(tblPiNAnalysis[[#This Row],[ID]],tblSeverityAnalysis[ID], 0))</f>
        <v>3</v>
      </c>
      <c r="AV22" s="220">
        <f>IF(tblPiNAnalysis[[#This Row],[Severidad]]&gt;2,tblPiNAnalysis[[#This Row],[PiN más alto]],)</f>
        <v>98447.8</v>
      </c>
      <c r="AW22" s="54"/>
      <c r="AX22" s="55"/>
      <c r="AY22" s="56">
        <f>COUNTIFS(tblPiNAnalysis[[#This Row],[Número de PiN ausentes/cero superior al umbral - Calidad de los datos]:[Marcador manual]],"Flagged")</f>
        <v>3</v>
      </c>
      <c r="AZ22" s="34" t="str">
        <f>IF(tblPiNAnalysis[[#This Row],[Número de marcadores]]&gt;0, "Flagged", "")</f>
        <v>Flagged</v>
      </c>
      <c r="BA22" s="92">
        <f>tblPiNAnalysis[[#This Row],[PiN preliminar]]</f>
        <v>98447.8</v>
      </c>
      <c r="BB22" s="97"/>
      <c r="BC22" s="70">
        <f>IFERROR(IF(tblPiNAnalysis[[#This Row],[Severidad]]=3,tblPiNAnalysis[[#This Row],[PiN final]]*Umbrales!$D$33,tblPiNAnalysis[[#This Row],[PiN final]]*Umbrales!$D$34),)</f>
        <v>49223.9</v>
      </c>
      <c r="BD22" s="70">
        <f>IFERROR(IF(tblPiNAnalysis[[#This Row],[Severidad]]&gt;3,tblPiNAnalysis[[#This Row],[PiN final]]*Umbrales!$D$34,),)</f>
        <v>0</v>
      </c>
    </row>
    <row r="23" spans="1:56">
      <c r="A23" s="101" t="str">
        <f>IFERROR(_xlfn.CONCAT(IF(tblPiNAnalysis[[#This Row],[Grupo]]="", "",tblPiNAnalysis[[#This Row],[Grupo]] ),  _xlfn.IFS(tblPiNAnalysis[[#This Row],[Admin2PCODE]]&lt;&gt;"", tblPiNAnalysis[[#This Row],[Admin2PCODE]], tblPiNAnalysis[[#This Row],[Admin1PCODE]]&lt;&gt;"", tblPiNAnalysis[[#This Row],[Admin1PCODE]])),"")</f>
        <v>VenezolanosVE1503</v>
      </c>
      <c r="B23" s="105" t="s">
        <v>276</v>
      </c>
      <c r="C23" s="104" t="s">
        <v>455</v>
      </c>
      <c r="D23" s="119" t="s">
        <v>459</v>
      </c>
      <c r="E23" s="104" t="s">
        <v>460</v>
      </c>
      <c r="F23" s="358"/>
      <c r="G23" s="357">
        <v>246194</v>
      </c>
      <c r="H23" s="103" t="s">
        <v>102</v>
      </c>
      <c r="I23" s="60">
        <v>4924</v>
      </c>
      <c r="J23" s="134">
        <v>7633.7607358854439</v>
      </c>
      <c r="K23" s="57">
        <v>92919.5</v>
      </c>
      <c r="L23" s="87">
        <v>36531.301399839474</v>
      </c>
      <c r="M23" s="87">
        <v>49080.736704498151</v>
      </c>
      <c r="N23" s="57">
        <v>16618.095000000001</v>
      </c>
      <c r="O23" s="57">
        <v>15705.83574543941</v>
      </c>
      <c r="P23" s="57">
        <v>17178.25784657435</v>
      </c>
      <c r="Q23" s="88">
        <f>IFERROR(IF(tblPiNAnalysis[[#This Row],[SAMV]]="", "", MROUND(tblPiNAnalysis[[#This Row],[SAMV]]/tblPiNAnalysis[[#This Row],[Población]], 0.05)), "")</f>
        <v>0</v>
      </c>
      <c r="R23" s="89">
        <f>IFERROR(IF(tblPiNAnalysis[[#This Row],[NUT]]="", "", MROUND(tblPiNAnalysis[[#This Row],[NUT]]/tblPiNAnalysis[[#This Row],[Población]], 0.05)), "")</f>
        <v>0.05</v>
      </c>
      <c r="S23" s="89">
        <f>IFERROR(IF(tblPiNAnalysis[[#This Row],[SAL]]="", "", MROUND(tblPiNAnalysis[[#This Row],[SAL]]/tblPiNAnalysis[[#This Row],[Población]], 0.05)), "")</f>
        <v>0.4</v>
      </c>
      <c r="T23" s="89">
        <f>IFERROR(IF(tblPiNAnalysis[[#This Row],[EDU]]="", "", MROUND(tblPiNAnalysis[[#This Row],[EDU]]/tblPiNAnalysis[[#This Row],[Población]], 0.05)), "")</f>
        <v>0.15000000000000002</v>
      </c>
      <c r="U23" s="89">
        <f>IFERROR(IF(tblPiNAnalysis[[#This Row],[PRO]]="", "", MROUND(tblPiNAnalysis[[#This Row],[PRO]]/tblPiNAnalysis[[#This Row],[Población]], 0.05)), "")</f>
        <v>0.2</v>
      </c>
      <c r="V23" s="90">
        <f>IFERROR(IF(tblPiNAnalysis[[#This Row],[ASH]]="", "", MROUND(tblPiNAnalysis[[#This Row],[ASH]]/tblPiNAnalysis[[#This Row],[Población]], 0.05)), "")</f>
        <v>0.05</v>
      </c>
      <c r="W23" s="89">
        <f>IFERROR(MROUND(tblPiNAnalysis[[#This Row],[NNA]]/tblPiNAnalysis[[#This Row],[Población]], 0.05), "")</f>
        <v>0.05</v>
      </c>
      <c r="X23" s="89">
        <f>IFERROR(MROUND(tblPiNAnalysis[[#This Row],[VBG]]/tblPiNAnalysis[[#This Row],[Población]], 0.05), "")</f>
        <v>0.05</v>
      </c>
      <c r="Y23" s="91">
        <f>IFERROR(LARGE(tblPiNAnalysis[[#This Row],[SAMV]:[ASH]], 1), "")</f>
        <v>92919.5</v>
      </c>
      <c r="Z23" s="92" t="str" cm="1">
        <f t="array" ref="Z23">IF(tblPiNAnalysis[[#This Row],[PiN más alto]]="", "", _xlfn.TEXTJOIN(CHAR(10), TRUE, IF(tblPiNAnalysis[[#This Row],[PiN más alto]]=tblPiNAnalysis[[#This Row],[SAMV]:[ASH]], tblPiNAnalysis[[#Headers],[SAMV]:[ASH]], "")))</f>
        <v>SAL</v>
      </c>
      <c r="AA23" s="93">
        <f>IF(tblPiNAnalysis[[#This Row],[PiN más alto]]="", "", tblPiNAnalysis[[#This Row],[PiN más alto]]/tblPiNAnalysis[[#This Row],[Población]])</f>
        <v>0.37742390147607169</v>
      </c>
      <c r="AB23" s="94" t="str">
        <f>IF(SUM(tblPiNAnalysis[[#This Row],[SAMV]:[ASH]])=0, "",IF(COUNTIF(tblPiNAnalysis[[#This Row],[SAMV]:[ASH]],"=0")+COUNTIF(tblPiNAnalysis[[#This Row],[SAMV]:[ASH]],"")&gt;=zero_pin_thresh, "Flagged", ""))</f>
        <v/>
      </c>
      <c r="AC23" s="95" t="str">
        <f>IFERROR(IF(tblPiNAnalysis[[#This Row],[PiN más alto]]="", "", IF(tblPiNAnalysis[[#This Row],[% PiN Sectores más altos]]&gt;=flag_pin_perc, "Flagged", "")), "")</f>
        <v/>
      </c>
      <c r="AD23" s="96" t="str" cm="1">
        <f t="array" ref="AD23">IF(tblPiNAnalysis[[#This Row],[PiN más alto]]=0, "",  IF(OR(COUNTIF(tblPiNAnalysis[[#This Row],[Sectores más altos]],tblSubSectorPopulation[Sector])), "Flagged", ""))</f>
        <v/>
      </c>
      <c r="AE23" s="16" cm="1">
        <f t="array" ref="AE2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49080.736704498151</v>
      </c>
      <c r="AF23" s="97" t="str" cm="1">
        <f t="array" ref="AF23">IF(tblPiNAnalysis[[#This Row],[2º PiN más alto]]="", "", _xlfn.TEXTJOIN(CHAR(10), TRUE, IF(tblPiNAnalysis[[#This Row],[2º PiN más alto]]=tblPiNAnalysis[[#This Row],[SAMV]:[ASH]], tblPiNAnalysis[[#Headers],[SAMV]:[ASH]], "")))</f>
        <v>PRO</v>
      </c>
      <c r="AG23" s="12">
        <f>IFERROR(tblPiNAnalysis[[#This Row],[2º PiN más alto]]/tblPiNAnalysis[[#This Row],[Población]], "")</f>
        <v>0.19935797259274454</v>
      </c>
      <c r="AH23" s="16">
        <f>IFERROR(tblPiNAnalysis[[#This Row],[PiN más alto]]-tblPiNAnalysis[[#This Row],[2º PiN más alto]], "")</f>
        <v>43838.763295501849</v>
      </c>
      <c r="AI23" s="14">
        <f>IFERROR(((tblPiNAnalysis[[#This Row],[PiN más alto]]-tblPiNAnalysis[[#This Row],[2º PiN más alto]])/tblPiNAnalysis[[#This Row],[2º PiN más alto]]),"")</f>
        <v>0.89319692895897618</v>
      </c>
      <c r="AJ23" s="14" t="str" cm="1">
        <f t="array" ref="AJ2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3" s="98" cm="1">
        <f t="array" ref="AK2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36531.301399839474</v>
      </c>
      <c r="AL23" s="53" t="str" cm="1">
        <f t="array" ref="AL23">IF(tblPiNAnalysis[[#This Row],[3º PiN más alto]]="", "", _xlfn.TEXTJOIN(CHAR(10), TRUE, IF(tblPiNAnalysis[[#This Row],[3º PiN más alto]]=tblPiNAnalysis[[#This Row],[SAMV]:[ASH]], tblPiNAnalysis[[#Headers],[SAMV]:[ASH]], "")))</f>
        <v>EDU</v>
      </c>
      <c r="AM23" s="53">
        <f>IFERROR(tblPiNAnalysis[[#This Row],[3º PiN más alto]]/tblPiNAnalysis[[#This Row],[Población]], "")</f>
        <v>0.14838420676311964</v>
      </c>
      <c r="AN23" s="15">
        <f>IFERROR(tblPiNAnalysis[[#This Row],[PiN más alto]]-tblPiNAnalysis[[#This Row],[3º PiN más alto]],"")</f>
        <v>56388.198600160526</v>
      </c>
      <c r="AO23" s="14">
        <f>IFERROR(tblPiNAnalysis[[#This Row],[Diferencia de PiN entre el más alto y el 3º más alto]]/tblPiNAnalysis[[#This Row],[3º PiN más alto]], "")</f>
        <v>1.5435584400069664</v>
      </c>
      <c r="AP23" s="96" t="str" cm="1">
        <f t="array" ref="AP2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3" s="84" cm="1">
        <f t="array" ref="AQ23">IFERROR(IF(tblPiNAnalysis[[#This Row],[ID]]="", "", INDEX(tblPiNHistorical[[SAMV]:[ASH]], MATCH(tblPiNAnalysis[[#This Row],[ID]],tblPiNHistorical[ID], 0),MATCH(_xlfn._xlws.FILTER(tblPiNAnalysis[[#Headers],[SAMV]:[ASH]], tblPiNAnalysis[[#This Row],[PiN más alto]]=tblPiNAnalysis[[#This Row],[SAMV]:[ASH]]), tblPiNHistorical[[#Headers],[SAMV]:[ASH]], 0))), "")</f>
        <v>-0.8</v>
      </c>
      <c r="AR23" s="99" t="str" cm="1">
        <f t="array" ref="AR2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3" s="74" cm="1">
        <f t="array" ref="AS23">IFERROR(IF(tblPiNAnalysis[[#This Row],[ID]]="", "", INDEX(tblPiNHistorical[[SAMV]:[ASH]], MATCH(tblPiNAnalysis[[#This Row],[ID]],tblPiNHistorical[ID], 0),MATCH(_xlfn._xlws.FILTER(tblPiNAnalysis[[#Headers],[SAMV]:[ASH]], tblPiNAnalysis[[#This Row],[2º PiN más alto]]=tblPiNAnalysis[[#This Row],[SAMV]:[ASH]]), tblPiNHistorical[[#Headers],[SAMV]:[ASH]], 0))), "")</f>
        <v>-0.8</v>
      </c>
      <c r="AT23" s="100" t="str" cm="1">
        <f t="array" ref="AT2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3" s="219">
        <f>INDEX(tblSeverityAnalysis[Severidad final], MATCH(tblPiNAnalysis[[#This Row],[ID]],tblSeverityAnalysis[ID], 0))</f>
        <v>3</v>
      </c>
      <c r="AV23" s="220">
        <f>IF(tblPiNAnalysis[[#This Row],[Severidad]]&gt;2,tblPiNAnalysis[[#This Row],[PiN más alto]],)</f>
        <v>92919.5</v>
      </c>
      <c r="AW23" s="54"/>
      <c r="AX23" s="55"/>
      <c r="AY23" s="56">
        <f>COUNTIFS(tblPiNAnalysis[[#This Row],[Número de PiN ausentes/cero superior al umbral - Calidad de los datos]:[Marcador manual]],"Flagged")</f>
        <v>2</v>
      </c>
      <c r="AZ23" s="34" t="str">
        <f>IF(tblPiNAnalysis[[#This Row],[Número de marcadores]]&gt;0, "Flagged", "")</f>
        <v>Flagged</v>
      </c>
      <c r="BA23" s="92">
        <f>tblPiNAnalysis[[#This Row],[PiN preliminar]]</f>
        <v>92919.5</v>
      </c>
      <c r="BB23" s="97"/>
      <c r="BC23" s="70">
        <f>IFERROR(IF(tblPiNAnalysis[[#This Row],[Severidad]]=3,tblPiNAnalysis[[#This Row],[PiN final]]*Umbrales!$D$33,tblPiNAnalysis[[#This Row],[PiN final]]*Umbrales!$D$34),)</f>
        <v>46459.75</v>
      </c>
      <c r="BD23" s="70">
        <f>IFERROR(IF(tblPiNAnalysis[[#This Row],[Severidad]]&gt;3,tblPiNAnalysis[[#This Row],[PiN final]]*Umbrales!$D$34,),)</f>
        <v>0</v>
      </c>
    </row>
    <row r="24" spans="1:56">
      <c r="A24" s="101" t="str">
        <f>IFERROR(_xlfn.CONCAT(IF(tblPiNAnalysis[[#This Row],[Grupo]]="", "",tblPiNAnalysis[[#This Row],[Grupo]] ),  _xlfn.IFS(tblPiNAnalysis[[#This Row],[Admin2PCODE]]&lt;&gt;"", tblPiNAnalysis[[#This Row],[Admin2PCODE]], tblPiNAnalysis[[#This Row],[Admin1PCODE]]&lt;&gt;"", tblPiNAnalysis[[#This Row],[Admin1PCODE]])),"")</f>
        <v>VenezolanosVE0308</v>
      </c>
      <c r="B24" s="105" t="s">
        <v>119</v>
      </c>
      <c r="C24" s="104" t="s">
        <v>120</v>
      </c>
      <c r="D24" s="119" t="s">
        <v>135</v>
      </c>
      <c r="E24" s="104" t="s">
        <v>136</v>
      </c>
      <c r="F24" s="358"/>
      <c r="G24" s="357">
        <v>250248</v>
      </c>
      <c r="H24" s="103" t="s">
        <v>102</v>
      </c>
      <c r="I24" s="60">
        <v>62744</v>
      </c>
      <c r="J24" s="134">
        <v>8020.9941589526334</v>
      </c>
      <c r="K24" s="57">
        <v>91340.52</v>
      </c>
      <c r="L24" s="87">
        <v>24428.471891261637</v>
      </c>
      <c r="M24" s="87">
        <v>59729.037389099947</v>
      </c>
      <c r="N24" s="57">
        <v>0</v>
      </c>
      <c r="O24" s="57">
        <v>19113.291964511984</v>
      </c>
      <c r="P24" s="57">
        <v>20905.163086184981</v>
      </c>
      <c r="Q24" s="88">
        <f>IFERROR(IF(tblPiNAnalysis[[#This Row],[SAMV]]="", "", MROUND(tblPiNAnalysis[[#This Row],[SAMV]]/tblPiNAnalysis[[#This Row],[Población]], 0.05)), "")</f>
        <v>0.25</v>
      </c>
      <c r="R24" s="89">
        <f>IFERROR(IF(tblPiNAnalysis[[#This Row],[NUT]]="", "", MROUND(tblPiNAnalysis[[#This Row],[NUT]]/tblPiNAnalysis[[#This Row],[Población]], 0.05)), "")</f>
        <v>0.05</v>
      </c>
      <c r="S24" s="89">
        <f>IFERROR(IF(tblPiNAnalysis[[#This Row],[SAL]]="", "", MROUND(tblPiNAnalysis[[#This Row],[SAL]]/tblPiNAnalysis[[#This Row],[Población]], 0.05)), "")</f>
        <v>0.35000000000000003</v>
      </c>
      <c r="T24" s="89">
        <f>IFERROR(IF(tblPiNAnalysis[[#This Row],[EDU]]="", "", MROUND(tblPiNAnalysis[[#This Row],[EDU]]/tblPiNAnalysis[[#This Row],[Población]], 0.05)), "")</f>
        <v>0.1</v>
      </c>
      <c r="U24" s="89">
        <f>IFERROR(IF(tblPiNAnalysis[[#This Row],[PRO]]="", "", MROUND(tblPiNAnalysis[[#This Row],[PRO]]/tblPiNAnalysis[[#This Row],[Población]], 0.05)), "")</f>
        <v>0.25</v>
      </c>
      <c r="V24" s="90">
        <f>IFERROR(IF(tblPiNAnalysis[[#This Row],[ASH]]="", "", MROUND(tblPiNAnalysis[[#This Row],[ASH]]/tblPiNAnalysis[[#This Row],[Población]], 0.05)), "")</f>
        <v>0</v>
      </c>
      <c r="W24" s="89">
        <f>IFERROR(MROUND(tblPiNAnalysis[[#This Row],[NNA]]/tblPiNAnalysis[[#This Row],[Población]], 0.05), "")</f>
        <v>0.1</v>
      </c>
      <c r="X24" s="89">
        <f>IFERROR(MROUND(tblPiNAnalysis[[#This Row],[VBG]]/tblPiNAnalysis[[#This Row],[Población]], 0.05), "")</f>
        <v>0.1</v>
      </c>
      <c r="Y24" s="91">
        <f>IFERROR(LARGE(tblPiNAnalysis[[#This Row],[SAMV]:[ASH]], 1), "")</f>
        <v>91340.52</v>
      </c>
      <c r="Z24" s="92" t="str" cm="1">
        <f t="array" ref="Z24">IF(tblPiNAnalysis[[#This Row],[PiN más alto]]="", "", _xlfn.TEXTJOIN(CHAR(10), TRUE, IF(tblPiNAnalysis[[#This Row],[PiN más alto]]=tblPiNAnalysis[[#This Row],[SAMV]:[ASH]], tblPiNAnalysis[[#Headers],[SAMV]:[ASH]], "")))</f>
        <v>SAL</v>
      </c>
      <c r="AA24" s="93">
        <f>IF(tblPiNAnalysis[[#This Row],[PiN más alto]]="", "", tblPiNAnalysis[[#This Row],[PiN más alto]]/tblPiNAnalysis[[#This Row],[Población]])</f>
        <v>0.36499999999999999</v>
      </c>
      <c r="AB24" s="94" t="str">
        <f>IF(SUM(tblPiNAnalysis[[#This Row],[SAMV]:[ASH]])=0, "",IF(COUNTIF(tblPiNAnalysis[[#This Row],[SAMV]:[ASH]],"=0")+COUNTIF(tblPiNAnalysis[[#This Row],[SAMV]:[ASH]],"")&gt;=zero_pin_thresh, "Flagged", ""))</f>
        <v/>
      </c>
      <c r="AC24" s="95" t="str">
        <f>IFERROR(IF(tblPiNAnalysis[[#This Row],[PiN más alto]]="", "", IF(tblPiNAnalysis[[#This Row],[% PiN Sectores más altos]]&gt;=flag_pin_perc, "Flagged", "")), "")</f>
        <v/>
      </c>
      <c r="AD24" s="96" t="str" cm="1">
        <f t="array" ref="AD24">IF(tblPiNAnalysis[[#This Row],[PiN más alto]]=0, "",  IF(OR(COUNTIF(tblPiNAnalysis[[#This Row],[Sectores más altos]],tblSubSectorPopulation[Sector])), "Flagged", ""))</f>
        <v/>
      </c>
      <c r="AE24" s="16" cm="1">
        <f t="array" ref="AE2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62744</v>
      </c>
      <c r="AF24" s="97" t="str" cm="1">
        <f t="array" ref="AF24">IF(tblPiNAnalysis[[#This Row],[2º PiN más alto]]="", "", _xlfn.TEXTJOIN(CHAR(10), TRUE, IF(tblPiNAnalysis[[#This Row],[2º PiN más alto]]=tblPiNAnalysis[[#This Row],[SAMV]:[ASH]], tblPiNAnalysis[[#Headers],[SAMV]:[ASH]], "")))</f>
        <v>SAMV</v>
      </c>
      <c r="AG24" s="12">
        <f>IFERROR(tblPiNAnalysis[[#This Row],[2º PiN más alto]]/tblPiNAnalysis[[#This Row],[Población]], "")</f>
        <v>0.25072727853968862</v>
      </c>
      <c r="AH24" s="16">
        <f>IFERROR(tblPiNAnalysis[[#This Row],[PiN más alto]]-tblPiNAnalysis[[#This Row],[2º PiN más alto]], "")</f>
        <v>28596.520000000004</v>
      </c>
      <c r="AI24" s="14">
        <f>IFERROR(((tblPiNAnalysis[[#This Row],[PiN más alto]]-tblPiNAnalysis[[#This Row],[2º PiN más alto]])/tblPiNAnalysis[[#This Row],[2º PiN más alto]]),"")</f>
        <v>0.45576501338773434</v>
      </c>
      <c r="AJ24" s="14" t="str" cm="1">
        <f t="array" ref="AJ2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4" s="98" cm="1">
        <f t="array" ref="AK2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59729.037389099947</v>
      </c>
      <c r="AL24" s="53" t="str" cm="1">
        <f t="array" ref="AL24">IF(tblPiNAnalysis[[#This Row],[3º PiN más alto]]="", "", _xlfn.TEXTJOIN(CHAR(10), TRUE, IF(tblPiNAnalysis[[#This Row],[3º PiN más alto]]=tblPiNAnalysis[[#This Row],[SAMV]:[ASH]], tblPiNAnalysis[[#Headers],[SAMV]:[ASH]], "")))</f>
        <v>PRO</v>
      </c>
      <c r="AM24" s="53">
        <f>IFERROR(tblPiNAnalysis[[#This Row],[3º PiN más alto]]/tblPiNAnalysis[[#This Row],[Población]], "")</f>
        <v>0.23867937961182487</v>
      </c>
      <c r="AN24" s="15">
        <f>IFERROR(tblPiNAnalysis[[#This Row],[PiN más alto]]-tblPiNAnalysis[[#This Row],[3º PiN más alto]],"")</f>
        <v>31611.482610900057</v>
      </c>
      <c r="AO24" s="14">
        <f>IFERROR(tblPiNAnalysis[[#This Row],[Diferencia de PiN entre el más alto y el 3º más alto]]/tblPiNAnalysis[[#This Row],[3º PiN más alto]], "")</f>
        <v>0.52924815119603597</v>
      </c>
      <c r="AP24" s="96" t="str" cm="1">
        <f t="array" ref="AP2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4" s="84" cm="1">
        <f t="array" ref="AQ24">IFERROR(IF(tblPiNAnalysis[[#This Row],[ID]]="", "", INDEX(tblPiNHistorical[[SAMV]:[ASH]], MATCH(tblPiNAnalysis[[#This Row],[ID]],tblPiNHistorical[ID], 0),MATCH(_xlfn._xlws.FILTER(tblPiNAnalysis[[#Headers],[SAMV]:[ASH]], tblPiNAnalysis[[#This Row],[PiN más alto]]=tblPiNAnalysis[[#This Row],[SAMV]:[ASH]]), tblPiNHistorical[[#Headers],[SAMV]:[ASH]], 0))), "")</f>
        <v>1.1000000000000001</v>
      </c>
      <c r="AR24" s="99" t="str" cm="1">
        <f t="array" ref="AR2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4" s="74" cm="1">
        <f t="array" ref="AS24">IFERROR(IF(tblPiNAnalysis[[#This Row],[ID]]="", "", INDEX(tblPiNHistorical[[SAMV]:[ASH]], MATCH(tblPiNAnalysis[[#This Row],[ID]],tblPiNHistorical[ID], 0),MATCH(_xlfn._xlws.FILTER(tblPiNAnalysis[[#Headers],[SAMV]:[ASH]], tblPiNAnalysis[[#This Row],[2º PiN más alto]]=tblPiNAnalysis[[#This Row],[SAMV]:[ASH]]), tblPiNHistorical[[#Headers],[SAMV]:[ASH]], 0))), "")</f>
        <v>0.4</v>
      </c>
      <c r="AT24" s="100" t="str" cm="1">
        <f t="array" ref="AT2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4" s="219">
        <f>INDEX(tblSeverityAnalysis[Severidad final], MATCH(tblPiNAnalysis[[#This Row],[ID]],tblSeverityAnalysis[ID], 0))</f>
        <v>3</v>
      </c>
      <c r="AV24" s="220">
        <f>IF(tblPiNAnalysis[[#This Row],[Severidad]]&gt;2,tblPiNAnalysis[[#This Row],[PiN más alto]],)</f>
        <v>91340.52</v>
      </c>
      <c r="AW24" s="54"/>
      <c r="AX24" s="55"/>
      <c r="AY24" s="56">
        <f>COUNTIFS(tblPiNAnalysis[[#This Row],[Número de PiN ausentes/cero superior al umbral - Calidad de los datos]:[Marcador manual]],"Flagged")</f>
        <v>3</v>
      </c>
      <c r="AZ24" s="34" t="str">
        <f>IF(tblPiNAnalysis[[#This Row],[Número de marcadores]]&gt;0, "Flagged", "")</f>
        <v>Flagged</v>
      </c>
      <c r="BA24" s="92">
        <f>tblPiNAnalysis[[#This Row],[PiN preliminar]]</f>
        <v>91340.52</v>
      </c>
      <c r="BB24" s="97"/>
      <c r="BC24" s="70">
        <f>IFERROR(IF(tblPiNAnalysis[[#This Row],[Severidad]]=3,tblPiNAnalysis[[#This Row],[PiN final]]*Umbrales!$D$33,tblPiNAnalysis[[#This Row],[PiN final]]*Umbrales!$D$34),)</f>
        <v>45670.26</v>
      </c>
      <c r="BD24" s="70">
        <f>IFERROR(IF(tblPiNAnalysis[[#This Row],[Severidad]]&gt;3,tblPiNAnalysis[[#This Row],[PiN final]]*Umbrales!$D$34,),)</f>
        <v>0</v>
      </c>
    </row>
    <row r="25" spans="1:56">
      <c r="A25" s="101" t="str">
        <f>IFERROR(_xlfn.CONCAT(IF(tblPiNAnalysis[[#This Row],[Grupo]]="", "",tblPiNAnalysis[[#This Row],[Grupo]] ),  _xlfn.IFS(tblPiNAnalysis[[#This Row],[Admin2PCODE]]&lt;&gt;"", tblPiNAnalysis[[#This Row],[Admin2PCODE]], tblPiNAnalysis[[#This Row],[Admin1PCODE]]&lt;&gt;"", tblPiNAnalysis[[#This Row],[Admin1PCODE]])),"")</f>
        <v>VenezolanosVE1905</v>
      </c>
      <c r="B25" s="105" t="s">
        <v>203</v>
      </c>
      <c r="C25" s="104" t="s">
        <v>564</v>
      </c>
      <c r="D25" s="119" t="s">
        <v>571</v>
      </c>
      <c r="E25" s="104" t="s">
        <v>572</v>
      </c>
      <c r="F25" s="358"/>
      <c r="G25" s="357">
        <v>141932</v>
      </c>
      <c r="H25" s="103" t="s">
        <v>102</v>
      </c>
      <c r="I25" s="60">
        <v>28066</v>
      </c>
      <c r="J25" s="134">
        <v>13156.614991851757</v>
      </c>
      <c r="K25" s="57">
        <v>51805.18</v>
      </c>
      <c r="L25" s="87">
        <v>10767.604768487316</v>
      </c>
      <c r="M25" s="87">
        <v>33976.424893455449</v>
      </c>
      <c r="N25" s="57">
        <v>85159.2</v>
      </c>
      <c r="O25" s="57">
        <v>10872.455965905743</v>
      </c>
      <c r="P25" s="57">
        <v>11891.748712709406</v>
      </c>
      <c r="Q25" s="88">
        <f>IFERROR(IF(tblPiNAnalysis[[#This Row],[SAMV]]="", "", MROUND(tblPiNAnalysis[[#This Row],[SAMV]]/tblPiNAnalysis[[#This Row],[Población]], 0.05)), "")</f>
        <v>0.2</v>
      </c>
      <c r="R25" s="89">
        <f>IFERROR(IF(tblPiNAnalysis[[#This Row],[NUT]]="", "", MROUND(tblPiNAnalysis[[#This Row],[NUT]]/tblPiNAnalysis[[#This Row],[Población]], 0.05)), "")</f>
        <v>0.1</v>
      </c>
      <c r="S25" s="89">
        <f>IFERROR(IF(tblPiNAnalysis[[#This Row],[SAL]]="", "", MROUND(tblPiNAnalysis[[#This Row],[SAL]]/tblPiNAnalysis[[#This Row],[Población]], 0.05)), "")</f>
        <v>0.35000000000000003</v>
      </c>
      <c r="T25" s="89">
        <f>IFERROR(IF(tblPiNAnalysis[[#This Row],[EDU]]="", "", MROUND(tblPiNAnalysis[[#This Row],[EDU]]/tblPiNAnalysis[[#This Row],[Población]], 0.05)), "")</f>
        <v>0.1</v>
      </c>
      <c r="U25" s="89">
        <f>IFERROR(IF(tblPiNAnalysis[[#This Row],[PRO]]="", "", MROUND(tblPiNAnalysis[[#This Row],[PRO]]/tblPiNAnalysis[[#This Row],[Población]], 0.05)), "")</f>
        <v>0.25</v>
      </c>
      <c r="V25" s="90">
        <f>IFERROR(IF(tblPiNAnalysis[[#This Row],[ASH]]="", "", MROUND(tblPiNAnalysis[[#This Row],[ASH]]/tblPiNAnalysis[[#This Row],[Población]], 0.05)), "")</f>
        <v>0.60000000000000009</v>
      </c>
      <c r="W25" s="89">
        <f>IFERROR(MROUND(tblPiNAnalysis[[#This Row],[NNA]]/tblPiNAnalysis[[#This Row],[Población]], 0.05), "")</f>
        <v>0.1</v>
      </c>
      <c r="X25" s="89">
        <f>IFERROR(MROUND(tblPiNAnalysis[[#This Row],[VBG]]/tblPiNAnalysis[[#This Row],[Población]], 0.05), "")</f>
        <v>0.1</v>
      </c>
      <c r="Y25" s="91">
        <f>IFERROR(LARGE(tblPiNAnalysis[[#This Row],[SAMV]:[ASH]], 1), "")</f>
        <v>85159.2</v>
      </c>
      <c r="Z25" s="92" t="str" cm="1">
        <f t="array" ref="Z25">IF(tblPiNAnalysis[[#This Row],[PiN más alto]]="", "", _xlfn.TEXTJOIN(CHAR(10), TRUE, IF(tblPiNAnalysis[[#This Row],[PiN más alto]]=tblPiNAnalysis[[#This Row],[SAMV]:[ASH]], tblPiNAnalysis[[#Headers],[SAMV]:[ASH]], "")))</f>
        <v>ASH</v>
      </c>
      <c r="AA25" s="93">
        <f>IF(tblPiNAnalysis[[#This Row],[PiN más alto]]="", "", tblPiNAnalysis[[#This Row],[PiN más alto]]/tblPiNAnalysis[[#This Row],[Población]])</f>
        <v>0.6</v>
      </c>
      <c r="AB25" s="94" t="str">
        <f>IF(SUM(tblPiNAnalysis[[#This Row],[SAMV]:[ASH]])=0, "",IF(COUNTIF(tblPiNAnalysis[[#This Row],[SAMV]:[ASH]],"=0")+COUNTIF(tblPiNAnalysis[[#This Row],[SAMV]:[ASH]],"")&gt;=zero_pin_thresh, "Flagged", ""))</f>
        <v/>
      </c>
      <c r="AC25" s="95" t="str">
        <f>IFERROR(IF(tblPiNAnalysis[[#This Row],[PiN más alto]]="", "", IF(tblPiNAnalysis[[#This Row],[% PiN Sectores más altos]]&gt;=flag_pin_perc, "Flagged", "")), "")</f>
        <v/>
      </c>
      <c r="AD25" s="96" t="str" cm="1">
        <f t="array" ref="AD25">IF(tblPiNAnalysis[[#This Row],[PiN más alto]]=0, "",  IF(OR(COUNTIF(tblPiNAnalysis[[#This Row],[Sectores más altos]],tblSubSectorPopulation[Sector])), "Flagged", ""))</f>
        <v/>
      </c>
      <c r="AE25" s="16" cm="1">
        <f t="array" ref="AE2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51805.18</v>
      </c>
      <c r="AF25" s="97" t="str" cm="1">
        <f t="array" ref="AF25">IF(tblPiNAnalysis[[#This Row],[2º PiN más alto]]="", "", _xlfn.TEXTJOIN(CHAR(10), TRUE, IF(tblPiNAnalysis[[#This Row],[2º PiN más alto]]=tblPiNAnalysis[[#This Row],[SAMV]:[ASH]], tblPiNAnalysis[[#Headers],[SAMV]:[ASH]], "")))</f>
        <v>SAL</v>
      </c>
      <c r="AG25" s="12">
        <f>IFERROR(tblPiNAnalysis[[#This Row],[2º PiN más alto]]/tblPiNAnalysis[[#This Row],[Población]], "")</f>
        <v>0.36499999999999999</v>
      </c>
      <c r="AH25" s="16">
        <f>IFERROR(tblPiNAnalysis[[#This Row],[PiN más alto]]-tblPiNAnalysis[[#This Row],[2º PiN más alto]], "")</f>
        <v>33354.019999999997</v>
      </c>
      <c r="AI25" s="14">
        <f>IFERROR(((tblPiNAnalysis[[#This Row],[PiN más alto]]-tblPiNAnalysis[[#This Row],[2º PiN más alto]])/tblPiNAnalysis[[#This Row],[2º PiN más alto]]),"")</f>
        <v>0.64383561643835607</v>
      </c>
      <c r="AJ25" s="14" t="str" cm="1">
        <f t="array" ref="AJ2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5" s="98" cm="1">
        <f t="array" ref="AK2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33976.424893455449</v>
      </c>
      <c r="AL25" s="53" t="str" cm="1">
        <f t="array" ref="AL25">IF(tblPiNAnalysis[[#This Row],[3º PiN más alto]]="", "", _xlfn.TEXTJOIN(CHAR(10), TRUE, IF(tblPiNAnalysis[[#This Row],[3º PiN más alto]]=tblPiNAnalysis[[#This Row],[SAMV]:[ASH]], tblPiNAnalysis[[#Headers],[SAMV]:[ASH]], "")))</f>
        <v>PRO</v>
      </c>
      <c r="AM25" s="53">
        <f>IFERROR(tblPiNAnalysis[[#This Row],[3º PiN más alto]]/tblPiNAnalysis[[#This Row],[Población]], "")</f>
        <v>0.23938523302324669</v>
      </c>
      <c r="AN25" s="15">
        <f>IFERROR(tblPiNAnalysis[[#This Row],[PiN más alto]]-tblPiNAnalysis[[#This Row],[3º PiN más alto]],"")</f>
        <v>51182.775106544548</v>
      </c>
      <c r="AO25" s="14">
        <f>IFERROR(tblPiNAnalysis[[#This Row],[Diferencia de PiN entre el más alto y el 3º más alto]]/tblPiNAnalysis[[#This Row],[3º PiN más alto]], "")</f>
        <v>1.5064202683786012</v>
      </c>
      <c r="AP25" s="96" t="str" cm="1">
        <f t="array" ref="AP2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5" s="84" t="str" cm="1">
        <f t="array" ref="AQ25">IFERROR(IF(tblPiNAnalysis[[#This Row],[ID]]="", "", INDEX(tblPiNHistorical[[SAMV]:[ASH]], MATCH(tblPiNAnalysis[[#This Row],[ID]],tblPiNHistorical[ID], 0),MATCH(_xlfn._xlws.FILTER(tblPiNAnalysis[[#Headers],[SAMV]:[ASH]], tblPiNAnalysis[[#This Row],[PiN más alto]]=tblPiNAnalysis[[#This Row],[SAMV]:[ASH]]), tblPiNHistorical[[#Headers],[SAMV]:[ASH]], 0))), "")</f>
        <v>NoPIN26 27760</v>
      </c>
      <c r="AR25" s="99" t="str" cm="1">
        <f t="array" ref="AR2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5" s="74" cm="1">
        <f t="array" ref="AS25">IFERROR(IF(tblPiNAnalysis[[#This Row],[ID]]="", "", INDEX(tblPiNHistorical[[SAMV]:[ASH]], MATCH(tblPiNAnalysis[[#This Row],[ID]],tblPiNHistorical[ID], 0),MATCH(_xlfn._xlws.FILTER(tblPiNAnalysis[[#Headers],[SAMV]:[ASH]], tblPiNAnalysis[[#This Row],[2º PiN más alto]]=tblPiNAnalysis[[#This Row],[SAMV]:[ASH]]), tblPiNHistorical[[#Headers],[SAMV]:[ASH]], 0))), "")</f>
        <v>0.2</v>
      </c>
      <c r="AT25" s="100" t="str" cm="1">
        <f t="array" ref="AT2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5" s="219">
        <f>INDEX(tblSeverityAnalysis[Severidad final], MATCH(tblPiNAnalysis[[#This Row],[ID]],tblSeverityAnalysis[ID], 0))</f>
        <v>3</v>
      </c>
      <c r="AV25" s="220">
        <f>IF(tblPiNAnalysis[[#This Row],[Severidad]]&gt;2,tblPiNAnalysis[[#This Row],[PiN más alto]],)</f>
        <v>85159.2</v>
      </c>
      <c r="AW25" s="54"/>
      <c r="AX25" s="55"/>
      <c r="AY25" s="56">
        <f>COUNTIFS(tblPiNAnalysis[[#This Row],[Número de PiN ausentes/cero superior al umbral - Calidad de los datos]:[Marcador manual]],"Flagged")</f>
        <v>2</v>
      </c>
      <c r="AZ25" s="34" t="str">
        <f>IF(tblPiNAnalysis[[#This Row],[Número de marcadores]]&gt;0, "Flagged", "")</f>
        <v>Flagged</v>
      </c>
      <c r="BA25" s="92">
        <f>tblPiNAnalysis[[#This Row],[PiN preliminar]]</f>
        <v>85159.2</v>
      </c>
      <c r="BB25" s="97"/>
      <c r="BC25" s="70">
        <f>IFERROR(IF(tblPiNAnalysis[[#This Row],[Severidad]]=3,tblPiNAnalysis[[#This Row],[PiN final]]*Umbrales!$D$33,tblPiNAnalysis[[#This Row],[PiN final]]*Umbrales!$D$34),)</f>
        <v>42579.6</v>
      </c>
      <c r="BD25" s="70">
        <f>IFERROR(IF(tblPiNAnalysis[[#This Row],[Severidad]]&gt;3,tblPiNAnalysis[[#This Row],[PiN final]]*Umbrales!$D$34,),)</f>
        <v>0</v>
      </c>
    </row>
    <row r="26" spans="1:56">
      <c r="A26" s="101" t="str">
        <f>IFERROR(_xlfn.CONCAT(IF(tblPiNAnalysis[[#This Row],[Grupo]]="", "",tblPiNAnalysis[[#This Row],[Grupo]] ),  _xlfn.IFS(tblPiNAnalysis[[#This Row],[Admin2PCODE]]&lt;&gt;"", tblPiNAnalysis[[#This Row],[Admin2PCODE]], tblPiNAnalysis[[#This Row],[Admin1PCODE]]&lt;&gt;"", tblPiNAnalysis[[#This Row],[Admin1PCODE]])),"")</f>
        <v>VenezolanosVE1412</v>
      </c>
      <c r="B26" s="105" t="s">
        <v>411</v>
      </c>
      <c r="C26" s="104" t="s">
        <v>412</v>
      </c>
      <c r="D26" s="119" t="s">
        <v>100</v>
      </c>
      <c r="E26" s="104" t="s">
        <v>435</v>
      </c>
      <c r="F26" s="358"/>
      <c r="G26" s="357">
        <v>222451</v>
      </c>
      <c r="H26" s="103" t="s">
        <v>102</v>
      </c>
      <c r="I26" s="60">
        <v>48872</v>
      </c>
      <c r="J26" s="134">
        <v>7548.0190967110184</v>
      </c>
      <c r="K26" s="57">
        <v>81194.615000000005</v>
      </c>
      <c r="L26" s="87">
        <v>29208.222446137479</v>
      </c>
      <c r="M26" s="87">
        <v>37209.959199669524</v>
      </c>
      <c r="N26" s="57">
        <v>0</v>
      </c>
      <c r="O26" s="57">
        <v>11944.396903093917</v>
      </c>
      <c r="P26" s="57">
        <v>13023.485719884333</v>
      </c>
      <c r="Q26" s="88">
        <f>IFERROR(IF(tblPiNAnalysis[[#This Row],[SAMV]]="", "", MROUND(tblPiNAnalysis[[#This Row],[SAMV]]/tblPiNAnalysis[[#This Row],[Población]], 0.05)), "")</f>
        <v>0.2</v>
      </c>
      <c r="R26" s="89">
        <f>IFERROR(IF(tblPiNAnalysis[[#This Row],[NUT]]="", "", MROUND(tblPiNAnalysis[[#This Row],[NUT]]/tblPiNAnalysis[[#This Row],[Población]], 0.05)), "")</f>
        <v>0.05</v>
      </c>
      <c r="S26" s="89">
        <f>IFERROR(IF(tblPiNAnalysis[[#This Row],[SAL]]="", "", MROUND(tblPiNAnalysis[[#This Row],[SAL]]/tblPiNAnalysis[[#This Row],[Población]], 0.05)), "")</f>
        <v>0.35000000000000003</v>
      </c>
      <c r="T26" s="89">
        <f>IFERROR(IF(tblPiNAnalysis[[#This Row],[EDU]]="", "", MROUND(tblPiNAnalysis[[#This Row],[EDU]]/tblPiNAnalysis[[#This Row],[Población]], 0.05)), "")</f>
        <v>0.15000000000000002</v>
      </c>
      <c r="U26" s="89">
        <f>IFERROR(IF(tblPiNAnalysis[[#This Row],[PRO]]="", "", MROUND(tblPiNAnalysis[[#This Row],[PRO]]/tblPiNAnalysis[[#This Row],[Población]], 0.05)), "")</f>
        <v>0.15000000000000002</v>
      </c>
      <c r="V26" s="90">
        <f>IFERROR(IF(tblPiNAnalysis[[#This Row],[ASH]]="", "", MROUND(tblPiNAnalysis[[#This Row],[ASH]]/tblPiNAnalysis[[#This Row],[Población]], 0.05)), "")</f>
        <v>0</v>
      </c>
      <c r="W26" s="89">
        <f>IFERROR(MROUND(tblPiNAnalysis[[#This Row],[NNA]]/tblPiNAnalysis[[#This Row],[Población]], 0.05), "")</f>
        <v>0.05</v>
      </c>
      <c r="X26" s="89">
        <f>IFERROR(MROUND(tblPiNAnalysis[[#This Row],[VBG]]/tblPiNAnalysis[[#This Row],[Población]], 0.05), "")</f>
        <v>0.05</v>
      </c>
      <c r="Y26" s="91">
        <f>IFERROR(LARGE(tblPiNAnalysis[[#This Row],[SAMV]:[ASH]], 1), "")</f>
        <v>81194.615000000005</v>
      </c>
      <c r="Z26" s="92" t="str" cm="1">
        <f t="array" ref="Z26">IF(tblPiNAnalysis[[#This Row],[PiN más alto]]="", "", _xlfn.TEXTJOIN(CHAR(10), TRUE, IF(tblPiNAnalysis[[#This Row],[PiN más alto]]=tblPiNAnalysis[[#This Row],[SAMV]:[ASH]], tblPiNAnalysis[[#Headers],[SAMV]:[ASH]], "")))</f>
        <v>SAL</v>
      </c>
      <c r="AA26" s="93">
        <f>IF(tblPiNAnalysis[[#This Row],[PiN más alto]]="", "", tblPiNAnalysis[[#This Row],[PiN más alto]]/tblPiNAnalysis[[#This Row],[Población]])</f>
        <v>0.36500000000000005</v>
      </c>
      <c r="AB26" s="94" t="str">
        <f>IF(SUM(tblPiNAnalysis[[#This Row],[SAMV]:[ASH]])=0, "",IF(COUNTIF(tblPiNAnalysis[[#This Row],[SAMV]:[ASH]],"=0")+COUNTIF(tblPiNAnalysis[[#This Row],[SAMV]:[ASH]],"")&gt;=zero_pin_thresh, "Flagged", ""))</f>
        <v/>
      </c>
      <c r="AC26" s="95" t="str">
        <f>IFERROR(IF(tblPiNAnalysis[[#This Row],[PiN más alto]]="", "", IF(tblPiNAnalysis[[#This Row],[% PiN Sectores más altos]]&gt;=flag_pin_perc, "Flagged", "")), "")</f>
        <v/>
      </c>
      <c r="AD26" s="96" t="str" cm="1">
        <f t="array" ref="AD26">IF(tblPiNAnalysis[[#This Row],[PiN más alto]]=0, "",  IF(OR(COUNTIF(tblPiNAnalysis[[#This Row],[Sectores más altos]],tblSubSectorPopulation[Sector])), "Flagged", ""))</f>
        <v/>
      </c>
      <c r="AE26" s="16" cm="1">
        <f t="array" ref="AE2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48872</v>
      </c>
      <c r="AF26" s="97" t="str" cm="1">
        <f t="array" ref="AF26">IF(tblPiNAnalysis[[#This Row],[2º PiN más alto]]="", "", _xlfn.TEXTJOIN(CHAR(10), TRUE, IF(tblPiNAnalysis[[#This Row],[2º PiN más alto]]=tblPiNAnalysis[[#This Row],[SAMV]:[ASH]], tblPiNAnalysis[[#Headers],[SAMV]:[ASH]], "")))</f>
        <v>SAMV</v>
      </c>
      <c r="AG26" s="12">
        <f>IFERROR(tblPiNAnalysis[[#This Row],[2º PiN más alto]]/tblPiNAnalysis[[#This Row],[Población]], "")</f>
        <v>0.21969782109318456</v>
      </c>
      <c r="AH26" s="16">
        <f>IFERROR(tblPiNAnalysis[[#This Row],[PiN más alto]]-tblPiNAnalysis[[#This Row],[2º PiN más alto]], "")</f>
        <v>32322.615000000005</v>
      </c>
      <c r="AI26" s="14">
        <f>IFERROR(((tblPiNAnalysis[[#This Row],[PiN más alto]]-tblPiNAnalysis[[#This Row],[2º PiN más alto]])/tblPiNAnalysis[[#This Row],[2º PiN más alto]]),"")</f>
        <v>0.6613728719921429</v>
      </c>
      <c r="AJ26" s="14" t="str" cm="1">
        <f t="array" ref="AJ2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6" s="98" cm="1">
        <f t="array" ref="AK2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37209.959199669524</v>
      </c>
      <c r="AL26" s="53" t="str" cm="1">
        <f t="array" ref="AL26">IF(tblPiNAnalysis[[#This Row],[3º PiN más alto]]="", "", _xlfn.TEXTJOIN(CHAR(10), TRUE, IF(tblPiNAnalysis[[#This Row],[3º PiN más alto]]=tblPiNAnalysis[[#This Row],[SAMV]:[ASH]], tblPiNAnalysis[[#Headers],[SAMV]:[ASH]], "")))</f>
        <v>PRO</v>
      </c>
      <c r="AM26" s="53">
        <f>IFERROR(tblPiNAnalysis[[#This Row],[3º PiN más alto]]/tblPiNAnalysis[[#This Row],[Población]], "")</f>
        <v>0.16727260924729276</v>
      </c>
      <c r="AN26" s="15">
        <f>IFERROR(tblPiNAnalysis[[#This Row],[PiN más alto]]-tblPiNAnalysis[[#This Row],[3º PiN más alto]],"")</f>
        <v>43984.655800330482</v>
      </c>
      <c r="AO26" s="14">
        <f>IFERROR(tblPiNAnalysis[[#This Row],[Diferencia de PiN entre el más alto y el 3º más alto]]/tblPiNAnalysis[[#This Row],[3º PiN más alto]], "")</f>
        <v>1.182066757028885</v>
      </c>
      <c r="AP26" s="96" t="str" cm="1">
        <f t="array" ref="AP2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6" s="84" cm="1">
        <f t="array" ref="AQ26">IFERROR(IF(tblPiNAnalysis[[#This Row],[ID]]="", "", INDEX(tblPiNHistorical[[SAMV]:[ASH]], MATCH(tblPiNAnalysis[[#This Row],[ID]],tblPiNHistorical[ID], 0),MATCH(_xlfn._xlws.FILTER(tblPiNAnalysis[[#Headers],[SAMV]:[ASH]], tblPiNAnalysis[[#This Row],[PiN más alto]]=tblPiNAnalysis[[#This Row],[SAMV]:[ASH]]), tblPiNHistorical[[#Headers],[SAMV]:[ASH]], 0))), "")</f>
        <v>-0.8</v>
      </c>
      <c r="AR26" s="99" t="str" cm="1">
        <f t="array" ref="AR2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6" s="74" cm="1">
        <f t="array" ref="AS26">IFERROR(IF(tblPiNAnalysis[[#This Row],[ID]]="", "", INDEX(tblPiNHistorical[[SAMV]:[ASH]], MATCH(tblPiNAnalysis[[#This Row],[ID]],tblPiNHistorical[ID], 0),MATCH(_xlfn._xlws.FILTER(tblPiNAnalysis[[#Headers],[SAMV]:[ASH]], tblPiNAnalysis[[#This Row],[2º PiN más alto]]=tblPiNAnalysis[[#This Row],[SAMV]:[ASH]]), tblPiNHistorical[[#Headers],[SAMV]:[ASH]], 0))), "")</f>
        <v>-0.7</v>
      </c>
      <c r="AT26" s="100" t="str" cm="1">
        <f t="array" ref="AT2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6" s="219">
        <f>INDEX(tblSeverityAnalysis[Severidad final], MATCH(tblPiNAnalysis[[#This Row],[ID]],tblSeverityAnalysis[ID], 0))</f>
        <v>3</v>
      </c>
      <c r="AV26" s="220">
        <f>IF(tblPiNAnalysis[[#This Row],[Severidad]]&gt;2,tblPiNAnalysis[[#This Row],[PiN más alto]],)</f>
        <v>81194.615000000005</v>
      </c>
      <c r="AW26" s="54"/>
      <c r="AX26" s="55"/>
      <c r="AY26" s="56">
        <f>COUNTIFS(tblPiNAnalysis[[#This Row],[Número de PiN ausentes/cero superior al umbral - Calidad de los datos]:[Marcador manual]],"Flagged")</f>
        <v>2</v>
      </c>
      <c r="AZ26" s="34" t="str">
        <f>IF(tblPiNAnalysis[[#This Row],[Número de marcadores]]&gt;0, "Flagged", "")</f>
        <v>Flagged</v>
      </c>
      <c r="BA26" s="92">
        <f>tblPiNAnalysis[[#This Row],[PiN preliminar]]</f>
        <v>81194.615000000005</v>
      </c>
      <c r="BB26" s="97"/>
      <c r="BC26" s="70">
        <f>IFERROR(IF(tblPiNAnalysis[[#This Row],[Severidad]]=3,tblPiNAnalysis[[#This Row],[PiN final]]*Umbrales!$D$33,tblPiNAnalysis[[#This Row],[PiN final]]*Umbrales!$D$34),)</f>
        <v>40597.307500000003</v>
      </c>
      <c r="BD26" s="70">
        <f>IFERROR(IF(tblPiNAnalysis[[#This Row],[Severidad]]&gt;3,tblPiNAnalysis[[#This Row],[PiN final]]*Umbrales!$D$34,),)</f>
        <v>0</v>
      </c>
    </row>
    <row r="27" spans="1:56">
      <c r="A27" s="101" t="str">
        <f>IFERROR(_xlfn.CONCAT(IF(tblPiNAnalysis[[#This Row],[Grupo]]="", "",tblPiNAnalysis[[#This Row],[Grupo]] ),  _xlfn.IFS(tblPiNAnalysis[[#This Row],[Admin2PCODE]]&lt;&gt;"", tblPiNAnalysis[[#This Row],[Admin2PCODE]], tblPiNAnalysis[[#This Row],[Admin1PCODE]]&lt;&gt;"", tblPiNAnalysis[[#This Row],[Admin1PCODE]])),"")</f>
        <v>VenezolanosVE1114</v>
      </c>
      <c r="B27" s="105" t="s">
        <v>316</v>
      </c>
      <c r="C27" s="104" t="s">
        <v>317</v>
      </c>
      <c r="D27" s="119" t="s">
        <v>276</v>
      </c>
      <c r="E27" s="104" t="s">
        <v>342</v>
      </c>
      <c r="F27" s="358"/>
      <c r="G27" s="357">
        <v>216316</v>
      </c>
      <c r="H27" s="103" t="s">
        <v>102</v>
      </c>
      <c r="I27" s="60">
        <v>60234</v>
      </c>
      <c r="J27" s="134">
        <v>13084.568833454498</v>
      </c>
      <c r="K27" s="57">
        <v>78955.34</v>
      </c>
      <c r="L27" s="87">
        <v>18116.337224203919</v>
      </c>
      <c r="M27" s="87">
        <v>51769.906793867834</v>
      </c>
      <c r="N27" s="57">
        <v>0</v>
      </c>
      <c r="O27" s="57">
        <v>16566.370174037707</v>
      </c>
      <c r="P27" s="57">
        <v>18119.46737785374</v>
      </c>
      <c r="Q27" s="88">
        <f>IFERROR(IF(tblPiNAnalysis[[#This Row],[SAMV]]="", "", MROUND(tblPiNAnalysis[[#This Row],[SAMV]]/tblPiNAnalysis[[#This Row],[Población]], 0.05)), "")</f>
        <v>0.30000000000000004</v>
      </c>
      <c r="R27" s="89">
        <f>IFERROR(IF(tblPiNAnalysis[[#This Row],[NUT]]="", "", MROUND(tblPiNAnalysis[[#This Row],[NUT]]/tblPiNAnalysis[[#This Row],[Población]], 0.05)), "")</f>
        <v>0.05</v>
      </c>
      <c r="S27" s="89">
        <f>IFERROR(IF(tblPiNAnalysis[[#This Row],[SAL]]="", "", MROUND(tblPiNAnalysis[[#This Row],[SAL]]/tblPiNAnalysis[[#This Row],[Población]], 0.05)), "")</f>
        <v>0.35000000000000003</v>
      </c>
      <c r="T27" s="89">
        <f>IFERROR(IF(tblPiNAnalysis[[#This Row],[EDU]]="", "", MROUND(tblPiNAnalysis[[#This Row],[EDU]]/tblPiNAnalysis[[#This Row],[Población]], 0.05)), "")</f>
        <v>0.1</v>
      </c>
      <c r="U27" s="89">
        <f>IFERROR(IF(tblPiNAnalysis[[#This Row],[PRO]]="", "", MROUND(tblPiNAnalysis[[#This Row],[PRO]]/tblPiNAnalysis[[#This Row],[Población]], 0.05)), "")</f>
        <v>0.25</v>
      </c>
      <c r="V27" s="90">
        <f>IFERROR(IF(tblPiNAnalysis[[#This Row],[ASH]]="", "", MROUND(tblPiNAnalysis[[#This Row],[ASH]]/tblPiNAnalysis[[#This Row],[Población]], 0.05)), "")</f>
        <v>0</v>
      </c>
      <c r="W27" s="89">
        <f>IFERROR(MROUND(tblPiNAnalysis[[#This Row],[NNA]]/tblPiNAnalysis[[#This Row],[Población]], 0.05), "")</f>
        <v>0.1</v>
      </c>
      <c r="X27" s="89">
        <f>IFERROR(MROUND(tblPiNAnalysis[[#This Row],[VBG]]/tblPiNAnalysis[[#This Row],[Población]], 0.05), "")</f>
        <v>0.1</v>
      </c>
      <c r="Y27" s="91">
        <f>IFERROR(LARGE(tblPiNAnalysis[[#This Row],[SAMV]:[ASH]], 1), "")</f>
        <v>78955.34</v>
      </c>
      <c r="Z27" s="92" t="str" cm="1">
        <f t="array" ref="Z27">IF(tblPiNAnalysis[[#This Row],[PiN más alto]]="", "", _xlfn.TEXTJOIN(CHAR(10), TRUE, IF(tblPiNAnalysis[[#This Row],[PiN más alto]]=tblPiNAnalysis[[#This Row],[SAMV]:[ASH]], tblPiNAnalysis[[#Headers],[SAMV]:[ASH]], "")))</f>
        <v>SAL</v>
      </c>
      <c r="AA27" s="93">
        <f>IF(tblPiNAnalysis[[#This Row],[PiN más alto]]="", "", tblPiNAnalysis[[#This Row],[PiN más alto]]/tblPiNAnalysis[[#This Row],[Población]])</f>
        <v>0.36499999999999999</v>
      </c>
      <c r="AB27" s="94" t="str">
        <f>IF(SUM(tblPiNAnalysis[[#This Row],[SAMV]:[ASH]])=0, "",IF(COUNTIF(tblPiNAnalysis[[#This Row],[SAMV]:[ASH]],"=0")+COUNTIF(tblPiNAnalysis[[#This Row],[SAMV]:[ASH]],"")&gt;=zero_pin_thresh, "Flagged", ""))</f>
        <v/>
      </c>
      <c r="AC27" s="95" t="str">
        <f>IFERROR(IF(tblPiNAnalysis[[#This Row],[PiN más alto]]="", "", IF(tblPiNAnalysis[[#This Row],[% PiN Sectores más altos]]&gt;=flag_pin_perc, "Flagged", "")), "")</f>
        <v/>
      </c>
      <c r="AD27" s="96" t="str" cm="1">
        <f t="array" ref="AD27">IF(tblPiNAnalysis[[#This Row],[PiN más alto]]=0, "",  IF(OR(COUNTIF(tblPiNAnalysis[[#This Row],[Sectores más altos]],tblSubSectorPopulation[Sector])), "Flagged", ""))</f>
        <v/>
      </c>
      <c r="AE27" s="16" cm="1">
        <f t="array" ref="AE2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60234</v>
      </c>
      <c r="AF27" s="97" t="str" cm="1">
        <f t="array" ref="AF27">IF(tblPiNAnalysis[[#This Row],[2º PiN más alto]]="", "", _xlfn.TEXTJOIN(CHAR(10), TRUE, IF(tblPiNAnalysis[[#This Row],[2º PiN más alto]]=tblPiNAnalysis[[#This Row],[SAMV]:[ASH]], tblPiNAnalysis[[#Headers],[SAMV]:[ASH]], "")))</f>
        <v>SAMV</v>
      </c>
      <c r="AG27" s="12">
        <f>IFERROR(tblPiNAnalysis[[#This Row],[2º PiN más alto]]/tblPiNAnalysis[[#This Row],[Población]], "")</f>
        <v>0.27845374359732983</v>
      </c>
      <c r="AH27" s="16">
        <f>IFERROR(tblPiNAnalysis[[#This Row],[PiN más alto]]-tblPiNAnalysis[[#This Row],[2º PiN más alto]], "")</f>
        <v>18721.339999999997</v>
      </c>
      <c r="AI27" s="14">
        <f>IFERROR(((tblPiNAnalysis[[#This Row],[PiN más alto]]-tblPiNAnalysis[[#This Row],[2º PiN más alto]])/tblPiNAnalysis[[#This Row],[2º PiN más alto]]),"")</f>
        <v>0.31081017365607461</v>
      </c>
      <c r="AJ27" s="14" t="str" cm="1">
        <f t="array" ref="AJ2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7" s="98" cm="1">
        <f t="array" ref="AK2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51769.906793867834</v>
      </c>
      <c r="AL27" s="53" t="str" cm="1">
        <f t="array" ref="AL27">IF(tblPiNAnalysis[[#This Row],[3º PiN más alto]]="", "", _xlfn.TEXTJOIN(CHAR(10), TRUE, IF(tblPiNAnalysis[[#This Row],[3º PiN más alto]]=tblPiNAnalysis[[#This Row],[SAMV]:[ASH]], tblPiNAnalysis[[#Headers],[SAMV]:[ASH]], "")))</f>
        <v>PRO</v>
      </c>
      <c r="AM27" s="53">
        <f>IFERROR(tblPiNAnalysis[[#This Row],[3º PiN más alto]]/tblPiNAnalysis[[#This Row],[Población]], "")</f>
        <v>0.23932537026326223</v>
      </c>
      <c r="AN27" s="15">
        <f>IFERROR(tblPiNAnalysis[[#This Row],[PiN más alto]]-tblPiNAnalysis[[#This Row],[3º PiN más alto]],"")</f>
        <v>27185.433206132162</v>
      </c>
      <c r="AO27" s="14">
        <f>IFERROR(tblPiNAnalysis[[#This Row],[Diferencia de PiN entre el más alto y el 3º más alto]]/tblPiNAnalysis[[#This Row],[3º PiN más alto]], "")</f>
        <v>0.52512038150612017</v>
      </c>
      <c r="AP27" s="96" t="str" cm="1">
        <f t="array" ref="AP2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7" s="84" cm="1">
        <f t="array" ref="AQ27">IFERROR(IF(tblPiNAnalysis[[#This Row],[ID]]="", "", INDEX(tblPiNHistorical[[SAMV]:[ASH]], MATCH(tblPiNAnalysis[[#This Row],[ID]],tblPiNHistorical[ID], 0),MATCH(_xlfn._xlws.FILTER(tblPiNAnalysis[[#Headers],[SAMV]:[ASH]], tblPiNAnalysis[[#This Row],[PiN más alto]]=tblPiNAnalysis[[#This Row],[SAMV]:[ASH]]), tblPiNHistorical[[#Headers],[SAMV]:[ASH]], 0))), "")</f>
        <v>-0.8</v>
      </c>
      <c r="AR27" s="99" t="str" cm="1">
        <f t="array" ref="AR2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7" s="74" cm="1">
        <f t="array" ref="AS27">IFERROR(IF(tblPiNAnalysis[[#This Row],[ID]]="", "", INDEX(tblPiNHistorical[[SAMV]:[ASH]], MATCH(tblPiNAnalysis[[#This Row],[ID]],tblPiNHistorical[ID], 0),MATCH(_xlfn._xlws.FILTER(tblPiNAnalysis[[#Headers],[SAMV]:[ASH]], tblPiNAnalysis[[#This Row],[2º PiN más alto]]=tblPiNAnalysis[[#This Row],[SAMV]:[ASH]]), tblPiNHistorical[[#Headers],[SAMV]:[ASH]], 0))), "")</f>
        <v>-0.8</v>
      </c>
      <c r="AT27" s="100" t="str" cm="1">
        <f t="array" ref="AT2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7" s="219">
        <f>INDEX(tblSeverityAnalysis[Severidad final], MATCH(tblPiNAnalysis[[#This Row],[ID]],tblSeverityAnalysis[ID], 0))</f>
        <v>3</v>
      </c>
      <c r="AV27" s="220">
        <f>IF(tblPiNAnalysis[[#This Row],[Severidad]]&gt;2,tblPiNAnalysis[[#This Row],[PiN más alto]],)</f>
        <v>78955.34</v>
      </c>
      <c r="AW27" s="54"/>
      <c r="AX27" s="55"/>
      <c r="AY27" s="56">
        <f>COUNTIFS(tblPiNAnalysis[[#This Row],[Número de PiN ausentes/cero superior al umbral - Calidad de los datos]:[Marcador manual]],"Flagged")</f>
        <v>2</v>
      </c>
      <c r="AZ27" s="34" t="str">
        <f>IF(tblPiNAnalysis[[#This Row],[Número de marcadores]]&gt;0, "Flagged", "")</f>
        <v>Flagged</v>
      </c>
      <c r="BA27" s="92">
        <f>tblPiNAnalysis[[#This Row],[PiN preliminar]]</f>
        <v>78955.34</v>
      </c>
      <c r="BB27" s="97"/>
      <c r="BC27" s="70">
        <f>IFERROR(IF(tblPiNAnalysis[[#This Row],[Severidad]]=3,tblPiNAnalysis[[#This Row],[PiN final]]*Umbrales!$D$33,tblPiNAnalysis[[#This Row],[PiN final]]*Umbrales!$D$34),)</f>
        <v>39477.67</v>
      </c>
      <c r="BD27" s="70">
        <f>IFERROR(IF(tblPiNAnalysis[[#This Row],[Severidad]]&gt;3,tblPiNAnalysis[[#This Row],[PiN final]]*Umbrales!$D$34,),)</f>
        <v>0</v>
      </c>
    </row>
    <row r="28" spans="1:56">
      <c r="A28" s="101" t="str">
        <f>IFERROR(_xlfn.CONCAT(IF(tblPiNAnalysis[[#This Row],[Grupo]]="", "",tblPiNAnalysis[[#This Row],[Grupo]] ),  _xlfn.IFS(tblPiNAnalysis[[#This Row],[Admin2PCODE]]&lt;&gt;"", tblPiNAnalysis[[#This Row],[Admin2PCODE]], tblPiNAnalysis[[#This Row],[Admin1PCODE]]&lt;&gt;"", tblPiNAnalysis[[#This Row],[Admin1PCODE]])),"")</f>
        <v>VenezolanosVE2310</v>
      </c>
      <c r="B28" s="105" t="s">
        <v>705</v>
      </c>
      <c r="C28" s="104" t="s">
        <v>706</v>
      </c>
      <c r="D28" s="119" t="s">
        <v>725</v>
      </c>
      <c r="E28" s="104" t="s">
        <v>726</v>
      </c>
      <c r="F28" s="358"/>
      <c r="G28" s="357">
        <v>208025</v>
      </c>
      <c r="H28" s="103" t="s">
        <v>102</v>
      </c>
      <c r="I28" s="60">
        <v>30285</v>
      </c>
      <c r="J28" s="134">
        <v>9525.9719389903403</v>
      </c>
      <c r="K28" s="57">
        <v>75929.125</v>
      </c>
      <c r="L28" s="87">
        <v>36216.495686004047</v>
      </c>
      <c r="M28" s="87">
        <v>49581.218778502669</v>
      </c>
      <c r="N28" s="57">
        <v>28083.375</v>
      </c>
      <c r="O28" s="57">
        <v>15865.990009120855</v>
      </c>
      <c r="P28" s="57">
        <v>17353.426572475935</v>
      </c>
      <c r="Q28" s="88">
        <f>IFERROR(IF(tblPiNAnalysis[[#This Row],[SAMV]]="", "", MROUND(tblPiNAnalysis[[#This Row],[SAMV]]/tblPiNAnalysis[[#This Row],[Población]], 0.05)), "")</f>
        <v>0.15000000000000002</v>
      </c>
      <c r="R28" s="89">
        <f>IFERROR(IF(tblPiNAnalysis[[#This Row],[NUT]]="", "", MROUND(tblPiNAnalysis[[#This Row],[NUT]]/tblPiNAnalysis[[#This Row],[Población]], 0.05)), "")</f>
        <v>0.05</v>
      </c>
      <c r="S28" s="89">
        <f>IFERROR(IF(tblPiNAnalysis[[#This Row],[SAL]]="", "", MROUND(tblPiNAnalysis[[#This Row],[SAL]]/tblPiNAnalysis[[#This Row],[Población]], 0.05)), "")</f>
        <v>0.35000000000000003</v>
      </c>
      <c r="T28" s="89">
        <f>IFERROR(IF(tblPiNAnalysis[[#This Row],[EDU]]="", "", MROUND(tblPiNAnalysis[[#This Row],[EDU]]/tblPiNAnalysis[[#This Row],[Población]], 0.05)), "")</f>
        <v>0.15000000000000002</v>
      </c>
      <c r="U28" s="89">
        <f>IFERROR(IF(tblPiNAnalysis[[#This Row],[PRO]]="", "", MROUND(tblPiNAnalysis[[#This Row],[PRO]]/tblPiNAnalysis[[#This Row],[Población]], 0.05)), "")</f>
        <v>0.25</v>
      </c>
      <c r="V28" s="90">
        <f>IFERROR(IF(tblPiNAnalysis[[#This Row],[ASH]]="", "", MROUND(tblPiNAnalysis[[#This Row],[ASH]]/tblPiNAnalysis[[#This Row],[Población]], 0.05)), "")</f>
        <v>0.15000000000000002</v>
      </c>
      <c r="W28" s="89">
        <f>IFERROR(MROUND(tblPiNAnalysis[[#This Row],[NNA]]/tblPiNAnalysis[[#This Row],[Población]], 0.05), "")</f>
        <v>0.1</v>
      </c>
      <c r="X28" s="89">
        <f>IFERROR(MROUND(tblPiNAnalysis[[#This Row],[VBG]]/tblPiNAnalysis[[#This Row],[Población]], 0.05), "")</f>
        <v>0.1</v>
      </c>
      <c r="Y28" s="91">
        <f>IFERROR(LARGE(tblPiNAnalysis[[#This Row],[SAMV]:[ASH]], 1), "")</f>
        <v>75929.125</v>
      </c>
      <c r="Z28" s="92" t="str" cm="1">
        <f t="array" ref="Z28">IF(tblPiNAnalysis[[#This Row],[PiN más alto]]="", "", _xlfn.TEXTJOIN(CHAR(10), TRUE, IF(tblPiNAnalysis[[#This Row],[PiN más alto]]=tblPiNAnalysis[[#This Row],[SAMV]:[ASH]], tblPiNAnalysis[[#Headers],[SAMV]:[ASH]], "")))</f>
        <v>SAL</v>
      </c>
      <c r="AA28" s="93">
        <f>IF(tblPiNAnalysis[[#This Row],[PiN más alto]]="", "", tblPiNAnalysis[[#This Row],[PiN más alto]]/tblPiNAnalysis[[#This Row],[Población]])</f>
        <v>0.36499999999999999</v>
      </c>
      <c r="AB28" s="94" t="str">
        <f>IF(SUM(tblPiNAnalysis[[#This Row],[SAMV]:[ASH]])=0, "",IF(COUNTIF(tblPiNAnalysis[[#This Row],[SAMV]:[ASH]],"=0")+COUNTIF(tblPiNAnalysis[[#This Row],[SAMV]:[ASH]],"")&gt;=zero_pin_thresh, "Flagged", ""))</f>
        <v/>
      </c>
      <c r="AC28" s="95" t="str">
        <f>IFERROR(IF(tblPiNAnalysis[[#This Row],[PiN más alto]]="", "", IF(tblPiNAnalysis[[#This Row],[% PiN Sectores más altos]]&gt;=flag_pin_perc, "Flagged", "")), "")</f>
        <v/>
      </c>
      <c r="AD28" s="96" t="str" cm="1">
        <f t="array" ref="AD28">IF(tblPiNAnalysis[[#This Row],[PiN más alto]]=0, "",  IF(OR(COUNTIF(tblPiNAnalysis[[#This Row],[Sectores más altos]],tblSubSectorPopulation[Sector])), "Flagged", ""))</f>
        <v/>
      </c>
      <c r="AE28" s="16" cm="1">
        <f t="array" ref="AE2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49581.218778502669</v>
      </c>
      <c r="AF28" s="97" t="str" cm="1">
        <f t="array" ref="AF28">IF(tblPiNAnalysis[[#This Row],[2º PiN más alto]]="", "", _xlfn.TEXTJOIN(CHAR(10), TRUE, IF(tblPiNAnalysis[[#This Row],[2º PiN más alto]]=tblPiNAnalysis[[#This Row],[SAMV]:[ASH]], tblPiNAnalysis[[#Headers],[SAMV]:[ASH]], "")))</f>
        <v>PRO</v>
      </c>
      <c r="AG28" s="12">
        <f>IFERROR(tblPiNAnalysis[[#This Row],[2º PiN más alto]]/tblPiNAnalysis[[#This Row],[Población]], "")</f>
        <v>0.23834259718064016</v>
      </c>
      <c r="AH28" s="16">
        <f>IFERROR(tblPiNAnalysis[[#This Row],[PiN más alto]]-tblPiNAnalysis[[#This Row],[2º PiN más alto]], "")</f>
        <v>26347.906221497331</v>
      </c>
      <c r="AI28" s="14">
        <f>IFERROR(((tblPiNAnalysis[[#This Row],[PiN más alto]]-tblPiNAnalysis[[#This Row],[2º PiN más alto]])/tblPiNAnalysis[[#This Row],[2º PiN más alto]]),"")</f>
        <v>0.53140900668866187</v>
      </c>
      <c r="AJ28" s="14" t="str" cm="1">
        <f t="array" ref="AJ2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8" s="98" cm="1">
        <f t="array" ref="AK2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36216.495686004047</v>
      </c>
      <c r="AL28" s="53" t="str" cm="1">
        <f t="array" ref="AL28">IF(tblPiNAnalysis[[#This Row],[3º PiN más alto]]="", "", _xlfn.TEXTJOIN(CHAR(10), TRUE, IF(tblPiNAnalysis[[#This Row],[3º PiN más alto]]=tblPiNAnalysis[[#This Row],[SAMV]:[ASH]], tblPiNAnalysis[[#Headers],[SAMV]:[ASH]], "")))</f>
        <v>EDU</v>
      </c>
      <c r="AM28" s="53">
        <f>IFERROR(tblPiNAnalysis[[#This Row],[3º PiN más alto]]/tblPiNAnalysis[[#This Row],[Población]], "")</f>
        <v>0.17409684261989689</v>
      </c>
      <c r="AN28" s="15">
        <f>IFERROR(tblPiNAnalysis[[#This Row],[PiN más alto]]-tblPiNAnalysis[[#This Row],[3º PiN más alto]],"")</f>
        <v>39712.629313995953</v>
      </c>
      <c r="AO28" s="14">
        <f>IFERROR(tblPiNAnalysis[[#This Row],[Diferencia de PiN entre el más alto y el 3º más alto]]/tblPiNAnalysis[[#This Row],[3º PiN más alto]], "")</f>
        <v>1.0965342880852769</v>
      </c>
      <c r="AP28" s="96" t="str" cm="1">
        <f t="array" ref="AP2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8" s="84" cm="1">
        <f t="array" ref="AQ28">IFERROR(IF(tblPiNAnalysis[[#This Row],[ID]]="", "", INDEX(tblPiNHistorical[[SAMV]:[ASH]], MATCH(tblPiNAnalysis[[#This Row],[ID]],tblPiNHistorical[ID], 0),MATCH(_xlfn._xlws.FILTER(tblPiNAnalysis[[#Headers],[SAMV]:[ASH]], tblPiNAnalysis[[#This Row],[PiN más alto]]=tblPiNAnalysis[[#This Row],[SAMV]:[ASH]]), tblPiNHistorical[[#Headers],[SAMV]:[ASH]], 0))), "")</f>
        <v>-0.8</v>
      </c>
      <c r="AR28" s="99" t="str" cm="1">
        <f t="array" ref="AR2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8" s="74" cm="1">
        <f t="array" ref="AS28">IFERROR(IF(tblPiNAnalysis[[#This Row],[ID]]="", "", INDEX(tblPiNHistorical[[SAMV]:[ASH]], MATCH(tblPiNAnalysis[[#This Row],[ID]],tblPiNHistorical[ID], 0),MATCH(_xlfn._xlws.FILTER(tblPiNAnalysis[[#Headers],[SAMV]:[ASH]], tblPiNAnalysis[[#This Row],[2º PiN más alto]]=tblPiNAnalysis[[#This Row],[SAMV]:[ASH]]), tblPiNHistorical[[#Headers],[SAMV]:[ASH]], 0))), "")</f>
        <v>-1</v>
      </c>
      <c r="AT28" s="100" t="str" cm="1">
        <f t="array" ref="AT2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8" s="219">
        <f>INDEX(tblSeverityAnalysis[Severidad final], MATCH(tblPiNAnalysis[[#This Row],[ID]],tblSeverityAnalysis[ID], 0))</f>
        <v>3</v>
      </c>
      <c r="AV28" s="220">
        <f>IF(tblPiNAnalysis[[#This Row],[Severidad]]&gt;2,tblPiNAnalysis[[#This Row],[PiN más alto]],)</f>
        <v>75929.125</v>
      </c>
      <c r="AW28" s="54"/>
      <c r="AX28" s="55"/>
      <c r="AY28" s="56">
        <f>COUNTIFS(tblPiNAnalysis[[#This Row],[Número de PiN ausentes/cero superior al umbral - Calidad de los datos]:[Marcador manual]],"Flagged")</f>
        <v>3</v>
      </c>
      <c r="AZ28" s="34" t="str">
        <f>IF(tblPiNAnalysis[[#This Row],[Número de marcadores]]&gt;0, "Flagged", "")</f>
        <v>Flagged</v>
      </c>
      <c r="BA28" s="92">
        <f>tblPiNAnalysis[[#This Row],[PiN preliminar]]</f>
        <v>75929.125</v>
      </c>
      <c r="BB28" s="97"/>
      <c r="BC28" s="70">
        <f>IFERROR(IF(tblPiNAnalysis[[#This Row],[Severidad]]=3,tblPiNAnalysis[[#This Row],[PiN final]]*Umbrales!$D$33,tblPiNAnalysis[[#This Row],[PiN final]]*Umbrales!$D$34),)</f>
        <v>37964.5625</v>
      </c>
      <c r="BD28" s="70">
        <f>IFERROR(IF(tblPiNAnalysis[[#This Row],[Severidad]]&gt;3,tblPiNAnalysis[[#This Row],[PiN final]]*Umbrales!$D$34,),)</f>
        <v>0</v>
      </c>
    </row>
    <row r="29" spans="1:56">
      <c r="A29" s="101" t="str">
        <f>IFERROR(_xlfn.CONCAT(IF(tblPiNAnalysis[[#This Row],[Grupo]]="", "",tblPiNAnalysis[[#This Row],[Grupo]] ),  _xlfn.IFS(tblPiNAnalysis[[#This Row],[Admin2PCODE]]&lt;&gt;"", tblPiNAnalysis[[#This Row],[Admin2PCODE]], tblPiNAnalysis[[#This Row],[Admin1PCODE]]&lt;&gt;"", tblPiNAnalysis[[#This Row],[Admin1PCODE]])),"")</f>
        <v>VenezolanosVE2307</v>
      </c>
      <c r="B29" s="105" t="s">
        <v>705</v>
      </c>
      <c r="C29" s="104" t="s">
        <v>706</v>
      </c>
      <c r="D29" s="119" t="s">
        <v>805</v>
      </c>
      <c r="E29" s="104" t="s">
        <v>720</v>
      </c>
      <c r="F29" s="358"/>
      <c r="G29" s="357">
        <v>121430</v>
      </c>
      <c r="H29" s="103" t="s">
        <v>102</v>
      </c>
      <c r="I29" s="60">
        <v>8260</v>
      </c>
      <c r="J29" s="134">
        <v>12507.198520837803</v>
      </c>
      <c r="K29" s="57">
        <v>44321.95</v>
      </c>
      <c r="L29" s="87">
        <v>18768.889521901765</v>
      </c>
      <c r="M29" s="87">
        <v>28941.941575645134</v>
      </c>
      <c r="N29" s="57">
        <v>72858</v>
      </c>
      <c r="O29" s="57">
        <v>9290.3632457820895</v>
      </c>
      <c r="P29" s="57">
        <v>10129.679551475796</v>
      </c>
      <c r="Q29" s="88">
        <f>IFERROR(IF(tblPiNAnalysis[[#This Row],[SAMV]]="", "", MROUND(tblPiNAnalysis[[#This Row],[SAMV]]/tblPiNAnalysis[[#This Row],[Población]], 0.05)), "")</f>
        <v>0.05</v>
      </c>
      <c r="R29" s="89">
        <f>IFERROR(IF(tblPiNAnalysis[[#This Row],[NUT]]="", "", MROUND(tblPiNAnalysis[[#This Row],[NUT]]/tblPiNAnalysis[[#This Row],[Población]], 0.05)), "")</f>
        <v>0.1</v>
      </c>
      <c r="S29" s="89">
        <f>IFERROR(IF(tblPiNAnalysis[[#This Row],[SAL]]="", "", MROUND(tblPiNAnalysis[[#This Row],[SAL]]/tblPiNAnalysis[[#This Row],[Población]], 0.05)), "")</f>
        <v>0.35000000000000003</v>
      </c>
      <c r="T29" s="89">
        <f>IFERROR(IF(tblPiNAnalysis[[#This Row],[EDU]]="", "", MROUND(tblPiNAnalysis[[#This Row],[EDU]]/tblPiNAnalysis[[#This Row],[Población]], 0.05)), "")</f>
        <v>0.15000000000000002</v>
      </c>
      <c r="U29" s="89">
        <f>IFERROR(IF(tblPiNAnalysis[[#This Row],[PRO]]="", "", MROUND(tblPiNAnalysis[[#This Row],[PRO]]/tblPiNAnalysis[[#This Row],[Población]], 0.05)), "")</f>
        <v>0.25</v>
      </c>
      <c r="V29" s="90">
        <f>IFERROR(IF(tblPiNAnalysis[[#This Row],[ASH]]="", "", MROUND(tblPiNAnalysis[[#This Row],[ASH]]/tblPiNAnalysis[[#This Row],[Población]], 0.05)), "")</f>
        <v>0.60000000000000009</v>
      </c>
      <c r="W29" s="89">
        <f>IFERROR(MROUND(tblPiNAnalysis[[#This Row],[NNA]]/tblPiNAnalysis[[#This Row],[Población]], 0.05), "")</f>
        <v>0.1</v>
      </c>
      <c r="X29" s="89">
        <f>IFERROR(MROUND(tblPiNAnalysis[[#This Row],[VBG]]/tblPiNAnalysis[[#This Row],[Población]], 0.05), "")</f>
        <v>0.1</v>
      </c>
      <c r="Y29" s="91">
        <f>IFERROR(LARGE(tblPiNAnalysis[[#This Row],[SAMV]:[ASH]], 1), "")</f>
        <v>72858</v>
      </c>
      <c r="Z29" s="92" t="str" cm="1">
        <f t="array" ref="Z29">IF(tblPiNAnalysis[[#This Row],[PiN más alto]]="", "", _xlfn.TEXTJOIN(CHAR(10), TRUE, IF(tblPiNAnalysis[[#This Row],[PiN más alto]]=tblPiNAnalysis[[#This Row],[SAMV]:[ASH]], tblPiNAnalysis[[#Headers],[SAMV]:[ASH]], "")))</f>
        <v>ASH</v>
      </c>
      <c r="AA29" s="93">
        <f>IF(tblPiNAnalysis[[#This Row],[PiN más alto]]="", "", tblPiNAnalysis[[#This Row],[PiN más alto]]/tblPiNAnalysis[[#This Row],[Población]])</f>
        <v>0.6</v>
      </c>
      <c r="AB29" s="94" t="str">
        <f>IF(SUM(tblPiNAnalysis[[#This Row],[SAMV]:[ASH]])=0, "",IF(COUNTIF(tblPiNAnalysis[[#This Row],[SAMV]:[ASH]],"=0")+COUNTIF(tblPiNAnalysis[[#This Row],[SAMV]:[ASH]],"")&gt;=zero_pin_thresh, "Flagged", ""))</f>
        <v/>
      </c>
      <c r="AC29" s="95" t="str">
        <f>IFERROR(IF(tblPiNAnalysis[[#This Row],[PiN más alto]]="", "", IF(tblPiNAnalysis[[#This Row],[% PiN Sectores más altos]]&gt;=flag_pin_perc, "Flagged", "")), "")</f>
        <v/>
      </c>
      <c r="AD29" s="96" t="str" cm="1">
        <f t="array" ref="AD29">IF(tblPiNAnalysis[[#This Row],[PiN más alto]]=0, "",  IF(OR(COUNTIF(tblPiNAnalysis[[#This Row],[Sectores más altos]],tblSubSectorPopulation[Sector])), "Flagged", ""))</f>
        <v/>
      </c>
      <c r="AE29" s="16" cm="1">
        <f t="array" ref="AE2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44321.95</v>
      </c>
      <c r="AF29" s="97" t="str" cm="1">
        <f t="array" ref="AF29">IF(tblPiNAnalysis[[#This Row],[2º PiN más alto]]="", "", _xlfn.TEXTJOIN(CHAR(10), TRUE, IF(tblPiNAnalysis[[#This Row],[2º PiN más alto]]=tblPiNAnalysis[[#This Row],[SAMV]:[ASH]], tblPiNAnalysis[[#Headers],[SAMV]:[ASH]], "")))</f>
        <v>SAL</v>
      </c>
      <c r="AG29" s="12">
        <f>IFERROR(tblPiNAnalysis[[#This Row],[2º PiN más alto]]/tblPiNAnalysis[[#This Row],[Población]], "")</f>
        <v>0.36499999999999999</v>
      </c>
      <c r="AH29" s="16">
        <f>IFERROR(tblPiNAnalysis[[#This Row],[PiN más alto]]-tblPiNAnalysis[[#This Row],[2º PiN más alto]], "")</f>
        <v>28536.050000000003</v>
      </c>
      <c r="AI29" s="14">
        <f>IFERROR(((tblPiNAnalysis[[#This Row],[PiN más alto]]-tblPiNAnalysis[[#This Row],[2º PiN más alto]])/tblPiNAnalysis[[#This Row],[2º PiN más alto]]),"")</f>
        <v>0.6438356164383563</v>
      </c>
      <c r="AJ29" s="14" t="str" cm="1">
        <f t="array" ref="AJ2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9" s="98" cm="1">
        <f t="array" ref="AK2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28941.941575645134</v>
      </c>
      <c r="AL29" s="53" t="str" cm="1">
        <f t="array" ref="AL29">IF(tblPiNAnalysis[[#This Row],[3º PiN más alto]]="", "", _xlfn.TEXTJOIN(CHAR(10), TRUE, IF(tblPiNAnalysis[[#This Row],[3º PiN más alto]]=tblPiNAnalysis[[#This Row],[SAMV]:[ASH]], tblPiNAnalysis[[#Headers],[SAMV]:[ASH]], "")))</f>
        <v>PRO</v>
      </c>
      <c r="AM29" s="53">
        <f>IFERROR(tblPiNAnalysis[[#This Row],[3º PiN más alto]]/tblPiNAnalysis[[#This Row],[Población]], "")</f>
        <v>0.23834259718064016</v>
      </c>
      <c r="AN29" s="15">
        <f>IFERROR(tblPiNAnalysis[[#This Row],[PiN más alto]]-tblPiNAnalysis[[#This Row],[3º PiN más alto]],"")</f>
        <v>43916.058424354866</v>
      </c>
      <c r="AO29" s="14">
        <f>IFERROR(tblPiNAnalysis[[#This Row],[Diferencia de PiN entre el más alto y el 3º más alto]]/tblPiNAnalysis[[#This Row],[3º PiN más alto]], "")</f>
        <v>1.5173846685293071</v>
      </c>
      <c r="AP29" s="96" t="str" cm="1">
        <f t="array" ref="AP2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9" s="84" t="str" cm="1">
        <f t="array" ref="AQ29">IFERROR(IF(tblPiNAnalysis[[#This Row],[ID]]="", "", INDEX(tblPiNHistorical[[SAMV]:[ASH]], MATCH(tblPiNAnalysis[[#This Row],[ID]],tblPiNHistorical[ID], 0),MATCH(_xlfn._xlws.FILTER(tblPiNAnalysis[[#Headers],[SAMV]:[ASH]], tblPiNAnalysis[[#This Row],[PiN más alto]]=tblPiNAnalysis[[#This Row],[SAMV]:[ASH]]), tblPiNHistorical[[#Headers],[SAMV]:[ASH]], 0))), "")</f>
        <v>NoPIN26 23751</v>
      </c>
      <c r="AR29" s="99" t="str" cm="1">
        <f t="array" ref="AR2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9" s="74" cm="1">
        <f t="array" ref="AS29">IFERROR(IF(tblPiNAnalysis[[#This Row],[ID]]="", "", INDEX(tblPiNHistorical[[SAMV]:[ASH]], MATCH(tblPiNAnalysis[[#This Row],[ID]],tblPiNHistorical[ID], 0),MATCH(_xlfn._xlws.FILTER(tblPiNAnalysis[[#Headers],[SAMV]:[ASH]], tblPiNAnalysis[[#This Row],[2º PiN más alto]]=tblPiNAnalysis[[#This Row],[SAMV]:[ASH]]), tblPiNHistorical[[#Headers],[SAMV]:[ASH]], 0))), "")</f>
        <v>-0.9</v>
      </c>
      <c r="AT29" s="100" t="str" cm="1">
        <f t="array" ref="AT2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9" s="219">
        <f>INDEX(tblSeverityAnalysis[Severidad final], MATCH(tblPiNAnalysis[[#This Row],[ID]],tblSeverityAnalysis[ID], 0))</f>
        <v>3</v>
      </c>
      <c r="AV29" s="220">
        <f>IF(tblPiNAnalysis[[#This Row],[Severidad]]&gt;2,tblPiNAnalysis[[#This Row],[PiN más alto]],)</f>
        <v>72858</v>
      </c>
      <c r="AW29" s="54"/>
      <c r="AX29" s="55"/>
      <c r="AY29" s="56">
        <f>COUNTIFS(tblPiNAnalysis[[#This Row],[Número de PiN ausentes/cero superior al umbral - Calidad de los datos]:[Marcador manual]],"Flagged")</f>
        <v>2</v>
      </c>
      <c r="AZ29" s="34" t="str">
        <f>IF(tblPiNAnalysis[[#This Row],[Número de marcadores]]&gt;0, "Flagged", "")</f>
        <v>Flagged</v>
      </c>
      <c r="BA29" s="92">
        <f>tblPiNAnalysis[[#This Row],[PiN preliminar]]</f>
        <v>72858</v>
      </c>
      <c r="BB29" s="97"/>
      <c r="BC29" s="70">
        <f>IFERROR(IF(tblPiNAnalysis[[#This Row],[Severidad]]=3,tblPiNAnalysis[[#This Row],[PiN final]]*Umbrales!$D$33,tblPiNAnalysis[[#This Row],[PiN final]]*Umbrales!$D$34),)</f>
        <v>36429</v>
      </c>
      <c r="BD29" s="70">
        <f>IFERROR(IF(tblPiNAnalysis[[#This Row],[Severidad]]&gt;3,tblPiNAnalysis[[#This Row],[PiN final]]*Umbrales!$D$34,),)</f>
        <v>0</v>
      </c>
    </row>
    <row r="30" spans="1:56">
      <c r="A30" s="101" t="str">
        <f>IFERROR(_xlfn.CONCAT(IF(tblPiNAnalysis[[#This Row],[Grupo]]="", "",tblPiNAnalysis[[#This Row],[Grupo]] ),  _xlfn.IFS(tblPiNAnalysis[[#This Row],[Admin2PCODE]]&lt;&gt;"", tblPiNAnalysis[[#This Row],[Admin2PCODE]], tblPiNAnalysis[[#This Row],[Admin1PCODE]]&lt;&gt;"", tblPiNAnalysis[[#This Row],[Admin1PCODE]])),"")</f>
        <v>VenezolanosVE1808</v>
      </c>
      <c r="B30" s="105" t="s">
        <v>536</v>
      </c>
      <c r="C30" s="104" t="s">
        <v>537</v>
      </c>
      <c r="D30" s="119" t="s">
        <v>171</v>
      </c>
      <c r="E30" s="104" t="s">
        <v>552</v>
      </c>
      <c r="F30" s="358"/>
      <c r="G30" s="357">
        <v>181169</v>
      </c>
      <c r="H30" s="103" t="s">
        <v>102</v>
      </c>
      <c r="I30" s="60">
        <v>72468</v>
      </c>
      <c r="J30" s="134">
        <v>6790.738386966309</v>
      </c>
      <c r="K30" s="57">
        <v>66126.684999999998</v>
      </c>
      <c r="L30" s="87">
        <v>15418.335225793078</v>
      </c>
      <c r="M30" s="87">
        <v>34376.943426067759</v>
      </c>
      <c r="N30" s="57">
        <v>0</v>
      </c>
      <c r="O30" s="57">
        <v>11000.621896341683</v>
      </c>
      <c r="P30" s="57">
        <v>12031.930199123717</v>
      </c>
      <c r="Q30" s="88">
        <f>IFERROR(IF(tblPiNAnalysis[[#This Row],[SAMV]]="", "", MROUND(tblPiNAnalysis[[#This Row],[SAMV]]/tblPiNAnalysis[[#This Row],[Población]], 0.05)), "")</f>
        <v>0.4</v>
      </c>
      <c r="R30" s="89">
        <f>IFERROR(IF(tblPiNAnalysis[[#This Row],[NUT]]="", "", MROUND(tblPiNAnalysis[[#This Row],[NUT]]/tblPiNAnalysis[[#This Row],[Población]], 0.05)), "")</f>
        <v>0.05</v>
      </c>
      <c r="S30" s="89">
        <f>IFERROR(IF(tblPiNAnalysis[[#This Row],[SAL]]="", "", MROUND(tblPiNAnalysis[[#This Row],[SAL]]/tblPiNAnalysis[[#This Row],[Población]], 0.05)), "")</f>
        <v>0.35000000000000003</v>
      </c>
      <c r="T30" s="89">
        <f>IFERROR(IF(tblPiNAnalysis[[#This Row],[EDU]]="", "", MROUND(tblPiNAnalysis[[#This Row],[EDU]]/tblPiNAnalysis[[#This Row],[Población]], 0.05)), "")</f>
        <v>0.1</v>
      </c>
      <c r="U30" s="89">
        <f>IFERROR(IF(tblPiNAnalysis[[#This Row],[PRO]]="", "", MROUND(tblPiNAnalysis[[#This Row],[PRO]]/tblPiNAnalysis[[#This Row],[Población]], 0.05)), "")</f>
        <v>0.2</v>
      </c>
      <c r="V30" s="90">
        <f>IFERROR(IF(tblPiNAnalysis[[#This Row],[ASH]]="", "", MROUND(tblPiNAnalysis[[#This Row],[ASH]]/tblPiNAnalysis[[#This Row],[Población]], 0.05)), "")</f>
        <v>0</v>
      </c>
      <c r="W30" s="89">
        <f>IFERROR(MROUND(tblPiNAnalysis[[#This Row],[NNA]]/tblPiNAnalysis[[#This Row],[Población]], 0.05), "")</f>
        <v>0.05</v>
      </c>
      <c r="X30" s="89">
        <f>IFERROR(MROUND(tblPiNAnalysis[[#This Row],[VBG]]/tblPiNAnalysis[[#This Row],[Población]], 0.05), "")</f>
        <v>0.05</v>
      </c>
      <c r="Y30" s="91">
        <f>IFERROR(LARGE(tblPiNAnalysis[[#This Row],[SAMV]:[ASH]], 1), "")</f>
        <v>72468</v>
      </c>
      <c r="Z30" s="92" t="str" cm="1">
        <f t="array" ref="Z30">IF(tblPiNAnalysis[[#This Row],[PiN más alto]]="", "", _xlfn.TEXTJOIN(CHAR(10), TRUE, IF(tblPiNAnalysis[[#This Row],[PiN más alto]]=tblPiNAnalysis[[#This Row],[SAMV]:[ASH]], tblPiNAnalysis[[#Headers],[SAMV]:[ASH]], "")))</f>
        <v>SAMV</v>
      </c>
      <c r="AA30" s="93">
        <f>IF(tblPiNAnalysis[[#This Row],[PiN más alto]]="", "", tblPiNAnalysis[[#This Row],[PiN más alto]]/tblPiNAnalysis[[#This Row],[Población]])</f>
        <v>0.40000220788324714</v>
      </c>
      <c r="AB30" s="94" t="str">
        <f>IF(SUM(tblPiNAnalysis[[#This Row],[SAMV]:[ASH]])=0, "",IF(COUNTIF(tblPiNAnalysis[[#This Row],[SAMV]:[ASH]],"=0")+COUNTIF(tblPiNAnalysis[[#This Row],[SAMV]:[ASH]],"")&gt;=zero_pin_thresh, "Flagged", ""))</f>
        <v/>
      </c>
      <c r="AC30" s="95" t="str">
        <f>IFERROR(IF(tblPiNAnalysis[[#This Row],[PiN más alto]]="", "", IF(tblPiNAnalysis[[#This Row],[% PiN Sectores más altos]]&gt;=flag_pin_perc, "Flagged", "")), "")</f>
        <v/>
      </c>
      <c r="AD30" s="96" t="str" cm="1">
        <f t="array" ref="AD30">IF(tblPiNAnalysis[[#This Row],[PiN más alto]]=0, "",  IF(OR(COUNTIF(tblPiNAnalysis[[#This Row],[Sectores más altos]],tblSubSectorPopulation[Sector])), "Flagged", ""))</f>
        <v/>
      </c>
      <c r="AE30" s="16" cm="1">
        <f t="array" ref="AE3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66126.684999999998</v>
      </c>
      <c r="AF30" s="97" t="str" cm="1">
        <f t="array" ref="AF30">IF(tblPiNAnalysis[[#This Row],[2º PiN más alto]]="", "", _xlfn.TEXTJOIN(CHAR(10), TRUE, IF(tblPiNAnalysis[[#This Row],[2º PiN más alto]]=tblPiNAnalysis[[#This Row],[SAMV]:[ASH]], tblPiNAnalysis[[#Headers],[SAMV]:[ASH]], "")))</f>
        <v>SAL</v>
      </c>
      <c r="AG30" s="12">
        <f>IFERROR(tblPiNAnalysis[[#This Row],[2º PiN más alto]]/tblPiNAnalysis[[#This Row],[Población]], "")</f>
        <v>0.36499999999999999</v>
      </c>
      <c r="AH30" s="16">
        <f>IFERROR(tblPiNAnalysis[[#This Row],[PiN más alto]]-tblPiNAnalysis[[#This Row],[2º PiN más alto]], "")</f>
        <v>6341.3150000000023</v>
      </c>
      <c r="AI30" s="14">
        <f>IFERROR(((tblPiNAnalysis[[#This Row],[PiN más alto]]-tblPiNAnalysis[[#This Row],[2º PiN más alto]])/tblPiNAnalysis[[#This Row],[2º PiN más alto]]),"")</f>
        <v>9.5896459954101773E-2</v>
      </c>
      <c r="AJ30" s="14" t="str" cm="1">
        <f t="array" ref="AJ3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0" s="98" cm="1">
        <f t="array" ref="AK3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34376.943426067759</v>
      </c>
      <c r="AL30" s="53" t="str" cm="1">
        <f t="array" ref="AL30">IF(tblPiNAnalysis[[#This Row],[3º PiN más alto]]="", "", _xlfn.TEXTJOIN(CHAR(10), TRUE, IF(tblPiNAnalysis[[#This Row],[3º PiN más alto]]=tblPiNAnalysis[[#This Row],[SAMV]:[ASH]], tblPiNAnalysis[[#Headers],[SAMV]:[ASH]], "")))</f>
        <v>PRO</v>
      </c>
      <c r="AM30" s="53">
        <f>IFERROR(tblPiNAnalysis[[#This Row],[3º PiN más alto]]/tblPiNAnalysis[[#This Row],[Población]], "")</f>
        <v>0.18975069369521141</v>
      </c>
      <c r="AN30" s="15">
        <f>IFERROR(tblPiNAnalysis[[#This Row],[PiN más alto]]-tblPiNAnalysis[[#This Row],[3º PiN más alto]],"")</f>
        <v>38091.056573932241</v>
      </c>
      <c r="AO30" s="14">
        <f>IFERROR(tblPiNAnalysis[[#This Row],[Diferencia de PiN entre el más alto y el 3º más alto]]/tblPiNAnalysis[[#This Row],[3º PiN más alto]], "")</f>
        <v>1.108040819738735</v>
      </c>
      <c r="AP30" s="96" t="str" cm="1">
        <f t="array" ref="AP3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0" s="84" cm="1">
        <f t="array" ref="AQ30">IFERROR(IF(tblPiNAnalysis[[#This Row],[ID]]="", "", INDEX(tblPiNHistorical[[SAMV]:[ASH]], MATCH(tblPiNAnalysis[[#This Row],[ID]],tblPiNHistorical[ID], 0),MATCH(_xlfn._xlws.FILTER(tblPiNAnalysis[[#Headers],[SAMV]:[ASH]], tblPiNAnalysis[[#This Row],[PiN más alto]]=tblPiNAnalysis[[#This Row],[SAMV]:[ASH]]), tblPiNHistorical[[#Headers],[SAMV]:[ASH]], 0))), "")</f>
        <v>-1</v>
      </c>
      <c r="AR30" s="99" t="str" cm="1">
        <f t="array" ref="AR3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0" s="74" cm="1">
        <f t="array" ref="AS30">IFERROR(IF(tblPiNAnalysis[[#This Row],[ID]]="", "", INDEX(tblPiNHistorical[[SAMV]:[ASH]], MATCH(tblPiNAnalysis[[#This Row],[ID]],tblPiNHistorical[ID], 0),MATCH(_xlfn._xlws.FILTER(tblPiNAnalysis[[#Headers],[SAMV]:[ASH]], tblPiNAnalysis[[#This Row],[2º PiN más alto]]=tblPiNAnalysis[[#This Row],[SAMV]:[ASH]]), tblPiNHistorical[[#Headers],[SAMV]:[ASH]], 0))), "")</f>
        <v>-1</v>
      </c>
      <c r="AT30" s="100" t="str" cm="1">
        <f t="array" ref="AT3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0" s="219">
        <f>INDEX(tblSeverityAnalysis[Severidad final], MATCH(tblPiNAnalysis[[#This Row],[ID]],tblSeverityAnalysis[ID], 0))</f>
        <v>3</v>
      </c>
      <c r="AV30" s="220">
        <f>IF(tblPiNAnalysis[[#This Row],[Severidad]]&gt;2,tblPiNAnalysis[[#This Row],[PiN más alto]],)</f>
        <v>72468</v>
      </c>
      <c r="AW30" s="54"/>
      <c r="AX30" s="55"/>
      <c r="AY30" s="56">
        <f>COUNTIFS(tblPiNAnalysis[[#This Row],[Número de PiN ausentes/cero superior al umbral - Calidad de los datos]:[Marcador manual]],"Flagged")</f>
        <v>3</v>
      </c>
      <c r="AZ30" s="34" t="str">
        <f>IF(tblPiNAnalysis[[#This Row],[Número de marcadores]]&gt;0, "Flagged", "")</f>
        <v>Flagged</v>
      </c>
      <c r="BA30" s="92">
        <f>tblPiNAnalysis[[#This Row],[PiN preliminar]]</f>
        <v>72468</v>
      </c>
      <c r="BB30" s="97"/>
      <c r="BC30" s="70">
        <f>IFERROR(IF(tblPiNAnalysis[[#This Row],[Severidad]]=3,tblPiNAnalysis[[#This Row],[PiN final]]*Umbrales!$D$33,tblPiNAnalysis[[#This Row],[PiN final]]*Umbrales!$D$34),)</f>
        <v>36234</v>
      </c>
      <c r="BD30" s="70">
        <f>IFERROR(IF(tblPiNAnalysis[[#This Row],[Severidad]]&gt;3,tblPiNAnalysis[[#This Row],[PiN final]]*Umbrales!$D$34,),)</f>
        <v>0</v>
      </c>
    </row>
    <row r="31" spans="1:56">
      <c r="A31" s="101" t="str">
        <f>IFERROR(_xlfn.CONCAT(IF(tblPiNAnalysis[[#This Row],[Grupo]]="", "",tblPiNAnalysis[[#This Row],[Grupo]] ),  _xlfn.IFS(tblPiNAnalysis[[#This Row],[Admin2PCODE]]&lt;&gt;"", tblPiNAnalysis[[#This Row],[Admin2PCODE]], tblPiNAnalysis[[#This Row],[Admin1PCODE]]&lt;&gt;"", tblPiNAnalysis[[#This Row],[Admin1PCODE]])),"")</f>
        <v>VenezolanosVE1802</v>
      </c>
      <c r="B31" s="105" t="s">
        <v>536</v>
      </c>
      <c r="C31" s="104" t="s">
        <v>537</v>
      </c>
      <c r="D31" s="119" t="s">
        <v>540</v>
      </c>
      <c r="E31" s="104" t="s">
        <v>541</v>
      </c>
      <c r="F31" s="358"/>
      <c r="G31" s="357">
        <v>154747</v>
      </c>
      <c r="H31" s="103" t="s">
        <v>102</v>
      </c>
      <c r="I31" s="60">
        <v>71091</v>
      </c>
      <c r="J31" s="134">
        <v>10325.885254931716</v>
      </c>
      <c r="K31" s="57">
        <v>56482.654999999999</v>
      </c>
      <c r="L31" s="87">
        <v>14899.692363806806</v>
      </c>
      <c r="M31" s="87">
        <v>29363.350597252887</v>
      </c>
      <c r="N31" s="57">
        <v>69636.150000000009</v>
      </c>
      <c r="O31" s="57">
        <v>9396.2721911209246</v>
      </c>
      <c r="P31" s="57">
        <v>10277.17270903851</v>
      </c>
      <c r="Q31" s="88">
        <f>IFERROR(IF(tblPiNAnalysis[[#This Row],[SAMV]]="", "", MROUND(tblPiNAnalysis[[#This Row],[SAMV]]/tblPiNAnalysis[[#This Row],[Población]], 0.05)), "")</f>
        <v>0.45</v>
      </c>
      <c r="R31" s="89">
        <f>IFERROR(IF(tblPiNAnalysis[[#This Row],[NUT]]="", "", MROUND(tblPiNAnalysis[[#This Row],[NUT]]/tblPiNAnalysis[[#This Row],[Población]], 0.05)), "")</f>
        <v>0.05</v>
      </c>
      <c r="S31" s="89">
        <f>IFERROR(IF(tblPiNAnalysis[[#This Row],[SAL]]="", "", MROUND(tblPiNAnalysis[[#This Row],[SAL]]/tblPiNAnalysis[[#This Row],[Población]], 0.05)), "")</f>
        <v>0.35000000000000003</v>
      </c>
      <c r="T31" s="89">
        <f>IFERROR(IF(tblPiNAnalysis[[#This Row],[EDU]]="", "", MROUND(tblPiNAnalysis[[#This Row],[EDU]]/tblPiNAnalysis[[#This Row],[Población]], 0.05)), "")</f>
        <v>0.1</v>
      </c>
      <c r="U31" s="89">
        <f>IFERROR(IF(tblPiNAnalysis[[#This Row],[PRO]]="", "", MROUND(tblPiNAnalysis[[#This Row],[PRO]]/tblPiNAnalysis[[#This Row],[Población]], 0.05)), "")</f>
        <v>0.2</v>
      </c>
      <c r="V31" s="90">
        <f>IFERROR(IF(tblPiNAnalysis[[#This Row],[ASH]]="", "", MROUND(tblPiNAnalysis[[#This Row],[ASH]]/tblPiNAnalysis[[#This Row],[Población]], 0.05)), "")</f>
        <v>0.45</v>
      </c>
      <c r="W31" s="89">
        <f>IFERROR(MROUND(tblPiNAnalysis[[#This Row],[NNA]]/tblPiNAnalysis[[#This Row],[Población]], 0.05), "")</f>
        <v>0.05</v>
      </c>
      <c r="X31" s="89">
        <f>IFERROR(MROUND(tblPiNAnalysis[[#This Row],[VBG]]/tblPiNAnalysis[[#This Row],[Población]], 0.05), "")</f>
        <v>0.05</v>
      </c>
      <c r="Y31" s="91">
        <f>IFERROR(LARGE(tblPiNAnalysis[[#This Row],[SAMV]:[ASH]], 1), "")</f>
        <v>71091</v>
      </c>
      <c r="Z31" s="92" t="str" cm="1">
        <f t="array" ref="Z31">IF(tblPiNAnalysis[[#This Row],[PiN más alto]]="", "", _xlfn.TEXTJOIN(CHAR(10), TRUE, IF(tblPiNAnalysis[[#This Row],[PiN más alto]]=tblPiNAnalysis[[#This Row],[SAMV]:[ASH]], tblPiNAnalysis[[#Headers],[SAMV]:[ASH]], "")))</f>
        <v>SAMV</v>
      </c>
      <c r="AA31" s="93">
        <f>IF(tblPiNAnalysis[[#This Row],[PiN más alto]]="", "", tblPiNAnalysis[[#This Row],[PiN más alto]]/tblPiNAnalysis[[#This Row],[Población]])</f>
        <v>0.45940147466509851</v>
      </c>
      <c r="AB31" s="94" t="str">
        <f>IF(SUM(tblPiNAnalysis[[#This Row],[SAMV]:[ASH]])=0, "",IF(COUNTIF(tblPiNAnalysis[[#This Row],[SAMV]:[ASH]],"=0")+COUNTIF(tblPiNAnalysis[[#This Row],[SAMV]:[ASH]],"")&gt;=zero_pin_thresh, "Flagged", ""))</f>
        <v/>
      </c>
      <c r="AC31" s="95" t="str">
        <f>IFERROR(IF(tblPiNAnalysis[[#This Row],[PiN más alto]]="", "", IF(tblPiNAnalysis[[#This Row],[% PiN Sectores más altos]]&gt;=flag_pin_perc, "Flagged", "")), "")</f>
        <v/>
      </c>
      <c r="AD31" s="96" t="str" cm="1">
        <f t="array" ref="AD31">IF(tblPiNAnalysis[[#This Row],[PiN más alto]]=0, "",  IF(OR(COUNTIF(tblPiNAnalysis[[#This Row],[Sectores más altos]],tblSubSectorPopulation[Sector])), "Flagged", ""))</f>
        <v/>
      </c>
      <c r="AE31" s="16" cm="1">
        <f t="array" ref="AE3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69636.150000000009</v>
      </c>
      <c r="AF31" s="97" t="str" cm="1">
        <f t="array" ref="AF31">IF(tblPiNAnalysis[[#This Row],[2º PiN más alto]]="", "", _xlfn.TEXTJOIN(CHAR(10), TRUE, IF(tblPiNAnalysis[[#This Row],[2º PiN más alto]]=tblPiNAnalysis[[#This Row],[SAMV]:[ASH]], tblPiNAnalysis[[#Headers],[SAMV]:[ASH]], "")))</f>
        <v>ASH</v>
      </c>
      <c r="AG31" s="12">
        <f>IFERROR(tblPiNAnalysis[[#This Row],[2º PiN más alto]]/tblPiNAnalysis[[#This Row],[Población]], "")</f>
        <v>0.45000000000000007</v>
      </c>
      <c r="AH31" s="16">
        <f>IFERROR(tblPiNAnalysis[[#This Row],[PiN más alto]]-tblPiNAnalysis[[#This Row],[2º PiN más alto]], "")</f>
        <v>1454.8499999999913</v>
      </c>
      <c r="AI31" s="14">
        <f>IFERROR(((tblPiNAnalysis[[#This Row],[PiN más alto]]-tblPiNAnalysis[[#This Row],[2º PiN más alto]])/tblPiNAnalysis[[#This Row],[2º PiN más alto]]),"")</f>
        <v>2.0892165922441017E-2</v>
      </c>
      <c r="AJ31" s="14" t="str" cm="1">
        <f t="array" ref="AJ3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1" s="98" cm="1">
        <f t="array" ref="AK3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56482.654999999999</v>
      </c>
      <c r="AL31" s="53" t="str" cm="1">
        <f t="array" ref="AL31">IF(tblPiNAnalysis[[#This Row],[3º PiN más alto]]="", "", _xlfn.TEXTJOIN(CHAR(10), TRUE, IF(tblPiNAnalysis[[#This Row],[3º PiN más alto]]=tblPiNAnalysis[[#This Row],[SAMV]:[ASH]], tblPiNAnalysis[[#Headers],[SAMV]:[ASH]], "")))</f>
        <v>SAL</v>
      </c>
      <c r="AM31" s="53">
        <f>IFERROR(tblPiNAnalysis[[#This Row],[3º PiN más alto]]/tblPiNAnalysis[[#This Row],[Población]], "")</f>
        <v>0.36499999999999999</v>
      </c>
      <c r="AN31" s="15">
        <f>IFERROR(tblPiNAnalysis[[#This Row],[PiN más alto]]-tblPiNAnalysis[[#This Row],[3º PiN más alto]],"")</f>
        <v>14608.345000000001</v>
      </c>
      <c r="AO31" s="14">
        <f>IFERROR(tblPiNAnalysis[[#This Row],[Diferencia de PiN entre el más alto y el 3º más alto]]/tblPiNAnalysis[[#This Row],[3º PiN más alto]], "")</f>
        <v>0.25863417716465348</v>
      </c>
      <c r="AP31" s="96" t="str" cm="1">
        <f t="array" ref="AP3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
      </c>
      <c r="AQ31" s="84" cm="1">
        <f t="array" ref="AQ31">IFERROR(IF(tblPiNAnalysis[[#This Row],[ID]]="", "", INDEX(tblPiNHistorical[[SAMV]:[ASH]], MATCH(tblPiNAnalysis[[#This Row],[ID]],tblPiNHistorical[ID], 0),MATCH(_xlfn._xlws.FILTER(tblPiNAnalysis[[#Headers],[SAMV]:[ASH]], tblPiNAnalysis[[#This Row],[PiN más alto]]=tblPiNAnalysis[[#This Row],[SAMV]:[ASH]]), tblPiNHistorical[[#Headers],[SAMV]:[ASH]], 0))), "")</f>
        <v>-0.8</v>
      </c>
      <c r="AR31" s="99" t="str" cm="1">
        <f t="array" ref="AR3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1" s="74" t="str" cm="1">
        <f t="array" ref="AS31">IFERROR(IF(tblPiNAnalysis[[#This Row],[ID]]="", "", INDEX(tblPiNHistorical[[SAMV]:[ASH]], MATCH(tblPiNAnalysis[[#This Row],[ID]],tblPiNHistorical[ID], 0),MATCH(_xlfn._xlws.FILTER(tblPiNAnalysis[[#Headers],[SAMV]:[ASH]], tblPiNAnalysis[[#This Row],[2º PiN más alto]]=tblPiNAnalysis[[#This Row],[SAMV]:[ASH]]), tblPiNHistorical[[#Headers],[SAMV]:[ASH]], 0))), "")</f>
        <v>New26 3949.2</v>
      </c>
      <c r="AT31" s="100" t="str" cm="1">
        <f t="array" ref="AT3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1" s="219">
        <f>INDEX(tblSeverityAnalysis[Severidad final], MATCH(tblPiNAnalysis[[#This Row],[ID]],tblSeverityAnalysis[ID], 0))</f>
        <v>3</v>
      </c>
      <c r="AV31" s="220">
        <f>IF(tblPiNAnalysis[[#This Row],[Severidad]]&gt;2,tblPiNAnalysis[[#This Row],[PiN más alto]],)</f>
        <v>71091</v>
      </c>
      <c r="AW31" s="54"/>
      <c r="AX31" s="55"/>
      <c r="AY31" s="56">
        <f>COUNTIFS(tblPiNAnalysis[[#This Row],[Número de PiN ausentes/cero superior al umbral - Calidad de los datos]:[Marcador manual]],"Flagged")</f>
        <v>0</v>
      </c>
      <c r="AZ31" s="34" t="str">
        <f>IF(tblPiNAnalysis[[#This Row],[Número de marcadores]]&gt;0, "Flagged", "")</f>
        <v/>
      </c>
      <c r="BA31" s="92">
        <f>tblPiNAnalysis[[#This Row],[PiN preliminar]]</f>
        <v>71091</v>
      </c>
      <c r="BB31" s="97"/>
      <c r="BC31" s="70">
        <f>IFERROR(IF(tblPiNAnalysis[[#This Row],[Severidad]]=3,tblPiNAnalysis[[#This Row],[PiN final]]*Umbrales!$D$33,tblPiNAnalysis[[#This Row],[PiN final]]*Umbrales!$D$34),)</f>
        <v>35545.5</v>
      </c>
      <c r="BD31" s="70">
        <f>IFERROR(IF(tblPiNAnalysis[[#This Row],[Severidad]]&gt;3,tblPiNAnalysis[[#This Row],[PiN final]]*Umbrales!$D$34,),)</f>
        <v>0</v>
      </c>
    </row>
    <row r="32" spans="1:56">
      <c r="A32" s="101" t="str">
        <f>IFERROR(_xlfn.CONCAT(IF(tblPiNAnalysis[[#This Row],[Grupo]]="", "",tblPiNAnalysis[[#This Row],[Grupo]] ),  _xlfn.IFS(tblPiNAnalysis[[#This Row],[Admin2PCODE]]&lt;&gt;"", tblPiNAnalysis[[#This Row],[Admin2PCODE]], tblPiNAnalysis[[#This Row],[Admin1PCODE]]&lt;&gt;"", tblPiNAnalysis[[#This Row],[Admin1PCODE]])),"")</f>
        <v>VenezolanosVE1308</v>
      </c>
      <c r="B32" s="105" t="s">
        <v>393</v>
      </c>
      <c r="C32" s="104" t="s">
        <v>394</v>
      </c>
      <c r="D32" s="119" t="s">
        <v>408</v>
      </c>
      <c r="E32" s="104" t="s">
        <v>409</v>
      </c>
      <c r="F32" s="358"/>
      <c r="G32" s="357">
        <v>189462</v>
      </c>
      <c r="H32" s="103" t="s">
        <v>102</v>
      </c>
      <c r="I32" s="60">
        <v>54312</v>
      </c>
      <c r="J32" s="134">
        <v>5970.6197077205234</v>
      </c>
      <c r="K32" s="57">
        <v>69153.63</v>
      </c>
      <c r="L32" s="87">
        <v>15525.041553659696</v>
      </c>
      <c r="M32" s="87">
        <v>22576.231941583777</v>
      </c>
      <c r="N32" s="57">
        <v>12788.685000000001</v>
      </c>
      <c r="O32" s="57">
        <v>7224.3942213068094</v>
      </c>
      <c r="P32" s="57">
        <v>7901.6811795543217</v>
      </c>
      <c r="Q32" s="88">
        <f>IFERROR(IF(tblPiNAnalysis[[#This Row],[SAMV]]="", "", MROUND(tblPiNAnalysis[[#This Row],[SAMV]]/tblPiNAnalysis[[#This Row],[Población]], 0.05)), "")</f>
        <v>0.30000000000000004</v>
      </c>
      <c r="R32" s="89">
        <f>IFERROR(IF(tblPiNAnalysis[[#This Row],[NUT]]="", "", MROUND(tblPiNAnalysis[[#This Row],[NUT]]/tblPiNAnalysis[[#This Row],[Población]], 0.05)), "")</f>
        <v>0.05</v>
      </c>
      <c r="S32" s="89">
        <f>IFERROR(IF(tblPiNAnalysis[[#This Row],[SAL]]="", "", MROUND(tblPiNAnalysis[[#This Row],[SAL]]/tblPiNAnalysis[[#This Row],[Población]], 0.05)), "")</f>
        <v>0.35000000000000003</v>
      </c>
      <c r="T32" s="89">
        <f>IFERROR(IF(tblPiNAnalysis[[#This Row],[EDU]]="", "", MROUND(tblPiNAnalysis[[#This Row],[EDU]]/tblPiNAnalysis[[#This Row],[Población]], 0.05)), "")</f>
        <v>0.1</v>
      </c>
      <c r="U32" s="89">
        <f>IFERROR(IF(tblPiNAnalysis[[#This Row],[PRO]]="", "", MROUND(tblPiNAnalysis[[#This Row],[PRO]]/tblPiNAnalysis[[#This Row],[Población]], 0.05)), "")</f>
        <v>0.1</v>
      </c>
      <c r="V32" s="90">
        <f>IFERROR(IF(tblPiNAnalysis[[#This Row],[ASH]]="", "", MROUND(tblPiNAnalysis[[#This Row],[ASH]]/tblPiNAnalysis[[#This Row],[Población]], 0.05)), "")</f>
        <v>0.05</v>
      </c>
      <c r="W32" s="89">
        <f>IFERROR(MROUND(tblPiNAnalysis[[#This Row],[NNA]]/tblPiNAnalysis[[#This Row],[Población]], 0.05), "")</f>
        <v>0.05</v>
      </c>
      <c r="X32" s="89">
        <f>IFERROR(MROUND(tblPiNAnalysis[[#This Row],[VBG]]/tblPiNAnalysis[[#This Row],[Población]], 0.05), "")</f>
        <v>0.05</v>
      </c>
      <c r="Y32" s="91">
        <f>IFERROR(LARGE(tblPiNAnalysis[[#This Row],[SAMV]:[ASH]], 1), "")</f>
        <v>69153.63</v>
      </c>
      <c r="Z32" s="92" t="str" cm="1">
        <f t="array" ref="Z32">IF(tblPiNAnalysis[[#This Row],[PiN más alto]]="", "", _xlfn.TEXTJOIN(CHAR(10), TRUE, IF(tblPiNAnalysis[[#This Row],[PiN más alto]]=tblPiNAnalysis[[#This Row],[SAMV]:[ASH]], tblPiNAnalysis[[#Headers],[SAMV]:[ASH]], "")))</f>
        <v>SAL</v>
      </c>
      <c r="AA32" s="93">
        <f>IF(tblPiNAnalysis[[#This Row],[PiN más alto]]="", "", tblPiNAnalysis[[#This Row],[PiN más alto]]/tblPiNAnalysis[[#This Row],[Población]])</f>
        <v>0.36500000000000005</v>
      </c>
      <c r="AB32" s="94" t="str">
        <f>IF(SUM(tblPiNAnalysis[[#This Row],[SAMV]:[ASH]])=0, "",IF(COUNTIF(tblPiNAnalysis[[#This Row],[SAMV]:[ASH]],"=0")+COUNTIF(tblPiNAnalysis[[#This Row],[SAMV]:[ASH]],"")&gt;=zero_pin_thresh, "Flagged", ""))</f>
        <v/>
      </c>
      <c r="AC32" s="95" t="str">
        <f>IFERROR(IF(tblPiNAnalysis[[#This Row],[PiN más alto]]="", "", IF(tblPiNAnalysis[[#This Row],[% PiN Sectores más altos]]&gt;=flag_pin_perc, "Flagged", "")), "")</f>
        <v/>
      </c>
      <c r="AD32" s="96" t="str" cm="1">
        <f t="array" ref="AD32">IF(tblPiNAnalysis[[#This Row],[PiN más alto]]=0, "",  IF(OR(COUNTIF(tblPiNAnalysis[[#This Row],[Sectores más altos]],tblSubSectorPopulation[Sector])), "Flagged", ""))</f>
        <v/>
      </c>
      <c r="AE32" s="16" cm="1">
        <f t="array" ref="AE3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54312</v>
      </c>
      <c r="AF32" s="97" t="str" cm="1">
        <f t="array" ref="AF32">IF(tblPiNAnalysis[[#This Row],[2º PiN más alto]]="", "", _xlfn.TEXTJOIN(CHAR(10), TRUE, IF(tblPiNAnalysis[[#This Row],[2º PiN más alto]]=tblPiNAnalysis[[#This Row],[SAMV]:[ASH]], tblPiNAnalysis[[#Headers],[SAMV]:[ASH]], "")))</f>
        <v>SAMV</v>
      </c>
      <c r="AG32" s="12">
        <f>IFERROR(tblPiNAnalysis[[#This Row],[2º PiN más alto]]/tblPiNAnalysis[[#This Row],[Población]], "")</f>
        <v>0.28666434430123189</v>
      </c>
      <c r="AH32" s="16">
        <f>IFERROR(tblPiNAnalysis[[#This Row],[PiN más alto]]-tblPiNAnalysis[[#This Row],[2º PiN más alto]], "")</f>
        <v>14841.630000000005</v>
      </c>
      <c r="AI32" s="14">
        <f>IFERROR(((tblPiNAnalysis[[#This Row],[PiN más alto]]-tblPiNAnalysis[[#This Row],[2º PiN más alto]])/tblPiNAnalysis[[#This Row],[2º PiN más alto]]),"")</f>
        <v>0.27326612903225816</v>
      </c>
      <c r="AJ32" s="14" t="str" cm="1">
        <f t="array" ref="AJ3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2" s="98" cm="1">
        <f t="array" ref="AK3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22576.231941583777</v>
      </c>
      <c r="AL32" s="53" t="str" cm="1">
        <f t="array" ref="AL32">IF(tblPiNAnalysis[[#This Row],[3º PiN más alto]]="", "", _xlfn.TEXTJOIN(CHAR(10), TRUE, IF(tblPiNAnalysis[[#This Row],[3º PiN más alto]]=tblPiNAnalysis[[#This Row],[SAMV]:[ASH]], tblPiNAnalysis[[#Headers],[SAMV]:[ASH]], "")))</f>
        <v>PRO</v>
      </c>
      <c r="AM32" s="53">
        <f>IFERROR(tblPiNAnalysis[[#This Row],[3º PiN más alto]]/tblPiNAnalysis[[#This Row],[Población]], "")</f>
        <v>0.11915968342772576</v>
      </c>
      <c r="AN32" s="15">
        <f>IFERROR(tblPiNAnalysis[[#This Row],[PiN más alto]]-tblPiNAnalysis[[#This Row],[3º PiN más alto]],"")</f>
        <v>46577.398058416227</v>
      </c>
      <c r="AO32" s="14">
        <f>IFERROR(tblPiNAnalysis[[#This Row],[Diferencia de PiN entre el más alto y el 3º más alto]]/tblPiNAnalysis[[#This Row],[3º PiN más alto]], "")</f>
        <v>2.0631165634254511</v>
      </c>
      <c r="AP32" s="96" t="str" cm="1">
        <f t="array" ref="AP3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2" s="84" cm="1">
        <f t="array" ref="AQ32">IFERROR(IF(tblPiNAnalysis[[#This Row],[ID]]="", "", INDEX(tblPiNHistorical[[SAMV]:[ASH]], MATCH(tblPiNAnalysis[[#This Row],[ID]],tblPiNHistorical[ID], 0),MATCH(_xlfn._xlws.FILTER(tblPiNAnalysis[[#Headers],[SAMV]:[ASH]], tblPiNAnalysis[[#This Row],[PiN más alto]]=tblPiNAnalysis[[#This Row],[SAMV]:[ASH]]), tblPiNHistorical[[#Headers],[SAMV]:[ASH]], 0))), "")</f>
        <v>-0.7</v>
      </c>
      <c r="AR32" s="99" t="str" cm="1">
        <f t="array" ref="AR3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2" s="74" cm="1">
        <f t="array" ref="AS32">IFERROR(IF(tblPiNAnalysis[[#This Row],[ID]]="", "", INDEX(tblPiNHistorical[[SAMV]:[ASH]], MATCH(tblPiNAnalysis[[#This Row],[ID]],tblPiNHistorical[ID], 0),MATCH(_xlfn._xlws.FILTER(tblPiNAnalysis[[#Headers],[SAMV]:[ASH]], tblPiNAnalysis[[#This Row],[2º PiN más alto]]=tblPiNAnalysis[[#This Row],[SAMV]:[ASH]]), tblPiNHistorical[[#Headers],[SAMV]:[ASH]], 0))), "")</f>
        <v>-0.6</v>
      </c>
      <c r="AT32" s="100" t="str" cm="1">
        <f t="array" ref="AT3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2" s="219">
        <f>INDEX(tblSeverityAnalysis[Severidad final], MATCH(tblPiNAnalysis[[#This Row],[ID]],tblSeverityAnalysis[ID], 0))</f>
        <v>3</v>
      </c>
      <c r="AV32" s="220">
        <f>IF(tblPiNAnalysis[[#This Row],[Severidad]]&gt;2,tblPiNAnalysis[[#This Row],[PiN más alto]],)</f>
        <v>69153.63</v>
      </c>
      <c r="AW32" s="54"/>
      <c r="AX32" s="55"/>
      <c r="AY32" s="56">
        <f>COUNTIFS(tblPiNAnalysis[[#This Row],[Número de PiN ausentes/cero superior al umbral - Calidad de los datos]:[Marcador manual]],"Flagged")</f>
        <v>1</v>
      </c>
      <c r="AZ32" s="34" t="str">
        <f>IF(tblPiNAnalysis[[#This Row],[Número de marcadores]]&gt;0, "Flagged", "")</f>
        <v>Flagged</v>
      </c>
      <c r="BA32" s="92">
        <f>tblPiNAnalysis[[#This Row],[PiN preliminar]]</f>
        <v>69153.63</v>
      </c>
      <c r="BB32" s="97"/>
      <c r="BC32" s="70">
        <f>IFERROR(IF(tblPiNAnalysis[[#This Row],[Severidad]]=3,tblPiNAnalysis[[#This Row],[PiN final]]*Umbrales!$D$33,tblPiNAnalysis[[#This Row],[PiN final]]*Umbrales!$D$34),)</f>
        <v>34576.815000000002</v>
      </c>
      <c r="BD32" s="70">
        <f>IFERROR(IF(tblPiNAnalysis[[#This Row],[Severidad]]&gt;3,tblPiNAnalysis[[#This Row],[PiN final]]*Umbrales!$D$34,),)</f>
        <v>0</v>
      </c>
    </row>
    <row r="33" spans="1:56">
      <c r="A33" s="101" t="str">
        <f>IFERROR(_xlfn.CONCAT(IF(tblPiNAnalysis[[#This Row],[Grupo]]="", "",tblPiNAnalysis[[#This Row],[Grupo]] ),  _xlfn.IFS(tblPiNAnalysis[[#This Row],[Admin2PCODE]]&lt;&gt;"", tblPiNAnalysis[[#This Row],[Admin2PCODE]], tblPiNAnalysis[[#This Row],[Admin1PCODE]]&lt;&gt;"", tblPiNAnalysis[[#This Row],[Admin1PCODE]])),"")</f>
        <v>VenezolanosVE0807</v>
      </c>
      <c r="B33" s="105" t="s">
        <v>261</v>
      </c>
      <c r="C33" s="104" t="s">
        <v>262</v>
      </c>
      <c r="D33" s="119" t="s">
        <v>274</v>
      </c>
      <c r="E33" s="104" t="s">
        <v>275</v>
      </c>
      <c r="F33" s="358"/>
      <c r="G33" s="357">
        <v>152983</v>
      </c>
      <c r="H33" s="103" t="s">
        <v>102</v>
      </c>
      <c r="I33" s="60">
        <v>18724</v>
      </c>
      <c r="J33" s="134">
        <v>10060.005388640791</v>
      </c>
      <c r="K33" s="57">
        <v>55838.794999999998</v>
      </c>
      <c r="L33" s="87">
        <v>23020.03479357472</v>
      </c>
      <c r="M33" s="87">
        <v>36465.013986298829</v>
      </c>
      <c r="N33" s="57">
        <v>68842.350000000006</v>
      </c>
      <c r="O33" s="57">
        <v>11705.269489601924</v>
      </c>
      <c r="P33" s="57">
        <v>12762.754895204589</v>
      </c>
      <c r="Q33" s="88">
        <f>IFERROR(IF(tblPiNAnalysis[[#This Row],[SAMV]]="", "", MROUND(tblPiNAnalysis[[#This Row],[SAMV]]/tblPiNAnalysis[[#This Row],[Población]], 0.05)), "")</f>
        <v>0.1</v>
      </c>
      <c r="R33" s="89">
        <f>IFERROR(IF(tblPiNAnalysis[[#This Row],[NUT]]="", "", MROUND(tblPiNAnalysis[[#This Row],[NUT]]/tblPiNAnalysis[[#This Row],[Población]], 0.05)), "")</f>
        <v>0.05</v>
      </c>
      <c r="S33" s="89">
        <f>IFERROR(IF(tblPiNAnalysis[[#This Row],[SAL]]="", "", MROUND(tblPiNAnalysis[[#This Row],[SAL]]/tblPiNAnalysis[[#This Row],[Población]], 0.05)), "")</f>
        <v>0.35000000000000003</v>
      </c>
      <c r="T33" s="89">
        <f>IFERROR(IF(tblPiNAnalysis[[#This Row],[EDU]]="", "", MROUND(tblPiNAnalysis[[#This Row],[EDU]]/tblPiNAnalysis[[#This Row],[Población]], 0.05)), "")</f>
        <v>0.15000000000000002</v>
      </c>
      <c r="U33" s="89">
        <f>IFERROR(IF(tblPiNAnalysis[[#This Row],[PRO]]="", "", MROUND(tblPiNAnalysis[[#This Row],[PRO]]/tblPiNAnalysis[[#This Row],[Población]], 0.05)), "")</f>
        <v>0.25</v>
      </c>
      <c r="V33" s="90">
        <f>IFERROR(IF(tblPiNAnalysis[[#This Row],[ASH]]="", "", MROUND(tblPiNAnalysis[[#This Row],[ASH]]/tblPiNAnalysis[[#This Row],[Población]], 0.05)), "")</f>
        <v>0.45</v>
      </c>
      <c r="W33" s="89">
        <f>IFERROR(MROUND(tblPiNAnalysis[[#This Row],[NNA]]/tblPiNAnalysis[[#This Row],[Población]], 0.05), "")</f>
        <v>0.1</v>
      </c>
      <c r="X33" s="89">
        <f>IFERROR(MROUND(tblPiNAnalysis[[#This Row],[VBG]]/tblPiNAnalysis[[#This Row],[Población]], 0.05), "")</f>
        <v>0.1</v>
      </c>
      <c r="Y33" s="91">
        <f>IFERROR(LARGE(tblPiNAnalysis[[#This Row],[SAMV]:[ASH]], 1), "")</f>
        <v>68842.350000000006</v>
      </c>
      <c r="Z33" s="92" t="str" cm="1">
        <f t="array" ref="Z33">IF(tblPiNAnalysis[[#This Row],[PiN más alto]]="", "", _xlfn.TEXTJOIN(CHAR(10), TRUE, IF(tblPiNAnalysis[[#This Row],[PiN más alto]]=tblPiNAnalysis[[#This Row],[SAMV]:[ASH]], tblPiNAnalysis[[#Headers],[SAMV]:[ASH]], "")))</f>
        <v>ASH</v>
      </c>
      <c r="AA33" s="93">
        <f>IF(tblPiNAnalysis[[#This Row],[PiN más alto]]="", "", tblPiNAnalysis[[#This Row],[PiN más alto]]/tblPiNAnalysis[[#This Row],[Población]])</f>
        <v>0.45</v>
      </c>
      <c r="AB33" s="94" t="str">
        <f>IF(SUM(tblPiNAnalysis[[#This Row],[SAMV]:[ASH]])=0, "",IF(COUNTIF(tblPiNAnalysis[[#This Row],[SAMV]:[ASH]],"=0")+COUNTIF(tblPiNAnalysis[[#This Row],[SAMV]:[ASH]],"")&gt;=zero_pin_thresh, "Flagged", ""))</f>
        <v/>
      </c>
      <c r="AC33" s="95" t="str">
        <f>IFERROR(IF(tblPiNAnalysis[[#This Row],[PiN más alto]]="", "", IF(tblPiNAnalysis[[#This Row],[% PiN Sectores más altos]]&gt;=flag_pin_perc, "Flagged", "")), "")</f>
        <v/>
      </c>
      <c r="AD33" s="96" t="str" cm="1">
        <f t="array" ref="AD33">IF(tblPiNAnalysis[[#This Row],[PiN más alto]]=0, "",  IF(OR(COUNTIF(tblPiNAnalysis[[#This Row],[Sectores más altos]],tblSubSectorPopulation[Sector])), "Flagged", ""))</f>
        <v/>
      </c>
      <c r="AE33" s="16" cm="1">
        <f t="array" ref="AE3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55838.794999999998</v>
      </c>
      <c r="AF33" s="97" t="str" cm="1">
        <f t="array" ref="AF33">IF(tblPiNAnalysis[[#This Row],[2º PiN más alto]]="", "", _xlfn.TEXTJOIN(CHAR(10), TRUE, IF(tblPiNAnalysis[[#This Row],[2º PiN más alto]]=tblPiNAnalysis[[#This Row],[SAMV]:[ASH]], tblPiNAnalysis[[#Headers],[SAMV]:[ASH]], "")))</f>
        <v>SAL</v>
      </c>
      <c r="AG33" s="12">
        <f>IFERROR(tblPiNAnalysis[[#This Row],[2º PiN más alto]]/tblPiNAnalysis[[#This Row],[Población]], "")</f>
        <v>0.36499999999999999</v>
      </c>
      <c r="AH33" s="16">
        <f>IFERROR(tblPiNAnalysis[[#This Row],[PiN más alto]]-tblPiNAnalysis[[#This Row],[2º PiN más alto]], "")</f>
        <v>13003.555000000008</v>
      </c>
      <c r="AI33" s="14">
        <f>IFERROR(((tblPiNAnalysis[[#This Row],[PiN más alto]]-tblPiNAnalysis[[#This Row],[2º PiN más alto]])/tblPiNAnalysis[[#This Row],[2º PiN más alto]]),"")</f>
        <v>0.23287671232876728</v>
      </c>
      <c r="AJ33" s="14" t="str" cm="1">
        <f t="array" ref="AJ3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3" s="98" cm="1">
        <f t="array" ref="AK3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36465.013986298829</v>
      </c>
      <c r="AL33" s="53" t="str" cm="1">
        <f t="array" ref="AL33">IF(tblPiNAnalysis[[#This Row],[3º PiN más alto]]="", "", _xlfn.TEXTJOIN(CHAR(10), TRUE, IF(tblPiNAnalysis[[#This Row],[3º PiN más alto]]=tblPiNAnalysis[[#This Row],[SAMV]:[ASH]], tblPiNAnalysis[[#Headers],[SAMV]:[ASH]], "")))</f>
        <v>PRO</v>
      </c>
      <c r="AM33" s="53">
        <f>IFERROR(tblPiNAnalysis[[#This Row],[3º PiN más alto]]/tblPiNAnalysis[[#This Row],[Población]], "")</f>
        <v>0.23835990918140465</v>
      </c>
      <c r="AN33" s="15">
        <f>IFERROR(tblPiNAnalysis[[#This Row],[PiN más alto]]-tblPiNAnalysis[[#This Row],[3º PiN más alto]],"")</f>
        <v>32377.336013701177</v>
      </c>
      <c r="AO33" s="14">
        <f>IFERROR(tblPiNAnalysis[[#This Row],[Diferencia de PiN entre el más alto y el 3º más alto]]/tblPiNAnalysis[[#This Row],[3º PiN más alto]], "")</f>
        <v>0.88790137378985967</v>
      </c>
      <c r="AP33" s="96" t="str" cm="1">
        <f t="array" ref="AP3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3" s="84" cm="1">
        <f t="array" ref="AQ33">IFERROR(IF(tblPiNAnalysis[[#This Row],[ID]]="", "", INDEX(tblPiNHistorical[[SAMV]:[ASH]], MATCH(tblPiNAnalysis[[#This Row],[ID]],tblPiNHistorical[ID], 0),MATCH(_xlfn._xlws.FILTER(tblPiNAnalysis[[#Headers],[SAMV]:[ASH]], tblPiNAnalysis[[#This Row],[PiN más alto]]=tblPiNAnalysis[[#This Row],[SAMV]:[ASH]]), tblPiNHistorical[[#Headers],[SAMV]:[ASH]], 0))), "")</f>
        <v>-0.7</v>
      </c>
      <c r="AR33" s="99" t="str" cm="1">
        <f t="array" ref="AR3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3" s="74" cm="1">
        <f t="array" ref="AS33">IFERROR(IF(tblPiNAnalysis[[#This Row],[ID]]="", "", INDEX(tblPiNHistorical[[SAMV]:[ASH]], MATCH(tblPiNAnalysis[[#This Row],[ID]],tblPiNHistorical[ID], 0),MATCH(_xlfn._xlws.FILTER(tblPiNAnalysis[[#Headers],[SAMV]:[ASH]], tblPiNAnalysis[[#This Row],[2º PiN más alto]]=tblPiNAnalysis[[#This Row],[SAMV]:[ASH]]), tblPiNHistorical[[#Headers],[SAMV]:[ASH]], 0))), "")</f>
        <v>-0.6</v>
      </c>
      <c r="AT33" s="100" t="str" cm="1">
        <f t="array" ref="AT3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3" s="219">
        <f>INDEX(tblSeverityAnalysis[Severidad final], MATCH(tblPiNAnalysis[[#This Row],[ID]],tblSeverityAnalysis[ID], 0))</f>
        <v>3</v>
      </c>
      <c r="AV33" s="220">
        <f>IF(tblPiNAnalysis[[#This Row],[Severidad]]&gt;2,tblPiNAnalysis[[#This Row],[PiN más alto]],)</f>
        <v>68842.350000000006</v>
      </c>
      <c r="AW33" s="54"/>
      <c r="AX33" s="55"/>
      <c r="AY33" s="56">
        <f>COUNTIFS(tblPiNAnalysis[[#This Row],[Número de PiN ausentes/cero superior al umbral - Calidad de los datos]:[Marcador manual]],"Flagged")</f>
        <v>1</v>
      </c>
      <c r="AZ33" s="34" t="str">
        <f>IF(tblPiNAnalysis[[#This Row],[Número de marcadores]]&gt;0, "Flagged", "")</f>
        <v>Flagged</v>
      </c>
      <c r="BA33" s="92">
        <f>tblPiNAnalysis[[#This Row],[PiN preliminar]]</f>
        <v>68842.350000000006</v>
      </c>
      <c r="BB33" s="97"/>
      <c r="BC33" s="70">
        <f>IFERROR(IF(tblPiNAnalysis[[#This Row],[Severidad]]=3,tblPiNAnalysis[[#This Row],[PiN final]]*Umbrales!$D$33,tblPiNAnalysis[[#This Row],[PiN final]]*Umbrales!$D$34),)</f>
        <v>34421.175000000003</v>
      </c>
      <c r="BD33" s="70">
        <f>IFERROR(IF(tblPiNAnalysis[[#This Row],[Severidad]]&gt;3,tblPiNAnalysis[[#This Row],[PiN final]]*Umbrales!$D$34,),)</f>
        <v>0</v>
      </c>
    </row>
    <row r="34" spans="1:56">
      <c r="A34" s="101" t="str">
        <f>IFERROR(_xlfn.CONCAT(IF(tblPiNAnalysis[[#This Row],[Grupo]]="", "",tblPiNAnalysis[[#This Row],[Grupo]] ),  _xlfn.IFS(tblPiNAnalysis[[#This Row],[Admin2PCODE]]&lt;&gt;"", tblPiNAnalysis[[#This Row],[Admin2PCODE]], tblPiNAnalysis[[#This Row],[Admin1PCODE]]&lt;&gt;"", tblPiNAnalysis[[#This Row],[Admin1PCODE]])),"")</f>
        <v>VenezolanosVE0319</v>
      </c>
      <c r="B34" s="105" t="s">
        <v>119</v>
      </c>
      <c r="C34" s="104" t="s">
        <v>120</v>
      </c>
      <c r="D34" s="119" t="s">
        <v>157</v>
      </c>
      <c r="E34" s="104" t="s">
        <v>158</v>
      </c>
      <c r="F34" s="358"/>
      <c r="G34" s="357">
        <v>186595</v>
      </c>
      <c r="H34" s="103" t="s">
        <v>102</v>
      </c>
      <c r="I34" s="60">
        <v>49834</v>
      </c>
      <c r="J34" s="134">
        <v>6347.9932718436048</v>
      </c>
      <c r="K34" s="57">
        <v>68107.175000000003</v>
      </c>
      <c r="L34" s="87">
        <v>21566.181098022618</v>
      </c>
      <c r="M34" s="87">
        <v>37113.649032223722</v>
      </c>
      <c r="N34" s="57">
        <v>0</v>
      </c>
      <c r="O34" s="57">
        <v>11876.367690311592</v>
      </c>
      <c r="P34" s="57">
        <v>12989.777161278302</v>
      </c>
      <c r="Q34" s="88">
        <f>IFERROR(IF(tblPiNAnalysis[[#This Row],[SAMV]]="", "", MROUND(tblPiNAnalysis[[#This Row],[SAMV]]/tblPiNAnalysis[[#This Row],[Población]], 0.05)), "")</f>
        <v>0.25</v>
      </c>
      <c r="R34" s="89">
        <f>IFERROR(IF(tblPiNAnalysis[[#This Row],[NUT]]="", "", MROUND(tblPiNAnalysis[[#This Row],[NUT]]/tblPiNAnalysis[[#This Row],[Población]], 0.05)), "")</f>
        <v>0.05</v>
      </c>
      <c r="S34" s="89">
        <f>IFERROR(IF(tblPiNAnalysis[[#This Row],[SAL]]="", "", MROUND(tblPiNAnalysis[[#This Row],[SAL]]/tblPiNAnalysis[[#This Row],[Población]], 0.05)), "")</f>
        <v>0.35000000000000003</v>
      </c>
      <c r="T34" s="89">
        <f>IFERROR(IF(tblPiNAnalysis[[#This Row],[EDU]]="", "", MROUND(tblPiNAnalysis[[#This Row],[EDU]]/tblPiNAnalysis[[#This Row],[Población]], 0.05)), "")</f>
        <v>0.1</v>
      </c>
      <c r="U34" s="89">
        <f>IFERROR(IF(tblPiNAnalysis[[#This Row],[PRO]]="", "", MROUND(tblPiNAnalysis[[#This Row],[PRO]]/tblPiNAnalysis[[#This Row],[Población]], 0.05)), "")</f>
        <v>0.2</v>
      </c>
      <c r="V34" s="90">
        <f>IFERROR(IF(tblPiNAnalysis[[#This Row],[ASH]]="", "", MROUND(tblPiNAnalysis[[#This Row],[ASH]]/tblPiNAnalysis[[#This Row],[Población]], 0.05)), "")</f>
        <v>0</v>
      </c>
      <c r="W34" s="89">
        <f>IFERROR(MROUND(tblPiNAnalysis[[#This Row],[NNA]]/tblPiNAnalysis[[#This Row],[Población]], 0.05), "")</f>
        <v>0.05</v>
      </c>
      <c r="X34" s="89">
        <f>IFERROR(MROUND(tblPiNAnalysis[[#This Row],[VBG]]/tblPiNAnalysis[[#This Row],[Población]], 0.05), "")</f>
        <v>0.05</v>
      </c>
      <c r="Y34" s="91">
        <f>IFERROR(LARGE(tblPiNAnalysis[[#This Row],[SAMV]:[ASH]], 1), "")</f>
        <v>68107.175000000003</v>
      </c>
      <c r="Z34" s="92" t="str" cm="1">
        <f t="array" ref="Z34">IF(tblPiNAnalysis[[#This Row],[PiN más alto]]="", "", _xlfn.TEXTJOIN(CHAR(10), TRUE, IF(tblPiNAnalysis[[#This Row],[PiN más alto]]=tblPiNAnalysis[[#This Row],[SAMV]:[ASH]], tblPiNAnalysis[[#Headers],[SAMV]:[ASH]], "")))</f>
        <v>SAL</v>
      </c>
      <c r="AA34" s="93">
        <f>IF(tblPiNAnalysis[[#This Row],[PiN más alto]]="", "", tblPiNAnalysis[[#This Row],[PiN más alto]]/tblPiNAnalysis[[#This Row],[Población]])</f>
        <v>0.36499999999999999</v>
      </c>
      <c r="AB34" s="94" t="str">
        <f>IF(SUM(tblPiNAnalysis[[#This Row],[SAMV]:[ASH]])=0, "",IF(COUNTIF(tblPiNAnalysis[[#This Row],[SAMV]:[ASH]],"=0")+COUNTIF(tblPiNAnalysis[[#This Row],[SAMV]:[ASH]],"")&gt;=zero_pin_thresh, "Flagged", ""))</f>
        <v/>
      </c>
      <c r="AC34" s="95" t="str">
        <f>IFERROR(IF(tblPiNAnalysis[[#This Row],[PiN más alto]]="", "", IF(tblPiNAnalysis[[#This Row],[% PiN Sectores más altos]]&gt;=flag_pin_perc, "Flagged", "")), "")</f>
        <v/>
      </c>
      <c r="AD34" s="96" t="str" cm="1">
        <f t="array" ref="AD34">IF(tblPiNAnalysis[[#This Row],[PiN más alto]]=0, "",  IF(OR(COUNTIF(tblPiNAnalysis[[#This Row],[Sectores más altos]],tblSubSectorPopulation[Sector])), "Flagged", ""))</f>
        <v/>
      </c>
      <c r="AE34" s="16" cm="1">
        <f t="array" ref="AE3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49834</v>
      </c>
      <c r="AF34" s="97" t="str" cm="1">
        <f t="array" ref="AF34">IF(tblPiNAnalysis[[#This Row],[2º PiN más alto]]="", "", _xlfn.TEXTJOIN(CHAR(10), TRUE, IF(tblPiNAnalysis[[#This Row],[2º PiN más alto]]=tblPiNAnalysis[[#This Row],[SAMV]:[ASH]], tblPiNAnalysis[[#Headers],[SAMV]:[ASH]], "")))</f>
        <v>SAMV</v>
      </c>
      <c r="AG34" s="12">
        <f>IFERROR(tblPiNAnalysis[[#This Row],[2º PiN más alto]]/tblPiNAnalysis[[#This Row],[Población]], "")</f>
        <v>0.26707039309734987</v>
      </c>
      <c r="AH34" s="16">
        <f>IFERROR(tblPiNAnalysis[[#This Row],[PiN más alto]]-tblPiNAnalysis[[#This Row],[2º PiN más alto]], "")</f>
        <v>18273.175000000003</v>
      </c>
      <c r="AI34" s="14">
        <f>IFERROR(((tblPiNAnalysis[[#This Row],[PiN más alto]]-tblPiNAnalysis[[#This Row],[2º PiN más alto]])/tblPiNAnalysis[[#This Row],[2º PiN más alto]]),"")</f>
        <v>0.36668088052333753</v>
      </c>
      <c r="AJ34" s="14" t="str" cm="1">
        <f t="array" ref="AJ3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4" s="98" cm="1">
        <f t="array" ref="AK3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37113.649032223722</v>
      </c>
      <c r="AL34" s="53" t="str" cm="1">
        <f t="array" ref="AL34">IF(tblPiNAnalysis[[#This Row],[3º PiN más alto]]="", "", _xlfn.TEXTJOIN(CHAR(10), TRUE, IF(tblPiNAnalysis[[#This Row],[3º PiN más alto]]=tblPiNAnalysis[[#This Row],[SAMV]:[ASH]], tblPiNAnalysis[[#Headers],[SAMV]:[ASH]], "")))</f>
        <v>PRO</v>
      </c>
      <c r="AM34" s="53">
        <f>IFERROR(tblPiNAnalysis[[#This Row],[3º PiN más alto]]/tblPiNAnalysis[[#This Row],[Población]], "")</f>
        <v>0.19889948300985408</v>
      </c>
      <c r="AN34" s="15">
        <f>IFERROR(tblPiNAnalysis[[#This Row],[PiN más alto]]-tblPiNAnalysis[[#This Row],[3º PiN más alto]],"")</f>
        <v>30993.525967776281</v>
      </c>
      <c r="AO34" s="14">
        <f>IFERROR(tblPiNAnalysis[[#This Row],[Diferencia de PiN entre el más alto y el 3º más alto]]/tblPiNAnalysis[[#This Row],[3º PiN más alto]], "")</f>
        <v>0.83509778143524294</v>
      </c>
      <c r="AP34" s="96" t="str" cm="1">
        <f t="array" ref="AP3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4" s="84" cm="1">
        <f t="array" ref="AQ34">IFERROR(IF(tblPiNAnalysis[[#This Row],[ID]]="", "", INDEX(tblPiNHistorical[[SAMV]:[ASH]], MATCH(tblPiNAnalysis[[#This Row],[ID]],tblPiNHistorical[ID], 0),MATCH(_xlfn._xlws.FILTER(tblPiNAnalysis[[#Headers],[SAMV]:[ASH]], tblPiNAnalysis[[#This Row],[PiN más alto]]=tblPiNAnalysis[[#This Row],[SAMV]:[ASH]]), tblPiNHistorical[[#Headers],[SAMV]:[ASH]], 0))), "")</f>
        <v>0.4</v>
      </c>
      <c r="AR34" s="99" t="str" cm="1">
        <f t="array" ref="AR3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4" s="74" cm="1">
        <f t="array" ref="AS34">IFERROR(IF(tblPiNAnalysis[[#This Row],[ID]]="", "", INDEX(tblPiNHistorical[[SAMV]:[ASH]], MATCH(tblPiNAnalysis[[#This Row],[ID]],tblPiNHistorical[ID], 0),MATCH(_xlfn._xlws.FILTER(tblPiNAnalysis[[#Headers],[SAMV]:[ASH]], tblPiNAnalysis[[#This Row],[2º PiN más alto]]=tblPiNAnalysis[[#This Row],[SAMV]:[ASH]]), tblPiNHistorical[[#Headers],[SAMV]:[ASH]], 0))), "")</f>
        <v>1.3</v>
      </c>
      <c r="AT34" s="100" t="str" cm="1">
        <f t="array" ref="AT3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4" s="219">
        <f>INDEX(tblSeverityAnalysis[Severidad final], MATCH(tblPiNAnalysis[[#This Row],[ID]],tblSeverityAnalysis[ID], 0))</f>
        <v>3</v>
      </c>
      <c r="AV34" s="220">
        <f>IF(tblPiNAnalysis[[#This Row],[Severidad]]&gt;2,tblPiNAnalysis[[#This Row],[PiN más alto]],)</f>
        <v>68107.175000000003</v>
      </c>
      <c r="AW34" s="54"/>
      <c r="AX34" s="55"/>
      <c r="AY34" s="56">
        <f>COUNTIFS(tblPiNAnalysis[[#This Row],[Número de PiN ausentes/cero superior al umbral - Calidad de los datos]:[Marcador manual]],"Flagged")</f>
        <v>3</v>
      </c>
      <c r="AZ34" s="34" t="str">
        <f>IF(tblPiNAnalysis[[#This Row],[Número de marcadores]]&gt;0, "Flagged", "")</f>
        <v>Flagged</v>
      </c>
      <c r="BA34" s="92">
        <f>tblPiNAnalysis[[#This Row],[PiN preliminar]]</f>
        <v>68107.175000000003</v>
      </c>
      <c r="BB34" s="97"/>
      <c r="BC34" s="70">
        <f>IFERROR(IF(tblPiNAnalysis[[#This Row],[Severidad]]=3,tblPiNAnalysis[[#This Row],[PiN final]]*Umbrales!$D$33,tblPiNAnalysis[[#This Row],[PiN final]]*Umbrales!$D$34),)</f>
        <v>34053.587500000001</v>
      </c>
      <c r="BD34" s="70">
        <f>IFERROR(IF(tblPiNAnalysis[[#This Row],[Severidad]]&gt;3,tblPiNAnalysis[[#This Row],[PiN final]]*Umbrales!$D$34,),)</f>
        <v>0</v>
      </c>
    </row>
    <row r="35" spans="1:56">
      <c r="A35" s="101" t="str">
        <f>IFERROR(_xlfn.CONCAT(IF(tblPiNAnalysis[[#This Row],[Grupo]]="", "",tblPiNAnalysis[[#This Row],[Grupo]] ),  _xlfn.IFS(tblPiNAnalysis[[#This Row],[Admin2PCODE]]&lt;&gt;"", tblPiNAnalysis[[#This Row],[Admin2PCODE]], tblPiNAnalysis[[#This Row],[Admin1PCODE]]&lt;&gt;"", tblPiNAnalysis[[#This Row],[Admin1PCODE]])),"")</f>
        <v>VenezolanosVE1512</v>
      </c>
      <c r="B35" s="105" t="s">
        <v>276</v>
      </c>
      <c r="C35" s="104" t="s">
        <v>455</v>
      </c>
      <c r="D35" s="119" t="s">
        <v>476</v>
      </c>
      <c r="E35" s="104" t="s">
        <v>477</v>
      </c>
      <c r="F35" s="358"/>
      <c r="G35" s="357">
        <v>148218</v>
      </c>
      <c r="H35" s="103" t="s">
        <v>102</v>
      </c>
      <c r="I35" s="60">
        <v>16036</v>
      </c>
      <c r="J35" s="134">
        <v>11441.380194558114</v>
      </c>
      <c r="K35" s="57">
        <v>54099.57</v>
      </c>
      <c r="L35" s="87">
        <v>13405.051233996901</v>
      </c>
      <c r="M35" s="87">
        <v>35458.127978101686</v>
      </c>
      <c r="N35" s="57">
        <v>66698.100000000006</v>
      </c>
      <c r="O35" s="57">
        <v>11346.60095299254</v>
      </c>
      <c r="P35" s="57">
        <v>12410.344792335587</v>
      </c>
      <c r="Q35" s="88">
        <f>IFERROR(IF(tblPiNAnalysis[[#This Row],[SAMV]]="", "", MROUND(tblPiNAnalysis[[#This Row],[SAMV]]/tblPiNAnalysis[[#This Row],[Población]], 0.05)), "")</f>
        <v>0.1</v>
      </c>
      <c r="R35" s="89">
        <f>IFERROR(IF(tblPiNAnalysis[[#This Row],[NUT]]="", "", MROUND(tblPiNAnalysis[[#This Row],[NUT]]/tblPiNAnalysis[[#This Row],[Población]], 0.05)), "")</f>
        <v>0.1</v>
      </c>
      <c r="S35" s="89">
        <f>IFERROR(IF(tblPiNAnalysis[[#This Row],[SAL]]="", "", MROUND(tblPiNAnalysis[[#This Row],[SAL]]/tblPiNAnalysis[[#This Row],[Población]], 0.05)), "")</f>
        <v>0.35000000000000003</v>
      </c>
      <c r="T35" s="89">
        <f>IFERROR(IF(tblPiNAnalysis[[#This Row],[EDU]]="", "", MROUND(tblPiNAnalysis[[#This Row],[EDU]]/tblPiNAnalysis[[#This Row],[Población]], 0.05)), "")</f>
        <v>0.1</v>
      </c>
      <c r="U35" s="89">
        <f>IFERROR(IF(tblPiNAnalysis[[#This Row],[PRO]]="", "", MROUND(tblPiNAnalysis[[#This Row],[PRO]]/tblPiNAnalysis[[#This Row],[Población]], 0.05)), "")</f>
        <v>0.25</v>
      </c>
      <c r="V35" s="90">
        <f>IFERROR(IF(tblPiNAnalysis[[#This Row],[ASH]]="", "", MROUND(tblPiNAnalysis[[#This Row],[ASH]]/tblPiNAnalysis[[#This Row],[Población]], 0.05)), "")</f>
        <v>0.45</v>
      </c>
      <c r="W35" s="89">
        <f>IFERROR(MROUND(tblPiNAnalysis[[#This Row],[NNA]]/tblPiNAnalysis[[#This Row],[Población]], 0.05), "")</f>
        <v>0.1</v>
      </c>
      <c r="X35" s="89">
        <f>IFERROR(MROUND(tblPiNAnalysis[[#This Row],[VBG]]/tblPiNAnalysis[[#This Row],[Población]], 0.05), "")</f>
        <v>0.1</v>
      </c>
      <c r="Y35" s="91">
        <f>IFERROR(LARGE(tblPiNAnalysis[[#This Row],[SAMV]:[ASH]], 1), "")</f>
        <v>66698.100000000006</v>
      </c>
      <c r="Z35" s="92" t="str" cm="1">
        <f t="array" ref="Z35">IF(tblPiNAnalysis[[#This Row],[PiN más alto]]="", "", _xlfn.TEXTJOIN(CHAR(10), TRUE, IF(tblPiNAnalysis[[#This Row],[PiN más alto]]=tblPiNAnalysis[[#This Row],[SAMV]:[ASH]], tblPiNAnalysis[[#Headers],[SAMV]:[ASH]], "")))</f>
        <v>ASH</v>
      </c>
      <c r="AA35" s="93">
        <f>IF(tblPiNAnalysis[[#This Row],[PiN más alto]]="", "", tblPiNAnalysis[[#This Row],[PiN más alto]]/tblPiNAnalysis[[#This Row],[Población]])</f>
        <v>0.45000000000000007</v>
      </c>
      <c r="AB35" s="94" t="str">
        <f>IF(SUM(tblPiNAnalysis[[#This Row],[SAMV]:[ASH]])=0, "",IF(COUNTIF(tblPiNAnalysis[[#This Row],[SAMV]:[ASH]],"=0")+COUNTIF(tblPiNAnalysis[[#This Row],[SAMV]:[ASH]],"")&gt;=zero_pin_thresh, "Flagged", ""))</f>
        <v/>
      </c>
      <c r="AC35" s="95" t="str">
        <f>IFERROR(IF(tblPiNAnalysis[[#This Row],[PiN más alto]]="", "", IF(tblPiNAnalysis[[#This Row],[% PiN Sectores más altos]]&gt;=flag_pin_perc, "Flagged", "")), "")</f>
        <v/>
      </c>
      <c r="AD35" s="96" t="str" cm="1">
        <f t="array" ref="AD35">IF(tblPiNAnalysis[[#This Row],[PiN más alto]]=0, "",  IF(OR(COUNTIF(tblPiNAnalysis[[#This Row],[Sectores más altos]],tblSubSectorPopulation[Sector])), "Flagged", ""))</f>
        <v/>
      </c>
      <c r="AE35" s="16" cm="1">
        <f t="array" ref="AE3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54099.57</v>
      </c>
      <c r="AF35" s="97" t="str" cm="1">
        <f t="array" ref="AF35">IF(tblPiNAnalysis[[#This Row],[2º PiN más alto]]="", "", _xlfn.TEXTJOIN(CHAR(10), TRUE, IF(tblPiNAnalysis[[#This Row],[2º PiN más alto]]=tblPiNAnalysis[[#This Row],[SAMV]:[ASH]], tblPiNAnalysis[[#Headers],[SAMV]:[ASH]], "")))</f>
        <v>SAL</v>
      </c>
      <c r="AG35" s="12">
        <f>IFERROR(tblPiNAnalysis[[#This Row],[2º PiN más alto]]/tblPiNAnalysis[[#This Row],[Población]], "")</f>
        <v>0.36499999999999999</v>
      </c>
      <c r="AH35" s="16">
        <f>IFERROR(tblPiNAnalysis[[#This Row],[PiN más alto]]-tblPiNAnalysis[[#This Row],[2º PiN más alto]], "")</f>
        <v>12598.530000000006</v>
      </c>
      <c r="AI35" s="14">
        <f>IFERROR(((tblPiNAnalysis[[#This Row],[PiN más alto]]-tblPiNAnalysis[[#This Row],[2º PiN más alto]])/tblPiNAnalysis[[#This Row],[2º PiN más alto]]),"")</f>
        <v>0.23287671232876725</v>
      </c>
      <c r="AJ35" s="14" t="str" cm="1">
        <f t="array" ref="AJ3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5" s="98" cm="1">
        <f t="array" ref="AK3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35458.127978101686</v>
      </c>
      <c r="AL35" s="53" t="str" cm="1">
        <f t="array" ref="AL35">IF(tblPiNAnalysis[[#This Row],[3º PiN más alto]]="", "", _xlfn.TEXTJOIN(CHAR(10), TRUE, IF(tblPiNAnalysis[[#This Row],[3º PiN más alto]]=tblPiNAnalysis[[#This Row],[SAMV]:[ASH]], tblPiNAnalysis[[#Headers],[SAMV]:[ASH]], "")))</f>
        <v>PRO</v>
      </c>
      <c r="AM35" s="53">
        <f>IFERROR(tblPiNAnalysis[[#This Row],[3º PiN más alto]]/tblPiNAnalysis[[#This Row],[Población]], "")</f>
        <v>0.2392295671112934</v>
      </c>
      <c r="AN35" s="15">
        <f>IFERROR(tblPiNAnalysis[[#This Row],[PiN más alto]]-tblPiNAnalysis[[#This Row],[3º PiN más alto]],"")</f>
        <v>31239.97202189832</v>
      </c>
      <c r="AO35" s="14">
        <f>IFERROR(tblPiNAnalysis[[#This Row],[Diferencia de PiN entre el más alto y el 3º más alto]]/tblPiNAnalysis[[#This Row],[3º PiN más alto]], "")</f>
        <v>0.8810383910056272</v>
      </c>
      <c r="AP35" s="96" t="str" cm="1">
        <f t="array" ref="AP3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5" s="84" t="str" cm="1">
        <f t="array" ref="AQ35">IFERROR(IF(tblPiNAnalysis[[#This Row],[ID]]="", "", INDEX(tblPiNHistorical[[SAMV]:[ASH]], MATCH(tblPiNAnalysis[[#This Row],[ID]],tblPiNHistorical[ID], 0),MATCH(_xlfn._xlws.FILTER(tblPiNAnalysis[[#Headers],[SAMV]:[ASH]], tblPiNAnalysis[[#This Row],[PiN más alto]]=tblPiNAnalysis[[#This Row],[SAMV]:[ASH]]), tblPiNHistorical[[#Headers],[SAMV]:[ASH]], 0))), "")</f>
        <v>NoPIN26 72474</v>
      </c>
      <c r="AR35" s="99" t="str" cm="1">
        <f t="array" ref="AR3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5" s="74" cm="1">
        <f t="array" ref="AS35">IFERROR(IF(tblPiNAnalysis[[#This Row],[ID]]="", "", INDEX(tblPiNHistorical[[SAMV]:[ASH]], MATCH(tblPiNAnalysis[[#This Row],[ID]],tblPiNHistorical[ID], 0),MATCH(_xlfn._xlws.FILTER(tblPiNAnalysis[[#Headers],[SAMV]:[ASH]], tblPiNAnalysis[[#This Row],[2º PiN más alto]]=tblPiNAnalysis[[#This Row],[SAMV]:[ASH]]), tblPiNHistorical[[#Headers],[SAMV]:[ASH]], 0))), "")</f>
        <v>-0.8</v>
      </c>
      <c r="AT35" s="100" t="str" cm="1">
        <f t="array" ref="AT3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5" s="219">
        <f>INDEX(tblSeverityAnalysis[Severidad final], MATCH(tblPiNAnalysis[[#This Row],[ID]],tblSeverityAnalysis[ID], 0))</f>
        <v>3</v>
      </c>
      <c r="AV35" s="220">
        <f>IF(tblPiNAnalysis[[#This Row],[Severidad]]&gt;2,tblPiNAnalysis[[#This Row],[PiN más alto]],)</f>
        <v>66698.100000000006</v>
      </c>
      <c r="AW35" s="54"/>
      <c r="AX35" s="55"/>
      <c r="AY35" s="56">
        <f>COUNTIFS(tblPiNAnalysis[[#This Row],[Número de PiN ausentes/cero superior al umbral - Calidad de los datos]:[Marcador manual]],"Flagged")</f>
        <v>1</v>
      </c>
      <c r="AZ35" s="34" t="str">
        <f>IF(tblPiNAnalysis[[#This Row],[Número de marcadores]]&gt;0, "Flagged", "")</f>
        <v>Flagged</v>
      </c>
      <c r="BA35" s="92">
        <f>tblPiNAnalysis[[#This Row],[PiN preliminar]]</f>
        <v>66698.100000000006</v>
      </c>
      <c r="BB35" s="97"/>
      <c r="BC35" s="70">
        <f>IFERROR(IF(tblPiNAnalysis[[#This Row],[Severidad]]=3,tblPiNAnalysis[[#This Row],[PiN final]]*Umbrales!$D$33,tblPiNAnalysis[[#This Row],[PiN final]]*Umbrales!$D$34),)</f>
        <v>33349.050000000003</v>
      </c>
      <c r="BD35" s="70">
        <f>IFERROR(IF(tblPiNAnalysis[[#This Row],[Severidad]]&gt;3,tblPiNAnalysis[[#This Row],[PiN final]]*Umbrales!$D$34,),)</f>
        <v>0</v>
      </c>
    </row>
    <row r="36" spans="1:56">
      <c r="A36" s="101" t="str">
        <f>IFERROR(_xlfn.CONCAT(IF(tblPiNAnalysis[[#This Row],[Grupo]]="", "",tblPiNAnalysis[[#This Row],[Grupo]] ),  _xlfn.IFS(tblPiNAnalysis[[#This Row],[Admin2PCODE]]&lt;&gt;"", tblPiNAnalysis[[#This Row],[Admin2PCODE]], tblPiNAnalysis[[#This Row],[Admin1PCODE]]&lt;&gt;"", tblPiNAnalysis[[#This Row],[Admin1PCODE]])),"")</f>
        <v>VenezolanosVE0301</v>
      </c>
      <c r="B36" s="105" t="s">
        <v>119</v>
      </c>
      <c r="C36" s="104" t="s">
        <v>120</v>
      </c>
      <c r="D36" s="119" t="s">
        <v>121</v>
      </c>
      <c r="E36" s="104" t="s">
        <v>122</v>
      </c>
      <c r="F36" s="358"/>
      <c r="G36" s="357">
        <v>125402</v>
      </c>
      <c r="H36" s="103" t="s">
        <v>102</v>
      </c>
      <c r="I36" s="60">
        <v>28600</v>
      </c>
      <c r="J36" s="134">
        <v>5142.2235047458289</v>
      </c>
      <c r="K36" s="57">
        <v>45771.73</v>
      </c>
      <c r="L36" s="87">
        <v>14539.779756822465</v>
      </c>
      <c r="M36" s="87">
        <v>29930.871562082062</v>
      </c>
      <c r="N36" s="57">
        <v>56430.9</v>
      </c>
      <c r="O36" s="57">
        <v>9607.8097714283431</v>
      </c>
      <c r="P36" s="57">
        <v>10475.805046728723</v>
      </c>
      <c r="Q36" s="88">
        <f>IFERROR(IF(tblPiNAnalysis[[#This Row],[SAMV]]="", "", MROUND(tblPiNAnalysis[[#This Row],[SAMV]]/tblPiNAnalysis[[#This Row],[Población]], 0.05)), "")</f>
        <v>0.25</v>
      </c>
      <c r="R36" s="89">
        <f>IFERROR(IF(tblPiNAnalysis[[#This Row],[NUT]]="", "", MROUND(tblPiNAnalysis[[#This Row],[NUT]]/tblPiNAnalysis[[#This Row],[Población]], 0.05)), "")</f>
        <v>0.05</v>
      </c>
      <c r="S36" s="89">
        <f>IFERROR(IF(tblPiNAnalysis[[#This Row],[SAL]]="", "", MROUND(tblPiNAnalysis[[#This Row],[SAL]]/tblPiNAnalysis[[#This Row],[Población]], 0.05)), "")</f>
        <v>0.35000000000000003</v>
      </c>
      <c r="T36" s="89">
        <f>IFERROR(IF(tblPiNAnalysis[[#This Row],[EDU]]="", "", MROUND(tblPiNAnalysis[[#This Row],[EDU]]/tblPiNAnalysis[[#This Row],[Población]], 0.05)), "")</f>
        <v>0.1</v>
      </c>
      <c r="U36" s="89">
        <f>IFERROR(IF(tblPiNAnalysis[[#This Row],[PRO]]="", "", MROUND(tblPiNAnalysis[[#This Row],[PRO]]/tblPiNAnalysis[[#This Row],[Población]], 0.05)), "")</f>
        <v>0.25</v>
      </c>
      <c r="V36" s="90">
        <f>IFERROR(IF(tblPiNAnalysis[[#This Row],[ASH]]="", "", MROUND(tblPiNAnalysis[[#This Row],[ASH]]/tblPiNAnalysis[[#This Row],[Población]], 0.05)), "")</f>
        <v>0.45</v>
      </c>
      <c r="W36" s="89">
        <f>IFERROR(MROUND(tblPiNAnalysis[[#This Row],[NNA]]/tblPiNAnalysis[[#This Row],[Población]], 0.05), "")</f>
        <v>0.1</v>
      </c>
      <c r="X36" s="89">
        <f>IFERROR(MROUND(tblPiNAnalysis[[#This Row],[VBG]]/tblPiNAnalysis[[#This Row],[Población]], 0.05), "")</f>
        <v>0.1</v>
      </c>
      <c r="Y36" s="91">
        <f>IFERROR(LARGE(tblPiNAnalysis[[#This Row],[SAMV]:[ASH]], 1), "")</f>
        <v>56430.9</v>
      </c>
      <c r="Z36" s="92" t="str" cm="1">
        <f t="array" ref="Z36">IF(tblPiNAnalysis[[#This Row],[PiN más alto]]="", "", _xlfn.TEXTJOIN(CHAR(10), TRUE, IF(tblPiNAnalysis[[#This Row],[PiN más alto]]=tblPiNAnalysis[[#This Row],[SAMV]:[ASH]], tblPiNAnalysis[[#Headers],[SAMV]:[ASH]], "")))</f>
        <v>ASH</v>
      </c>
      <c r="AA36" s="93">
        <f>IF(tblPiNAnalysis[[#This Row],[PiN más alto]]="", "", tblPiNAnalysis[[#This Row],[PiN más alto]]/tblPiNAnalysis[[#This Row],[Población]])</f>
        <v>0.45</v>
      </c>
      <c r="AB36" s="94" t="str">
        <f>IF(SUM(tblPiNAnalysis[[#This Row],[SAMV]:[ASH]])=0, "",IF(COUNTIF(tblPiNAnalysis[[#This Row],[SAMV]:[ASH]],"=0")+COUNTIF(tblPiNAnalysis[[#This Row],[SAMV]:[ASH]],"")&gt;=zero_pin_thresh, "Flagged", ""))</f>
        <v/>
      </c>
      <c r="AC36" s="95" t="str">
        <f>IFERROR(IF(tblPiNAnalysis[[#This Row],[PiN más alto]]="", "", IF(tblPiNAnalysis[[#This Row],[% PiN Sectores más altos]]&gt;=flag_pin_perc, "Flagged", "")), "")</f>
        <v/>
      </c>
      <c r="AD36" s="96" t="str" cm="1">
        <f t="array" ref="AD36">IF(tblPiNAnalysis[[#This Row],[PiN más alto]]=0, "",  IF(OR(COUNTIF(tblPiNAnalysis[[#This Row],[Sectores más altos]],tblSubSectorPopulation[Sector])), "Flagged", ""))</f>
        <v/>
      </c>
      <c r="AE36" s="16" cm="1">
        <f t="array" ref="AE3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45771.73</v>
      </c>
      <c r="AF36" s="97" t="str" cm="1">
        <f t="array" ref="AF36">IF(tblPiNAnalysis[[#This Row],[2º PiN más alto]]="", "", _xlfn.TEXTJOIN(CHAR(10), TRUE, IF(tblPiNAnalysis[[#This Row],[2º PiN más alto]]=tblPiNAnalysis[[#This Row],[SAMV]:[ASH]], tblPiNAnalysis[[#Headers],[SAMV]:[ASH]], "")))</f>
        <v>SAL</v>
      </c>
      <c r="AG36" s="12">
        <f>IFERROR(tblPiNAnalysis[[#This Row],[2º PiN más alto]]/tblPiNAnalysis[[#This Row],[Población]], "")</f>
        <v>0.36500000000000005</v>
      </c>
      <c r="AH36" s="16">
        <f>IFERROR(tblPiNAnalysis[[#This Row],[PiN más alto]]-tblPiNAnalysis[[#This Row],[2º PiN más alto]], "")</f>
        <v>10659.169999999998</v>
      </c>
      <c r="AI36" s="14">
        <f>IFERROR(((tblPiNAnalysis[[#This Row],[PiN más alto]]-tblPiNAnalysis[[#This Row],[2º PiN más alto]])/tblPiNAnalysis[[#This Row],[2º PiN más alto]]),"")</f>
        <v>0.23287671232876708</v>
      </c>
      <c r="AJ36" s="14" t="str" cm="1">
        <f t="array" ref="AJ3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6" s="98" cm="1">
        <f t="array" ref="AK3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29930.871562082062</v>
      </c>
      <c r="AL36" s="53" t="str" cm="1">
        <f t="array" ref="AL36">IF(tblPiNAnalysis[[#This Row],[3º PiN más alto]]="", "", _xlfn.TEXTJOIN(CHAR(10), TRUE, IF(tblPiNAnalysis[[#This Row],[3º PiN más alto]]=tblPiNAnalysis[[#This Row],[SAMV]:[ASH]], tblPiNAnalysis[[#Headers],[SAMV]:[ASH]], "")))</f>
        <v>PRO</v>
      </c>
      <c r="AM36" s="53">
        <f>IFERROR(tblPiNAnalysis[[#This Row],[3º PiN más alto]]/tblPiNAnalysis[[#This Row],[Población]], "")</f>
        <v>0.23867937961182487</v>
      </c>
      <c r="AN36" s="15">
        <f>IFERROR(tblPiNAnalysis[[#This Row],[PiN más alto]]-tblPiNAnalysis[[#This Row],[3º PiN más alto]],"")</f>
        <v>26500.028437917939</v>
      </c>
      <c r="AO36" s="14">
        <f>IFERROR(tblPiNAnalysis[[#This Row],[Diferencia de PiN entre el más alto y el 3º más alto]]/tblPiNAnalysis[[#This Row],[3º PiN más alto]], "")</f>
        <v>0.88537443298141416</v>
      </c>
      <c r="AP36" s="96" t="str" cm="1">
        <f t="array" ref="AP3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6" s="84" t="str" cm="1">
        <f t="array" ref="AQ36">IFERROR(IF(tblPiNAnalysis[[#This Row],[ID]]="", "", INDEX(tblPiNHistorical[[SAMV]:[ASH]], MATCH(tblPiNAnalysis[[#This Row],[ID]],tblPiNHistorical[ID], 0),MATCH(_xlfn._xlws.FILTER(tblPiNAnalysis[[#Headers],[SAMV]:[ASH]], tblPiNAnalysis[[#This Row],[PiN más alto]]=tblPiNAnalysis[[#This Row],[SAMV]:[ASH]]), tblPiNHistorical[[#Headers],[SAMV]:[ASH]], 0))), "")</f>
        <v>NoPIN26 24527</v>
      </c>
      <c r="AR36" s="99" t="str" cm="1">
        <f t="array" ref="AR3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6" s="74" cm="1">
        <f t="array" ref="AS36">IFERROR(IF(tblPiNAnalysis[[#This Row],[ID]]="", "", INDEX(tblPiNHistorical[[SAMV]:[ASH]], MATCH(tblPiNAnalysis[[#This Row],[ID]],tblPiNHistorical[ID], 0),MATCH(_xlfn._xlws.FILTER(tblPiNAnalysis[[#Headers],[SAMV]:[ASH]], tblPiNAnalysis[[#This Row],[2º PiN más alto]]=tblPiNAnalysis[[#This Row],[SAMV]:[ASH]]), tblPiNHistorical[[#Headers],[SAMV]:[ASH]], 0))), "")</f>
        <v>5.3</v>
      </c>
      <c r="AT36" s="100" t="str" cm="1">
        <f t="array" ref="AT3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6" s="219">
        <f>INDEX(tblSeverityAnalysis[Severidad final], MATCH(tblPiNAnalysis[[#This Row],[ID]],tblSeverityAnalysis[ID], 0))</f>
        <v>3</v>
      </c>
      <c r="AV36" s="220">
        <f>IF(tblPiNAnalysis[[#This Row],[Severidad]]&gt;2,tblPiNAnalysis[[#This Row],[PiN más alto]],)</f>
        <v>56430.9</v>
      </c>
      <c r="AW36" s="54"/>
      <c r="AX36" s="55"/>
      <c r="AY36" s="56">
        <f>COUNTIFS(tblPiNAnalysis[[#This Row],[Número de PiN ausentes/cero superior al umbral - Calidad de los datos]:[Marcador manual]],"Flagged")</f>
        <v>2</v>
      </c>
      <c r="AZ36" s="34" t="str">
        <f>IF(tblPiNAnalysis[[#This Row],[Número de marcadores]]&gt;0, "Flagged", "")</f>
        <v>Flagged</v>
      </c>
      <c r="BA36" s="92">
        <f>tblPiNAnalysis[[#This Row],[PiN preliminar]]</f>
        <v>56430.9</v>
      </c>
      <c r="BB36" s="97"/>
      <c r="BC36" s="70">
        <f>IFERROR(IF(tblPiNAnalysis[[#This Row],[Severidad]]=3,tblPiNAnalysis[[#This Row],[PiN final]]*Umbrales!$D$33,tblPiNAnalysis[[#This Row],[PiN final]]*Umbrales!$D$34),)</f>
        <v>28215.45</v>
      </c>
      <c r="BD36" s="70">
        <f>IFERROR(IF(tblPiNAnalysis[[#This Row],[Severidad]]&gt;3,tblPiNAnalysis[[#This Row],[PiN final]]*Umbrales!$D$34,),)</f>
        <v>0</v>
      </c>
    </row>
    <row r="37" spans="1:56">
      <c r="A37" s="101" t="str">
        <f>IFERROR(_xlfn.CONCAT(IF(tblPiNAnalysis[[#This Row],[Grupo]]="", "",tblPiNAnalysis[[#This Row],[Grupo]] ),  _xlfn.IFS(tblPiNAnalysis[[#This Row],[Admin2PCODE]]&lt;&gt;"", tblPiNAnalysis[[#This Row],[Admin2PCODE]], tblPiNAnalysis[[#This Row],[Admin1PCODE]]&lt;&gt;"", tblPiNAnalysis[[#This Row],[Admin1PCODE]])),"")</f>
        <v>VenezolanosVE0802</v>
      </c>
      <c r="B37" s="105" t="s">
        <v>261</v>
      </c>
      <c r="C37" s="104" t="s">
        <v>262</v>
      </c>
      <c r="D37" s="119" t="s">
        <v>265</v>
      </c>
      <c r="E37" s="104" t="s">
        <v>266</v>
      </c>
      <c r="F37" s="358"/>
      <c r="G37" s="357">
        <v>153665</v>
      </c>
      <c r="H37" s="103" t="s">
        <v>102</v>
      </c>
      <c r="I37" s="60">
        <v>21230</v>
      </c>
      <c r="J37" s="134">
        <v>10679.864389374021</v>
      </c>
      <c r="K37" s="57">
        <v>56087.724999999999</v>
      </c>
      <c r="L37" s="87">
        <v>19383.11853008662</v>
      </c>
      <c r="M37" s="87">
        <v>30522.979536967126</v>
      </c>
      <c r="N37" s="57">
        <v>0</v>
      </c>
      <c r="O37" s="57">
        <v>9797.8764313664469</v>
      </c>
      <c r="P37" s="57">
        <v>10683.042837938494</v>
      </c>
      <c r="Q37" s="88">
        <f>IFERROR(IF(tblPiNAnalysis[[#This Row],[SAMV]]="", "", MROUND(tblPiNAnalysis[[#This Row],[SAMV]]/tblPiNAnalysis[[#This Row],[Población]], 0.05)), "")</f>
        <v>0.15000000000000002</v>
      </c>
      <c r="R37" s="89">
        <f>IFERROR(IF(tblPiNAnalysis[[#This Row],[NUT]]="", "", MROUND(tblPiNAnalysis[[#This Row],[NUT]]/tblPiNAnalysis[[#This Row],[Población]], 0.05)), "")</f>
        <v>0.05</v>
      </c>
      <c r="S37" s="89">
        <f>IFERROR(IF(tblPiNAnalysis[[#This Row],[SAL]]="", "", MROUND(tblPiNAnalysis[[#This Row],[SAL]]/tblPiNAnalysis[[#This Row],[Población]], 0.05)), "")</f>
        <v>0.35000000000000003</v>
      </c>
      <c r="T37" s="89">
        <f>IFERROR(IF(tblPiNAnalysis[[#This Row],[EDU]]="", "", MROUND(tblPiNAnalysis[[#This Row],[EDU]]/tblPiNAnalysis[[#This Row],[Población]], 0.05)), "")</f>
        <v>0.15000000000000002</v>
      </c>
      <c r="U37" s="89">
        <f>IFERROR(IF(tblPiNAnalysis[[#This Row],[PRO]]="", "", MROUND(tblPiNAnalysis[[#This Row],[PRO]]/tblPiNAnalysis[[#This Row],[Población]], 0.05)), "")</f>
        <v>0.2</v>
      </c>
      <c r="V37" s="90">
        <f>IFERROR(IF(tblPiNAnalysis[[#This Row],[ASH]]="", "", MROUND(tblPiNAnalysis[[#This Row],[ASH]]/tblPiNAnalysis[[#This Row],[Población]], 0.05)), "")</f>
        <v>0</v>
      </c>
      <c r="W37" s="89">
        <f>IFERROR(MROUND(tblPiNAnalysis[[#This Row],[NNA]]/tblPiNAnalysis[[#This Row],[Población]], 0.05), "")</f>
        <v>0.05</v>
      </c>
      <c r="X37" s="89">
        <f>IFERROR(MROUND(tblPiNAnalysis[[#This Row],[VBG]]/tblPiNAnalysis[[#This Row],[Población]], 0.05), "")</f>
        <v>0.05</v>
      </c>
      <c r="Y37" s="91">
        <f>IFERROR(LARGE(tblPiNAnalysis[[#This Row],[SAMV]:[ASH]], 1), "")</f>
        <v>56087.724999999999</v>
      </c>
      <c r="Z37" s="92" t="str" cm="1">
        <f t="array" ref="Z37">IF(tblPiNAnalysis[[#This Row],[PiN más alto]]="", "", _xlfn.TEXTJOIN(CHAR(10), TRUE, IF(tblPiNAnalysis[[#This Row],[PiN más alto]]=tblPiNAnalysis[[#This Row],[SAMV]:[ASH]], tblPiNAnalysis[[#Headers],[SAMV]:[ASH]], "")))</f>
        <v>SAL</v>
      </c>
      <c r="AA37" s="93">
        <f>IF(tblPiNAnalysis[[#This Row],[PiN más alto]]="", "", tblPiNAnalysis[[#This Row],[PiN más alto]]/tblPiNAnalysis[[#This Row],[Población]])</f>
        <v>0.36499999999999999</v>
      </c>
      <c r="AB37" s="94" t="str">
        <f>IF(SUM(tblPiNAnalysis[[#This Row],[SAMV]:[ASH]])=0, "",IF(COUNTIF(tblPiNAnalysis[[#This Row],[SAMV]:[ASH]],"=0")+COUNTIF(tblPiNAnalysis[[#This Row],[SAMV]:[ASH]],"")&gt;=zero_pin_thresh, "Flagged", ""))</f>
        <v/>
      </c>
      <c r="AC37" s="95" t="str">
        <f>IFERROR(IF(tblPiNAnalysis[[#This Row],[PiN más alto]]="", "", IF(tblPiNAnalysis[[#This Row],[% PiN Sectores más altos]]&gt;=flag_pin_perc, "Flagged", "")), "")</f>
        <v/>
      </c>
      <c r="AD37" s="96" t="str" cm="1">
        <f t="array" ref="AD37">IF(tblPiNAnalysis[[#This Row],[PiN más alto]]=0, "",  IF(OR(COUNTIF(tblPiNAnalysis[[#This Row],[Sectores más altos]],tblSubSectorPopulation[Sector])), "Flagged", ""))</f>
        <v/>
      </c>
      <c r="AE37" s="16" cm="1">
        <f t="array" ref="AE3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30522.979536967126</v>
      </c>
      <c r="AF37" s="97" t="str" cm="1">
        <f t="array" ref="AF37">IF(tblPiNAnalysis[[#This Row],[2º PiN más alto]]="", "", _xlfn.TEXTJOIN(CHAR(10), TRUE, IF(tblPiNAnalysis[[#This Row],[2º PiN más alto]]=tblPiNAnalysis[[#This Row],[SAMV]:[ASH]], tblPiNAnalysis[[#Headers],[SAMV]:[ASH]], "")))</f>
        <v>PRO</v>
      </c>
      <c r="AG37" s="12">
        <f>IFERROR(tblPiNAnalysis[[#This Row],[2º PiN más alto]]/tblPiNAnalysis[[#This Row],[Población]], "")</f>
        <v>0.19863325765117057</v>
      </c>
      <c r="AH37" s="16">
        <f>IFERROR(tblPiNAnalysis[[#This Row],[PiN más alto]]-tblPiNAnalysis[[#This Row],[2º PiN más alto]], "")</f>
        <v>25564.745463032872</v>
      </c>
      <c r="AI37" s="14">
        <f>IFERROR(((tblPiNAnalysis[[#This Row],[PiN más alto]]-tblPiNAnalysis[[#This Row],[2º PiN más alto]])/tblPiNAnalysis[[#This Row],[2º PiN más alto]]),"")</f>
        <v>0.83755733715546299</v>
      </c>
      <c r="AJ37" s="14" t="str" cm="1">
        <f t="array" ref="AJ3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7" s="98" cm="1">
        <f t="array" ref="AK3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21230</v>
      </c>
      <c r="AL37" s="53" t="str" cm="1">
        <f t="array" ref="AL37">IF(tblPiNAnalysis[[#This Row],[3º PiN más alto]]="", "", _xlfn.TEXTJOIN(CHAR(10), TRUE, IF(tblPiNAnalysis[[#This Row],[3º PiN más alto]]=tblPiNAnalysis[[#This Row],[SAMV]:[ASH]], tblPiNAnalysis[[#Headers],[SAMV]:[ASH]], "")))</f>
        <v>SAMV</v>
      </c>
      <c r="AM37" s="53">
        <f>IFERROR(tblPiNAnalysis[[#This Row],[3º PiN más alto]]/tblPiNAnalysis[[#This Row],[Población]], "")</f>
        <v>0.13815768066898773</v>
      </c>
      <c r="AN37" s="15">
        <f>IFERROR(tblPiNAnalysis[[#This Row],[PiN más alto]]-tblPiNAnalysis[[#This Row],[3º PiN más alto]],"")</f>
        <v>34857.724999999999</v>
      </c>
      <c r="AO37" s="14">
        <f>IFERROR(tblPiNAnalysis[[#This Row],[Diferencia de PiN entre el más alto y el 3º más alto]]/tblPiNAnalysis[[#This Row],[3º PiN más alto]], "")</f>
        <v>1.6419088553933112</v>
      </c>
      <c r="AP37" s="96" t="str" cm="1">
        <f t="array" ref="AP3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7" s="84" cm="1">
        <f t="array" ref="AQ37">IFERROR(IF(tblPiNAnalysis[[#This Row],[ID]]="", "", INDEX(tblPiNHistorical[[SAMV]:[ASH]], MATCH(tblPiNAnalysis[[#This Row],[ID]],tblPiNHistorical[ID], 0),MATCH(_xlfn._xlws.FILTER(tblPiNAnalysis[[#Headers],[SAMV]:[ASH]], tblPiNAnalysis[[#This Row],[PiN más alto]]=tblPiNAnalysis[[#This Row],[SAMV]:[ASH]]), tblPiNHistorical[[#Headers],[SAMV]:[ASH]], 0))), "")</f>
        <v>-0.3</v>
      </c>
      <c r="AR37" s="99" t="str" cm="1">
        <f t="array" ref="AR3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7" s="74" cm="1">
        <f t="array" ref="AS37">IFERROR(IF(tblPiNAnalysis[[#This Row],[ID]]="", "", INDEX(tblPiNHistorical[[SAMV]:[ASH]], MATCH(tblPiNAnalysis[[#This Row],[ID]],tblPiNHistorical[ID], 0),MATCH(_xlfn._xlws.FILTER(tblPiNAnalysis[[#Headers],[SAMV]:[ASH]], tblPiNAnalysis[[#This Row],[2º PiN más alto]]=tblPiNAnalysis[[#This Row],[SAMV]:[ASH]]), tblPiNHistorical[[#Headers],[SAMV]:[ASH]], 0))), "")</f>
        <v>-0.5</v>
      </c>
      <c r="AT37" s="100" t="str" cm="1">
        <f t="array" ref="AT3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7" s="219">
        <f>INDEX(tblSeverityAnalysis[Severidad final], MATCH(tblPiNAnalysis[[#This Row],[ID]],tblSeverityAnalysis[ID], 0))</f>
        <v>3</v>
      </c>
      <c r="AV37" s="220">
        <f>IF(tblPiNAnalysis[[#This Row],[Severidad]]&gt;2,tblPiNAnalysis[[#This Row],[PiN más alto]],)</f>
        <v>56087.724999999999</v>
      </c>
      <c r="AW37" s="54"/>
      <c r="AX37" s="55"/>
      <c r="AY37" s="56">
        <f>COUNTIFS(tblPiNAnalysis[[#This Row],[Número de PiN ausentes/cero superior al umbral - Calidad de los datos]:[Marcador manual]],"Flagged")</f>
        <v>2</v>
      </c>
      <c r="AZ37" s="34" t="str">
        <f>IF(tblPiNAnalysis[[#This Row],[Número de marcadores]]&gt;0, "Flagged", "")</f>
        <v>Flagged</v>
      </c>
      <c r="BA37" s="92">
        <f>tblPiNAnalysis[[#This Row],[PiN preliminar]]</f>
        <v>56087.724999999999</v>
      </c>
      <c r="BB37" s="97"/>
      <c r="BC37" s="70">
        <f>IFERROR(IF(tblPiNAnalysis[[#This Row],[Severidad]]=3,tblPiNAnalysis[[#This Row],[PiN final]]*Umbrales!$D$33,tblPiNAnalysis[[#This Row],[PiN final]]*Umbrales!$D$34),)</f>
        <v>28043.862499999999</v>
      </c>
      <c r="BD37" s="70">
        <f>IFERROR(IF(tblPiNAnalysis[[#This Row],[Severidad]]&gt;3,tblPiNAnalysis[[#This Row],[PiN final]]*Umbrales!$D$34,),)</f>
        <v>0</v>
      </c>
    </row>
    <row r="38" spans="1:56">
      <c r="A38" s="101" t="str">
        <f>IFERROR(_xlfn.CONCAT(IF(tblPiNAnalysis[[#This Row],[Grupo]]="", "",tblPiNAnalysis[[#This Row],[Grupo]] ),  _xlfn.IFS(tblPiNAnalysis[[#This Row],[Admin2PCODE]]&lt;&gt;"", tblPiNAnalysis[[#This Row],[Admin2PCODE]], tblPiNAnalysis[[#This Row],[Admin1PCODE]]&lt;&gt;"", tblPiNAnalysis[[#This Row],[Admin1PCODE]])),"")</f>
        <v>VenezolanosVE2302</v>
      </c>
      <c r="B38" s="105" t="s">
        <v>705</v>
      </c>
      <c r="C38" s="104" t="s">
        <v>706</v>
      </c>
      <c r="D38" s="119" t="s">
        <v>709</v>
      </c>
      <c r="E38" s="104" t="s">
        <v>710</v>
      </c>
      <c r="F38" s="358"/>
      <c r="G38" s="357">
        <v>91875</v>
      </c>
      <c r="H38" s="103" t="s">
        <v>102</v>
      </c>
      <c r="I38" s="60">
        <v>13497</v>
      </c>
      <c r="J38" s="134">
        <v>3796.9556356222247</v>
      </c>
      <c r="K38" s="57">
        <v>33534.375</v>
      </c>
      <c r="L38" s="87">
        <v>12126.705141717055</v>
      </c>
      <c r="M38" s="87">
        <v>18248.105096642761</v>
      </c>
      <c r="N38" s="57">
        <v>55125</v>
      </c>
      <c r="O38" s="57">
        <v>5857.6417360223268</v>
      </c>
      <c r="P38" s="57">
        <v>6386.836783824966</v>
      </c>
      <c r="Q38" s="88">
        <f>IFERROR(IF(tblPiNAnalysis[[#This Row],[SAMV]]="", "", MROUND(tblPiNAnalysis[[#This Row],[SAMV]]/tblPiNAnalysis[[#This Row],[Población]], 0.05)), "")</f>
        <v>0.15000000000000002</v>
      </c>
      <c r="R38" s="89">
        <f>IFERROR(IF(tblPiNAnalysis[[#This Row],[NUT]]="", "", MROUND(tblPiNAnalysis[[#This Row],[NUT]]/tblPiNAnalysis[[#This Row],[Población]], 0.05)), "")</f>
        <v>0.05</v>
      </c>
      <c r="S38" s="89">
        <f>IFERROR(IF(tblPiNAnalysis[[#This Row],[SAL]]="", "", MROUND(tblPiNAnalysis[[#This Row],[SAL]]/tblPiNAnalysis[[#This Row],[Población]], 0.05)), "")</f>
        <v>0.35000000000000003</v>
      </c>
      <c r="T38" s="89">
        <f>IFERROR(IF(tblPiNAnalysis[[#This Row],[EDU]]="", "", MROUND(tblPiNAnalysis[[#This Row],[EDU]]/tblPiNAnalysis[[#This Row],[Población]], 0.05)), "")</f>
        <v>0.15000000000000002</v>
      </c>
      <c r="U38" s="89">
        <f>IFERROR(IF(tblPiNAnalysis[[#This Row],[PRO]]="", "", MROUND(tblPiNAnalysis[[#This Row],[PRO]]/tblPiNAnalysis[[#This Row],[Población]], 0.05)), "")</f>
        <v>0.2</v>
      </c>
      <c r="V38" s="90">
        <f>IFERROR(IF(tblPiNAnalysis[[#This Row],[ASH]]="", "", MROUND(tblPiNAnalysis[[#This Row],[ASH]]/tblPiNAnalysis[[#This Row],[Población]], 0.05)), "")</f>
        <v>0.60000000000000009</v>
      </c>
      <c r="W38" s="89">
        <f>IFERROR(MROUND(tblPiNAnalysis[[#This Row],[NNA]]/tblPiNAnalysis[[#This Row],[Población]], 0.05), "")</f>
        <v>0.05</v>
      </c>
      <c r="X38" s="89">
        <f>IFERROR(MROUND(tblPiNAnalysis[[#This Row],[VBG]]/tblPiNAnalysis[[#This Row],[Población]], 0.05), "")</f>
        <v>0.05</v>
      </c>
      <c r="Y38" s="91">
        <f>IFERROR(LARGE(tblPiNAnalysis[[#This Row],[SAMV]:[ASH]], 1), "")</f>
        <v>55125</v>
      </c>
      <c r="Z38" s="92" t="str" cm="1">
        <f t="array" ref="Z38">IF(tblPiNAnalysis[[#This Row],[PiN más alto]]="", "", _xlfn.TEXTJOIN(CHAR(10), TRUE, IF(tblPiNAnalysis[[#This Row],[PiN más alto]]=tblPiNAnalysis[[#This Row],[SAMV]:[ASH]], tblPiNAnalysis[[#Headers],[SAMV]:[ASH]], "")))</f>
        <v>ASH</v>
      </c>
      <c r="AA38" s="93">
        <f>IF(tblPiNAnalysis[[#This Row],[PiN más alto]]="", "", tblPiNAnalysis[[#This Row],[PiN más alto]]/tblPiNAnalysis[[#This Row],[Población]])</f>
        <v>0.6</v>
      </c>
      <c r="AB38" s="94" t="str">
        <f>IF(SUM(tblPiNAnalysis[[#This Row],[SAMV]:[ASH]])=0, "",IF(COUNTIF(tblPiNAnalysis[[#This Row],[SAMV]:[ASH]],"=0")+COUNTIF(tblPiNAnalysis[[#This Row],[SAMV]:[ASH]],"")&gt;=zero_pin_thresh, "Flagged", ""))</f>
        <v/>
      </c>
      <c r="AC38" s="95" t="str">
        <f>IFERROR(IF(tblPiNAnalysis[[#This Row],[PiN más alto]]="", "", IF(tblPiNAnalysis[[#This Row],[% PiN Sectores más altos]]&gt;=flag_pin_perc, "Flagged", "")), "")</f>
        <v/>
      </c>
      <c r="AD38" s="96" t="str" cm="1">
        <f t="array" ref="AD38">IF(tblPiNAnalysis[[#This Row],[PiN más alto]]=0, "",  IF(OR(COUNTIF(tblPiNAnalysis[[#This Row],[Sectores más altos]],tblSubSectorPopulation[Sector])), "Flagged", ""))</f>
        <v/>
      </c>
      <c r="AE38" s="16" cm="1">
        <f t="array" ref="AE3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33534.375</v>
      </c>
      <c r="AF38" s="97" t="str" cm="1">
        <f t="array" ref="AF38">IF(tblPiNAnalysis[[#This Row],[2º PiN más alto]]="", "", _xlfn.TEXTJOIN(CHAR(10), TRUE, IF(tblPiNAnalysis[[#This Row],[2º PiN más alto]]=tblPiNAnalysis[[#This Row],[SAMV]:[ASH]], tblPiNAnalysis[[#Headers],[SAMV]:[ASH]], "")))</f>
        <v>SAL</v>
      </c>
      <c r="AG38" s="12">
        <f>IFERROR(tblPiNAnalysis[[#This Row],[2º PiN más alto]]/tblPiNAnalysis[[#This Row],[Población]], "")</f>
        <v>0.36499999999999999</v>
      </c>
      <c r="AH38" s="16">
        <f>IFERROR(tblPiNAnalysis[[#This Row],[PiN más alto]]-tblPiNAnalysis[[#This Row],[2º PiN más alto]], "")</f>
        <v>21590.625</v>
      </c>
      <c r="AI38" s="14">
        <f>IFERROR(((tblPiNAnalysis[[#This Row],[PiN más alto]]-tblPiNAnalysis[[#This Row],[2º PiN más alto]])/tblPiNAnalysis[[#This Row],[2º PiN más alto]]),"")</f>
        <v>0.64383561643835618</v>
      </c>
      <c r="AJ38" s="14" t="str" cm="1">
        <f t="array" ref="AJ3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8" s="98" cm="1">
        <f t="array" ref="AK3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18248.105096642761</v>
      </c>
      <c r="AL38" s="53" t="str" cm="1">
        <f t="array" ref="AL38">IF(tblPiNAnalysis[[#This Row],[3º PiN más alto]]="", "", _xlfn.TEXTJOIN(CHAR(10), TRUE, IF(tblPiNAnalysis[[#This Row],[3º PiN más alto]]=tblPiNAnalysis[[#This Row],[SAMV]:[ASH]], tblPiNAnalysis[[#Headers],[SAMV]:[ASH]], "")))</f>
        <v>PRO</v>
      </c>
      <c r="AM38" s="53">
        <f>IFERROR(tblPiNAnalysis[[#This Row],[3º PiN más alto]]/tblPiNAnalysis[[#This Row],[Población]], "")</f>
        <v>0.19861883098386679</v>
      </c>
      <c r="AN38" s="15">
        <f>IFERROR(tblPiNAnalysis[[#This Row],[PiN más alto]]-tblPiNAnalysis[[#This Row],[3º PiN más alto]],"")</f>
        <v>36876.894903357243</v>
      </c>
      <c r="AO38" s="14">
        <f>IFERROR(tblPiNAnalysis[[#This Row],[Diferencia de PiN entre el más alto y el 3º más alto]]/tblPiNAnalysis[[#This Row],[3º PiN más alto]], "")</f>
        <v>2.0208616022351689</v>
      </c>
      <c r="AP38" s="96" t="str" cm="1">
        <f t="array" ref="AP3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8" s="84" t="str" cm="1">
        <f t="array" ref="AQ38">IFERROR(IF(tblPiNAnalysis[[#This Row],[ID]]="", "", INDEX(tblPiNHistorical[[SAMV]:[ASH]], MATCH(tblPiNAnalysis[[#This Row],[ID]],tblPiNHistorical[ID], 0),MATCH(_xlfn._xlws.FILTER(tblPiNAnalysis[[#Headers],[SAMV]:[ASH]], tblPiNAnalysis[[#This Row],[PiN más alto]]=tblPiNAnalysis[[#This Row],[SAMV]:[ASH]]), tblPiNHistorical[[#Headers],[SAMV]:[ASH]], 0))), "")</f>
        <v>NoPIN26 17969</v>
      </c>
      <c r="AR38" s="99" t="str" cm="1">
        <f t="array" ref="AR3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8" s="74" cm="1">
        <f t="array" ref="AS38">IFERROR(IF(tblPiNAnalysis[[#This Row],[ID]]="", "", INDEX(tblPiNHistorical[[SAMV]:[ASH]], MATCH(tblPiNAnalysis[[#This Row],[ID]],tblPiNHistorical[ID], 0),MATCH(_xlfn._xlws.FILTER(tblPiNAnalysis[[#Headers],[SAMV]:[ASH]], tblPiNAnalysis[[#This Row],[2º PiN más alto]]=tblPiNAnalysis[[#This Row],[SAMV]:[ASH]]), tblPiNHistorical[[#Headers],[SAMV]:[ASH]], 0))), "")</f>
        <v>-0.7</v>
      </c>
      <c r="AT38" s="100" t="str" cm="1">
        <f t="array" ref="AT3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8" s="219">
        <f>INDEX(tblSeverityAnalysis[Severidad final], MATCH(tblPiNAnalysis[[#This Row],[ID]],tblSeverityAnalysis[ID], 0))</f>
        <v>3</v>
      </c>
      <c r="AV38" s="220">
        <f>IF(tblPiNAnalysis[[#This Row],[Severidad]]&gt;2,tblPiNAnalysis[[#This Row],[PiN más alto]],)</f>
        <v>55125</v>
      </c>
      <c r="AW38" s="54"/>
      <c r="AX38" s="55"/>
      <c r="AY38" s="56">
        <f>COUNTIFS(tblPiNAnalysis[[#This Row],[Número de PiN ausentes/cero superior al umbral - Calidad de los datos]:[Marcador manual]],"Flagged")</f>
        <v>2</v>
      </c>
      <c r="AZ38" s="34" t="str">
        <f>IF(tblPiNAnalysis[[#This Row],[Número de marcadores]]&gt;0, "Flagged", "")</f>
        <v>Flagged</v>
      </c>
      <c r="BA38" s="92">
        <f>tblPiNAnalysis[[#This Row],[PiN preliminar]]</f>
        <v>55125</v>
      </c>
      <c r="BB38" s="97"/>
      <c r="BC38" s="70">
        <f>IFERROR(IF(tblPiNAnalysis[[#This Row],[Severidad]]=3,tblPiNAnalysis[[#This Row],[PiN final]]*Umbrales!$D$33,tblPiNAnalysis[[#This Row],[PiN final]]*Umbrales!$D$34),)</f>
        <v>27562.5</v>
      </c>
      <c r="BD38" s="70">
        <f>IFERROR(IF(tblPiNAnalysis[[#This Row],[Severidad]]&gt;3,tblPiNAnalysis[[#This Row],[PiN final]]*Umbrales!$D$34,),)</f>
        <v>0</v>
      </c>
    </row>
    <row r="39" spans="1:56">
      <c r="A39" s="101" t="str">
        <f>IFERROR(_xlfn.CONCAT(IF(tblPiNAnalysis[[#This Row],[Grupo]]="", "",tblPiNAnalysis[[#This Row],[Grupo]] ),  _xlfn.IFS(tblPiNAnalysis[[#This Row],[Admin2PCODE]]&lt;&gt;"", tblPiNAnalysis[[#This Row],[Admin2PCODE]], tblPiNAnalysis[[#This Row],[Admin1PCODE]]&lt;&gt;"", tblPiNAnalysis[[#This Row],[Admin1PCODE]])),"")</f>
        <v>VenezolanosVE1208</v>
      </c>
      <c r="B39" s="105" t="s">
        <v>362</v>
      </c>
      <c r="C39" s="104" t="s">
        <v>363</v>
      </c>
      <c r="D39" s="119" t="s">
        <v>806</v>
      </c>
      <c r="E39" s="104" t="s">
        <v>378</v>
      </c>
      <c r="F39" s="358"/>
      <c r="G39" s="357">
        <v>145194</v>
      </c>
      <c r="H39" s="103" t="s">
        <v>102</v>
      </c>
      <c r="I39" s="60">
        <v>28513</v>
      </c>
      <c r="J39" s="134">
        <v>5638.6621941758949</v>
      </c>
      <c r="K39" s="57">
        <v>52995.81</v>
      </c>
      <c r="L39" s="87">
        <v>14944.294423882566</v>
      </c>
      <c r="M39" s="87">
        <v>32294.865932777066</v>
      </c>
      <c r="N39" s="57">
        <v>0</v>
      </c>
      <c r="O39" s="57">
        <v>10366.651964421439</v>
      </c>
      <c r="P39" s="57">
        <v>11303.203076471973</v>
      </c>
      <c r="Q39" s="88">
        <f>IFERROR(IF(tblPiNAnalysis[[#This Row],[SAMV]]="", "", MROUND(tblPiNAnalysis[[#This Row],[SAMV]]/tblPiNAnalysis[[#This Row],[Población]], 0.05)), "")</f>
        <v>0.2</v>
      </c>
      <c r="R39" s="89">
        <f>IFERROR(IF(tblPiNAnalysis[[#This Row],[NUT]]="", "", MROUND(tblPiNAnalysis[[#This Row],[NUT]]/tblPiNAnalysis[[#This Row],[Población]], 0.05)), "")</f>
        <v>0.05</v>
      </c>
      <c r="S39" s="89">
        <f>IFERROR(IF(tblPiNAnalysis[[#This Row],[SAL]]="", "", MROUND(tblPiNAnalysis[[#This Row],[SAL]]/tblPiNAnalysis[[#This Row],[Población]], 0.05)), "")</f>
        <v>0.35000000000000003</v>
      </c>
      <c r="T39" s="89">
        <f>IFERROR(IF(tblPiNAnalysis[[#This Row],[EDU]]="", "", MROUND(tblPiNAnalysis[[#This Row],[EDU]]/tblPiNAnalysis[[#This Row],[Población]], 0.05)), "")</f>
        <v>0.1</v>
      </c>
      <c r="U39" s="89">
        <f>IFERROR(IF(tblPiNAnalysis[[#This Row],[PRO]]="", "", MROUND(tblPiNAnalysis[[#This Row],[PRO]]/tblPiNAnalysis[[#This Row],[Población]], 0.05)), "")</f>
        <v>0.2</v>
      </c>
      <c r="V39" s="90">
        <f>IFERROR(IF(tblPiNAnalysis[[#This Row],[ASH]]="", "", MROUND(tblPiNAnalysis[[#This Row],[ASH]]/tblPiNAnalysis[[#This Row],[Población]], 0.05)), "")</f>
        <v>0</v>
      </c>
      <c r="W39" s="89">
        <f>IFERROR(MROUND(tblPiNAnalysis[[#This Row],[NNA]]/tblPiNAnalysis[[#This Row],[Población]], 0.05), "")</f>
        <v>0.05</v>
      </c>
      <c r="X39" s="89">
        <f>IFERROR(MROUND(tblPiNAnalysis[[#This Row],[VBG]]/tblPiNAnalysis[[#This Row],[Población]], 0.05), "")</f>
        <v>0.1</v>
      </c>
      <c r="Y39" s="91">
        <f>IFERROR(LARGE(tblPiNAnalysis[[#This Row],[SAMV]:[ASH]], 1), "")</f>
        <v>52995.81</v>
      </c>
      <c r="Z39" s="92" t="str" cm="1">
        <f t="array" ref="Z39">IF(tblPiNAnalysis[[#This Row],[PiN más alto]]="", "", _xlfn.TEXTJOIN(CHAR(10), TRUE, IF(tblPiNAnalysis[[#This Row],[PiN más alto]]=tblPiNAnalysis[[#This Row],[SAMV]:[ASH]], tblPiNAnalysis[[#Headers],[SAMV]:[ASH]], "")))</f>
        <v>SAL</v>
      </c>
      <c r="AA39" s="93">
        <f>IF(tblPiNAnalysis[[#This Row],[PiN más alto]]="", "", tblPiNAnalysis[[#This Row],[PiN más alto]]/tblPiNAnalysis[[#This Row],[Población]])</f>
        <v>0.36499999999999999</v>
      </c>
      <c r="AB39" s="94" t="str">
        <f>IF(SUM(tblPiNAnalysis[[#This Row],[SAMV]:[ASH]])=0, "",IF(COUNTIF(tblPiNAnalysis[[#This Row],[SAMV]:[ASH]],"=0")+COUNTIF(tblPiNAnalysis[[#This Row],[SAMV]:[ASH]],"")&gt;=zero_pin_thresh, "Flagged", ""))</f>
        <v/>
      </c>
      <c r="AC39" s="95" t="str">
        <f>IFERROR(IF(tblPiNAnalysis[[#This Row],[PiN más alto]]="", "", IF(tblPiNAnalysis[[#This Row],[% PiN Sectores más altos]]&gt;=flag_pin_perc, "Flagged", "")), "")</f>
        <v/>
      </c>
      <c r="AD39" s="96" t="str" cm="1">
        <f t="array" ref="AD39">IF(tblPiNAnalysis[[#This Row],[PiN más alto]]=0, "",  IF(OR(COUNTIF(tblPiNAnalysis[[#This Row],[Sectores más altos]],tblSubSectorPopulation[Sector])), "Flagged", ""))</f>
        <v/>
      </c>
      <c r="AE39" s="16" cm="1">
        <f t="array" ref="AE3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32294.865932777066</v>
      </c>
      <c r="AF39" s="97" t="str" cm="1">
        <f t="array" ref="AF39">IF(tblPiNAnalysis[[#This Row],[2º PiN más alto]]="", "", _xlfn.TEXTJOIN(CHAR(10), TRUE, IF(tblPiNAnalysis[[#This Row],[2º PiN más alto]]=tblPiNAnalysis[[#This Row],[SAMV]:[ASH]], tblPiNAnalysis[[#Headers],[SAMV]:[ASH]], "")))</f>
        <v>PRO</v>
      </c>
      <c r="AG39" s="12">
        <f>IFERROR(tblPiNAnalysis[[#This Row],[2º PiN más alto]]/tblPiNAnalysis[[#This Row],[Población]], "")</f>
        <v>0.22242562318537312</v>
      </c>
      <c r="AH39" s="16">
        <f>IFERROR(tblPiNAnalysis[[#This Row],[PiN más alto]]-tblPiNAnalysis[[#This Row],[2º PiN más alto]], "")</f>
        <v>20700.944067222932</v>
      </c>
      <c r="AI39" s="14">
        <f>IFERROR(((tblPiNAnalysis[[#This Row],[PiN más alto]]-tblPiNAnalysis[[#This Row],[2º PiN más alto]])/tblPiNAnalysis[[#This Row],[2º PiN más alto]]),"")</f>
        <v>0.64099798742972636</v>
      </c>
      <c r="AJ39" s="14" t="str" cm="1">
        <f t="array" ref="AJ3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9" s="98" cm="1">
        <f t="array" ref="AK3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28513</v>
      </c>
      <c r="AL39" s="53" t="str" cm="1">
        <f t="array" ref="AL39">IF(tblPiNAnalysis[[#This Row],[3º PiN más alto]]="", "", _xlfn.TEXTJOIN(CHAR(10), TRUE, IF(tblPiNAnalysis[[#This Row],[3º PiN más alto]]=tblPiNAnalysis[[#This Row],[SAMV]:[ASH]], tblPiNAnalysis[[#Headers],[SAMV]:[ASH]], "")))</f>
        <v>SAMV</v>
      </c>
      <c r="AM39" s="53">
        <f>IFERROR(tblPiNAnalysis[[#This Row],[3º PiN más alto]]/tblPiNAnalysis[[#This Row],[Población]], "")</f>
        <v>0.19637863823573976</v>
      </c>
      <c r="AN39" s="15">
        <f>IFERROR(tblPiNAnalysis[[#This Row],[PiN más alto]]-tblPiNAnalysis[[#This Row],[3º PiN más alto]],"")</f>
        <v>24482.809999999998</v>
      </c>
      <c r="AO39" s="14">
        <f>IFERROR(tblPiNAnalysis[[#This Row],[Diferencia de PiN entre el más alto y el 3º más alto]]/tblPiNAnalysis[[#This Row],[3º PiN más alto]], "")</f>
        <v>0.85865429803949067</v>
      </c>
      <c r="AP39" s="96" t="str" cm="1">
        <f t="array" ref="AP3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9" s="84" cm="1">
        <f t="array" ref="AQ39">IFERROR(IF(tblPiNAnalysis[[#This Row],[ID]]="", "", INDEX(tblPiNHistorical[[SAMV]:[ASH]], MATCH(tblPiNAnalysis[[#This Row],[ID]],tblPiNHistorical[ID], 0),MATCH(_xlfn._xlws.FILTER(tblPiNAnalysis[[#Headers],[SAMV]:[ASH]], tblPiNAnalysis[[#This Row],[PiN más alto]]=tblPiNAnalysis[[#This Row],[SAMV]:[ASH]]), tblPiNHistorical[[#Headers],[SAMV]:[ASH]], 0))), "")</f>
        <v>-0.6</v>
      </c>
      <c r="AR39" s="99" t="str" cm="1">
        <f t="array" ref="AR3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9" s="74" cm="1">
        <f t="array" ref="AS39">IFERROR(IF(tblPiNAnalysis[[#This Row],[ID]]="", "", INDEX(tblPiNHistorical[[SAMV]:[ASH]], MATCH(tblPiNAnalysis[[#This Row],[ID]],tblPiNHistorical[ID], 0),MATCH(_xlfn._xlws.FILTER(tblPiNAnalysis[[#Headers],[SAMV]:[ASH]], tblPiNAnalysis[[#This Row],[2º PiN más alto]]=tblPiNAnalysis[[#This Row],[SAMV]:[ASH]]), tblPiNHistorical[[#Headers],[SAMV]:[ASH]], 0))), "")</f>
        <v>-0.1</v>
      </c>
      <c r="AT39" s="100" t="str" cm="1">
        <f t="array" ref="AT3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9" s="219">
        <f>INDEX(tblSeverityAnalysis[Severidad final], MATCH(tblPiNAnalysis[[#This Row],[ID]],tblSeverityAnalysis[ID], 0))</f>
        <v>3</v>
      </c>
      <c r="AV39" s="220">
        <f>IF(tblPiNAnalysis[[#This Row],[Severidad]]&gt;2,tblPiNAnalysis[[#This Row],[PiN más alto]],)</f>
        <v>52995.81</v>
      </c>
      <c r="AW39" s="54"/>
      <c r="AX39" s="55"/>
      <c r="AY39" s="56">
        <f>COUNTIFS(tblPiNAnalysis[[#This Row],[Número de PiN ausentes/cero superior al umbral - Calidad de los datos]:[Marcador manual]],"Flagged")</f>
        <v>2</v>
      </c>
      <c r="AZ39" s="34" t="str">
        <f>IF(tblPiNAnalysis[[#This Row],[Número de marcadores]]&gt;0, "Flagged", "")</f>
        <v>Flagged</v>
      </c>
      <c r="BA39" s="92">
        <f>tblPiNAnalysis[[#This Row],[PiN preliminar]]</f>
        <v>52995.81</v>
      </c>
      <c r="BB39" s="97"/>
      <c r="BC39" s="70">
        <f>IFERROR(IF(tblPiNAnalysis[[#This Row],[Severidad]]=3,tblPiNAnalysis[[#This Row],[PiN final]]*Umbrales!$D$33,tblPiNAnalysis[[#This Row],[PiN final]]*Umbrales!$D$34),)</f>
        <v>26497.904999999999</v>
      </c>
      <c r="BD39" s="70">
        <f>IFERROR(IF(tblPiNAnalysis[[#This Row],[Severidad]]&gt;3,tblPiNAnalysis[[#This Row],[PiN final]]*Umbrales!$D$34,),)</f>
        <v>0</v>
      </c>
    </row>
    <row r="40" spans="1:56">
      <c r="A40" s="101" t="str">
        <f>IFERROR(_xlfn.CONCAT(IF(tblPiNAnalysis[[#This Row],[Grupo]]="", "",tblPiNAnalysis[[#This Row],[Grupo]] ),  _xlfn.IFS(tblPiNAnalysis[[#This Row],[Admin2PCODE]]&lt;&gt;"", tblPiNAnalysis[[#This Row],[Admin2PCODE]], tblPiNAnalysis[[#This Row],[Admin1PCODE]]&lt;&gt;"", tblPiNAnalysis[[#This Row],[Admin1PCODE]])),"")</f>
        <v>VenezolanosVE1511</v>
      </c>
      <c r="B40" s="105" t="s">
        <v>276</v>
      </c>
      <c r="C40" s="104" t="s">
        <v>455</v>
      </c>
      <c r="D40" s="119" t="s">
        <v>133</v>
      </c>
      <c r="E40" s="104" t="s">
        <v>475</v>
      </c>
      <c r="F40" s="358"/>
      <c r="G40" s="357">
        <v>141913</v>
      </c>
      <c r="H40" s="103" t="s">
        <v>102</v>
      </c>
      <c r="I40" s="60">
        <v>19075</v>
      </c>
      <c r="J40" s="134">
        <v>7370.8181050802659</v>
      </c>
      <c r="K40" s="57">
        <v>51798.245000000003</v>
      </c>
      <c r="L40" s="87">
        <v>13051.285569376869</v>
      </c>
      <c r="M40" s="87">
        <v>33949.78555746498</v>
      </c>
      <c r="N40" s="57">
        <v>19158.254999999997</v>
      </c>
      <c r="O40" s="57">
        <v>10863.931378388796</v>
      </c>
      <c r="P40" s="57">
        <v>11882.424945112743</v>
      </c>
      <c r="Q40" s="88">
        <f>IFERROR(IF(tblPiNAnalysis[[#This Row],[SAMV]]="", "", MROUND(tblPiNAnalysis[[#This Row],[SAMV]]/tblPiNAnalysis[[#This Row],[Población]], 0.05)), "")</f>
        <v>0.15000000000000002</v>
      </c>
      <c r="R40" s="89">
        <f>IFERROR(IF(tblPiNAnalysis[[#This Row],[NUT]]="", "", MROUND(tblPiNAnalysis[[#This Row],[NUT]]/tblPiNAnalysis[[#This Row],[Población]], 0.05)), "")</f>
        <v>0.05</v>
      </c>
      <c r="S40" s="89">
        <f>IFERROR(IF(tblPiNAnalysis[[#This Row],[SAL]]="", "", MROUND(tblPiNAnalysis[[#This Row],[SAL]]/tblPiNAnalysis[[#This Row],[Población]], 0.05)), "")</f>
        <v>0.35000000000000003</v>
      </c>
      <c r="T40" s="89">
        <f>IFERROR(IF(tblPiNAnalysis[[#This Row],[EDU]]="", "", MROUND(tblPiNAnalysis[[#This Row],[EDU]]/tblPiNAnalysis[[#This Row],[Población]], 0.05)), "")</f>
        <v>0.1</v>
      </c>
      <c r="U40" s="89">
        <f>IFERROR(IF(tblPiNAnalysis[[#This Row],[PRO]]="", "", MROUND(tblPiNAnalysis[[#This Row],[PRO]]/tblPiNAnalysis[[#This Row],[Población]], 0.05)), "")</f>
        <v>0.25</v>
      </c>
      <c r="V40" s="90">
        <f>IFERROR(IF(tblPiNAnalysis[[#This Row],[ASH]]="", "", MROUND(tblPiNAnalysis[[#This Row],[ASH]]/tblPiNAnalysis[[#This Row],[Población]], 0.05)), "")</f>
        <v>0.15000000000000002</v>
      </c>
      <c r="W40" s="89">
        <f>IFERROR(MROUND(tblPiNAnalysis[[#This Row],[NNA]]/tblPiNAnalysis[[#This Row],[Población]], 0.05), "")</f>
        <v>0.1</v>
      </c>
      <c r="X40" s="89">
        <f>IFERROR(MROUND(tblPiNAnalysis[[#This Row],[VBG]]/tblPiNAnalysis[[#This Row],[Población]], 0.05), "")</f>
        <v>0.1</v>
      </c>
      <c r="Y40" s="91">
        <f>IFERROR(LARGE(tblPiNAnalysis[[#This Row],[SAMV]:[ASH]], 1), "")</f>
        <v>51798.245000000003</v>
      </c>
      <c r="Z40" s="92" t="str" cm="1">
        <f t="array" ref="Z40">IF(tblPiNAnalysis[[#This Row],[PiN más alto]]="", "", _xlfn.TEXTJOIN(CHAR(10), TRUE, IF(tblPiNAnalysis[[#This Row],[PiN más alto]]=tblPiNAnalysis[[#This Row],[SAMV]:[ASH]], tblPiNAnalysis[[#Headers],[SAMV]:[ASH]], "")))</f>
        <v>SAL</v>
      </c>
      <c r="AA40" s="93">
        <f>IF(tblPiNAnalysis[[#This Row],[PiN más alto]]="", "", tblPiNAnalysis[[#This Row],[PiN más alto]]/tblPiNAnalysis[[#This Row],[Población]])</f>
        <v>0.36499999999999999</v>
      </c>
      <c r="AB40" s="94" t="str">
        <f>IF(SUM(tblPiNAnalysis[[#This Row],[SAMV]:[ASH]])=0, "",IF(COUNTIF(tblPiNAnalysis[[#This Row],[SAMV]:[ASH]],"=0")+COUNTIF(tblPiNAnalysis[[#This Row],[SAMV]:[ASH]],"")&gt;=zero_pin_thresh, "Flagged", ""))</f>
        <v/>
      </c>
      <c r="AC40" s="95" t="str">
        <f>IFERROR(IF(tblPiNAnalysis[[#This Row],[PiN más alto]]="", "", IF(tblPiNAnalysis[[#This Row],[% PiN Sectores más altos]]&gt;=flag_pin_perc, "Flagged", "")), "")</f>
        <v/>
      </c>
      <c r="AD40" s="96" t="str" cm="1">
        <f t="array" ref="AD40">IF(tblPiNAnalysis[[#This Row],[PiN más alto]]=0, "",  IF(OR(COUNTIF(tblPiNAnalysis[[#This Row],[Sectores más altos]],tblSubSectorPopulation[Sector])), "Flagged", ""))</f>
        <v/>
      </c>
      <c r="AE40" s="16" cm="1">
        <f t="array" ref="AE4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33949.78555746498</v>
      </c>
      <c r="AF40" s="97" t="str" cm="1">
        <f t="array" ref="AF40">IF(tblPiNAnalysis[[#This Row],[2º PiN más alto]]="", "", _xlfn.TEXTJOIN(CHAR(10), TRUE, IF(tblPiNAnalysis[[#This Row],[2º PiN más alto]]=tblPiNAnalysis[[#This Row],[SAMV]:[ASH]], tblPiNAnalysis[[#Headers],[SAMV]:[ASH]], "")))</f>
        <v>PRO</v>
      </c>
      <c r="AG40" s="12">
        <f>IFERROR(tblPiNAnalysis[[#This Row],[2º PiN más alto]]/tblPiNAnalysis[[#This Row],[Población]], "")</f>
        <v>0.2392295671112934</v>
      </c>
      <c r="AH40" s="16">
        <f>IFERROR(tblPiNAnalysis[[#This Row],[PiN más alto]]-tblPiNAnalysis[[#This Row],[2º PiN más alto]], "")</f>
        <v>17848.459442535022</v>
      </c>
      <c r="AI40" s="14">
        <f>IFERROR(((tblPiNAnalysis[[#This Row],[PiN más alto]]-tblPiNAnalysis[[#This Row],[2º PiN más alto]])/tblPiNAnalysis[[#This Row],[2º PiN más alto]]),"")</f>
        <v>0.52573113937123084</v>
      </c>
      <c r="AJ40" s="14" t="str" cm="1">
        <f t="array" ref="AJ4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40" s="98" cm="1">
        <f t="array" ref="AK4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19158.254999999997</v>
      </c>
      <c r="AL40" s="53" t="str" cm="1">
        <f t="array" ref="AL40">IF(tblPiNAnalysis[[#This Row],[3º PiN más alto]]="", "", _xlfn.TEXTJOIN(CHAR(10), TRUE, IF(tblPiNAnalysis[[#This Row],[3º PiN más alto]]=tblPiNAnalysis[[#This Row],[SAMV]:[ASH]], tblPiNAnalysis[[#Headers],[SAMV]:[ASH]], "")))</f>
        <v>ASH</v>
      </c>
      <c r="AM40" s="53">
        <f>IFERROR(tblPiNAnalysis[[#This Row],[3º PiN más alto]]/tblPiNAnalysis[[#This Row],[Población]], "")</f>
        <v>0.13499999999999998</v>
      </c>
      <c r="AN40" s="15">
        <f>IFERROR(tblPiNAnalysis[[#This Row],[PiN más alto]]-tblPiNAnalysis[[#This Row],[3º PiN más alto]],"")</f>
        <v>32639.990000000005</v>
      </c>
      <c r="AO40" s="14">
        <f>IFERROR(tblPiNAnalysis[[#This Row],[Diferencia de PiN entre el más alto y el 3º más alto]]/tblPiNAnalysis[[#This Row],[3º PiN más alto]], "")</f>
        <v>1.7037037037037042</v>
      </c>
      <c r="AP40" s="96" t="str" cm="1">
        <f t="array" ref="AP4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40" s="84" cm="1">
        <f t="array" ref="AQ40">IFERROR(IF(tblPiNAnalysis[[#This Row],[ID]]="", "", INDEX(tblPiNHistorical[[SAMV]:[ASH]], MATCH(tblPiNAnalysis[[#This Row],[ID]],tblPiNHistorical[ID], 0),MATCH(_xlfn._xlws.FILTER(tblPiNAnalysis[[#Headers],[SAMV]:[ASH]], tblPiNAnalysis[[#This Row],[PiN más alto]]=tblPiNAnalysis[[#This Row],[SAMV]:[ASH]]), tblPiNHistorical[[#Headers],[SAMV]:[ASH]], 0))), "")</f>
        <v>-0.8</v>
      </c>
      <c r="AR40" s="99" t="str" cm="1">
        <f t="array" ref="AR4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40" s="74" cm="1">
        <f t="array" ref="AS40">IFERROR(IF(tblPiNAnalysis[[#This Row],[ID]]="", "", INDEX(tblPiNHistorical[[SAMV]:[ASH]], MATCH(tblPiNAnalysis[[#This Row],[ID]],tblPiNHistorical[ID], 0),MATCH(_xlfn._xlws.FILTER(tblPiNAnalysis[[#Headers],[SAMV]:[ASH]], tblPiNAnalysis[[#This Row],[2º PiN más alto]]=tblPiNAnalysis[[#This Row],[SAMV]:[ASH]]), tblPiNHistorical[[#Headers],[SAMV]:[ASH]], 0))), "")</f>
        <v>-0.9</v>
      </c>
      <c r="AT40" s="100" t="str" cm="1">
        <f t="array" ref="AT4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40" s="219">
        <f>INDEX(tblSeverityAnalysis[Severidad final], MATCH(tblPiNAnalysis[[#This Row],[ID]],tblSeverityAnalysis[ID], 0))</f>
        <v>3</v>
      </c>
      <c r="AV40" s="220">
        <f>IF(tblPiNAnalysis[[#This Row],[Severidad]]&gt;2,tblPiNAnalysis[[#This Row],[PiN más alto]],)</f>
        <v>51798.245000000003</v>
      </c>
      <c r="AW40" s="54"/>
      <c r="AX40" s="55"/>
      <c r="AY40" s="56">
        <f>COUNTIFS(tblPiNAnalysis[[#This Row],[Número de PiN ausentes/cero superior al umbral - Calidad de los datos]:[Marcador manual]],"Flagged")</f>
        <v>2</v>
      </c>
      <c r="AZ40" s="34" t="str">
        <f>IF(tblPiNAnalysis[[#This Row],[Número de marcadores]]&gt;0, "Flagged", "")</f>
        <v>Flagged</v>
      </c>
      <c r="BA40" s="92">
        <f>tblPiNAnalysis[[#This Row],[PiN preliminar]]</f>
        <v>51798.245000000003</v>
      </c>
      <c r="BB40" s="97"/>
      <c r="BC40" s="70">
        <f>IFERROR(IF(tblPiNAnalysis[[#This Row],[Severidad]]=3,tblPiNAnalysis[[#This Row],[PiN final]]*Umbrales!$D$33,tblPiNAnalysis[[#This Row],[PiN final]]*Umbrales!$D$34),)</f>
        <v>25899.122500000001</v>
      </c>
      <c r="BD40" s="70">
        <f>IFERROR(IF(tblPiNAnalysis[[#This Row],[Severidad]]&gt;3,tblPiNAnalysis[[#This Row],[PiN final]]*Umbrales!$D$34,),)</f>
        <v>0</v>
      </c>
    </row>
    <row r="41" spans="1:56">
      <c r="A41" s="101" t="str">
        <f>IFERROR(_xlfn.CONCAT(IF(tblPiNAnalysis[[#This Row],[Grupo]]="", "",tblPiNAnalysis[[#This Row],[Grupo]] ),  _xlfn.IFS(tblPiNAnalysis[[#This Row],[Admin2PCODE]]&lt;&gt;"", tblPiNAnalysis[[#This Row],[Admin2PCODE]], tblPiNAnalysis[[#This Row],[Admin1PCODE]]&lt;&gt;"", tblPiNAnalysis[[#This Row],[Admin1PCODE]])),"")</f>
        <v>VenezolanosVE1515</v>
      </c>
      <c r="B41" s="105" t="s">
        <v>276</v>
      </c>
      <c r="C41" s="104" t="s">
        <v>455</v>
      </c>
      <c r="D41" s="119" t="s">
        <v>481</v>
      </c>
      <c r="E41" s="104" t="s">
        <v>482</v>
      </c>
      <c r="F41" s="358"/>
      <c r="G41" s="357">
        <v>113706</v>
      </c>
      <c r="H41" s="103" t="s">
        <v>102</v>
      </c>
      <c r="I41" s="60">
        <v>14782</v>
      </c>
      <c r="J41" s="134">
        <v>8814.0211796490003</v>
      </c>
      <c r="K41" s="57">
        <v>41502.69</v>
      </c>
      <c r="L41" s="87">
        <v>14852.772180237374</v>
      </c>
      <c r="M41" s="87">
        <v>27201.837157956728</v>
      </c>
      <c r="N41" s="57">
        <v>51167.700000000004</v>
      </c>
      <c r="O41" s="57">
        <v>8731.7897277041102</v>
      </c>
      <c r="P41" s="57">
        <v>9520.6430052848536</v>
      </c>
      <c r="Q41" s="88">
        <f>IFERROR(IF(tblPiNAnalysis[[#This Row],[SAMV]]="", "", MROUND(tblPiNAnalysis[[#This Row],[SAMV]]/tblPiNAnalysis[[#This Row],[Población]], 0.05)), "")</f>
        <v>0.15000000000000002</v>
      </c>
      <c r="R41" s="89">
        <f>IFERROR(IF(tblPiNAnalysis[[#This Row],[NUT]]="", "", MROUND(tblPiNAnalysis[[#This Row],[NUT]]/tblPiNAnalysis[[#This Row],[Población]], 0.05)), "")</f>
        <v>0.1</v>
      </c>
      <c r="S41" s="89">
        <f>IFERROR(IF(tblPiNAnalysis[[#This Row],[SAL]]="", "", MROUND(tblPiNAnalysis[[#This Row],[SAL]]/tblPiNAnalysis[[#This Row],[Población]], 0.05)), "")</f>
        <v>0.35000000000000003</v>
      </c>
      <c r="T41" s="89">
        <f>IFERROR(IF(tblPiNAnalysis[[#This Row],[EDU]]="", "", MROUND(tblPiNAnalysis[[#This Row],[EDU]]/tblPiNAnalysis[[#This Row],[Población]], 0.05)), "")</f>
        <v>0.15000000000000002</v>
      </c>
      <c r="U41" s="89">
        <f>IFERROR(IF(tblPiNAnalysis[[#This Row],[PRO]]="", "", MROUND(tblPiNAnalysis[[#This Row],[PRO]]/tblPiNAnalysis[[#This Row],[Población]], 0.05)), "")</f>
        <v>0.25</v>
      </c>
      <c r="V41" s="90">
        <f>IFERROR(IF(tblPiNAnalysis[[#This Row],[ASH]]="", "", MROUND(tblPiNAnalysis[[#This Row],[ASH]]/tblPiNAnalysis[[#This Row],[Población]], 0.05)), "")</f>
        <v>0.45</v>
      </c>
      <c r="W41" s="89">
        <f>IFERROR(MROUND(tblPiNAnalysis[[#This Row],[NNA]]/tblPiNAnalysis[[#This Row],[Población]], 0.05), "")</f>
        <v>0.1</v>
      </c>
      <c r="X41" s="89">
        <f>IFERROR(MROUND(tblPiNAnalysis[[#This Row],[VBG]]/tblPiNAnalysis[[#This Row],[Población]], 0.05), "")</f>
        <v>0.1</v>
      </c>
      <c r="Y41" s="91">
        <f>IFERROR(LARGE(tblPiNAnalysis[[#This Row],[SAMV]:[ASH]], 1), "")</f>
        <v>51167.700000000004</v>
      </c>
      <c r="Z41" s="92" t="str" cm="1">
        <f t="array" ref="Z41">IF(tblPiNAnalysis[[#This Row],[PiN más alto]]="", "", _xlfn.TEXTJOIN(CHAR(10), TRUE, IF(tblPiNAnalysis[[#This Row],[PiN más alto]]=tblPiNAnalysis[[#This Row],[SAMV]:[ASH]], tblPiNAnalysis[[#Headers],[SAMV]:[ASH]], "")))</f>
        <v>ASH</v>
      </c>
      <c r="AA41" s="93">
        <f>IF(tblPiNAnalysis[[#This Row],[PiN más alto]]="", "", tblPiNAnalysis[[#This Row],[PiN más alto]]/tblPiNAnalysis[[#This Row],[Población]])</f>
        <v>0.45</v>
      </c>
      <c r="AB41" s="94" t="str">
        <f>IF(SUM(tblPiNAnalysis[[#This Row],[SAMV]:[ASH]])=0, "",IF(COUNTIF(tblPiNAnalysis[[#This Row],[SAMV]:[ASH]],"=0")+COUNTIF(tblPiNAnalysis[[#This Row],[SAMV]:[ASH]],"")&gt;=zero_pin_thresh, "Flagged", ""))</f>
        <v/>
      </c>
      <c r="AC41" s="95" t="str">
        <f>IFERROR(IF(tblPiNAnalysis[[#This Row],[PiN más alto]]="", "", IF(tblPiNAnalysis[[#This Row],[% PiN Sectores más altos]]&gt;=flag_pin_perc, "Flagged", "")), "")</f>
        <v/>
      </c>
      <c r="AD41" s="96" t="str" cm="1">
        <f t="array" ref="AD41">IF(tblPiNAnalysis[[#This Row],[PiN más alto]]=0, "",  IF(OR(COUNTIF(tblPiNAnalysis[[#This Row],[Sectores más altos]],tblSubSectorPopulation[Sector])), "Flagged", ""))</f>
        <v/>
      </c>
      <c r="AE41" s="16" cm="1">
        <f t="array" ref="AE4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41502.69</v>
      </c>
      <c r="AF41" s="97" t="str" cm="1">
        <f t="array" ref="AF41">IF(tblPiNAnalysis[[#This Row],[2º PiN más alto]]="", "", _xlfn.TEXTJOIN(CHAR(10), TRUE, IF(tblPiNAnalysis[[#This Row],[2º PiN más alto]]=tblPiNAnalysis[[#This Row],[SAMV]:[ASH]], tblPiNAnalysis[[#Headers],[SAMV]:[ASH]], "")))</f>
        <v>SAL</v>
      </c>
      <c r="AG41" s="12">
        <f>IFERROR(tblPiNAnalysis[[#This Row],[2º PiN más alto]]/tblPiNAnalysis[[#This Row],[Población]], "")</f>
        <v>0.36500000000000005</v>
      </c>
      <c r="AH41" s="16">
        <f>IFERROR(tblPiNAnalysis[[#This Row],[PiN más alto]]-tblPiNAnalysis[[#This Row],[2º PiN más alto]], "")</f>
        <v>9665.010000000002</v>
      </c>
      <c r="AI41" s="14">
        <f>IFERROR(((tblPiNAnalysis[[#This Row],[PiN más alto]]-tblPiNAnalysis[[#This Row],[2º PiN más alto]])/tblPiNAnalysis[[#This Row],[2º PiN más alto]]),"")</f>
        <v>0.23287671232876717</v>
      </c>
      <c r="AJ41" s="14" t="str" cm="1">
        <f t="array" ref="AJ4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41" s="98" cm="1">
        <f t="array" ref="AK4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27201.837157956728</v>
      </c>
      <c r="AL41" s="53" t="str" cm="1">
        <f t="array" ref="AL41">IF(tblPiNAnalysis[[#This Row],[3º PiN más alto]]="", "", _xlfn.TEXTJOIN(CHAR(10), TRUE, IF(tblPiNAnalysis[[#This Row],[3º PiN más alto]]=tblPiNAnalysis[[#This Row],[SAMV]:[ASH]], tblPiNAnalysis[[#Headers],[SAMV]:[ASH]], "")))</f>
        <v>PRO</v>
      </c>
      <c r="AM41" s="53">
        <f>IFERROR(tblPiNAnalysis[[#This Row],[3º PiN más alto]]/tblPiNAnalysis[[#This Row],[Población]], "")</f>
        <v>0.2392295671112934</v>
      </c>
      <c r="AN41" s="15">
        <f>IFERROR(tblPiNAnalysis[[#This Row],[PiN más alto]]-tblPiNAnalysis[[#This Row],[3º PiN más alto]],"")</f>
        <v>23965.862842043276</v>
      </c>
      <c r="AO41" s="14">
        <f>IFERROR(tblPiNAnalysis[[#This Row],[Diferencia de PiN entre el más alto y el 3º más alto]]/tblPiNAnalysis[[#This Row],[3º PiN más alto]], "")</f>
        <v>0.88103839100562709</v>
      </c>
      <c r="AP41" s="96" t="str" cm="1">
        <f t="array" ref="AP4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41" s="84" t="str" cm="1">
        <f t="array" ref="AQ41">IFERROR(IF(tblPiNAnalysis[[#This Row],[ID]]="", "", INDEX(tblPiNHistorical[[SAMV]:[ASH]], MATCH(tblPiNAnalysis[[#This Row],[ID]],tblPiNHistorical[ID], 0),MATCH(_xlfn._xlws.FILTER(tblPiNAnalysis[[#Headers],[SAMV]:[ASH]], tblPiNAnalysis[[#This Row],[PiN más alto]]=tblPiNAnalysis[[#This Row],[SAMV]:[ASH]]), tblPiNHistorical[[#Headers],[SAMV]:[ASH]], 0))), "")</f>
        <v>NoPIN26 22239</v>
      </c>
      <c r="AR41" s="99" t="str" cm="1">
        <f t="array" ref="AR4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41" s="74" cm="1">
        <f t="array" ref="AS41">IFERROR(IF(tblPiNAnalysis[[#This Row],[ID]]="", "", INDEX(tblPiNHistorical[[SAMV]:[ASH]], MATCH(tblPiNAnalysis[[#This Row],[ID]],tblPiNHistorical[ID], 0),MATCH(_xlfn._xlws.FILTER(tblPiNAnalysis[[#Headers],[SAMV]:[ASH]], tblPiNAnalysis[[#This Row],[2º PiN más alto]]=tblPiNAnalysis[[#This Row],[SAMV]:[ASH]]), tblPiNHistorical[[#Headers],[SAMV]:[ASH]], 0))), "")</f>
        <v>-0.7</v>
      </c>
      <c r="AT41" s="100" t="str" cm="1">
        <f t="array" ref="AT4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41" s="219">
        <f>INDEX(tblSeverityAnalysis[Severidad final], MATCH(tblPiNAnalysis[[#This Row],[ID]],tblSeverityAnalysis[ID], 0))</f>
        <v>4</v>
      </c>
      <c r="AV41" s="220">
        <f>IF(tblPiNAnalysis[[#This Row],[Severidad]]&gt;2,tblPiNAnalysis[[#This Row],[PiN más alto]],)</f>
        <v>51167.700000000004</v>
      </c>
      <c r="AW41" s="54"/>
      <c r="AX41" s="55"/>
      <c r="AY41" s="56">
        <f>COUNTIFS(tblPiNAnalysis[[#This Row],[Número de PiN ausentes/cero superior al umbral - Calidad de los datos]:[Marcador manual]],"Flagged")</f>
        <v>1</v>
      </c>
      <c r="AZ41" s="34" t="str">
        <f>IF(tblPiNAnalysis[[#This Row],[Número de marcadores]]&gt;0, "Flagged", "")</f>
        <v>Flagged</v>
      </c>
      <c r="BA41" s="92">
        <f>tblPiNAnalysis[[#This Row],[PiN preliminar]]</f>
        <v>51167.700000000004</v>
      </c>
      <c r="BB41" s="97"/>
      <c r="BC41" s="70">
        <f>IFERROR(IF(tblPiNAnalysis[[#This Row],[Severidad]]=3,tblPiNAnalysis[[#This Row],[PiN final]]*Umbrales!$D$33,tblPiNAnalysis[[#This Row],[PiN final]]*Umbrales!$D$34),)</f>
        <v>51167.700000000004</v>
      </c>
      <c r="BD41" s="70">
        <f>IFERROR(IF(tblPiNAnalysis[[#This Row],[Severidad]]&gt;3,tblPiNAnalysis[[#This Row],[PiN final]]*Umbrales!$D$34,),)</f>
        <v>51167.700000000004</v>
      </c>
    </row>
    <row r="42" spans="1:56">
      <c r="A42" s="101" t="str">
        <f>IFERROR(_xlfn.CONCAT(IF(tblPiNAnalysis[[#This Row],[Grupo]]="", "",tblPiNAnalysis[[#This Row],[Grupo]] ),  _xlfn.IFS(tblPiNAnalysis[[#This Row],[Admin2PCODE]]&lt;&gt;"", tblPiNAnalysis[[#This Row],[Admin2PCODE]], tblPiNAnalysis[[#This Row],[Admin1PCODE]]&lt;&gt;"", tblPiNAnalysis[[#This Row],[Admin1PCODE]])),"")</f>
        <v>VenezolanosVE2120</v>
      </c>
      <c r="B42" s="105" t="s">
        <v>642</v>
      </c>
      <c r="C42" s="104" t="s">
        <v>643</v>
      </c>
      <c r="D42" s="119" t="s">
        <v>676</v>
      </c>
      <c r="E42" s="104" t="s">
        <v>677</v>
      </c>
      <c r="F42" s="358"/>
      <c r="G42" s="357">
        <v>139204</v>
      </c>
      <c r="H42" s="103" t="s">
        <v>102</v>
      </c>
      <c r="I42" s="60">
        <v>12392</v>
      </c>
      <c r="J42" s="134">
        <v>20776.441349154215</v>
      </c>
      <c r="K42" s="57">
        <v>50809.46</v>
      </c>
      <c r="L42" s="87">
        <v>14544.995300628078</v>
      </c>
      <c r="M42" s="87">
        <v>33676.833319465062</v>
      </c>
      <c r="N42" s="57">
        <v>0</v>
      </c>
      <c r="O42" s="57">
        <v>10776.586662228819</v>
      </c>
      <c r="P42" s="57">
        <v>11786.89166181277</v>
      </c>
      <c r="Q42" s="88">
        <f>IFERROR(IF(tblPiNAnalysis[[#This Row],[SAMV]]="", "", MROUND(tblPiNAnalysis[[#This Row],[SAMV]]/tblPiNAnalysis[[#This Row],[Población]], 0.05)), "")</f>
        <v>0.1</v>
      </c>
      <c r="R42" s="89">
        <f>IFERROR(IF(tblPiNAnalysis[[#This Row],[NUT]]="", "", MROUND(tblPiNAnalysis[[#This Row],[NUT]]/tblPiNAnalysis[[#This Row],[Población]], 0.05)), "")</f>
        <v>0.15000000000000002</v>
      </c>
      <c r="S42" s="89">
        <f>IFERROR(IF(tblPiNAnalysis[[#This Row],[SAL]]="", "", MROUND(tblPiNAnalysis[[#This Row],[SAL]]/tblPiNAnalysis[[#This Row],[Población]], 0.05)), "")</f>
        <v>0.35000000000000003</v>
      </c>
      <c r="T42" s="89">
        <f>IFERROR(IF(tblPiNAnalysis[[#This Row],[EDU]]="", "", MROUND(tblPiNAnalysis[[#This Row],[EDU]]/tblPiNAnalysis[[#This Row],[Población]], 0.05)), "")</f>
        <v>0.1</v>
      </c>
      <c r="U42" s="89">
        <f>IFERROR(IF(tblPiNAnalysis[[#This Row],[PRO]]="", "", MROUND(tblPiNAnalysis[[#This Row],[PRO]]/tblPiNAnalysis[[#This Row],[Población]], 0.05)), "")</f>
        <v>0.25</v>
      </c>
      <c r="V42" s="90">
        <f>IFERROR(IF(tblPiNAnalysis[[#This Row],[ASH]]="", "", MROUND(tblPiNAnalysis[[#This Row],[ASH]]/tblPiNAnalysis[[#This Row],[Población]], 0.05)), "")</f>
        <v>0</v>
      </c>
      <c r="W42" s="89">
        <f>IFERROR(MROUND(tblPiNAnalysis[[#This Row],[NNA]]/tblPiNAnalysis[[#This Row],[Población]], 0.05), "")</f>
        <v>0.1</v>
      </c>
      <c r="X42" s="89">
        <f>IFERROR(MROUND(tblPiNAnalysis[[#This Row],[VBG]]/tblPiNAnalysis[[#This Row],[Población]], 0.05), "")</f>
        <v>0.1</v>
      </c>
      <c r="Y42" s="91">
        <f>IFERROR(LARGE(tblPiNAnalysis[[#This Row],[SAMV]:[ASH]], 1), "")</f>
        <v>50809.46</v>
      </c>
      <c r="Z42" s="92" t="str" cm="1">
        <f t="array" ref="Z42">IF(tblPiNAnalysis[[#This Row],[PiN más alto]]="", "", _xlfn.TEXTJOIN(CHAR(10), TRUE, IF(tblPiNAnalysis[[#This Row],[PiN más alto]]=tblPiNAnalysis[[#This Row],[SAMV]:[ASH]], tblPiNAnalysis[[#Headers],[SAMV]:[ASH]], "")))</f>
        <v>SAL</v>
      </c>
      <c r="AA42" s="93">
        <f>IF(tblPiNAnalysis[[#This Row],[PiN más alto]]="", "", tblPiNAnalysis[[#This Row],[PiN más alto]]/tblPiNAnalysis[[#This Row],[Población]])</f>
        <v>0.36499999999999999</v>
      </c>
      <c r="AB42" s="94" t="str">
        <f>IF(SUM(tblPiNAnalysis[[#This Row],[SAMV]:[ASH]])=0, "",IF(COUNTIF(tblPiNAnalysis[[#This Row],[SAMV]:[ASH]],"=0")+COUNTIF(tblPiNAnalysis[[#This Row],[SAMV]:[ASH]],"")&gt;=zero_pin_thresh, "Flagged", ""))</f>
        <v/>
      </c>
      <c r="AC42" s="95" t="str">
        <f>IFERROR(IF(tblPiNAnalysis[[#This Row],[PiN más alto]]="", "", IF(tblPiNAnalysis[[#This Row],[% PiN Sectores más altos]]&gt;=flag_pin_perc, "Flagged", "")), "")</f>
        <v/>
      </c>
      <c r="AD42" s="96" t="str" cm="1">
        <f t="array" ref="AD42">IF(tblPiNAnalysis[[#This Row],[PiN más alto]]=0, "",  IF(OR(COUNTIF(tblPiNAnalysis[[#This Row],[Sectores más altos]],tblSubSectorPopulation[Sector])), "Flagged", ""))</f>
        <v/>
      </c>
      <c r="AE42" s="16" cm="1">
        <f t="array" ref="AE4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33676.833319465062</v>
      </c>
      <c r="AF42" s="97" t="str" cm="1">
        <f t="array" ref="AF42">IF(tblPiNAnalysis[[#This Row],[2º PiN más alto]]="", "", _xlfn.TEXTJOIN(CHAR(10), TRUE, IF(tblPiNAnalysis[[#This Row],[2º PiN más alto]]=tblPiNAnalysis[[#This Row],[SAMV]:[ASH]], tblPiNAnalysis[[#Headers],[SAMV]:[ASH]], "")))</f>
        <v>PRO</v>
      </c>
      <c r="AG42" s="12">
        <f>IFERROR(tblPiNAnalysis[[#This Row],[2º PiN más alto]]/tblPiNAnalysis[[#This Row],[Población]], "")</f>
        <v>0.24192432199839847</v>
      </c>
      <c r="AH42" s="16">
        <f>IFERROR(tblPiNAnalysis[[#This Row],[PiN más alto]]-tblPiNAnalysis[[#This Row],[2º PiN más alto]], "")</f>
        <v>17132.626680534937</v>
      </c>
      <c r="AI42" s="14">
        <f>IFERROR(((tblPiNAnalysis[[#This Row],[PiN más alto]]-tblPiNAnalysis[[#This Row],[2º PiN más alto]])/tblPiNAnalysis[[#This Row],[2º PiN más alto]]),"")</f>
        <v>0.50873627333103066</v>
      </c>
      <c r="AJ42" s="14" t="str" cm="1">
        <f t="array" ref="AJ4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42" s="98" cm="1">
        <f t="array" ref="AK4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20776.441349154215</v>
      </c>
      <c r="AL42" s="53" t="str" cm="1">
        <f t="array" ref="AL42">IF(tblPiNAnalysis[[#This Row],[3º PiN más alto]]="", "", _xlfn.TEXTJOIN(CHAR(10), TRUE, IF(tblPiNAnalysis[[#This Row],[3º PiN más alto]]=tblPiNAnalysis[[#This Row],[SAMV]:[ASH]], tblPiNAnalysis[[#Headers],[SAMV]:[ASH]], "")))</f>
        <v>NUT</v>
      </c>
      <c r="AM42" s="53">
        <f>IFERROR(tblPiNAnalysis[[#This Row],[3º PiN más alto]]/tblPiNAnalysis[[#This Row],[Población]], "")</f>
        <v>0.14925175533141444</v>
      </c>
      <c r="AN42" s="15">
        <f>IFERROR(tblPiNAnalysis[[#This Row],[PiN más alto]]-tblPiNAnalysis[[#This Row],[3º PiN más alto]],"")</f>
        <v>30033.018650845785</v>
      </c>
      <c r="AO42" s="14">
        <f>IFERROR(tblPiNAnalysis[[#This Row],[Diferencia de PiN entre el más alto y el 3º más alto]]/tblPiNAnalysis[[#This Row],[3º PiN más alto]], "")</f>
        <v>1.4455323770867234</v>
      </c>
      <c r="AP42" s="96" t="str" cm="1">
        <f t="array" ref="AP4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42" s="84" cm="1">
        <f t="array" ref="AQ42">IFERROR(IF(tblPiNAnalysis[[#This Row],[ID]]="", "", INDEX(tblPiNHistorical[[SAMV]:[ASH]], MATCH(tblPiNAnalysis[[#This Row],[ID]],tblPiNHistorical[ID], 0),MATCH(_xlfn._xlws.FILTER(tblPiNAnalysis[[#Headers],[SAMV]:[ASH]], tblPiNAnalysis[[#This Row],[PiN más alto]]=tblPiNAnalysis[[#This Row],[SAMV]:[ASH]]), tblPiNHistorical[[#Headers],[SAMV]:[ASH]], 0))), "")</f>
        <v>-0.8</v>
      </c>
      <c r="AR42" s="99" t="str" cm="1">
        <f t="array" ref="AR4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42" s="74" cm="1">
        <f t="array" ref="AS42">IFERROR(IF(tblPiNAnalysis[[#This Row],[ID]]="", "", INDEX(tblPiNHistorical[[SAMV]:[ASH]], MATCH(tblPiNAnalysis[[#This Row],[ID]],tblPiNHistorical[ID], 0),MATCH(_xlfn._xlws.FILTER(tblPiNAnalysis[[#Headers],[SAMV]:[ASH]], tblPiNAnalysis[[#This Row],[2º PiN más alto]]=tblPiNAnalysis[[#This Row],[SAMV]:[ASH]]), tblPiNHistorical[[#Headers],[SAMV]:[ASH]], 0))), "")</f>
        <v>-0.8</v>
      </c>
      <c r="AT42" s="100" t="str" cm="1">
        <f t="array" ref="AT4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42" s="219">
        <f>INDEX(tblSeverityAnalysis[Severidad final], MATCH(tblPiNAnalysis[[#This Row],[ID]],tblSeverityAnalysis[ID], 0))</f>
        <v>4</v>
      </c>
      <c r="AV42" s="220">
        <f>IF(tblPiNAnalysis[[#This Row],[Severidad]]&gt;2,tblPiNAnalysis[[#This Row],[PiN más alto]],)</f>
        <v>50809.46</v>
      </c>
      <c r="AW42" s="54"/>
      <c r="AX42" s="55"/>
      <c r="AY42" s="56">
        <f>COUNTIFS(tblPiNAnalysis[[#This Row],[Número de PiN ausentes/cero superior al umbral - Calidad de los datos]:[Marcador manual]],"Flagged")</f>
        <v>2</v>
      </c>
      <c r="AZ42" s="34" t="str">
        <f>IF(tblPiNAnalysis[[#This Row],[Número de marcadores]]&gt;0, "Flagged", "")</f>
        <v>Flagged</v>
      </c>
      <c r="BA42" s="92">
        <f>tblPiNAnalysis[[#This Row],[PiN preliminar]]</f>
        <v>50809.46</v>
      </c>
      <c r="BB42" s="97"/>
      <c r="BC42" s="70">
        <f>IFERROR(IF(tblPiNAnalysis[[#This Row],[Severidad]]=3,tblPiNAnalysis[[#This Row],[PiN final]]*Umbrales!$D$33,tblPiNAnalysis[[#This Row],[PiN final]]*Umbrales!$D$34),)</f>
        <v>50809.46</v>
      </c>
      <c r="BD42" s="70">
        <f>IFERROR(IF(tblPiNAnalysis[[#This Row],[Severidad]]&gt;3,tblPiNAnalysis[[#This Row],[PiN final]]*Umbrales!$D$34,),)</f>
        <v>50809.46</v>
      </c>
    </row>
    <row r="43" spans="1:56">
      <c r="A43" s="101" t="str">
        <f>IFERROR(_xlfn.CONCAT(IF(tblPiNAnalysis[[#This Row],[Grupo]]="", "",tblPiNAnalysis[[#This Row],[Grupo]] ),  _xlfn.IFS(tblPiNAnalysis[[#This Row],[Admin2PCODE]]&lt;&gt;"", tblPiNAnalysis[[#This Row],[Admin2PCODE]], tblPiNAnalysis[[#This Row],[Admin1PCODE]]&lt;&gt;"", tblPiNAnalysis[[#This Row],[Admin1PCODE]])),"")</f>
        <v>VenezolanosVE1520</v>
      </c>
      <c r="B43" s="105" t="s">
        <v>276</v>
      </c>
      <c r="C43" s="104" t="s">
        <v>455</v>
      </c>
      <c r="D43" s="119" t="s">
        <v>207</v>
      </c>
      <c r="E43" s="104" t="s">
        <v>489</v>
      </c>
      <c r="F43" s="358"/>
      <c r="G43" s="357">
        <v>138489</v>
      </c>
      <c r="H43" s="103" t="s">
        <v>102</v>
      </c>
      <c r="I43" s="60">
        <v>23851</v>
      </c>
      <c r="J43" s="134">
        <v>4641.3726721507173</v>
      </c>
      <c r="K43" s="57">
        <v>50548.485000000001</v>
      </c>
      <c r="L43" s="87">
        <v>14074.076193286957</v>
      </c>
      <c r="M43" s="87">
        <v>33130.663519675916</v>
      </c>
      <c r="N43" s="57">
        <v>9348.0074999999997</v>
      </c>
      <c r="O43" s="57">
        <v>10601.812326296294</v>
      </c>
      <c r="P43" s="57">
        <v>11595.73223188657</v>
      </c>
      <c r="Q43" s="88">
        <f>IFERROR(IF(tblPiNAnalysis[[#This Row],[SAMV]]="", "", MROUND(tblPiNAnalysis[[#This Row],[SAMV]]/tblPiNAnalysis[[#This Row],[Población]], 0.05)), "")</f>
        <v>0.15000000000000002</v>
      </c>
      <c r="R43" s="89">
        <f>IFERROR(IF(tblPiNAnalysis[[#This Row],[NUT]]="", "", MROUND(tblPiNAnalysis[[#This Row],[NUT]]/tblPiNAnalysis[[#This Row],[Población]], 0.05)), "")</f>
        <v>0.05</v>
      </c>
      <c r="S43" s="89">
        <f>IFERROR(IF(tblPiNAnalysis[[#This Row],[SAL]]="", "", MROUND(tblPiNAnalysis[[#This Row],[SAL]]/tblPiNAnalysis[[#This Row],[Población]], 0.05)), "")</f>
        <v>0.35000000000000003</v>
      </c>
      <c r="T43" s="89">
        <f>IFERROR(IF(tblPiNAnalysis[[#This Row],[EDU]]="", "", MROUND(tblPiNAnalysis[[#This Row],[EDU]]/tblPiNAnalysis[[#This Row],[Población]], 0.05)), "")</f>
        <v>0.1</v>
      </c>
      <c r="U43" s="89">
        <f>IFERROR(IF(tblPiNAnalysis[[#This Row],[PRO]]="", "", MROUND(tblPiNAnalysis[[#This Row],[PRO]]/tblPiNAnalysis[[#This Row],[Población]], 0.05)), "")</f>
        <v>0.25</v>
      </c>
      <c r="V43" s="90">
        <f>IFERROR(IF(tblPiNAnalysis[[#This Row],[ASH]]="", "", MROUND(tblPiNAnalysis[[#This Row],[ASH]]/tblPiNAnalysis[[#This Row],[Población]], 0.05)), "")</f>
        <v>0.05</v>
      </c>
      <c r="W43" s="89">
        <f>IFERROR(MROUND(tblPiNAnalysis[[#This Row],[NNA]]/tblPiNAnalysis[[#This Row],[Población]], 0.05), "")</f>
        <v>0.1</v>
      </c>
      <c r="X43" s="89">
        <f>IFERROR(MROUND(tblPiNAnalysis[[#This Row],[VBG]]/tblPiNAnalysis[[#This Row],[Población]], 0.05), "")</f>
        <v>0.1</v>
      </c>
      <c r="Y43" s="91">
        <f>IFERROR(LARGE(tblPiNAnalysis[[#This Row],[SAMV]:[ASH]], 1), "")</f>
        <v>50548.485000000001</v>
      </c>
      <c r="Z43" s="92" t="str" cm="1">
        <f t="array" ref="Z43">IF(tblPiNAnalysis[[#This Row],[PiN más alto]]="", "", _xlfn.TEXTJOIN(CHAR(10), TRUE, IF(tblPiNAnalysis[[#This Row],[PiN más alto]]=tblPiNAnalysis[[#This Row],[SAMV]:[ASH]], tblPiNAnalysis[[#Headers],[SAMV]:[ASH]], "")))</f>
        <v>SAL</v>
      </c>
      <c r="AA43" s="93">
        <f>IF(tblPiNAnalysis[[#This Row],[PiN más alto]]="", "", tblPiNAnalysis[[#This Row],[PiN más alto]]/tblPiNAnalysis[[#This Row],[Población]])</f>
        <v>0.36499999999999999</v>
      </c>
      <c r="AB43" s="94" t="str">
        <f>IF(SUM(tblPiNAnalysis[[#This Row],[SAMV]:[ASH]])=0, "",IF(COUNTIF(tblPiNAnalysis[[#This Row],[SAMV]:[ASH]],"=0")+COUNTIF(tblPiNAnalysis[[#This Row],[SAMV]:[ASH]],"")&gt;=zero_pin_thresh, "Flagged", ""))</f>
        <v/>
      </c>
      <c r="AC43" s="95" t="str">
        <f>IFERROR(IF(tblPiNAnalysis[[#This Row],[PiN más alto]]="", "", IF(tblPiNAnalysis[[#This Row],[% PiN Sectores más altos]]&gt;=flag_pin_perc, "Flagged", "")), "")</f>
        <v/>
      </c>
      <c r="AD43" s="96" t="str" cm="1">
        <f t="array" ref="AD43">IF(tblPiNAnalysis[[#This Row],[PiN más alto]]=0, "",  IF(OR(COUNTIF(tblPiNAnalysis[[#This Row],[Sectores más altos]],tblSubSectorPopulation[Sector])), "Flagged", ""))</f>
        <v/>
      </c>
      <c r="AE43" s="16" cm="1">
        <f t="array" ref="AE4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33130.663519675916</v>
      </c>
      <c r="AF43" s="97" t="str" cm="1">
        <f t="array" ref="AF43">IF(tblPiNAnalysis[[#This Row],[2º PiN más alto]]="", "", _xlfn.TEXTJOIN(CHAR(10), TRUE, IF(tblPiNAnalysis[[#This Row],[2º PiN más alto]]=tblPiNAnalysis[[#This Row],[SAMV]:[ASH]], tblPiNAnalysis[[#Headers],[SAMV]:[ASH]], "")))</f>
        <v>PRO</v>
      </c>
      <c r="AG43" s="12">
        <f>IFERROR(tblPiNAnalysis[[#This Row],[2º PiN más alto]]/tblPiNAnalysis[[#This Row],[Población]], "")</f>
        <v>0.23922956711129342</v>
      </c>
      <c r="AH43" s="16">
        <f>IFERROR(tblPiNAnalysis[[#This Row],[PiN más alto]]-tblPiNAnalysis[[#This Row],[2º PiN más alto]], "")</f>
        <v>17417.821480324084</v>
      </c>
      <c r="AI43" s="14">
        <f>IFERROR(((tblPiNAnalysis[[#This Row],[PiN más alto]]-tblPiNAnalysis[[#This Row],[2º PiN más alto]])/tblPiNAnalysis[[#This Row],[2º PiN más alto]]),"")</f>
        <v>0.52573113937123062</v>
      </c>
      <c r="AJ43" s="14" t="str" cm="1">
        <f t="array" ref="AJ4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43" s="98" cm="1">
        <f t="array" ref="AK4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23851</v>
      </c>
      <c r="AL43" s="53" t="str" cm="1">
        <f t="array" ref="AL43">IF(tblPiNAnalysis[[#This Row],[3º PiN más alto]]="", "", _xlfn.TEXTJOIN(CHAR(10), TRUE, IF(tblPiNAnalysis[[#This Row],[3º PiN más alto]]=tblPiNAnalysis[[#This Row],[SAMV]:[ASH]], tblPiNAnalysis[[#Headers],[SAMV]:[ASH]], "")))</f>
        <v>SAMV</v>
      </c>
      <c r="AM43" s="53">
        <f>IFERROR(tblPiNAnalysis[[#This Row],[3º PiN más alto]]/tblPiNAnalysis[[#This Row],[Población]], "")</f>
        <v>0.17222306464773376</v>
      </c>
      <c r="AN43" s="15">
        <f>IFERROR(tblPiNAnalysis[[#This Row],[PiN más alto]]-tblPiNAnalysis[[#This Row],[3º PiN más alto]],"")</f>
        <v>26697.485000000001</v>
      </c>
      <c r="AO43" s="14">
        <f>IFERROR(tblPiNAnalysis[[#This Row],[Diferencia de PiN entre el más alto y el 3º más alto]]/tblPiNAnalysis[[#This Row],[3º PiN más alto]], "")</f>
        <v>1.1193444719298982</v>
      </c>
      <c r="AP43" s="96" t="str" cm="1">
        <f t="array" ref="AP4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43" s="84" cm="1">
        <f t="array" ref="AQ43">IFERROR(IF(tblPiNAnalysis[[#This Row],[ID]]="", "", INDEX(tblPiNHistorical[[SAMV]:[ASH]], MATCH(tblPiNAnalysis[[#This Row],[ID]],tblPiNHistorical[ID], 0),MATCH(_xlfn._xlws.FILTER(tblPiNAnalysis[[#Headers],[SAMV]:[ASH]], tblPiNAnalysis[[#This Row],[PiN más alto]]=tblPiNAnalysis[[#This Row],[SAMV]:[ASH]]), tblPiNHistorical[[#Headers],[SAMV]:[ASH]], 0))), "")</f>
        <v>-0.8</v>
      </c>
      <c r="AR43" s="99" t="str" cm="1">
        <f t="array" ref="AR4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43" s="74" cm="1">
        <f t="array" ref="AS43">IFERROR(IF(tblPiNAnalysis[[#This Row],[ID]]="", "", INDEX(tblPiNHistorical[[SAMV]:[ASH]], MATCH(tblPiNAnalysis[[#This Row],[ID]],tblPiNHistorical[ID], 0),MATCH(_xlfn._xlws.FILTER(tblPiNAnalysis[[#Headers],[SAMV]:[ASH]], tblPiNAnalysis[[#This Row],[2º PiN más alto]]=tblPiNAnalysis[[#This Row],[SAMV]:[ASH]]), tblPiNHistorical[[#Headers],[SAMV]:[ASH]], 0))), "")</f>
        <v>-0.9</v>
      </c>
      <c r="AT43" s="100" t="str" cm="1">
        <f t="array" ref="AT4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43" s="219">
        <f>INDEX(tblSeverityAnalysis[Severidad final], MATCH(tblPiNAnalysis[[#This Row],[ID]],tblSeverityAnalysis[ID], 0))</f>
        <v>3</v>
      </c>
      <c r="AV43" s="220">
        <f>IF(tblPiNAnalysis[[#This Row],[Severidad]]&gt;2,tblPiNAnalysis[[#This Row],[PiN más alto]],)</f>
        <v>50548.485000000001</v>
      </c>
      <c r="AW43" s="54"/>
      <c r="AX43" s="55"/>
      <c r="AY43" s="56">
        <f>COUNTIFS(tblPiNAnalysis[[#This Row],[Número de PiN ausentes/cero superior al umbral - Calidad de los datos]:[Marcador manual]],"Flagged")</f>
        <v>2</v>
      </c>
      <c r="AZ43" s="34" t="str">
        <f>IF(tblPiNAnalysis[[#This Row],[Número de marcadores]]&gt;0, "Flagged", "")</f>
        <v>Flagged</v>
      </c>
      <c r="BA43" s="92">
        <f>tblPiNAnalysis[[#This Row],[PiN preliminar]]</f>
        <v>50548.485000000001</v>
      </c>
      <c r="BB43" s="97"/>
      <c r="BC43" s="70">
        <f>IFERROR(IF(tblPiNAnalysis[[#This Row],[Severidad]]=3,tblPiNAnalysis[[#This Row],[PiN final]]*Umbrales!$D$33,tblPiNAnalysis[[#This Row],[PiN final]]*Umbrales!$D$34),)</f>
        <v>25274.2425</v>
      </c>
      <c r="BD43" s="70">
        <f>IFERROR(IF(tblPiNAnalysis[[#This Row],[Severidad]]&gt;3,tblPiNAnalysis[[#This Row],[PiN final]]*Umbrales!$D$34,),)</f>
        <v>0</v>
      </c>
    </row>
    <row r="44" spans="1:56">
      <c r="A44" s="101" t="str">
        <f>IFERROR(_xlfn.CONCAT(IF(tblPiNAnalysis[[#This Row],[Grupo]]="", "",tblPiNAnalysis[[#This Row],[Grupo]] ),  _xlfn.IFS(tblPiNAnalysis[[#This Row],[Admin2PCODE]]&lt;&gt;"", tblPiNAnalysis[[#This Row],[Admin2PCODE]], tblPiNAnalysis[[#This Row],[Admin1PCODE]]&lt;&gt;"", tblPiNAnalysis[[#This Row],[Admin1PCODE]])),"")</f>
        <v>VenezolanosVE1401</v>
      </c>
      <c r="B44" s="105" t="s">
        <v>411</v>
      </c>
      <c r="C44" s="104" t="s">
        <v>412</v>
      </c>
      <c r="D44" s="119" t="s">
        <v>413</v>
      </c>
      <c r="E44" s="104" t="s">
        <v>414</v>
      </c>
      <c r="F44" s="358"/>
      <c r="G44" s="357">
        <v>135683</v>
      </c>
      <c r="H44" s="103" t="s">
        <v>102</v>
      </c>
      <c r="I44" s="60">
        <v>32790</v>
      </c>
      <c r="J44" s="134">
        <v>5774.6494437724832</v>
      </c>
      <c r="K44" s="57">
        <v>49524.294999999998</v>
      </c>
      <c r="L44" s="87">
        <v>15747.790952202507</v>
      </c>
      <c r="M44" s="87">
        <v>22696.049440500428</v>
      </c>
      <c r="N44" s="57">
        <v>18317.204999999998</v>
      </c>
      <c r="O44" s="57">
        <v>7262.7358209601371</v>
      </c>
      <c r="P44" s="57">
        <v>7943.617304175149</v>
      </c>
      <c r="Q44" s="88">
        <f>IFERROR(IF(tblPiNAnalysis[[#This Row],[SAMV]]="", "", MROUND(tblPiNAnalysis[[#This Row],[SAMV]]/tblPiNAnalysis[[#This Row],[Población]], 0.05)), "")</f>
        <v>0.25</v>
      </c>
      <c r="R44" s="89">
        <f>IFERROR(IF(tblPiNAnalysis[[#This Row],[NUT]]="", "", MROUND(tblPiNAnalysis[[#This Row],[NUT]]/tblPiNAnalysis[[#This Row],[Población]], 0.05)), "")</f>
        <v>0.05</v>
      </c>
      <c r="S44" s="89">
        <f>IFERROR(IF(tblPiNAnalysis[[#This Row],[SAL]]="", "", MROUND(tblPiNAnalysis[[#This Row],[SAL]]/tblPiNAnalysis[[#This Row],[Población]], 0.05)), "")</f>
        <v>0.35000000000000003</v>
      </c>
      <c r="T44" s="89">
        <f>IFERROR(IF(tblPiNAnalysis[[#This Row],[EDU]]="", "", MROUND(tblPiNAnalysis[[#This Row],[EDU]]/tblPiNAnalysis[[#This Row],[Población]], 0.05)), "")</f>
        <v>0.1</v>
      </c>
      <c r="U44" s="89">
        <f>IFERROR(IF(tblPiNAnalysis[[#This Row],[PRO]]="", "", MROUND(tblPiNAnalysis[[#This Row],[PRO]]/tblPiNAnalysis[[#This Row],[Población]], 0.05)), "")</f>
        <v>0.15000000000000002</v>
      </c>
      <c r="V44" s="90">
        <f>IFERROR(IF(tblPiNAnalysis[[#This Row],[ASH]]="", "", MROUND(tblPiNAnalysis[[#This Row],[ASH]]/tblPiNAnalysis[[#This Row],[Población]], 0.05)), "")</f>
        <v>0.15000000000000002</v>
      </c>
      <c r="W44" s="89">
        <f>IFERROR(MROUND(tblPiNAnalysis[[#This Row],[NNA]]/tblPiNAnalysis[[#This Row],[Población]], 0.05), "")</f>
        <v>0.05</v>
      </c>
      <c r="X44" s="89">
        <f>IFERROR(MROUND(tblPiNAnalysis[[#This Row],[VBG]]/tblPiNAnalysis[[#This Row],[Población]], 0.05), "")</f>
        <v>0.05</v>
      </c>
      <c r="Y44" s="91">
        <f>IFERROR(LARGE(tblPiNAnalysis[[#This Row],[SAMV]:[ASH]], 1), "")</f>
        <v>49524.294999999998</v>
      </c>
      <c r="Z44" s="92" t="str" cm="1">
        <f t="array" ref="Z44">IF(tblPiNAnalysis[[#This Row],[PiN más alto]]="", "", _xlfn.TEXTJOIN(CHAR(10), TRUE, IF(tblPiNAnalysis[[#This Row],[PiN más alto]]=tblPiNAnalysis[[#This Row],[SAMV]:[ASH]], tblPiNAnalysis[[#Headers],[SAMV]:[ASH]], "")))</f>
        <v>SAL</v>
      </c>
      <c r="AA44" s="93">
        <f>IF(tblPiNAnalysis[[#This Row],[PiN más alto]]="", "", tblPiNAnalysis[[#This Row],[PiN más alto]]/tblPiNAnalysis[[#This Row],[Población]])</f>
        <v>0.36499999999999999</v>
      </c>
      <c r="AB44" s="94" t="str">
        <f>IF(SUM(tblPiNAnalysis[[#This Row],[SAMV]:[ASH]])=0, "",IF(COUNTIF(tblPiNAnalysis[[#This Row],[SAMV]:[ASH]],"=0")+COUNTIF(tblPiNAnalysis[[#This Row],[SAMV]:[ASH]],"")&gt;=zero_pin_thresh, "Flagged", ""))</f>
        <v/>
      </c>
      <c r="AC44" s="95" t="str">
        <f>IFERROR(IF(tblPiNAnalysis[[#This Row],[PiN más alto]]="", "", IF(tblPiNAnalysis[[#This Row],[% PiN Sectores más altos]]&gt;=flag_pin_perc, "Flagged", "")), "")</f>
        <v/>
      </c>
      <c r="AD44" s="96" t="str" cm="1">
        <f t="array" ref="AD44">IF(tblPiNAnalysis[[#This Row],[PiN más alto]]=0, "",  IF(OR(COUNTIF(tblPiNAnalysis[[#This Row],[Sectores más altos]],tblSubSectorPopulation[Sector])), "Flagged", ""))</f>
        <v/>
      </c>
      <c r="AE44" s="16" cm="1">
        <f t="array" ref="AE4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32790</v>
      </c>
      <c r="AF44" s="97" t="str" cm="1">
        <f t="array" ref="AF44">IF(tblPiNAnalysis[[#This Row],[2º PiN más alto]]="", "", _xlfn.TEXTJOIN(CHAR(10), TRUE, IF(tblPiNAnalysis[[#This Row],[2º PiN más alto]]=tblPiNAnalysis[[#This Row],[SAMV]:[ASH]], tblPiNAnalysis[[#Headers],[SAMV]:[ASH]], "")))</f>
        <v>SAMV</v>
      </c>
      <c r="AG44" s="12">
        <f>IFERROR(tblPiNAnalysis[[#This Row],[2º PiN más alto]]/tblPiNAnalysis[[#This Row],[Población]], "")</f>
        <v>0.24166623674299653</v>
      </c>
      <c r="AH44" s="16">
        <f>IFERROR(tblPiNAnalysis[[#This Row],[PiN más alto]]-tblPiNAnalysis[[#This Row],[2º PiN más alto]], "")</f>
        <v>16734.294999999998</v>
      </c>
      <c r="AI44" s="14">
        <f>IFERROR(((tblPiNAnalysis[[#This Row],[PiN más alto]]-tblPiNAnalysis[[#This Row],[2º PiN más alto]])/tblPiNAnalysis[[#This Row],[2º PiN más alto]]),"")</f>
        <v>0.51034751448612381</v>
      </c>
      <c r="AJ44" s="14" t="str" cm="1">
        <f t="array" ref="AJ4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44" s="98" cm="1">
        <f t="array" ref="AK4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22696.049440500428</v>
      </c>
      <c r="AL44" s="53" t="str" cm="1">
        <f t="array" ref="AL44">IF(tblPiNAnalysis[[#This Row],[3º PiN más alto]]="", "", _xlfn.TEXTJOIN(CHAR(10), TRUE, IF(tblPiNAnalysis[[#This Row],[3º PiN más alto]]=tblPiNAnalysis[[#This Row],[SAMV]:[ASH]], tblPiNAnalysis[[#Headers],[SAMV]:[ASH]], "")))</f>
        <v>PRO</v>
      </c>
      <c r="AM44" s="53">
        <f>IFERROR(tblPiNAnalysis[[#This Row],[3º PiN más alto]]/tblPiNAnalysis[[#This Row],[Población]], "")</f>
        <v>0.16727260924729279</v>
      </c>
      <c r="AN44" s="15">
        <f>IFERROR(tblPiNAnalysis[[#This Row],[PiN más alto]]-tblPiNAnalysis[[#This Row],[3º PiN más alto]],"")</f>
        <v>26828.24555949957</v>
      </c>
      <c r="AO44" s="14">
        <f>IFERROR(tblPiNAnalysis[[#This Row],[Diferencia de PiN entre el más alto y el 3º más alto]]/tblPiNAnalysis[[#This Row],[3º PiN más alto]], "")</f>
        <v>1.1820667570288845</v>
      </c>
      <c r="AP44" s="96" t="str" cm="1">
        <f t="array" ref="AP4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44" s="84" cm="1">
        <f t="array" ref="AQ44">IFERROR(IF(tblPiNAnalysis[[#This Row],[ID]]="", "", INDEX(tblPiNHistorical[[SAMV]:[ASH]], MATCH(tblPiNAnalysis[[#This Row],[ID]],tblPiNHistorical[ID], 0),MATCH(_xlfn._xlws.FILTER(tblPiNAnalysis[[#Headers],[SAMV]:[ASH]], tblPiNAnalysis[[#This Row],[PiN más alto]]=tblPiNAnalysis[[#This Row],[SAMV]:[ASH]]), tblPiNHistorical[[#Headers],[SAMV]:[ASH]], 0))), "")</f>
        <v>-0.7</v>
      </c>
      <c r="AR44" s="99" t="str" cm="1">
        <f t="array" ref="AR4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44" s="74" cm="1">
        <f t="array" ref="AS44">IFERROR(IF(tblPiNAnalysis[[#This Row],[ID]]="", "", INDEX(tblPiNHistorical[[SAMV]:[ASH]], MATCH(tblPiNAnalysis[[#This Row],[ID]],tblPiNHistorical[ID], 0),MATCH(_xlfn._xlws.FILTER(tblPiNAnalysis[[#Headers],[SAMV]:[ASH]], tblPiNAnalysis[[#This Row],[2º PiN más alto]]=tblPiNAnalysis[[#This Row],[SAMV]:[ASH]]), tblPiNHistorical[[#Headers],[SAMV]:[ASH]], 0))), "")</f>
        <v>-0.8</v>
      </c>
      <c r="AT44" s="100" t="str" cm="1">
        <f t="array" ref="AT4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44" s="219">
        <f>INDEX(tblSeverityAnalysis[Severidad final], MATCH(tblPiNAnalysis[[#This Row],[ID]],tblSeverityAnalysis[ID], 0))</f>
        <v>3</v>
      </c>
      <c r="AV44" s="220">
        <f>IF(tblPiNAnalysis[[#This Row],[Severidad]]&gt;2,tblPiNAnalysis[[#This Row],[PiN más alto]],)</f>
        <v>49524.294999999998</v>
      </c>
      <c r="AW44" s="54"/>
      <c r="AX44" s="55"/>
      <c r="AY44" s="56">
        <f>COUNTIFS(tblPiNAnalysis[[#This Row],[Número de PiN ausentes/cero superior al umbral - Calidad de los datos]:[Marcador manual]],"Flagged")</f>
        <v>2</v>
      </c>
      <c r="AZ44" s="34" t="str">
        <f>IF(tblPiNAnalysis[[#This Row],[Número de marcadores]]&gt;0, "Flagged", "")</f>
        <v>Flagged</v>
      </c>
      <c r="BA44" s="92">
        <f>tblPiNAnalysis[[#This Row],[PiN preliminar]]</f>
        <v>49524.294999999998</v>
      </c>
      <c r="BB44" s="97"/>
      <c r="BC44" s="70">
        <f>IFERROR(IF(tblPiNAnalysis[[#This Row],[Severidad]]=3,tblPiNAnalysis[[#This Row],[PiN final]]*Umbrales!$D$33,tblPiNAnalysis[[#This Row],[PiN final]]*Umbrales!$D$34),)</f>
        <v>24762.147499999999</v>
      </c>
      <c r="BD44" s="70">
        <f>IFERROR(IF(tblPiNAnalysis[[#This Row],[Severidad]]&gt;3,tblPiNAnalysis[[#This Row],[PiN final]]*Umbrales!$D$34,),)</f>
        <v>0</v>
      </c>
    </row>
    <row r="45" spans="1:56">
      <c r="A45" s="101" t="str">
        <f>IFERROR(_xlfn.CONCAT(IF(tblPiNAnalysis[[#This Row],[Grupo]]="", "",tblPiNAnalysis[[#This Row],[Grupo]] ),  _xlfn.IFS(tblPiNAnalysis[[#This Row],[Admin2PCODE]]&lt;&gt;"", tblPiNAnalysis[[#This Row],[Admin2PCODE]], tblPiNAnalysis[[#This Row],[Admin1PCODE]]&lt;&gt;"", tblPiNAnalysis[[#This Row],[Admin1PCODE]])),"")</f>
        <v>VenezolanosVE2305</v>
      </c>
      <c r="B45" s="105" t="s">
        <v>705</v>
      </c>
      <c r="C45" s="104" t="s">
        <v>706</v>
      </c>
      <c r="D45" s="119" t="s">
        <v>715</v>
      </c>
      <c r="E45" s="104" t="s">
        <v>716</v>
      </c>
      <c r="F45" s="358"/>
      <c r="G45" s="357">
        <v>131637</v>
      </c>
      <c r="H45" s="103" t="s">
        <v>102</v>
      </c>
      <c r="I45" s="60">
        <v>9609</v>
      </c>
      <c r="J45" s="134">
        <v>8392.6171726725388</v>
      </c>
      <c r="K45" s="57">
        <v>48047.504999999997</v>
      </c>
      <c r="L45" s="87">
        <v>20046.072436259514</v>
      </c>
      <c r="M45" s="87">
        <v>31374.704465067924</v>
      </c>
      <c r="N45" s="57">
        <v>17770.994999999999</v>
      </c>
      <c r="O45" s="57">
        <v>10071.280133286804</v>
      </c>
      <c r="P45" s="57">
        <v>10981.146562773774</v>
      </c>
      <c r="Q45" s="88">
        <f>IFERROR(IF(tblPiNAnalysis[[#This Row],[SAMV]]="", "", MROUND(tblPiNAnalysis[[#This Row],[SAMV]]/tblPiNAnalysis[[#This Row],[Población]], 0.05)), "")</f>
        <v>0.05</v>
      </c>
      <c r="R45" s="89">
        <f>IFERROR(IF(tblPiNAnalysis[[#This Row],[NUT]]="", "", MROUND(tblPiNAnalysis[[#This Row],[NUT]]/tblPiNAnalysis[[#This Row],[Población]], 0.05)), "")</f>
        <v>0.05</v>
      </c>
      <c r="S45" s="89">
        <f>IFERROR(IF(tblPiNAnalysis[[#This Row],[SAL]]="", "", MROUND(tblPiNAnalysis[[#This Row],[SAL]]/tblPiNAnalysis[[#This Row],[Población]], 0.05)), "")</f>
        <v>0.35000000000000003</v>
      </c>
      <c r="T45" s="89">
        <f>IFERROR(IF(tblPiNAnalysis[[#This Row],[EDU]]="", "", MROUND(tblPiNAnalysis[[#This Row],[EDU]]/tblPiNAnalysis[[#This Row],[Población]], 0.05)), "")</f>
        <v>0.15000000000000002</v>
      </c>
      <c r="U45" s="89">
        <f>IFERROR(IF(tblPiNAnalysis[[#This Row],[PRO]]="", "", MROUND(tblPiNAnalysis[[#This Row],[PRO]]/tblPiNAnalysis[[#This Row],[Población]], 0.05)), "")</f>
        <v>0.25</v>
      </c>
      <c r="V45" s="90">
        <f>IFERROR(IF(tblPiNAnalysis[[#This Row],[ASH]]="", "", MROUND(tblPiNAnalysis[[#This Row],[ASH]]/tblPiNAnalysis[[#This Row],[Población]], 0.05)), "")</f>
        <v>0.15000000000000002</v>
      </c>
      <c r="W45" s="89">
        <f>IFERROR(MROUND(tblPiNAnalysis[[#This Row],[NNA]]/tblPiNAnalysis[[#This Row],[Población]], 0.05), "")</f>
        <v>0.1</v>
      </c>
      <c r="X45" s="89">
        <f>IFERROR(MROUND(tblPiNAnalysis[[#This Row],[VBG]]/tblPiNAnalysis[[#This Row],[Población]], 0.05), "")</f>
        <v>0.1</v>
      </c>
      <c r="Y45" s="91">
        <f>IFERROR(LARGE(tblPiNAnalysis[[#This Row],[SAMV]:[ASH]], 1), "")</f>
        <v>48047.504999999997</v>
      </c>
      <c r="Z45" s="92" t="str" cm="1">
        <f t="array" ref="Z45">IF(tblPiNAnalysis[[#This Row],[PiN más alto]]="", "", _xlfn.TEXTJOIN(CHAR(10), TRUE, IF(tblPiNAnalysis[[#This Row],[PiN más alto]]=tblPiNAnalysis[[#This Row],[SAMV]:[ASH]], tblPiNAnalysis[[#Headers],[SAMV]:[ASH]], "")))</f>
        <v>SAL</v>
      </c>
      <c r="AA45" s="93">
        <f>IF(tblPiNAnalysis[[#This Row],[PiN más alto]]="", "", tblPiNAnalysis[[#This Row],[PiN más alto]]/tblPiNAnalysis[[#This Row],[Población]])</f>
        <v>0.36499999999999999</v>
      </c>
      <c r="AB45" s="94" t="str">
        <f>IF(SUM(tblPiNAnalysis[[#This Row],[SAMV]:[ASH]])=0, "",IF(COUNTIF(tblPiNAnalysis[[#This Row],[SAMV]:[ASH]],"=0")+COUNTIF(tblPiNAnalysis[[#This Row],[SAMV]:[ASH]],"")&gt;=zero_pin_thresh, "Flagged", ""))</f>
        <v/>
      </c>
      <c r="AC45" s="95" t="str">
        <f>IFERROR(IF(tblPiNAnalysis[[#This Row],[PiN más alto]]="", "", IF(tblPiNAnalysis[[#This Row],[% PiN Sectores más altos]]&gt;=flag_pin_perc, "Flagged", "")), "")</f>
        <v/>
      </c>
      <c r="AD45" s="96" t="str" cm="1">
        <f t="array" ref="AD45">IF(tblPiNAnalysis[[#This Row],[PiN más alto]]=0, "",  IF(OR(COUNTIF(tblPiNAnalysis[[#This Row],[Sectores más altos]],tblSubSectorPopulation[Sector])), "Flagged", ""))</f>
        <v/>
      </c>
      <c r="AE45" s="16" cm="1">
        <f t="array" ref="AE4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31374.704465067924</v>
      </c>
      <c r="AF45" s="97" t="str" cm="1">
        <f t="array" ref="AF45">IF(tblPiNAnalysis[[#This Row],[2º PiN más alto]]="", "", _xlfn.TEXTJOIN(CHAR(10), TRUE, IF(tblPiNAnalysis[[#This Row],[2º PiN más alto]]=tblPiNAnalysis[[#This Row],[SAMV]:[ASH]], tblPiNAnalysis[[#Headers],[SAMV]:[ASH]], "")))</f>
        <v>PRO</v>
      </c>
      <c r="AG45" s="12">
        <f>IFERROR(tblPiNAnalysis[[#This Row],[2º PiN más alto]]/tblPiNAnalysis[[#This Row],[Población]], "")</f>
        <v>0.23834259718064013</v>
      </c>
      <c r="AH45" s="16">
        <f>IFERROR(tblPiNAnalysis[[#This Row],[PiN más alto]]-tblPiNAnalysis[[#This Row],[2º PiN más alto]], "")</f>
        <v>16672.800534932074</v>
      </c>
      <c r="AI45" s="14">
        <f>IFERROR(((tblPiNAnalysis[[#This Row],[PiN más alto]]-tblPiNAnalysis[[#This Row],[2º PiN más alto]])/tblPiNAnalysis[[#This Row],[2º PiN más alto]]),"")</f>
        <v>0.53140900668866198</v>
      </c>
      <c r="AJ45" s="14" t="str" cm="1">
        <f t="array" ref="AJ4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45" s="98" cm="1">
        <f t="array" ref="AK4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20046.072436259514</v>
      </c>
      <c r="AL45" s="53" t="str" cm="1">
        <f t="array" ref="AL45">IF(tblPiNAnalysis[[#This Row],[3º PiN más alto]]="", "", _xlfn.TEXTJOIN(CHAR(10), TRUE, IF(tblPiNAnalysis[[#This Row],[3º PiN más alto]]=tblPiNAnalysis[[#This Row],[SAMV]:[ASH]], tblPiNAnalysis[[#Headers],[SAMV]:[ASH]], "")))</f>
        <v>EDU</v>
      </c>
      <c r="AM45" s="53">
        <f>IFERROR(tblPiNAnalysis[[#This Row],[3º PiN más alto]]/tblPiNAnalysis[[#This Row],[Población]], "")</f>
        <v>0.15228296327217661</v>
      </c>
      <c r="AN45" s="15">
        <f>IFERROR(tblPiNAnalysis[[#This Row],[PiN más alto]]-tblPiNAnalysis[[#This Row],[3º PiN más alto]],"")</f>
        <v>28001.432563740484</v>
      </c>
      <c r="AO45" s="14">
        <f>IFERROR(tblPiNAnalysis[[#This Row],[Diferencia de PiN entre el más alto y el 3º más alto]]/tblPiNAnalysis[[#This Row],[3º PiN más alto]], "")</f>
        <v>1.3968538052916164</v>
      </c>
      <c r="AP45" s="96" t="str" cm="1">
        <f t="array" ref="AP4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45" s="84" cm="1">
        <f t="array" ref="AQ45">IFERROR(IF(tblPiNAnalysis[[#This Row],[ID]]="", "", INDEX(tblPiNHistorical[[SAMV]:[ASH]], MATCH(tblPiNAnalysis[[#This Row],[ID]],tblPiNHistorical[ID], 0),MATCH(_xlfn._xlws.FILTER(tblPiNAnalysis[[#Headers],[SAMV]:[ASH]], tblPiNAnalysis[[#This Row],[PiN más alto]]=tblPiNAnalysis[[#This Row],[SAMV]:[ASH]]), tblPiNHistorical[[#Headers],[SAMV]:[ASH]], 0))), "")</f>
        <v>0.1</v>
      </c>
      <c r="AR45" s="99" t="str" cm="1">
        <f t="array" ref="AR4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45" s="74" cm="1">
        <f t="array" ref="AS45">IFERROR(IF(tblPiNAnalysis[[#This Row],[ID]]="", "", INDEX(tblPiNHistorical[[SAMV]:[ASH]], MATCH(tblPiNAnalysis[[#This Row],[ID]],tblPiNHistorical[ID], 0),MATCH(_xlfn._xlws.FILTER(tblPiNAnalysis[[#Headers],[SAMV]:[ASH]], tblPiNAnalysis[[#This Row],[2º PiN más alto]]=tblPiNAnalysis[[#This Row],[SAMV]:[ASH]]), tblPiNHistorical[[#Headers],[SAMV]:[ASH]], 0))), "")</f>
        <v>-0.6</v>
      </c>
      <c r="AT45" s="100" t="str" cm="1">
        <f t="array" ref="AT4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45" s="219">
        <f>INDEX(tblSeverityAnalysis[Severidad final], MATCH(tblPiNAnalysis[[#This Row],[ID]],tblSeverityAnalysis[ID], 0))</f>
        <v>4</v>
      </c>
      <c r="AV45" s="220">
        <f>IF(tblPiNAnalysis[[#This Row],[Severidad]]&gt;2,tblPiNAnalysis[[#This Row],[PiN más alto]],)</f>
        <v>48047.504999999997</v>
      </c>
      <c r="AW45" s="54"/>
      <c r="AX45" s="55"/>
      <c r="AY45" s="56">
        <f>COUNTIFS(tblPiNAnalysis[[#This Row],[Número de PiN ausentes/cero superior al umbral - Calidad de los datos]:[Marcador manual]],"Flagged")</f>
        <v>2</v>
      </c>
      <c r="AZ45" s="34" t="str">
        <f>IF(tblPiNAnalysis[[#This Row],[Número de marcadores]]&gt;0, "Flagged", "")</f>
        <v>Flagged</v>
      </c>
      <c r="BA45" s="92">
        <f>tblPiNAnalysis[[#This Row],[PiN preliminar]]</f>
        <v>48047.504999999997</v>
      </c>
      <c r="BB45" s="97"/>
      <c r="BC45" s="70">
        <f>IFERROR(IF(tblPiNAnalysis[[#This Row],[Severidad]]=3,tblPiNAnalysis[[#This Row],[PiN final]]*Umbrales!$D$33,tblPiNAnalysis[[#This Row],[PiN final]]*Umbrales!$D$34),)</f>
        <v>48047.504999999997</v>
      </c>
      <c r="BD45" s="70">
        <f>IFERROR(IF(tblPiNAnalysis[[#This Row],[Severidad]]&gt;3,tblPiNAnalysis[[#This Row],[PiN final]]*Umbrales!$D$34,),)</f>
        <v>48047.504999999997</v>
      </c>
    </row>
    <row r="46" spans="1:56">
      <c r="A46" s="101" t="str">
        <f>IFERROR(_xlfn.CONCAT(IF(tblPiNAnalysis[[#This Row],[Grupo]]="", "",tblPiNAnalysis[[#This Row],[Grupo]] ),  _xlfn.IFS(tblPiNAnalysis[[#This Row],[Admin2PCODE]]&lt;&gt;"", tblPiNAnalysis[[#This Row],[Admin2PCODE]], tblPiNAnalysis[[#This Row],[Admin1PCODE]]&lt;&gt;"", tblPiNAnalysis[[#This Row],[Admin1PCODE]])),"")</f>
        <v>VenezolanosVE1212</v>
      </c>
      <c r="B46" s="105" t="s">
        <v>362</v>
      </c>
      <c r="C46" s="104" t="s">
        <v>363</v>
      </c>
      <c r="D46" s="119" t="s">
        <v>385</v>
      </c>
      <c r="E46" s="104" t="s">
        <v>386</v>
      </c>
      <c r="F46" s="358"/>
      <c r="G46" s="357">
        <v>129028</v>
      </c>
      <c r="H46" s="103" t="s">
        <v>102</v>
      </c>
      <c r="I46" s="60">
        <v>0</v>
      </c>
      <c r="J46" s="134">
        <v>4996.6350896594977</v>
      </c>
      <c r="K46" s="57">
        <v>47095.22</v>
      </c>
      <c r="L46" s="87">
        <v>15897.48084798592</v>
      </c>
      <c r="M46" s="87">
        <v>28699.133308362321</v>
      </c>
      <c r="N46" s="57">
        <v>17418.78</v>
      </c>
      <c r="O46" s="57">
        <v>9183.7226586759425</v>
      </c>
      <c r="P46" s="57">
        <v>10044.696657926812</v>
      </c>
      <c r="Q46" s="88">
        <f>IFERROR(IF(tblPiNAnalysis[[#This Row],[SAMV]]="", "", MROUND(tblPiNAnalysis[[#This Row],[SAMV]]/tblPiNAnalysis[[#This Row],[Población]], 0.05)), "")</f>
        <v>0</v>
      </c>
      <c r="R46" s="89">
        <f>IFERROR(IF(tblPiNAnalysis[[#This Row],[NUT]]="", "", MROUND(tblPiNAnalysis[[#This Row],[NUT]]/tblPiNAnalysis[[#This Row],[Población]], 0.05)), "")</f>
        <v>0.05</v>
      </c>
      <c r="S46" s="89">
        <f>IFERROR(IF(tblPiNAnalysis[[#This Row],[SAL]]="", "", MROUND(tblPiNAnalysis[[#This Row],[SAL]]/tblPiNAnalysis[[#This Row],[Población]], 0.05)), "")</f>
        <v>0.35000000000000003</v>
      </c>
      <c r="T46" s="89">
        <f>IFERROR(IF(tblPiNAnalysis[[#This Row],[EDU]]="", "", MROUND(tblPiNAnalysis[[#This Row],[EDU]]/tblPiNAnalysis[[#This Row],[Población]], 0.05)), "")</f>
        <v>0.1</v>
      </c>
      <c r="U46" s="89">
        <f>IFERROR(IF(tblPiNAnalysis[[#This Row],[PRO]]="", "", MROUND(tblPiNAnalysis[[#This Row],[PRO]]/tblPiNAnalysis[[#This Row],[Población]], 0.05)), "")</f>
        <v>0.2</v>
      </c>
      <c r="V46" s="90">
        <f>IFERROR(IF(tblPiNAnalysis[[#This Row],[ASH]]="", "", MROUND(tblPiNAnalysis[[#This Row],[ASH]]/tblPiNAnalysis[[#This Row],[Población]], 0.05)), "")</f>
        <v>0.15000000000000002</v>
      </c>
      <c r="W46" s="89">
        <f>IFERROR(MROUND(tblPiNAnalysis[[#This Row],[NNA]]/tblPiNAnalysis[[#This Row],[Población]], 0.05), "")</f>
        <v>0.05</v>
      </c>
      <c r="X46" s="89">
        <f>IFERROR(MROUND(tblPiNAnalysis[[#This Row],[VBG]]/tblPiNAnalysis[[#This Row],[Población]], 0.05), "")</f>
        <v>0.1</v>
      </c>
      <c r="Y46" s="91">
        <f>IFERROR(LARGE(tblPiNAnalysis[[#This Row],[SAMV]:[ASH]], 1), "")</f>
        <v>47095.22</v>
      </c>
      <c r="Z46" s="92" t="str" cm="1">
        <f t="array" ref="Z46">IF(tblPiNAnalysis[[#This Row],[PiN más alto]]="", "", _xlfn.TEXTJOIN(CHAR(10), TRUE, IF(tblPiNAnalysis[[#This Row],[PiN más alto]]=tblPiNAnalysis[[#This Row],[SAMV]:[ASH]], tblPiNAnalysis[[#Headers],[SAMV]:[ASH]], "")))</f>
        <v>SAL</v>
      </c>
      <c r="AA46" s="93">
        <f>IF(tblPiNAnalysis[[#This Row],[PiN más alto]]="", "", tblPiNAnalysis[[#This Row],[PiN más alto]]/tblPiNAnalysis[[#This Row],[Población]])</f>
        <v>0.36499999999999999</v>
      </c>
      <c r="AB46" s="94" t="str">
        <f>IF(SUM(tblPiNAnalysis[[#This Row],[SAMV]:[ASH]])=0, "",IF(COUNTIF(tblPiNAnalysis[[#This Row],[SAMV]:[ASH]],"=0")+COUNTIF(tblPiNAnalysis[[#This Row],[SAMV]:[ASH]],"")&gt;=zero_pin_thresh, "Flagged", ""))</f>
        <v/>
      </c>
      <c r="AC46" s="95" t="str">
        <f>IFERROR(IF(tblPiNAnalysis[[#This Row],[PiN más alto]]="", "", IF(tblPiNAnalysis[[#This Row],[% PiN Sectores más altos]]&gt;=flag_pin_perc, "Flagged", "")), "")</f>
        <v/>
      </c>
      <c r="AD46" s="96" t="str" cm="1">
        <f t="array" ref="AD46">IF(tblPiNAnalysis[[#This Row],[PiN más alto]]=0, "",  IF(OR(COUNTIF(tblPiNAnalysis[[#This Row],[Sectores más altos]],tblSubSectorPopulation[Sector])), "Flagged", ""))</f>
        <v/>
      </c>
      <c r="AE46" s="16" cm="1">
        <f t="array" ref="AE4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28699.133308362321</v>
      </c>
      <c r="AF46" s="97" t="str" cm="1">
        <f t="array" ref="AF46">IF(tblPiNAnalysis[[#This Row],[2º PiN más alto]]="", "", _xlfn.TEXTJOIN(CHAR(10), TRUE, IF(tblPiNAnalysis[[#This Row],[2º PiN más alto]]=tblPiNAnalysis[[#This Row],[SAMV]:[ASH]], tblPiNAnalysis[[#Headers],[SAMV]:[ASH]], "")))</f>
        <v>PRO</v>
      </c>
      <c r="AG46" s="12">
        <f>IFERROR(tblPiNAnalysis[[#This Row],[2º PiN más alto]]/tblPiNAnalysis[[#This Row],[Población]], "")</f>
        <v>0.22242562318537309</v>
      </c>
      <c r="AH46" s="16">
        <f>IFERROR(tblPiNAnalysis[[#This Row],[PiN más alto]]-tblPiNAnalysis[[#This Row],[2º PiN más alto]], "")</f>
        <v>18396.08669163768</v>
      </c>
      <c r="AI46" s="14">
        <f>IFERROR(((tblPiNAnalysis[[#This Row],[PiN más alto]]-tblPiNAnalysis[[#This Row],[2º PiN más alto]])/tblPiNAnalysis[[#This Row],[2º PiN más alto]]),"")</f>
        <v>0.64099798742972658</v>
      </c>
      <c r="AJ46" s="14" t="str" cm="1">
        <f t="array" ref="AJ4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46" s="98" cm="1">
        <f t="array" ref="AK4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17418.78</v>
      </c>
      <c r="AL46" s="53" t="str" cm="1">
        <f t="array" ref="AL46">IF(tblPiNAnalysis[[#This Row],[3º PiN más alto]]="", "", _xlfn.TEXTJOIN(CHAR(10), TRUE, IF(tblPiNAnalysis[[#This Row],[3º PiN más alto]]=tblPiNAnalysis[[#This Row],[SAMV]:[ASH]], tblPiNAnalysis[[#Headers],[SAMV]:[ASH]], "")))</f>
        <v>ASH</v>
      </c>
      <c r="AM46" s="53">
        <f>IFERROR(tblPiNAnalysis[[#This Row],[3º PiN más alto]]/tblPiNAnalysis[[#This Row],[Población]], "")</f>
        <v>0.13499999999999998</v>
      </c>
      <c r="AN46" s="15">
        <f>IFERROR(tblPiNAnalysis[[#This Row],[PiN más alto]]-tblPiNAnalysis[[#This Row],[3º PiN más alto]],"")</f>
        <v>29676.440000000002</v>
      </c>
      <c r="AO46" s="14">
        <f>IFERROR(tblPiNAnalysis[[#This Row],[Diferencia de PiN entre el más alto y el 3º más alto]]/tblPiNAnalysis[[#This Row],[3º PiN más alto]], "")</f>
        <v>1.7037037037037039</v>
      </c>
      <c r="AP46" s="96" t="str" cm="1">
        <f t="array" ref="AP4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46" s="84" cm="1">
        <f t="array" ref="AQ46">IFERROR(IF(tblPiNAnalysis[[#This Row],[ID]]="", "", INDEX(tblPiNHistorical[[SAMV]:[ASH]], MATCH(tblPiNAnalysis[[#This Row],[ID]],tblPiNHistorical[ID], 0),MATCH(_xlfn._xlws.FILTER(tblPiNAnalysis[[#Headers],[SAMV]:[ASH]], tblPiNAnalysis[[#This Row],[PiN más alto]]=tblPiNAnalysis[[#This Row],[SAMV]:[ASH]]), tblPiNHistorical[[#Headers],[SAMV]:[ASH]], 0))), "")</f>
        <v>-0.6</v>
      </c>
      <c r="AR46" s="99" t="str" cm="1">
        <f t="array" ref="AR4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46" s="74" cm="1">
        <f t="array" ref="AS46">IFERROR(IF(tblPiNAnalysis[[#This Row],[ID]]="", "", INDEX(tblPiNHistorical[[SAMV]:[ASH]], MATCH(tblPiNAnalysis[[#This Row],[ID]],tblPiNHistorical[ID], 0),MATCH(_xlfn._xlws.FILTER(tblPiNAnalysis[[#Headers],[SAMV]:[ASH]], tblPiNAnalysis[[#This Row],[2º PiN más alto]]=tblPiNAnalysis[[#This Row],[SAMV]:[ASH]]), tblPiNHistorical[[#Headers],[SAMV]:[ASH]], 0))), "")</f>
        <v>-0.6</v>
      </c>
      <c r="AT46" s="100" t="str" cm="1">
        <f t="array" ref="AT4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46" s="219">
        <f>INDEX(tblSeverityAnalysis[Severidad final], MATCH(tblPiNAnalysis[[#This Row],[ID]],tblSeverityAnalysis[ID], 0))</f>
        <v>3</v>
      </c>
      <c r="AV46" s="220">
        <f>IF(tblPiNAnalysis[[#This Row],[Severidad]]&gt;2,tblPiNAnalysis[[#This Row],[PiN más alto]],)</f>
        <v>47095.22</v>
      </c>
      <c r="AW46" s="54"/>
      <c r="AX46" s="55"/>
      <c r="AY46" s="56">
        <f>COUNTIFS(tblPiNAnalysis[[#This Row],[Número de PiN ausentes/cero superior al umbral - Calidad de los datos]:[Marcador manual]],"Flagged")</f>
        <v>2</v>
      </c>
      <c r="AZ46" s="34" t="str">
        <f>IF(tblPiNAnalysis[[#This Row],[Número de marcadores]]&gt;0, "Flagged", "")</f>
        <v>Flagged</v>
      </c>
      <c r="BA46" s="92">
        <f>tblPiNAnalysis[[#This Row],[PiN preliminar]]</f>
        <v>47095.22</v>
      </c>
      <c r="BB46" s="97"/>
      <c r="BC46" s="70">
        <f>IFERROR(IF(tblPiNAnalysis[[#This Row],[Severidad]]=3,tblPiNAnalysis[[#This Row],[PiN final]]*Umbrales!$D$33,tblPiNAnalysis[[#This Row],[PiN final]]*Umbrales!$D$34),)</f>
        <v>23547.61</v>
      </c>
      <c r="BD46" s="70">
        <f>IFERROR(IF(tblPiNAnalysis[[#This Row],[Severidad]]&gt;3,tblPiNAnalysis[[#This Row],[PiN final]]*Umbrales!$D$34,),)</f>
        <v>0</v>
      </c>
    </row>
    <row r="47" spans="1:56">
      <c r="A47" s="101" t="str">
        <f>IFERROR(_xlfn.CONCAT(IF(tblPiNAnalysis[[#This Row],[Grupo]]="", "",tblPiNAnalysis[[#This Row],[Grupo]] ),  _xlfn.IFS(tblPiNAnalysis[[#This Row],[Admin2PCODE]]&lt;&gt;"", tblPiNAnalysis[[#This Row],[Admin2PCODE]], tblPiNAnalysis[[#This Row],[Admin1PCODE]]&lt;&gt;"", tblPiNAnalysis[[#This Row],[Admin1PCODE]])),"")</f>
        <v>VenezolanosVE0908</v>
      </c>
      <c r="B47" s="105" t="s">
        <v>290</v>
      </c>
      <c r="C47" s="104" t="s">
        <v>291</v>
      </c>
      <c r="D47" s="119" t="s">
        <v>227</v>
      </c>
      <c r="E47" s="104" t="s">
        <v>303</v>
      </c>
      <c r="F47" s="358"/>
      <c r="G47" s="357">
        <v>109167</v>
      </c>
      <c r="H47" s="103" t="s">
        <v>102</v>
      </c>
      <c r="I47" s="60">
        <v>31933</v>
      </c>
      <c r="J47" s="134">
        <v>4544.6124012872333</v>
      </c>
      <c r="K47" s="57">
        <v>39845.955000000002</v>
      </c>
      <c r="L47" s="87">
        <v>7246.9228898259717</v>
      </c>
      <c r="M47" s="87">
        <v>46819.945121696583</v>
      </c>
      <c r="N47" s="57">
        <v>0</v>
      </c>
      <c r="O47" s="57">
        <v>14982.382438942906</v>
      </c>
      <c r="P47" s="57">
        <v>16386.980792593804</v>
      </c>
      <c r="Q47" s="88">
        <f>IFERROR(IF(tblPiNAnalysis[[#This Row],[SAMV]]="", "", MROUND(tblPiNAnalysis[[#This Row],[SAMV]]/tblPiNAnalysis[[#This Row],[Población]], 0.05)), "")</f>
        <v>0.30000000000000004</v>
      </c>
      <c r="R47" s="89">
        <f>IFERROR(IF(tblPiNAnalysis[[#This Row],[NUT]]="", "", MROUND(tblPiNAnalysis[[#This Row],[NUT]]/tblPiNAnalysis[[#This Row],[Población]], 0.05)), "")</f>
        <v>0.05</v>
      </c>
      <c r="S47" s="89">
        <f>IFERROR(IF(tblPiNAnalysis[[#This Row],[SAL]]="", "", MROUND(tblPiNAnalysis[[#This Row],[SAL]]/tblPiNAnalysis[[#This Row],[Población]], 0.05)), "")</f>
        <v>0.35000000000000003</v>
      </c>
      <c r="T47" s="89">
        <f>IFERROR(IF(tblPiNAnalysis[[#This Row],[EDU]]="", "", MROUND(tblPiNAnalysis[[#This Row],[EDU]]/tblPiNAnalysis[[#This Row],[Población]], 0.05)), "")</f>
        <v>0.05</v>
      </c>
      <c r="U47" s="89">
        <f>IFERROR(IF(tblPiNAnalysis[[#This Row],[PRO]]="", "", MROUND(tblPiNAnalysis[[#This Row],[PRO]]/tblPiNAnalysis[[#This Row],[Población]], 0.05)), "")</f>
        <v>0.45</v>
      </c>
      <c r="V47" s="90">
        <f>IFERROR(IF(tblPiNAnalysis[[#This Row],[ASH]]="", "", MROUND(tblPiNAnalysis[[#This Row],[ASH]]/tblPiNAnalysis[[#This Row],[Población]], 0.05)), "")</f>
        <v>0</v>
      </c>
      <c r="W47" s="89">
        <f>IFERROR(MROUND(tblPiNAnalysis[[#This Row],[NNA]]/tblPiNAnalysis[[#This Row],[Población]], 0.05), "")</f>
        <v>0.15000000000000002</v>
      </c>
      <c r="X47" s="89">
        <f>IFERROR(MROUND(tblPiNAnalysis[[#This Row],[VBG]]/tblPiNAnalysis[[#This Row],[Población]], 0.05), "")</f>
        <v>0.15000000000000002</v>
      </c>
      <c r="Y47" s="91">
        <f>IFERROR(LARGE(tblPiNAnalysis[[#This Row],[SAMV]:[ASH]], 1), "")</f>
        <v>46819.945121696583</v>
      </c>
      <c r="Z47" s="92" t="str" cm="1">
        <f t="array" ref="Z47">IF(tblPiNAnalysis[[#This Row],[PiN más alto]]="", "", _xlfn.TEXTJOIN(CHAR(10), TRUE, IF(tblPiNAnalysis[[#This Row],[PiN más alto]]=tblPiNAnalysis[[#This Row],[SAMV]:[ASH]], tblPiNAnalysis[[#Headers],[SAMV]:[ASH]], "")))</f>
        <v>PRO</v>
      </c>
      <c r="AA47" s="93">
        <f>IF(tblPiNAnalysis[[#This Row],[PiN más alto]]="", "", tblPiNAnalysis[[#This Row],[PiN más alto]]/tblPiNAnalysis[[#This Row],[Población]])</f>
        <v>0.42888368391268955</v>
      </c>
      <c r="AB47" s="94" t="str">
        <f>IF(SUM(tblPiNAnalysis[[#This Row],[SAMV]:[ASH]])=0, "",IF(COUNTIF(tblPiNAnalysis[[#This Row],[SAMV]:[ASH]],"=0")+COUNTIF(tblPiNAnalysis[[#This Row],[SAMV]:[ASH]],"")&gt;=zero_pin_thresh, "Flagged", ""))</f>
        <v/>
      </c>
      <c r="AC47" s="95" t="str">
        <f>IFERROR(IF(tblPiNAnalysis[[#This Row],[PiN más alto]]="", "", IF(tblPiNAnalysis[[#This Row],[% PiN Sectores más altos]]&gt;=flag_pin_perc, "Flagged", "")), "")</f>
        <v/>
      </c>
      <c r="AD47" s="96" t="str" cm="1">
        <f t="array" ref="AD47">IF(tblPiNAnalysis[[#This Row],[PiN más alto]]=0, "",  IF(OR(COUNTIF(tblPiNAnalysis[[#This Row],[Sectores más altos]],tblSubSectorPopulation[Sector])), "Flagged", ""))</f>
        <v/>
      </c>
      <c r="AE47" s="16" cm="1">
        <f t="array" ref="AE4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39845.955000000002</v>
      </c>
      <c r="AF47" s="97" t="str" cm="1">
        <f t="array" ref="AF47">IF(tblPiNAnalysis[[#This Row],[2º PiN más alto]]="", "", _xlfn.TEXTJOIN(CHAR(10), TRUE, IF(tblPiNAnalysis[[#This Row],[2º PiN más alto]]=tblPiNAnalysis[[#This Row],[SAMV]:[ASH]], tblPiNAnalysis[[#Headers],[SAMV]:[ASH]], "")))</f>
        <v>SAL</v>
      </c>
      <c r="AG47" s="12">
        <f>IFERROR(tblPiNAnalysis[[#This Row],[2º PiN más alto]]/tblPiNAnalysis[[#This Row],[Población]], "")</f>
        <v>0.36499999999999999</v>
      </c>
      <c r="AH47" s="16">
        <f>IFERROR(tblPiNAnalysis[[#This Row],[PiN más alto]]-tblPiNAnalysis[[#This Row],[2º PiN más alto]], "")</f>
        <v>6973.9901216965809</v>
      </c>
      <c r="AI47" s="14">
        <f>IFERROR(((tblPiNAnalysis[[#This Row],[PiN más alto]]-tblPiNAnalysis[[#This Row],[2º PiN más alto]])/tblPiNAnalysis[[#This Row],[2º PiN más alto]]),"")</f>
        <v>0.17502379154161521</v>
      </c>
      <c r="AJ47" s="14" t="str" cm="1">
        <f t="array" ref="AJ4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47" s="98" cm="1">
        <f t="array" ref="AK4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31933</v>
      </c>
      <c r="AL47" s="53" t="str" cm="1">
        <f t="array" ref="AL47">IF(tblPiNAnalysis[[#This Row],[3º PiN más alto]]="", "", _xlfn.TEXTJOIN(CHAR(10), TRUE, IF(tblPiNAnalysis[[#This Row],[3º PiN más alto]]=tblPiNAnalysis[[#This Row],[SAMV]:[ASH]], tblPiNAnalysis[[#Headers],[SAMV]:[ASH]], "")))</f>
        <v>SAMV</v>
      </c>
      <c r="AM47" s="53">
        <f>IFERROR(tblPiNAnalysis[[#This Row],[3º PiN más alto]]/tblPiNAnalysis[[#This Row],[Población]], "")</f>
        <v>0.29251513735835921</v>
      </c>
      <c r="AN47" s="15">
        <f>IFERROR(tblPiNAnalysis[[#This Row],[PiN más alto]]-tblPiNAnalysis[[#This Row],[3º PiN más alto]],"")</f>
        <v>14886.945121696583</v>
      </c>
      <c r="AO47" s="14">
        <f>IFERROR(tblPiNAnalysis[[#This Row],[Diferencia de PiN entre el más alto y el 3º más alto]]/tblPiNAnalysis[[#This Row],[3º PiN más alto]], "")</f>
        <v>0.46619312691249126</v>
      </c>
      <c r="AP47" s="96" t="str" cm="1">
        <f t="array" ref="AP4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
      </c>
      <c r="AQ47" s="84" cm="1">
        <f t="array" ref="AQ47">IFERROR(IF(tblPiNAnalysis[[#This Row],[ID]]="", "", INDEX(tblPiNHistorical[[SAMV]:[ASH]], MATCH(tblPiNAnalysis[[#This Row],[ID]],tblPiNHistorical[ID], 0),MATCH(_xlfn._xlws.FILTER(tblPiNAnalysis[[#Headers],[SAMV]:[ASH]], tblPiNAnalysis[[#This Row],[PiN más alto]]=tblPiNAnalysis[[#This Row],[SAMV]:[ASH]]), tblPiNHistorical[[#Headers],[SAMV]:[ASH]], 0))), "")</f>
        <v>0.3</v>
      </c>
      <c r="AR47" s="99" t="str" cm="1">
        <f t="array" ref="AR4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47" s="74" cm="1">
        <f t="array" ref="AS47">IFERROR(IF(tblPiNAnalysis[[#This Row],[ID]]="", "", INDEX(tblPiNHistorical[[SAMV]:[ASH]], MATCH(tblPiNAnalysis[[#This Row],[ID]],tblPiNHistorical[ID], 0),MATCH(_xlfn._xlws.FILTER(tblPiNAnalysis[[#Headers],[SAMV]:[ASH]], tblPiNAnalysis[[#This Row],[2º PiN más alto]]=tblPiNAnalysis[[#This Row],[SAMV]:[ASH]]), tblPiNHistorical[[#Headers],[SAMV]:[ASH]], 0))), "")</f>
        <v>-0.2</v>
      </c>
      <c r="AT47" s="100" t="str" cm="1">
        <f t="array" ref="AT4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47" s="219">
        <f>INDEX(tblSeverityAnalysis[Severidad final], MATCH(tblPiNAnalysis[[#This Row],[ID]],tblSeverityAnalysis[ID], 0))</f>
        <v>3</v>
      </c>
      <c r="AV47" s="220">
        <f>IF(tblPiNAnalysis[[#This Row],[Severidad]]&gt;2,tblPiNAnalysis[[#This Row],[PiN más alto]],)</f>
        <v>46819.945121696583</v>
      </c>
      <c r="AW47" s="54"/>
      <c r="AX47" s="55"/>
      <c r="AY47" s="56">
        <f>COUNTIFS(tblPiNAnalysis[[#This Row],[Número de PiN ausentes/cero superior al umbral - Calidad de los datos]:[Marcador manual]],"Flagged")</f>
        <v>0</v>
      </c>
      <c r="AZ47" s="34" t="str">
        <f>IF(tblPiNAnalysis[[#This Row],[Número de marcadores]]&gt;0, "Flagged", "")</f>
        <v/>
      </c>
      <c r="BA47" s="92">
        <f>tblPiNAnalysis[[#This Row],[PiN preliminar]]</f>
        <v>46819.945121696583</v>
      </c>
      <c r="BB47" s="97"/>
      <c r="BC47" s="70">
        <f>IFERROR(IF(tblPiNAnalysis[[#This Row],[Severidad]]=3,tblPiNAnalysis[[#This Row],[PiN final]]*Umbrales!$D$33,tblPiNAnalysis[[#This Row],[PiN final]]*Umbrales!$D$34),)</f>
        <v>23409.972560848291</v>
      </c>
      <c r="BD47" s="70">
        <f>IFERROR(IF(tblPiNAnalysis[[#This Row],[Severidad]]&gt;3,tblPiNAnalysis[[#This Row],[PiN final]]*Umbrales!$D$34,),)</f>
        <v>0</v>
      </c>
    </row>
    <row r="48" spans="1:56">
      <c r="A48" s="101" t="str">
        <f>IFERROR(_xlfn.CONCAT(IF(tblPiNAnalysis[[#This Row],[Grupo]]="", "",tblPiNAnalysis[[#This Row],[Grupo]] ),  _xlfn.IFS(tblPiNAnalysis[[#This Row],[Admin2PCODE]]&lt;&gt;"", tblPiNAnalysis[[#This Row],[Admin2PCODE]], tblPiNAnalysis[[#This Row],[Admin1PCODE]]&lt;&gt;"", tblPiNAnalysis[[#This Row],[Admin1PCODE]])),"")</f>
        <v>VenezolanosVE1305</v>
      </c>
      <c r="B48" s="105" t="s">
        <v>393</v>
      </c>
      <c r="C48" s="104" t="s">
        <v>394</v>
      </c>
      <c r="D48" s="119" t="s">
        <v>402</v>
      </c>
      <c r="E48" s="104" t="s">
        <v>403</v>
      </c>
      <c r="F48" s="358"/>
      <c r="G48" s="357">
        <v>126675</v>
      </c>
      <c r="H48" s="103" t="s">
        <v>102</v>
      </c>
      <c r="I48" s="60">
        <v>16538</v>
      </c>
      <c r="J48" s="134">
        <v>4123.4214478426702</v>
      </c>
      <c r="K48" s="57">
        <v>46236.375</v>
      </c>
      <c r="L48" s="87">
        <v>8754.3366301038095</v>
      </c>
      <c r="M48" s="87">
        <v>30189.105796414318</v>
      </c>
      <c r="N48" s="57">
        <v>8550.5625</v>
      </c>
      <c r="O48" s="57">
        <v>9690.7029606489959</v>
      </c>
      <c r="P48" s="57">
        <v>10566.187028745009</v>
      </c>
      <c r="Q48" s="88">
        <f>IFERROR(IF(tblPiNAnalysis[[#This Row],[SAMV]]="", "", MROUND(tblPiNAnalysis[[#This Row],[SAMV]]/tblPiNAnalysis[[#This Row],[Población]], 0.05)), "")</f>
        <v>0.15000000000000002</v>
      </c>
      <c r="R48" s="89">
        <f>IFERROR(IF(tblPiNAnalysis[[#This Row],[NUT]]="", "", MROUND(tblPiNAnalysis[[#This Row],[NUT]]/tblPiNAnalysis[[#This Row],[Población]], 0.05)), "")</f>
        <v>0.05</v>
      </c>
      <c r="S48" s="89">
        <f>IFERROR(IF(tblPiNAnalysis[[#This Row],[SAL]]="", "", MROUND(tblPiNAnalysis[[#This Row],[SAL]]/tblPiNAnalysis[[#This Row],[Población]], 0.05)), "")</f>
        <v>0.35000000000000003</v>
      </c>
      <c r="T48" s="89">
        <f>IFERROR(IF(tblPiNAnalysis[[#This Row],[EDU]]="", "", MROUND(tblPiNAnalysis[[#This Row],[EDU]]/tblPiNAnalysis[[#This Row],[Población]], 0.05)), "")</f>
        <v>0.05</v>
      </c>
      <c r="U48" s="89">
        <f>IFERROR(IF(tblPiNAnalysis[[#This Row],[PRO]]="", "", MROUND(tblPiNAnalysis[[#This Row],[PRO]]/tblPiNAnalysis[[#This Row],[Población]], 0.05)), "")</f>
        <v>0.25</v>
      </c>
      <c r="V48" s="90">
        <f>IFERROR(IF(tblPiNAnalysis[[#This Row],[ASH]]="", "", MROUND(tblPiNAnalysis[[#This Row],[ASH]]/tblPiNAnalysis[[#This Row],[Población]], 0.05)), "")</f>
        <v>0.05</v>
      </c>
      <c r="W48" s="89">
        <f>IFERROR(MROUND(tblPiNAnalysis[[#This Row],[NNA]]/tblPiNAnalysis[[#This Row],[Población]], 0.05), "")</f>
        <v>0.1</v>
      </c>
      <c r="X48" s="89">
        <f>IFERROR(MROUND(tblPiNAnalysis[[#This Row],[VBG]]/tblPiNAnalysis[[#This Row],[Población]], 0.05), "")</f>
        <v>0.1</v>
      </c>
      <c r="Y48" s="91">
        <f>IFERROR(LARGE(tblPiNAnalysis[[#This Row],[SAMV]:[ASH]], 1), "")</f>
        <v>46236.375</v>
      </c>
      <c r="Z48" s="92" t="str" cm="1">
        <f t="array" ref="Z48">IF(tblPiNAnalysis[[#This Row],[PiN más alto]]="", "", _xlfn.TEXTJOIN(CHAR(10), TRUE, IF(tblPiNAnalysis[[#This Row],[PiN más alto]]=tblPiNAnalysis[[#This Row],[SAMV]:[ASH]], tblPiNAnalysis[[#Headers],[SAMV]:[ASH]], "")))</f>
        <v>SAL</v>
      </c>
      <c r="AA48" s="93">
        <f>IF(tblPiNAnalysis[[#This Row],[PiN más alto]]="", "", tblPiNAnalysis[[#This Row],[PiN más alto]]/tblPiNAnalysis[[#This Row],[Población]])</f>
        <v>0.36499999999999999</v>
      </c>
      <c r="AB48" s="94" t="str">
        <f>IF(SUM(tblPiNAnalysis[[#This Row],[SAMV]:[ASH]])=0, "",IF(COUNTIF(tblPiNAnalysis[[#This Row],[SAMV]:[ASH]],"=0")+COUNTIF(tblPiNAnalysis[[#This Row],[SAMV]:[ASH]],"")&gt;=zero_pin_thresh, "Flagged", ""))</f>
        <v/>
      </c>
      <c r="AC48" s="95" t="str">
        <f>IFERROR(IF(tblPiNAnalysis[[#This Row],[PiN más alto]]="", "", IF(tblPiNAnalysis[[#This Row],[% PiN Sectores más altos]]&gt;=flag_pin_perc, "Flagged", "")), "")</f>
        <v/>
      </c>
      <c r="AD48" s="96" t="str" cm="1">
        <f t="array" ref="AD48">IF(tblPiNAnalysis[[#This Row],[PiN más alto]]=0, "",  IF(OR(COUNTIF(tblPiNAnalysis[[#This Row],[Sectores más altos]],tblSubSectorPopulation[Sector])), "Flagged", ""))</f>
        <v/>
      </c>
      <c r="AE48" s="16" cm="1">
        <f t="array" ref="AE4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30189.105796414318</v>
      </c>
      <c r="AF48" s="97" t="str" cm="1">
        <f t="array" ref="AF48">IF(tblPiNAnalysis[[#This Row],[2º PiN más alto]]="", "", _xlfn.TEXTJOIN(CHAR(10), TRUE, IF(tblPiNAnalysis[[#This Row],[2º PiN más alto]]=tblPiNAnalysis[[#This Row],[SAMV]:[ASH]], tblPiNAnalysis[[#Headers],[SAMV]:[ASH]], "")))</f>
        <v>PRO</v>
      </c>
      <c r="AG48" s="12">
        <f>IFERROR(tblPiNAnalysis[[#This Row],[2º PiN más alto]]/tblPiNAnalysis[[#This Row],[Población]], "")</f>
        <v>0.23831936685545149</v>
      </c>
      <c r="AH48" s="16">
        <f>IFERROR(tblPiNAnalysis[[#This Row],[PiN más alto]]-tblPiNAnalysis[[#This Row],[2º PiN más alto]], "")</f>
        <v>16047.269203585682</v>
      </c>
      <c r="AI48" s="14">
        <f>IFERROR(((tblPiNAnalysis[[#This Row],[PiN más alto]]-tblPiNAnalysis[[#This Row],[2º PiN más alto]])/tblPiNAnalysis[[#This Row],[2º PiN más alto]]),"")</f>
        <v>0.53155828171272568</v>
      </c>
      <c r="AJ48" s="14" t="str" cm="1">
        <f t="array" ref="AJ4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48" s="98" cm="1">
        <f t="array" ref="AK4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16538</v>
      </c>
      <c r="AL48" s="53" t="str" cm="1">
        <f t="array" ref="AL48">IF(tblPiNAnalysis[[#This Row],[3º PiN más alto]]="", "", _xlfn.TEXTJOIN(CHAR(10), TRUE, IF(tblPiNAnalysis[[#This Row],[3º PiN más alto]]=tblPiNAnalysis[[#This Row],[SAMV]:[ASH]], tblPiNAnalysis[[#Headers],[SAMV]:[ASH]], "")))</f>
        <v>SAMV</v>
      </c>
      <c r="AM48" s="53">
        <f>IFERROR(tblPiNAnalysis[[#This Row],[3º PiN más alto]]/tblPiNAnalysis[[#This Row],[Población]], "")</f>
        <v>0.13055456877836985</v>
      </c>
      <c r="AN48" s="15">
        <f>IFERROR(tblPiNAnalysis[[#This Row],[PiN más alto]]-tblPiNAnalysis[[#This Row],[3º PiN más alto]],"")</f>
        <v>29698.375</v>
      </c>
      <c r="AO48" s="14">
        <f>IFERROR(tblPiNAnalysis[[#This Row],[Diferencia de PiN entre el más alto y el 3º más alto]]/tblPiNAnalysis[[#This Row],[3º PiN más alto]], "")</f>
        <v>1.795765812069174</v>
      </c>
      <c r="AP48" s="96" t="str" cm="1">
        <f t="array" ref="AP4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48" s="84" cm="1">
        <f t="array" ref="AQ48">IFERROR(IF(tblPiNAnalysis[[#This Row],[ID]]="", "", INDEX(tblPiNHistorical[[SAMV]:[ASH]], MATCH(tblPiNAnalysis[[#This Row],[ID]],tblPiNHistorical[ID], 0),MATCH(_xlfn._xlws.FILTER(tblPiNAnalysis[[#Headers],[SAMV]:[ASH]], tblPiNAnalysis[[#This Row],[PiN más alto]]=tblPiNAnalysis[[#This Row],[SAMV]:[ASH]]), tblPiNHistorical[[#Headers],[SAMV]:[ASH]], 0))), "")</f>
        <v>-0.6</v>
      </c>
      <c r="AR48" s="99" t="str" cm="1">
        <f t="array" ref="AR4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48" s="74" cm="1">
        <f t="array" ref="AS48">IFERROR(IF(tblPiNAnalysis[[#This Row],[ID]]="", "", INDEX(tblPiNHistorical[[SAMV]:[ASH]], MATCH(tblPiNAnalysis[[#This Row],[ID]],tblPiNHistorical[ID], 0),MATCH(_xlfn._xlws.FILTER(tblPiNAnalysis[[#Headers],[SAMV]:[ASH]], tblPiNAnalysis[[#This Row],[2º PiN más alto]]=tblPiNAnalysis[[#This Row],[SAMV]:[ASH]]), tblPiNHistorical[[#Headers],[SAMV]:[ASH]], 0))), "")</f>
        <v>-0.9</v>
      </c>
      <c r="AT48" s="100" t="str" cm="1">
        <f t="array" ref="AT4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48" s="219">
        <f>INDEX(tblSeverityAnalysis[Severidad final], MATCH(tblPiNAnalysis[[#This Row],[ID]],tblSeverityAnalysis[ID], 0))</f>
        <v>3</v>
      </c>
      <c r="AV48" s="220">
        <f>IF(tblPiNAnalysis[[#This Row],[Severidad]]&gt;2,tblPiNAnalysis[[#This Row],[PiN más alto]],)</f>
        <v>46236.375</v>
      </c>
      <c r="AW48" s="54"/>
      <c r="AX48" s="55"/>
      <c r="AY48" s="56">
        <f>COUNTIFS(tblPiNAnalysis[[#This Row],[Número de PiN ausentes/cero superior al umbral - Calidad de los datos]:[Marcador manual]],"Flagged")</f>
        <v>2</v>
      </c>
      <c r="AZ48" s="34" t="str">
        <f>IF(tblPiNAnalysis[[#This Row],[Número de marcadores]]&gt;0, "Flagged", "")</f>
        <v>Flagged</v>
      </c>
      <c r="BA48" s="92">
        <f>tblPiNAnalysis[[#This Row],[PiN preliminar]]</f>
        <v>46236.375</v>
      </c>
      <c r="BB48" s="97"/>
      <c r="BC48" s="70">
        <f>IFERROR(IF(tblPiNAnalysis[[#This Row],[Severidad]]=3,tblPiNAnalysis[[#This Row],[PiN final]]*Umbrales!$D$33,tblPiNAnalysis[[#This Row],[PiN final]]*Umbrales!$D$34),)</f>
        <v>23118.1875</v>
      </c>
      <c r="BD48" s="70">
        <f>IFERROR(IF(tblPiNAnalysis[[#This Row],[Severidad]]&gt;3,tblPiNAnalysis[[#This Row],[PiN final]]*Umbrales!$D$34,),)</f>
        <v>0</v>
      </c>
    </row>
    <row r="49" spans="1:56">
      <c r="A49" s="101" t="str">
        <f>IFERROR(_xlfn.CONCAT(IF(tblPiNAnalysis[[#This Row],[Grupo]]="", "",tblPiNAnalysis[[#This Row],[Grupo]] ),  _xlfn.IFS(tblPiNAnalysis[[#This Row],[Admin2PCODE]]&lt;&gt;"", tblPiNAnalysis[[#This Row],[Admin2PCODE]], tblPiNAnalysis[[#This Row],[Admin1PCODE]]&lt;&gt;"", tblPiNAnalysis[[#This Row],[Admin1PCODE]])),"")</f>
        <v>VenezolanosVE2311</v>
      </c>
      <c r="B49" s="105" t="s">
        <v>705</v>
      </c>
      <c r="C49" s="104" t="s">
        <v>706</v>
      </c>
      <c r="D49" s="119" t="s">
        <v>807</v>
      </c>
      <c r="E49" s="104" t="s">
        <v>728</v>
      </c>
      <c r="F49" s="358"/>
      <c r="G49" s="357">
        <v>125501</v>
      </c>
      <c r="H49" s="103" t="s">
        <v>102</v>
      </c>
      <c r="I49" s="60">
        <v>0</v>
      </c>
      <c r="J49" s="134">
        <v>6512.8598284746859</v>
      </c>
      <c r="K49" s="57">
        <v>45807.864999999998</v>
      </c>
      <c r="L49" s="87">
        <v>15704.379175137039</v>
      </c>
      <c r="M49" s="87">
        <v>29912.234288767508</v>
      </c>
      <c r="N49" s="57">
        <v>16942.635000000002</v>
      </c>
      <c r="O49" s="57">
        <v>9571.9149724056024</v>
      </c>
      <c r="P49" s="57">
        <v>10469.282001068626</v>
      </c>
      <c r="Q49" s="88">
        <f>IFERROR(IF(tblPiNAnalysis[[#This Row],[SAMV]]="", "", MROUND(tblPiNAnalysis[[#This Row],[SAMV]]/tblPiNAnalysis[[#This Row],[Población]], 0.05)), "")</f>
        <v>0</v>
      </c>
      <c r="R49" s="89">
        <f>IFERROR(IF(tblPiNAnalysis[[#This Row],[NUT]]="", "", MROUND(tblPiNAnalysis[[#This Row],[NUT]]/tblPiNAnalysis[[#This Row],[Población]], 0.05)), "")</f>
        <v>0.05</v>
      </c>
      <c r="S49" s="89">
        <f>IFERROR(IF(tblPiNAnalysis[[#This Row],[SAL]]="", "", MROUND(tblPiNAnalysis[[#This Row],[SAL]]/tblPiNAnalysis[[#This Row],[Población]], 0.05)), "")</f>
        <v>0.35000000000000003</v>
      </c>
      <c r="T49" s="89">
        <f>IFERROR(IF(tblPiNAnalysis[[#This Row],[EDU]]="", "", MROUND(tblPiNAnalysis[[#This Row],[EDU]]/tblPiNAnalysis[[#This Row],[Población]], 0.05)), "")</f>
        <v>0.15000000000000002</v>
      </c>
      <c r="U49" s="89">
        <f>IFERROR(IF(tblPiNAnalysis[[#This Row],[PRO]]="", "", MROUND(tblPiNAnalysis[[#This Row],[PRO]]/tblPiNAnalysis[[#This Row],[Población]], 0.05)), "")</f>
        <v>0.25</v>
      </c>
      <c r="V49" s="90">
        <f>IFERROR(IF(tblPiNAnalysis[[#This Row],[ASH]]="", "", MROUND(tblPiNAnalysis[[#This Row],[ASH]]/tblPiNAnalysis[[#This Row],[Población]], 0.05)), "")</f>
        <v>0.15000000000000002</v>
      </c>
      <c r="W49" s="89">
        <f>IFERROR(MROUND(tblPiNAnalysis[[#This Row],[NNA]]/tblPiNAnalysis[[#This Row],[Población]], 0.05), "")</f>
        <v>0.1</v>
      </c>
      <c r="X49" s="89">
        <f>IFERROR(MROUND(tblPiNAnalysis[[#This Row],[VBG]]/tblPiNAnalysis[[#This Row],[Población]], 0.05), "")</f>
        <v>0.1</v>
      </c>
      <c r="Y49" s="91">
        <f>IFERROR(LARGE(tblPiNAnalysis[[#This Row],[SAMV]:[ASH]], 1), "")</f>
        <v>45807.864999999998</v>
      </c>
      <c r="Z49" s="92" t="str" cm="1">
        <f t="array" ref="Z49">IF(tblPiNAnalysis[[#This Row],[PiN más alto]]="", "", _xlfn.TEXTJOIN(CHAR(10), TRUE, IF(tblPiNAnalysis[[#This Row],[PiN más alto]]=tblPiNAnalysis[[#This Row],[SAMV]:[ASH]], tblPiNAnalysis[[#Headers],[SAMV]:[ASH]], "")))</f>
        <v>SAL</v>
      </c>
      <c r="AA49" s="93">
        <f>IF(tblPiNAnalysis[[#This Row],[PiN más alto]]="", "", tblPiNAnalysis[[#This Row],[PiN más alto]]/tblPiNAnalysis[[#This Row],[Población]])</f>
        <v>0.36499999999999999</v>
      </c>
      <c r="AB49" s="94" t="str">
        <f>IF(SUM(tblPiNAnalysis[[#This Row],[SAMV]:[ASH]])=0, "",IF(COUNTIF(tblPiNAnalysis[[#This Row],[SAMV]:[ASH]],"=0")+COUNTIF(tblPiNAnalysis[[#This Row],[SAMV]:[ASH]],"")&gt;=zero_pin_thresh, "Flagged", ""))</f>
        <v/>
      </c>
      <c r="AC49" s="95" t="str">
        <f>IFERROR(IF(tblPiNAnalysis[[#This Row],[PiN más alto]]="", "", IF(tblPiNAnalysis[[#This Row],[% PiN Sectores más altos]]&gt;=flag_pin_perc, "Flagged", "")), "")</f>
        <v/>
      </c>
      <c r="AD49" s="96" t="str" cm="1">
        <f t="array" ref="AD49">IF(tblPiNAnalysis[[#This Row],[PiN más alto]]=0, "",  IF(OR(COUNTIF(tblPiNAnalysis[[#This Row],[Sectores más altos]],tblSubSectorPopulation[Sector])), "Flagged", ""))</f>
        <v/>
      </c>
      <c r="AE49" s="16" cm="1">
        <f t="array" ref="AE4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29912.234288767508</v>
      </c>
      <c r="AF49" s="97" t="str" cm="1">
        <f t="array" ref="AF49">IF(tblPiNAnalysis[[#This Row],[2º PiN más alto]]="", "", _xlfn.TEXTJOIN(CHAR(10), TRUE, IF(tblPiNAnalysis[[#This Row],[2º PiN más alto]]=tblPiNAnalysis[[#This Row],[SAMV]:[ASH]], tblPiNAnalysis[[#Headers],[SAMV]:[ASH]], "")))</f>
        <v>PRO</v>
      </c>
      <c r="AG49" s="12">
        <f>IFERROR(tblPiNAnalysis[[#This Row],[2º PiN más alto]]/tblPiNAnalysis[[#This Row],[Población]], "")</f>
        <v>0.23834259718064005</v>
      </c>
      <c r="AH49" s="16">
        <f>IFERROR(tblPiNAnalysis[[#This Row],[PiN más alto]]-tblPiNAnalysis[[#This Row],[2º PiN más alto]], "")</f>
        <v>15895.63071123249</v>
      </c>
      <c r="AI49" s="14">
        <f>IFERROR(((tblPiNAnalysis[[#This Row],[PiN más alto]]-tblPiNAnalysis[[#This Row],[2º PiN más alto]])/tblPiNAnalysis[[#This Row],[2º PiN más alto]]),"")</f>
        <v>0.53140900668866242</v>
      </c>
      <c r="AJ49" s="14" t="str" cm="1">
        <f t="array" ref="AJ4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49" s="98" cm="1">
        <f t="array" ref="AK4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16942.635000000002</v>
      </c>
      <c r="AL49" s="53" t="str" cm="1">
        <f t="array" ref="AL49">IF(tblPiNAnalysis[[#This Row],[3º PiN más alto]]="", "", _xlfn.TEXTJOIN(CHAR(10), TRUE, IF(tblPiNAnalysis[[#This Row],[3º PiN más alto]]=tblPiNAnalysis[[#This Row],[SAMV]:[ASH]], tblPiNAnalysis[[#Headers],[SAMV]:[ASH]], "")))</f>
        <v>ASH</v>
      </c>
      <c r="AM49" s="53">
        <f>IFERROR(tblPiNAnalysis[[#This Row],[3º PiN más alto]]/tblPiNAnalysis[[#This Row],[Población]], "")</f>
        <v>0.13500000000000001</v>
      </c>
      <c r="AN49" s="15">
        <f>IFERROR(tblPiNAnalysis[[#This Row],[PiN más alto]]-tblPiNAnalysis[[#This Row],[3º PiN más alto]],"")</f>
        <v>28865.229999999996</v>
      </c>
      <c r="AO49" s="14">
        <f>IFERROR(tblPiNAnalysis[[#This Row],[Diferencia de PiN entre el más alto y el 3º más alto]]/tblPiNAnalysis[[#This Row],[3º PiN más alto]], "")</f>
        <v>1.7037037037037033</v>
      </c>
      <c r="AP49" s="96" t="str" cm="1">
        <f t="array" ref="AP4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49" s="84" cm="1">
        <f t="array" ref="AQ49">IFERROR(IF(tblPiNAnalysis[[#This Row],[ID]]="", "", INDEX(tblPiNHistorical[[SAMV]:[ASH]], MATCH(tblPiNAnalysis[[#This Row],[ID]],tblPiNHistorical[ID], 0),MATCH(_xlfn._xlws.FILTER(tblPiNAnalysis[[#Headers],[SAMV]:[ASH]], tblPiNAnalysis[[#This Row],[PiN más alto]]=tblPiNAnalysis[[#This Row],[SAMV]:[ASH]]), tblPiNHistorical[[#Headers],[SAMV]:[ASH]], 0))), "")</f>
        <v>-0.4</v>
      </c>
      <c r="AR49" s="99" t="str" cm="1">
        <f t="array" ref="AR4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49" s="74" cm="1">
        <f t="array" ref="AS49">IFERROR(IF(tblPiNAnalysis[[#This Row],[ID]]="", "", INDEX(tblPiNHistorical[[SAMV]:[ASH]], MATCH(tblPiNAnalysis[[#This Row],[ID]],tblPiNHistorical[ID], 0),MATCH(_xlfn._xlws.FILTER(tblPiNAnalysis[[#Headers],[SAMV]:[ASH]], tblPiNAnalysis[[#This Row],[2º PiN más alto]]=tblPiNAnalysis[[#This Row],[SAMV]:[ASH]]), tblPiNHistorical[[#Headers],[SAMV]:[ASH]], 0))), "")</f>
        <v>-0.9</v>
      </c>
      <c r="AT49" s="100" t="str" cm="1">
        <f t="array" ref="AT4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49" s="219">
        <f>INDEX(tblSeverityAnalysis[Severidad final], MATCH(tblPiNAnalysis[[#This Row],[ID]],tblSeverityAnalysis[ID], 0))</f>
        <v>3</v>
      </c>
      <c r="AV49" s="220">
        <f>IF(tblPiNAnalysis[[#This Row],[Severidad]]&gt;2,tblPiNAnalysis[[#This Row],[PiN más alto]],)</f>
        <v>45807.864999999998</v>
      </c>
      <c r="AW49" s="54"/>
      <c r="AX49" s="55"/>
      <c r="AY49" s="56">
        <f>COUNTIFS(tblPiNAnalysis[[#This Row],[Número de PiN ausentes/cero superior al umbral - Calidad de los datos]:[Marcador manual]],"Flagged")</f>
        <v>2</v>
      </c>
      <c r="AZ49" s="34" t="str">
        <f>IF(tblPiNAnalysis[[#This Row],[Número de marcadores]]&gt;0, "Flagged", "")</f>
        <v>Flagged</v>
      </c>
      <c r="BA49" s="92">
        <f>tblPiNAnalysis[[#This Row],[PiN preliminar]]</f>
        <v>45807.864999999998</v>
      </c>
      <c r="BB49" s="97"/>
      <c r="BC49" s="70">
        <f>IFERROR(IF(tblPiNAnalysis[[#This Row],[Severidad]]=3,tblPiNAnalysis[[#This Row],[PiN final]]*Umbrales!$D$33,tblPiNAnalysis[[#This Row],[PiN final]]*Umbrales!$D$34),)</f>
        <v>22903.932499999999</v>
      </c>
      <c r="BD49" s="70">
        <f>IFERROR(IF(tblPiNAnalysis[[#This Row],[Severidad]]&gt;3,tblPiNAnalysis[[#This Row],[PiN final]]*Umbrales!$D$34,),)</f>
        <v>0</v>
      </c>
    </row>
    <row r="50" spans="1:56">
      <c r="A50" s="101" t="str">
        <f>IFERROR(_xlfn.CONCAT(IF(tblPiNAnalysis[[#This Row],[Grupo]]="", "",tblPiNAnalysis[[#This Row],[Grupo]] ),  _xlfn.IFS(tblPiNAnalysis[[#This Row],[Admin2PCODE]]&lt;&gt;"", tblPiNAnalysis[[#This Row],[Admin2PCODE]], tblPiNAnalysis[[#This Row],[Admin1PCODE]]&lt;&gt;"", tblPiNAnalysis[[#This Row],[Admin1PCODE]])),"")</f>
        <v>VenezolanosVE0706</v>
      </c>
      <c r="B50" s="105" t="s">
        <v>180</v>
      </c>
      <c r="C50" s="104" t="s">
        <v>239</v>
      </c>
      <c r="D50" s="119" t="s">
        <v>250</v>
      </c>
      <c r="E50" s="104" t="s">
        <v>251</v>
      </c>
      <c r="F50" s="358"/>
      <c r="G50" s="357">
        <v>100488</v>
      </c>
      <c r="H50" s="103" t="s">
        <v>102</v>
      </c>
      <c r="I50" s="60">
        <v>2512</v>
      </c>
      <c r="J50" s="134">
        <v>7859.3203884388549</v>
      </c>
      <c r="K50" s="57">
        <v>36678.120000000003</v>
      </c>
      <c r="L50" s="87">
        <v>6927.7815860897972</v>
      </c>
      <c r="M50" s="87">
        <v>24078.168429697846</v>
      </c>
      <c r="N50" s="57">
        <v>45219.6</v>
      </c>
      <c r="O50" s="57">
        <v>7705.0138975033105</v>
      </c>
      <c r="P50" s="57">
        <v>8427.3589503942458</v>
      </c>
      <c r="Q50" s="88">
        <f>IFERROR(IF(tblPiNAnalysis[[#This Row],[SAMV]]="", "", MROUND(tblPiNAnalysis[[#This Row],[SAMV]]/tblPiNAnalysis[[#This Row],[Población]], 0.05)), "")</f>
        <v>0</v>
      </c>
      <c r="R50" s="89">
        <f>IFERROR(IF(tblPiNAnalysis[[#This Row],[NUT]]="", "", MROUND(tblPiNAnalysis[[#This Row],[NUT]]/tblPiNAnalysis[[#This Row],[Población]], 0.05)), "")</f>
        <v>0.1</v>
      </c>
      <c r="S50" s="89">
        <f>IFERROR(IF(tblPiNAnalysis[[#This Row],[SAL]]="", "", MROUND(tblPiNAnalysis[[#This Row],[SAL]]/tblPiNAnalysis[[#This Row],[Población]], 0.05)), "")</f>
        <v>0.35000000000000003</v>
      </c>
      <c r="T50" s="89">
        <f>IFERROR(IF(tblPiNAnalysis[[#This Row],[EDU]]="", "", MROUND(tblPiNAnalysis[[#This Row],[EDU]]/tblPiNAnalysis[[#This Row],[Población]], 0.05)), "")</f>
        <v>0.05</v>
      </c>
      <c r="U50" s="89">
        <f>IFERROR(IF(tblPiNAnalysis[[#This Row],[PRO]]="", "", MROUND(tblPiNAnalysis[[#This Row],[PRO]]/tblPiNAnalysis[[#This Row],[Población]], 0.05)), "")</f>
        <v>0.25</v>
      </c>
      <c r="V50" s="90">
        <f>IFERROR(IF(tblPiNAnalysis[[#This Row],[ASH]]="", "", MROUND(tblPiNAnalysis[[#This Row],[ASH]]/tblPiNAnalysis[[#This Row],[Población]], 0.05)), "")</f>
        <v>0.45</v>
      </c>
      <c r="W50" s="89">
        <f>IFERROR(MROUND(tblPiNAnalysis[[#This Row],[NNA]]/tblPiNAnalysis[[#This Row],[Población]], 0.05), "")</f>
        <v>0.1</v>
      </c>
      <c r="X50" s="89">
        <f>IFERROR(MROUND(tblPiNAnalysis[[#This Row],[VBG]]/tblPiNAnalysis[[#This Row],[Población]], 0.05), "")</f>
        <v>0.1</v>
      </c>
      <c r="Y50" s="91">
        <f>IFERROR(LARGE(tblPiNAnalysis[[#This Row],[SAMV]:[ASH]], 1), "")</f>
        <v>45219.6</v>
      </c>
      <c r="Z50" s="92" t="str" cm="1">
        <f t="array" ref="Z50">IF(tblPiNAnalysis[[#This Row],[PiN más alto]]="", "", _xlfn.TEXTJOIN(CHAR(10), TRUE, IF(tblPiNAnalysis[[#This Row],[PiN más alto]]=tblPiNAnalysis[[#This Row],[SAMV]:[ASH]], tblPiNAnalysis[[#Headers],[SAMV]:[ASH]], "")))</f>
        <v>ASH</v>
      </c>
      <c r="AA50" s="93">
        <f>IF(tblPiNAnalysis[[#This Row],[PiN más alto]]="", "", tblPiNAnalysis[[#This Row],[PiN más alto]]/tblPiNAnalysis[[#This Row],[Población]])</f>
        <v>0.45</v>
      </c>
      <c r="AB50" s="94" t="str">
        <f>IF(SUM(tblPiNAnalysis[[#This Row],[SAMV]:[ASH]])=0, "",IF(COUNTIF(tblPiNAnalysis[[#This Row],[SAMV]:[ASH]],"=0")+COUNTIF(tblPiNAnalysis[[#This Row],[SAMV]:[ASH]],"")&gt;=zero_pin_thresh, "Flagged", ""))</f>
        <v/>
      </c>
      <c r="AC50" s="95" t="str">
        <f>IFERROR(IF(tblPiNAnalysis[[#This Row],[PiN más alto]]="", "", IF(tblPiNAnalysis[[#This Row],[% PiN Sectores más altos]]&gt;=flag_pin_perc, "Flagged", "")), "")</f>
        <v/>
      </c>
      <c r="AD50" s="96" t="str" cm="1">
        <f t="array" ref="AD50">IF(tblPiNAnalysis[[#This Row],[PiN más alto]]=0, "",  IF(OR(COUNTIF(tblPiNAnalysis[[#This Row],[Sectores más altos]],tblSubSectorPopulation[Sector])), "Flagged", ""))</f>
        <v/>
      </c>
      <c r="AE50" s="16" cm="1">
        <f t="array" ref="AE5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36678.120000000003</v>
      </c>
      <c r="AF50" s="97" t="str" cm="1">
        <f t="array" ref="AF50">IF(tblPiNAnalysis[[#This Row],[2º PiN más alto]]="", "", _xlfn.TEXTJOIN(CHAR(10), TRUE, IF(tblPiNAnalysis[[#This Row],[2º PiN más alto]]=tblPiNAnalysis[[#This Row],[SAMV]:[ASH]], tblPiNAnalysis[[#Headers],[SAMV]:[ASH]], "")))</f>
        <v>SAL</v>
      </c>
      <c r="AG50" s="12">
        <f>IFERROR(tblPiNAnalysis[[#This Row],[2º PiN más alto]]/tblPiNAnalysis[[#This Row],[Población]], "")</f>
        <v>0.36500000000000005</v>
      </c>
      <c r="AH50" s="16">
        <f>IFERROR(tblPiNAnalysis[[#This Row],[PiN más alto]]-tblPiNAnalysis[[#This Row],[2º PiN más alto]], "")</f>
        <v>8541.4799999999959</v>
      </c>
      <c r="AI50" s="14">
        <f>IFERROR(((tblPiNAnalysis[[#This Row],[PiN más alto]]-tblPiNAnalysis[[#This Row],[2º PiN más alto]])/tblPiNAnalysis[[#This Row],[2º PiN más alto]]),"")</f>
        <v>0.232876712328767</v>
      </c>
      <c r="AJ50" s="14" t="str" cm="1">
        <f t="array" ref="AJ5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50" s="98" cm="1">
        <f t="array" ref="AK5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24078.168429697846</v>
      </c>
      <c r="AL50" s="53" t="str" cm="1">
        <f t="array" ref="AL50">IF(tblPiNAnalysis[[#This Row],[3º PiN más alto]]="", "", _xlfn.TEXTJOIN(CHAR(10), TRUE, IF(tblPiNAnalysis[[#This Row],[3º PiN más alto]]=tblPiNAnalysis[[#This Row],[SAMV]:[ASH]], tblPiNAnalysis[[#Headers],[SAMV]:[ASH]], "")))</f>
        <v>PRO</v>
      </c>
      <c r="AM50" s="53">
        <f>IFERROR(tblPiNAnalysis[[#This Row],[3º PiN más alto]]/tblPiNAnalysis[[#This Row],[Población]], "")</f>
        <v>0.23961237590257389</v>
      </c>
      <c r="AN50" s="15">
        <f>IFERROR(tblPiNAnalysis[[#This Row],[PiN más alto]]-tblPiNAnalysis[[#This Row],[3º PiN más alto]],"")</f>
        <v>21141.431570302153</v>
      </c>
      <c r="AO50" s="14">
        <f>IFERROR(tblPiNAnalysis[[#This Row],[Diferencia de PiN entre el más alto y el 3º más alto]]/tblPiNAnalysis[[#This Row],[3º PiN más alto]], "")</f>
        <v>0.87803321220340236</v>
      </c>
      <c r="AP50" s="96" t="str" cm="1">
        <f t="array" ref="AP5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50" s="84" cm="1">
        <f t="array" ref="AQ50">IFERROR(IF(tblPiNAnalysis[[#This Row],[ID]]="", "", INDEX(tblPiNHistorical[[SAMV]:[ASH]], MATCH(tblPiNAnalysis[[#This Row],[ID]],tblPiNHistorical[ID], 0),MATCH(_xlfn._xlws.FILTER(tblPiNAnalysis[[#Headers],[SAMV]:[ASH]], tblPiNAnalysis[[#This Row],[PiN más alto]]=tblPiNAnalysis[[#This Row],[SAMV]:[ASH]]), tblPiNHistorical[[#Headers],[SAMV]:[ASH]], 0))), "")</f>
        <v>-0.4</v>
      </c>
      <c r="AR50" s="99" t="str" cm="1">
        <f t="array" ref="AR5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50" s="74" cm="1">
        <f t="array" ref="AS50">IFERROR(IF(tblPiNAnalysis[[#This Row],[ID]]="", "", INDEX(tblPiNHistorical[[SAMV]:[ASH]], MATCH(tblPiNAnalysis[[#This Row],[ID]],tblPiNHistorical[ID], 0),MATCH(_xlfn._xlws.FILTER(tblPiNAnalysis[[#Headers],[SAMV]:[ASH]], tblPiNAnalysis[[#This Row],[2º PiN más alto]]=tblPiNAnalysis[[#This Row],[SAMV]:[ASH]]), tblPiNHistorical[[#Headers],[SAMV]:[ASH]], 0))), "")</f>
        <v>-0.2</v>
      </c>
      <c r="AT50" s="100" t="str" cm="1">
        <f t="array" ref="AT5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50" s="219">
        <f>INDEX(tblSeverityAnalysis[Severidad final], MATCH(tblPiNAnalysis[[#This Row],[ID]],tblSeverityAnalysis[ID], 0))</f>
        <v>3</v>
      </c>
      <c r="AV50" s="220">
        <f>IF(tblPiNAnalysis[[#This Row],[Severidad]]&gt;2,tblPiNAnalysis[[#This Row],[PiN más alto]],)</f>
        <v>45219.6</v>
      </c>
      <c r="AW50" s="54"/>
      <c r="AX50" s="55"/>
      <c r="AY50" s="56">
        <f>COUNTIFS(tblPiNAnalysis[[#This Row],[Número de PiN ausentes/cero superior al umbral - Calidad de los datos]:[Marcador manual]],"Flagged")</f>
        <v>1</v>
      </c>
      <c r="AZ50" s="34" t="str">
        <f>IF(tblPiNAnalysis[[#This Row],[Número de marcadores]]&gt;0, "Flagged", "")</f>
        <v>Flagged</v>
      </c>
      <c r="BA50" s="92">
        <f>tblPiNAnalysis[[#This Row],[PiN preliminar]]</f>
        <v>45219.6</v>
      </c>
      <c r="BB50" s="97"/>
      <c r="BC50" s="70">
        <f>IFERROR(IF(tblPiNAnalysis[[#This Row],[Severidad]]=3,tblPiNAnalysis[[#This Row],[PiN final]]*Umbrales!$D$33,tblPiNAnalysis[[#This Row],[PiN final]]*Umbrales!$D$34),)</f>
        <v>22609.8</v>
      </c>
      <c r="BD50" s="70">
        <f>IFERROR(IF(tblPiNAnalysis[[#This Row],[Severidad]]&gt;3,tblPiNAnalysis[[#This Row],[PiN final]]*Umbrales!$D$34,),)</f>
        <v>0</v>
      </c>
    </row>
    <row r="51" spans="1:56">
      <c r="A51" s="101" t="str">
        <f>IFERROR(_xlfn.CONCAT(IF(tblPiNAnalysis[[#This Row],[Grupo]]="", "",tblPiNAnalysis[[#This Row],[Grupo]] ),  _xlfn.IFS(tblPiNAnalysis[[#This Row],[Admin2PCODE]]&lt;&gt;"", tblPiNAnalysis[[#This Row],[Admin2PCODE]], tblPiNAnalysis[[#This Row],[Admin1PCODE]]&lt;&gt;"", tblPiNAnalysis[[#This Row],[Admin1PCODE]])),"")</f>
        <v>VenezolanosVE1205</v>
      </c>
      <c r="B51" s="105" t="s">
        <v>362</v>
      </c>
      <c r="C51" s="104" t="s">
        <v>363</v>
      </c>
      <c r="D51" s="119" t="s">
        <v>372</v>
      </c>
      <c r="E51" s="104" t="s">
        <v>373</v>
      </c>
      <c r="F51" s="358"/>
      <c r="G51" s="357">
        <v>123622</v>
      </c>
      <c r="H51" s="103" t="s">
        <v>102</v>
      </c>
      <c r="I51" s="60">
        <v>21943</v>
      </c>
      <c r="J51" s="134">
        <v>6207.3295043550697</v>
      </c>
      <c r="K51" s="57">
        <v>45122.03</v>
      </c>
      <c r="L51" s="87">
        <v>14355.36541941502</v>
      </c>
      <c r="M51" s="87">
        <v>13748.350194711096</v>
      </c>
      <c r="N51" s="57">
        <v>16688.97</v>
      </c>
      <c r="O51" s="57">
        <v>4399.4720623075509</v>
      </c>
      <c r="P51" s="57">
        <v>4811.9225681488833</v>
      </c>
      <c r="Q51" s="88">
        <f>IFERROR(IF(tblPiNAnalysis[[#This Row],[SAMV]]="", "", MROUND(tblPiNAnalysis[[#This Row],[SAMV]]/tblPiNAnalysis[[#This Row],[Población]], 0.05)), "")</f>
        <v>0.2</v>
      </c>
      <c r="R51" s="89">
        <f>IFERROR(IF(tblPiNAnalysis[[#This Row],[NUT]]="", "", MROUND(tblPiNAnalysis[[#This Row],[NUT]]/tblPiNAnalysis[[#This Row],[Población]], 0.05)), "")</f>
        <v>0.05</v>
      </c>
      <c r="S51" s="89">
        <f>IFERROR(IF(tblPiNAnalysis[[#This Row],[SAL]]="", "", MROUND(tblPiNAnalysis[[#This Row],[SAL]]/tblPiNAnalysis[[#This Row],[Población]], 0.05)), "")</f>
        <v>0.35000000000000003</v>
      </c>
      <c r="T51" s="89">
        <f>IFERROR(IF(tblPiNAnalysis[[#This Row],[EDU]]="", "", MROUND(tblPiNAnalysis[[#This Row],[EDU]]/tblPiNAnalysis[[#This Row],[Población]], 0.05)), "")</f>
        <v>0.1</v>
      </c>
      <c r="U51" s="89">
        <f>IFERROR(IF(tblPiNAnalysis[[#This Row],[PRO]]="", "", MROUND(tblPiNAnalysis[[#This Row],[PRO]]/tblPiNAnalysis[[#This Row],[Población]], 0.05)), "")</f>
        <v>0.1</v>
      </c>
      <c r="V51" s="90">
        <f>IFERROR(IF(tblPiNAnalysis[[#This Row],[ASH]]="", "", MROUND(tblPiNAnalysis[[#This Row],[ASH]]/tblPiNAnalysis[[#This Row],[Población]], 0.05)), "")</f>
        <v>0.15000000000000002</v>
      </c>
      <c r="W51" s="89">
        <f>IFERROR(MROUND(tblPiNAnalysis[[#This Row],[NNA]]/tblPiNAnalysis[[#This Row],[Población]], 0.05), "")</f>
        <v>0.05</v>
      </c>
      <c r="X51" s="89">
        <f>IFERROR(MROUND(tblPiNAnalysis[[#This Row],[VBG]]/tblPiNAnalysis[[#This Row],[Población]], 0.05), "")</f>
        <v>0.05</v>
      </c>
      <c r="Y51" s="91">
        <f>IFERROR(LARGE(tblPiNAnalysis[[#This Row],[SAMV]:[ASH]], 1), "")</f>
        <v>45122.03</v>
      </c>
      <c r="Z51" s="92" t="str" cm="1">
        <f t="array" ref="Z51">IF(tblPiNAnalysis[[#This Row],[PiN más alto]]="", "", _xlfn.TEXTJOIN(CHAR(10), TRUE, IF(tblPiNAnalysis[[#This Row],[PiN más alto]]=tblPiNAnalysis[[#This Row],[SAMV]:[ASH]], tblPiNAnalysis[[#Headers],[SAMV]:[ASH]], "")))</f>
        <v>SAL</v>
      </c>
      <c r="AA51" s="93">
        <f>IF(tblPiNAnalysis[[#This Row],[PiN más alto]]="", "", tblPiNAnalysis[[#This Row],[PiN más alto]]/tblPiNAnalysis[[#This Row],[Población]])</f>
        <v>0.36499999999999999</v>
      </c>
      <c r="AB51" s="94" t="str">
        <f>IF(SUM(tblPiNAnalysis[[#This Row],[SAMV]:[ASH]])=0, "",IF(COUNTIF(tblPiNAnalysis[[#This Row],[SAMV]:[ASH]],"=0")+COUNTIF(tblPiNAnalysis[[#This Row],[SAMV]:[ASH]],"")&gt;=zero_pin_thresh, "Flagged", ""))</f>
        <v/>
      </c>
      <c r="AC51" s="95" t="str">
        <f>IFERROR(IF(tblPiNAnalysis[[#This Row],[PiN más alto]]="", "", IF(tblPiNAnalysis[[#This Row],[% PiN Sectores más altos]]&gt;=flag_pin_perc, "Flagged", "")), "")</f>
        <v/>
      </c>
      <c r="AD51" s="96" t="str" cm="1">
        <f t="array" ref="AD51">IF(tblPiNAnalysis[[#This Row],[PiN más alto]]=0, "",  IF(OR(COUNTIF(tblPiNAnalysis[[#This Row],[Sectores más altos]],tblSubSectorPopulation[Sector])), "Flagged", ""))</f>
        <v/>
      </c>
      <c r="AE51" s="16" cm="1">
        <f t="array" ref="AE5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21943</v>
      </c>
      <c r="AF51" s="97" t="str" cm="1">
        <f t="array" ref="AF51">IF(tblPiNAnalysis[[#This Row],[2º PiN más alto]]="", "", _xlfn.TEXTJOIN(CHAR(10), TRUE, IF(tblPiNAnalysis[[#This Row],[2º PiN más alto]]=tblPiNAnalysis[[#This Row],[SAMV]:[ASH]], tblPiNAnalysis[[#Headers],[SAMV]:[ASH]], "")))</f>
        <v>SAMV</v>
      </c>
      <c r="AG51" s="12">
        <f>IFERROR(tblPiNAnalysis[[#This Row],[2º PiN más alto]]/tblPiNAnalysis[[#This Row],[Población]], "")</f>
        <v>0.17750076847163127</v>
      </c>
      <c r="AH51" s="16">
        <f>IFERROR(tblPiNAnalysis[[#This Row],[PiN más alto]]-tblPiNAnalysis[[#This Row],[2º PiN más alto]], "")</f>
        <v>23179.03</v>
      </c>
      <c r="AI51" s="14">
        <f>IFERROR(((tblPiNAnalysis[[#This Row],[PiN más alto]]-tblPiNAnalysis[[#This Row],[2º PiN más alto]])/tblPiNAnalysis[[#This Row],[2º PiN más alto]]),"")</f>
        <v>1.0563291254614227</v>
      </c>
      <c r="AJ51" s="14" t="str" cm="1">
        <f t="array" ref="AJ5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51" s="98" cm="1">
        <f t="array" ref="AK5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16688.97</v>
      </c>
      <c r="AL51" s="53" t="str" cm="1">
        <f t="array" ref="AL51">IF(tblPiNAnalysis[[#This Row],[3º PiN más alto]]="", "", _xlfn.TEXTJOIN(CHAR(10), TRUE, IF(tblPiNAnalysis[[#This Row],[3º PiN más alto]]=tblPiNAnalysis[[#This Row],[SAMV]:[ASH]], tblPiNAnalysis[[#Headers],[SAMV]:[ASH]], "")))</f>
        <v>ASH</v>
      </c>
      <c r="AM51" s="53">
        <f>IFERROR(tblPiNAnalysis[[#This Row],[3º PiN más alto]]/tblPiNAnalysis[[#This Row],[Población]], "")</f>
        <v>0.13500000000000001</v>
      </c>
      <c r="AN51" s="15">
        <f>IFERROR(tblPiNAnalysis[[#This Row],[PiN más alto]]-tblPiNAnalysis[[#This Row],[3º PiN más alto]],"")</f>
        <v>28433.059999999998</v>
      </c>
      <c r="AO51" s="14">
        <f>IFERROR(tblPiNAnalysis[[#This Row],[Diferencia de PiN entre el más alto y el 3º más alto]]/tblPiNAnalysis[[#This Row],[3º PiN más alto]], "")</f>
        <v>1.7037037037037035</v>
      </c>
      <c r="AP51" s="96" t="str" cm="1">
        <f t="array" ref="AP5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51" s="84" cm="1">
        <f t="array" ref="AQ51">IFERROR(IF(tblPiNAnalysis[[#This Row],[ID]]="", "", INDEX(tblPiNHistorical[[SAMV]:[ASH]], MATCH(tblPiNAnalysis[[#This Row],[ID]],tblPiNHistorical[ID], 0),MATCH(_xlfn._xlws.FILTER(tblPiNAnalysis[[#Headers],[SAMV]:[ASH]], tblPiNAnalysis[[#This Row],[PiN más alto]]=tblPiNAnalysis[[#This Row],[SAMV]:[ASH]]), tblPiNHistorical[[#Headers],[SAMV]:[ASH]], 0))), "")</f>
        <v>-0.5</v>
      </c>
      <c r="AR51" s="99" t="str" cm="1">
        <f t="array" ref="AR5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51" s="74" cm="1">
        <f t="array" ref="AS51">IFERROR(IF(tblPiNAnalysis[[#This Row],[ID]]="", "", INDEX(tblPiNHistorical[[SAMV]:[ASH]], MATCH(tblPiNAnalysis[[#This Row],[ID]],tblPiNHistorical[ID], 0),MATCH(_xlfn._xlws.FILTER(tblPiNAnalysis[[#Headers],[SAMV]:[ASH]], tblPiNAnalysis[[#This Row],[2º PiN más alto]]=tblPiNAnalysis[[#This Row],[SAMV]:[ASH]]), tblPiNHistorical[[#Headers],[SAMV]:[ASH]], 0))), "")</f>
        <v>-0.6</v>
      </c>
      <c r="AT51" s="100" t="str" cm="1">
        <f t="array" ref="AT5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51" s="219">
        <f>INDEX(tblSeverityAnalysis[Severidad final], MATCH(tblPiNAnalysis[[#This Row],[ID]],tblSeverityAnalysis[ID], 0))</f>
        <v>3</v>
      </c>
      <c r="AV51" s="220">
        <f>IF(tblPiNAnalysis[[#This Row],[Severidad]]&gt;2,tblPiNAnalysis[[#This Row],[PiN más alto]],)</f>
        <v>45122.03</v>
      </c>
      <c r="AW51" s="54"/>
      <c r="AX51" s="55"/>
      <c r="AY51" s="56">
        <f>COUNTIFS(tblPiNAnalysis[[#This Row],[Número de PiN ausentes/cero superior al umbral - Calidad de los datos]:[Marcador manual]],"Flagged")</f>
        <v>2</v>
      </c>
      <c r="AZ51" s="34" t="str">
        <f>IF(tblPiNAnalysis[[#This Row],[Número de marcadores]]&gt;0, "Flagged", "")</f>
        <v>Flagged</v>
      </c>
      <c r="BA51" s="92">
        <f>tblPiNAnalysis[[#This Row],[PiN preliminar]]</f>
        <v>45122.03</v>
      </c>
      <c r="BB51" s="97"/>
      <c r="BC51" s="70">
        <f>IFERROR(IF(tblPiNAnalysis[[#This Row],[Severidad]]=3,tblPiNAnalysis[[#This Row],[PiN final]]*Umbrales!$D$33,tblPiNAnalysis[[#This Row],[PiN final]]*Umbrales!$D$34),)</f>
        <v>22561.014999999999</v>
      </c>
      <c r="BD51" s="70">
        <f>IFERROR(IF(tblPiNAnalysis[[#This Row],[Severidad]]&gt;3,tblPiNAnalysis[[#This Row],[PiN final]]*Umbrales!$D$34,),)</f>
        <v>0</v>
      </c>
    </row>
    <row r="52" spans="1:56">
      <c r="A52" s="101" t="str">
        <f>IFERROR(_xlfn.CONCAT(IF(tblPiNAnalysis[[#This Row],[Grupo]]="", "",tblPiNAnalysis[[#This Row],[Grupo]] ),  _xlfn.IFS(tblPiNAnalysis[[#This Row],[Admin2PCODE]]&lt;&gt;"", tblPiNAnalysis[[#This Row],[Admin2PCODE]], tblPiNAnalysis[[#This Row],[Admin1PCODE]]&lt;&gt;"", tblPiNAnalysis[[#This Row],[Admin1PCODE]])),"")</f>
        <v>VenezolanosVE1508</v>
      </c>
      <c r="B52" s="105" t="s">
        <v>276</v>
      </c>
      <c r="C52" s="104" t="s">
        <v>455</v>
      </c>
      <c r="D52" s="119" t="s">
        <v>469</v>
      </c>
      <c r="E52" s="104" t="s">
        <v>470</v>
      </c>
      <c r="F52" s="358"/>
      <c r="G52" s="357">
        <v>120553</v>
      </c>
      <c r="H52" s="103" t="s">
        <v>102</v>
      </c>
      <c r="I52" s="60">
        <v>11592</v>
      </c>
      <c r="J52" s="134">
        <v>3999.3011938744403</v>
      </c>
      <c r="K52" s="57">
        <v>44001.845000000001</v>
      </c>
      <c r="L52" s="87">
        <v>10037.878729624295</v>
      </c>
      <c r="M52" s="87">
        <v>28839.842003967755</v>
      </c>
      <c r="N52" s="57">
        <v>0</v>
      </c>
      <c r="O52" s="57">
        <v>9257.5892832736499</v>
      </c>
      <c r="P52" s="57">
        <v>10093.944701388713</v>
      </c>
      <c r="Q52" s="88">
        <f>IFERROR(IF(tblPiNAnalysis[[#This Row],[SAMV]]="", "", MROUND(tblPiNAnalysis[[#This Row],[SAMV]]/tblPiNAnalysis[[#This Row],[Población]], 0.05)), "")</f>
        <v>0.1</v>
      </c>
      <c r="R52" s="89">
        <f>IFERROR(IF(tblPiNAnalysis[[#This Row],[NUT]]="", "", MROUND(tblPiNAnalysis[[#This Row],[NUT]]/tblPiNAnalysis[[#This Row],[Población]], 0.05)), "")</f>
        <v>0.05</v>
      </c>
      <c r="S52" s="89">
        <f>IFERROR(IF(tblPiNAnalysis[[#This Row],[SAL]]="", "", MROUND(tblPiNAnalysis[[#This Row],[SAL]]/tblPiNAnalysis[[#This Row],[Población]], 0.05)), "")</f>
        <v>0.35000000000000003</v>
      </c>
      <c r="T52" s="89">
        <f>IFERROR(IF(tblPiNAnalysis[[#This Row],[EDU]]="", "", MROUND(tblPiNAnalysis[[#This Row],[EDU]]/tblPiNAnalysis[[#This Row],[Población]], 0.05)), "")</f>
        <v>0.1</v>
      </c>
      <c r="U52" s="89">
        <f>IFERROR(IF(tblPiNAnalysis[[#This Row],[PRO]]="", "", MROUND(tblPiNAnalysis[[#This Row],[PRO]]/tblPiNAnalysis[[#This Row],[Población]], 0.05)), "")</f>
        <v>0.25</v>
      </c>
      <c r="V52" s="90">
        <f>IFERROR(IF(tblPiNAnalysis[[#This Row],[ASH]]="", "", MROUND(tblPiNAnalysis[[#This Row],[ASH]]/tblPiNAnalysis[[#This Row],[Población]], 0.05)), "")</f>
        <v>0</v>
      </c>
      <c r="W52" s="89">
        <f>IFERROR(MROUND(tblPiNAnalysis[[#This Row],[NNA]]/tblPiNAnalysis[[#This Row],[Población]], 0.05), "")</f>
        <v>0.1</v>
      </c>
      <c r="X52" s="89">
        <f>IFERROR(MROUND(tblPiNAnalysis[[#This Row],[VBG]]/tblPiNAnalysis[[#This Row],[Población]], 0.05), "")</f>
        <v>0.1</v>
      </c>
      <c r="Y52" s="91">
        <f>IFERROR(LARGE(tblPiNAnalysis[[#This Row],[SAMV]:[ASH]], 1), "")</f>
        <v>44001.845000000001</v>
      </c>
      <c r="Z52" s="92" t="str" cm="1">
        <f t="array" ref="Z52">IF(tblPiNAnalysis[[#This Row],[PiN más alto]]="", "", _xlfn.TEXTJOIN(CHAR(10), TRUE, IF(tblPiNAnalysis[[#This Row],[PiN más alto]]=tblPiNAnalysis[[#This Row],[SAMV]:[ASH]], tblPiNAnalysis[[#Headers],[SAMV]:[ASH]], "")))</f>
        <v>SAL</v>
      </c>
      <c r="AA52" s="93">
        <f>IF(tblPiNAnalysis[[#This Row],[PiN más alto]]="", "", tblPiNAnalysis[[#This Row],[PiN más alto]]/tblPiNAnalysis[[#This Row],[Población]])</f>
        <v>0.36499999999999999</v>
      </c>
      <c r="AB52" s="94" t="str">
        <f>IF(SUM(tblPiNAnalysis[[#This Row],[SAMV]:[ASH]])=0, "",IF(COUNTIF(tblPiNAnalysis[[#This Row],[SAMV]:[ASH]],"=0")+COUNTIF(tblPiNAnalysis[[#This Row],[SAMV]:[ASH]],"")&gt;=zero_pin_thresh, "Flagged", ""))</f>
        <v/>
      </c>
      <c r="AC52" s="95" t="str">
        <f>IFERROR(IF(tblPiNAnalysis[[#This Row],[PiN más alto]]="", "", IF(tblPiNAnalysis[[#This Row],[% PiN Sectores más altos]]&gt;=flag_pin_perc, "Flagged", "")), "")</f>
        <v/>
      </c>
      <c r="AD52" s="96" t="str" cm="1">
        <f t="array" ref="AD52">IF(tblPiNAnalysis[[#This Row],[PiN más alto]]=0, "",  IF(OR(COUNTIF(tblPiNAnalysis[[#This Row],[Sectores más altos]],tblSubSectorPopulation[Sector])), "Flagged", ""))</f>
        <v/>
      </c>
      <c r="AE52" s="16" cm="1">
        <f t="array" ref="AE5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28839.842003967755</v>
      </c>
      <c r="AF52" s="97" t="str" cm="1">
        <f t="array" ref="AF52">IF(tblPiNAnalysis[[#This Row],[2º PiN más alto]]="", "", _xlfn.TEXTJOIN(CHAR(10), TRUE, IF(tblPiNAnalysis[[#This Row],[2º PiN más alto]]=tblPiNAnalysis[[#This Row],[SAMV]:[ASH]], tblPiNAnalysis[[#Headers],[SAMV]:[ASH]], "")))</f>
        <v>PRO</v>
      </c>
      <c r="AG52" s="12">
        <f>IFERROR(tblPiNAnalysis[[#This Row],[2º PiN más alto]]/tblPiNAnalysis[[#This Row],[Población]], "")</f>
        <v>0.23922956711129342</v>
      </c>
      <c r="AH52" s="16">
        <f>IFERROR(tblPiNAnalysis[[#This Row],[PiN más alto]]-tblPiNAnalysis[[#This Row],[2º PiN más alto]], "")</f>
        <v>15162.002996032246</v>
      </c>
      <c r="AI52" s="14">
        <f>IFERROR(((tblPiNAnalysis[[#This Row],[PiN más alto]]-tblPiNAnalysis[[#This Row],[2º PiN más alto]])/tblPiNAnalysis[[#This Row],[2º PiN más alto]]),"")</f>
        <v>0.52573113937123073</v>
      </c>
      <c r="AJ52" s="14" t="str" cm="1">
        <f t="array" ref="AJ5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52" s="98" cm="1">
        <f t="array" ref="AK5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11592</v>
      </c>
      <c r="AL52" s="53" t="str" cm="1">
        <f t="array" ref="AL52">IF(tblPiNAnalysis[[#This Row],[3º PiN más alto]]="", "", _xlfn.TEXTJOIN(CHAR(10), TRUE, IF(tblPiNAnalysis[[#This Row],[3º PiN más alto]]=tblPiNAnalysis[[#This Row],[SAMV]:[ASH]], tblPiNAnalysis[[#Headers],[SAMV]:[ASH]], "")))</f>
        <v>SAMV</v>
      </c>
      <c r="AM52" s="53">
        <f>IFERROR(tblPiNAnalysis[[#This Row],[3º PiN más alto]]/tblPiNAnalysis[[#This Row],[Población]], "")</f>
        <v>9.6156877058223358E-2</v>
      </c>
      <c r="AN52" s="15">
        <f>IFERROR(tblPiNAnalysis[[#This Row],[PiN más alto]]-tblPiNAnalysis[[#This Row],[3º PiN más alto]],"")</f>
        <v>32409.845000000001</v>
      </c>
      <c r="AO52" s="14">
        <f>IFERROR(tblPiNAnalysis[[#This Row],[Diferencia de PiN entre el más alto y el 3º más alto]]/tblPiNAnalysis[[#This Row],[3º PiN más alto]], "")</f>
        <v>2.795880348516218</v>
      </c>
      <c r="AP52" s="96" t="str" cm="1">
        <f t="array" ref="AP5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52" s="84" cm="1">
        <f t="array" ref="AQ52">IFERROR(IF(tblPiNAnalysis[[#This Row],[ID]]="", "", INDEX(tblPiNHistorical[[SAMV]:[ASH]], MATCH(tblPiNAnalysis[[#This Row],[ID]],tblPiNHistorical[ID], 0),MATCH(_xlfn._xlws.FILTER(tblPiNAnalysis[[#Headers],[SAMV]:[ASH]], tblPiNAnalysis[[#This Row],[PiN más alto]]=tblPiNAnalysis[[#This Row],[SAMV]:[ASH]]), tblPiNHistorical[[#Headers],[SAMV]:[ASH]], 0))), "")</f>
        <v>-0.7</v>
      </c>
      <c r="AR52" s="99" t="str" cm="1">
        <f t="array" ref="AR5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52" s="74" cm="1">
        <f t="array" ref="AS52">IFERROR(IF(tblPiNAnalysis[[#This Row],[ID]]="", "", INDEX(tblPiNHistorical[[SAMV]:[ASH]], MATCH(tblPiNAnalysis[[#This Row],[ID]],tblPiNHistorical[ID], 0),MATCH(_xlfn._xlws.FILTER(tblPiNAnalysis[[#Headers],[SAMV]:[ASH]], tblPiNAnalysis[[#This Row],[2º PiN más alto]]=tblPiNAnalysis[[#This Row],[SAMV]:[ASH]]), tblPiNHistorical[[#Headers],[SAMV]:[ASH]], 0))), "")</f>
        <v>-0.9</v>
      </c>
      <c r="AT52" s="100" t="str" cm="1">
        <f t="array" ref="AT5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52" s="219">
        <f>INDEX(tblSeverityAnalysis[Severidad final], MATCH(tblPiNAnalysis[[#This Row],[ID]],tblSeverityAnalysis[ID], 0))</f>
        <v>3</v>
      </c>
      <c r="AV52" s="220">
        <f>IF(tblPiNAnalysis[[#This Row],[Severidad]]&gt;2,tblPiNAnalysis[[#This Row],[PiN más alto]],)</f>
        <v>44001.845000000001</v>
      </c>
      <c r="AW52" s="54"/>
      <c r="AX52" s="55"/>
      <c r="AY52" s="56">
        <f>COUNTIFS(tblPiNAnalysis[[#This Row],[Número de PiN ausentes/cero superior al umbral - Calidad de los datos]:[Marcador manual]],"Flagged")</f>
        <v>2</v>
      </c>
      <c r="AZ52" s="34" t="str">
        <f>IF(tblPiNAnalysis[[#This Row],[Número de marcadores]]&gt;0, "Flagged", "")</f>
        <v>Flagged</v>
      </c>
      <c r="BA52" s="92">
        <f>tblPiNAnalysis[[#This Row],[PiN preliminar]]</f>
        <v>44001.845000000001</v>
      </c>
      <c r="BB52" s="97"/>
      <c r="BC52" s="70">
        <f>IFERROR(IF(tblPiNAnalysis[[#This Row],[Severidad]]=3,tblPiNAnalysis[[#This Row],[PiN final]]*Umbrales!$D$33,tblPiNAnalysis[[#This Row],[PiN final]]*Umbrales!$D$34),)</f>
        <v>22000.922500000001</v>
      </c>
      <c r="BD52" s="70">
        <f>IFERROR(IF(tblPiNAnalysis[[#This Row],[Severidad]]&gt;3,tblPiNAnalysis[[#This Row],[PiN final]]*Umbrales!$D$34,),)</f>
        <v>0</v>
      </c>
    </row>
    <row r="53" spans="1:56">
      <c r="A53" s="101" t="str">
        <f>IFERROR(_xlfn.CONCAT(IF(tblPiNAnalysis[[#This Row],[Grupo]]="", "",tblPiNAnalysis[[#This Row],[Grupo]] ),  _xlfn.IFS(tblPiNAnalysis[[#This Row],[Admin2PCODE]]&lt;&gt;"", tblPiNAnalysis[[#This Row],[Admin2PCODE]], tblPiNAnalysis[[#This Row],[Admin1PCODE]]&lt;&gt;"", tblPiNAnalysis[[#This Row],[Admin1PCODE]])),"")</f>
        <v>VenezolanosVE1703</v>
      </c>
      <c r="B53" s="105" t="s">
        <v>513</v>
      </c>
      <c r="C53" s="104" t="s">
        <v>514</v>
      </c>
      <c r="D53" s="119" t="s">
        <v>518</v>
      </c>
      <c r="E53" s="104" t="s">
        <v>519</v>
      </c>
      <c r="F53" s="358"/>
      <c r="G53" s="357">
        <v>73078</v>
      </c>
      <c r="H53" s="103" t="s">
        <v>102</v>
      </c>
      <c r="I53" s="60">
        <v>2610</v>
      </c>
      <c r="J53" s="134">
        <v>1948.696026563121</v>
      </c>
      <c r="K53" s="57">
        <v>26673.47</v>
      </c>
      <c r="L53" s="87">
        <v>9683.3668470724515</v>
      </c>
      <c r="M53" s="87">
        <v>8803.3950736876777</v>
      </c>
      <c r="N53" s="57">
        <v>43846.799999999996</v>
      </c>
      <c r="O53" s="57">
        <v>2825.8898186537444</v>
      </c>
      <c r="P53" s="57">
        <v>3081.1882757906874</v>
      </c>
      <c r="Q53" s="88">
        <f>IFERROR(IF(tblPiNAnalysis[[#This Row],[SAMV]]="", "", MROUND(tblPiNAnalysis[[#This Row],[SAMV]]/tblPiNAnalysis[[#This Row],[Población]], 0.05)), "")</f>
        <v>0.05</v>
      </c>
      <c r="R53" s="89">
        <f>IFERROR(IF(tblPiNAnalysis[[#This Row],[NUT]]="", "", MROUND(tblPiNAnalysis[[#This Row],[NUT]]/tblPiNAnalysis[[#This Row],[Población]], 0.05)), "")</f>
        <v>0.05</v>
      </c>
      <c r="S53" s="89">
        <f>IFERROR(IF(tblPiNAnalysis[[#This Row],[SAL]]="", "", MROUND(tblPiNAnalysis[[#This Row],[SAL]]/tblPiNAnalysis[[#This Row],[Población]], 0.05)), "")</f>
        <v>0.35000000000000003</v>
      </c>
      <c r="T53" s="89">
        <f>IFERROR(IF(tblPiNAnalysis[[#This Row],[EDU]]="", "", MROUND(tblPiNAnalysis[[#This Row],[EDU]]/tblPiNAnalysis[[#This Row],[Población]], 0.05)), "")</f>
        <v>0.15000000000000002</v>
      </c>
      <c r="U53" s="89">
        <f>IFERROR(IF(tblPiNAnalysis[[#This Row],[PRO]]="", "", MROUND(tblPiNAnalysis[[#This Row],[PRO]]/tblPiNAnalysis[[#This Row],[Población]], 0.05)), "")</f>
        <v>0.1</v>
      </c>
      <c r="V53" s="90">
        <f>IFERROR(IF(tblPiNAnalysis[[#This Row],[ASH]]="", "", MROUND(tblPiNAnalysis[[#This Row],[ASH]]/tblPiNAnalysis[[#This Row],[Población]], 0.05)), "")</f>
        <v>0.60000000000000009</v>
      </c>
      <c r="W53" s="89">
        <f>IFERROR(MROUND(tblPiNAnalysis[[#This Row],[NNA]]/tblPiNAnalysis[[#This Row],[Población]], 0.05), "")</f>
        <v>0.05</v>
      </c>
      <c r="X53" s="89">
        <f>IFERROR(MROUND(tblPiNAnalysis[[#This Row],[VBG]]/tblPiNAnalysis[[#This Row],[Población]], 0.05), "")</f>
        <v>0.05</v>
      </c>
      <c r="Y53" s="91">
        <f>IFERROR(LARGE(tblPiNAnalysis[[#This Row],[SAMV]:[ASH]], 1), "")</f>
        <v>43846.799999999996</v>
      </c>
      <c r="Z53" s="92" t="str" cm="1">
        <f t="array" ref="Z53">IF(tblPiNAnalysis[[#This Row],[PiN más alto]]="", "", _xlfn.TEXTJOIN(CHAR(10), TRUE, IF(tblPiNAnalysis[[#This Row],[PiN más alto]]=tblPiNAnalysis[[#This Row],[SAMV]:[ASH]], tblPiNAnalysis[[#Headers],[SAMV]:[ASH]], "")))</f>
        <v>ASH</v>
      </c>
      <c r="AA53" s="93">
        <f>IF(tblPiNAnalysis[[#This Row],[PiN más alto]]="", "", tblPiNAnalysis[[#This Row],[PiN más alto]]/tblPiNAnalysis[[#This Row],[Población]])</f>
        <v>0.6</v>
      </c>
      <c r="AB53" s="94" t="str">
        <f>IF(SUM(tblPiNAnalysis[[#This Row],[SAMV]:[ASH]])=0, "",IF(COUNTIF(tblPiNAnalysis[[#This Row],[SAMV]:[ASH]],"=0")+COUNTIF(tblPiNAnalysis[[#This Row],[SAMV]:[ASH]],"")&gt;=zero_pin_thresh, "Flagged", ""))</f>
        <v/>
      </c>
      <c r="AC53" s="95" t="str">
        <f>IFERROR(IF(tblPiNAnalysis[[#This Row],[PiN más alto]]="", "", IF(tblPiNAnalysis[[#This Row],[% PiN Sectores más altos]]&gt;=flag_pin_perc, "Flagged", "")), "")</f>
        <v/>
      </c>
      <c r="AD53" s="96" t="str" cm="1">
        <f t="array" ref="AD53">IF(tblPiNAnalysis[[#This Row],[PiN más alto]]=0, "",  IF(OR(COUNTIF(tblPiNAnalysis[[#This Row],[Sectores más altos]],tblSubSectorPopulation[Sector])), "Flagged", ""))</f>
        <v/>
      </c>
      <c r="AE53" s="16" cm="1">
        <f t="array" ref="AE5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26673.47</v>
      </c>
      <c r="AF53" s="97" t="str" cm="1">
        <f t="array" ref="AF53">IF(tblPiNAnalysis[[#This Row],[2º PiN más alto]]="", "", _xlfn.TEXTJOIN(CHAR(10), TRUE, IF(tblPiNAnalysis[[#This Row],[2º PiN más alto]]=tblPiNAnalysis[[#This Row],[SAMV]:[ASH]], tblPiNAnalysis[[#Headers],[SAMV]:[ASH]], "")))</f>
        <v>SAL</v>
      </c>
      <c r="AG53" s="12">
        <f>IFERROR(tblPiNAnalysis[[#This Row],[2º PiN más alto]]/tblPiNAnalysis[[#This Row],[Población]], "")</f>
        <v>0.36499999999999999</v>
      </c>
      <c r="AH53" s="16">
        <f>IFERROR(tblPiNAnalysis[[#This Row],[PiN más alto]]-tblPiNAnalysis[[#This Row],[2º PiN más alto]], "")</f>
        <v>17173.329999999994</v>
      </c>
      <c r="AI53" s="14">
        <f>IFERROR(((tblPiNAnalysis[[#This Row],[PiN más alto]]-tblPiNAnalysis[[#This Row],[2º PiN más alto]])/tblPiNAnalysis[[#This Row],[2º PiN más alto]]),"")</f>
        <v>0.64383561643835596</v>
      </c>
      <c r="AJ53" s="14" t="str" cm="1">
        <f t="array" ref="AJ5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53" s="98" cm="1">
        <f t="array" ref="AK5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9683.3668470724515</v>
      </c>
      <c r="AL53" s="53" t="str" cm="1">
        <f t="array" ref="AL53">IF(tblPiNAnalysis[[#This Row],[3º PiN más alto]]="", "", _xlfn.TEXTJOIN(CHAR(10), TRUE, IF(tblPiNAnalysis[[#This Row],[3º PiN más alto]]=tblPiNAnalysis[[#This Row],[SAMV]:[ASH]], tblPiNAnalysis[[#Headers],[SAMV]:[ASH]], "")))</f>
        <v>EDU</v>
      </c>
      <c r="AM53" s="53">
        <f>IFERROR(tblPiNAnalysis[[#This Row],[3º PiN más alto]]/tblPiNAnalysis[[#This Row],[Población]], "")</f>
        <v>0.13250727780005545</v>
      </c>
      <c r="AN53" s="15">
        <f>IFERROR(tblPiNAnalysis[[#This Row],[PiN más alto]]-tblPiNAnalysis[[#This Row],[3º PiN más alto]],"")</f>
        <v>34163.433152927544</v>
      </c>
      <c r="AO53" s="14">
        <f>IFERROR(tblPiNAnalysis[[#This Row],[Diferencia de PiN entre el más alto y el 3º más alto]]/tblPiNAnalysis[[#This Row],[3º PiN más alto]], "")</f>
        <v>3.5280531753535795</v>
      </c>
      <c r="AP53" s="96" t="str" cm="1">
        <f t="array" ref="AP5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53" s="84" cm="1">
        <f t="array" ref="AQ53">IFERROR(IF(tblPiNAnalysis[[#This Row],[ID]]="", "", INDEX(tblPiNHistorical[[SAMV]:[ASH]], MATCH(tblPiNAnalysis[[#This Row],[ID]],tblPiNHistorical[ID], 0),MATCH(_xlfn._xlws.FILTER(tblPiNAnalysis[[#Headers],[SAMV]:[ASH]], tblPiNAnalysis[[#This Row],[PiN más alto]]=tblPiNAnalysis[[#This Row],[SAMV]:[ASH]]), tblPiNHistorical[[#Headers],[SAMV]:[ASH]], 0))), "")</f>
        <v>-0.6</v>
      </c>
      <c r="AR53" s="99" t="str" cm="1">
        <f t="array" ref="AR5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53" s="74" cm="1">
        <f t="array" ref="AS53">IFERROR(IF(tblPiNAnalysis[[#This Row],[ID]]="", "", INDEX(tblPiNHistorical[[SAMV]:[ASH]], MATCH(tblPiNAnalysis[[#This Row],[ID]],tblPiNHistorical[ID], 0),MATCH(_xlfn._xlws.FILTER(tblPiNAnalysis[[#Headers],[SAMV]:[ASH]], tblPiNAnalysis[[#This Row],[2º PiN más alto]]=tblPiNAnalysis[[#This Row],[SAMV]:[ASH]]), tblPiNHistorical[[#Headers],[SAMV]:[ASH]], 0))), "")</f>
        <v>-0.8</v>
      </c>
      <c r="AT53" s="100" t="str" cm="1">
        <f t="array" ref="AT5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53" s="219">
        <f>INDEX(tblSeverityAnalysis[Severidad final], MATCH(tblPiNAnalysis[[#This Row],[ID]],tblSeverityAnalysis[ID], 0))</f>
        <v>3</v>
      </c>
      <c r="AV53" s="220">
        <f>IF(tblPiNAnalysis[[#This Row],[Severidad]]&gt;2,tblPiNAnalysis[[#This Row],[PiN más alto]],)</f>
        <v>43846.799999999996</v>
      </c>
      <c r="AW53" s="54"/>
      <c r="AX53" s="55"/>
      <c r="AY53" s="56">
        <f>COUNTIFS(tblPiNAnalysis[[#This Row],[Número de PiN ausentes/cero superior al umbral - Calidad de los datos]:[Marcador manual]],"Flagged")</f>
        <v>2</v>
      </c>
      <c r="AZ53" s="34" t="str">
        <f>IF(tblPiNAnalysis[[#This Row],[Número de marcadores]]&gt;0, "Flagged", "")</f>
        <v>Flagged</v>
      </c>
      <c r="BA53" s="92">
        <f>tblPiNAnalysis[[#This Row],[PiN preliminar]]</f>
        <v>43846.799999999996</v>
      </c>
      <c r="BB53" s="97"/>
      <c r="BC53" s="70">
        <f>IFERROR(IF(tblPiNAnalysis[[#This Row],[Severidad]]=3,tblPiNAnalysis[[#This Row],[PiN final]]*Umbrales!$D$33,tblPiNAnalysis[[#This Row],[PiN final]]*Umbrales!$D$34),)</f>
        <v>21923.399999999998</v>
      </c>
      <c r="BD53" s="70">
        <f>IFERROR(IF(tblPiNAnalysis[[#This Row],[Severidad]]&gt;3,tblPiNAnalysis[[#This Row],[PiN final]]*Umbrales!$D$34,),)</f>
        <v>0</v>
      </c>
    </row>
    <row r="54" spans="1:56">
      <c r="A54" s="101" t="str">
        <f>IFERROR(_xlfn.CONCAT(IF(tblPiNAnalysis[[#This Row],[Grupo]]="", "",tblPiNAnalysis[[#This Row],[Grupo]] ),  _xlfn.IFS(tblPiNAnalysis[[#This Row],[Admin2PCODE]]&lt;&gt;"", tblPiNAnalysis[[#This Row],[Admin2PCODE]], tblPiNAnalysis[[#This Row],[Admin1PCODE]]&lt;&gt;"", tblPiNAnalysis[[#This Row],[Admin1PCODE]])),"")</f>
        <v>VenezolanosVE1004</v>
      </c>
      <c r="B54" s="105" t="s">
        <v>306</v>
      </c>
      <c r="C54" s="104" t="s">
        <v>307</v>
      </c>
      <c r="D54" s="119" t="s">
        <v>314</v>
      </c>
      <c r="E54" s="104" t="s">
        <v>315</v>
      </c>
      <c r="F54" s="358"/>
      <c r="G54" s="357">
        <v>105202</v>
      </c>
      <c r="H54" s="103" t="s">
        <v>102</v>
      </c>
      <c r="I54" s="60">
        <v>41026</v>
      </c>
      <c r="J54" s="134">
        <v>5893.3736835116115</v>
      </c>
      <c r="K54" s="57">
        <v>43800</v>
      </c>
      <c r="L54" s="87">
        <v>18662.554054976968</v>
      </c>
      <c r="M54" s="87">
        <v>25122.889304806355</v>
      </c>
      <c r="N54" s="57">
        <v>14202.27</v>
      </c>
      <c r="O54" s="57">
        <v>8039.3245775380328</v>
      </c>
      <c r="P54" s="57">
        <v>8793.0112566822227</v>
      </c>
      <c r="Q54" s="88">
        <f>IFERROR(IF(tblPiNAnalysis[[#This Row],[SAMV]]="", "", MROUND(tblPiNAnalysis[[#This Row],[SAMV]]/tblPiNAnalysis[[#This Row],[Población]], 0.05)), "")</f>
        <v>0.4</v>
      </c>
      <c r="R54" s="89">
        <f>IFERROR(IF(tblPiNAnalysis[[#This Row],[NUT]]="", "", MROUND(tblPiNAnalysis[[#This Row],[NUT]]/tblPiNAnalysis[[#This Row],[Población]], 0.05)), "")</f>
        <v>0.05</v>
      </c>
      <c r="S54" s="89">
        <f>IFERROR(IF(tblPiNAnalysis[[#This Row],[SAL]]="", "", MROUND(tblPiNAnalysis[[#This Row],[SAL]]/tblPiNAnalysis[[#This Row],[Población]], 0.05)), "")</f>
        <v>0.4</v>
      </c>
      <c r="T54" s="89">
        <f>IFERROR(IF(tblPiNAnalysis[[#This Row],[EDU]]="", "", MROUND(tblPiNAnalysis[[#This Row],[EDU]]/tblPiNAnalysis[[#This Row],[Población]], 0.05)), "")</f>
        <v>0.2</v>
      </c>
      <c r="U54" s="89">
        <f>IFERROR(IF(tblPiNAnalysis[[#This Row],[PRO]]="", "", MROUND(tblPiNAnalysis[[#This Row],[PRO]]/tblPiNAnalysis[[#This Row],[Población]], 0.05)), "")</f>
        <v>0.25</v>
      </c>
      <c r="V54" s="90">
        <f>IFERROR(IF(tblPiNAnalysis[[#This Row],[ASH]]="", "", MROUND(tblPiNAnalysis[[#This Row],[ASH]]/tblPiNAnalysis[[#This Row],[Población]], 0.05)), "")</f>
        <v>0.15000000000000002</v>
      </c>
      <c r="W54" s="89">
        <f>IFERROR(MROUND(tblPiNAnalysis[[#This Row],[NNA]]/tblPiNAnalysis[[#This Row],[Población]], 0.05), "")</f>
        <v>0.1</v>
      </c>
      <c r="X54" s="89">
        <f>IFERROR(MROUND(tblPiNAnalysis[[#This Row],[VBG]]/tblPiNAnalysis[[#This Row],[Población]], 0.05), "")</f>
        <v>0.1</v>
      </c>
      <c r="Y54" s="91">
        <f>IFERROR(LARGE(tblPiNAnalysis[[#This Row],[SAMV]:[ASH]], 1), "")</f>
        <v>43800</v>
      </c>
      <c r="Z54" s="92" t="str" cm="1">
        <f t="array" ref="Z54">IF(tblPiNAnalysis[[#This Row],[PiN más alto]]="", "", _xlfn.TEXTJOIN(CHAR(10), TRUE, IF(tblPiNAnalysis[[#This Row],[PiN más alto]]=tblPiNAnalysis[[#This Row],[SAMV]:[ASH]], tblPiNAnalysis[[#Headers],[SAMV]:[ASH]], "")))</f>
        <v>SAL</v>
      </c>
      <c r="AA54" s="93">
        <f>IF(tblPiNAnalysis[[#This Row],[PiN más alto]]="", "", tblPiNAnalysis[[#This Row],[PiN más alto]]/tblPiNAnalysis[[#This Row],[Población]])</f>
        <v>0.4163418946407863</v>
      </c>
      <c r="AB54" s="94" t="str">
        <f>IF(SUM(tblPiNAnalysis[[#This Row],[SAMV]:[ASH]])=0, "",IF(COUNTIF(tblPiNAnalysis[[#This Row],[SAMV]:[ASH]],"=0")+COUNTIF(tblPiNAnalysis[[#This Row],[SAMV]:[ASH]],"")&gt;=zero_pin_thresh, "Flagged", ""))</f>
        <v/>
      </c>
      <c r="AC54" s="95" t="str">
        <f>IFERROR(IF(tblPiNAnalysis[[#This Row],[PiN más alto]]="", "", IF(tblPiNAnalysis[[#This Row],[% PiN Sectores más altos]]&gt;=flag_pin_perc, "Flagged", "")), "")</f>
        <v/>
      </c>
      <c r="AD54" s="96" t="str" cm="1">
        <f t="array" ref="AD54">IF(tblPiNAnalysis[[#This Row],[PiN más alto]]=0, "",  IF(OR(COUNTIF(tblPiNAnalysis[[#This Row],[Sectores más altos]],tblSubSectorPopulation[Sector])), "Flagged", ""))</f>
        <v/>
      </c>
      <c r="AE54" s="16" cm="1">
        <f t="array" ref="AE5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41026</v>
      </c>
      <c r="AF54" s="97" t="str" cm="1">
        <f t="array" ref="AF54">IF(tblPiNAnalysis[[#This Row],[2º PiN más alto]]="", "", _xlfn.TEXTJOIN(CHAR(10), TRUE, IF(tblPiNAnalysis[[#This Row],[2º PiN más alto]]=tblPiNAnalysis[[#This Row],[SAMV]:[ASH]], tblPiNAnalysis[[#Headers],[SAMV]:[ASH]], "")))</f>
        <v>SAMV</v>
      </c>
      <c r="AG54" s="12">
        <f>IFERROR(tblPiNAnalysis[[#This Row],[2º PiN más alto]]/tblPiNAnalysis[[#This Row],[Población]], "")</f>
        <v>0.38997357464686982</v>
      </c>
      <c r="AH54" s="16">
        <f>IFERROR(tblPiNAnalysis[[#This Row],[PiN más alto]]-tblPiNAnalysis[[#This Row],[2º PiN más alto]], "")</f>
        <v>2774</v>
      </c>
      <c r="AI54" s="14">
        <f>IFERROR(((tblPiNAnalysis[[#This Row],[PiN más alto]]-tblPiNAnalysis[[#This Row],[2º PiN más alto]])/tblPiNAnalysis[[#This Row],[2º PiN más alto]]),"")</f>
        <v>6.7615658362989328E-2</v>
      </c>
      <c r="AJ54" s="14" t="str" cm="1">
        <f t="array" ref="AJ5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54" s="98" cm="1">
        <f t="array" ref="AK5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25122.889304806355</v>
      </c>
      <c r="AL54" s="53" t="str" cm="1">
        <f t="array" ref="AL54">IF(tblPiNAnalysis[[#This Row],[3º PiN más alto]]="", "", _xlfn.TEXTJOIN(CHAR(10), TRUE, IF(tblPiNAnalysis[[#This Row],[3º PiN más alto]]=tblPiNAnalysis[[#This Row],[SAMV]:[ASH]], tblPiNAnalysis[[#Headers],[SAMV]:[ASH]], "")))</f>
        <v>PRO</v>
      </c>
      <c r="AM54" s="53">
        <f>IFERROR(tblPiNAnalysis[[#This Row],[3º PiN más alto]]/tblPiNAnalysis[[#This Row],[Población]], "")</f>
        <v>0.23880619479483617</v>
      </c>
      <c r="AN54" s="15">
        <f>IFERROR(tblPiNAnalysis[[#This Row],[PiN más alto]]-tblPiNAnalysis[[#This Row],[3º PiN más alto]],"")</f>
        <v>18677.110695193645</v>
      </c>
      <c r="AO54" s="14">
        <f>IFERROR(tblPiNAnalysis[[#This Row],[Diferencia de PiN entre el más alto y el 3º más alto]]/tblPiNAnalysis[[#This Row],[3º PiN más alto]], "")</f>
        <v>0.74343004375776389</v>
      </c>
      <c r="AP54" s="96" t="str" cm="1">
        <f t="array" ref="AP5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54" s="84" cm="1">
        <f t="array" ref="AQ54">IFERROR(IF(tblPiNAnalysis[[#This Row],[ID]]="", "", INDEX(tblPiNHistorical[[SAMV]:[ASH]], MATCH(tblPiNAnalysis[[#This Row],[ID]],tblPiNHistorical[ID], 0),MATCH(_xlfn._xlws.FILTER(tblPiNAnalysis[[#Headers],[SAMV]:[ASH]], tblPiNAnalysis[[#This Row],[PiN más alto]]=tblPiNAnalysis[[#This Row],[SAMV]:[ASH]]), tblPiNHistorical[[#Headers],[SAMV]:[ASH]], 0))), "")</f>
        <v>-0.2</v>
      </c>
      <c r="AR54" s="99" t="str" cm="1">
        <f t="array" ref="AR5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54" s="74" cm="1">
        <f t="array" ref="AS54">IFERROR(IF(tblPiNAnalysis[[#This Row],[ID]]="", "", INDEX(tblPiNHistorical[[SAMV]:[ASH]], MATCH(tblPiNAnalysis[[#This Row],[ID]],tblPiNHistorical[ID], 0),MATCH(_xlfn._xlws.FILTER(tblPiNAnalysis[[#Headers],[SAMV]:[ASH]], tblPiNAnalysis[[#This Row],[2º PiN más alto]]=tblPiNAnalysis[[#This Row],[SAMV]:[ASH]]), tblPiNHistorical[[#Headers],[SAMV]:[ASH]], 0))), "")</f>
        <v>0.3</v>
      </c>
      <c r="AT54" s="100" t="str" cm="1">
        <f t="array" ref="AT5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54" s="219">
        <f>INDEX(tblSeverityAnalysis[Severidad final], MATCH(tblPiNAnalysis[[#This Row],[ID]],tblSeverityAnalysis[ID], 0))</f>
        <v>3</v>
      </c>
      <c r="AV54" s="220">
        <f>IF(tblPiNAnalysis[[#This Row],[Severidad]]&gt;2,tblPiNAnalysis[[#This Row],[PiN más alto]],)</f>
        <v>43800</v>
      </c>
      <c r="AW54" s="54"/>
      <c r="AX54" s="55"/>
      <c r="AY54" s="56">
        <f>COUNTIFS(tblPiNAnalysis[[#This Row],[Número de PiN ausentes/cero superior al umbral - Calidad de los datos]:[Marcador manual]],"Flagged")</f>
        <v>1</v>
      </c>
      <c r="AZ54" s="34" t="str">
        <f>IF(tblPiNAnalysis[[#This Row],[Número de marcadores]]&gt;0, "Flagged", "")</f>
        <v>Flagged</v>
      </c>
      <c r="BA54" s="92">
        <f>tblPiNAnalysis[[#This Row],[PiN preliminar]]</f>
        <v>43800</v>
      </c>
      <c r="BB54" s="97"/>
      <c r="BC54" s="70">
        <f>IFERROR(IF(tblPiNAnalysis[[#This Row],[Severidad]]=3,tblPiNAnalysis[[#This Row],[PiN final]]*Umbrales!$D$33,tblPiNAnalysis[[#This Row],[PiN final]]*Umbrales!$D$34),)</f>
        <v>21900</v>
      </c>
      <c r="BD54" s="70">
        <f>IFERROR(IF(tblPiNAnalysis[[#This Row],[Severidad]]&gt;3,tblPiNAnalysis[[#This Row],[PiN final]]*Umbrales!$D$34,),)</f>
        <v>0</v>
      </c>
    </row>
    <row r="55" spans="1:56">
      <c r="A55" s="101" t="str">
        <f>IFERROR(_xlfn.CONCAT(IF(tblPiNAnalysis[[#This Row],[Grupo]]="", "",tblPiNAnalysis[[#This Row],[Grupo]] ),  _xlfn.IFS(tblPiNAnalysis[[#This Row],[Admin2PCODE]]&lt;&gt;"", tblPiNAnalysis[[#This Row],[Admin2PCODE]], tblPiNAnalysis[[#This Row],[Admin1PCODE]]&lt;&gt;"", tblPiNAnalysis[[#This Row],[Admin1PCODE]])),"")</f>
        <v>VenezolanosVE2309</v>
      </c>
      <c r="B55" s="105" t="s">
        <v>705</v>
      </c>
      <c r="C55" s="104" t="s">
        <v>706</v>
      </c>
      <c r="D55" s="119" t="s">
        <v>808</v>
      </c>
      <c r="E55" s="104" t="s">
        <v>724</v>
      </c>
      <c r="F55" s="358"/>
      <c r="G55" s="357">
        <v>84064</v>
      </c>
      <c r="H55" s="103" t="s">
        <v>102</v>
      </c>
      <c r="I55" s="60">
        <v>43129</v>
      </c>
      <c r="J55" s="134">
        <v>4837.3462624284148</v>
      </c>
      <c r="K55" s="57">
        <v>30683.360000000001</v>
      </c>
      <c r="L55" s="87">
        <v>15186.218220147404</v>
      </c>
      <c r="M55" s="87">
        <v>20036.032089393328</v>
      </c>
      <c r="N55" s="57">
        <v>37828.800000000003</v>
      </c>
      <c r="O55" s="57">
        <v>6411.5302686058649</v>
      </c>
      <c r="P55" s="57">
        <v>7012.6112312876639</v>
      </c>
      <c r="Q55" s="88">
        <f>IFERROR(IF(tblPiNAnalysis[[#This Row],[SAMV]]="", "", MROUND(tblPiNAnalysis[[#This Row],[SAMV]]/tblPiNAnalysis[[#This Row],[Población]], 0.05)), "")</f>
        <v>0.5</v>
      </c>
      <c r="R55" s="89">
        <f>IFERROR(IF(tblPiNAnalysis[[#This Row],[NUT]]="", "", MROUND(tblPiNAnalysis[[#This Row],[NUT]]/tblPiNAnalysis[[#This Row],[Población]], 0.05)), "")</f>
        <v>0.05</v>
      </c>
      <c r="S55" s="89">
        <f>IFERROR(IF(tblPiNAnalysis[[#This Row],[SAL]]="", "", MROUND(tblPiNAnalysis[[#This Row],[SAL]]/tblPiNAnalysis[[#This Row],[Población]], 0.05)), "")</f>
        <v>0.35000000000000003</v>
      </c>
      <c r="T55" s="89">
        <f>IFERROR(IF(tblPiNAnalysis[[#This Row],[EDU]]="", "", MROUND(tblPiNAnalysis[[#This Row],[EDU]]/tblPiNAnalysis[[#This Row],[Población]], 0.05)), "")</f>
        <v>0.2</v>
      </c>
      <c r="U55" s="89">
        <f>IFERROR(IF(tblPiNAnalysis[[#This Row],[PRO]]="", "", MROUND(tblPiNAnalysis[[#This Row],[PRO]]/tblPiNAnalysis[[#This Row],[Población]], 0.05)), "")</f>
        <v>0.25</v>
      </c>
      <c r="V55" s="90">
        <f>IFERROR(IF(tblPiNAnalysis[[#This Row],[ASH]]="", "", MROUND(tblPiNAnalysis[[#This Row],[ASH]]/tblPiNAnalysis[[#This Row],[Población]], 0.05)), "")</f>
        <v>0.45</v>
      </c>
      <c r="W55" s="89">
        <f>IFERROR(MROUND(tblPiNAnalysis[[#This Row],[NNA]]/tblPiNAnalysis[[#This Row],[Población]], 0.05), "")</f>
        <v>0.1</v>
      </c>
      <c r="X55" s="89">
        <f>IFERROR(MROUND(tblPiNAnalysis[[#This Row],[VBG]]/tblPiNAnalysis[[#This Row],[Población]], 0.05), "")</f>
        <v>0.1</v>
      </c>
      <c r="Y55" s="91">
        <f>IFERROR(LARGE(tblPiNAnalysis[[#This Row],[SAMV]:[ASH]], 1), "")</f>
        <v>43129</v>
      </c>
      <c r="Z55" s="92" t="str" cm="1">
        <f t="array" ref="Z55">IF(tblPiNAnalysis[[#This Row],[PiN más alto]]="", "", _xlfn.TEXTJOIN(CHAR(10), TRUE, IF(tblPiNAnalysis[[#This Row],[PiN más alto]]=tblPiNAnalysis[[#This Row],[SAMV]:[ASH]], tblPiNAnalysis[[#Headers],[SAMV]:[ASH]], "")))</f>
        <v>SAMV</v>
      </c>
      <c r="AA55" s="93">
        <f>IF(tblPiNAnalysis[[#This Row],[PiN más alto]]="", "", tblPiNAnalysis[[#This Row],[PiN más alto]]/tblPiNAnalysis[[#This Row],[Población]])</f>
        <v>0.5130495812714122</v>
      </c>
      <c r="AB55" s="94" t="str">
        <f>IF(SUM(tblPiNAnalysis[[#This Row],[SAMV]:[ASH]])=0, "",IF(COUNTIF(tblPiNAnalysis[[#This Row],[SAMV]:[ASH]],"=0")+COUNTIF(tblPiNAnalysis[[#This Row],[SAMV]:[ASH]],"")&gt;=zero_pin_thresh, "Flagged", ""))</f>
        <v/>
      </c>
      <c r="AC55" s="95" t="str">
        <f>IFERROR(IF(tblPiNAnalysis[[#This Row],[PiN más alto]]="", "", IF(tblPiNAnalysis[[#This Row],[% PiN Sectores más altos]]&gt;=flag_pin_perc, "Flagged", "")), "")</f>
        <v/>
      </c>
      <c r="AD55" s="96" t="str" cm="1">
        <f t="array" ref="AD55">IF(tblPiNAnalysis[[#This Row],[PiN más alto]]=0, "",  IF(OR(COUNTIF(tblPiNAnalysis[[#This Row],[Sectores más altos]],tblSubSectorPopulation[Sector])), "Flagged", ""))</f>
        <v/>
      </c>
      <c r="AE55" s="16" cm="1">
        <f t="array" ref="AE5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37828.800000000003</v>
      </c>
      <c r="AF55" s="97" t="str" cm="1">
        <f t="array" ref="AF55">IF(tblPiNAnalysis[[#This Row],[2º PiN más alto]]="", "", _xlfn.TEXTJOIN(CHAR(10), TRUE, IF(tblPiNAnalysis[[#This Row],[2º PiN más alto]]=tblPiNAnalysis[[#This Row],[SAMV]:[ASH]], tblPiNAnalysis[[#Headers],[SAMV]:[ASH]], "")))</f>
        <v>ASH</v>
      </c>
      <c r="AG55" s="12">
        <f>IFERROR(tblPiNAnalysis[[#This Row],[2º PiN más alto]]/tblPiNAnalysis[[#This Row],[Población]], "")</f>
        <v>0.45</v>
      </c>
      <c r="AH55" s="16">
        <f>IFERROR(tblPiNAnalysis[[#This Row],[PiN más alto]]-tblPiNAnalysis[[#This Row],[2º PiN más alto]], "")</f>
        <v>5300.1999999999971</v>
      </c>
      <c r="AI55" s="14">
        <f>IFERROR(((tblPiNAnalysis[[#This Row],[PiN más alto]]-tblPiNAnalysis[[#This Row],[2º PiN más alto]])/tblPiNAnalysis[[#This Row],[2º PiN más alto]]),"")</f>
        <v>0.14011018060313826</v>
      </c>
      <c r="AJ55" s="14" t="str" cm="1">
        <f t="array" ref="AJ5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55" s="98" cm="1">
        <f t="array" ref="AK5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30683.360000000001</v>
      </c>
      <c r="AL55" s="53" t="str" cm="1">
        <f t="array" ref="AL55">IF(tblPiNAnalysis[[#This Row],[3º PiN más alto]]="", "", _xlfn.TEXTJOIN(CHAR(10), TRUE, IF(tblPiNAnalysis[[#This Row],[3º PiN más alto]]=tblPiNAnalysis[[#This Row],[SAMV]:[ASH]], tblPiNAnalysis[[#Headers],[SAMV]:[ASH]], "")))</f>
        <v>SAL</v>
      </c>
      <c r="AM55" s="53">
        <f>IFERROR(tblPiNAnalysis[[#This Row],[3º PiN más alto]]/tblPiNAnalysis[[#This Row],[Población]], "")</f>
        <v>0.36499999999999999</v>
      </c>
      <c r="AN55" s="15">
        <f>IFERROR(tblPiNAnalysis[[#This Row],[PiN más alto]]-tblPiNAnalysis[[#This Row],[3º PiN más alto]],"")</f>
        <v>12445.64</v>
      </c>
      <c r="AO55" s="14">
        <f>IFERROR(tblPiNAnalysis[[#This Row],[Diferencia de PiN entre el más alto y el 3º más alto]]/tblPiNAnalysis[[#This Row],[3º PiN más alto]], "")</f>
        <v>0.40561529115455408</v>
      </c>
      <c r="AP55" s="96" t="str" cm="1">
        <f t="array" ref="AP5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
      </c>
      <c r="AQ55" s="84" cm="1">
        <f t="array" ref="AQ55">IFERROR(IF(tblPiNAnalysis[[#This Row],[ID]]="", "", INDEX(tblPiNHistorical[[SAMV]:[ASH]], MATCH(tblPiNAnalysis[[#This Row],[ID]],tblPiNHistorical[ID], 0),MATCH(_xlfn._xlws.FILTER(tblPiNAnalysis[[#Headers],[SAMV]:[ASH]], tblPiNAnalysis[[#This Row],[PiN más alto]]=tblPiNAnalysis[[#This Row],[SAMV]:[ASH]]), tblPiNHistorical[[#Headers],[SAMV]:[ASH]], 0))), "")</f>
        <v>-1</v>
      </c>
      <c r="AR55" s="99" t="str" cm="1">
        <f t="array" ref="AR5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55" s="74" t="str" cm="1">
        <f t="array" ref="AS55">IFERROR(IF(tblPiNAnalysis[[#This Row],[ID]]="", "", INDEX(tblPiNHistorical[[SAMV]:[ASH]], MATCH(tblPiNAnalysis[[#This Row],[ID]],tblPiNHistorical[ID], 0),MATCH(_xlfn._xlws.FILTER(tblPiNAnalysis[[#Headers],[SAMV]:[ASH]], tblPiNAnalysis[[#This Row],[2º PiN más alto]]=tblPiNAnalysis[[#This Row],[SAMV]:[ASH]]), tblPiNHistorical[[#Headers],[SAMV]:[ASH]], 0))), "")</f>
        <v/>
      </c>
      <c r="AT55" s="100" t="str" cm="1">
        <f t="array" ref="AT5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55" s="219">
        <f>INDEX(tblSeverityAnalysis[Severidad final], MATCH(tblPiNAnalysis[[#This Row],[ID]],tblSeverityAnalysis[ID], 0))</f>
        <v>3</v>
      </c>
      <c r="AV55" s="220">
        <f>IF(tblPiNAnalysis[[#This Row],[Severidad]]&gt;2,tblPiNAnalysis[[#This Row],[PiN más alto]],)</f>
        <v>43129</v>
      </c>
      <c r="AW55" s="54"/>
      <c r="AX55" s="55"/>
      <c r="AY55" s="56">
        <f>COUNTIFS(tblPiNAnalysis[[#This Row],[Número de PiN ausentes/cero superior al umbral - Calidad de los datos]:[Marcador manual]],"Flagged")</f>
        <v>1</v>
      </c>
      <c r="AZ55" s="34" t="str">
        <f>IF(tblPiNAnalysis[[#This Row],[Número de marcadores]]&gt;0, "Flagged", "")</f>
        <v>Flagged</v>
      </c>
      <c r="BA55" s="92">
        <f>tblPiNAnalysis[[#This Row],[PiN preliminar]]</f>
        <v>43129</v>
      </c>
      <c r="BB55" s="97"/>
      <c r="BC55" s="70">
        <f>IFERROR(IF(tblPiNAnalysis[[#This Row],[Severidad]]=3,tblPiNAnalysis[[#This Row],[PiN final]]*Umbrales!$D$33,tblPiNAnalysis[[#This Row],[PiN final]]*Umbrales!$D$34),)</f>
        <v>21564.5</v>
      </c>
      <c r="BD55" s="70">
        <f>IFERROR(IF(tblPiNAnalysis[[#This Row],[Severidad]]&gt;3,tblPiNAnalysis[[#This Row],[PiN final]]*Umbrales!$D$34,),)</f>
        <v>0</v>
      </c>
    </row>
    <row r="56" spans="1:56">
      <c r="A56" s="101" t="str">
        <f>IFERROR(_xlfn.CONCAT(IF(tblPiNAnalysis[[#This Row],[Grupo]]="", "",tblPiNAnalysis[[#This Row],[Grupo]] ),  _xlfn.IFS(tblPiNAnalysis[[#This Row],[Admin2PCODE]]&lt;&gt;"", tblPiNAnalysis[[#This Row],[Admin2PCODE]], tblPiNAnalysis[[#This Row],[Admin1PCODE]]&lt;&gt;"", tblPiNAnalysis[[#This Row],[Admin1PCODE]])),"")</f>
        <v>VenezolanosVE1704</v>
      </c>
      <c r="B56" s="105" t="s">
        <v>513</v>
      </c>
      <c r="C56" s="104" t="s">
        <v>514</v>
      </c>
      <c r="D56" s="119" t="s">
        <v>520</v>
      </c>
      <c r="E56" s="104" t="s">
        <v>521</v>
      </c>
      <c r="F56" s="358"/>
      <c r="G56" s="357">
        <v>70041</v>
      </c>
      <c r="H56" s="103" t="s">
        <v>102</v>
      </c>
      <c r="I56" s="60">
        <v>15565</v>
      </c>
      <c r="J56" s="134">
        <v>1866.381352977661</v>
      </c>
      <c r="K56" s="57">
        <v>25564.965</v>
      </c>
      <c r="L56" s="87">
        <v>9979.9957340485653</v>
      </c>
      <c r="M56" s="87">
        <v>8437.5406326960037</v>
      </c>
      <c r="N56" s="57">
        <v>42024.6</v>
      </c>
      <c r="O56" s="57">
        <v>2700.0130024627215</v>
      </c>
      <c r="P56" s="57">
        <v>2953.1392214436009</v>
      </c>
      <c r="Q56" s="88">
        <f>IFERROR(IF(tblPiNAnalysis[[#This Row],[SAMV]]="", "", MROUND(tblPiNAnalysis[[#This Row],[SAMV]]/tblPiNAnalysis[[#This Row],[Población]], 0.05)), "")</f>
        <v>0.2</v>
      </c>
      <c r="R56" s="89">
        <f>IFERROR(IF(tblPiNAnalysis[[#This Row],[NUT]]="", "", MROUND(tblPiNAnalysis[[#This Row],[NUT]]/tblPiNAnalysis[[#This Row],[Población]], 0.05)), "")</f>
        <v>0.05</v>
      </c>
      <c r="S56" s="89">
        <f>IFERROR(IF(tblPiNAnalysis[[#This Row],[SAL]]="", "", MROUND(tblPiNAnalysis[[#This Row],[SAL]]/tblPiNAnalysis[[#This Row],[Población]], 0.05)), "")</f>
        <v>0.35000000000000003</v>
      </c>
      <c r="T56" s="89">
        <f>IFERROR(IF(tblPiNAnalysis[[#This Row],[EDU]]="", "", MROUND(tblPiNAnalysis[[#This Row],[EDU]]/tblPiNAnalysis[[#This Row],[Población]], 0.05)), "")</f>
        <v>0.15000000000000002</v>
      </c>
      <c r="U56" s="89">
        <f>IFERROR(IF(tblPiNAnalysis[[#This Row],[PRO]]="", "", MROUND(tblPiNAnalysis[[#This Row],[PRO]]/tblPiNAnalysis[[#This Row],[Población]], 0.05)), "")</f>
        <v>0.1</v>
      </c>
      <c r="V56" s="90">
        <f>IFERROR(IF(tblPiNAnalysis[[#This Row],[ASH]]="", "", MROUND(tblPiNAnalysis[[#This Row],[ASH]]/tblPiNAnalysis[[#This Row],[Población]], 0.05)), "")</f>
        <v>0.60000000000000009</v>
      </c>
      <c r="W56" s="89">
        <f>IFERROR(MROUND(tblPiNAnalysis[[#This Row],[NNA]]/tblPiNAnalysis[[#This Row],[Población]], 0.05), "")</f>
        <v>0.05</v>
      </c>
      <c r="X56" s="89">
        <f>IFERROR(MROUND(tblPiNAnalysis[[#This Row],[VBG]]/tblPiNAnalysis[[#This Row],[Población]], 0.05), "")</f>
        <v>0.05</v>
      </c>
      <c r="Y56" s="91">
        <f>IFERROR(LARGE(tblPiNAnalysis[[#This Row],[SAMV]:[ASH]], 1), "")</f>
        <v>42024.6</v>
      </c>
      <c r="Z56" s="92" t="str" cm="1">
        <f t="array" ref="Z56">IF(tblPiNAnalysis[[#This Row],[PiN más alto]]="", "", _xlfn.TEXTJOIN(CHAR(10), TRUE, IF(tblPiNAnalysis[[#This Row],[PiN más alto]]=tblPiNAnalysis[[#This Row],[SAMV]:[ASH]], tblPiNAnalysis[[#Headers],[SAMV]:[ASH]], "")))</f>
        <v>ASH</v>
      </c>
      <c r="AA56" s="93">
        <f>IF(tblPiNAnalysis[[#This Row],[PiN más alto]]="", "", tblPiNAnalysis[[#This Row],[PiN más alto]]/tblPiNAnalysis[[#This Row],[Población]])</f>
        <v>0.6</v>
      </c>
      <c r="AB56" s="94" t="str">
        <f>IF(SUM(tblPiNAnalysis[[#This Row],[SAMV]:[ASH]])=0, "",IF(COUNTIF(tblPiNAnalysis[[#This Row],[SAMV]:[ASH]],"=0")+COUNTIF(tblPiNAnalysis[[#This Row],[SAMV]:[ASH]],"")&gt;=zero_pin_thresh, "Flagged", ""))</f>
        <v/>
      </c>
      <c r="AC56" s="95" t="str">
        <f>IFERROR(IF(tblPiNAnalysis[[#This Row],[PiN más alto]]="", "", IF(tblPiNAnalysis[[#This Row],[% PiN Sectores más altos]]&gt;=flag_pin_perc, "Flagged", "")), "")</f>
        <v/>
      </c>
      <c r="AD56" s="96" t="str" cm="1">
        <f t="array" ref="AD56">IF(tblPiNAnalysis[[#This Row],[PiN más alto]]=0, "",  IF(OR(COUNTIF(tblPiNAnalysis[[#This Row],[Sectores más altos]],tblSubSectorPopulation[Sector])), "Flagged", ""))</f>
        <v/>
      </c>
      <c r="AE56" s="16" cm="1">
        <f t="array" ref="AE5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25564.965</v>
      </c>
      <c r="AF56" s="97" t="str" cm="1">
        <f t="array" ref="AF56">IF(tblPiNAnalysis[[#This Row],[2º PiN más alto]]="", "", _xlfn.TEXTJOIN(CHAR(10), TRUE, IF(tblPiNAnalysis[[#This Row],[2º PiN más alto]]=tblPiNAnalysis[[#This Row],[SAMV]:[ASH]], tblPiNAnalysis[[#Headers],[SAMV]:[ASH]], "")))</f>
        <v>SAL</v>
      </c>
      <c r="AG56" s="12">
        <f>IFERROR(tblPiNAnalysis[[#This Row],[2º PiN más alto]]/tblPiNAnalysis[[#This Row],[Población]], "")</f>
        <v>0.36499999999999999</v>
      </c>
      <c r="AH56" s="16">
        <f>IFERROR(tblPiNAnalysis[[#This Row],[PiN más alto]]-tblPiNAnalysis[[#This Row],[2º PiN más alto]], "")</f>
        <v>16459.634999999998</v>
      </c>
      <c r="AI56" s="14">
        <f>IFERROR(((tblPiNAnalysis[[#This Row],[PiN más alto]]-tblPiNAnalysis[[#This Row],[2º PiN más alto]])/tblPiNAnalysis[[#This Row],[2º PiN más alto]]),"")</f>
        <v>0.64383561643835607</v>
      </c>
      <c r="AJ56" s="14" t="str" cm="1">
        <f t="array" ref="AJ5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56" s="98" cm="1">
        <f t="array" ref="AK5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15565</v>
      </c>
      <c r="AL56" s="53" t="str" cm="1">
        <f t="array" ref="AL56">IF(tblPiNAnalysis[[#This Row],[3º PiN más alto]]="", "", _xlfn.TEXTJOIN(CHAR(10), TRUE, IF(tblPiNAnalysis[[#This Row],[3º PiN más alto]]=tblPiNAnalysis[[#This Row],[SAMV]:[ASH]], tblPiNAnalysis[[#Headers],[SAMV]:[ASH]], "")))</f>
        <v>SAMV</v>
      </c>
      <c r="AM56" s="53">
        <f>IFERROR(tblPiNAnalysis[[#This Row],[3º PiN más alto]]/tblPiNAnalysis[[#This Row],[Población]], "")</f>
        <v>0.22222698133950114</v>
      </c>
      <c r="AN56" s="15">
        <f>IFERROR(tblPiNAnalysis[[#This Row],[PiN más alto]]-tblPiNAnalysis[[#This Row],[3º PiN más alto]],"")</f>
        <v>26459.599999999999</v>
      </c>
      <c r="AO56" s="14">
        <f>IFERROR(tblPiNAnalysis[[#This Row],[Diferencia de PiN entre el más alto y el 3º más alto]]/tblPiNAnalysis[[#This Row],[3º PiN más alto]], "")</f>
        <v>1.6999421779633792</v>
      </c>
      <c r="AP56" s="96" t="str" cm="1">
        <f t="array" ref="AP5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56" s="84" cm="1">
        <f t="array" ref="AQ56">IFERROR(IF(tblPiNAnalysis[[#This Row],[ID]]="", "", INDEX(tblPiNHistorical[[SAMV]:[ASH]], MATCH(tblPiNAnalysis[[#This Row],[ID]],tblPiNHistorical[ID], 0),MATCH(_xlfn._xlws.FILTER(tblPiNAnalysis[[#Headers],[SAMV]:[ASH]], tblPiNAnalysis[[#This Row],[PiN más alto]]=tblPiNAnalysis[[#This Row],[SAMV]:[ASH]]), tblPiNHistorical[[#Headers],[SAMV]:[ASH]], 0))), "")</f>
        <v>-0.9</v>
      </c>
      <c r="AR56" s="99" t="str" cm="1">
        <f t="array" ref="AR5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56" s="74" cm="1">
        <f t="array" ref="AS56">IFERROR(IF(tblPiNAnalysis[[#This Row],[ID]]="", "", INDEX(tblPiNHistorical[[SAMV]:[ASH]], MATCH(tblPiNAnalysis[[#This Row],[ID]],tblPiNHistorical[ID], 0),MATCH(_xlfn._xlws.FILTER(tblPiNAnalysis[[#Headers],[SAMV]:[ASH]], tblPiNAnalysis[[#This Row],[2º PiN más alto]]=tblPiNAnalysis[[#This Row],[SAMV]:[ASH]]), tblPiNHistorical[[#Headers],[SAMV]:[ASH]], 0))), "")</f>
        <v>-0.7</v>
      </c>
      <c r="AT56" s="100" t="str" cm="1">
        <f t="array" ref="AT5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56" s="219">
        <f>INDEX(tblSeverityAnalysis[Severidad final], MATCH(tblPiNAnalysis[[#This Row],[ID]],tblSeverityAnalysis[ID], 0))</f>
        <v>3</v>
      </c>
      <c r="AV56" s="220">
        <f>IF(tblPiNAnalysis[[#This Row],[Severidad]]&gt;2,tblPiNAnalysis[[#This Row],[PiN más alto]],)</f>
        <v>42024.6</v>
      </c>
      <c r="AW56" s="54"/>
      <c r="AX56" s="55"/>
      <c r="AY56" s="56">
        <f>COUNTIFS(tblPiNAnalysis[[#This Row],[Número de PiN ausentes/cero superior al umbral - Calidad de los datos]:[Marcador manual]],"Flagged")</f>
        <v>2</v>
      </c>
      <c r="AZ56" s="34" t="str">
        <f>IF(tblPiNAnalysis[[#This Row],[Número de marcadores]]&gt;0, "Flagged", "")</f>
        <v>Flagged</v>
      </c>
      <c r="BA56" s="92">
        <f>tblPiNAnalysis[[#This Row],[PiN preliminar]]</f>
        <v>42024.6</v>
      </c>
      <c r="BB56" s="97"/>
      <c r="BC56" s="70">
        <f>IFERROR(IF(tblPiNAnalysis[[#This Row],[Severidad]]=3,tblPiNAnalysis[[#This Row],[PiN final]]*Umbrales!$D$33,tblPiNAnalysis[[#This Row],[PiN final]]*Umbrales!$D$34),)</f>
        <v>21012.3</v>
      </c>
      <c r="BD56" s="70">
        <f>IFERROR(IF(tblPiNAnalysis[[#This Row],[Severidad]]&gt;3,tblPiNAnalysis[[#This Row],[PiN final]]*Umbrales!$D$34,),)</f>
        <v>0</v>
      </c>
    </row>
    <row r="57" spans="1:56">
      <c r="A57" s="101" t="str">
        <f>IFERROR(_xlfn.CONCAT(IF(tblPiNAnalysis[[#This Row],[Grupo]]="", "",tblPiNAnalysis[[#This Row],[Grupo]] ),  _xlfn.IFS(tblPiNAnalysis[[#This Row],[Admin2PCODE]]&lt;&gt;"", tblPiNAnalysis[[#This Row],[Admin2PCODE]], tblPiNAnalysis[[#This Row],[Admin1PCODE]]&lt;&gt;"", tblPiNAnalysis[[#This Row],[Admin1PCODE]])),"")</f>
        <v>VenezolanosVE0702</v>
      </c>
      <c r="B57" s="105" t="s">
        <v>180</v>
      </c>
      <c r="C57" s="104" t="s">
        <v>239</v>
      </c>
      <c r="D57" s="119" t="s">
        <v>242</v>
      </c>
      <c r="E57" s="104" t="s">
        <v>243</v>
      </c>
      <c r="F57" s="358"/>
      <c r="G57" s="357">
        <v>68514</v>
      </c>
      <c r="H57" s="103" t="s">
        <v>102</v>
      </c>
      <c r="I57" s="60">
        <v>6471</v>
      </c>
      <c r="J57" s="134">
        <v>4003.4646790787765</v>
      </c>
      <c r="K57" s="57">
        <v>38500</v>
      </c>
      <c r="L57" s="87">
        <v>4618.1501085536829</v>
      </c>
      <c r="M57" s="87">
        <v>13680.668602157461</v>
      </c>
      <c r="N57" s="57">
        <v>41108.400000000001</v>
      </c>
      <c r="O57" s="57">
        <v>4377.8139526903869</v>
      </c>
      <c r="P57" s="57">
        <v>4788.2340107551108</v>
      </c>
      <c r="Q57" s="88">
        <f>IFERROR(IF(tblPiNAnalysis[[#This Row],[SAMV]]="", "", MROUND(tblPiNAnalysis[[#This Row],[SAMV]]/tblPiNAnalysis[[#This Row],[Población]], 0.05)), "")</f>
        <v>0.1</v>
      </c>
      <c r="R57" s="89">
        <f>IFERROR(IF(tblPiNAnalysis[[#This Row],[NUT]]="", "", MROUND(tblPiNAnalysis[[#This Row],[NUT]]/tblPiNAnalysis[[#This Row],[Población]], 0.05)), "")</f>
        <v>0.05</v>
      </c>
      <c r="S57" s="89">
        <f>IFERROR(IF(tblPiNAnalysis[[#This Row],[SAL]]="", "", MROUND(tblPiNAnalysis[[#This Row],[SAL]]/tblPiNAnalysis[[#This Row],[Población]], 0.05)), "")</f>
        <v>0.55000000000000004</v>
      </c>
      <c r="T57" s="89">
        <f>IFERROR(IF(tblPiNAnalysis[[#This Row],[EDU]]="", "", MROUND(tblPiNAnalysis[[#This Row],[EDU]]/tblPiNAnalysis[[#This Row],[Población]], 0.05)), "")</f>
        <v>0.05</v>
      </c>
      <c r="U57" s="89">
        <f>IFERROR(IF(tblPiNAnalysis[[#This Row],[PRO]]="", "", MROUND(tblPiNAnalysis[[#This Row],[PRO]]/tblPiNAnalysis[[#This Row],[Población]], 0.05)), "")</f>
        <v>0.2</v>
      </c>
      <c r="V57" s="90">
        <f>IFERROR(IF(tblPiNAnalysis[[#This Row],[ASH]]="", "", MROUND(tblPiNAnalysis[[#This Row],[ASH]]/tblPiNAnalysis[[#This Row],[Población]], 0.05)), "")</f>
        <v>0.60000000000000009</v>
      </c>
      <c r="W57" s="89">
        <f>IFERROR(MROUND(tblPiNAnalysis[[#This Row],[NNA]]/tblPiNAnalysis[[#This Row],[Población]], 0.05), "")</f>
        <v>0.05</v>
      </c>
      <c r="X57" s="89">
        <f>IFERROR(MROUND(tblPiNAnalysis[[#This Row],[VBG]]/tblPiNAnalysis[[#This Row],[Población]], 0.05), "")</f>
        <v>0.05</v>
      </c>
      <c r="Y57" s="91">
        <f>IFERROR(LARGE(tblPiNAnalysis[[#This Row],[SAMV]:[ASH]], 1), "")</f>
        <v>41108.400000000001</v>
      </c>
      <c r="Z57" s="92" t="str" cm="1">
        <f t="array" ref="Z57">IF(tblPiNAnalysis[[#This Row],[PiN más alto]]="", "", _xlfn.TEXTJOIN(CHAR(10), TRUE, IF(tblPiNAnalysis[[#This Row],[PiN más alto]]=tblPiNAnalysis[[#This Row],[SAMV]:[ASH]], tblPiNAnalysis[[#Headers],[SAMV]:[ASH]], "")))</f>
        <v>ASH</v>
      </c>
      <c r="AA57" s="93">
        <f>IF(tblPiNAnalysis[[#This Row],[PiN más alto]]="", "", tblPiNAnalysis[[#This Row],[PiN más alto]]/tblPiNAnalysis[[#This Row],[Población]])</f>
        <v>0.6</v>
      </c>
      <c r="AB57" s="94" t="str">
        <f>IF(SUM(tblPiNAnalysis[[#This Row],[SAMV]:[ASH]])=0, "",IF(COUNTIF(tblPiNAnalysis[[#This Row],[SAMV]:[ASH]],"=0")+COUNTIF(tblPiNAnalysis[[#This Row],[SAMV]:[ASH]],"")&gt;=zero_pin_thresh, "Flagged", ""))</f>
        <v/>
      </c>
      <c r="AC57" s="95" t="str">
        <f>IFERROR(IF(tblPiNAnalysis[[#This Row],[PiN más alto]]="", "", IF(tblPiNAnalysis[[#This Row],[% PiN Sectores más altos]]&gt;=flag_pin_perc, "Flagged", "")), "")</f>
        <v/>
      </c>
      <c r="AD57" s="96" t="str" cm="1">
        <f t="array" ref="AD57">IF(tblPiNAnalysis[[#This Row],[PiN más alto]]=0, "",  IF(OR(COUNTIF(tblPiNAnalysis[[#This Row],[Sectores más altos]],tblSubSectorPopulation[Sector])), "Flagged", ""))</f>
        <v/>
      </c>
      <c r="AE57" s="16" cm="1">
        <f t="array" ref="AE5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38500</v>
      </c>
      <c r="AF57" s="97" t="str" cm="1">
        <f t="array" ref="AF57">IF(tblPiNAnalysis[[#This Row],[2º PiN más alto]]="", "", _xlfn.TEXTJOIN(CHAR(10), TRUE, IF(tblPiNAnalysis[[#This Row],[2º PiN más alto]]=tblPiNAnalysis[[#This Row],[SAMV]:[ASH]], tblPiNAnalysis[[#Headers],[SAMV]:[ASH]], "")))</f>
        <v>SAL</v>
      </c>
      <c r="AG57" s="12">
        <f>IFERROR(tblPiNAnalysis[[#This Row],[2º PiN más alto]]/tblPiNAnalysis[[#This Row],[Población]], "")</f>
        <v>0.56192894882797673</v>
      </c>
      <c r="AH57" s="16">
        <f>IFERROR(tblPiNAnalysis[[#This Row],[PiN más alto]]-tblPiNAnalysis[[#This Row],[2º PiN más alto]], "")</f>
        <v>2608.4000000000015</v>
      </c>
      <c r="AI57" s="14">
        <f>IFERROR(((tblPiNAnalysis[[#This Row],[PiN más alto]]-tblPiNAnalysis[[#This Row],[2º PiN más alto]])/tblPiNAnalysis[[#This Row],[2º PiN más alto]]),"")</f>
        <v>6.7750649350649395E-2</v>
      </c>
      <c r="AJ57" s="14" t="str" cm="1">
        <f t="array" ref="AJ5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57" s="98" cm="1">
        <f t="array" ref="AK5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13680.668602157461</v>
      </c>
      <c r="AL57" s="53" t="str" cm="1">
        <f t="array" ref="AL57">IF(tblPiNAnalysis[[#This Row],[3º PiN más alto]]="", "", _xlfn.TEXTJOIN(CHAR(10), TRUE, IF(tblPiNAnalysis[[#This Row],[3º PiN más alto]]=tblPiNAnalysis[[#This Row],[SAMV]:[ASH]], tblPiNAnalysis[[#Headers],[SAMV]:[ASH]], "")))</f>
        <v>PRO</v>
      </c>
      <c r="AM57" s="53">
        <f>IFERROR(tblPiNAnalysis[[#This Row],[3º PiN más alto]]/tblPiNAnalysis[[#This Row],[Población]], "")</f>
        <v>0.19967697991881164</v>
      </c>
      <c r="AN57" s="15">
        <f>IFERROR(tblPiNAnalysis[[#This Row],[PiN más alto]]-tblPiNAnalysis[[#This Row],[3º PiN más alto]],"")</f>
        <v>27427.731397842541</v>
      </c>
      <c r="AO57" s="14">
        <f>IFERROR(tblPiNAnalysis[[#This Row],[Diferencia de PiN entre el más alto y el 3º más alto]]/tblPiNAnalysis[[#This Row],[3º PiN más alto]], "")</f>
        <v>2.004853139525443</v>
      </c>
      <c r="AP57" s="96" t="str" cm="1">
        <f t="array" ref="AP5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57" s="84" t="str" cm="1">
        <f t="array" ref="AQ57">IFERROR(IF(tblPiNAnalysis[[#This Row],[ID]]="", "", INDEX(tblPiNHistorical[[SAMV]:[ASH]], MATCH(tblPiNAnalysis[[#This Row],[ID]],tblPiNHistorical[ID], 0),MATCH(_xlfn._xlws.FILTER(tblPiNAnalysis[[#Headers],[SAMV]:[ASH]], tblPiNAnalysis[[#This Row],[PiN más alto]]=tblPiNAnalysis[[#This Row],[SAMV]:[ASH]]), tblPiNHistorical[[#Headers],[SAMV]:[ASH]], 0))), "")</f>
        <v>NoPIN26 33500</v>
      </c>
      <c r="AR57" s="99" t="str" cm="1">
        <f t="array" ref="AR5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57" s="74" cm="1">
        <f t="array" ref="AS57">IFERROR(IF(tblPiNAnalysis[[#This Row],[ID]]="", "", INDEX(tblPiNHistorical[[SAMV]:[ASH]], MATCH(tblPiNAnalysis[[#This Row],[ID]],tblPiNHistorical[ID], 0),MATCH(_xlfn._xlws.FILTER(tblPiNAnalysis[[#Headers],[SAMV]:[ASH]], tblPiNAnalysis[[#This Row],[2º PiN más alto]]=tblPiNAnalysis[[#This Row],[SAMV]:[ASH]]), tblPiNHistorical[[#Headers],[SAMV]:[ASH]], 0))), "")</f>
        <v>0.3</v>
      </c>
      <c r="AT57" s="100" t="str" cm="1">
        <f t="array" ref="AT5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57" s="219">
        <f>INDEX(tblSeverityAnalysis[Severidad final], MATCH(tblPiNAnalysis[[#This Row],[ID]],tblSeverityAnalysis[ID], 0))</f>
        <v>4</v>
      </c>
      <c r="AV57" s="220">
        <f>IF(tblPiNAnalysis[[#This Row],[Severidad]]&gt;2,tblPiNAnalysis[[#This Row],[PiN más alto]],)</f>
        <v>41108.400000000001</v>
      </c>
      <c r="AW57" s="54"/>
      <c r="AX57" s="55"/>
      <c r="AY57" s="56">
        <f>COUNTIFS(tblPiNAnalysis[[#This Row],[Número de PiN ausentes/cero superior al umbral - Calidad de los datos]:[Marcador manual]],"Flagged")</f>
        <v>1</v>
      </c>
      <c r="AZ57" s="34" t="str">
        <f>IF(tblPiNAnalysis[[#This Row],[Número de marcadores]]&gt;0, "Flagged", "")</f>
        <v>Flagged</v>
      </c>
      <c r="BA57" s="92">
        <f>tblPiNAnalysis[[#This Row],[PiN preliminar]]</f>
        <v>41108.400000000001</v>
      </c>
      <c r="BB57" s="97"/>
      <c r="BC57" s="70">
        <f>IFERROR(IF(tblPiNAnalysis[[#This Row],[Severidad]]=3,tblPiNAnalysis[[#This Row],[PiN final]]*Umbrales!$D$33,tblPiNAnalysis[[#This Row],[PiN final]]*Umbrales!$D$34),)</f>
        <v>41108.400000000001</v>
      </c>
      <c r="BD57" s="70">
        <f>IFERROR(IF(tblPiNAnalysis[[#This Row],[Severidad]]&gt;3,tblPiNAnalysis[[#This Row],[PiN final]]*Umbrales!$D$34,),)</f>
        <v>41108.400000000001</v>
      </c>
    </row>
    <row r="58" spans="1:56">
      <c r="A58" s="101" t="str">
        <f>IFERROR(_xlfn.CONCAT(IF(tblPiNAnalysis[[#This Row],[Grupo]]="", "",tblPiNAnalysis[[#This Row],[Grupo]] ),  _xlfn.IFS(tblPiNAnalysis[[#This Row],[Admin2PCODE]]&lt;&gt;"", tblPiNAnalysis[[#This Row],[Admin2PCODE]], tblPiNAnalysis[[#This Row],[Admin1PCODE]]&lt;&gt;"", tblPiNAnalysis[[#This Row],[Admin1PCODE]])),"")</f>
        <v>VenezolanosVE2315</v>
      </c>
      <c r="B58" s="105" t="s">
        <v>705</v>
      </c>
      <c r="C58" s="104" t="s">
        <v>706</v>
      </c>
      <c r="D58" s="119" t="s">
        <v>734</v>
      </c>
      <c r="E58" s="104" t="s">
        <v>735</v>
      </c>
      <c r="F58" s="358"/>
      <c r="G58" s="357">
        <v>67026</v>
      </c>
      <c r="H58" s="103" t="s">
        <v>102</v>
      </c>
      <c r="I58" s="60">
        <v>28723</v>
      </c>
      <c r="J58" s="134">
        <v>2943.3221117728585</v>
      </c>
      <c r="K58" s="57">
        <v>25600</v>
      </c>
      <c r="L58" s="87">
        <v>11444.747850492135</v>
      </c>
      <c r="M58" s="87">
        <v>15975.150918629586</v>
      </c>
      <c r="N58" s="57">
        <v>40215.599999999999</v>
      </c>
      <c r="O58" s="57">
        <v>5128.0234448800966</v>
      </c>
      <c r="P58" s="57">
        <v>5591.3028215203549</v>
      </c>
      <c r="Q58" s="88">
        <f>IFERROR(IF(tblPiNAnalysis[[#This Row],[SAMV]]="", "", MROUND(tblPiNAnalysis[[#This Row],[SAMV]]/tblPiNAnalysis[[#This Row],[Población]], 0.05)), "")</f>
        <v>0.45</v>
      </c>
      <c r="R58" s="89">
        <f>IFERROR(IF(tblPiNAnalysis[[#This Row],[NUT]]="", "", MROUND(tblPiNAnalysis[[#This Row],[NUT]]/tblPiNAnalysis[[#This Row],[Población]], 0.05)), "")</f>
        <v>0.05</v>
      </c>
      <c r="S58" s="89">
        <f>IFERROR(IF(tblPiNAnalysis[[#This Row],[SAL]]="", "", MROUND(tblPiNAnalysis[[#This Row],[SAL]]/tblPiNAnalysis[[#This Row],[Población]], 0.05)), "")</f>
        <v>0.4</v>
      </c>
      <c r="T58" s="89">
        <f>IFERROR(IF(tblPiNAnalysis[[#This Row],[EDU]]="", "", MROUND(tblPiNAnalysis[[#This Row],[EDU]]/tblPiNAnalysis[[#This Row],[Población]], 0.05)), "")</f>
        <v>0.15000000000000002</v>
      </c>
      <c r="U58" s="89">
        <f>IFERROR(IF(tblPiNAnalysis[[#This Row],[PRO]]="", "", MROUND(tblPiNAnalysis[[#This Row],[PRO]]/tblPiNAnalysis[[#This Row],[Población]], 0.05)), "")</f>
        <v>0.25</v>
      </c>
      <c r="V58" s="90">
        <f>IFERROR(IF(tblPiNAnalysis[[#This Row],[ASH]]="", "", MROUND(tblPiNAnalysis[[#This Row],[ASH]]/tblPiNAnalysis[[#This Row],[Población]], 0.05)), "")</f>
        <v>0.60000000000000009</v>
      </c>
      <c r="W58" s="89">
        <f>IFERROR(MROUND(tblPiNAnalysis[[#This Row],[NNA]]/tblPiNAnalysis[[#This Row],[Población]], 0.05), "")</f>
        <v>0.1</v>
      </c>
      <c r="X58" s="89">
        <f>IFERROR(MROUND(tblPiNAnalysis[[#This Row],[VBG]]/tblPiNAnalysis[[#This Row],[Población]], 0.05), "")</f>
        <v>0.1</v>
      </c>
      <c r="Y58" s="91">
        <f>IFERROR(LARGE(tblPiNAnalysis[[#This Row],[SAMV]:[ASH]], 1), "")</f>
        <v>40215.599999999999</v>
      </c>
      <c r="Z58" s="92" t="str" cm="1">
        <f t="array" ref="Z58">IF(tblPiNAnalysis[[#This Row],[PiN más alto]]="", "", _xlfn.TEXTJOIN(CHAR(10), TRUE, IF(tblPiNAnalysis[[#This Row],[PiN más alto]]=tblPiNAnalysis[[#This Row],[SAMV]:[ASH]], tblPiNAnalysis[[#Headers],[SAMV]:[ASH]], "")))</f>
        <v>ASH</v>
      </c>
      <c r="AA58" s="93">
        <f>IF(tblPiNAnalysis[[#This Row],[PiN más alto]]="", "", tblPiNAnalysis[[#This Row],[PiN más alto]]/tblPiNAnalysis[[#This Row],[Población]])</f>
        <v>0.6</v>
      </c>
      <c r="AB58" s="94" t="str">
        <f>IF(SUM(tblPiNAnalysis[[#This Row],[SAMV]:[ASH]])=0, "",IF(COUNTIF(tblPiNAnalysis[[#This Row],[SAMV]:[ASH]],"=0")+COUNTIF(tblPiNAnalysis[[#This Row],[SAMV]:[ASH]],"")&gt;=zero_pin_thresh, "Flagged", ""))</f>
        <v/>
      </c>
      <c r="AC58" s="95" t="str">
        <f>IFERROR(IF(tblPiNAnalysis[[#This Row],[PiN más alto]]="", "", IF(tblPiNAnalysis[[#This Row],[% PiN Sectores más altos]]&gt;=flag_pin_perc, "Flagged", "")), "")</f>
        <v/>
      </c>
      <c r="AD58" s="96" t="str" cm="1">
        <f t="array" ref="AD58">IF(tblPiNAnalysis[[#This Row],[PiN más alto]]=0, "",  IF(OR(COUNTIF(tblPiNAnalysis[[#This Row],[Sectores más altos]],tblSubSectorPopulation[Sector])), "Flagged", ""))</f>
        <v/>
      </c>
      <c r="AE58" s="16" cm="1">
        <f t="array" ref="AE5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28723</v>
      </c>
      <c r="AF58" s="97" t="str" cm="1">
        <f t="array" ref="AF58">IF(tblPiNAnalysis[[#This Row],[2º PiN más alto]]="", "", _xlfn.TEXTJOIN(CHAR(10), TRUE, IF(tblPiNAnalysis[[#This Row],[2º PiN más alto]]=tblPiNAnalysis[[#This Row],[SAMV]:[ASH]], tblPiNAnalysis[[#Headers],[SAMV]:[ASH]], "")))</f>
        <v>SAMV</v>
      </c>
      <c r="AG58" s="12">
        <f>IFERROR(tblPiNAnalysis[[#This Row],[2º PiN más alto]]/tblPiNAnalysis[[#This Row],[Población]], "")</f>
        <v>0.42853519529734729</v>
      </c>
      <c r="AH58" s="16">
        <f>IFERROR(tblPiNAnalysis[[#This Row],[PiN más alto]]-tblPiNAnalysis[[#This Row],[2º PiN más alto]], "")</f>
        <v>11492.599999999999</v>
      </c>
      <c r="AI58" s="14">
        <f>IFERROR(((tblPiNAnalysis[[#This Row],[PiN más alto]]-tblPiNAnalysis[[#This Row],[2º PiN más alto]])/tblPiNAnalysis[[#This Row],[2º PiN más alto]]),"")</f>
        <v>0.40011837203634715</v>
      </c>
      <c r="AJ58" s="14" t="str" cm="1">
        <f t="array" ref="AJ5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58" s="98" cm="1">
        <f t="array" ref="AK5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25600</v>
      </c>
      <c r="AL58" s="53" t="str" cm="1">
        <f t="array" ref="AL58">IF(tblPiNAnalysis[[#This Row],[3º PiN más alto]]="", "", _xlfn.TEXTJOIN(CHAR(10), TRUE, IF(tblPiNAnalysis[[#This Row],[3º PiN más alto]]=tblPiNAnalysis[[#This Row],[SAMV]:[ASH]], tblPiNAnalysis[[#Headers],[SAMV]:[ASH]], "")))</f>
        <v>SAL</v>
      </c>
      <c r="AM58" s="53">
        <f>IFERROR(tblPiNAnalysis[[#This Row],[3º PiN más alto]]/tblPiNAnalysis[[#This Row],[Población]], "")</f>
        <v>0.38194133619789333</v>
      </c>
      <c r="AN58" s="15">
        <f>IFERROR(tblPiNAnalysis[[#This Row],[PiN más alto]]-tblPiNAnalysis[[#This Row],[3º PiN más alto]],"")</f>
        <v>14615.599999999999</v>
      </c>
      <c r="AO58" s="14">
        <f>IFERROR(tblPiNAnalysis[[#This Row],[Diferencia de PiN entre el más alto y el 3º más alto]]/tblPiNAnalysis[[#This Row],[3º PiN más alto]], "")</f>
        <v>0.57092187499999991</v>
      </c>
      <c r="AP58" s="96" t="str" cm="1">
        <f t="array" ref="AP5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58" s="84" t="str" cm="1">
        <f t="array" ref="AQ58">IFERROR(IF(tblPiNAnalysis[[#This Row],[ID]]="", "", INDEX(tblPiNHistorical[[SAMV]:[ASH]], MATCH(tblPiNAnalysis[[#This Row],[ID]],tblPiNHistorical[ID], 0),MATCH(_xlfn._xlws.FILTER(tblPiNAnalysis[[#Headers],[SAMV]:[ASH]], tblPiNAnalysis[[#This Row],[PiN más alto]]=tblPiNAnalysis[[#This Row],[SAMV]:[ASH]]), tblPiNHistorical[[#Headers],[SAMV]:[ASH]], 0))), "")</f>
        <v>NoPIN26 39327</v>
      </c>
      <c r="AR58" s="99" t="str" cm="1">
        <f t="array" ref="AR5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58" s="74" cm="1">
        <f t="array" ref="AS58">IFERROR(IF(tblPiNAnalysis[[#This Row],[ID]]="", "", INDEX(tblPiNHistorical[[SAMV]:[ASH]], MATCH(tblPiNAnalysis[[#This Row],[ID]],tblPiNHistorical[ID], 0),MATCH(_xlfn._xlws.FILTER(tblPiNAnalysis[[#Headers],[SAMV]:[ASH]], tblPiNAnalysis[[#This Row],[2º PiN más alto]]=tblPiNAnalysis[[#This Row],[SAMV]:[ASH]]), tblPiNHistorical[[#Headers],[SAMV]:[ASH]], 0))), "")</f>
        <v>-0.6</v>
      </c>
      <c r="AT58" s="100" t="str" cm="1">
        <f t="array" ref="AT5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58" s="219">
        <f>INDEX(tblSeverityAnalysis[Severidad final], MATCH(tblPiNAnalysis[[#This Row],[ID]],tblSeverityAnalysis[ID], 0))</f>
        <v>4</v>
      </c>
      <c r="AV58" s="220">
        <f>IF(tblPiNAnalysis[[#This Row],[Severidad]]&gt;2,tblPiNAnalysis[[#This Row],[PiN más alto]],)</f>
        <v>40215.599999999999</v>
      </c>
      <c r="AW58" s="54"/>
      <c r="AX58" s="55"/>
      <c r="AY58" s="56">
        <f>COUNTIFS(tblPiNAnalysis[[#This Row],[Número de PiN ausentes/cero superior al umbral - Calidad de los datos]:[Marcador manual]],"Flagged")</f>
        <v>2</v>
      </c>
      <c r="AZ58" s="34" t="str">
        <f>IF(tblPiNAnalysis[[#This Row],[Número de marcadores]]&gt;0, "Flagged", "")</f>
        <v>Flagged</v>
      </c>
      <c r="BA58" s="92">
        <f>tblPiNAnalysis[[#This Row],[PiN preliminar]]</f>
        <v>40215.599999999999</v>
      </c>
      <c r="BB58" s="97"/>
      <c r="BC58" s="70">
        <f>IFERROR(IF(tblPiNAnalysis[[#This Row],[Severidad]]=3,tblPiNAnalysis[[#This Row],[PiN final]]*Umbrales!$D$33,tblPiNAnalysis[[#This Row],[PiN final]]*Umbrales!$D$34),)</f>
        <v>40215.599999999999</v>
      </c>
      <c r="BD58" s="70">
        <f>IFERROR(IF(tblPiNAnalysis[[#This Row],[Severidad]]&gt;3,tblPiNAnalysis[[#This Row],[PiN final]]*Umbrales!$D$34,),)</f>
        <v>40215.599999999999</v>
      </c>
    </row>
    <row r="59" spans="1:56">
      <c r="A59" s="101" t="str">
        <f>IFERROR(_xlfn.CONCAT(IF(tblPiNAnalysis[[#This Row],[Grupo]]="", "",tblPiNAnalysis[[#This Row],[Grupo]] ),  _xlfn.IFS(tblPiNAnalysis[[#This Row],[Admin2PCODE]]&lt;&gt;"", tblPiNAnalysis[[#This Row],[Admin2PCODE]], tblPiNAnalysis[[#This Row],[Admin1PCODE]]&lt;&gt;"", tblPiNAnalysis[[#This Row],[Admin1PCODE]])),"")</f>
        <v>VenezolanosVE2316</v>
      </c>
      <c r="B59" s="105" t="s">
        <v>705</v>
      </c>
      <c r="C59" s="104" t="s">
        <v>706</v>
      </c>
      <c r="D59" s="119" t="s">
        <v>809</v>
      </c>
      <c r="E59" s="104" t="s">
        <v>737</v>
      </c>
      <c r="F59" s="358"/>
      <c r="G59" s="357">
        <v>86923</v>
      </c>
      <c r="H59" s="103" t="s">
        <v>102</v>
      </c>
      <c r="I59" s="60">
        <v>27117</v>
      </c>
      <c r="J59" s="134">
        <v>5305.9819661901165</v>
      </c>
      <c r="K59" s="57">
        <v>31726.895</v>
      </c>
      <c r="L59" s="87">
        <v>11214.09236011016</v>
      </c>
      <c r="M59" s="87">
        <v>20717.453574732779</v>
      </c>
      <c r="N59" s="57">
        <v>39115.35</v>
      </c>
      <c r="O59" s="57">
        <v>6650.3025974892225</v>
      </c>
      <c r="P59" s="57">
        <v>7251.108751156472</v>
      </c>
      <c r="Q59" s="88">
        <f>IFERROR(IF(tblPiNAnalysis[[#This Row],[SAMV]]="", "", MROUND(tblPiNAnalysis[[#This Row],[SAMV]]/tblPiNAnalysis[[#This Row],[Población]], 0.05)), "")</f>
        <v>0.30000000000000004</v>
      </c>
      <c r="R59" s="89">
        <f>IFERROR(IF(tblPiNAnalysis[[#This Row],[NUT]]="", "", MROUND(tblPiNAnalysis[[#This Row],[NUT]]/tblPiNAnalysis[[#This Row],[Población]], 0.05)), "")</f>
        <v>0.05</v>
      </c>
      <c r="S59" s="89">
        <f>IFERROR(IF(tblPiNAnalysis[[#This Row],[SAL]]="", "", MROUND(tblPiNAnalysis[[#This Row],[SAL]]/tblPiNAnalysis[[#This Row],[Población]], 0.05)), "")</f>
        <v>0.35000000000000003</v>
      </c>
      <c r="T59" s="89">
        <f>IFERROR(IF(tblPiNAnalysis[[#This Row],[EDU]]="", "", MROUND(tblPiNAnalysis[[#This Row],[EDU]]/tblPiNAnalysis[[#This Row],[Población]], 0.05)), "")</f>
        <v>0.15000000000000002</v>
      </c>
      <c r="U59" s="89">
        <f>IFERROR(IF(tblPiNAnalysis[[#This Row],[PRO]]="", "", MROUND(tblPiNAnalysis[[#This Row],[PRO]]/tblPiNAnalysis[[#This Row],[Población]], 0.05)), "")</f>
        <v>0.25</v>
      </c>
      <c r="V59" s="90">
        <f>IFERROR(IF(tblPiNAnalysis[[#This Row],[ASH]]="", "", MROUND(tblPiNAnalysis[[#This Row],[ASH]]/tblPiNAnalysis[[#This Row],[Población]], 0.05)), "")</f>
        <v>0.45</v>
      </c>
      <c r="W59" s="89">
        <f>IFERROR(MROUND(tblPiNAnalysis[[#This Row],[NNA]]/tblPiNAnalysis[[#This Row],[Población]], 0.05), "")</f>
        <v>0.1</v>
      </c>
      <c r="X59" s="89">
        <f>IFERROR(MROUND(tblPiNAnalysis[[#This Row],[VBG]]/tblPiNAnalysis[[#This Row],[Población]], 0.05), "")</f>
        <v>0.1</v>
      </c>
      <c r="Y59" s="91">
        <f>IFERROR(LARGE(tblPiNAnalysis[[#This Row],[SAMV]:[ASH]], 1), "")</f>
        <v>39115.35</v>
      </c>
      <c r="Z59" s="92" t="str" cm="1">
        <f t="array" ref="Z59">IF(tblPiNAnalysis[[#This Row],[PiN más alto]]="", "", _xlfn.TEXTJOIN(CHAR(10), TRUE, IF(tblPiNAnalysis[[#This Row],[PiN más alto]]=tblPiNAnalysis[[#This Row],[SAMV]:[ASH]], tblPiNAnalysis[[#Headers],[SAMV]:[ASH]], "")))</f>
        <v>ASH</v>
      </c>
      <c r="AA59" s="93">
        <f>IF(tblPiNAnalysis[[#This Row],[PiN más alto]]="", "", tblPiNAnalysis[[#This Row],[PiN más alto]]/tblPiNAnalysis[[#This Row],[Población]])</f>
        <v>0.44999999999999996</v>
      </c>
      <c r="AB59" s="94" t="str">
        <f>IF(SUM(tblPiNAnalysis[[#This Row],[SAMV]:[ASH]])=0, "",IF(COUNTIF(tblPiNAnalysis[[#This Row],[SAMV]:[ASH]],"=0")+COUNTIF(tblPiNAnalysis[[#This Row],[SAMV]:[ASH]],"")&gt;=zero_pin_thresh, "Flagged", ""))</f>
        <v/>
      </c>
      <c r="AC59" s="95" t="str">
        <f>IFERROR(IF(tblPiNAnalysis[[#This Row],[PiN más alto]]="", "", IF(tblPiNAnalysis[[#This Row],[% PiN Sectores más altos]]&gt;=flag_pin_perc, "Flagged", "")), "")</f>
        <v/>
      </c>
      <c r="AD59" s="96" t="str" cm="1">
        <f t="array" ref="AD59">IF(tblPiNAnalysis[[#This Row],[PiN más alto]]=0, "",  IF(OR(COUNTIF(tblPiNAnalysis[[#This Row],[Sectores más altos]],tblSubSectorPopulation[Sector])), "Flagged", ""))</f>
        <v/>
      </c>
      <c r="AE59" s="16" cm="1">
        <f t="array" ref="AE5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31726.895</v>
      </c>
      <c r="AF59" s="97" t="str" cm="1">
        <f t="array" ref="AF59">IF(tblPiNAnalysis[[#This Row],[2º PiN más alto]]="", "", _xlfn.TEXTJOIN(CHAR(10), TRUE, IF(tblPiNAnalysis[[#This Row],[2º PiN más alto]]=tblPiNAnalysis[[#This Row],[SAMV]:[ASH]], tblPiNAnalysis[[#Headers],[SAMV]:[ASH]], "")))</f>
        <v>SAL</v>
      </c>
      <c r="AG59" s="12">
        <f>IFERROR(tblPiNAnalysis[[#This Row],[2º PiN más alto]]/tblPiNAnalysis[[#This Row],[Población]], "")</f>
        <v>0.36499999999999999</v>
      </c>
      <c r="AH59" s="16">
        <f>IFERROR(tblPiNAnalysis[[#This Row],[PiN más alto]]-tblPiNAnalysis[[#This Row],[2º PiN más alto]], "")</f>
        <v>7388.4549999999981</v>
      </c>
      <c r="AI59" s="14">
        <f>IFERROR(((tblPiNAnalysis[[#This Row],[PiN más alto]]-tblPiNAnalysis[[#This Row],[2º PiN más alto]])/tblPiNAnalysis[[#This Row],[2º PiN más alto]]),"")</f>
        <v>0.23287671232876705</v>
      </c>
      <c r="AJ59" s="14" t="str" cm="1">
        <f t="array" ref="AJ5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59" s="98" cm="1">
        <f t="array" ref="AK5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27117</v>
      </c>
      <c r="AL59" s="53" t="str" cm="1">
        <f t="array" ref="AL59">IF(tblPiNAnalysis[[#This Row],[3º PiN más alto]]="", "", _xlfn.TEXTJOIN(CHAR(10), TRUE, IF(tblPiNAnalysis[[#This Row],[3º PiN más alto]]=tblPiNAnalysis[[#This Row],[SAMV]:[ASH]], tblPiNAnalysis[[#Headers],[SAMV]:[ASH]], "")))</f>
        <v>SAMV</v>
      </c>
      <c r="AM59" s="53">
        <f>IFERROR(tblPiNAnalysis[[#This Row],[3º PiN más alto]]/tblPiNAnalysis[[#This Row],[Población]], "")</f>
        <v>0.31196576280156002</v>
      </c>
      <c r="AN59" s="15">
        <f>IFERROR(tblPiNAnalysis[[#This Row],[PiN más alto]]-tblPiNAnalysis[[#This Row],[3º PiN más alto]],"")</f>
        <v>11998.349999999999</v>
      </c>
      <c r="AO59" s="14">
        <f>IFERROR(tblPiNAnalysis[[#This Row],[Diferencia de PiN entre el más alto y el 3º más alto]]/tblPiNAnalysis[[#This Row],[3º PiN más alto]], "")</f>
        <v>0.44246598075008292</v>
      </c>
      <c r="AP59" s="96" t="str" cm="1">
        <f t="array" ref="AP5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
      </c>
      <c r="AQ59" s="84" t="str" cm="1">
        <f t="array" ref="AQ59">IFERROR(IF(tblPiNAnalysis[[#This Row],[ID]]="", "", INDEX(tblPiNHistorical[[SAMV]:[ASH]], MATCH(tblPiNAnalysis[[#This Row],[ID]],tblPiNHistorical[ID], 0),MATCH(_xlfn._xlws.FILTER(tblPiNAnalysis[[#Headers],[SAMV]:[ASH]], tblPiNAnalysis[[#This Row],[PiN más alto]]=tblPiNAnalysis[[#This Row],[SAMV]:[ASH]]), tblPiNHistorical[[#Headers],[SAMV]:[ASH]], 0))), "")</f>
        <v>NoPIN26 42503</v>
      </c>
      <c r="AR59" s="99" t="str" cm="1">
        <f t="array" ref="AR5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59" s="74" cm="1">
        <f t="array" ref="AS59">IFERROR(IF(tblPiNAnalysis[[#This Row],[ID]]="", "", INDEX(tblPiNHistorical[[SAMV]:[ASH]], MATCH(tblPiNAnalysis[[#This Row],[ID]],tblPiNHistorical[ID], 0),MATCH(_xlfn._xlws.FILTER(tblPiNAnalysis[[#Headers],[SAMV]:[ASH]], tblPiNAnalysis[[#This Row],[2º PiN más alto]]=tblPiNAnalysis[[#This Row],[SAMV]:[ASH]]), tblPiNHistorical[[#Headers],[SAMV]:[ASH]], 0))), "")</f>
        <v>-0.5</v>
      </c>
      <c r="AT59" s="100" t="str" cm="1">
        <f t="array" ref="AT5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59" s="219">
        <f>INDEX(tblSeverityAnalysis[Severidad final], MATCH(tblPiNAnalysis[[#This Row],[ID]],tblSeverityAnalysis[ID], 0))</f>
        <v>4</v>
      </c>
      <c r="AV59" s="220">
        <f>IF(tblPiNAnalysis[[#This Row],[Severidad]]&gt;2,tblPiNAnalysis[[#This Row],[PiN más alto]],)</f>
        <v>39115.35</v>
      </c>
      <c r="AW59" s="54"/>
      <c r="AX59" s="55"/>
      <c r="AY59" s="56">
        <f>COUNTIFS(tblPiNAnalysis[[#This Row],[Número de PiN ausentes/cero superior al umbral - Calidad de los datos]:[Marcador manual]],"Flagged")</f>
        <v>0</v>
      </c>
      <c r="AZ59" s="34" t="str">
        <f>IF(tblPiNAnalysis[[#This Row],[Número de marcadores]]&gt;0, "Flagged", "")</f>
        <v/>
      </c>
      <c r="BA59" s="92">
        <f>tblPiNAnalysis[[#This Row],[PiN preliminar]]</f>
        <v>39115.35</v>
      </c>
      <c r="BB59" s="97"/>
      <c r="BC59" s="70">
        <f>IFERROR(IF(tblPiNAnalysis[[#This Row],[Severidad]]=3,tblPiNAnalysis[[#This Row],[PiN final]]*Umbrales!$D$33,tblPiNAnalysis[[#This Row],[PiN final]]*Umbrales!$D$34),)</f>
        <v>39115.35</v>
      </c>
      <c r="BD59" s="70">
        <f>IFERROR(IF(tblPiNAnalysis[[#This Row],[Severidad]]&gt;3,tblPiNAnalysis[[#This Row],[PiN final]]*Umbrales!$D$34,),)</f>
        <v>39115.35</v>
      </c>
    </row>
    <row r="60" spans="1:56">
      <c r="A60" s="101" t="str">
        <f>IFERROR(_xlfn.CONCAT(IF(tblPiNAnalysis[[#This Row],[Grupo]]="", "",tblPiNAnalysis[[#This Row],[Grupo]] ),  _xlfn.IFS(tblPiNAnalysis[[#This Row],[Admin2PCODE]]&lt;&gt;"", tblPiNAnalysis[[#This Row],[Admin2PCODE]], tblPiNAnalysis[[#This Row],[Admin1PCODE]]&lt;&gt;"", tblPiNAnalysis[[#This Row],[Admin1PCODE]])),"")</f>
        <v>VenezolanosVE0203</v>
      </c>
      <c r="B60" s="101" t="s">
        <v>103</v>
      </c>
      <c r="C60" s="104" t="s">
        <v>104</v>
      </c>
      <c r="D60" s="129" t="s">
        <v>109</v>
      </c>
      <c r="E60" s="104" t="s">
        <v>110</v>
      </c>
      <c r="F60" s="358"/>
      <c r="G60" s="357">
        <v>106577</v>
      </c>
      <c r="H60" s="103" t="s">
        <v>102</v>
      </c>
      <c r="I60" s="60">
        <v>9117</v>
      </c>
      <c r="J60" s="134">
        <v>5153.499637808698</v>
      </c>
      <c r="K60" s="57">
        <v>38900.605000000003</v>
      </c>
      <c r="L60" s="57">
        <v>27513.797680685166</v>
      </c>
      <c r="M60" s="57">
        <v>25498.887203142003</v>
      </c>
      <c r="N60" s="57">
        <v>14387.895</v>
      </c>
      <c r="O60" s="57">
        <v>8159.6439050054414</v>
      </c>
      <c r="P60" s="57">
        <v>8924.6105210997011</v>
      </c>
      <c r="Q60" s="61">
        <f>IFERROR(IF(tblPiNAnalysis[[#This Row],[SAMV]]="", "", MROUND(tblPiNAnalysis[[#This Row],[SAMV]]/tblPiNAnalysis[[#This Row],[Población]], 0.05)), "")</f>
        <v>0.1</v>
      </c>
      <c r="R60" s="62">
        <f>IFERROR(IF(tblPiNAnalysis[[#This Row],[NUT]]="", "", MROUND(tblPiNAnalysis[[#This Row],[NUT]]/tblPiNAnalysis[[#This Row],[Población]], 0.05)), "")</f>
        <v>0.05</v>
      </c>
      <c r="S60" s="62">
        <f>IFERROR(IF(tblPiNAnalysis[[#This Row],[SAL]]="", "", MROUND(tblPiNAnalysis[[#This Row],[SAL]]/tblPiNAnalysis[[#This Row],[Población]], 0.05)), "")</f>
        <v>0.35000000000000003</v>
      </c>
      <c r="T60" s="62">
        <f>IFERROR(IF(tblPiNAnalysis[[#This Row],[EDU]]="", "", MROUND(tblPiNAnalysis[[#This Row],[EDU]]/tblPiNAnalysis[[#This Row],[Población]], 0.05)), "")</f>
        <v>0.25</v>
      </c>
      <c r="U60" s="62">
        <f>IFERROR(IF(tblPiNAnalysis[[#This Row],[PRO]]="", "", MROUND(tblPiNAnalysis[[#This Row],[PRO]]/tblPiNAnalysis[[#This Row],[Población]], 0.05)), "")</f>
        <v>0.25</v>
      </c>
      <c r="V60" s="63">
        <f>IFERROR(IF(tblPiNAnalysis[[#This Row],[ASH]]="", "", MROUND(tblPiNAnalysis[[#This Row],[ASH]]/tblPiNAnalysis[[#This Row],[Población]], 0.05)), "")</f>
        <v>0.15000000000000002</v>
      </c>
      <c r="W60" s="62">
        <f>IFERROR(MROUND(tblPiNAnalysis[[#This Row],[NNA]]/tblPiNAnalysis[[#This Row],[Población]], 0.05), "")</f>
        <v>0.1</v>
      </c>
      <c r="X60" s="62">
        <f>IFERROR(MROUND(tblPiNAnalysis[[#This Row],[VBG]]/tblPiNAnalysis[[#This Row],[Población]], 0.05), "")</f>
        <v>0.1</v>
      </c>
      <c r="Y60" s="64">
        <f>IFERROR(LARGE(tblPiNAnalysis[[#This Row],[SAMV]:[ASH]], 1), "")</f>
        <v>38900.605000000003</v>
      </c>
      <c r="Z60" s="65" t="str" cm="1">
        <f t="array" ref="Z60">IF(tblPiNAnalysis[[#This Row],[PiN más alto]]="", "", _xlfn.TEXTJOIN(CHAR(10), TRUE, IF(tblPiNAnalysis[[#This Row],[PiN más alto]]=tblPiNAnalysis[[#This Row],[SAMV]:[ASH]], tblPiNAnalysis[[#Headers],[SAMV]:[ASH]], "")))</f>
        <v>SAL</v>
      </c>
      <c r="AA60" s="66">
        <f>IF(tblPiNAnalysis[[#This Row],[PiN más alto]]="", "", tblPiNAnalysis[[#This Row],[PiN más alto]]/tblPiNAnalysis[[#This Row],[Población]])</f>
        <v>0.36500000000000005</v>
      </c>
      <c r="AB60" s="67" t="str">
        <f>IF(SUM(tblPiNAnalysis[[#This Row],[SAMV]:[ASH]])=0, "",IF(COUNTIF(tblPiNAnalysis[[#This Row],[SAMV]:[ASH]],"=0")+COUNTIF(tblPiNAnalysis[[#This Row],[SAMV]:[ASH]],"")&gt;=zero_pin_thresh, "Flagged", ""))</f>
        <v/>
      </c>
      <c r="AC60" s="66" t="str">
        <f>IFERROR(IF(tblPiNAnalysis[[#This Row],[PiN más alto]]="", "", IF(tblPiNAnalysis[[#This Row],[% PiN Sectores más altos]]&gt;=flag_pin_perc, "Flagged", "")), "")</f>
        <v/>
      </c>
      <c r="AD60" s="68" t="str" cm="1">
        <f t="array" ref="AD60">IF(tblPiNAnalysis[[#This Row],[PiN más alto]]=0, "",  IF(OR(COUNTIF(tblPiNAnalysis[[#This Row],[Sectores más altos]],tblSubSectorPopulation[Sector])), "Flagged", ""))</f>
        <v/>
      </c>
      <c r="AE60" s="69" cm="1">
        <f t="array" ref="AE6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27513.797680685166</v>
      </c>
      <c r="AF60" s="70" t="str" cm="1">
        <f t="array" ref="AF60">IF(tblPiNAnalysis[[#This Row],[2º PiN más alto]]="", "", _xlfn.TEXTJOIN(CHAR(10), TRUE, IF(tblPiNAnalysis[[#This Row],[2º PiN más alto]]=tblPiNAnalysis[[#This Row],[SAMV]:[ASH]], tblPiNAnalysis[[#Headers],[SAMV]:[ASH]], "")))</f>
        <v>EDU</v>
      </c>
      <c r="AG60" s="13">
        <f>IFERROR(tblPiNAnalysis[[#This Row],[2º PiN más alto]]/tblPiNAnalysis[[#This Row],[Población]], "")</f>
        <v>0.25815886805488208</v>
      </c>
      <c r="AH60" s="16">
        <f>IFERROR(tblPiNAnalysis[[#This Row],[PiN más alto]]-tblPiNAnalysis[[#This Row],[2º PiN más alto]], "")</f>
        <v>11386.807319314838</v>
      </c>
      <c r="AI60" s="14">
        <f>IFERROR(((tblPiNAnalysis[[#This Row],[PiN más alto]]-tblPiNAnalysis[[#This Row],[2º PiN más alto]])/tblPiNAnalysis[[#This Row],[2º PiN más alto]]),"")</f>
        <v>0.41385807410034264</v>
      </c>
      <c r="AJ60" s="71" t="str" cm="1">
        <f t="array" ref="AJ6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60" s="72" cm="1">
        <f t="array" ref="AK6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25498.887203142003</v>
      </c>
      <c r="AL60" s="73" t="str" cm="1">
        <f t="array" ref="AL60">IF(tblPiNAnalysis[[#This Row],[3º PiN más alto]]="", "", _xlfn.TEXTJOIN(CHAR(10), TRUE, IF(tblPiNAnalysis[[#This Row],[3º PiN más alto]]=tblPiNAnalysis[[#This Row],[SAMV]:[ASH]], tblPiNAnalysis[[#Headers],[SAMV]:[ASH]], "")))</f>
        <v>PRO</v>
      </c>
      <c r="AM60" s="53">
        <f>IFERROR(tblPiNAnalysis[[#This Row],[3º PiN más alto]]/tblPiNAnalysis[[#This Row],[Población]], "")</f>
        <v>0.23925318974208323</v>
      </c>
      <c r="AN60" s="15">
        <f>IFERROR(tblPiNAnalysis[[#This Row],[PiN más alto]]-tblPiNAnalysis[[#This Row],[3º PiN más alto]],"")</f>
        <v>13401.717796858</v>
      </c>
      <c r="AO60" s="14">
        <f>IFERROR(tblPiNAnalysis[[#This Row],[Diferencia de PiN entre el más alto y el 3º más alto]]/tblPiNAnalysis[[#This Row],[3º PiN más alto]], "")</f>
        <v>0.52558049651698624</v>
      </c>
      <c r="AP60" s="68" t="str" cm="1">
        <f t="array" ref="AP6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60" s="84" cm="1">
        <f t="array" ref="AQ60">IFERROR(IF(tblPiNAnalysis[[#This Row],[ID]]="", "", INDEX(tblPiNHistorical[[SAMV]:[ASH]], MATCH(tblPiNAnalysis[[#This Row],[ID]],tblPiNHistorical[ID], 0),MATCH(_xlfn._xlws.FILTER(tblPiNAnalysis[[#Headers],[SAMV]:[ASH]], tblPiNAnalysis[[#This Row],[PiN más alto]]=tblPiNAnalysis[[#This Row],[SAMV]:[ASH]]), tblPiNHistorical[[#Headers],[SAMV]:[ASH]], 0))), "")</f>
        <v>12.7</v>
      </c>
      <c r="AR60" s="74" t="str" cm="1">
        <f t="array" ref="AR6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60" s="74" cm="1">
        <f t="array" ref="AS60">IFERROR(IF(tblPiNAnalysis[[#This Row],[ID]]="", "", INDEX(tblPiNHistorical[[SAMV]:[ASH]], MATCH(tblPiNAnalysis[[#This Row],[ID]],tblPiNHistorical[ID], 0),MATCH(_xlfn._xlws.FILTER(tblPiNAnalysis[[#Headers],[SAMV]:[ASH]], tblPiNAnalysis[[#This Row],[2º PiN más alto]]=tblPiNAnalysis[[#This Row],[SAMV]:[ASH]]), tblPiNHistorical[[#Headers],[SAMV]:[ASH]], 0))), "")</f>
        <v>9.6999999999999993</v>
      </c>
      <c r="AT60" s="75" t="str" cm="1">
        <f t="array" ref="AT6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60" s="219">
        <f>INDEX(tblSeverityAnalysis[Severidad final], MATCH(tblPiNAnalysis[[#This Row],[ID]],tblSeverityAnalysis[ID], 0))</f>
        <v>3</v>
      </c>
      <c r="AV60" s="220">
        <f>IF(tblPiNAnalysis[[#This Row],[Severidad]]&gt;2,tblPiNAnalysis[[#This Row],[PiN más alto]],)</f>
        <v>38900.605000000003</v>
      </c>
      <c r="AW60" s="54"/>
      <c r="AX60" s="55"/>
      <c r="AY60" s="56">
        <f>COUNTIFS(tblPiNAnalysis[[#This Row],[Número de PiN ausentes/cero superior al umbral - Calidad de los datos]:[Marcador manual]],"Flagged")</f>
        <v>4</v>
      </c>
      <c r="AZ60" s="428" t="str">
        <f>IF(tblPiNAnalysis[[#This Row],[Número de marcadores]]&gt;0, "Flagged", "")</f>
        <v>Flagged</v>
      </c>
      <c r="BA60" s="65">
        <f>tblPiNAnalysis[[#This Row],[PiN preliminar]]</f>
        <v>38900.605000000003</v>
      </c>
      <c r="BB60" s="70"/>
      <c r="BC60" s="70">
        <f>IFERROR(IF(tblPiNAnalysis[[#This Row],[Severidad]]=3,tblPiNAnalysis[[#This Row],[PiN final]]*Umbrales!$D$33,tblPiNAnalysis[[#This Row],[PiN final]]*Umbrales!$D$34),)</f>
        <v>19450.302500000002</v>
      </c>
      <c r="BD60" s="70">
        <f>IFERROR(IF(tblPiNAnalysis[[#This Row],[Severidad]]&gt;3,tblPiNAnalysis[[#This Row],[PiN final]]*Umbrales!$D$34,),)</f>
        <v>0</v>
      </c>
    </row>
    <row r="61" spans="1:56">
      <c r="A61" s="101" t="str">
        <f>IFERROR(_xlfn.CONCAT(IF(tblPiNAnalysis[[#This Row],[Grupo]]="", "",tblPiNAnalysis[[#This Row],[Grupo]] ),  _xlfn.IFS(tblPiNAnalysis[[#This Row],[Admin2PCODE]]&lt;&gt;"", tblPiNAnalysis[[#This Row],[Admin2PCODE]], tblPiNAnalysis[[#This Row],[Admin1PCODE]]&lt;&gt;"", tblPiNAnalysis[[#This Row],[Admin1PCODE]])),"")</f>
        <v>VenezolanosVE0709</v>
      </c>
      <c r="B61" s="105" t="s">
        <v>180</v>
      </c>
      <c r="C61" s="104" t="s">
        <v>239</v>
      </c>
      <c r="D61" s="119" t="s">
        <v>256</v>
      </c>
      <c r="E61" s="104" t="s">
        <v>257</v>
      </c>
      <c r="F61" s="358"/>
      <c r="G61" s="357">
        <v>51214</v>
      </c>
      <c r="H61" s="103" t="s">
        <v>102</v>
      </c>
      <c r="I61" s="60">
        <v>8130</v>
      </c>
      <c r="J61" s="134">
        <v>2832.2792786890295</v>
      </c>
      <c r="K61" s="57">
        <v>38767</v>
      </c>
      <c r="L61" s="87">
        <v>11016.833570855109</v>
      </c>
      <c r="M61" s="87">
        <v>12271.508219474423</v>
      </c>
      <c r="N61" s="57">
        <v>30728.399999999998</v>
      </c>
      <c r="O61" s="57">
        <v>3926.8826302318153</v>
      </c>
      <c r="P61" s="57">
        <v>4295.0278768160479</v>
      </c>
      <c r="Q61" s="88">
        <f>IFERROR(IF(tblPiNAnalysis[[#This Row],[SAMV]]="", "", MROUND(tblPiNAnalysis[[#This Row],[SAMV]]/tblPiNAnalysis[[#This Row],[Población]], 0.05)), "")</f>
        <v>0.15000000000000002</v>
      </c>
      <c r="R61" s="89">
        <f>IFERROR(IF(tblPiNAnalysis[[#This Row],[NUT]]="", "", MROUND(tblPiNAnalysis[[#This Row],[NUT]]/tblPiNAnalysis[[#This Row],[Población]], 0.05)), "")</f>
        <v>0.05</v>
      </c>
      <c r="S61" s="89">
        <f>IFERROR(IF(tblPiNAnalysis[[#This Row],[SAL]]="", "", MROUND(tblPiNAnalysis[[#This Row],[SAL]]/tblPiNAnalysis[[#This Row],[Población]], 0.05)), "")</f>
        <v>0.75</v>
      </c>
      <c r="T61" s="89">
        <f>IFERROR(IF(tblPiNAnalysis[[#This Row],[EDU]]="", "", MROUND(tblPiNAnalysis[[#This Row],[EDU]]/tblPiNAnalysis[[#This Row],[Población]], 0.05)), "")</f>
        <v>0.2</v>
      </c>
      <c r="U61" s="89">
        <f>IFERROR(IF(tblPiNAnalysis[[#This Row],[PRO]]="", "", MROUND(tblPiNAnalysis[[#This Row],[PRO]]/tblPiNAnalysis[[#This Row],[Población]], 0.05)), "")</f>
        <v>0.25</v>
      </c>
      <c r="V61" s="90">
        <f>IFERROR(IF(tblPiNAnalysis[[#This Row],[ASH]]="", "", MROUND(tblPiNAnalysis[[#This Row],[ASH]]/tblPiNAnalysis[[#This Row],[Población]], 0.05)), "")</f>
        <v>0.60000000000000009</v>
      </c>
      <c r="W61" s="89">
        <f>IFERROR(MROUND(tblPiNAnalysis[[#This Row],[NNA]]/tblPiNAnalysis[[#This Row],[Población]], 0.05), "")</f>
        <v>0.1</v>
      </c>
      <c r="X61" s="89">
        <f>IFERROR(MROUND(tblPiNAnalysis[[#This Row],[VBG]]/tblPiNAnalysis[[#This Row],[Población]], 0.05), "")</f>
        <v>0.1</v>
      </c>
      <c r="Y61" s="91">
        <f>IFERROR(LARGE(tblPiNAnalysis[[#This Row],[SAMV]:[ASH]], 1), "")</f>
        <v>38767</v>
      </c>
      <c r="Z61" s="92" t="str" cm="1">
        <f t="array" ref="Z61">IF(tblPiNAnalysis[[#This Row],[PiN más alto]]="", "", _xlfn.TEXTJOIN(CHAR(10), TRUE, IF(tblPiNAnalysis[[#This Row],[PiN más alto]]=tblPiNAnalysis[[#This Row],[SAMV]:[ASH]], tblPiNAnalysis[[#Headers],[SAMV]:[ASH]], "")))</f>
        <v>SAL</v>
      </c>
      <c r="AA61" s="93">
        <f>IF(tblPiNAnalysis[[#This Row],[PiN más alto]]="", "", tblPiNAnalysis[[#This Row],[PiN más alto]]/tblPiNAnalysis[[#This Row],[Población]])</f>
        <v>0.75696098723005423</v>
      </c>
      <c r="AB61" s="94" t="str">
        <f>IF(SUM(tblPiNAnalysis[[#This Row],[SAMV]:[ASH]])=0, "",IF(COUNTIF(tblPiNAnalysis[[#This Row],[SAMV]:[ASH]],"=0")+COUNTIF(tblPiNAnalysis[[#This Row],[SAMV]:[ASH]],"")&gt;=zero_pin_thresh, "Flagged", ""))</f>
        <v/>
      </c>
      <c r="AC61" s="95" t="str">
        <f>IFERROR(IF(tblPiNAnalysis[[#This Row],[PiN más alto]]="", "", IF(tblPiNAnalysis[[#This Row],[% PiN Sectores más altos]]&gt;=flag_pin_perc, "Flagged", "")), "")</f>
        <v/>
      </c>
      <c r="AD61" s="96" t="str" cm="1">
        <f t="array" ref="AD61">IF(tblPiNAnalysis[[#This Row],[PiN más alto]]=0, "",  IF(OR(COUNTIF(tblPiNAnalysis[[#This Row],[Sectores más altos]],tblSubSectorPopulation[Sector])), "Flagged", ""))</f>
        <v/>
      </c>
      <c r="AE61" s="16" cm="1">
        <f t="array" ref="AE6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30728.399999999998</v>
      </c>
      <c r="AF61" s="97" t="str" cm="1">
        <f t="array" ref="AF61">IF(tblPiNAnalysis[[#This Row],[2º PiN más alto]]="", "", _xlfn.TEXTJOIN(CHAR(10), TRUE, IF(tblPiNAnalysis[[#This Row],[2º PiN más alto]]=tblPiNAnalysis[[#This Row],[SAMV]:[ASH]], tblPiNAnalysis[[#Headers],[SAMV]:[ASH]], "")))</f>
        <v>ASH</v>
      </c>
      <c r="AG61" s="12">
        <f>IFERROR(tblPiNAnalysis[[#This Row],[2º PiN más alto]]/tblPiNAnalysis[[#This Row],[Población]], "")</f>
        <v>0.6</v>
      </c>
      <c r="AH61" s="16">
        <f>IFERROR(tblPiNAnalysis[[#This Row],[PiN más alto]]-tblPiNAnalysis[[#This Row],[2º PiN más alto]], "")</f>
        <v>8038.6000000000022</v>
      </c>
      <c r="AI61" s="14">
        <f>IFERROR(((tblPiNAnalysis[[#This Row],[PiN más alto]]-tblPiNAnalysis[[#This Row],[2º PiN más alto]])/tblPiNAnalysis[[#This Row],[2º PiN más alto]]),"")</f>
        <v>0.2616016453834239</v>
      </c>
      <c r="AJ61" s="14" t="str" cm="1">
        <f t="array" ref="AJ6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61" s="98" cm="1">
        <f t="array" ref="AK6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12271.508219474423</v>
      </c>
      <c r="AL61" s="53" t="str" cm="1">
        <f t="array" ref="AL61">IF(tblPiNAnalysis[[#This Row],[3º PiN más alto]]="", "", _xlfn.TEXTJOIN(CHAR(10), TRUE, IF(tblPiNAnalysis[[#This Row],[3º PiN más alto]]=tblPiNAnalysis[[#This Row],[SAMV]:[ASH]], tblPiNAnalysis[[#Headers],[SAMV]:[ASH]], "")))</f>
        <v>PRO</v>
      </c>
      <c r="AM61" s="53">
        <f>IFERROR(tblPiNAnalysis[[#This Row],[3º PiN más alto]]/tblPiNAnalysis[[#This Row],[Población]], "")</f>
        <v>0.23961237590257395</v>
      </c>
      <c r="AN61" s="15">
        <f>IFERROR(tblPiNAnalysis[[#This Row],[PiN más alto]]-tblPiNAnalysis[[#This Row],[3º PiN más alto]],"")</f>
        <v>26495.491780525575</v>
      </c>
      <c r="AO61" s="14">
        <f>IFERROR(tblPiNAnalysis[[#This Row],[Diferencia de PiN entre el más alto y el 3º más alto]]/tblPiNAnalysis[[#This Row],[3º PiN más alto]], "")</f>
        <v>2.1591063874673715</v>
      </c>
      <c r="AP61" s="96" t="str" cm="1">
        <f t="array" ref="AP6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61" s="84" cm="1">
        <f t="array" ref="AQ61">IFERROR(IF(tblPiNAnalysis[[#This Row],[ID]]="", "", INDEX(tblPiNHistorical[[SAMV]:[ASH]], MATCH(tblPiNAnalysis[[#This Row],[ID]],tblPiNHistorical[ID], 0),MATCH(_xlfn._xlws.FILTER(tblPiNAnalysis[[#Headers],[SAMV]:[ASH]], tblPiNAnalysis[[#This Row],[PiN más alto]]=tblPiNAnalysis[[#This Row],[SAMV]:[ASH]]), tblPiNHistorical[[#Headers],[SAMV]:[ASH]], 0))), "")</f>
        <v>0.8</v>
      </c>
      <c r="AR61" s="99" t="str" cm="1">
        <f t="array" ref="AR6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61" s="74" cm="1">
        <f t="array" ref="AS61">IFERROR(IF(tblPiNAnalysis[[#This Row],[ID]]="", "", INDEX(tblPiNHistorical[[SAMV]:[ASH]], MATCH(tblPiNAnalysis[[#This Row],[ID]],tblPiNHistorical[ID], 0),MATCH(_xlfn._xlws.FILTER(tblPiNAnalysis[[#Headers],[SAMV]:[ASH]], tblPiNAnalysis[[#This Row],[2º PiN más alto]]=tblPiNAnalysis[[#This Row],[SAMV]:[ASH]]), tblPiNHistorical[[#Headers],[SAMV]:[ASH]], 0))), "")</f>
        <v>0.1</v>
      </c>
      <c r="AT61" s="100" t="str" cm="1">
        <f t="array" ref="AT6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61" s="219">
        <f>INDEX(tblSeverityAnalysis[Severidad final], MATCH(tblPiNAnalysis[[#This Row],[ID]],tblSeverityAnalysis[ID], 0))</f>
        <v>4</v>
      </c>
      <c r="AV61" s="220">
        <f>IF(tblPiNAnalysis[[#This Row],[Severidad]]&gt;2,tblPiNAnalysis[[#This Row],[PiN más alto]],)</f>
        <v>38767</v>
      </c>
      <c r="AW61" s="54"/>
      <c r="AX61" s="55"/>
      <c r="AY61" s="56">
        <f>COUNTIFS(tblPiNAnalysis[[#This Row],[Número de PiN ausentes/cero superior al umbral - Calidad de los datos]:[Marcador manual]],"Flagged")</f>
        <v>1</v>
      </c>
      <c r="AZ61" s="34" t="str">
        <f>IF(tblPiNAnalysis[[#This Row],[Número de marcadores]]&gt;0, "Flagged", "")</f>
        <v>Flagged</v>
      </c>
      <c r="BA61" s="92">
        <f>tblPiNAnalysis[[#This Row],[PiN preliminar]]</f>
        <v>38767</v>
      </c>
      <c r="BB61" s="97"/>
      <c r="BC61" s="70">
        <f>IFERROR(IF(tblPiNAnalysis[[#This Row],[Severidad]]=3,tblPiNAnalysis[[#This Row],[PiN final]]*Umbrales!$D$33,tblPiNAnalysis[[#This Row],[PiN final]]*Umbrales!$D$34),)</f>
        <v>38767</v>
      </c>
      <c r="BD61" s="70">
        <f>IFERROR(IF(tblPiNAnalysis[[#This Row],[Severidad]]&gt;3,tblPiNAnalysis[[#This Row],[PiN final]]*Umbrales!$D$34,),)</f>
        <v>38767</v>
      </c>
    </row>
    <row r="62" spans="1:56">
      <c r="A62" s="101" t="str">
        <f>IFERROR(_xlfn.CONCAT(IF(tblPiNAnalysis[[#This Row],[Grupo]]="", "",tblPiNAnalysis[[#This Row],[Grupo]] ),  _xlfn.IFS(tblPiNAnalysis[[#This Row],[Admin2PCODE]]&lt;&gt;"", tblPiNAnalysis[[#This Row],[Admin2PCODE]], tblPiNAnalysis[[#This Row],[Admin1PCODE]]&lt;&gt;"", tblPiNAnalysis[[#This Row],[Admin1PCODE]])),"")</f>
        <v>VenezolanosVE2004</v>
      </c>
      <c r="B62" s="105" t="s">
        <v>589</v>
      </c>
      <c r="C62" s="104" t="s">
        <v>590</v>
      </c>
      <c r="D62" s="119" t="s">
        <v>180</v>
      </c>
      <c r="E62" s="104" t="s">
        <v>597</v>
      </c>
      <c r="F62" s="358"/>
      <c r="G62" s="357">
        <v>63020</v>
      </c>
      <c r="H62" s="103" t="s">
        <v>102</v>
      </c>
      <c r="I62" s="60">
        <v>21357</v>
      </c>
      <c r="J62" s="134">
        <v>6500.6362125534288</v>
      </c>
      <c r="K62" s="57">
        <v>23002.3</v>
      </c>
      <c r="L62" s="87">
        <v>8705.1525610777862</v>
      </c>
      <c r="M62" s="87">
        <v>15138.048620687057</v>
      </c>
      <c r="N62" s="57">
        <v>37812</v>
      </c>
      <c r="O62" s="57">
        <v>4844.1755586198578</v>
      </c>
      <c r="P62" s="57">
        <v>5298.3170172404698</v>
      </c>
      <c r="Q62" s="88">
        <f>IFERROR(IF(tblPiNAnalysis[[#This Row],[SAMV]]="", "", MROUND(tblPiNAnalysis[[#This Row],[SAMV]]/tblPiNAnalysis[[#This Row],[Población]], 0.05)), "")</f>
        <v>0.35000000000000003</v>
      </c>
      <c r="R62" s="89">
        <f>IFERROR(IF(tblPiNAnalysis[[#This Row],[NUT]]="", "", MROUND(tblPiNAnalysis[[#This Row],[NUT]]/tblPiNAnalysis[[#This Row],[Población]], 0.05)), "")</f>
        <v>0.1</v>
      </c>
      <c r="S62" s="89">
        <f>IFERROR(IF(tblPiNAnalysis[[#This Row],[SAL]]="", "", MROUND(tblPiNAnalysis[[#This Row],[SAL]]/tblPiNAnalysis[[#This Row],[Población]], 0.05)), "")</f>
        <v>0.35000000000000003</v>
      </c>
      <c r="T62" s="89">
        <f>IFERROR(IF(tblPiNAnalysis[[#This Row],[EDU]]="", "", MROUND(tblPiNAnalysis[[#This Row],[EDU]]/tblPiNAnalysis[[#This Row],[Población]], 0.05)), "")</f>
        <v>0.15000000000000002</v>
      </c>
      <c r="U62" s="89">
        <f>IFERROR(IF(tblPiNAnalysis[[#This Row],[PRO]]="", "", MROUND(tblPiNAnalysis[[#This Row],[PRO]]/tblPiNAnalysis[[#This Row],[Población]], 0.05)), "")</f>
        <v>0.25</v>
      </c>
      <c r="V62" s="90">
        <f>IFERROR(IF(tblPiNAnalysis[[#This Row],[ASH]]="", "", MROUND(tblPiNAnalysis[[#This Row],[ASH]]/tblPiNAnalysis[[#This Row],[Población]], 0.05)), "")</f>
        <v>0.60000000000000009</v>
      </c>
      <c r="W62" s="89">
        <f>IFERROR(MROUND(tblPiNAnalysis[[#This Row],[NNA]]/tblPiNAnalysis[[#This Row],[Población]], 0.05), "")</f>
        <v>0.1</v>
      </c>
      <c r="X62" s="89">
        <f>IFERROR(MROUND(tblPiNAnalysis[[#This Row],[VBG]]/tblPiNAnalysis[[#This Row],[Población]], 0.05), "")</f>
        <v>0.1</v>
      </c>
      <c r="Y62" s="91">
        <f>IFERROR(LARGE(tblPiNAnalysis[[#This Row],[SAMV]:[ASH]], 1), "")</f>
        <v>37812</v>
      </c>
      <c r="Z62" s="92" t="str" cm="1">
        <f t="array" ref="Z62">IF(tblPiNAnalysis[[#This Row],[PiN más alto]]="", "", _xlfn.TEXTJOIN(CHAR(10), TRUE, IF(tblPiNAnalysis[[#This Row],[PiN más alto]]=tblPiNAnalysis[[#This Row],[SAMV]:[ASH]], tblPiNAnalysis[[#Headers],[SAMV]:[ASH]], "")))</f>
        <v>ASH</v>
      </c>
      <c r="AA62" s="93">
        <f>IF(tblPiNAnalysis[[#This Row],[PiN más alto]]="", "", tblPiNAnalysis[[#This Row],[PiN más alto]]/tblPiNAnalysis[[#This Row],[Población]])</f>
        <v>0.6</v>
      </c>
      <c r="AB62" s="94" t="str">
        <f>IF(SUM(tblPiNAnalysis[[#This Row],[SAMV]:[ASH]])=0, "",IF(COUNTIF(tblPiNAnalysis[[#This Row],[SAMV]:[ASH]],"=0")+COUNTIF(tblPiNAnalysis[[#This Row],[SAMV]:[ASH]],"")&gt;=zero_pin_thresh, "Flagged", ""))</f>
        <v/>
      </c>
      <c r="AC62" s="95" t="str">
        <f>IFERROR(IF(tblPiNAnalysis[[#This Row],[PiN más alto]]="", "", IF(tblPiNAnalysis[[#This Row],[% PiN Sectores más altos]]&gt;=flag_pin_perc, "Flagged", "")), "")</f>
        <v/>
      </c>
      <c r="AD62" s="96" t="str" cm="1">
        <f t="array" ref="AD62">IF(tblPiNAnalysis[[#This Row],[PiN más alto]]=0, "",  IF(OR(COUNTIF(tblPiNAnalysis[[#This Row],[Sectores más altos]],tblSubSectorPopulation[Sector])), "Flagged", ""))</f>
        <v/>
      </c>
      <c r="AE62" s="16" cm="1">
        <f t="array" ref="AE6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23002.3</v>
      </c>
      <c r="AF62" s="97" t="str" cm="1">
        <f t="array" ref="AF62">IF(tblPiNAnalysis[[#This Row],[2º PiN más alto]]="", "", _xlfn.TEXTJOIN(CHAR(10), TRUE, IF(tblPiNAnalysis[[#This Row],[2º PiN más alto]]=tblPiNAnalysis[[#This Row],[SAMV]:[ASH]], tblPiNAnalysis[[#Headers],[SAMV]:[ASH]], "")))</f>
        <v>SAL</v>
      </c>
      <c r="AG62" s="12">
        <f>IFERROR(tblPiNAnalysis[[#This Row],[2º PiN más alto]]/tblPiNAnalysis[[#This Row],[Población]], "")</f>
        <v>0.36499999999999999</v>
      </c>
      <c r="AH62" s="16">
        <f>IFERROR(tblPiNAnalysis[[#This Row],[PiN más alto]]-tblPiNAnalysis[[#This Row],[2º PiN más alto]], "")</f>
        <v>14809.7</v>
      </c>
      <c r="AI62" s="14">
        <f>IFERROR(((tblPiNAnalysis[[#This Row],[PiN más alto]]-tblPiNAnalysis[[#This Row],[2º PiN más alto]])/tblPiNAnalysis[[#This Row],[2º PiN más alto]]),"")</f>
        <v>0.64383561643835618</v>
      </c>
      <c r="AJ62" s="14" t="str" cm="1">
        <f t="array" ref="AJ6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62" s="98" cm="1">
        <f t="array" ref="AK6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21357</v>
      </c>
      <c r="AL62" s="53" t="str" cm="1">
        <f t="array" ref="AL62">IF(tblPiNAnalysis[[#This Row],[3º PiN más alto]]="", "", _xlfn.TEXTJOIN(CHAR(10), TRUE, IF(tblPiNAnalysis[[#This Row],[3º PiN más alto]]=tblPiNAnalysis[[#This Row],[SAMV]:[ASH]], tblPiNAnalysis[[#Headers],[SAMV]:[ASH]], "")))</f>
        <v>SAMV</v>
      </c>
      <c r="AM62" s="53">
        <f>IFERROR(tblPiNAnalysis[[#This Row],[3º PiN más alto]]/tblPiNAnalysis[[#This Row],[Población]], "")</f>
        <v>0.33889241510631546</v>
      </c>
      <c r="AN62" s="15">
        <f>IFERROR(tblPiNAnalysis[[#This Row],[PiN más alto]]-tblPiNAnalysis[[#This Row],[3º PiN más alto]],"")</f>
        <v>16455</v>
      </c>
      <c r="AO62" s="14">
        <f>IFERROR(tblPiNAnalysis[[#This Row],[Diferencia de PiN entre el más alto y el 3º más alto]]/tblPiNAnalysis[[#This Row],[3º PiN más alto]], "")</f>
        <v>0.77047338109285013</v>
      </c>
      <c r="AP62" s="96" t="str" cm="1">
        <f t="array" ref="AP6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62" s="84" t="str" cm="1">
        <f t="array" ref="AQ62">IFERROR(IF(tblPiNAnalysis[[#This Row],[ID]]="", "", INDEX(tblPiNHistorical[[SAMV]:[ASH]], MATCH(tblPiNAnalysis[[#This Row],[ID]],tblPiNHistorical[ID], 0),MATCH(_xlfn._xlws.FILTER(tblPiNAnalysis[[#Headers],[SAMV]:[ASH]], tblPiNAnalysis[[#This Row],[PiN más alto]]=tblPiNAnalysis[[#This Row],[SAMV]:[ASH]]), tblPiNHistorical[[#Headers],[SAMV]:[ASH]], 0))), "")</f>
        <v/>
      </c>
      <c r="AR62" s="99" t="str" cm="1">
        <f t="array" ref="AR6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62" s="74" cm="1">
        <f t="array" ref="AS62">IFERROR(IF(tblPiNAnalysis[[#This Row],[ID]]="", "", INDEX(tblPiNHistorical[[SAMV]:[ASH]], MATCH(tblPiNAnalysis[[#This Row],[ID]],tblPiNHistorical[ID], 0),MATCH(_xlfn._xlws.FILTER(tblPiNAnalysis[[#Headers],[SAMV]:[ASH]], tblPiNAnalysis[[#This Row],[2º PiN más alto]]=tblPiNAnalysis[[#This Row],[SAMV]:[ASH]]), tblPiNHistorical[[#Headers],[SAMV]:[ASH]], 0))), "")</f>
        <v>2.9</v>
      </c>
      <c r="AT62" s="100" t="str" cm="1">
        <f t="array" ref="AT6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62" s="219">
        <f>INDEX(tblSeverityAnalysis[Severidad final], MATCH(tblPiNAnalysis[[#This Row],[ID]],tblSeverityAnalysis[ID], 0))</f>
        <v>4</v>
      </c>
      <c r="AV62" s="220">
        <f>IF(tblPiNAnalysis[[#This Row],[Severidad]]&gt;2,tblPiNAnalysis[[#This Row],[PiN más alto]],)</f>
        <v>37812</v>
      </c>
      <c r="AW62" s="54"/>
      <c r="AX62" s="55"/>
      <c r="AY62" s="56">
        <f>COUNTIFS(tblPiNAnalysis[[#This Row],[Número de PiN ausentes/cero superior al umbral - Calidad de los datos]:[Marcador manual]],"Flagged")</f>
        <v>3</v>
      </c>
      <c r="AZ62" s="34" t="str">
        <f>IF(tblPiNAnalysis[[#This Row],[Número de marcadores]]&gt;0, "Flagged", "")</f>
        <v>Flagged</v>
      </c>
      <c r="BA62" s="92">
        <f>tblPiNAnalysis[[#This Row],[PiN preliminar]]</f>
        <v>37812</v>
      </c>
      <c r="BB62" s="97"/>
      <c r="BC62" s="70">
        <f>IFERROR(IF(tblPiNAnalysis[[#This Row],[Severidad]]=3,tblPiNAnalysis[[#This Row],[PiN final]]*Umbrales!$D$33,tblPiNAnalysis[[#This Row],[PiN final]]*Umbrales!$D$34),)</f>
        <v>37812</v>
      </c>
      <c r="BD62" s="70">
        <f>IFERROR(IF(tblPiNAnalysis[[#This Row],[Severidad]]&gt;3,tblPiNAnalysis[[#This Row],[PiN final]]*Umbrales!$D$34,),)</f>
        <v>37812</v>
      </c>
    </row>
    <row r="63" spans="1:56">
      <c r="A63" s="101" t="str">
        <f>IFERROR(_xlfn.CONCAT(IF(tblPiNAnalysis[[#This Row],[Grupo]]="", "",tblPiNAnalysis[[#This Row],[Grupo]] ),  _xlfn.IFS(tblPiNAnalysis[[#This Row],[Admin2PCODE]]&lt;&gt;"", tblPiNAnalysis[[#This Row],[Admin2PCODE]], tblPiNAnalysis[[#This Row],[Admin1PCODE]]&lt;&gt;"", tblPiNAnalysis[[#This Row],[Admin1PCODE]])),"")</f>
        <v>VenezolanosVE1304</v>
      </c>
      <c r="B63" s="105" t="s">
        <v>393</v>
      </c>
      <c r="C63" s="104" t="s">
        <v>394</v>
      </c>
      <c r="D63" s="119" t="s">
        <v>400</v>
      </c>
      <c r="E63" s="104" t="s">
        <v>401</v>
      </c>
      <c r="F63" s="358"/>
      <c r="G63" s="357">
        <v>103280</v>
      </c>
      <c r="H63" s="103" t="s">
        <v>102</v>
      </c>
      <c r="I63" s="60">
        <v>36625</v>
      </c>
      <c r="J63" s="134">
        <v>5174.8080732378194</v>
      </c>
      <c r="K63" s="57">
        <v>37697.199999999997</v>
      </c>
      <c r="L63" s="87">
        <v>7697.8646659721835</v>
      </c>
      <c r="M63" s="87">
        <v>24613.624208831036</v>
      </c>
      <c r="N63" s="57">
        <v>0</v>
      </c>
      <c r="O63" s="57">
        <v>7900.9733710347627</v>
      </c>
      <c r="P63" s="57">
        <v>8614.7684730908622</v>
      </c>
      <c r="Q63" s="88">
        <f>IFERROR(IF(tblPiNAnalysis[[#This Row],[SAMV]]="", "", MROUND(tblPiNAnalysis[[#This Row],[SAMV]]/tblPiNAnalysis[[#This Row],[Población]], 0.05)), "")</f>
        <v>0.35000000000000003</v>
      </c>
      <c r="R63" s="89">
        <f>IFERROR(IF(tblPiNAnalysis[[#This Row],[NUT]]="", "", MROUND(tblPiNAnalysis[[#This Row],[NUT]]/tblPiNAnalysis[[#This Row],[Población]], 0.05)), "")</f>
        <v>0.05</v>
      </c>
      <c r="S63" s="89">
        <f>IFERROR(IF(tblPiNAnalysis[[#This Row],[SAL]]="", "", MROUND(tblPiNAnalysis[[#This Row],[SAL]]/tblPiNAnalysis[[#This Row],[Población]], 0.05)), "")</f>
        <v>0.35000000000000003</v>
      </c>
      <c r="T63" s="89">
        <f>IFERROR(IF(tblPiNAnalysis[[#This Row],[EDU]]="", "", MROUND(tblPiNAnalysis[[#This Row],[EDU]]/tblPiNAnalysis[[#This Row],[Población]], 0.05)), "")</f>
        <v>0.05</v>
      </c>
      <c r="U63" s="89">
        <f>IFERROR(IF(tblPiNAnalysis[[#This Row],[PRO]]="", "", MROUND(tblPiNAnalysis[[#This Row],[PRO]]/tblPiNAnalysis[[#This Row],[Población]], 0.05)), "")</f>
        <v>0.25</v>
      </c>
      <c r="V63" s="90">
        <f>IFERROR(IF(tblPiNAnalysis[[#This Row],[ASH]]="", "", MROUND(tblPiNAnalysis[[#This Row],[ASH]]/tblPiNAnalysis[[#This Row],[Población]], 0.05)), "")</f>
        <v>0</v>
      </c>
      <c r="W63" s="89">
        <f>IFERROR(MROUND(tblPiNAnalysis[[#This Row],[NNA]]/tblPiNAnalysis[[#This Row],[Población]], 0.05), "")</f>
        <v>0.1</v>
      </c>
      <c r="X63" s="89">
        <f>IFERROR(MROUND(tblPiNAnalysis[[#This Row],[VBG]]/tblPiNAnalysis[[#This Row],[Población]], 0.05), "")</f>
        <v>0.1</v>
      </c>
      <c r="Y63" s="91">
        <f>IFERROR(LARGE(tblPiNAnalysis[[#This Row],[SAMV]:[ASH]], 1), "")</f>
        <v>37697.199999999997</v>
      </c>
      <c r="Z63" s="92" t="str" cm="1">
        <f t="array" ref="Z63">IF(tblPiNAnalysis[[#This Row],[PiN más alto]]="", "", _xlfn.TEXTJOIN(CHAR(10), TRUE, IF(tblPiNAnalysis[[#This Row],[PiN más alto]]=tblPiNAnalysis[[#This Row],[SAMV]:[ASH]], tblPiNAnalysis[[#Headers],[SAMV]:[ASH]], "")))</f>
        <v>SAL</v>
      </c>
      <c r="AA63" s="93">
        <f>IF(tblPiNAnalysis[[#This Row],[PiN más alto]]="", "", tblPiNAnalysis[[#This Row],[PiN más alto]]/tblPiNAnalysis[[#This Row],[Población]])</f>
        <v>0.36499999999999999</v>
      </c>
      <c r="AB63" s="94" t="str">
        <f>IF(SUM(tblPiNAnalysis[[#This Row],[SAMV]:[ASH]])=0, "",IF(COUNTIF(tblPiNAnalysis[[#This Row],[SAMV]:[ASH]],"=0")+COUNTIF(tblPiNAnalysis[[#This Row],[SAMV]:[ASH]],"")&gt;=zero_pin_thresh, "Flagged", ""))</f>
        <v/>
      </c>
      <c r="AC63" s="95" t="str">
        <f>IFERROR(IF(tblPiNAnalysis[[#This Row],[PiN más alto]]="", "", IF(tblPiNAnalysis[[#This Row],[% PiN Sectores más altos]]&gt;=flag_pin_perc, "Flagged", "")), "")</f>
        <v/>
      </c>
      <c r="AD63" s="96" t="str" cm="1">
        <f t="array" ref="AD63">IF(tblPiNAnalysis[[#This Row],[PiN más alto]]=0, "",  IF(OR(COUNTIF(tblPiNAnalysis[[#This Row],[Sectores más altos]],tblSubSectorPopulation[Sector])), "Flagged", ""))</f>
        <v/>
      </c>
      <c r="AE63" s="16" cm="1">
        <f t="array" ref="AE6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36625</v>
      </c>
      <c r="AF63" s="97" t="str" cm="1">
        <f t="array" ref="AF63">IF(tblPiNAnalysis[[#This Row],[2º PiN más alto]]="", "", _xlfn.TEXTJOIN(CHAR(10), TRUE, IF(tblPiNAnalysis[[#This Row],[2º PiN más alto]]=tblPiNAnalysis[[#This Row],[SAMV]:[ASH]], tblPiNAnalysis[[#Headers],[SAMV]:[ASH]], "")))</f>
        <v>SAMV</v>
      </c>
      <c r="AG63" s="12">
        <f>IFERROR(tblPiNAnalysis[[#This Row],[2º PiN más alto]]/tblPiNAnalysis[[#This Row],[Población]], "")</f>
        <v>0.3546185127807901</v>
      </c>
      <c r="AH63" s="16">
        <f>IFERROR(tblPiNAnalysis[[#This Row],[PiN más alto]]-tblPiNAnalysis[[#This Row],[2º PiN más alto]], "")</f>
        <v>1072.1999999999971</v>
      </c>
      <c r="AI63" s="14">
        <f>IFERROR(((tblPiNAnalysis[[#This Row],[PiN más alto]]-tblPiNAnalysis[[#This Row],[2º PiN más alto]])/tblPiNAnalysis[[#This Row],[2º PiN más alto]]),"")</f>
        <v>2.9275085324232002E-2</v>
      </c>
      <c r="AJ63" s="14" t="str" cm="1">
        <f t="array" ref="AJ6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63" s="98" cm="1">
        <f t="array" ref="AK6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24613.624208831036</v>
      </c>
      <c r="AL63" s="53" t="str" cm="1">
        <f t="array" ref="AL63">IF(tblPiNAnalysis[[#This Row],[3º PiN más alto]]="", "", _xlfn.TEXTJOIN(CHAR(10), TRUE, IF(tblPiNAnalysis[[#This Row],[3º PiN más alto]]=tblPiNAnalysis[[#This Row],[SAMV]:[ASH]], tblPiNAnalysis[[#Headers],[SAMV]:[ASH]], "")))</f>
        <v>PRO</v>
      </c>
      <c r="AM63" s="53">
        <f>IFERROR(tblPiNAnalysis[[#This Row],[3º PiN más alto]]/tblPiNAnalysis[[#This Row],[Población]], "")</f>
        <v>0.23831936685545155</v>
      </c>
      <c r="AN63" s="15">
        <f>IFERROR(tblPiNAnalysis[[#This Row],[PiN más alto]]-tblPiNAnalysis[[#This Row],[3º PiN más alto]],"")</f>
        <v>13083.575791168962</v>
      </c>
      <c r="AO63" s="14">
        <f>IFERROR(tblPiNAnalysis[[#This Row],[Diferencia de PiN entre el más alto y el 3º más alto]]/tblPiNAnalysis[[#This Row],[3º PiN más alto]], "")</f>
        <v>0.53155828171272523</v>
      </c>
      <c r="AP63" s="96" t="str" cm="1">
        <f t="array" ref="AP6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63" s="84" cm="1">
        <f t="array" ref="AQ63">IFERROR(IF(tblPiNAnalysis[[#This Row],[ID]]="", "", INDEX(tblPiNHistorical[[SAMV]:[ASH]], MATCH(tblPiNAnalysis[[#This Row],[ID]],tblPiNHistorical[ID], 0),MATCH(_xlfn._xlws.FILTER(tblPiNAnalysis[[#Headers],[SAMV]:[ASH]], tblPiNAnalysis[[#This Row],[PiN más alto]]=tblPiNAnalysis[[#This Row],[SAMV]:[ASH]]), tblPiNHistorical[[#Headers],[SAMV]:[ASH]], 0))), "")</f>
        <v>-0.5</v>
      </c>
      <c r="AR63" s="99" t="str" cm="1">
        <f t="array" ref="AR6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63" s="74" cm="1">
        <f t="array" ref="AS63">IFERROR(IF(tblPiNAnalysis[[#This Row],[ID]]="", "", INDEX(tblPiNHistorical[[SAMV]:[ASH]], MATCH(tblPiNAnalysis[[#This Row],[ID]],tblPiNHistorical[ID], 0),MATCH(_xlfn._xlws.FILTER(tblPiNAnalysis[[#Headers],[SAMV]:[ASH]], tblPiNAnalysis[[#This Row],[2º PiN más alto]]=tblPiNAnalysis[[#This Row],[SAMV]:[ASH]]), tblPiNHistorical[[#Headers],[SAMV]:[ASH]], 0))), "")</f>
        <v>-0.7</v>
      </c>
      <c r="AT63" s="100" t="str" cm="1">
        <f t="array" ref="AT6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63" s="219">
        <f>INDEX(tblSeverityAnalysis[Severidad final], MATCH(tblPiNAnalysis[[#This Row],[ID]],tblSeverityAnalysis[ID], 0))</f>
        <v>3</v>
      </c>
      <c r="AV63" s="220">
        <f>IF(tblPiNAnalysis[[#This Row],[Severidad]]&gt;2,tblPiNAnalysis[[#This Row],[PiN más alto]],)</f>
        <v>37697.199999999997</v>
      </c>
      <c r="AW63" s="54"/>
      <c r="AX63" s="55"/>
      <c r="AY63" s="56">
        <f>COUNTIFS(tblPiNAnalysis[[#This Row],[Número de PiN ausentes/cero superior al umbral - Calidad de los datos]:[Marcador manual]],"Flagged")</f>
        <v>1</v>
      </c>
      <c r="AZ63" s="34" t="str">
        <f>IF(tblPiNAnalysis[[#This Row],[Número de marcadores]]&gt;0, "Flagged", "")</f>
        <v>Flagged</v>
      </c>
      <c r="BA63" s="92">
        <f>tblPiNAnalysis[[#This Row],[PiN preliminar]]</f>
        <v>37697.199999999997</v>
      </c>
      <c r="BB63" s="97"/>
      <c r="BC63" s="70">
        <f>IFERROR(IF(tblPiNAnalysis[[#This Row],[Severidad]]=3,tblPiNAnalysis[[#This Row],[PiN final]]*Umbrales!$D$33,tblPiNAnalysis[[#This Row],[PiN final]]*Umbrales!$D$34),)</f>
        <v>18848.599999999999</v>
      </c>
      <c r="BD63" s="70">
        <f>IFERROR(IF(tblPiNAnalysis[[#This Row],[Severidad]]&gt;3,tblPiNAnalysis[[#This Row],[PiN final]]*Umbrales!$D$34,),)</f>
        <v>0</v>
      </c>
    </row>
    <row r="64" spans="1:56">
      <c r="A64" s="101" t="str">
        <f>IFERROR(_xlfn.CONCAT(IF(tblPiNAnalysis[[#This Row],[Grupo]]="", "",tblPiNAnalysis[[#This Row],[Grupo]] ),  _xlfn.IFS(tblPiNAnalysis[[#This Row],[Admin2PCODE]]&lt;&gt;"", tblPiNAnalysis[[#This Row],[Admin2PCODE]], tblPiNAnalysis[[#This Row],[Admin1PCODE]]&lt;&gt;"", tblPiNAnalysis[[#This Row],[Admin1PCODE]])),"")</f>
        <v>VenezolanosVE0404</v>
      </c>
      <c r="B64" s="105" t="s">
        <v>163</v>
      </c>
      <c r="C64" s="104" t="s">
        <v>164</v>
      </c>
      <c r="D64" s="119" t="s">
        <v>171</v>
      </c>
      <c r="E64" s="104" t="s">
        <v>172</v>
      </c>
      <c r="F64" s="358"/>
      <c r="G64" s="357">
        <v>102386</v>
      </c>
      <c r="H64" s="103" t="s">
        <v>102</v>
      </c>
      <c r="I64" s="60">
        <v>0</v>
      </c>
      <c r="J64" s="134">
        <v>6340.9934519553926</v>
      </c>
      <c r="K64" s="57">
        <v>37370.89</v>
      </c>
      <c r="L64" s="87">
        <v>5822.2852267812905</v>
      </c>
      <c r="M64" s="87">
        <v>20489.284470085939</v>
      </c>
      <c r="N64" s="57">
        <v>0</v>
      </c>
      <c r="O64" s="57">
        <v>6556.5710304274999</v>
      </c>
      <c r="P64" s="57">
        <v>7171.2495645300778</v>
      </c>
      <c r="Q64" s="88">
        <f>IFERROR(IF(tblPiNAnalysis[[#This Row],[SAMV]]="", "", MROUND(tblPiNAnalysis[[#This Row],[SAMV]]/tblPiNAnalysis[[#This Row],[Población]], 0.05)), "")</f>
        <v>0</v>
      </c>
      <c r="R64" s="89">
        <f>IFERROR(IF(tblPiNAnalysis[[#This Row],[NUT]]="", "", MROUND(tblPiNAnalysis[[#This Row],[NUT]]/tblPiNAnalysis[[#This Row],[Población]], 0.05)), "")</f>
        <v>0.05</v>
      </c>
      <c r="S64" s="89">
        <f>IFERROR(IF(tblPiNAnalysis[[#This Row],[SAL]]="", "", MROUND(tblPiNAnalysis[[#This Row],[SAL]]/tblPiNAnalysis[[#This Row],[Población]], 0.05)), "")</f>
        <v>0.35000000000000003</v>
      </c>
      <c r="T64" s="89">
        <f>IFERROR(IF(tblPiNAnalysis[[#This Row],[EDU]]="", "", MROUND(tblPiNAnalysis[[#This Row],[EDU]]/tblPiNAnalysis[[#This Row],[Población]], 0.05)), "")</f>
        <v>0.05</v>
      </c>
      <c r="U64" s="89">
        <f>IFERROR(IF(tblPiNAnalysis[[#This Row],[PRO]]="", "", MROUND(tblPiNAnalysis[[#This Row],[PRO]]/tblPiNAnalysis[[#This Row],[Población]], 0.05)), "")</f>
        <v>0.2</v>
      </c>
      <c r="V64" s="90">
        <f>IFERROR(IF(tblPiNAnalysis[[#This Row],[ASH]]="", "", MROUND(tblPiNAnalysis[[#This Row],[ASH]]/tblPiNAnalysis[[#This Row],[Población]], 0.05)), "")</f>
        <v>0</v>
      </c>
      <c r="W64" s="89">
        <f>IFERROR(MROUND(tblPiNAnalysis[[#This Row],[NNA]]/tblPiNAnalysis[[#This Row],[Población]], 0.05), "")</f>
        <v>0.05</v>
      </c>
      <c r="X64" s="89">
        <f>IFERROR(MROUND(tblPiNAnalysis[[#This Row],[VBG]]/tblPiNAnalysis[[#This Row],[Población]], 0.05), "")</f>
        <v>0.05</v>
      </c>
      <c r="Y64" s="91">
        <f>IFERROR(LARGE(tblPiNAnalysis[[#This Row],[SAMV]:[ASH]], 1), "")</f>
        <v>37370.89</v>
      </c>
      <c r="Z64" s="92" t="str" cm="1">
        <f t="array" ref="Z64">IF(tblPiNAnalysis[[#This Row],[PiN más alto]]="", "", _xlfn.TEXTJOIN(CHAR(10), TRUE, IF(tblPiNAnalysis[[#This Row],[PiN más alto]]=tblPiNAnalysis[[#This Row],[SAMV]:[ASH]], tblPiNAnalysis[[#Headers],[SAMV]:[ASH]], "")))</f>
        <v>SAL</v>
      </c>
      <c r="AA64" s="93">
        <f>IF(tblPiNAnalysis[[#This Row],[PiN más alto]]="", "", tblPiNAnalysis[[#This Row],[PiN más alto]]/tblPiNAnalysis[[#This Row],[Población]])</f>
        <v>0.36499999999999999</v>
      </c>
      <c r="AB64" s="94" t="str">
        <f>IF(SUM(tblPiNAnalysis[[#This Row],[SAMV]:[ASH]])=0, "",IF(COUNTIF(tblPiNAnalysis[[#This Row],[SAMV]:[ASH]],"=0")+COUNTIF(tblPiNAnalysis[[#This Row],[SAMV]:[ASH]],"")&gt;=zero_pin_thresh, "Flagged", ""))</f>
        <v>Flagged</v>
      </c>
      <c r="AC64" s="95" t="str">
        <f>IFERROR(IF(tblPiNAnalysis[[#This Row],[PiN más alto]]="", "", IF(tblPiNAnalysis[[#This Row],[% PiN Sectores más altos]]&gt;=flag_pin_perc, "Flagged", "")), "")</f>
        <v/>
      </c>
      <c r="AD64" s="96" t="str" cm="1">
        <f t="array" ref="AD64">IF(tblPiNAnalysis[[#This Row],[PiN más alto]]=0, "",  IF(OR(COUNTIF(tblPiNAnalysis[[#This Row],[Sectores más altos]],tblSubSectorPopulation[Sector])), "Flagged", ""))</f>
        <v/>
      </c>
      <c r="AE64" s="16" cm="1">
        <f t="array" ref="AE6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20489.284470085939</v>
      </c>
      <c r="AF64" s="97" t="str" cm="1">
        <f t="array" ref="AF64">IF(tblPiNAnalysis[[#This Row],[2º PiN más alto]]="", "", _xlfn.TEXTJOIN(CHAR(10), TRUE, IF(tblPiNAnalysis[[#This Row],[2º PiN más alto]]=tblPiNAnalysis[[#This Row],[SAMV]:[ASH]], tblPiNAnalysis[[#Headers],[SAMV]:[ASH]], "")))</f>
        <v>PRO</v>
      </c>
      <c r="AG64" s="12">
        <f>IFERROR(tblPiNAnalysis[[#This Row],[2º PiN más alto]]/tblPiNAnalysis[[#This Row],[Población]], "")</f>
        <v>0.20011802853989744</v>
      </c>
      <c r="AH64" s="16">
        <f>IFERROR(tblPiNAnalysis[[#This Row],[PiN más alto]]-tblPiNAnalysis[[#This Row],[2º PiN más alto]], "")</f>
        <v>16881.605529914061</v>
      </c>
      <c r="AI64" s="14">
        <f>IFERROR(((tblPiNAnalysis[[#This Row],[PiN más alto]]-tblPiNAnalysis[[#This Row],[2º PiN más alto]])/tblPiNAnalysis[[#This Row],[2º PiN más alto]]),"")</f>
        <v>0.82392362478840897</v>
      </c>
      <c r="AJ64" s="14" t="str" cm="1">
        <f t="array" ref="AJ6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64" s="98" cm="1">
        <f t="array" ref="AK6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6340.9934519553926</v>
      </c>
      <c r="AL64" s="53" t="str" cm="1">
        <f t="array" ref="AL64">IF(tblPiNAnalysis[[#This Row],[3º PiN más alto]]="", "", _xlfn.TEXTJOIN(CHAR(10), TRUE, IF(tblPiNAnalysis[[#This Row],[3º PiN más alto]]=tblPiNAnalysis[[#This Row],[SAMV]:[ASH]], tblPiNAnalysis[[#Headers],[SAMV]:[ASH]], "")))</f>
        <v>NUT</v>
      </c>
      <c r="AM64" s="53">
        <f>IFERROR(tblPiNAnalysis[[#This Row],[3º PiN más alto]]/tblPiNAnalysis[[#This Row],[Población]], "")</f>
        <v>6.1932231476524061E-2</v>
      </c>
      <c r="AN64" s="15">
        <f>IFERROR(tblPiNAnalysis[[#This Row],[PiN más alto]]-tblPiNAnalysis[[#This Row],[3º PiN más alto]],"")</f>
        <v>31029.896548044606</v>
      </c>
      <c r="AO64" s="14">
        <f>IFERROR(tblPiNAnalysis[[#This Row],[Diferencia de PiN entre el más alto y el 3º más alto]]/tblPiNAnalysis[[#This Row],[3º PiN más alto]], "")</f>
        <v>4.8935386518142225</v>
      </c>
      <c r="AP64" s="96" t="str" cm="1">
        <f t="array" ref="AP6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64" s="84" cm="1">
        <f t="array" ref="AQ64">IFERROR(IF(tblPiNAnalysis[[#This Row],[ID]]="", "", INDEX(tblPiNHistorical[[SAMV]:[ASH]], MATCH(tblPiNAnalysis[[#This Row],[ID]],tblPiNHistorical[ID], 0),MATCH(_xlfn._xlws.FILTER(tblPiNAnalysis[[#Headers],[SAMV]:[ASH]], tblPiNAnalysis[[#This Row],[PiN más alto]]=tblPiNAnalysis[[#This Row],[SAMV]:[ASH]]), tblPiNHistorical[[#Headers],[SAMV]:[ASH]], 0))), "")</f>
        <v>0.8</v>
      </c>
      <c r="AR64" s="99" t="str" cm="1">
        <f t="array" ref="AR6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64" s="74" cm="1">
        <f t="array" ref="AS64">IFERROR(IF(tblPiNAnalysis[[#This Row],[ID]]="", "", INDEX(tblPiNHistorical[[SAMV]:[ASH]], MATCH(tblPiNAnalysis[[#This Row],[ID]],tblPiNHistorical[ID], 0),MATCH(_xlfn._xlws.FILTER(tblPiNAnalysis[[#Headers],[SAMV]:[ASH]], tblPiNAnalysis[[#This Row],[2º PiN más alto]]=tblPiNAnalysis[[#This Row],[SAMV]:[ASH]]), tblPiNHistorical[[#Headers],[SAMV]:[ASH]], 0))), "")</f>
        <v>0.7</v>
      </c>
      <c r="AT64" s="100" t="str" cm="1">
        <f t="array" ref="AT6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64" s="219">
        <f>INDEX(tblSeverityAnalysis[Severidad final], MATCH(tblPiNAnalysis[[#This Row],[ID]],tblSeverityAnalysis[ID], 0))</f>
        <v>4</v>
      </c>
      <c r="AV64" s="220">
        <f>IF(tblPiNAnalysis[[#This Row],[Severidad]]&gt;2,tblPiNAnalysis[[#This Row],[PiN más alto]],)</f>
        <v>37370.89</v>
      </c>
      <c r="AW64" s="54"/>
      <c r="AX64" s="55"/>
      <c r="AY64" s="56">
        <f>COUNTIFS(tblPiNAnalysis[[#This Row],[Número de PiN ausentes/cero superior al umbral - Calidad de los datos]:[Marcador manual]],"Flagged")</f>
        <v>3</v>
      </c>
      <c r="AZ64" s="34" t="str">
        <f>IF(tblPiNAnalysis[[#This Row],[Número de marcadores]]&gt;0, "Flagged", "")</f>
        <v>Flagged</v>
      </c>
      <c r="BA64" s="92">
        <f>tblPiNAnalysis[[#This Row],[PiN preliminar]]</f>
        <v>37370.89</v>
      </c>
      <c r="BB64" s="97"/>
      <c r="BC64" s="70">
        <f>IFERROR(IF(tblPiNAnalysis[[#This Row],[Severidad]]=3,tblPiNAnalysis[[#This Row],[PiN final]]*Umbrales!$D$33,tblPiNAnalysis[[#This Row],[PiN final]]*Umbrales!$D$34),)</f>
        <v>37370.89</v>
      </c>
      <c r="BD64" s="70">
        <f>IFERROR(IF(tblPiNAnalysis[[#This Row],[Severidad]]&gt;3,tblPiNAnalysis[[#This Row],[PiN final]]*Umbrales!$D$34,),)</f>
        <v>37370.89</v>
      </c>
    </row>
    <row r="65" spans="1:56">
      <c r="A65" s="101" t="str">
        <f>IFERROR(_xlfn.CONCAT(IF(tblPiNAnalysis[[#This Row],[Grupo]]="", "",tblPiNAnalysis[[#This Row],[Grupo]] ),  _xlfn.IFS(tblPiNAnalysis[[#This Row],[Admin2PCODE]]&lt;&gt;"", tblPiNAnalysis[[#This Row],[Admin2PCODE]], tblPiNAnalysis[[#This Row],[Admin1PCODE]]&lt;&gt;"", tblPiNAnalysis[[#This Row],[Admin1PCODE]])),"")</f>
        <v>VenezolanosVE0508</v>
      </c>
      <c r="B65" s="105" t="s">
        <v>123</v>
      </c>
      <c r="C65" s="104" t="s">
        <v>179</v>
      </c>
      <c r="D65" s="119" t="s">
        <v>193</v>
      </c>
      <c r="E65" s="104" t="s">
        <v>194</v>
      </c>
      <c r="F65" s="358"/>
      <c r="G65" s="357">
        <v>102107</v>
      </c>
      <c r="H65" s="103" t="s">
        <v>102</v>
      </c>
      <c r="I65" s="60">
        <v>13537</v>
      </c>
      <c r="J65" s="134">
        <v>2608.6612726427111</v>
      </c>
      <c r="K65" s="57">
        <v>37269.055</v>
      </c>
      <c r="L65" s="87">
        <v>16255.918839023729</v>
      </c>
      <c r="M65" s="87">
        <v>20370.301023564662</v>
      </c>
      <c r="N65" s="57">
        <v>0</v>
      </c>
      <c r="O65" s="57">
        <v>6518.4963275406917</v>
      </c>
      <c r="P65" s="57">
        <v>7129.6053582476316</v>
      </c>
      <c r="Q65" s="88">
        <f>IFERROR(IF(tblPiNAnalysis[[#This Row],[SAMV]]="", "", MROUND(tblPiNAnalysis[[#This Row],[SAMV]]/tblPiNAnalysis[[#This Row],[Población]], 0.05)), "")</f>
        <v>0.15000000000000002</v>
      </c>
      <c r="R65" s="89">
        <f>IFERROR(IF(tblPiNAnalysis[[#This Row],[NUT]]="", "", MROUND(tblPiNAnalysis[[#This Row],[NUT]]/tblPiNAnalysis[[#This Row],[Población]], 0.05)), "")</f>
        <v>0.05</v>
      </c>
      <c r="S65" s="89">
        <f>IFERROR(IF(tblPiNAnalysis[[#This Row],[SAL]]="", "", MROUND(tblPiNAnalysis[[#This Row],[SAL]]/tblPiNAnalysis[[#This Row],[Población]], 0.05)), "")</f>
        <v>0.35000000000000003</v>
      </c>
      <c r="T65" s="89">
        <f>IFERROR(IF(tblPiNAnalysis[[#This Row],[EDU]]="", "", MROUND(tblPiNAnalysis[[#This Row],[EDU]]/tblPiNAnalysis[[#This Row],[Población]], 0.05)), "")</f>
        <v>0.15000000000000002</v>
      </c>
      <c r="U65" s="89">
        <f>IFERROR(IF(tblPiNAnalysis[[#This Row],[PRO]]="", "", MROUND(tblPiNAnalysis[[#This Row],[PRO]]/tblPiNAnalysis[[#This Row],[Población]], 0.05)), "")</f>
        <v>0.2</v>
      </c>
      <c r="V65" s="90">
        <f>IFERROR(IF(tblPiNAnalysis[[#This Row],[ASH]]="", "", MROUND(tblPiNAnalysis[[#This Row],[ASH]]/tblPiNAnalysis[[#This Row],[Población]], 0.05)), "")</f>
        <v>0</v>
      </c>
      <c r="W65" s="89">
        <f>IFERROR(MROUND(tblPiNAnalysis[[#This Row],[NNA]]/tblPiNAnalysis[[#This Row],[Población]], 0.05), "")</f>
        <v>0.05</v>
      </c>
      <c r="X65" s="89">
        <f>IFERROR(MROUND(tblPiNAnalysis[[#This Row],[VBG]]/tblPiNAnalysis[[#This Row],[Población]], 0.05), "")</f>
        <v>0.05</v>
      </c>
      <c r="Y65" s="91">
        <f>IFERROR(LARGE(tblPiNAnalysis[[#This Row],[SAMV]:[ASH]], 1), "")</f>
        <v>37269.055</v>
      </c>
      <c r="Z65" s="92" t="str" cm="1">
        <f t="array" ref="Z65">IF(tblPiNAnalysis[[#This Row],[PiN más alto]]="", "", _xlfn.TEXTJOIN(CHAR(10), TRUE, IF(tblPiNAnalysis[[#This Row],[PiN más alto]]=tblPiNAnalysis[[#This Row],[SAMV]:[ASH]], tblPiNAnalysis[[#Headers],[SAMV]:[ASH]], "")))</f>
        <v>SAL</v>
      </c>
      <c r="AA65" s="93">
        <f>IF(tblPiNAnalysis[[#This Row],[PiN más alto]]="", "", tblPiNAnalysis[[#This Row],[PiN más alto]]/tblPiNAnalysis[[#This Row],[Población]])</f>
        <v>0.36499999999999999</v>
      </c>
      <c r="AB65" s="94" t="str">
        <f>IF(SUM(tblPiNAnalysis[[#This Row],[SAMV]:[ASH]])=0, "",IF(COUNTIF(tblPiNAnalysis[[#This Row],[SAMV]:[ASH]],"=0")+COUNTIF(tblPiNAnalysis[[#This Row],[SAMV]:[ASH]],"")&gt;=zero_pin_thresh, "Flagged", ""))</f>
        <v/>
      </c>
      <c r="AC65" s="95" t="str">
        <f>IFERROR(IF(tblPiNAnalysis[[#This Row],[PiN más alto]]="", "", IF(tblPiNAnalysis[[#This Row],[% PiN Sectores más altos]]&gt;=flag_pin_perc, "Flagged", "")), "")</f>
        <v/>
      </c>
      <c r="AD65" s="96" t="str" cm="1">
        <f t="array" ref="AD65">IF(tblPiNAnalysis[[#This Row],[PiN más alto]]=0, "",  IF(OR(COUNTIF(tblPiNAnalysis[[#This Row],[Sectores más altos]],tblSubSectorPopulation[Sector])), "Flagged", ""))</f>
        <v/>
      </c>
      <c r="AE65" s="16" cm="1">
        <f t="array" ref="AE6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20370.301023564662</v>
      </c>
      <c r="AF65" s="97" t="str" cm="1">
        <f t="array" ref="AF65">IF(tblPiNAnalysis[[#This Row],[2º PiN más alto]]="", "", _xlfn.TEXTJOIN(CHAR(10), TRUE, IF(tblPiNAnalysis[[#This Row],[2º PiN más alto]]=tblPiNAnalysis[[#This Row],[SAMV]:[ASH]], tblPiNAnalysis[[#Headers],[SAMV]:[ASH]], "")))</f>
        <v>PRO</v>
      </c>
      <c r="AG65" s="12">
        <f>IFERROR(tblPiNAnalysis[[#This Row],[2º PiN más alto]]/tblPiNAnalysis[[#This Row],[Población]], "")</f>
        <v>0.19949955461980728</v>
      </c>
      <c r="AH65" s="16">
        <f>IFERROR(tblPiNAnalysis[[#This Row],[PiN más alto]]-tblPiNAnalysis[[#This Row],[2º PiN más alto]], "")</f>
        <v>16898.753976435339</v>
      </c>
      <c r="AI65" s="14">
        <f>IFERROR(((tblPiNAnalysis[[#This Row],[PiN más alto]]-tblPiNAnalysis[[#This Row],[2º PiN más alto]])/tblPiNAnalysis[[#This Row],[2º PiN más alto]]),"")</f>
        <v>0.82957801933739783</v>
      </c>
      <c r="AJ65" s="14" t="str" cm="1">
        <f t="array" ref="AJ6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65" s="98" cm="1">
        <f t="array" ref="AK6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16255.918839023729</v>
      </c>
      <c r="AL65" s="53" t="str" cm="1">
        <f t="array" ref="AL65">IF(tblPiNAnalysis[[#This Row],[3º PiN más alto]]="", "", _xlfn.TEXTJOIN(CHAR(10), TRUE, IF(tblPiNAnalysis[[#This Row],[3º PiN más alto]]=tblPiNAnalysis[[#This Row],[SAMV]:[ASH]], tblPiNAnalysis[[#Headers],[SAMV]:[ASH]], "")))</f>
        <v>EDU</v>
      </c>
      <c r="AM65" s="53">
        <f>IFERROR(tblPiNAnalysis[[#This Row],[3º PiN más alto]]/tblPiNAnalysis[[#This Row],[Población]], "")</f>
        <v>0.15920474442519836</v>
      </c>
      <c r="AN65" s="15">
        <f>IFERROR(tblPiNAnalysis[[#This Row],[PiN más alto]]-tblPiNAnalysis[[#This Row],[3º PiN más alto]],"")</f>
        <v>21013.136160976272</v>
      </c>
      <c r="AO65" s="14">
        <f>IFERROR(tblPiNAnalysis[[#This Row],[Diferencia de PiN entre el más alto y el 3º más alto]]/tblPiNAnalysis[[#This Row],[3º PiN más alto]], "")</f>
        <v>1.2926452431918172</v>
      </c>
      <c r="AP65" s="96" t="str" cm="1">
        <f t="array" ref="AP6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65" s="84" cm="1">
        <f t="array" ref="AQ65">IFERROR(IF(tblPiNAnalysis[[#This Row],[ID]]="", "", INDEX(tblPiNHistorical[[SAMV]:[ASH]], MATCH(tblPiNAnalysis[[#This Row],[ID]],tblPiNHistorical[ID], 0),MATCH(_xlfn._xlws.FILTER(tblPiNAnalysis[[#Headers],[SAMV]:[ASH]], tblPiNAnalysis[[#This Row],[PiN más alto]]=tblPiNAnalysis[[#This Row],[SAMV]:[ASH]]), tblPiNHistorical[[#Headers],[SAMV]:[ASH]], 0))), "")</f>
        <v>0.5</v>
      </c>
      <c r="AR65" s="99" t="str" cm="1">
        <f t="array" ref="AR6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65" s="74" cm="1">
        <f t="array" ref="AS65">IFERROR(IF(tblPiNAnalysis[[#This Row],[ID]]="", "", INDEX(tblPiNHistorical[[SAMV]:[ASH]], MATCH(tblPiNAnalysis[[#This Row],[ID]],tblPiNHistorical[ID], 0),MATCH(_xlfn._xlws.FILTER(tblPiNAnalysis[[#Headers],[SAMV]:[ASH]], tblPiNAnalysis[[#This Row],[2º PiN más alto]]=tblPiNAnalysis[[#This Row],[SAMV]:[ASH]]), tblPiNHistorical[[#Headers],[SAMV]:[ASH]], 0))), "")</f>
        <v>0.9</v>
      </c>
      <c r="AT65" s="100" t="str" cm="1">
        <f t="array" ref="AT6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65" s="219">
        <f>INDEX(tblSeverityAnalysis[Severidad final], MATCH(tblPiNAnalysis[[#This Row],[ID]],tblSeverityAnalysis[ID], 0))</f>
        <v>3</v>
      </c>
      <c r="AV65" s="220">
        <f>IF(tblPiNAnalysis[[#This Row],[Severidad]]&gt;2,tblPiNAnalysis[[#This Row],[PiN más alto]],)</f>
        <v>37269.055</v>
      </c>
      <c r="AW65" s="54"/>
      <c r="AX65" s="55"/>
      <c r="AY65" s="56">
        <f>COUNTIFS(tblPiNAnalysis[[#This Row],[Número de PiN ausentes/cero superior al umbral - Calidad de los datos]:[Marcador manual]],"Flagged")</f>
        <v>2</v>
      </c>
      <c r="AZ65" s="34" t="str">
        <f>IF(tblPiNAnalysis[[#This Row],[Número de marcadores]]&gt;0, "Flagged", "")</f>
        <v>Flagged</v>
      </c>
      <c r="BA65" s="92">
        <f>tblPiNAnalysis[[#This Row],[PiN preliminar]]</f>
        <v>37269.055</v>
      </c>
      <c r="BB65" s="97"/>
      <c r="BC65" s="70">
        <f>IFERROR(IF(tblPiNAnalysis[[#This Row],[Severidad]]=3,tblPiNAnalysis[[#This Row],[PiN final]]*Umbrales!$D$33,tblPiNAnalysis[[#This Row],[PiN final]]*Umbrales!$D$34),)</f>
        <v>18634.5275</v>
      </c>
      <c r="BD65" s="70">
        <f>IFERROR(IF(tblPiNAnalysis[[#This Row],[Severidad]]&gt;3,tblPiNAnalysis[[#This Row],[PiN final]]*Umbrales!$D$34,),)</f>
        <v>0</v>
      </c>
    </row>
    <row r="66" spans="1:56">
      <c r="A66" s="101" t="str">
        <f>IFERROR(_xlfn.CONCAT(IF(tblPiNAnalysis[[#This Row],[Grupo]]="", "",tblPiNAnalysis[[#This Row],[Grupo]] ),  _xlfn.IFS(tblPiNAnalysis[[#This Row],[Admin2PCODE]]&lt;&gt;"", tblPiNAnalysis[[#This Row],[Admin2PCODE]], tblPiNAnalysis[[#This Row],[Admin1PCODE]]&lt;&gt;"", tblPiNAnalysis[[#This Row],[Admin1PCODE]])),"")</f>
        <v>VenezolanosVE1501</v>
      </c>
      <c r="B66" s="105" t="s">
        <v>276</v>
      </c>
      <c r="C66" s="104" t="s">
        <v>455</v>
      </c>
      <c r="D66" s="119" t="s">
        <v>456</v>
      </c>
      <c r="E66" s="104" t="s">
        <v>457</v>
      </c>
      <c r="F66" s="358"/>
      <c r="G66" s="357">
        <v>89335</v>
      </c>
      <c r="H66" s="103" t="s">
        <v>102</v>
      </c>
      <c r="I66" s="60">
        <v>22136</v>
      </c>
      <c r="J66" s="134">
        <v>3597.6361967716234</v>
      </c>
      <c r="K66" s="57">
        <v>37100</v>
      </c>
      <c r="L66" s="87">
        <v>9296.5220466373139</v>
      </c>
      <c r="M66" s="87">
        <v>17809.644481572828</v>
      </c>
      <c r="N66" s="57">
        <v>12060.225</v>
      </c>
      <c r="O66" s="57">
        <v>5699.0862341033053</v>
      </c>
      <c r="P66" s="57">
        <v>6233.3755685504902</v>
      </c>
      <c r="Q66" s="88">
        <f>IFERROR(IF(tblPiNAnalysis[[#This Row],[SAMV]]="", "", MROUND(tblPiNAnalysis[[#This Row],[SAMV]]/tblPiNAnalysis[[#This Row],[Población]], 0.05)), "")</f>
        <v>0.25</v>
      </c>
      <c r="R66" s="89">
        <f>IFERROR(IF(tblPiNAnalysis[[#This Row],[NUT]]="", "", MROUND(tblPiNAnalysis[[#This Row],[NUT]]/tblPiNAnalysis[[#This Row],[Población]], 0.05)), "")</f>
        <v>0.05</v>
      </c>
      <c r="S66" s="89">
        <f>IFERROR(IF(tblPiNAnalysis[[#This Row],[SAL]]="", "", MROUND(tblPiNAnalysis[[#This Row],[SAL]]/tblPiNAnalysis[[#This Row],[Población]], 0.05)), "")</f>
        <v>0.4</v>
      </c>
      <c r="T66" s="89">
        <f>IFERROR(IF(tblPiNAnalysis[[#This Row],[EDU]]="", "", MROUND(tblPiNAnalysis[[#This Row],[EDU]]/tblPiNAnalysis[[#This Row],[Población]], 0.05)), "")</f>
        <v>0.1</v>
      </c>
      <c r="U66" s="89">
        <f>IFERROR(IF(tblPiNAnalysis[[#This Row],[PRO]]="", "", MROUND(tblPiNAnalysis[[#This Row],[PRO]]/tblPiNAnalysis[[#This Row],[Población]], 0.05)), "")</f>
        <v>0.2</v>
      </c>
      <c r="V66" s="90">
        <f>IFERROR(IF(tblPiNAnalysis[[#This Row],[ASH]]="", "", MROUND(tblPiNAnalysis[[#This Row],[ASH]]/tblPiNAnalysis[[#This Row],[Población]], 0.05)), "")</f>
        <v>0.15000000000000002</v>
      </c>
      <c r="W66" s="89">
        <f>IFERROR(MROUND(tblPiNAnalysis[[#This Row],[NNA]]/tblPiNAnalysis[[#This Row],[Población]], 0.05), "")</f>
        <v>0.05</v>
      </c>
      <c r="X66" s="89">
        <f>IFERROR(MROUND(tblPiNAnalysis[[#This Row],[VBG]]/tblPiNAnalysis[[#This Row],[Población]], 0.05), "")</f>
        <v>0.05</v>
      </c>
      <c r="Y66" s="91">
        <f>IFERROR(LARGE(tblPiNAnalysis[[#This Row],[SAMV]:[ASH]], 1), "")</f>
        <v>37100</v>
      </c>
      <c r="Z66" s="92" t="str" cm="1">
        <f t="array" ref="Z66">IF(tblPiNAnalysis[[#This Row],[PiN más alto]]="", "", _xlfn.TEXTJOIN(CHAR(10), TRUE, IF(tblPiNAnalysis[[#This Row],[PiN más alto]]=tblPiNAnalysis[[#This Row],[SAMV]:[ASH]], tblPiNAnalysis[[#Headers],[SAMV]:[ASH]], "")))</f>
        <v>SAL</v>
      </c>
      <c r="AA66" s="93">
        <f>IF(tblPiNAnalysis[[#This Row],[PiN más alto]]="", "", tblPiNAnalysis[[#This Row],[PiN más alto]]/tblPiNAnalysis[[#This Row],[Población]])</f>
        <v>0.41529075950075556</v>
      </c>
      <c r="AB66" s="94" t="str">
        <f>IF(SUM(tblPiNAnalysis[[#This Row],[SAMV]:[ASH]])=0, "",IF(COUNTIF(tblPiNAnalysis[[#This Row],[SAMV]:[ASH]],"=0")+COUNTIF(tblPiNAnalysis[[#This Row],[SAMV]:[ASH]],"")&gt;=zero_pin_thresh, "Flagged", ""))</f>
        <v/>
      </c>
      <c r="AC66" s="95" t="str">
        <f>IFERROR(IF(tblPiNAnalysis[[#This Row],[PiN más alto]]="", "", IF(tblPiNAnalysis[[#This Row],[% PiN Sectores más altos]]&gt;=flag_pin_perc, "Flagged", "")), "")</f>
        <v/>
      </c>
      <c r="AD66" s="96" t="str" cm="1">
        <f t="array" ref="AD66">IF(tblPiNAnalysis[[#This Row],[PiN más alto]]=0, "",  IF(OR(COUNTIF(tblPiNAnalysis[[#This Row],[Sectores más altos]],tblSubSectorPopulation[Sector])), "Flagged", ""))</f>
        <v/>
      </c>
      <c r="AE66" s="16" cm="1">
        <f t="array" ref="AE6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22136</v>
      </c>
      <c r="AF66" s="97" t="str" cm="1">
        <f t="array" ref="AF66">IF(tblPiNAnalysis[[#This Row],[2º PiN más alto]]="", "", _xlfn.TEXTJOIN(CHAR(10), TRUE, IF(tblPiNAnalysis[[#This Row],[2º PiN más alto]]=tblPiNAnalysis[[#This Row],[SAMV]:[ASH]], tblPiNAnalysis[[#Headers],[SAMV]:[ASH]], "")))</f>
        <v>SAMV</v>
      </c>
      <c r="AG66" s="12">
        <f>IFERROR(tblPiNAnalysis[[#This Row],[2º PiN más alto]]/tblPiNAnalysis[[#This Row],[Población]], "")</f>
        <v>0.24778642189511391</v>
      </c>
      <c r="AH66" s="16">
        <f>IFERROR(tblPiNAnalysis[[#This Row],[PiN más alto]]-tblPiNAnalysis[[#This Row],[2º PiN más alto]], "")</f>
        <v>14964</v>
      </c>
      <c r="AI66" s="14">
        <f>IFERROR(((tblPiNAnalysis[[#This Row],[PiN más alto]]-tblPiNAnalysis[[#This Row],[2º PiN más alto]])/tblPiNAnalysis[[#This Row],[2º PiN más alto]]),"")</f>
        <v>0.67600289121792556</v>
      </c>
      <c r="AJ66" s="14" t="str" cm="1">
        <f t="array" ref="AJ6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66" s="98" cm="1">
        <f t="array" ref="AK6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17809.644481572828</v>
      </c>
      <c r="AL66" s="53" t="str" cm="1">
        <f t="array" ref="AL66">IF(tblPiNAnalysis[[#This Row],[3º PiN más alto]]="", "", _xlfn.TEXTJOIN(CHAR(10), TRUE, IF(tblPiNAnalysis[[#This Row],[3º PiN más alto]]=tblPiNAnalysis[[#This Row],[SAMV]:[ASH]], tblPiNAnalysis[[#Headers],[SAMV]:[ASH]], "")))</f>
        <v>PRO</v>
      </c>
      <c r="AM66" s="53">
        <f>IFERROR(tblPiNAnalysis[[#This Row],[3º PiN más alto]]/tblPiNAnalysis[[#This Row],[Población]], "")</f>
        <v>0.19935797259274449</v>
      </c>
      <c r="AN66" s="15">
        <f>IFERROR(tblPiNAnalysis[[#This Row],[PiN más alto]]-tblPiNAnalysis[[#This Row],[3º PiN más alto]],"")</f>
        <v>19290.355518427172</v>
      </c>
      <c r="AO66" s="14">
        <f>IFERROR(tblPiNAnalysis[[#This Row],[Diferencia de PiN entre el más alto y el 3º más alto]]/tblPiNAnalysis[[#This Row],[3º PiN más alto]], "")</f>
        <v>1.0831409654688164</v>
      </c>
      <c r="AP66" s="96" t="str" cm="1">
        <f t="array" ref="AP6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66" s="84" cm="1">
        <f t="array" ref="AQ66">IFERROR(IF(tblPiNAnalysis[[#This Row],[ID]]="", "", INDEX(tblPiNHistorical[[SAMV]:[ASH]], MATCH(tblPiNAnalysis[[#This Row],[ID]],tblPiNHistorical[ID], 0),MATCH(_xlfn._xlws.FILTER(tblPiNAnalysis[[#Headers],[SAMV]:[ASH]], tblPiNAnalysis[[#This Row],[PiN más alto]]=tblPiNAnalysis[[#This Row],[SAMV]:[ASH]]), tblPiNHistorical[[#Headers],[SAMV]:[ASH]], 0))), "")</f>
        <v>-0.6</v>
      </c>
      <c r="AR66" s="99" t="str" cm="1">
        <f t="array" ref="AR6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66" s="74" cm="1">
        <f t="array" ref="AS66">IFERROR(IF(tblPiNAnalysis[[#This Row],[ID]]="", "", INDEX(tblPiNHistorical[[SAMV]:[ASH]], MATCH(tblPiNAnalysis[[#This Row],[ID]],tblPiNHistorical[ID], 0),MATCH(_xlfn._xlws.FILTER(tblPiNAnalysis[[#Headers],[SAMV]:[ASH]], tblPiNAnalysis[[#This Row],[2º PiN más alto]]=tblPiNAnalysis[[#This Row],[SAMV]:[ASH]]), tblPiNHistorical[[#Headers],[SAMV]:[ASH]], 0))), "")</f>
        <v>-0.8</v>
      </c>
      <c r="AT66" s="100" t="str" cm="1">
        <f t="array" ref="AT6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66" s="219">
        <f>INDEX(tblSeverityAnalysis[Severidad final], MATCH(tblPiNAnalysis[[#This Row],[ID]],tblSeverityAnalysis[ID], 0))</f>
        <v>4</v>
      </c>
      <c r="AV66" s="220">
        <f>IF(tblPiNAnalysis[[#This Row],[Severidad]]&gt;2,tblPiNAnalysis[[#This Row],[PiN más alto]],)</f>
        <v>37100</v>
      </c>
      <c r="AW66" s="54"/>
      <c r="AX66" s="55"/>
      <c r="AY66" s="56">
        <f>COUNTIFS(tblPiNAnalysis[[#This Row],[Número de PiN ausentes/cero superior al umbral - Calidad de los datos]:[Marcador manual]],"Flagged")</f>
        <v>2</v>
      </c>
      <c r="AZ66" s="34" t="str">
        <f>IF(tblPiNAnalysis[[#This Row],[Número de marcadores]]&gt;0, "Flagged", "")</f>
        <v>Flagged</v>
      </c>
      <c r="BA66" s="92">
        <f>tblPiNAnalysis[[#This Row],[PiN preliminar]]</f>
        <v>37100</v>
      </c>
      <c r="BB66" s="97"/>
      <c r="BC66" s="70">
        <f>IFERROR(IF(tblPiNAnalysis[[#This Row],[Severidad]]=3,tblPiNAnalysis[[#This Row],[PiN final]]*Umbrales!$D$33,tblPiNAnalysis[[#This Row],[PiN final]]*Umbrales!$D$34),)</f>
        <v>37100</v>
      </c>
      <c r="BD66" s="70">
        <f>IFERROR(IF(tblPiNAnalysis[[#This Row],[Severidad]]&gt;3,tblPiNAnalysis[[#This Row],[PiN final]]*Umbrales!$D$34,),)</f>
        <v>37100</v>
      </c>
    </row>
    <row r="67" spans="1:56">
      <c r="A67" s="101" t="str">
        <f>IFERROR(_xlfn.CONCAT(IF(tblPiNAnalysis[[#This Row],[Grupo]]="", "",tblPiNAnalysis[[#This Row],[Grupo]] ),  _xlfn.IFS(tblPiNAnalysis[[#This Row],[Admin2PCODE]]&lt;&gt;"", tblPiNAnalysis[[#This Row],[Admin2PCODE]], tblPiNAnalysis[[#This Row],[Admin1PCODE]]&lt;&gt;"", tblPiNAnalysis[[#This Row],[Admin1PCODE]])),"")</f>
        <v>VenezolanosVE2318</v>
      </c>
      <c r="B67" s="105" t="s">
        <v>705</v>
      </c>
      <c r="C67" s="104" t="s">
        <v>706</v>
      </c>
      <c r="D67" s="119" t="s">
        <v>739</v>
      </c>
      <c r="E67" s="104" t="s">
        <v>740</v>
      </c>
      <c r="F67" s="358"/>
      <c r="G67" s="357">
        <v>61213</v>
      </c>
      <c r="H67" s="103" t="s">
        <v>102</v>
      </c>
      <c r="I67" s="60">
        <v>29382</v>
      </c>
      <c r="J67" s="134">
        <v>2910.0553634650723</v>
      </c>
      <c r="K67" s="57">
        <v>22342.744999999999</v>
      </c>
      <c r="L67" s="87">
        <v>10800.898750522818</v>
      </c>
      <c r="M67" s="87">
        <v>14589.665401218521</v>
      </c>
      <c r="N67" s="57">
        <v>36727.799999999996</v>
      </c>
      <c r="O67" s="57">
        <v>4668.6929283899262</v>
      </c>
      <c r="P67" s="57">
        <v>5106.3828904264819</v>
      </c>
      <c r="Q67" s="88">
        <f>IFERROR(IF(tblPiNAnalysis[[#This Row],[SAMV]]="", "", MROUND(tblPiNAnalysis[[#This Row],[SAMV]]/tblPiNAnalysis[[#This Row],[Población]], 0.05)), "")</f>
        <v>0.5</v>
      </c>
      <c r="R67" s="89">
        <f>IFERROR(IF(tblPiNAnalysis[[#This Row],[NUT]]="", "", MROUND(tblPiNAnalysis[[#This Row],[NUT]]/tblPiNAnalysis[[#This Row],[Población]], 0.05)), "")</f>
        <v>0.05</v>
      </c>
      <c r="S67" s="89">
        <f>IFERROR(IF(tblPiNAnalysis[[#This Row],[SAL]]="", "", MROUND(tblPiNAnalysis[[#This Row],[SAL]]/tblPiNAnalysis[[#This Row],[Población]], 0.05)), "")</f>
        <v>0.35000000000000003</v>
      </c>
      <c r="T67" s="89">
        <f>IFERROR(IF(tblPiNAnalysis[[#This Row],[EDU]]="", "", MROUND(tblPiNAnalysis[[#This Row],[EDU]]/tblPiNAnalysis[[#This Row],[Población]], 0.05)), "")</f>
        <v>0.2</v>
      </c>
      <c r="U67" s="89">
        <f>IFERROR(IF(tblPiNAnalysis[[#This Row],[PRO]]="", "", MROUND(tblPiNAnalysis[[#This Row],[PRO]]/tblPiNAnalysis[[#This Row],[Población]], 0.05)), "")</f>
        <v>0.25</v>
      </c>
      <c r="V67" s="90">
        <f>IFERROR(IF(tblPiNAnalysis[[#This Row],[ASH]]="", "", MROUND(tblPiNAnalysis[[#This Row],[ASH]]/tblPiNAnalysis[[#This Row],[Población]], 0.05)), "")</f>
        <v>0.60000000000000009</v>
      </c>
      <c r="W67" s="89">
        <f>IFERROR(MROUND(tblPiNAnalysis[[#This Row],[NNA]]/tblPiNAnalysis[[#This Row],[Población]], 0.05), "")</f>
        <v>0.1</v>
      </c>
      <c r="X67" s="89">
        <f>IFERROR(MROUND(tblPiNAnalysis[[#This Row],[VBG]]/tblPiNAnalysis[[#This Row],[Población]], 0.05), "")</f>
        <v>0.1</v>
      </c>
      <c r="Y67" s="91">
        <f>IFERROR(LARGE(tblPiNAnalysis[[#This Row],[SAMV]:[ASH]], 1), "")</f>
        <v>36727.799999999996</v>
      </c>
      <c r="Z67" s="92" t="str" cm="1">
        <f t="array" ref="Z67">IF(tblPiNAnalysis[[#This Row],[PiN más alto]]="", "", _xlfn.TEXTJOIN(CHAR(10), TRUE, IF(tblPiNAnalysis[[#This Row],[PiN más alto]]=tblPiNAnalysis[[#This Row],[SAMV]:[ASH]], tblPiNAnalysis[[#Headers],[SAMV]:[ASH]], "")))</f>
        <v>ASH</v>
      </c>
      <c r="AA67" s="93">
        <f>IF(tblPiNAnalysis[[#This Row],[PiN más alto]]="", "", tblPiNAnalysis[[#This Row],[PiN más alto]]/tblPiNAnalysis[[#This Row],[Población]])</f>
        <v>0.6</v>
      </c>
      <c r="AB67" s="94" t="str">
        <f>IF(SUM(tblPiNAnalysis[[#This Row],[SAMV]:[ASH]])=0, "",IF(COUNTIF(tblPiNAnalysis[[#This Row],[SAMV]:[ASH]],"=0")+COUNTIF(tblPiNAnalysis[[#This Row],[SAMV]:[ASH]],"")&gt;=zero_pin_thresh, "Flagged", ""))</f>
        <v/>
      </c>
      <c r="AC67" s="95" t="str">
        <f>IFERROR(IF(tblPiNAnalysis[[#This Row],[PiN más alto]]="", "", IF(tblPiNAnalysis[[#This Row],[% PiN Sectores más altos]]&gt;=flag_pin_perc, "Flagged", "")), "")</f>
        <v/>
      </c>
      <c r="AD67" s="96" t="str" cm="1">
        <f t="array" ref="AD67">IF(tblPiNAnalysis[[#This Row],[PiN más alto]]=0, "",  IF(OR(COUNTIF(tblPiNAnalysis[[#This Row],[Sectores más altos]],tblSubSectorPopulation[Sector])), "Flagged", ""))</f>
        <v/>
      </c>
      <c r="AE67" s="16" cm="1">
        <f t="array" ref="AE6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29382</v>
      </c>
      <c r="AF67" s="97" t="str" cm="1">
        <f t="array" ref="AF67">IF(tblPiNAnalysis[[#This Row],[2º PiN más alto]]="", "", _xlfn.TEXTJOIN(CHAR(10), TRUE, IF(tblPiNAnalysis[[#This Row],[2º PiN más alto]]=tblPiNAnalysis[[#This Row],[SAMV]:[ASH]], tblPiNAnalysis[[#Headers],[SAMV]:[ASH]], "")))</f>
        <v>SAMV</v>
      </c>
      <c r="AG67" s="12">
        <f>IFERROR(tblPiNAnalysis[[#This Row],[2º PiN más alto]]/tblPiNAnalysis[[#This Row],[Población]], "")</f>
        <v>0.47999607926420856</v>
      </c>
      <c r="AH67" s="16">
        <f>IFERROR(tblPiNAnalysis[[#This Row],[PiN más alto]]-tblPiNAnalysis[[#This Row],[2º PiN más alto]], "")</f>
        <v>7345.7999999999956</v>
      </c>
      <c r="AI67" s="14">
        <f>IFERROR(((tblPiNAnalysis[[#This Row],[PiN más alto]]-tblPiNAnalysis[[#This Row],[2º PiN más alto]])/tblPiNAnalysis[[#This Row],[2º PiN más alto]]),"")</f>
        <v>0.2500102103328567</v>
      </c>
      <c r="AJ67" s="14" t="str" cm="1">
        <f t="array" ref="AJ6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67" s="98" cm="1">
        <f t="array" ref="AK6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22342.744999999999</v>
      </c>
      <c r="AL67" s="53" t="str" cm="1">
        <f t="array" ref="AL67">IF(tblPiNAnalysis[[#This Row],[3º PiN más alto]]="", "", _xlfn.TEXTJOIN(CHAR(10), TRUE, IF(tblPiNAnalysis[[#This Row],[3º PiN más alto]]=tblPiNAnalysis[[#This Row],[SAMV]:[ASH]], tblPiNAnalysis[[#Headers],[SAMV]:[ASH]], "")))</f>
        <v>SAL</v>
      </c>
      <c r="AM67" s="53">
        <f>IFERROR(tblPiNAnalysis[[#This Row],[3º PiN más alto]]/tblPiNAnalysis[[#This Row],[Población]], "")</f>
        <v>0.36499999999999999</v>
      </c>
      <c r="AN67" s="15">
        <f>IFERROR(tblPiNAnalysis[[#This Row],[PiN más alto]]-tblPiNAnalysis[[#This Row],[3º PiN más alto]],"")</f>
        <v>14385.054999999997</v>
      </c>
      <c r="AO67" s="14">
        <f>IFERROR(tblPiNAnalysis[[#This Row],[Diferencia de PiN entre el más alto y el 3º más alto]]/tblPiNAnalysis[[#This Row],[3º PiN más alto]], "")</f>
        <v>0.64383561643835607</v>
      </c>
      <c r="AP67" s="96" t="str" cm="1">
        <f t="array" ref="AP6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67" s="84" t="str" cm="1">
        <f t="array" ref="AQ67">IFERROR(IF(tblPiNAnalysis[[#This Row],[ID]]="", "", INDEX(tblPiNHistorical[[SAMV]:[ASH]], MATCH(tblPiNAnalysis[[#This Row],[ID]],tblPiNHistorical[ID], 0),MATCH(_xlfn._xlws.FILTER(tblPiNAnalysis[[#Headers],[SAMV]:[ASH]], tblPiNAnalysis[[#This Row],[PiN más alto]]=tblPiNAnalysis[[#This Row],[SAMV]:[ASH]]), tblPiNHistorical[[#Headers],[SAMV]:[ASH]], 0))), "")</f>
        <v>NoPIN26 11973</v>
      </c>
      <c r="AR67" s="99" t="str" cm="1">
        <f t="array" ref="AR6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67" s="74" cm="1">
        <f t="array" ref="AS67">IFERROR(IF(tblPiNAnalysis[[#This Row],[ID]]="", "", INDEX(tblPiNHistorical[[SAMV]:[ASH]], MATCH(tblPiNAnalysis[[#This Row],[ID]],tblPiNHistorical[ID], 0),MATCH(_xlfn._xlws.FILTER(tblPiNAnalysis[[#Headers],[SAMV]:[ASH]], tblPiNAnalysis[[#This Row],[2º PiN más alto]]=tblPiNAnalysis[[#This Row],[SAMV]:[ASH]]), tblPiNHistorical[[#Headers],[SAMV]:[ASH]], 0))), "")</f>
        <v>-0.8</v>
      </c>
      <c r="AT67" s="100" t="str" cm="1">
        <f t="array" ref="AT6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67" s="219">
        <f>INDEX(tblSeverityAnalysis[Severidad final], MATCH(tblPiNAnalysis[[#This Row],[ID]],tblSeverityAnalysis[ID], 0))</f>
        <v>3</v>
      </c>
      <c r="AV67" s="220">
        <f>IF(tblPiNAnalysis[[#This Row],[Severidad]]&gt;2,tblPiNAnalysis[[#This Row],[PiN más alto]],)</f>
        <v>36727.799999999996</v>
      </c>
      <c r="AW67" s="54"/>
      <c r="AX67" s="55"/>
      <c r="AY67" s="56">
        <f>COUNTIFS(tblPiNAnalysis[[#This Row],[Número de PiN ausentes/cero superior al umbral - Calidad de los datos]:[Marcador manual]],"Flagged")</f>
        <v>1</v>
      </c>
      <c r="AZ67" s="34" t="str">
        <f>IF(tblPiNAnalysis[[#This Row],[Número de marcadores]]&gt;0, "Flagged", "")</f>
        <v>Flagged</v>
      </c>
      <c r="BA67" s="92">
        <f>tblPiNAnalysis[[#This Row],[PiN preliminar]]</f>
        <v>36727.799999999996</v>
      </c>
      <c r="BB67" s="97"/>
      <c r="BC67" s="70">
        <f>IFERROR(IF(tblPiNAnalysis[[#This Row],[Severidad]]=3,tblPiNAnalysis[[#This Row],[PiN final]]*Umbrales!$D$33,tblPiNAnalysis[[#This Row],[PiN final]]*Umbrales!$D$34),)</f>
        <v>18363.899999999998</v>
      </c>
      <c r="BD67" s="70">
        <f>IFERROR(IF(tblPiNAnalysis[[#This Row],[Severidad]]&gt;3,tblPiNAnalysis[[#This Row],[PiN final]]*Umbrales!$D$34,),)</f>
        <v>0</v>
      </c>
    </row>
    <row r="68" spans="1:56">
      <c r="A68" s="101" t="str">
        <f>IFERROR(_xlfn.CONCAT(IF(tblPiNAnalysis[[#This Row],[Grupo]]="", "",tblPiNAnalysis[[#This Row],[Grupo]] ),  _xlfn.IFS(tblPiNAnalysis[[#This Row],[Admin2PCODE]]&lt;&gt;"", tblPiNAnalysis[[#This Row],[Admin2PCODE]], tblPiNAnalysis[[#This Row],[Admin1PCODE]]&lt;&gt;"", tblPiNAnalysis[[#This Row],[Admin1PCODE]])),"")</f>
        <v>VenezolanosVE2314</v>
      </c>
      <c r="B68" s="105" t="s">
        <v>705</v>
      </c>
      <c r="C68" s="104" t="s">
        <v>706</v>
      </c>
      <c r="D68" s="119" t="s">
        <v>276</v>
      </c>
      <c r="E68" s="104" t="s">
        <v>733</v>
      </c>
      <c r="F68" s="358"/>
      <c r="G68" s="357">
        <v>99665</v>
      </c>
      <c r="H68" s="103" t="s">
        <v>102</v>
      </c>
      <c r="I68" s="60">
        <v>16834</v>
      </c>
      <c r="J68" s="134">
        <v>4756.3259010896445</v>
      </c>
      <c r="K68" s="57">
        <v>36377.724999999999</v>
      </c>
      <c r="L68" s="87">
        <v>14982.530651763009</v>
      </c>
      <c r="M68" s="87">
        <v>23754.414948008503</v>
      </c>
      <c r="N68" s="57">
        <v>13454.775</v>
      </c>
      <c r="O68" s="57">
        <v>7601.4127833627208</v>
      </c>
      <c r="P68" s="57">
        <v>8314.0452318029766</v>
      </c>
      <c r="Q68" s="88">
        <f>IFERROR(IF(tblPiNAnalysis[[#This Row],[SAMV]]="", "", MROUND(tblPiNAnalysis[[#This Row],[SAMV]]/tblPiNAnalysis[[#This Row],[Población]], 0.05)), "")</f>
        <v>0.15000000000000002</v>
      </c>
      <c r="R68" s="89">
        <f>IFERROR(IF(tblPiNAnalysis[[#This Row],[NUT]]="", "", MROUND(tblPiNAnalysis[[#This Row],[NUT]]/tblPiNAnalysis[[#This Row],[Población]], 0.05)), "")</f>
        <v>0.05</v>
      </c>
      <c r="S68" s="89">
        <f>IFERROR(IF(tblPiNAnalysis[[#This Row],[SAL]]="", "", MROUND(tblPiNAnalysis[[#This Row],[SAL]]/tblPiNAnalysis[[#This Row],[Población]], 0.05)), "")</f>
        <v>0.35000000000000003</v>
      </c>
      <c r="T68" s="89">
        <f>IFERROR(IF(tblPiNAnalysis[[#This Row],[EDU]]="", "", MROUND(tblPiNAnalysis[[#This Row],[EDU]]/tblPiNAnalysis[[#This Row],[Población]], 0.05)), "")</f>
        <v>0.15000000000000002</v>
      </c>
      <c r="U68" s="89">
        <f>IFERROR(IF(tblPiNAnalysis[[#This Row],[PRO]]="", "", MROUND(tblPiNAnalysis[[#This Row],[PRO]]/tblPiNAnalysis[[#This Row],[Población]], 0.05)), "")</f>
        <v>0.25</v>
      </c>
      <c r="V68" s="90">
        <f>IFERROR(IF(tblPiNAnalysis[[#This Row],[ASH]]="", "", MROUND(tblPiNAnalysis[[#This Row],[ASH]]/tblPiNAnalysis[[#This Row],[Población]], 0.05)), "")</f>
        <v>0.15000000000000002</v>
      </c>
      <c r="W68" s="89">
        <f>IFERROR(MROUND(tblPiNAnalysis[[#This Row],[NNA]]/tblPiNAnalysis[[#This Row],[Población]], 0.05), "")</f>
        <v>0.1</v>
      </c>
      <c r="X68" s="89">
        <f>IFERROR(MROUND(tblPiNAnalysis[[#This Row],[VBG]]/tblPiNAnalysis[[#This Row],[Población]], 0.05), "")</f>
        <v>0.1</v>
      </c>
      <c r="Y68" s="91">
        <f>IFERROR(LARGE(tblPiNAnalysis[[#This Row],[SAMV]:[ASH]], 1), "")</f>
        <v>36377.724999999999</v>
      </c>
      <c r="Z68" s="92" t="str" cm="1">
        <f t="array" ref="Z68">IF(tblPiNAnalysis[[#This Row],[PiN más alto]]="", "", _xlfn.TEXTJOIN(CHAR(10), TRUE, IF(tblPiNAnalysis[[#This Row],[PiN más alto]]=tblPiNAnalysis[[#This Row],[SAMV]:[ASH]], tblPiNAnalysis[[#Headers],[SAMV]:[ASH]], "")))</f>
        <v>SAL</v>
      </c>
      <c r="AA68" s="93">
        <f>IF(tblPiNAnalysis[[#This Row],[PiN más alto]]="", "", tblPiNAnalysis[[#This Row],[PiN más alto]]/tblPiNAnalysis[[#This Row],[Población]])</f>
        <v>0.36499999999999999</v>
      </c>
      <c r="AB68" s="94" t="str">
        <f>IF(SUM(tblPiNAnalysis[[#This Row],[SAMV]:[ASH]])=0, "",IF(COUNTIF(tblPiNAnalysis[[#This Row],[SAMV]:[ASH]],"=0")+COUNTIF(tblPiNAnalysis[[#This Row],[SAMV]:[ASH]],"")&gt;=zero_pin_thresh, "Flagged", ""))</f>
        <v/>
      </c>
      <c r="AC68" s="95" t="str">
        <f>IFERROR(IF(tblPiNAnalysis[[#This Row],[PiN más alto]]="", "", IF(tblPiNAnalysis[[#This Row],[% PiN Sectores más altos]]&gt;=flag_pin_perc, "Flagged", "")), "")</f>
        <v/>
      </c>
      <c r="AD68" s="96" t="str" cm="1">
        <f t="array" ref="AD68">IF(tblPiNAnalysis[[#This Row],[PiN más alto]]=0, "",  IF(OR(COUNTIF(tblPiNAnalysis[[#This Row],[Sectores más altos]],tblSubSectorPopulation[Sector])), "Flagged", ""))</f>
        <v/>
      </c>
      <c r="AE68" s="16" cm="1">
        <f t="array" ref="AE6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23754.414948008503</v>
      </c>
      <c r="AF68" s="97" t="str" cm="1">
        <f t="array" ref="AF68">IF(tblPiNAnalysis[[#This Row],[2º PiN más alto]]="", "", _xlfn.TEXTJOIN(CHAR(10), TRUE, IF(tblPiNAnalysis[[#This Row],[2º PiN más alto]]=tblPiNAnalysis[[#This Row],[SAMV]:[ASH]], tblPiNAnalysis[[#Headers],[SAMV]:[ASH]], "")))</f>
        <v>PRO</v>
      </c>
      <c r="AG68" s="12">
        <f>IFERROR(tblPiNAnalysis[[#This Row],[2º PiN más alto]]/tblPiNAnalysis[[#This Row],[Población]], "")</f>
        <v>0.23834259718064019</v>
      </c>
      <c r="AH68" s="16">
        <f>IFERROR(tblPiNAnalysis[[#This Row],[PiN más alto]]-tblPiNAnalysis[[#This Row],[2º PiN más alto]], "")</f>
        <v>12623.310051991495</v>
      </c>
      <c r="AI68" s="14">
        <f>IFERROR(((tblPiNAnalysis[[#This Row],[PiN más alto]]-tblPiNAnalysis[[#This Row],[2º PiN más alto]])/tblPiNAnalysis[[#This Row],[2º PiN más alto]]),"")</f>
        <v>0.53140900668866164</v>
      </c>
      <c r="AJ68" s="14" t="str" cm="1">
        <f t="array" ref="AJ6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68" s="98" cm="1">
        <f t="array" ref="AK6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16834</v>
      </c>
      <c r="AL68" s="53" t="str" cm="1">
        <f t="array" ref="AL68">IF(tblPiNAnalysis[[#This Row],[3º PiN más alto]]="", "", _xlfn.TEXTJOIN(CHAR(10), TRUE, IF(tblPiNAnalysis[[#This Row],[3º PiN más alto]]=tblPiNAnalysis[[#This Row],[SAMV]:[ASH]], tblPiNAnalysis[[#Headers],[SAMV]:[ASH]], "")))</f>
        <v>SAMV</v>
      </c>
      <c r="AM68" s="53">
        <f>IFERROR(tblPiNAnalysis[[#This Row],[3º PiN más alto]]/tblPiNAnalysis[[#This Row],[Población]], "")</f>
        <v>0.16890583454572819</v>
      </c>
      <c r="AN68" s="15">
        <f>IFERROR(tblPiNAnalysis[[#This Row],[PiN más alto]]-tblPiNAnalysis[[#This Row],[3º PiN más alto]],"")</f>
        <v>19543.724999999999</v>
      </c>
      <c r="AO68" s="14">
        <f>IFERROR(tblPiNAnalysis[[#This Row],[Diferencia de PiN entre el más alto y el 3º más alto]]/tblPiNAnalysis[[#This Row],[3º PiN más alto]], "")</f>
        <v>1.1609673874302007</v>
      </c>
      <c r="AP68" s="96" t="str" cm="1">
        <f t="array" ref="AP6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68" s="84" cm="1">
        <f t="array" ref="AQ68">IFERROR(IF(tblPiNAnalysis[[#This Row],[ID]]="", "", INDEX(tblPiNHistorical[[SAMV]:[ASH]], MATCH(tblPiNAnalysis[[#This Row],[ID]],tblPiNHistorical[ID], 0),MATCH(_xlfn._xlws.FILTER(tblPiNAnalysis[[#Headers],[SAMV]:[ASH]], tblPiNAnalysis[[#This Row],[PiN más alto]]=tblPiNAnalysis[[#This Row],[SAMV]:[ASH]]), tblPiNHistorical[[#Headers],[SAMV]:[ASH]], 0))), "")</f>
        <v>-0.5</v>
      </c>
      <c r="AR68" s="99" t="str" cm="1">
        <f t="array" ref="AR6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68" s="74" cm="1">
        <f t="array" ref="AS68">IFERROR(IF(tblPiNAnalysis[[#This Row],[ID]]="", "", INDEX(tblPiNHistorical[[SAMV]:[ASH]], MATCH(tblPiNAnalysis[[#This Row],[ID]],tblPiNHistorical[ID], 0),MATCH(_xlfn._xlws.FILTER(tblPiNAnalysis[[#Headers],[SAMV]:[ASH]], tblPiNAnalysis[[#This Row],[2º PiN más alto]]=tblPiNAnalysis[[#This Row],[SAMV]:[ASH]]), tblPiNHistorical[[#Headers],[SAMV]:[ASH]], 0))), "")</f>
        <v>-0.8</v>
      </c>
      <c r="AT68" s="100" t="str" cm="1">
        <f t="array" ref="AT6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68" s="219">
        <f>INDEX(tblSeverityAnalysis[Severidad final], MATCH(tblPiNAnalysis[[#This Row],[ID]],tblSeverityAnalysis[ID], 0))</f>
        <v>3</v>
      </c>
      <c r="AV68" s="220">
        <f>IF(tblPiNAnalysis[[#This Row],[Severidad]]&gt;2,tblPiNAnalysis[[#This Row],[PiN más alto]],)</f>
        <v>36377.724999999999</v>
      </c>
      <c r="AW68" s="54"/>
      <c r="AX68" s="55"/>
      <c r="AY68" s="56">
        <f>COUNTIFS(tblPiNAnalysis[[#This Row],[Número de PiN ausentes/cero superior al umbral - Calidad de los datos]:[Marcador manual]],"Flagged")</f>
        <v>2</v>
      </c>
      <c r="AZ68" s="34" t="str">
        <f>IF(tblPiNAnalysis[[#This Row],[Número de marcadores]]&gt;0, "Flagged", "")</f>
        <v>Flagged</v>
      </c>
      <c r="BA68" s="92">
        <f>tblPiNAnalysis[[#This Row],[PiN preliminar]]</f>
        <v>36377.724999999999</v>
      </c>
      <c r="BB68" s="97"/>
      <c r="BC68" s="70">
        <f>IFERROR(IF(tblPiNAnalysis[[#This Row],[Severidad]]=3,tblPiNAnalysis[[#This Row],[PiN final]]*Umbrales!$D$33,tblPiNAnalysis[[#This Row],[PiN final]]*Umbrales!$D$34),)</f>
        <v>18188.862499999999</v>
      </c>
      <c r="BD68" s="70">
        <f>IFERROR(IF(tblPiNAnalysis[[#This Row],[Severidad]]&gt;3,tblPiNAnalysis[[#This Row],[PiN final]]*Umbrales!$D$34,),)</f>
        <v>0</v>
      </c>
    </row>
    <row r="69" spans="1:56">
      <c r="A69" s="101" t="str">
        <f>IFERROR(_xlfn.CONCAT(IF(tblPiNAnalysis[[#This Row],[Grupo]]="", "",tblPiNAnalysis[[#This Row],[Grupo]] ),  _xlfn.IFS(tblPiNAnalysis[[#This Row],[Admin2PCODE]]&lt;&gt;"", tblPiNAnalysis[[#This Row],[Admin2PCODE]], tblPiNAnalysis[[#This Row],[Admin1PCODE]]&lt;&gt;"", tblPiNAnalysis[[#This Row],[Admin1PCODE]])),"")</f>
        <v>VenezolanosVE1609</v>
      </c>
      <c r="B69" s="105" t="s">
        <v>491</v>
      </c>
      <c r="C69" s="104" t="s">
        <v>492</v>
      </c>
      <c r="D69" s="119" t="s">
        <v>250</v>
      </c>
      <c r="E69" s="104" t="s">
        <v>504</v>
      </c>
      <c r="F69" s="358"/>
      <c r="G69" s="357">
        <v>47660</v>
      </c>
      <c r="H69" s="103" t="s">
        <v>102</v>
      </c>
      <c r="I69" s="60">
        <v>36142</v>
      </c>
      <c r="J69" s="134">
        <v>1875.4144491096331</v>
      </c>
      <c r="K69" s="57">
        <v>17395.900000000001</v>
      </c>
      <c r="L69" s="87">
        <v>2571.6372799130027</v>
      </c>
      <c r="M69" s="87">
        <v>9517.0575582167694</v>
      </c>
      <c r="N69" s="57">
        <v>0</v>
      </c>
      <c r="O69" s="57">
        <v>3045.458418629366</v>
      </c>
      <c r="P69" s="57">
        <v>3330.9701453758694</v>
      </c>
      <c r="Q69" s="88">
        <f>IFERROR(IF(tblPiNAnalysis[[#This Row],[SAMV]]="", "", MROUND(tblPiNAnalysis[[#This Row],[SAMV]]/tblPiNAnalysis[[#This Row],[Población]], 0.05)), "")</f>
        <v>0.75</v>
      </c>
      <c r="R69" s="89">
        <f>IFERROR(IF(tblPiNAnalysis[[#This Row],[NUT]]="", "", MROUND(tblPiNAnalysis[[#This Row],[NUT]]/tblPiNAnalysis[[#This Row],[Población]], 0.05)), "")</f>
        <v>0.05</v>
      </c>
      <c r="S69" s="89">
        <f>IFERROR(IF(tblPiNAnalysis[[#This Row],[SAL]]="", "", MROUND(tblPiNAnalysis[[#This Row],[SAL]]/tblPiNAnalysis[[#This Row],[Población]], 0.05)), "")</f>
        <v>0.35000000000000003</v>
      </c>
      <c r="T69" s="89">
        <f>IFERROR(IF(tblPiNAnalysis[[#This Row],[EDU]]="", "", MROUND(tblPiNAnalysis[[#This Row],[EDU]]/tblPiNAnalysis[[#This Row],[Población]], 0.05)), "")</f>
        <v>0.05</v>
      </c>
      <c r="U69" s="89">
        <f>IFERROR(IF(tblPiNAnalysis[[#This Row],[PRO]]="", "", MROUND(tblPiNAnalysis[[#This Row],[PRO]]/tblPiNAnalysis[[#This Row],[Población]], 0.05)), "")</f>
        <v>0.2</v>
      </c>
      <c r="V69" s="90">
        <f>IFERROR(IF(tblPiNAnalysis[[#This Row],[ASH]]="", "", MROUND(tblPiNAnalysis[[#This Row],[ASH]]/tblPiNAnalysis[[#This Row],[Población]], 0.05)), "")</f>
        <v>0</v>
      </c>
      <c r="W69" s="89">
        <f>IFERROR(MROUND(tblPiNAnalysis[[#This Row],[NNA]]/tblPiNAnalysis[[#This Row],[Población]], 0.05), "")</f>
        <v>0.05</v>
      </c>
      <c r="X69" s="89">
        <f>IFERROR(MROUND(tblPiNAnalysis[[#This Row],[VBG]]/tblPiNAnalysis[[#This Row],[Población]], 0.05), "")</f>
        <v>0.05</v>
      </c>
      <c r="Y69" s="91">
        <f>IFERROR(LARGE(tblPiNAnalysis[[#This Row],[SAMV]:[ASH]], 1), "")</f>
        <v>36142</v>
      </c>
      <c r="Z69" s="92" t="str" cm="1">
        <f t="array" ref="Z69">IF(tblPiNAnalysis[[#This Row],[PiN más alto]]="", "", _xlfn.TEXTJOIN(CHAR(10), TRUE, IF(tblPiNAnalysis[[#This Row],[PiN más alto]]=tblPiNAnalysis[[#This Row],[SAMV]:[ASH]], tblPiNAnalysis[[#Headers],[SAMV]:[ASH]], "")))</f>
        <v>SAMV</v>
      </c>
      <c r="AA69" s="93">
        <f>IF(tblPiNAnalysis[[#This Row],[PiN más alto]]="", "", tblPiNAnalysis[[#This Row],[PiN más alto]]/tblPiNAnalysis[[#This Row],[Población]])</f>
        <v>0.75832983634074691</v>
      </c>
      <c r="AB69" s="94" t="str">
        <f>IF(SUM(tblPiNAnalysis[[#This Row],[SAMV]:[ASH]])=0, "",IF(COUNTIF(tblPiNAnalysis[[#This Row],[SAMV]:[ASH]],"=0")+COUNTIF(tblPiNAnalysis[[#This Row],[SAMV]:[ASH]],"")&gt;=zero_pin_thresh, "Flagged", ""))</f>
        <v/>
      </c>
      <c r="AC69" s="95" t="str">
        <f>IFERROR(IF(tblPiNAnalysis[[#This Row],[PiN más alto]]="", "", IF(tblPiNAnalysis[[#This Row],[% PiN Sectores más altos]]&gt;=flag_pin_perc, "Flagged", "")), "")</f>
        <v/>
      </c>
      <c r="AD69" s="96" t="str" cm="1">
        <f t="array" ref="AD69">IF(tblPiNAnalysis[[#This Row],[PiN más alto]]=0, "",  IF(OR(COUNTIF(tblPiNAnalysis[[#This Row],[Sectores más altos]],tblSubSectorPopulation[Sector])), "Flagged", ""))</f>
        <v/>
      </c>
      <c r="AE69" s="16" cm="1">
        <f t="array" ref="AE6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17395.900000000001</v>
      </c>
      <c r="AF69" s="97" t="str" cm="1">
        <f t="array" ref="AF69">IF(tblPiNAnalysis[[#This Row],[2º PiN más alto]]="", "", _xlfn.TEXTJOIN(CHAR(10), TRUE, IF(tblPiNAnalysis[[#This Row],[2º PiN más alto]]=tblPiNAnalysis[[#This Row],[SAMV]:[ASH]], tblPiNAnalysis[[#Headers],[SAMV]:[ASH]], "")))</f>
        <v>SAL</v>
      </c>
      <c r="AG69" s="12">
        <f>IFERROR(tblPiNAnalysis[[#This Row],[2º PiN más alto]]/tblPiNAnalysis[[#This Row],[Población]], "")</f>
        <v>0.36500000000000005</v>
      </c>
      <c r="AH69" s="16">
        <f>IFERROR(tblPiNAnalysis[[#This Row],[PiN más alto]]-tblPiNAnalysis[[#This Row],[2º PiN más alto]], "")</f>
        <v>18746.099999999999</v>
      </c>
      <c r="AI69" s="14">
        <f>IFERROR(((tblPiNAnalysis[[#This Row],[PiN más alto]]-tblPiNAnalysis[[#This Row],[2º PiN más alto]])/tblPiNAnalysis[[#This Row],[2º PiN más alto]]),"")</f>
        <v>1.0776159899746491</v>
      </c>
      <c r="AJ69" s="14" t="str" cm="1">
        <f t="array" ref="AJ6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69" s="98" cm="1">
        <f t="array" ref="AK6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9517.0575582167694</v>
      </c>
      <c r="AL69" s="53" t="str" cm="1">
        <f t="array" ref="AL69">IF(tblPiNAnalysis[[#This Row],[3º PiN más alto]]="", "", _xlfn.TEXTJOIN(CHAR(10), TRUE, IF(tblPiNAnalysis[[#This Row],[3º PiN más alto]]=tblPiNAnalysis[[#This Row],[SAMV]:[ASH]], tblPiNAnalysis[[#Headers],[SAMV]:[ASH]], "")))</f>
        <v>PRO</v>
      </c>
      <c r="AM69" s="53">
        <f>IFERROR(tblPiNAnalysis[[#This Row],[3º PiN más alto]]/tblPiNAnalysis[[#This Row],[Población]], "")</f>
        <v>0.19968647835117015</v>
      </c>
      <c r="AN69" s="15">
        <f>IFERROR(tblPiNAnalysis[[#This Row],[PiN más alto]]-tblPiNAnalysis[[#This Row],[3º PiN más alto]],"")</f>
        <v>26624.942441783231</v>
      </c>
      <c r="AO69" s="14">
        <f>IFERROR(tblPiNAnalysis[[#This Row],[Diferencia de PiN entre el más alto y el 3º más alto]]/tblPiNAnalysis[[#This Row],[3º PiN más alto]], "")</f>
        <v>2.7976023344311893</v>
      </c>
      <c r="AP69" s="96" t="str" cm="1">
        <f t="array" ref="AP6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69" s="84" cm="1">
        <f t="array" ref="AQ69">IFERROR(IF(tblPiNAnalysis[[#This Row],[ID]]="", "", INDEX(tblPiNHistorical[[SAMV]:[ASH]], MATCH(tblPiNAnalysis[[#This Row],[ID]],tblPiNHistorical[ID], 0),MATCH(_xlfn._xlws.FILTER(tblPiNAnalysis[[#Headers],[SAMV]:[ASH]], tblPiNAnalysis[[#This Row],[PiN más alto]]=tblPiNAnalysis[[#This Row],[SAMV]:[ASH]]), tblPiNHistorical[[#Headers],[SAMV]:[ASH]], 0))), "")</f>
        <v>-0.7</v>
      </c>
      <c r="AR69" s="99" t="str" cm="1">
        <f t="array" ref="AR6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69" s="74" cm="1">
        <f t="array" ref="AS69">IFERROR(IF(tblPiNAnalysis[[#This Row],[ID]]="", "", INDEX(tblPiNHistorical[[SAMV]:[ASH]], MATCH(tblPiNAnalysis[[#This Row],[ID]],tblPiNHistorical[ID], 0),MATCH(_xlfn._xlws.FILTER(tblPiNAnalysis[[#Headers],[SAMV]:[ASH]], tblPiNAnalysis[[#This Row],[2º PiN más alto]]=tblPiNAnalysis[[#This Row],[SAMV]:[ASH]]), tblPiNHistorical[[#Headers],[SAMV]:[ASH]], 0))), "")</f>
        <v>-0.5</v>
      </c>
      <c r="AT69" s="100" t="str" cm="1">
        <f t="array" ref="AT6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69" s="219">
        <f>INDEX(tblSeverityAnalysis[Severidad final], MATCH(tblPiNAnalysis[[#This Row],[ID]],tblSeverityAnalysis[ID], 0))</f>
        <v>3</v>
      </c>
      <c r="AV69" s="220">
        <f>IF(tblPiNAnalysis[[#This Row],[Severidad]]&gt;2,tblPiNAnalysis[[#This Row],[PiN más alto]],)</f>
        <v>36142</v>
      </c>
      <c r="AW69" s="54"/>
      <c r="AX69" s="55"/>
      <c r="AY69" s="56">
        <f>COUNTIFS(tblPiNAnalysis[[#This Row],[Número de PiN ausentes/cero superior al umbral - Calidad de los datos]:[Marcador manual]],"Flagged")</f>
        <v>2</v>
      </c>
      <c r="AZ69" s="34" t="str">
        <f>IF(tblPiNAnalysis[[#This Row],[Número de marcadores]]&gt;0, "Flagged", "")</f>
        <v>Flagged</v>
      </c>
      <c r="BA69" s="92">
        <f>tblPiNAnalysis[[#This Row],[PiN preliminar]]</f>
        <v>36142</v>
      </c>
      <c r="BB69" s="97"/>
      <c r="BC69" s="70">
        <f>IFERROR(IF(tblPiNAnalysis[[#This Row],[Severidad]]=3,tblPiNAnalysis[[#This Row],[PiN final]]*Umbrales!$D$33,tblPiNAnalysis[[#This Row],[PiN final]]*Umbrales!$D$34),)</f>
        <v>18071</v>
      </c>
      <c r="BD69" s="70">
        <f>IFERROR(IF(tblPiNAnalysis[[#This Row],[Severidad]]&gt;3,tblPiNAnalysis[[#This Row],[PiN final]]*Umbrales!$D$34,),)</f>
        <v>0</v>
      </c>
    </row>
    <row r="70" spans="1:56">
      <c r="A70" s="101" t="str">
        <f>IFERROR(_xlfn.CONCAT(IF(tblPiNAnalysis[[#This Row],[Grupo]]="", "",tblPiNAnalysis[[#This Row],[Grupo]] ),  _xlfn.IFS(tblPiNAnalysis[[#This Row],[Admin2PCODE]]&lt;&gt;"", tblPiNAnalysis[[#This Row],[Admin2PCODE]], tblPiNAnalysis[[#This Row],[Admin1PCODE]]&lt;&gt;"", tblPiNAnalysis[[#This Row],[Admin1PCODE]])),"")</f>
        <v>VenezolanosVE0401</v>
      </c>
      <c r="B70" s="105" t="s">
        <v>163</v>
      </c>
      <c r="C70" s="104" t="s">
        <v>164</v>
      </c>
      <c r="D70" s="119" t="s">
        <v>165</v>
      </c>
      <c r="E70" s="104" t="s">
        <v>166</v>
      </c>
      <c r="F70" s="358"/>
      <c r="G70" s="357">
        <v>59842</v>
      </c>
      <c r="H70" s="103" t="s">
        <v>102</v>
      </c>
      <c r="I70" s="60">
        <v>21868</v>
      </c>
      <c r="J70" s="134">
        <v>6344.3324429168088</v>
      </c>
      <c r="K70" s="57">
        <v>27200</v>
      </c>
      <c r="L70" s="87">
        <v>706.101853914201</v>
      </c>
      <c r="M70" s="87">
        <v>14370.555676661454</v>
      </c>
      <c r="N70" s="57">
        <v>35905.199999999997</v>
      </c>
      <c r="O70" s="57">
        <v>4598.577816531666</v>
      </c>
      <c r="P70" s="57">
        <v>5029.6944868315077</v>
      </c>
      <c r="Q70" s="88">
        <f>IFERROR(IF(tblPiNAnalysis[[#This Row],[SAMV]]="", "", MROUND(tblPiNAnalysis[[#This Row],[SAMV]]/tblPiNAnalysis[[#This Row],[Población]], 0.05)), "")</f>
        <v>0.35000000000000003</v>
      </c>
      <c r="R70" s="89">
        <f>IFERROR(IF(tblPiNAnalysis[[#This Row],[NUT]]="", "", MROUND(tblPiNAnalysis[[#This Row],[NUT]]/tblPiNAnalysis[[#This Row],[Población]], 0.05)), "")</f>
        <v>0.1</v>
      </c>
      <c r="S70" s="89">
        <f>IFERROR(IF(tblPiNAnalysis[[#This Row],[SAL]]="", "", MROUND(tblPiNAnalysis[[#This Row],[SAL]]/tblPiNAnalysis[[#This Row],[Población]], 0.05)), "")</f>
        <v>0.45</v>
      </c>
      <c r="T70" s="89">
        <f>IFERROR(IF(tblPiNAnalysis[[#This Row],[EDU]]="", "", MROUND(tblPiNAnalysis[[#This Row],[EDU]]/tblPiNAnalysis[[#This Row],[Población]], 0.05)), "")</f>
        <v>0</v>
      </c>
      <c r="U70" s="89">
        <f>IFERROR(IF(tblPiNAnalysis[[#This Row],[PRO]]="", "", MROUND(tblPiNAnalysis[[#This Row],[PRO]]/tblPiNAnalysis[[#This Row],[Población]], 0.05)), "")</f>
        <v>0.25</v>
      </c>
      <c r="V70" s="90">
        <f>IFERROR(IF(tblPiNAnalysis[[#This Row],[ASH]]="", "", MROUND(tblPiNAnalysis[[#This Row],[ASH]]/tblPiNAnalysis[[#This Row],[Población]], 0.05)), "")</f>
        <v>0.60000000000000009</v>
      </c>
      <c r="W70" s="89">
        <f>IFERROR(MROUND(tblPiNAnalysis[[#This Row],[NNA]]/tblPiNAnalysis[[#This Row],[Población]], 0.05), "")</f>
        <v>0.1</v>
      </c>
      <c r="X70" s="89">
        <f>IFERROR(MROUND(tblPiNAnalysis[[#This Row],[VBG]]/tblPiNAnalysis[[#This Row],[Población]], 0.05), "")</f>
        <v>0.1</v>
      </c>
      <c r="Y70" s="91">
        <f>IFERROR(LARGE(tblPiNAnalysis[[#This Row],[SAMV]:[ASH]], 1), "")</f>
        <v>35905.199999999997</v>
      </c>
      <c r="Z70" s="92" t="str" cm="1">
        <f t="array" ref="Z70">IF(tblPiNAnalysis[[#This Row],[PiN más alto]]="", "", _xlfn.TEXTJOIN(CHAR(10), TRUE, IF(tblPiNAnalysis[[#This Row],[PiN más alto]]=tblPiNAnalysis[[#This Row],[SAMV]:[ASH]], tblPiNAnalysis[[#Headers],[SAMV]:[ASH]], "")))</f>
        <v>ASH</v>
      </c>
      <c r="AA70" s="93">
        <f>IF(tblPiNAnalysis[[#This Row],[PiN más alto]]="", "", tblPiNAnalysis[[#This Row],[PiN más alto]]/tblPiNAnalysis[[#This Row],[Población]])</f>
        <v>0.6</v>
      </c>
      <c r="AB70" s="94" t="str">
        <f>IF(SUM(tblPiNAnalysis[[#This Row],[SAMV]:[ASH]])=0, "",IF(COUNTIF(tblPiNAnalysis[[#This Row],[SAMV]:[ASH]],"=0")+COUNTIF(tblPiNAnalysis[[#This Row],[SAMV]:[ASH]],"")&gt;=zero_pin_thresh, "Flagged", ""))</f>
        <v/>
      </c>
      <c r="AC70" s="95" t="str">
        <f>IFERROR(IF(tblPiNAnalysis[[#This Row],[PiN más alto]]="", "", IF(tblPiNAnalysis[[#This Row],[% PiN Sectores más altos]]&gt;=flag_pin_perc, "Flagged", "")), "")</f>
        <v/>
      </c>
      <c r="AD70" s="96" t="str" cm="1">
        <f t="array" ref="AD70">IF(tblPiNAnalysis[[#This Row],[PiN más alto]]=0, "",  IF(OR(COUNTIF(tblPiNAnalysis[[#This Row],[Sectores más altos]],tblSubSectorPopulation[Sector])), "Flagged", ""))</f>
        <v/>
      </c>
      <c r="AE70" s="16" cm="1">
        <f t="array" ref="AE7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27200</v>
      </c>
      <c r="AF70" s="97" t="str" cm="1">
        <f t="array" ref="AF70">IF(tblPiNAnalysis[[#This Row],[2º PiN más alto]]="", "", _xlfn.TEXTJOIN(CHAR(10), TRUE, IF(tblPiNAnalysis[[#This Row],[2º PiN más alto]]=tblPiNAnalysis[[#This Row],[SAMV]:[ASH]], tblPiNAnalysis[[#Headers],[SAMV]:[ASH]], "")))</f>
        <v>SAL</v>
      </c>
      <c r="AG70" s="12">
        <f>IFERROR(tblPiNAnalysis[[#This Row],[2º PiN más alto]]/tblPiNAnalysis[[#This Row],[Población]], "")</f>
        <v>0.45453026302596838</v>
      </c>
      <c r="AH70" s="16">
        <f>IFERROR(tblPiNAnalysis[[#This Row],[PiN más alto]]-tblPiNAnalysis[[#This Row],[2º PiN más alto]], "")</f>
        <v>8705.1999999999971</v>
      </c>
      <c r="AI70" s="14">
        <f>IFERROR(((tblPiNAnalysis[[#This Row],[PiN más alto]]-tblPiNAnalysis[[#This Row],[2º PiN más alto]])/tblPiNAnalysis[[#This Row],[2º PiN más alto]]),"")</f>
        <v>0.3200441176470587</v>
      </c>
      <c r="AJ70" s="14" t="str" cm="1">
        <f t="array" ref="AJ7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70" s="98" cm="1">
        <f t="array" ref="AK7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21868</v>
      </c>
      <c r="AL70" s="53" t="str" cm="1">
        <f t="array" ref="AL70">IF(tblPiNAnalysis[[#This Row],[3º PiN más alto]]="", "", _xlfn.TEXTJOIN(CHAR(10), TRUE, IF(tblPiNAnalysis[[#This Row],[3º PiN más alto]]=tblPiNAnalysis[[#This Row],[SAMV]:[ASH]], tblPiNAnalysis[[#Headers],[SAMV]:[ASH]], "")))</f>
        <v>SAMV</v>
      </c>
      <c r="AM70" s="53">
        <f>IFERROR(tblPiNAnalysis[[#This Row],[3º PiN más alto]]/tblPiNAnalysis[[#This Row],[Población]], "")</f>
        <v>0.36542896293573074</v>
      </c>
      <c r="AN70" s="15">
        <f>IFERROR(tblPiNAnalysis[[#This Row],[PiN más alto]]-tblPiNAnalysis[[#This Row],[3º PiN más alto]],"")</f>
        <v>14037.199999999997</v>
      </c>
      <c r="AO70" s="14">
        <f>IFERROR(tblPiNAnalysis[[#This Row],[Diferencia de PiN entre el más alto y el 3º más alto]]/tblPiNAnalysis[[#This Row],[3º PiN más alto]], "")</f>
        <v>0.64190598134260091</v>
      </c>
      <c r="AP70" s="96" t="str" cm="1">
        <f t="array" ref="AP7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70" s="84" cm="1">
        <f t="array" ref="AQ70">IFERROR(IF(tblPiNAnalysis[[#This Row],[ID]]="", "", INDEX(tblPiNHistorical[[SAMV]:[ASH]], MATCH(tblPiNAnalysis[[#This Row],[ID]],tblPiNHistorical[ID], 0),MATCH(_xlfn._xlws.FILTER(tblPiNAnalysis[[#Headers],[SAMV]:[ASH]], tblPiNAnalysis[[#This Row],[PiN más alto]]=tblPiNAnalysis[[#This Row],[SAMV]:[ASH]]), tblPiNHistorical[[#Headers],[SAMV]:[ASH]], 0))), "")</f>
        <v>1</v>
      </c>
      <c r="AR70" s="99" t="str" cm="1">
        <f t="array" ref="AR7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70" s="74" cm="1">
        <f t="array" ref="AS70">IFERROR(IF(tblPiNAnalysis[[#This Row],[ID]]="", "", INDEX(tblPiNHistorical[[SAMV]:[ASH]], MATCH(tblPiNAnalysis[[#This Row],[ID]],tblPiNHistorical[ID], 0),MATCH(_xlfn._xlws.FILTER(tblPiNAnalysis[[#Headers],[SAMV]:[ASH]], tblPiNAnalysis[[#This Row],[2º PiN más alto]]=tblPiNAnalysis[[#This Row],[SAMV]:[ASH]]), tblPiNHistorical[[#Headers],[SAMV]:[ASH]], 0))), "")</f>
        <v>2.7</v>
      </c>
      <c r="AT70" s="100" t="str" cm="1">
        <f t="array" ref="AT7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70" s="219">
        <f>INDEX(tblSeverityAnalysis[Severidad final], MATCH(tblPiNAnalysis[[#This Row],[ID]],tblSeverityAnalysis[ID], 0))</f>
        <v>4</v>
      </c>
      <c r="AV70" s="220">
        <f>IF(tblPiNAnalysis[[#This Row],[Severidad]]&gt;2,tblPiNAnalysis[[#This Row],[PiN más alto]],)</f>
        <v>35905.199999999997</v>
      </c>
      <c r="AW70" s="54"/>
      <c r="AX70" s="55"/>
      <c r="AY70" s="56">
        <f>COUNTIFS(tblPiNAnalysis[[#This Row],[Número de PiN ausentes/cero superior al umbral - Calidad de los datos]:[Marcador manual]],"Flagged")</f>
        <v>4</v>
      </c>
      <c r="AZ70" s="34" t="str">
        <f>IF(tblPiNAnalysis[[#This Row],[Número de marcadores]]&gt;0, "Flagged", "")</f>
        <v>Flagged</v>
      </c>
      <c r="BA70" s="92">
        <f>tblPiNAnalysis[[#This Row],[PiN preliminar]]</f>
        <v>35905.199999999997</v>
      </c>
      <c r="BB70" s="97"/>
      <c r="BC70" s="70">
        <f>IFERROR(IF(tblPiNAnalysis[[#This Row],[Severidad]]=3,tblPiNAnalysis[[#This Row],[PiN final]]*Umbrales!$D$33,tblPiNAnalysis[[#This Row],[PiN final]]*Umbrales!$D$34),)</f>
        <v>35905.199999999997</v>
      </c>
      <c r="BD70" s="70">
        <f>IFERROR(IF(tblPiNAnalysis[[#This Row],[Severidad]]&gt;3,tblPiNAnalysis[[#This Row],[PiN final]]*Umbrales!$D$34,),)</f>
        <v>35905.199999999997</v>
      </c>
    </row>
    <row r="71" spans="1:56">
      <c r="A71" s="101" t="str">
        <f>IFERROR(_xlfn.CONCAT(IF(tblPiNAnalysis[[#This Row],[Grupo]]="", "",tblPiNAnalysis[[#This Row],[Grupo]] ),  _xlfn.IFS(tblPiNAnalysis[[#This Row],[Admin2PCODE]]&lt;&gt;"", tblPiNAnalysis[[#This Row],[Admin2PCODE]], tblPiNAnalysis[[#This Row],[Admin1PCODE]]&lt;&gt;"", tblPiNAnalysis[[#This Row],[Admin1PCODE]])),"")</f>
        <v>VenezolanosVE1814</v>
      </c>
      <c r="B71" s="105" t="s">
        <v>536</v>
      </c>
      <c r="C71" s="104" t="s">
        <v>537</v>
      </c>
      <c r="D71" s="119" t="s">
        <v>562</v>
      </c>
      <c r="E71" s="104" t="s">
        <v>563</v>
      </c>
      <c r="F71" s="358"/>
      <c r="G71" s="357">
        <v>64368</v>
      </c>
      <c r="H71" s="103" t="s">
        <v>102</v>
      </c>
      <c r="I71" s="60">
        <v>34866</v>
      </c>
      <c r="J71" s="134">
        <v>2425.0194820477091</v>
      </c>
      <c r="K71" s="57">
        <v>23494.32</v>
      </c>
      <c r="L71" s="87">
        <v>4300.5296577383288</v>
      </c>
      <c r="M71" s="87">
        <v>12213.872651773372</v>
      </c>
      <c r="N71" s="57">
        <v>0</v>
      </c>
      <c r="O71" s="57">
        <v>3908.4392485674789</v>
      </c>
      <c r="P71" s="57">
        <v>4274.8554281206798</v>
      </c>
      <c r="Q71" s="88">
        <f>IFERROR(IF(tblPiNAnalysis[[#This Row],[SAMV]]="", "", MROUND(tblPiNAnalysis[[#This Row],[SAMV]]/tblPiNAnalysis[[#This Row],[Población]], 0.05)), "")</f>
        <v>0.55000000000000004</v>
      </c>
      <c r="R71" s="89">
        <f>IFERROR(IF(tblPiNAnalysis[[#This Row],[NUT]]="", "", MROUND(tblPiNAnalysis[[#This Row],[NUT]]/tblPiNAnalysis[[#This Row],[Población]], 0.05)), "")</f>
        <v>0.05</v>
      </c>
      <c r="S71" s="89">
        <f>IFERROR(IF(tblPiNAnalysis[[#This Row],[SAL]]="", "", MROUND(tblPiNAnalysis[[#This Row],[SAL]]/tblPiNAnalysis[[#This Row],[Población]], 0.05)), "")</f>
        <v>0.35000000000000003</v>
      </c>
      <c r="T71" s="89">
        <f>IFERROR(IF(tblPiNAnalysis[[#This Row],[EDU]]="", "", MROUND(tblPiNAnalysis[[#This Row],[EDU]]/tblPiNAnalysis[[#This Row],[Población]], 0.05)), "")</f>
        <v>0.05</v>
      </c>
      <c r="U71" s="89">
        <f>IFERROR(IF(tblPiNAnalysis[[#This Row],[PRO]]="", "", MROUND(tblPiNAnalysis[[#This Row],[PRO]]/tblPiNAnalysis[[#This Row],[Población]], 0.05)), "")</f>
        <v>0.2</v>
      </c>
      <c r="V71" s="90">
        <f>IFERROR(IF(tblPiNAnalysis[[#This Row],[ASH]]="", "", MROUND(tblPiNAnalysis[[#This Row],[ASH]]/tblPiNAnalysis[[#This Row],[Población]], 0.05)), "")</f>
        <v>0</v>
      </c>
      <c r="W71" s="89">
        <f>IFERROR(MROUND(tblPiNAnalysis[[#This Row],[NNA]]/tblPiNAnalysis[[#This Row],[Población]], 0.05), "")</f>
        <v>0.05</v>
      </c>
      <c r="X71" s="89">
        <f>IFERROR(MROUND(tblPiNAnalysis[[#This Row],[VBG]]/tblPiNAnalysis[[#This Row],[Población]], 0.05), "")</f>
        <v>0.05</v>
      </c>
      <c r="Y71" s="91">
        <f>IFERROR(LARGE(tblPiNAnalysis[[#This Row],[SAMV]:[ASH]], 1), "")</f>
        <v>34866</v>
      </c>
      <c r="Z71" s="92" t="str" cm="1">
        <f t="array" ref="Z71">IF(tblPiNAnalysis[[#This Row],[PiN más alto]]="", "", _xlfn.TEXTJOIN(CHAR(10), TRUE, IF(tblPiNAnalysis[[#This Row],[PiN más alto]]=tblPiNAnalysis[[#This Row],[SAMV]:[ASH]], tblPiNAnalysis[[#Headers],[SAMV]:[ASH]], "")))</f>
        <v>SAMV</v>
      </c>
      <c r="AA71" s="93">
        <f>IF(tblPiNAnalysis[[#This Row],[PiN más alto]]="", "", tblPiNAnalysis[[#This Row],[PiN más alto]]/tblPiNAnalysis[[#This Row],[Población]])</f>
        <v>0.54166666666666663</v>
      </c>
      <c r="AB71" s="94" t="str">
        <f>IF(SUM(tblPiNAnalysis[[#This Row],[SAMV]:[ASH]])=0, "",IF(COUNTIF(tblPiNAnalysis[[#This Row],[SAMV]:[ASH]],"=0")+COUNTIF(tblPiNAnalysis[[#This Row],[SAMV]:[ASH]],"")&gt;=zero_pin_thresh, "Flagged", ""))</f>
        <v/>
      </c>
      <c r="AC71" s="95" t="str">
        <f>IFERROR(IF(tblPiNAnalysis[[#This Row],[PiN más alto]]="", "", IF(tblPiNAnalysis[[#This Row],[% PiN Sectores más altos]]&gt;=flag_pin_perc, "Flagged", "")), "")</f>
        <v/>
      </c>
      <c r="AD71" s="96" t="str" cm="1">
        <f t="array" ref="AD71">IF(tblPiNAnalysis[[#This Row],[PiN más alto]]=0, "",  IF(OR(COUNTIF(tblPiNAnalysis[[#This Row],[Sectores más altos]],tblSubSectorPopulation[Sector])), "Flagged", ""))</f>
        <v/>
      </c>
      <c r="AE71" s="16" cm="1">
        <f t="array" ref="AE7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23494.32</v>
      </c>
      <c r="AF71" s="97" t="str" cm="1">
        <f t="array" ref="AF71">IF(tblPiNAnalysis[[#This Row],[2º PiN más alto]]="", "", _xlfn.TEXTJOIN(CHAR(10), TRUE, IF(tblPiNAnalysis[[#This Row],[2º PiN más alto]]=tblPiNAnalysis[[#This Row],[SAMV]:[ASH]], tblPiNAnalysis[[#Headers],[SAMV]:[ASH]], "")))</f>
        <v>SAL</v>
      </c>
      <c r="AG71" s="12">
        <f>IFERROR(tblPiNAnalysis[[#This Row],[2º PiN más alto]]/tblPiNAnalysis[[#This Row],[Población]], "")</f>
        <v>0.36499999999999999</v>
      </c>
      <c r="AH71" s="16">
        <f>IFERROR(tblPiNAnalysis[[#This Row],[PiN más alto]]-tblPiNAnalysis[[#This Row],[2º PiN más alto]], "")</f>
        <v>11371.68</v>
      </c>
      <c r="AI71" s="14">
        <f>IFERROR(((tblPiNAnalysis[[#This Row],[PiN más alto]]-tblPiNAnalysis[[#This Row],[2º PiN más alto]])/tblPiNAnalysis[[#This Row],[2º PiN más alto]]),"")</f>
        <v>0.48401826484018268</v>
      </c>
      <c r="AJ71" s="14" t="str" cm="1">
        <f t="array" ref="AJ7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71" s="98" cm="1">
        <f t="array" ref="AK7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12213.872651773372</v>
      </c>
      <c r="AL71" s="53" t="str" cm="1">
        <f t="array" ref="AL71">IF(tblPiNAnalysis[[#This Row],[3º PiN más alto]]="", "", _xlfn.TEXTJOIN(CHAR(10), TRUE, IF(tblPiNAnalysis[[#This Row],[3º PiN más alto]]=tblPiNAnalysis[[#This Row],[SAMV]:[ASH]], tblPiNAnalysis[[#Headers],[SAMV]:[ASH]], "")))</f>
        <v>PRO</v>
      </c>
      <c r="AM71" s="53">
        <f>IFERROR(tblPiNAnalysis[[#This Row],[3º PiN más alto]]/tblPiNAnalysis[[#This Row],[Población]], "")</f>
        <v>0.18975069369521147</v>
      </c>
      <c r="AN71" s="15">
        <f>IFERROR(tblPiNAnalysis[[#This Row],[PiN más alto]]-tblPiNAnalysis[[#This Row],[3º PiN más alto]],"")</f>
        <v>22652.127348226626</v>
      </c>
      <c r="AO71" s="14">
        <f>IFERROR(tblPiNAnalysis[[#This Row],[Diferencia de PiN entre el más alto y el 3º más alto]]/tblPiNAnalysis[[#This Row],[3º PiN más alto]], "")</f>
        <v>1.8546228533779325</v>
      </c>
      <c r="AP71" s="96" t="str" cm="1">
        <f t="array" ref="AP7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71" s="84" cm="1">
        <f t="array" ref="AQ71">IFERROR(IF(tblPiNAnalysis[[#This Row],[ID]]="", "", INDEX(tblPiNHistorical[[SAMV]:[ASH]], MATCH(tblPiNAnalysis[[#This Row],[ID]],tblPiNHistorical[ID], 0),MATCH(_xlfn._xlws.FILTER(tblPiNAnalysis[[#Headers],[SAMV]:[ASH]], tblPiNAnalysis[[#This Row],[PiN más alto]]=tblPiNAnalysis[[#This Row],[SAMV]:[ASH]]), tblPiNHistorical[[#Headers],[SAMV]:[ASH]], 0))), "")</f>
        <v>6</v>
      </c>
      <c r="AR71" s="99" t="str" cm="1">
        <f t="array" ref="AR7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71" s="74" cm="1">
        <f t="array" ref="AS71">IFERROR(IF(tblPiNAnalysis[[#This Row],[ID]]="", "", INDEX(tblPiNHistorical[[SAMV]:[ASH]], MATCH(tblPiNAnalysis[[#This Row],[ID]],tblPiNHistorical[ID], 0),MATCH(_xlfn._xlws.FILTER(tblPiNAnalysis[[#Headers],[SAMV]:[ASH]], tblPiNAnalysis[[#This Row],[2º PiN más alto]]=tblPiNAnalysis[[#This Row],[SAMV]:[ASH]]), tblPiNHistorical[[#Headers],[SAMV]:[ASH]], 0))), "")</f>
        <v>8.3000000000000007</v>
      </c>
      <c r="AT71" s="100" t="str" cm="1">
        <f t="array" ref="AT7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71" s="219">
        <f>INDEX(tblSeverityAnalysis[Severidad final], MATCH(tblPiNAnalysis[[#This Row],[ID]],tblSeverityAnalysis[ID], 0))</f>
        <v>3</v>
      </c>
      <c r="AV71" s="220">
        <f>IF(tblPiNAnalysis[[#This Row],[Severidad]]&gt;2,tblPiNAnalysis[[#This Row],[PiN más alto]],)</f>
        <v>34866</v>
      </c>
      <c r="AW71" s="54"/>
      <c r="AX71" s="55"/>
      <c r="AY71" s="56">
        <f>COUNTIFS(tblPiNAnalysis[[#This Row],[Número de PiN ausentes/cero superior al umbral - Calidad de los datos]:[Marcador manual]],"Flagged")</f>
        <v>4</v>
      </c>
      <c r="AZ71" s="34" t="str">
        <f>IF(tblPiNAnalysis[[#This Row],[Número de marcadores]]&gt;0, "Flagged", "")</f>
        <v>Flagged</v>
      </c>
      <c r="BA71" s="92">
        <f>tblPiNAnalysis[[#This Row],[PiN preliminar]]</f>
        <v>34866</v>
      </c>
      <c r="BB71" s="97"/>
      <c r="BC71" s="70">
        <f>IFERROR(IF(tblPiNAnalysis[[#This Row],[Severidad]]=3,tblPiNAnalysis[[#This Row],[PiN final]]*Umbrales!$D$33,tblPiNAnalysis[[#This Row],[PiN final]]*Umbrales!$D$34),)</f>
        <v>17433</v>
      </c>
      <c r="BD71" s="70">
        <f>IFERROR(IF(tblPiNAnalysis[[#This Row],[Severidad]]&gt;3,tblPiNAnalysis[[#This Row],[PiN final]]*Umbrales!$D$34,),)</f>
        <v>0</v>
      </c>
    </row>
    <row r="72" spans="1:56">
      <c r="A72" s="101" t="str">
        <f>IFERROR(_xlfn.CONCAT(IF(tblPiNAnalysis[[#This Row],[Grupo]]="", "",tblPiNAnalysis[[#This Row],[Grupo]] ),  _xlfn.IFS(tblPiNAnalysis[[#This Row],[Admin2PCODE]]&lt;&gt;"", tblPiNAnalysis[[#This Row],[Admin2PCODE]], tblPiNAnalysis[[#This Row],[Admin1PCODE]]&lt;&gt;"", tblPiNAnalysis[[#This Row],[Admin1PCODE]])),"")</f>
        <v>VenezolanosVE2014</v>
      </c>
      <c r="B72" s="105" t="s">
        <v>589</v>
      </c>
      <c r="C72" s="104" t="s">
        <v>590</v>
      </c>
      <c r="D72" s="119" t="s">
        <v>614</v>
      </c>
      <c r="E72" s="104" t="s">
        <v>615</v>
      </c>
      <c r="F72" s="358"/>
      <c r="G72" s="357">
        <v>82497</v>
      </c>
      <c r="H72" s="103" t="s">
        <v>102</v>
      </c>
      <c r="I72" s="60">
        <v>33817</v>
      </c>
      <c r="J72" s="134">
        <v>7923.4663576178737</v>
      </c>
      <c r="K72" s="57">
        <v>30111.404999999999</v>
      </c>
      <c r="L72" s="87">
        <v>9122.0082799226893</v>
      </c>
      <c r="M72" s="87">
        <v>16513.852706294569</v>
      </c>
      <c r="N72" s="57">
        <v>11137.094999999999</v>
      </c>
      <c r="O72" s="57">
        <v>5284.4328660142619</v>
      </c>
      <c r="P72" s="57">
        <v>5779.8484472030996</v>
      </c>
      <c r="Q72" s="88">
        <f>IFERROR(IF(tblPiNAnalysis[[#This Row],[SAMV]]="", "", MROUND(tblPiNAnalysis[[#This Row],[SAMV]]/tblPiNAnalysis[[#This Row],[Población]], 0.05)), "")</f>
        <v>0.4</v>
      </c>
      <c r="R72" s="89">
        <f>IFERROR(IF(tblPiNAnalysis[[#This Row],[NUT]]="", "", MROUND(tblPiNAnalysis[[#This Row],[NUT]]/tblPiNAnalysis[[#This Row],[Población]], 0.05)), "")</f>
        <v>0.1</v>
      </c>
      <c r="S72" s="89">
        <f>IFERROR(IF(tblPiNAnalysis[[#This Row],[SAL]]="", "", MROUND(tblPiNAnalysis[[#This Row],[SAL]]/tblPiNAnalysis[[#This Row],[Población]], 0.05)), "")</f>
        <v>0.35000000000000003</v>
      </c>
      <c r="T72" s="89">
        <f>IFERROR(IF(tblPiNAnalysis[[#This Row],[EDU]]="", "", MROUND(tblPiNAnalysis[[#This Row],[EDU]]/tblPiNAnalysis[[#This Row],[Población]], 0.05)), "")</f>
        <v>0.1</v>
      </c>
      <c r="U72" s="89">
        <f>IFERROR(IF(tblPiNAnalysis[[#This Row],[PRO]]="", "", MROUND(tblPiNAnalysis[[#This Row],[PRO]]/tblPiNAnalysis[[#This Row],[Población]], 0.05)), "")</f>
        <v>0.2</v>
      </c>
      <c r="V72" s="90">
        <f>IFERROR(IF(tblPiNAnalysis[[#This Row],[ASH]]="", "", MROUND(tblPiNAnalysis[[#This Row],[ASH]]/tblPiNAnalysis[[#This Row],[Población]], 0.05)), "")</f>
        <v>0.15000000000000002</v>
      </c>
      <c r="W72" s="89">
        <f>IFERROR(MROUND(tblPiNAnalysis[[#This Row],[NNA]]/tblPiNAnalysis[[#This Row],[Población]], 0.05), "")</f>
        <v>0.05</v>
      </c>
      <c r="X72" s="89">
        <f>IFERROR(MROUND(tblPiNAnalysis[[#This Row],[VBG]]/tblPiNAnalysis[[#This Row],[Población]], 0.05), "")</f>
        <v>0.05</v>
      </c>
      <c r="Y72" s="91">
        <f>IFERROR(LARGE(tblPiNAnalysis[[#This Row],[SAMV]:[ASH]], 1), "")</f>
        <v>33817</v>
      </c>
      <c r="Z72" s="92" t="str" cm="1">
        <f t="array" ref="Z72">IF(tblPiNAnalysis[[#This Row],[PiN más alto]]="", "", _xlfn.TEXTJOIN(CHAR(10), TRUE, IF(tblPiNAnalysis[[#This Row],[PiN más alto]]=tblPiNAnalysis[[#This Row],[SAMV]:[ASH]], tblPiNAnalysis[[#Headers],[SAMV]:[ASH]], "")))</f>
        <v>SAMV</v>
      </c>
      <c r="AA72" s="93">
        <f>IF(tblPiNAnalysis[[#This Row],[PiN más alto]]="", "", tblPiNAnalysis[[#This Row],[PiN más alto]]/tblPiNAnalysis[[#This Row],[Población]])</f>
        <v>0.40991793640980884</v>
      </c>
      <c r="AB72" s="94" t="str">
        <f>IF(SUM(tblPiNAnalysis[[#This Row],[SAMV]:[ASH]])=0, "",IF(COUNTIF(tblPiNAnalysis[[#This Row],[SAMV]:[ASH]],"=0")+COUNTIF(tblPiNAnalysis[[#This Row],[SAMV]:[ASH]],"")&gt;=zero_pin_thresh, "Flagged", ""))</f>
        <v/>
      </c>
      <c r="AC72" s="95" t="str">
        <f>IFERROR(IF(tblPiNAnalysis[[#This Row],[PiN más alto]]="", "", IF(tblPiNAnalysis[[#This Row],[% PiN Sectores más altos]]&gt;=flag_pin_perc, "Flagged", "")), "")</f>
        <v/>
      </c>
      <c r="AD72" s="96" t="str" cm="1">
        <f t="array" ref="AD72">IF(tblPiNAnalysis[[#This Row],[PiN más alto]]=0, "",  IF(OR(COUNTIF(tblPiNAnalysis[[#This Row],[Sectores más altos]],tblSubSectorPopulation[Sector])), "Flagged", ""))</f>
        <v/>
      </c>
      <c r="AE72" s="16" cm="1">
        <f t="array" ref="AE7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30111.404999999999</v>
      </c>
      <c r="AF72" s="97" t="str" cm="1">
        <f t="array" ref="AF72">IF(tblPiNAnalysis[[#This Row],[2º PiN más alto]]="", "", _xlfn.TEXTJOIN(CHAR(10), TRUE, IF(tblPiNAnalysis[[#This Row],[2º PiN más alto]]=tblPiNAnalysis[[#This Row],[SAMV]:[ASH]], tblPiNAnalysis[[#Headers],[SAMV]:[ASH]], "")))</f>
        <v>SAL</v>
      </c>
      <c r="AG72" s="12">
        <f>IFERROR(tblPiNAnalysis[[#This Row],[2º PiN más alto]]/tblPiNAnalysis[[#This Row],[Población]], "")</f>
        <v>0.36499999999999999</v>
      </c>
      <c r="AH72" s="16">
        <f>IFERROR(tblPiNAnalysis[[#This Row],[PiN más alto]]-tblPiNAnalysis[[#This Row],[2º PiN más alto]], "")</f>
        <v>3705.5950000000012</v>
      </c>
      <c r="AI72" s="14">
        <f>IFERROR(((tblPiNAnalysis[[#This Row],[PiN más alto]]-tblPiNAnalysis[[#This Row],[2º PiN más alto]])/tblPiNAnalysis[[#This Row],[2º PiN más alto]]),"")</f>
        <v>0.12306283947892838</v>
      </c>
      <c r="AJ72" s="14" t="str" cm="1">
        <f t="array" ref="AJ7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72" s="98" cm="1">
        <f t="array" ref="AK7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16513.852706294569</v>
      </c>
      <c r="AL72" s="53" t="str" cm="1">
        <f t="array" ref="AL72">IF(tblPiNAnalysis[[#This Row],[3º PiN más alto]]="", "", _xlfn.TEXTJOIN(CHAR(10), TRUE, IF(tblPiNAnalysis[[#This Row],[3º PiN más alto]]=tblPiNAnalysis[[#This Row],[SAMV]:[ASH]], tblPiNAnalysis[[#Headers],[SAMV]:[ASH]], "")))</f>
        <v>PRO</v>
      </c>
      <c r="AM72" s="53">
        <f>IFERROR(tblPiNAnalysis[[#This Row],[3º PiN más alto]]/tblPiNAnalysis[[#This Row],[Población]], "")</f>
        <v>0.20017519068929257</v>
      </c>
      <c r="AN72" s="15">
        <f>IFERROR(tblPiNAnalysis[[#This Row],[PiN más alto]]-tblPiNAnalysis[[#This Row],[3º PiN más alto]],"")</f>
        <v>17303.147293705431</v>
      </c>
      <c r="AO72" s="14">
        <f>IFERROR(tblPiNAnalysis[[#This Row],[Diferencia de PiN entre el más alto y el 3º más alto]]/tblPiNAnalysis[[#This Row],[3º PiN más alto]], "")</f>
        <v>1.0477959081656341</v>
      </c>
      <c r="AP72" s="96" t="str" cm="1">
        <f t="array" ref="AP7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72" s="84" cm="1">
        <f t="array" ref="AQ72">IFERROR(IF(tblPiNAnalysis[[#This Row],[ID]]="", "", INDEX(tblPiNHistorical[[SAMV]:[ASH]], MATCH(tblPiNAnalysis[[#This Row],[ID]],tblPiNHistorical[ID], 0),MATCH(_xlfn._xlws.FILTER(tblPiNAnalysis[[#Headers],[SAMV]:[ASH]], tblPiNAnalysis[[#This Row],[PiN más alto]]=tblPiNAnalysis[[#This Row],[SAMV]:[ASH]]), tblPiNHistorical[[#Headers],[SAMV]:[ASH]], 0))), "")</f>
        <v>-0.9</v>
      </c>
      <c r="AR72" s="99" t="str" cm="1">
        <f t="array" ref="AR7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72" s="74" cm="1">
        <f t="array" ref="AS72">IFERROR(IF(tblPiNAnalysis[[#This Row],[ID]]="", "", INDEX(tblPiNHistorical[[SAMV]:[ASH]], MATCH(tblPiNAnalysis[[#This Row],[ID]],tblPiNHistorical[ID], 0),MATCH(_xlfn._xlws.FILTER(tblPiNAnalysis[[#Headers],[SAMV]:[ASH]], tblPiNAnalysis[[#This Row],[2º PiN más alto]]=tblPiNAnalysis[[#This Row],[SAMV]:[ASH]]), tblPiNHistorical[[#Headers],[SAMV]:[ASH]], 0))), "")</f>
        <v>-0.7</v>
      </c>
      <c r="AT72" s="100" t="str" cm="1">
        <f t="array" ref="AT7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72" s="219">
        <f>INDEX(tblSeverityAnalysis[Severidad final], MATCH(tblPiNAnalysis[[#This Row],[ID]],tblSeverityAnalysis[ID], 0))</f>
        <v>3</v>
      </c>
      <c r="AV72" s="220">
        <f>IF(tblPiNAnalysis[[#This Row],[Severidad]]&gt;2,tblPiNAnalysis[[#This Row],[PiN más alto]],)</f>
        <v>33817</v>
      </c>
      <c r="AW72" s="54"/>
      <c r="AX72" s="55"/>
      <c r="AY72" s="56">
        <f>COUNTIFS(tblPiNAnalysis[[#This Row],[Número de PiN ausentes/cero superior al umbral - Calidad de los datos]:[Marcador manual]],"Flagged")</f>
        <v>1</v>
      </c>
      <c r="AZ72" s="34" t="str">
        <f>IF(tblPiNAnalysis[[#This Row],[Número de marcadores]]&gt;0, "Flagged", "")</f>
        <v>Flagged</v>
      </c>
      <c r="BA72" s="92">
        <f>tblPiNAnalysis[[#This Row],[PiN preliminar]]</f>
        <v>33817</v>
      </c>
      <c r="BB72" s="97"/>
      <c r="BC72" s="70">
        <f>IFERROR(IF(tblPiNAnalysis[[#This Row],[Severidad]]=3,tblPiNAnalysis[[#This Row],[PiN final]]*Umbrales!$D$33,tblPiNAnalysis[[#This Row],[PiN final]]*Umbrales!$D$34),)</f>
        <v>16908.5</v>
      </c>
      <c r="BD72" s="70">
        <f>IFERROR(IF(tblPiNAnalysis[[#This Row],[Severidad]]&gt;3,tblPiNAnalysis[[#This Row],[PiN final]]*Umbrales!$D$34,),)</f>
        <v>0</v>
      </c>
    </row>
    <row r="73" spans="1:56">
      <c r="A73" s="101" t="str">
        <f>IFERROR(_xlfn.CONCAT(IF(tblPiNAnalysis[[#This Row],[Grupo]]="", "",tblPiNAnalysis[[#This Row],[Grupo]] ),  _xlfn.IFS(tblPiNAnalysis[[#This Row],[Admin2PCODE]]&lt;&gt;"", tblPiNAnalysis[[#This Row],[Admin2PCODE]], tblPiNAnalysis[[#This Row],[Admin1PCODE]]&lt;&gt;"", tblPiNAnalysis[[#This Row],[Admin1PCODE]])),"")</f>
        <v>VenezolanosVE0402</v>
      </c>
      <c r="B73" s="105" t="s">
        <v>163</v>
      </c>
      <c r="C73" s="104" t="s">
        <v>164</v>
      </c>
      <c r="D73" s="119" t="s">
        <v>167</v>
      </c>
      <c r="E73" s="104" t="s">
        <v>168</v>
      </c>
      <c r="F73" s="358"/>
      <c r="G73" s="357">
        <v>55543</v>
      </c>
      <c r="H73" s="103" t="s">
        <v>102</v>
      </c>
      <c r="I73" s="60">
        <v>2700</v>
      </c>
      <c r="J73" s="134">
        <v>4932.8788742499491</v>
      </c>
      <c r="K73" s="57">
        <v>27300</v>
      </c>
      <c r="L73" s="87">
        <v>2091.9090466414323</v>
      </c>
      <c r="M73" s="87">
        <v>13338.18679102983</v>
      </c>
      <c r="N73" s="57">
        <v>33325.799999999996</v>
      </c>
      <c r="O73" s="57">
        <v>4268.2197731295455</v>
      </c>
      <c r="P73" s="57">
        <v>4668.365376860439</v>
      </c>
      <c r="Q73" s="88">
        <f>IFERROR(IF(tblPiNAnalysis[[#This Row],[SAMV]]="", "", MROUND(tblPiNAnalysis[[#This Row],[SAMV]]/tblPiNAnalysis[[#This Row],[Población]], 0.05)), "")</f>
        <v>0.05</v>
      </c>
      <c r="R73" s="89">
        <f>IFERROR(IF(tblPiNAnalysis[[#This Row],[NUT]]="", "", MROUND(tblPiNAnalysis[[#This Row],[NUT]]/tblPiNAnalysis[[#This Row],[Población]], 0.05)), "")</f>
        <v>0.1</v>
      </c>
      <c r="S73" s="89">
        <f>IFERROR(IF(tblPiNAnalysis[[#This Row],[SAL]]="", "", MROUND(tblPiNAnalysis[[#This Row],[SAL]]/tblPiNAnalysis[[#This Row],[Población]], 0.05)), "")</f>
        <v>0.5</v>
      </c>
      <c r="T73" s="89">
        <f>IFERROR(IF(tblPiNAnalysis[[#This Row],[EDU]]="", "", MROUND(tblPiNAnalysis[[#This Row],[EDU]]/tblPiNAnalysis[[#This Row],[Población]], 0.05)), "")</f>
        <v>0.05</v>
      </c>
      <c r="U73" s="89">
        <f>IFERROR(IF(tblPiNAnalysis[[#This Row],[PRO]]="", "", MROUND(tblPiNAnalysis[[#This Row],[PRO]]/tblPiNAnalysis[[#This Row],[Población]], 0.05)), "")</f>
        <v>0.25</v>
      </c>
      <c r="V73" s="90">
        <f>IFERROR(IF(tblPiNAnalysis[[#This Row],[ASH]]="", "", MROUND(tblPiNAnalysis[[#This Row],[ASH]]/tblPiNAnalysis[[#This Row],[Población]], 0.05)), "")</f>
        <v>0.60000000000000009</v>
      </c>
      <c r="W73" s="89">
        <f>IFERROR(MROUND(tblPiNAnalysis[[#This Row],[NNA]]/tblPiNAnalysis[[#This Row],[Población]], 0.05), "")</f>
        <v>0.1</v>
      </c>
      <c r="X73" s="89">
        <f>IFERROR(MROUND(tblPiNAnalysis[[#This Row],[VBG]]/tblPiNAnalysis[[#This Row],[Población]], 0.05), "")</f>
        <v>0.1</v>
      </c>
      <c r="Y73" s="91">
        <f>IFERROR(LARGE(tblPiNAnalysis[[#This Row],[SAMV]:[ASH]], 1), "")</f>
        <v>33325.799999999996</v>
      </c>
      <c r="Z73" s="92" t="str" cm="1">
        <f t="array" ref="Z73">IF(tblPiNAnalysis[[#This Row],[PiN más alto]]="", "", _xlfn.TEXTJOIN(CHAR(10), TRUE, IF(tblPiNAnalysis[[#This Row],[PiN más alto]]=tblPiNAnalysis[[#This Row],[SAMV]:[ASH]], tblPiNAnalysis[[#Headers],[SAMV]:[ASH]], "")))</f>
        <v>ASH</v>
      </c>
      <c r="AA73" s="93">
        <f>IF(tblPiNAnalysis[[#This Row],[PiN más alto]]="", "", tblPiNAnalysis[[#This Row],[PiN más alto]]/tblPiNAnalysis[[#This Row],[Población]])</f>
        <v>0.59999999999999987</v>
      </c>
      <c r="AB73" s="94" t="str">
        <f>IF(SUM(tblPiNAnalysis[[#This Row],[SAMV]:[ASH]])=0, "",IF(COUNTIF(tblPiNAnalysis[[#This Row],[SAMV]:[ASH]],"=0")+COUNTIF(tblPiNAnalysis[[#This Row],[SAMV]:[ASH]],"")&gt;=zero_pin_thresh, "Flagged", ""))</f>
        <v/>
      </c>
      <c r="AC73" s="95" t="str">
        <f>IFERROR(IF(tblPiNAnalysis[[#This Row],[PiN más alto]]="", "", IF(tblPiNAnalysis[[#This Row],[% PiN Sectores más altos]]&gt;=flag_pin_perc, "Flagged", "")), "")</f>
        <v/>
      </c>
      <c r="AD73" s="96" t="str" cm="1">
        <f t="array" ref="AD73">IF(tblPiNAnalysis[[#This Row],[PiN más alto]]=0, "",  IF(OR(COUNTIF(tblPiNAnalysis[[#This Row],[Sectores más altos]],tblSubSectorPopulation[Sector])), "Flagged", ""))</f>
        <v/>
      </c>
      <c r="AE73" s="16" cm="1">
        <f t="array" ref="AE7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27300</v>
      </c>
      <c r="AF73" s="97" t="str" cm="1">
        <f t="array" ref="AF73">IF(tblPiNAnalysis[[#This Row],[2º PiN más alto]]="", "", _xlfn.TEXTJOIN(CHAR(10), TRUE, IF(tblPiNAnalysis[[#This Row],[2º PiN más alto]]=tblPiNAnalysis[[#This Row],[SAMV]:[ASH]], tblPiNAnalysis[[#Headers],[SAMV]:[ASH]], "")))</f>
        <v>SAL</v>
      </c>
      <c r="AG73" s="12">
        <f>IFERROR(tblPiNAnalysis[[#This Row],[2º PiN más alto]]/tblPiNAnalysis[[#This Row],[Población]], "")</f>
        <v>0.49151108150442002</v>
      </c>
      <c r="AH73" s="16">
        <f>IFERROR(tblPiNAnalysis[[#This Row],[PiN más alto]]-tblPiNAnalysis[[#This Row],[2º PiN más alto]], "")</f>
        <v>6025.7999999999956</v>
      </c>
      <c r="AI73" s="14">
        <f>IFERROR(((tblPiNAnalysis[[#This Row],[PiN más alto]]-tblPiNAnalysis[[#This Row],[2º PiN más alto]])/tblPiNAnalysis[[#This Row],[2º PiN más alto]]),"")</f>
        <v>0.22072527472527456</v>
      </c>
      <c r="AJ73" s="14" t="str" cm="1">
        <f t="array" ref="AJ7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73" s="98" cm="1">
        <f t="array" ref="AK7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13338.18679102983</v>
      </c>
      <c r="AL73" s="53" t="str" cm="1">
        <f t="array" ref="AL73">IF(tblPiNAnalysis[[#This Row],[3º PiN más alto]]="", "", _xlfn.TEXTJOIN(CHAR(10), TRUE, IF(tblPiNAnalysis[[#This Row],[3º PiN más alto]]=tblPiNAnalysis[[#This Row],[SAMV]:[ASH]], tblPiNAnalysis[[#Headers],[SAMV]:[ASH]], "")))</f>
        <v>PRO</v>
      </c>
      <c r="AM73" s="53">
        <f>IFERROR(tblPiNAnalysis[[#This Row],[3º PiN más alto]]/tblPiNAnalysis[[#This Row],[Población]], "")</f>
        <v>0.24014163424787696</v>
      </c>
      <c r="AN73" s="15">
        <f>IFERROR(tblPiNAnalysis[[#This Row],[PiN más alto]]-tblPiNAnalysis[[#This Row],[3º PiN más alto]],"")</f>
        <v>19987.613208970164</v>
      </c>
      <c r="AO73" s="14">
        <f>IFERROR(tblPiNAnalysis[[#This Row],[Diferencia de PiN entre el más alto y el 3º más alto]]/tblPiNAnalysis[[#This Row],[3º PiN más alto]], "")</f>
        <v>1.4985255134087785</v>
      </c>
      <c r="AP73" s="96" t="str" cm="1">
        <f t="array" ref="AP7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73" s="84" t="str" cm="1">
        <f t="array" ref="AQ73">IFERROR(IF(tblPiNAnalysis[[#This Row],[ID]]="", "", INDEX(tblPiNHistorical[[SAMV]:[ASH]], MATCH(tblPiNAnalysis[[#This Row],[ID]],tblPiNHistorical[ID], 0),MATCH(_xlfn._xlws.FILTER(tblPiNAnalysis[[#Headers],[SAMV]:[ASH]], tblPiNAnalysis[[#This Row],[PiN más alto]]=tblPiNAnalysis[[#This Row],[SAMV]:[ASH]]), tblPiNHistorical[[#Headers],[SAMV]:[ASH]], 0))), "")</f>
        <v>NoPIN26 32594</v>
      </c>
      <c r="AR73" s="99" t="str" cm="1">
        <f t="array" ref="AR7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73" s="74" cm="1">
        <f t="array" ref="AS73">IFERROR(IF(tblPiNAnalysis[[#This Row],[ID]]="", "", INDEX(tblPiNHistorical[[SAMV]:[ASH]], MATCH(tblPiNAnalysis[[#This Row],[ID]],tblPiNHistorical[ID], 0),MATCH(_xlfn._xlws.FILTER(tblPiNAnalysis[[#Headers],[SAMV]:[ASH]], tblPiNAnalysis[[#This Row],[2º PiN más alto]]=tblPiNAnalysis[[#This Row],[SAMV]:[ASH]]), tblPiNHistorical[[#Headers],[SAMV]:[ASH]], 0))), "")</f>
        <v>3.8</v>
      </c>
      <c r="AT73" s="100" t="str" cm="1">
        <f t="array" ref="AT7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73" s="219">
        <f>INDEX(tblSeverityAnalysis[Severidad final], MATCH(tblPiNAnalysis[[#This Row],[ID]],tblSeverityAnalysis[ID], 0))</f>
        <v>4</v>
      </c>
      <c r="AV73" s="220">
        <f>IF(tblPiNAnalysis[[#This Row],[Severidad]]&gt;2,tblPiNAnalysis[[#This Row],[PiN más alto]],)</f>
        <v>33325.799999999996</v>
      </c>
      <c r="AW73" s="54"/>
      <c r="AX73" s="55"/>
      <c r="AY73" s="56">
        <f>COUNTIFS(tblPiNAnalysis[[#This Row],[Número de PiN ausentes/cero superior al umbral - Calidad de los datos]:[Marcador manual]],"Flagged")</f>
        <v>2</v>
      </c>
      <c r="AZ73" s="34" t="str">
        <f>IF(tblPiNAnalysis[[#This Row],[Número de marcadores]]&gt;0, "Flagged", "")</f>
        <v>Flagged</v>
      </c>
      <c r="BA73" s="92">
        <f>tblPiNAnalysis[[#This Row],[PiN preliminar]]</f>
        <v>33325.799999999996</v>
      </c>
      <c r="BB73" s="97"/>
      <c r="BC73" s="70">
        <f>IFERROR(IF(tblPiNAnalysis[[#This Row],[Severidad]]=3,tblPiNAnalysis[[#This Row],[PiN final]]*Umbrales!$D$33,tblPiNAnalysis[[#This Row],[PiN final]]*Umbrales!$D$34),)</f>
        <v>33325.799999999996</v>
      </c>
      <c r="BD73" s="70">
        <f>IFERROR(IF(tblPiNAnalysis[[#This Row],[Severidad]]&gt;3,tblPiNAnalysis[[#This Row],[PiN final]]*Umbrales!$D$34,),)</f>
        <v>33325.799999999996</v>
      </c>
    </row>
    <row r="74" spans="1:56">
      <c r="A74" s="101" t="str">
        <f>IFERROR(_xlfn.CONCAT(IF(tblPiNAnalysis[[#This Row],[Grupo]]="", "",tblPiNAnalysis[[#This Row],[Grupo]] ),  _xlfn.IFS(tblPiNAnalysis[[#This Row],[Admin2PCODE]]&lt;&gt;"", tblPiNAnalysis[[#This Row],[Admin2PCODE]], tblPiNAnalysis[[#This Row],[Admin1PCODE]]&lt;&gt;"", tblPiNAnalysis[[#This Row],[Admin1PCODE]])),"")</f>
        <v>VenezolanosVE1603</v>
      </c>
      <c r="B74" s="105" t="s">
        <v>491</v>
      </c>
      <c r="C74" s="104" t="s">
        <v>492</v>
      </c>
      <c r="D74" s="119" t="s">
        <v>180</v>
      </c>
      <c r="E74" s="104" t="s">
        <v>496</v>
      </c>
      <c r="F74" s="358"/>
      <c r="G74" s="357">
        <v>39522</v>
      </c>
      <c r="H74" s="103" t="s">
        <v>102</v>
      </c>
      <c r="I74" s="60">
        <v>32935</v>
      </c>
      <c r="J74" s="134">
        <v>1556.4735311369282</v>
      </c>
      <c r="K74" s="57">
        <v>14425.53</v>
      </c>
      <c r="L74" s="87">
        <v>2847.4822893862083</v>
      </c>
      <c r="M74" s="87">
        <v>7892.0089973949462</v>
      </c>
      <c r="N74" s="57">
        <v>5335.47</v>
      </c>
      <c r="O74" s="57">
        <v>2533.3348881637776</v>
      </c>
      <c r="P74" s="57">
        <v>2762.2031490882309</v>
      </c>
      <c r="Q74" s="88">
        <f>IFERROR(IF(tblPiNAnalysis[[#This Row],[SAMV]]="", "", MROUND(tblPiNAnalysis[[#This Row],[SAMV]]/tblPiNAnalysis[[#This Row],[Población]], 0.05)), "")</f>
        <v>0.85000000000000009</v>
      </c>
      <c r="R74" s="89">
        <f>IFERROR(IF(tblPiNAnalysis[[#This Row],[NUT]]="", "", MROUND(tblPiNAnalysis[[#This Row],[NUT]]/tblPiNAnalysis[[#This Row],[Población]], 0.05)), "")</f>
        <v>0.05</v>
      </c>
      <c r="S74" s="89">
        <f>IFERROR(IF(tblPiNAnalysis[[#This Row],[SAL]]="", "", MROUND(tblPiNAnalysis[[#This Row],[SAL]]/tblPiNAnalysis[[#This Row],[Población]], 0.05)), "")</f>
        <v>0.35000000000000003</v>
      </c>
      <c r="T74" s="89">
        <f>IFERROR(IF(tblPiNAnalysis[[#This Row],[EDU]]="", "", MROUND(tblPiNAnalysis[[#This Row],[EDU]]/tblPiNAnalysis[[#This Row],[Población]], 0.05)), "")</f>
        <v>0.05</v>
      </c>
      <c r="U74" s="89">
        <f>IFERROR(IF(tblPiNAnalysis[[#This Row],[PRO]]="", "", MROUND(tblPiNAnalysis[[#This Row],[PRO]]/tblPiNAnalysis[[#This Row],[Población]], 0.05)), "")</f>
        <v>0.2</v>
      </c>
      <c r="V74" s="90">
        <f>IFERROR(IF(tblPiNAnalysis[[#This Row],[ASH]]="", "", MROUND(tblPiNAnalysis[[#This Row],[ASH]]/tblPiNAnalysis[[#This Row],[Población]], 0.05)), "")</f>
        <v>0.15000000000000002</v>
      </c>
      <c r="W74" s="89">
        <f>IFERROR(MROUND(tblPiNAnalysis[[#This Row],[NNA]]/tblPiNAnalysis[[#This Row],[Población]], 0.05), "")</f>
        <v>0.05</v>
      </c>
      <c r="X74" s="89">
        <f>IFERROR(MROUND(tblPiNAnalysis[[#This Row],[VBG]]/tblPiNAnalysis[[#This Row],[Población]], 0.05), "")</f>
        <v>0.05</v>
      </c>
      <c r="Y74" s="91">
        <f>IFERROR(LARGE(tblPiNAnalysis[[#This Row],[SAMV]:[ASH]], 1), "")</f>
        <v>32935</v>
      </c>
      <c r="Z74" s="92" t="str" cm="1">
        <f t="array" ref="Z74">IF(tblPiNAnalysis[[#This Row],[PiN más alto]]="", "", _xlfn.TEXTJOIN(CHAR(10), TRUE, IF(tblPiNAnalysis[[#This Row],[PiN más alto]]=tblPiNAnalysis[[#This Row],[SAMV]:[ASH]], tblPiNAnalysis[[#Headers],[SAMV]:[ASH]], "")))</f>
        <v>SAMV</v>
      </c>
      <c r="AA74" s="93">
        <f>IF(tblPiNAnalysis[[#This Row],[PiN más alto]]="", "", tblPiNAnalysis[[#This Row],[PiN más alto]]/tblPiNAnalysis[[#This Row],[Población]])</f>
        <v>0.83333333333333337</v>
      </c>
      <c r="AB74" s="94" t="str">
        <f>IF(SUM(tblPiNAnalysis[[#This Row],[SAMV]:[ASH]])=0, "",IF(COUNTIF(tblPiNAnalysis[[#This Row],[SAMV]:[ASH]],"=0")+COUNTIF(tblPiNAnalysis[[#This Row],[SAMV]:[ASH]],"")&gt;=zero_pin_thresh, "Flagged", ""))</f>
        <v/>
      </c>
      <c r="AC74" s="95" t="str">
        <f>IFERROR(IF(tblPiNAnalysis[[#This Row],[PiN más alto]]="", "", IF(tblPiNAnalysis[[#This Row],[% PiN Sectores más altos]]&gt;=flag_pin_perc, "Flagged", "")), "")</f>
        <v/>
      </c>
      <c r="AD74" s="96" t="str" cm="1">
        <f t="array" ref="AD74">IF(tblPiNAnalysis[[#This Row],[PiN más alto]]=0, "",  IF(OR(COUNTIF(tblPiNAnalysis[[#This Row],[Sectores más altos]],tblSubSectorPopulation[Sector])), "Flagged", ""))</f>
        <v/>
      </c>
      <c r="AE74" s="16" cm="1">
        <f t="array" ref="AE7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14425.53</v>
      </c>
      <c r="AF74" s="97" t="str" cm="1">
        <f t="array" ref="AF74">IF(tblPiNAnalysis[[#This Row],[2º PiN más alto]]="", "", _xlfn.TEXTJOIN(CHAR(10), TRUE, IF(tblPiNAnalysis[[#This Row],[2º PiN más alto]]=tblPiNAnalysis[[#This Row],[SAMV]:[ASH]], tblPiNAnalysis[[#Headers],[SAMV]:[ASH]], "")))</f>
        <v>SAL</v>
      </c>
      <c r="AG74" s="12">
        <f>IFERROR(tblPiNAnalysis[[#This Row],[2º PiN más alto]]/tblPiNAnalysis[[#This Row],[Población]], "")</f>
        <v>0.36499999999999999</v>
      </c>
      <c r="AH74" s="16">
        <f>IFERROR(tblPiNAnalysis[[#This Row],[PiN más alto]]-tblPiNAnalysis[[#This Row],[2º PiN más alto]], "")</f>
        <v>18509.47</v>
      </c>
      <c r="AI74" s="14">
        <f>IFERROR(((tblPiNAnalysis[[#This Row],[PiN más alto]]-tblPiNAnalysis[[#This Row],[2º PiN más alto]])/tblPiNAnalysis[[#This Row],[2º PiN más alto]]),"")</f>
        <v>1.2831050228310503</v>
      </c>
      <c r="AJ74" s="14" t="str" cm="1">
        <f t="array" ref="AJ7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74" s="98" cm="1">
        <f t="array" ref="AK7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7892.0089973949462</v>
      </c>
      <c r="AL74" s="53" t="str" cm="1">
        <f t="array" ref="AL74">IF(tblPiNAnalysis[[#This Row],[3º PiN más alto]]="", "", _xlfn.TEXTJOIN(CHAR(10), TRUE, IF(tblPiNAnalysis[[#This Row],[3º PiN más alto]]=tblPiNAnalysis[[#This Row],[SAMV]:[ASH]], tblPiNAnalysis[[#Headers],[SAMV]:[ASH]], "")))</f>
        <v>PRO</v>
      </c>
      <c r="AM74" s="53">
        <f>IFERROR(tblPiNAnalysis[[#This Row],[3º PiN más alto]]/tblPiNAnalysis[[#This Row],[Población]], "")</f>
        <v>0.19968647835117015</v>
      </c>
      <c r="AN74" s="15">
        <f>IFERROR(tblPiNAnalysis[[#This Row],[PiN más alto]]-tblPiNAnalysis[[#This Row],[3º PiN más alto]],"")</f>
        <v>25042.991002605053</v>
      </c>
      <c r="AO74" s="14">
        <f>IFERROR(tblPiNAnalysis[[#This Row],[Diferencia de PiN entre el más alto y el 3º más alto]]/tblPiNAnalysis[[#This Row],[3º PiN más alto]], "")</f>
        <v>3.173208622908493</v>
      </c>
      <c r="AP74" s="96" t="str" cm="1">
        <f t="array" ref="AP7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74" s="84" cm="1">
        <f t="array" ref="AQ74">IFERROR(IF(tblPiNAnalysis[[#This Row],[ID]]="", "", INDEX(tblPiNHistorical[[SAMV]:[ASH]], MATCH(tblPiNAnalysis[[#This Row],[ID]],tblPiNHistorical[ID], 0),MATCH(_xlfn._xlws.FILTER(tblPiNAnalysis[[#Headers],[SAMV]:[ASH]], tblPiNAnalysis[[#This Row],[PiN más alto]]=tblPiNAnalysis[[#This Row],[SAMV]:[ASH]]), tblPiNHistorical[[#Headers],[SAMV]:[ASH]], 0))), "")</f>
        <v>-0.1</v>
      </c>
      <c r="AR74" s="99" t="str" cm="1">
        <f t="array" ref="AR7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74" s="74" cm="1">
        <f t="array" ref="AS74">IFERROR(IF(tblPiNAnalysis[[#This Row],[ID]]="", "", INDEX(tblPiNHistorical[[SAMV]:[ASH]], MATCH(tblPiNAnalysis[[#This Row],[ID]],tblPiNHistorical[ID], 0),MATCH(_xlfn._xlws.FILTER(tblPiNAnalysis[[#Headers],[SAMV]:[ASH]], tblPiNAnalysis[[#This Row],[2º PiN más alto]]=tblPiNAnalysis[[#This Row],[SAMV]:[ASH]]), tblPiNHistorical[[#Headers],[SAMV]:[ASH]], 0))), "")</f>
        <v>-0.3</v>
      </c>
      <c r="AT74" s="100" t="str" cm="1">
        <f t="array" ref="AT7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74" s="219">
        <f>INDEX(tblSeverityAnalysis[Severidad final], MATCH(tblPiNAnalysis[[#This Row],[ID]],tblSeverityAnalysis[ID], 0))</f>
        <v>3</v>
      </c>
      <c r="AV74" s="220">
        <f>IF(tblPiNAnalysis[[#This Row],[Severidad]]&gt;2,tblPiNAnalysis[[#This Row],[PiN más alto]],)</f>
        <v>32935</v>
      </c>
      <c r="AW74" s="54"/>
      <c r="AX74" s="55"/>
      <c r="AY74" s="56">
        <f>COUNTIFS(tblPiNAnalysis[[#This Row],[Número de PiN ausentes/cero superior al umbral - Calidad de los datos]:[Marcador manual]],"Flagged")</f>
        <v>2</v>
      </c>
      <c r="AZ74" s="34" t="str">
        <f>IF(tblPiNAnalysis[[#This Row],[Número de marcadores]]&gt;0, "Flagged", "")</f>
        <v>Flagged</v>
      </c>
      <c r="BA74" s="92">
        <f>tblPiNAnalysis[[#This Row],[PiN preliminar]]</f>
        <v>32935</v>
      </c>
      <c r="BB74" s="97"/>
      <c r="BC74" s="70">
        <f>IFERROR(IF(tblPiNAnalysis[[#This Row],[Severidad]]=3,tblPiNAnalysis[[#This Row],[PiN final]]*Umbrales!$D$33,tblPiNAnalysis[[#This Row],[PiN final]]*Umbrales!$D$34),)</f>
        <v>16467.5</v>
      </c>
      <c r="BD74" s="70">
        <f>IFERROR(IF(tblPiNAnalysis[[#This Row],[Severidad]]&gt;3,tblPiNAnalysis[[#This Row],[PiN final]]*Umbrales!$D$34,),)</f>
        <v>0</v>
      </c>
    </row>
    <row r="75" spans="1:56">
      <c r="A75" s="101" t="str">
        <f>IFERROR(_xlfn.CONCAT(IF(tblPiNAnalysis[[#This Row],[Grupo]]="", "",tblPiNAnalysis[[#This Row],[Grupo]] ),  _xlfn.IFS(tblPiNAnalysis[[#This Row],[Admin2PCODE]]&lt;&gt;"", tblPiNAnalysis[[#This Row],[Admin2PCODE]], tblPiNAnalysis[[#This Row],[Admin1PCODE]]&lt;&gt;"", tblPiNAnalysis[[#This Row],[Admin1PCODE]])),"")</f>
        <v>VenezolanosVE2020</v>
      </c>
      <c r="B75" s="105" t="s">
        <v>589</v>
      </c>
      <c r="C75" s="104" t="s">
        <v>590</v>
      </c>
      <c r="D75" s="119" t="s">
        <v>624</v>
      </c>
      <c r="E75" s="104" t="s">
        <v>625</v>
      </c>
      <c r="F75" s="358"/>
      <c r="G75" s="357">
        <v>53049</v>
      </c>
      <c r="H75" s="103" t="s">
        <v>102</v>
      </c>
      <c r="I75" s="60">
        <v>28225</v>
      </c>
      <c r="J75" s="134">
        <v>1783.518817212745</v>
      </c>
      <c r="K75" s="57">
        <v>19362.884999999998</v>
      </c>
      <c r="L75" s="87">
        <v>9320.8238035168688</v>
      </c>
      <c r="M75" s="87">
        <v>12742.912429051536</v>
      </c>
      <c r="N75" s="57">
        <v>31829.399999999998</v>
      </c>
      <c r="O75" s="57">
        <v>4077.7319772964916</v>
      </c>
      <c r="P75" s="57">
        <v>4460.0193501680369</v>
      </c>
      <c r="Q75" s="88">
        <f>IFERROR(IF(tblPiNAnalysis[[#This Row],[SAMV]]="", "", MROUND(tblPiNAnalysis[[#This Row],[SAMV]]/tblPiNAnalysis[[#This Row],[Población]], 0.05)), "")</f>
        <v>0.55000000000000004</v>
      </c>
      <c r="R75" s="89">
        <f>IFERROR(IF(tblPiNAnalysis[[#This Row],[NUT]]="", "", MROUND(tblPiNAnalysis[[#This Row],[NUT]]/tblPiNAnalysis[[#This Row],[Población]], 0.05)), "")</f>
        <v>0.05</v>
      </c>
      <c r="S75" s="89">
        <f>IFERROR(IF(tblPiNAnalysis[[#This Row],[SAL]]="", "", MROUND(tblPiNAnalysis[[#This Row],[SAL]]/tblPiNAnalysis[[#This Row],[Población]], 0.05)), "")</f>
        <v>0.35000000000000003</v>
      </c>
      <c r="T75" s="89">
        <f>IFERROR(IF(tblPiNAnalysis[[#This Row],[EDU]]="", "", MROUND(tblPiNAnalysis[[#This Row],[EDU]]/tblPiNAnalysis[[#This Row],[Población]], 0.05)), "")</f>
        <v>0.2</v>
      </c>
      <c r="U75" s="89">
        <f>IFERROR(IF(tblPiNAnalysis[[#This Row],[PRO]]="", "", MROUND(tblPiNAnalysis[[#This Row],[PRO]]/tblPiNAnalysis[[#This Row],[Población]], 0.05)), "")</f>
        <v>0.25</v>
      </c>
      <c r="V75" s="90">
        <f>IFERROR(IF(tblPiNAnalysis[[#This Row],[ASH]]="", "", MROUND(tblPiNAnalysis[[#This Row],[ASH]]/tblPiNAnalysis[[#This Row],[Población]], 0.05)), "")</f>
        <v>0.60000000000000009</v>
      </c>
      <c r="W75" s="89">
        <f>IFERROR(MROUND(tblPiNAnalysis[[#This Row],[NNA]]/tblPiNAnalysis[[#This Row],[Población]], 0.05), "")</f>
        <v>0.1</v>
      </c>
      <c r="X75" s="89">
        <f>IFERROR(MROUND(tblPiNAnalysis[[#This Row],[VBG]]/tblPiNAnalysis[[#This Row],[Población]], 0.05), "")</f>
        <v>0.1</v>
      </c>
      <c r="Y75" s="91">
        <f>IFERROR(LARGE(tblPiNAnalysis[[#This Row],[SAMV]:[ASH]], 1), "")</f>
        <v>31829.399999999998</v>
      </c>
      <c r="Z75" s="92" t="str" cm="1">
        <f t="array" ref="Z75">IF(tblPiNAnalysis[[#This Row],[PiN más alto]]="", "", _xlfn.TEXTJOIN(CHAR(10), TRUE, IF(tblPiNAnalysis[[#This Row],[PiN más alto]]=tblPiNAnalysis[[#This Row],[SAMV]:[ASH]], tblPiNAnalysis[[#Headers],[SAMV]:[ASH]], "")))</f>
        <v>ASH</v>
      </c>
      <c r="AA75" s="93">
        <f>IF(tblPiNAnalysis[[#This Row],[PiN más alto]]="", "", tblPiNAnalysis[[#This Row],[PiN más alto]]/tblPiNAnalysis[[#This Row],[Población]])</f>
        <v>0.6</v>
      </c>
      <c r="AB75" s="94" t="str">
        <f>IF(SUM(tblPiNAnalysis[[#This Row],[SAMV]:[ASH]])=0, "",IF(COUNTIF(tblPiNAnalysis[[#This Row],[SAMV]:[ASH]],"=0")+COUNTIF(tblPiNAnalysis[[#This Row],[SAMV]:[ASH]],"")&gt;=zero_pin_thresh, "Flagged", ""))</f>
        <v/>
      </c>
      <c r="AC75" s="95" t="str">
        <f>IFERROR(IF(tblPiNAnalysis[[#This Row],[PiN más alto]]="", "", IF(tblPiNAnalysis[[#This Row],[% PiN Sectores más altos]]&gt;=flag_pin_perc, "Flagged", "")), "")</f>
        <v/>
      </c>
      <c r="AD75" s="96" t="str" cm="1">
        <f t="array" ref="AD75">IF(tblPiNAnalysis[[#This Row],[PiN más alto]]=0, "",  IF(OR(COUNTIF(tblPiNAnalysis[[#This Row],[Sectores más altos]],tblSubSectorPopulation[Sector])), "Flagged", ""))</f>
        <v/>
      </c>
      <c r="AE75" s="16" cm="1">
        <f t="array" ref="AE7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28225</v>
      </c>
      <c r="AF75" s="97" t="str" cm="1">
        <f t="array" ref="AF75">IF(tblPiNAnalysis[[#This Row],[2º PiN más alto]]="", "", _xlfn.TEXTJOIN(CHAR(10), TRUE, IF(tblPiNAnalysis[[#This Row],[2º PiN más alto]]=tblPiNAnalysis[[#This Row],[SAMV]:[ASH]], tblPiNAnalysis[[#Headers],[SAMV]:[ASH]], "")))</f>
        <v>SAMV</v>
      </c>
      <c r="AG75" s="12">
        <f>IFERROR(tblPiNAnalysis[[#This Row],[2º PiN más alto]]/tblPiNAnalysis[[#This Row],[Población]], "")</f>
        <v>0.53205526965635541</v>
      </c>
      <c r="AH75" s="16">
        <f>IFERROR(tblPiNAnalysis[[#This Row],[PiN más alto]]-tblPiNAnalysis[[#This Row],[2º PiN más alto]], "")</f>
        <v>3604.3999999999978</v>
      </c>
      <c r="AI75" s="14">
        <f>IFERROR(((tblPiNAnalysis[[#This Row],[PiN más alto]]-tblPiNAnalysis[[#This Row],[2º PiN más alto]])/tblPiNAnalysis[[#This Row],[2º PiN más alto]]),"")</f>
        <v>0.12770239149689983</v>
      </c>
      <c r="AJ75" s="14" t="str" cm="1">
        <f t="array" ref="AJ7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75" s="98" cm="1">
        <f t="array" ref="AK7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19362.884999999998</v>
      </c>
      <c r="AL75" s="53" t="str" cm="1">
        <f t="array" ref="AL75">IF(tblPiNAnalysis[[#This Row],[3º PiN más alto]]="", "", _xlfn.TEXTJOIN(CHAR(10), TRUE, IF(tblPiNAnalysis[[#This Row],[3º PiN más alto]]=tblPiNAnalysis[[#This Row],[SAMV]:[ASH]], tblPiNAnalysis[[#Headers],[SAMV]:[ASH]], "")))</f>
        <v>SAL</v>
      </c>
      <c r="AM75" s="53">
        <f>IFERROR(tblPiNAnalysis[[#This Row],[3º PiN más alto]]/tblPiNAnalysis[[#This Row],[Población]], "")</f>
        <v>0.36499999999999999</v>
      </c>
      <c r="AN75" s="15">
        <f>IFERROR(tblPiNAnalysis[[#This Row],[PiN más alto]]-tblPiNAnalysis[[#This Row],[3º PiN más alto]],"")</f>
        <v>12466.514999999999</v>
      </c>
      <c r="AO75" s="14">
        <f>IFERROR(tblPiNAnalysis[[#This Row],[Diferencia de PiN entre el más alto y el 3º más alto]]/tblPiNAnalysis[[#This Row],[3º PiN más alto]], "")</f>
        <v>0.64383561643835618</v>
      </c>
      <c r="AP75" s="96" t="str" cm="1">
        <f t="array" ref="AP7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75" s="84" t="str" cm="1">
        <f t="array" ref="AQ75">IFERROR(IF(tblPiNAnalysis[[#This Row],[ID]]="", "", INDEX(tblPiNHistorical[[SAMV]:[ASH]], MATCH(tblPiNAnalysis[[#This Row],[ID]],tblPiNHistorical[ID], 0),MATCH(_xlfn._xlws.FILTER(tblPiNAnalysis[[#Headers],[SAMV]:[ASH]], tblPiNAnalysis[[#This Row],[PiN más alto]]=tblPiNAnalysis[[#This Row],[SAMV]:[ASH]]), tblPiNHistorical[[#Headers],[SAMV]:[ASH]], 0))), "")</f>
        <v>NoPIN26 25940</v>
      </c>
      <c r="AR75" s="99" t="str" cm="1">
        <f t="array" ref="AR7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75" s="74" cm="1">
        <f t="array" ref="AS75">IFERROR(IF(tblPiNAnalysis[[#This Row],[ID]]="", "", INDEX(tblPiNHistorical[[SAMV]:[ASH]], MATCH(tblPiNAnalysis[[#This Row],[ID]],tblPiNHistorical[ID], 0),MATCH(_xlfn._xlws.FILTER(tblPiNAnalysis[[#Headers],[SAMV]:[ASH]], tblPiNAnalysis[[#This Row],[2º PiN más alto]]=tblPiNAnalysis[[#This Row],[SAMV]:[ASH]]), tblPiNHistorical[[#Headers],[SAMV]:[ASH]], 0))), "")</f>
        <v>5.4</v>
      </c>
      <c r="AT75" s="100" t="str" cm="1">
        <f t="array" ref="AT7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75" s="219">
        <f>INDEX(tblSeverityAnalysis[Severidad final], MATCH(tblPiNAnalysis[[#This Row],[ID]],tblSeverityAnalysis[ID], 0))</f>
        <v>4</v>
      </c>
      <c r="AV75" s="220">
        <f>IF(tblPiNAnalysis[[#This Row],[Severidad]]&gt;2,tblPiNAnalysis[[#This Row],[PiN más alto]],)</f>
        <v>31829.399999999998</v>
      </c>
      <c r="AW75" s="54"/>
      <c r="AX75" s="55"/>
      <c r="AY75" s="56">
        <f>COUNTIFS(tblPiNAnalysis[[#This Row],[Número de PiN ausentes/cero superior al umbral - Calidad de los datos]:[Marcador manual]],"Flagged")</f>
        <v>2</v>
      </c>
      <c r="AZ75" s="34" t="str">
        <f>IF(tblPiNAnalysis[[#This Row],[Número de marcadores]]&gt;0, "Flagged", "")</f>
        <v>Flagged</v>
      </c>
      <c r="BA75" s="92">
        <f>tblPiNAnalysis[[#This Row],[PiN preliminar]]</f>
        <v>31829.399999999998</v>
      </c>
      <c r="BB75" s="97"/>
      <c r="BC75" s="70">
        <f>IFERROR(IF(tblPiNAnalysis[[#This Row],[Severidad]]=3,tblPiNAnalysis[[#This Row],[PiN final]]*Umbrales!$D$33,tblPiNAnalysis[[#This Row],[PiN final]]*Umbrales!$D$34),)</f>
        <v>31829.399999999998</v>
      </c>
      <c r="BD75" s="70">
        <f>IFERROR(IF(tblPiNAnalysis[[#This Row],[Severidad]]&gt;3,tblPiNAnalysis[[#This Row],[PiN final]]*Umbrales!$D$34,),)</f>
        <v>31829.399999999998</v>
      </c>
    </row>
    <row r="76" spans="1:56">
      <c r="A76" s="101" t="str">
        <f>IFERROR(_xlfn.CONCAT(IF(tblPiNAnalysis[[#This Row],[Grupo]]="", "",tblPiNAnalysis[[#This Row],[Grupo]] ),  _xlfn.IFS(tblPiNAnalysis[[#This Row],[Admin2PCODE]]&lt;&gt;"", tblPiNAnalysis[[#This Row],[Admin2PCODE]], tblPiNAnalysis[[#This Row],[Admin1PCODE]]&lt;&gt;"", tblPiNAnalysis[[#This Row],[Admin1PCODE]])),"")</f>
        <v>VenezolanosVE0602</v>
      </c>
      <c r="B76" s="105" t="s">
        <v>215</v>
      </c>
      <c r="C76" s="104" t="s">
        <v>216</v>
      </c>
      <c r="D76" s="119" t="s">
        <v>810</v>
      </c>
      <c r="E76" s="104" t="s">
        <v>220</v>
      </c>
      <c r="F76" s="358"/>
      <c r="G76" s="357">
        <v>83507</v>
      </c>
      <c r="H76" s="103" t="s">
        <v>102</v>
      </c>
      <c r="I76" s="60">
        <v>8118</v>
      </c>
      <c r="J76" s="134">
        <v>3306.2876662788221</v>
      </c>
      <c r="K76" s="57">
        <v>30480.055</v>
      </c>
      <c r="L76" s="87">
        <v>8707.8034025486122</v>
      </c>
      <c r="M76" s="87">
        <v>7195.7290131067421</v>
      </c>
      <c r="N76" s="57">
        <v>11273.445</v>
      </c>
      <c r="O76" s="57">
        <v>2302.6332841941576</v>
      </c>
      <c r="P76" s="57">
        <v>2518.5051545873594</v>
      </c>
      <c r="Q76" s="88">
        <f>IFERROR(IF(tblPiNAnalysis[[#This Row],[SAMV]]="", "", MROUND(tblPiNAnalysis[[#This Row],[SAMV]]/tblPiNAnalysis[[#This Row],[Población]], 0.05)), "")</f>
        <v>0.1</v>
      </c>
      <c r="R76" s="89">
        <f>IFERROR(IF(tblPiNAnalysis[[#This Row],[NUT]]="", "", MROUND(tblPiNAnalysis[[#This Row],[NUT]]/tblPiNAnalysis[[#This Row],[Población]], 0.05)), "")</f>
        <v>0.05</v>
      </c>
      <c r="S76" s="89">
        <f>IFERROR(IF(tblPiNAnalysis[[#This Row],[SAL]]="", "", MROUND(tblPiNAnalysis[[#This Row],[SAL]]/tblPiNAnalysis[[#This Row],[Población]], 0.05)), "")</f>
        <v>0.35000000000000003</v>
      </c>
      <c r="T76" s="89">
        <f>IFERROR(IF(tblPiNAnalysis[[#This Row],[EDU]]="", "", MROUND(tblPiNAnalysis[[#This Row],[EDU]]/tblPiNAnalysis[[#This Row],[Población]], 0.05)), "")</f>
        <v>0.1</v>
      </c>
      <c r="U76" s="89">
        <f>IFERROR(IF(tblPiNAnalysis[[#This Row],[PRO]]="", "", MROUND(tblPiNAnalysis[[#This Row],[PRO]]/tblPiNAnalysis[[#This Row],[Población]], 0.05)), "")</f>
        <v>0.1</v>
      </c>
      <c r="V76" s="90">
        <f>IFERROR(IF(tblPiNAnalysis[[#This Row],[ASH]]="", "", MROUND(tblPiNAnalysis[[#This Row],[ASH]]/tblPiNAnalysis[[#This Row],[Población]], 0.05)), "")</f>
        <v>0.15000000000000002</v>
      </c>
      <c r="W76" s="89">
        <f>IFERROR(MROUND(tblPiNAnalysis[[#This Row],[NNA]]/tblPiNAnalysis[[#This Row],[Población]], 0.05), "")</f>
        <v>0.05</v>
      </c>
      <c r="X76" s="89">
        <f>IFERROR(MROUND(tblPiNAnalysis[[#This Row],[VBG]]/tblPiNAnalysis[[#This Row],[Población]], 0.05), "")</f>
        <v>0.05</v>
      </c>
      <c r="Y76" s="91">
        <f>IFERROR(LARGE(tblPiNAnalysis[[#This Row],[SAMV]:[ASH]], 1), "")</f>
        <v>30480.055</v>
      </c>
      <c r="Z76" s="92" t="str" cm="1">
        <f t="array" ref="Z76">IF(tblPiNAnalysis[[#This Row],[PiN más alto]]="", "", _xlfn.TEXTJOIN(CHAR(10), TRUE, IF(tblPiNAnalysis[[#This Row],[PiN más alto]]=tblPiNAnalysis[[#This Row],[SAMV]:[ASH]], tblPiNAnalysis[[#Headers],[SAMV]:[ASH]], "")))</f>
        <v>SAL</v>
      </c>
      <c r="AA76" s="93">
        <f>IF(tblPiNAnalysis[[#This Row],[PiN más alto]]="", "", tblPiNAnalysis[[#This Row],[PiN más alto]]/tblPiNAnalysis[[#This Row],[Población]])</f>
        <v>0.36499999999999999</v>
      </c>
      <c r="AB76" s="94" t="str">
        <f>IF(SUM(tblPiNAnalysis[[#This Row],[SAMV]:[ASH]])=0, "",IF(COUNTIF(tblPiNAnalysis[[#This Row],[SAMV]:[ASH]],"=0")+COUNTIF(tblPiNAnalysis[[#This Row],[SAMV]:[ASH]],"")&gt;=zero_pin_thresh, "Flagged", ""))</f>
        <v/>
      </c>
      <c r="AC76" s="95" t="str">
        <f>IFERROR(IF(tblPiNAnalysis[[#This Row],[PiN más alto]]="", "", IF(tblPiNAnalysis[[#This Row],[% PiN Sectores más altos]]&gt;=flag_pin_perc, "Flagged", "")), "")</f>
        <v/>
      </c>
      <c r="AD76" s="96" t="str" cm="1">
        <f t="array" ref="AD76">IF(tblPiNAnalysis[[#This Row],[PiN más alto]]=0, "",  IF(OR(COUNTIF(tblPiNAnalysis[[#This Row],[Sectores más altos]],tblSubSectorPopulation[Sector])), "Flagged", ""))</f>
        <v/>
      </c>
      <c r="AE76" s="16" cm="1">
        <f t="array" ref="AE7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11273.445</v>
      </c>
      <c r="AF76" s="97" t="str" cm="1">
        <f t="array" ref="AF76">IF(tblPiNAnalysis[[#This Row],[2º PiN más alto]]="", "", _xlfn.TEXTJOIN(CHAR(10), TRUE, IF(tblPiNAnalysis[[#This Row],[2º PiN más alto]]=tblPiNAnalysis[[#This Row],[SAMV]:[ASH]], tblPiNAnalysis[[#Headers],[SAMV]:[ASH]], "")))</f>
        <v>ASH</v>
      </c>
      <c r="AG76" s="12">
        <f>IFERROR(tblPiNAnalysis[[#This Row],[2º PiN más alto]]/tblPiNAnalysis[[#This Row],[Población]], "")</f>
        <v>0.13500000000000001</v>
      </c>
      <c r="AH76" s="16">
        <f>IFERROR(tblPiNAnalysis[[#This Row],[PiN más alto]]-tblPiNAnalysis[[#This Row],[2º PiN más alto]], "")</f>
        <v>19206.61</v>
      </c>
      <c r="AI76" s="14">
        <f>IFERROR(((tblPiNAnalysis[[#This Row],[PiN más alto]]-tblPiNAnalysis[[#This Row],[2º PiN más alto]])/tblPiNAnalysis[[#This Row],[2º PiN más alto]]),"")</f>
        <v>1.7037037037037037</v>
      </c>
      <c r="AJ76" s="14" t="str" cm="1">
        <f t="array" ref="AJ7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76" s="98" cm="1">
        <f t="array" ref="AK7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8707.8034025486122</v>
      </c>
      <c r="AL76" s="53" t="str" cm="1">
        <f t="array" ref="AL76">IF(tblPiNAnalysis[[#This Row],[3º PiN más alto]]="", "", _xlfn.TEXTJOIN(CHAR(10), TRUE, IF(tblPiNAnalysis[[#This Row],[3º PiN más alto]]=tblPiNAnalysis[[#This Row],[SAMV]:[ASH]], tblPiNAnalysis[[#Headers],[SAMV]:[ASH]], "")))</f>
        <v>EDU</v>
      </c>
      <c r="AM76" s="53">
        <f>IFERROR(tblPiNAnalysis[[#This Row],[3º PiN más alto]]/tblPiNAnalysis[[#This Row],[Población]], "")</f>
        <v>0.10427632896102856</v>
      </c>
      <c r="AN76" s="15">
        <f>IFERROR(tblPiNAnalysis[[#This Row],[PiN más alto]]-tblPiNAnalysis[[#This Row],[3º PiN más alto]],"")</f>
        <v>21772.251597451388</v>
      </c>
      <c r="AO76" s="14">
        <f>IFERROR(tblPiNAnalysis[[#This Row],[Diferencia de PiN entre el más alto y el 3º más alto]]/tblPiNAnalysis[[#This Row],[3º PiN más alto]], "")</f>
        <v>2.5003150152745817</v>
      </c>
      <c r="AP76" s="96" t="str" cm="1">
        <f t="array" ref="AP7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76" s="84" cm="1">
        <f t="array" ref="AQ76">IFERROR(IF(tblPiNAnalysis[[#This Row],[ID]]="", "", INDEX(tblPiNHistorical[[SAMV]:[ASH]], MATCH(tblPiNAnalysis[[#This Row],[ID]],tblPiNHistorical[ID], 0),MATCH(_xlfn._xlws.FILTER(tblPiNAnalysis[[#Headers],[SAMV]:[ASH]], tblPiNAnalysis[[#This Row],[PiN más alto]]=tblPiNAnalysis[[#This Row],[SAMV]:[ASH]]), tblPiNHistorical[[#Headers],[SAMV]:[ASH]], 0))), "")</f>
        <v>0.5</v>
      </c>
      <c r="AR76" s="99" t="str" cm="1">
        <f t="array" ref="AR7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76" s="74" t="str" cm="1">
        <f t="array" ref="AS76">IFERROR(IF(tblPiNAnalysis[[#This Row],[ID]]="", "", INDEX(tblPiNHistorical[[SAMV]:[ASH]], MATCH(tblPiNAnalysis[[#This Row],[ID]],tblPiNHistorical[ID], 0),MATCH(_xlfn._xlws.FILTER(tblPiNAnalysis[[#Headers],[SAMV]:[ASH]], tblPiNAnalysis[[#This Row],[2º PiN más alto]]=tblPiNAnalysis[[#This Row],[SAMV]:[ASH]]), tblPiNHistorical[[#Headers],[SAMV]:[ASH]], 0))), "")</f>
        <v>New26 39115.35</v>
      </c>
      <c r="AT76" s="100" t="str" cm="1">
        <f t="array" ref="AT7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76" s="219">
        <f>INDEX(tblSeverityAnalysis[Severidad final], MATCH(tblPiNAnalysis[[#This Row],[ID]],tblSeverityAnalysis[ID], 0))</f>
        <v>3</v>
      </c>
      <c r="AV76" s="220">
        <f>IF(tblPiNAnalysis[[#This Row],[Severidad]]&gt;2,tblPiNAnalysis[[#This Row],[PiN más alto]],)</f>
        <v>30480.055</v>
      </c>
      <c r="AW76" s="54"/>
      <c r="AX76" s="55"/>
      <c r="AY76" s="56">
        <f>COUNTIFS(tblPiNAnalysis[[#This Row],[Número de PiN ausentes/cero superior al umbral - Calidad de los datos]:[Marcador manual]],"Flagged")</f>
        <v>2</v>
      </c>
      <c r="AZ76" s="34" t="str">
        <f>IF(tblPiNAnalysis[[#This Row],[Número de marcadores]]&gt;0, "Flagged", "")</f>
        <v>Flagged</v>
      </c>
      <c r="BA76" s="92">
        <f>tblPiNAnalysis[[#This Row],[PiN preliminar]]</f>
        <v>30480.055</v>
      </c>
      <c r="BB76" s="97"/>
      <c r="BC76" s="70">
        <f>IFERROR(IF(tblPiNAnalysis[[#This Row],[Severidad]]=3,tblPiNAnalysis[[#This Row],[PiN final]]*Umbrales!$D$33,tblPiNAnalysis[[#This Row],[PiN final]]*Umbrales!$D$34),)</f>
        <v>15240.0275</v>
      </c>
      <c r="BD76" s="70">
        <f>IFERROR(IF(tblPiNAnalysis[[#This Row],[Severidad]]&gt;3,tblPiNAnalysis[[#This Row],[PiN final]]*Umbrales!$D$34,),)</f>
        <v>0</v>
      </c>
    </row>
    <row r="77" spans="1:56">
      <c r="A77" s="101" t="str">
        <f>IFERROR(_xlfn.CONCAT(IF(tblPiNAnalysis[[#This Row],[Grupo]]="", "",tblPiNAnalysis[[#This Row],[Grupo]] ),  _xlfn.IFS(tblPiNAnalysis[[#This Row],[Admin2PCODE]]&lt;&gt;"", tblPiNAnalysis[[#This Row],[Admin2PCODE]], tblPiNAnalysis[[#This Row],[Admin1PCODE]]&lt;&gt;"", tblPiNAnalysis[[#This Row],[Admin1PCODE]])),"")</f>
        <v>VenezolanosVE1803</v>
      </c>
      <c r="B77" s="105" t="s">
        <v>536</v>
      </c>
      <c r="C77" s="104" t="s">
        <v>537</v>
      </c>
      <c r="D77" s="119" t="s">
        <v>542</v>
      </c>
      <c r="E77" s="104" t="s">
        <v>543</v>
      </c>
      <c r="F77" s="358"/>
      <c r="G77" s="357">
        <v>45965</v>
      </c>
      <c r="H77" s="103" t="s">
        <v>102</v>
      </c>
      <c r="I77" s="60">
        <v>29434</v>
      </c>
      <c r="J77" s="134">
        <v>1302.5412101897991</v>
      </c>
      <c r="K77" s="57">
        <v>16777.224999999999</v>
      </c>
      <c r="L77" s="87">
        <v>3212.9177316097021</v>
      </c>
      <c r="M77" s="87">
        <v>7268.2421964169953</v>
      </c>
      <c r="N77" s="57">
        <v>0</v>
      </c>
      <c r="O77" s="57">
        <v>2325.8375028534383</v>
      </c>
      <c r="P77" s="57">
        <v>2543.8847687459483</v>
      </c>
      <c r="Q77" s="88">
        <f>IFERROR(IF(tblPiNAnalysis[[#This Row],[SAMV]]="", "", MROUND(tblPiNAnalysis[[#This Row],[SAMV]]/tblPiNAnalysis[[#This Row],[Población]], 0.05)), "")</f>
        <v>0.65</v>
      </c>
      <c r="R77" s="89">
        <f>IFERROR(IF(tblPiNAnalysis[[#This Row],[NUT]]="", "", MROUND(tblPiNAnalysis[[#This Row],[NUT]]/tblPiNAnalysis[[#This Row],[Población]], 0.05)), "")</f>
        <v>0.05</v>
      </c>
      <c r="S77" s="89">
        <f>IFERROR(IF(tblPiNAnalysis[[#This Row],[SAL]]="", "", MROUND(tblPiNAnalysis[[#This Row],[SAL]]/tblPiNAnalysis[[#This Row],[Población]], 0.05)), "")</f>
        <v>0.35000000000000003</v>
      </c>
      <c r="T77" s="89">
        <f>IFERROR(IF(tblPiNAnalysis[[#This Row],[EDU]]="", "", MROUND(tblPiNAnalysis[[#This Row],[EDU]]/tblPiNAnalysis[[#This Row],[Población]], 0.05)), "")</f>
        <v>0.05</v>
      </c>
      <c r="U77" s="89">
        <f>IFERROR(IF(tblPiNAnalysis[[#This Row],[PRO]]="", "", MROUND(tblPiNAnalysis[[#This Row],[PRO]]/tblPiNAnalysis[[#This Row],[Población]], 0.05)), "")</f>
        <v>0.15000000000000002</v>
      </c>
      <c r="V77" s="90">
        <f>IFERROR(IF(tblPiNAnalysis[[#This Row],[ASH]]="", "", MROUND(tblPiNAnalysis[[#This Row],[ASH]]/tblPiNAnalysis[[#This Row],[Población]], 0.05)), "")</f>
        <v>0</v>
      </c>
      <c r="W77" s="89">
        <f>IFERROR(MROUND(tblPiNAnalysis[[#This Row],[NNA]]/tblPiNAnalysis[[#This Row],[Población]], 0.05), "")</f>
        <v>0.05</v>
      </c>
      <c r="X77" s="89">
        <f>IFERROR(MROUND(tblPiNAnalysis[[#This Row],[VBG]]/tblPiNAnalysis[[#This Row],[Población]], 0.05), "")</f>
        <v>0.05</v>
      </c>
      <c r="Y77" s="91">
        <f>IFERROR(LARGE(tblPiNAnalysis[[#This Row],[SAMV]:[ASH]], 1), "")</f>
        <v>29434</v>
      </c>
      <c r="Z77" s="92" t="str" cm="1">
        <f t="array" ref="Z77">IF(tblPiNAnalysis[[#This Row],[PiN más alto]]="", "", _xlfn.TEXTJOIN(CHAR(10), TRUE, IF(tblPiNAnalysis[[#This Row],[PiN más alto]]=tblPiNAnalysis[[#This Row],[SAMV]:[ASH]], tblPiNAnalysis[[#Headers],[SAMV]:[ASH]], "")))</f>
        <v>SAMV</v>
      </c>
      <c r="AA77" s="93">
        <f>IF(tblPiNAnalysis[[#This Row],[PiN más alto]]="", "", tblPiNAnalysis[[#This Row],[PiN más alto]]/tblPiNAnalysis[[#This Row],[Población]])</f>
        <v>0.64035679321222672</v>
      </c>
      <c r="AB77" s="94" t="str">
        <f>IF(SUM(tblPiNAnalysis[[#This Row],[SAMV]:[ASH]])=0, "",IF(COUNTIF(tblPiNAnalysis[[#This Row],[SAMV]:[ASH]],"=0")+COUNTIF(tblPiNAnalysis[[#This Row],[SAMV]:[ASH]],"")&gt;=zero_pin_thresh, "Flagged", ""))</f>
        <v/>
      </c>
      <c r="AC77" s="95" t="str">
        <f>IFERROR(IF(tblPiNAnalysis[[#This Row],[PiN más alto]]="", "", IF(tblPiNAnalysis[[#This Row],[% PiN Sectores más altos]]&gt;=flag_pin_perc, "Flagged", "")), "")</f>
        <v/>
      </c>
      <c r="AD77" s="96" t="str" cm="1">
        <f t="array" ref="AD77">IF(tblPiNAnalysis[[#This Row],[PiN más alto]]=0, "",  IF(OR(COUNTIF(tblPiNAnalysis[[#This Row],[Sectores más altos]],tblSubSectorPopulation[Sector])), "Flagged", ""))</f>
        <v/>
      </c>
      <c r="AE77" s="16" cm="1">
        <f t="array" ref="AE7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16777.224999999999</v>
      </c>
      <c r="AF77" s="97" t="str" cm="1">
        <f t="array" ref="AF77">IF(tblPiNAnalysis[[#This Row],[2º PiN más alto]]="", "", _xlfn.TEXTJOIN(CHAR(10), TRUE, IF(tblPiNAnalysis[[#This Row],[2º PiN más alto]]=tblPiNAnalysis[[#This Row],[SAMV]:[ASH]], tblPiNAnalysis[[#Headers],[SAMV]:[ASH]], "")))</f>
        <v>SAL</v>
      </c>
      <c r="AG77" s="12">
        <f>IFERROR(tblPiNAnalysis[[#This Row],[2º PiN más alto]]/tblPiNAnalysis[[#This Row],[Población]], "")</f>
        <v>0.36499999999999999</v>
      </c>
      <c r="AH77" s="16">
        <f>IFERROR(tblPiNAnalysis[[#This Row],[PiN más alto]]-tblPiNAnalysis[[#This Row],[2º PiN más alto]], "")</f>
        <v>12656.775000000001</v>
      </c>
      <c r="AI77" s="14">
        <f>IFERROR(((tblPiNAnalysis[[#This Row],[PiN más alto]]-tblPiNAnalysis[[#This Row],[2º PiN más alto]])/tblPiNAnalysis[[#This Row],[2º PiN más alto]]),"")</f>
        <v>0.7544021731841829</v>
      </c>
      <c r="AJ77" s="14" t="str" cm="1">
        <f t="array" ref="AJ7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77" s="98" cm="1">
        <f t="array" ref="AK7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7268.2421964169953</v>
      </c>
      <c r="AL77" s="53" t="str" cm="1">
        <f t="array" ref="AL77">IF(tblPiNAnalysis[[#This Row],[3º PiN más alto]]="", "", _xlfn.TEXTJOIN(CHAR(10), TRUE, IF(tblPiNAnalysis[[#This Row],[3º PiN más alto]]=tblPiNAnalysis[[#This Row],[SAMV]:[ASH]], tblPiNAnalysis[[#Headers],[SAMV]:[ASH]], "")))</f>
        <v>PRO</v>
      </c>
      <c r="AM77" s="53">
        <f>IFERROR(tblPiNAnalysis[[#This Row],[3º PiN más alto]]/tblPiNAnalysis[[#This Row],[Población]], "")</f>
        <v>0.15812557807934288</v>
      </c>
      <c r="AN77" s="15">
        <f>IFERROR(tblPiNAnalysis[[#This Row],[PiN más alto]]-tblPiNAnalysis[[#This Row],[3º PiN más alto]],"")</f>
        <v>22165.757803583005</v>
      </c>
      <c r="AO77" s="14">
        <f>IFERROR(tblPiNAnalysis[[#This Row],[Diferencia de PiN entre el más alto y el 3º más alto]]/tblPiNAnalysis[[#This Row],[3º PiN más alto]], "")</f>
        <v>3.0496724248553515</v>
      </c>
      <c r="AP77" s="96" t="str" cm="1">
        <f t="array" ref="AP7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77" s="84" cm="1">
        <f t="array" ref="AQ77">IFERROR(IF(tblPiNAnalysis[[#This Row],[ID]]="", "", INDEX(tblPiNHistorical[[SAMV]:[ASH]], MATCH(tblPiNAnalysis[[#This Row],[ID]],tblPiNHistorical[ID], 0),MATCH(_xlfn._xlws.FILTER(tblPiNAnalysis[[#Headers],[SAMV]:[ASH]], tblPiNAnalysis[[#This Row],[PiN más alto]]=tblPiNAnalysis[[#This Row],[SAMV]:[ASH]]), tblPiNHistorical[[#Headers],[SAMV]:[ASH]], 0))), "")</f>
        <v>-0.6</v>
      </c>
      <c r="AR77" s="99" t="str" cm="1">
        <f t="array" ref="AR7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77" s="74" cm="1">
        <f t="array" ref="AS77">IFERROR(IF(tblPiNAnalysis[[#This Row],[ID]]="", "", INDEX(tblPiNHistorical[[SAMV]:[ASH]], MATCH(tblPiNAnalysis[[#This Row],[ID]],tblPiNHistorical[ID], 0),MATCH(_xlfn._xlws.FILTER(tblPiNAnalysis[[#Headers],[SAMV]:[ASH]], tblPiNAnalysis[[#This Row],[2º PiN más alto]]=tblPiNAnalysis[[#This Row],[SAMV]:[ASH]]), tblPiNHistorical[[#Headers],[SAMV]:[ASH]], 0))), "")</f>
        <v>-0.7</v>
      </c>
      <c r="AT77" s="100" t="str" cm="1">
        <f t="array" ref="AT7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77" s="219">
        <f>INDEX(tblSeverityAnalysis[Severidad final], MATCH(tblPiNAnalysis[[#This Row],[ID]],tblSeverityAnalysis[ID], 0))</f>
        <v>3</v>
      </c>
      <c r="AV77" s="220">
        <f>IF(tblPiNAnalysis[[#This Row],[Severidad]]&gt;2,tblPiNAnalysis[[#This Row],[PiN más alto]],)</f>
        <v>29434</v>
      </c>
      <c r="AW77" s="54"/>
      <c r="AX77" s="55"/>
      <c r="AY77" s="56">
        <f>COUNTIFS(tblPiNAnalysis[[#This Row],[Número de PiN ausentes/cero superior al umbral - Calidad de los datos]:[Marcador manual]],"Flagged")</f>
        <v>2</v>
      </c>
      <c r="AZ77" s="34" t="str">
        <f>IF(tblPiNAnalysis[[#This Row],[Número de marcadores]]&gt;0, "Flagged", "")</f>
        <v>Flagged</v>
      </c>
      <c r="BA77" s="92">
        <f>tblPiNAnalysis[[#This Row],[PiN preliminar]]</f>
        <v>29434</v>
      </c>
      <c r="BB77" s="97"/>
      <c r="BC77" s="70">
        <f>IFERROR(IF(tblPiNAnalysis[[#This Row],[Severidad]]=3,tblPiNAnalysis[[#This Row],[PiN final]]*Umbrales!$D$33,tblPiNAnalysis[[#This Row],[PiN final]]*Umbrales!$D$34),)</f>
        <v>14717</v>
      </c>
      <c r="BD77" s="70">
        <f>IFERROR(IF(tblPiNAnalysis[[#This Row],[Severidad]]&gt;3,tblPiNAnalysis[[#This Row],[PiN final]]*Umbrales!$D$34,),)</f>
        <v>0</v>
      </c>
    </row>
    <row r="78" spans="1:56">
      <c r="A78" s="101" t="str">
        <f>IFERROR(_xlfn.CONCAT(IF(tblPiNAnalysis[[#This Row],[Grupo]]="", "",tblPiNAnalysis[[#This Row],[Grupo]] ),  _xlfn.IFS(tblPiNAnalysis[[#This Row],[Admin2PCODE]]&lt;&gt;"", tblPiNAnalysis[[#This Row],[Admin2PCODE]], tblPiNAnalysis[[#This Row],[Admin1PCODE]]&lt;&gt;"", tblPiNAnalysis[[#This Row],[Admin1PCODE]])),"")</f>
        <v>VenezolanosVE1215</v>
      </c>
      <c r="B78" s="105" t="s">
        <v>362</v>
      </c>
      <c r="C78" s="104" t="s">
        <v>363</v>
      </c>
      <c r="D78" s="119" t="s">
        <v>391</v>
      </c>
      <c r="E78" s="104" t="s">
        <v>392</v>
      </c>
      <c r="F78" s="358"/>
      <c r="G78" s="357">
        <v>63426</v>
      </c>
      <c r="H78" s="103" t="s">
        <v>102</v>
      </c>
      <c r="I78" s="60">
        <v>11258</v>
      </c>
      <c r="J78" s="134">
        <v>3592.7632025827461</v>
      </c>
      <c r="K78" s="57">
        <v>23150.49</v>
      </c>
      <c r="L78" s="87">
        <v>6657.7792676099816</v>
      </c>
      <c r="M78" s="87">
        <v>14107.567576155474</v>
      </c>
      <c r="N78" s="57">
        <v>28541.7</v>
      </c>
      <c r="O78" s="57">
        <v>4514.421624369752</v>
      </c>
      <c r="P78" s="57">
        <v>4937.6486516544155</v>
      </c>
      <c r="Q78" s="88">
        <f>IFERROR(IF(tblPiNAnalysis[[#This Row],[SAMV]]="", "", MROUND(tblPiNAnalysis[[#This Row],[SAMV]]/tblPiNAnalysis[[#This Row],[Población]], 0.05)), "")</f>
        <v>0.2</v>
      </c>
      <c r="R78" s="89">
        <f>IFERROR(IF(tblPiNAnalysis[[#This Row],[NUT]]="", "", MROUND(tblPiNAnalysis[[#This Row],[NUT]]/tblPiNAnalysis[[#This Row],[Población]], 0.05)), "")</f>
        <v>0.05</v>
      </c>
      <c r="S78" s="89">
        <f>IFERROR(IF(tblPiNAnalysis[[#This Row],[SAL]]="", "", MROUND(tblPiNAnalysis[[#This Row],[SAL]]/tblPiNAnalysis[[#This Row],[Población]], 0.05)), "")</f>
        <v>0.35000000000000003</v>
      </c>
      <c r="T78" s="89">
        <f>IFERROR(IF(tblPiNAnalysis[[#This Row],[EDU]]="", "", MROUND(tblPiNAnalysis[[#This Row],[EDU]]/tblPiNAnalysis[[#This Row],[Población]], 0.05)), "")</f>
        <v>0.1</v>
      </c>
      <c r="U78" s="89">
        <f>IFERROR(IF(tblPiNAnalysis[[#This Row],[PRO]]="", "", MROUND(tblPiNAnalysis[[#This Row],[PRO]]/tblPiNAnalysis[[#This Row],[Población]], 0.05)), "")</f>
        <v>0.2</v>
      </c>
      <c r="V78" s="90">
        <f>IFERROR(IF(tblPiNAnalysis[[#This Row],[ASH]]="", "", MROUND(tblPiNAnalysis[[#This Row],[ASH]]/tblPiNAnalysis[[#This Row],[Población]], 0.05)), "")</f>
        <v>0.45</v>
      </c>
      <c r="W78" s="89">
        <f>IFERROR(MROUND(tblPiNAnalysis[[#This Row],[NNA]]/tblPiNAnalysis[[#This Row],[Población]], 0.05), "")</f>
        <v>0.05</v>
      </c>
      <c r="X78" s="89">
        <f>IFERROR(MROUND(tblPiNAnalysis[[#This Row],[VBG]]/tblPiNAnalysis[[#This Row],[Población]], 0.05), "")</f>
        <v>0.1</v>
      </c>
      <c r="Y78" s="91">
        <f>IFERROR(LARGE(tblPiNAnalysis[[#This Row],[SAMV]:[ASH]], 1), "")</f>
        <v>28541.7</v>
      </c>
      <c r="Z78" s="92" t="str" cm="1">
        <f t="array" ref="Z78">IF(tblPiNAnalysis[[#This Row],[PiN más alto]]="", "", _xlfn.TEXTJOIN(CHAR(10), TRUE, IF(tblPiNAnalysis[[#This Row],[PiN más alto]]=tblPiNAnalysis[[#This Row],[SAMV]:[ASH]], tblPiNAnalysis[[#Headers],[SAMV]:[ASH]], "")))</f>
        <v>ASH</v>
      </c>
      <c r="AA78" s="93">
        <f>IF(tblPiNAnalysis[[#This Row],[PiN más alto]]="", "", tblPiNAnalysis[[#This Row],[PiN más alto]]/tblPiNAnalysis[[#This Row],[Población]])</f>
        <v>0.45</v>
      </c>
      <c r="AB78" s="94" t="str">
        <f>IF(SUM(tblPiNAnalysis[[#This Row],[SAMV]:[ASH]])=0, "",IF(COUNTIF(tblPiNAnalysis[[#This Row],[SAMV]:[ASH]],"=0")+COUNTIF(tblPiNAnalysis[[#This Row],[SAMV]:[ASH]],"")&gt;=zero_pin_thresh, "Flagged", ""))</f>
        <v/>
      </c>
      <c r="AC78" s="95" t="str">
        <f>IFERROR(IF(tblPiNAnalysis[[#This Row],[PiN más alto]]="", "", IF(tblPiNAnalysis[[#This Row],[% PiN Sectores más altos]]&gt;=flag_pin_perc, "Flagged", "")), "")</f>
        <v/>
      </c>
      <c r="AD78" s="96" t="str" cm="1">
        <f t="array" ref="AD78">IF(tblPiNAnalysis[[#This Row],[PiN más alto]]=0, "",  IF(OR(COUNTIF(tblPiNAnalysis[[#This Row],[Sectores más altos]],tblSubSectorPopulation[Sector])), "Flagged", ""))</f>
        <v/>
      </c>
      <c r="AE78" s="16" cm="1">
        <f t="array" ref="AE7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23150.49</v>
      </c>
      <c r="AF78" s="97" t="str" cm="1">
        <f t="array" ref="AF78">IF(tblPiNAnalysis[[#This Row],[2º PiN más alto]]="", "", _xlfn.TEXTJOIN(CHAR(10), TRUE, IF(tblPiNAnalysis[[#This Row],[2º PiN más alto]]=tblPiNAnalysis[[#This Row],[SAMV]:[ASH]], tblPiNAnalysis[[#Headers],[SAMV]:[ASH]], "")))</f>
        <v>SAL</v>
      </c>
      <c r="AG78" s="12">
        <f>IFERROR(tblPiNAnalysis[[#This Row],[2º PiN más alto]]/tblPiNAnalysis[[#This Row],[Población]], "")</f>
        <v>0.36500000000000005</v>
      </c>
      <c r="AH78" s="16">
        <f>IFERROR(tblPiNAnalysis[[#This Row],[PiN más alto]]-tblPiNAnalysis[[#This Row],[2º PiN más alto]], "")</f>
        <v>5391.2099999999991</v>
      </c>
      <c r="AI78" s="14">
        <f>IFERROR(((tblPiNAnalysis[[#This Row],[PiN más alto]]-tblPiNAnalysis[[#This Row],[2º PiN más alto]])/tblPiNAnalysis[[#This Row],[2º PiN más alto]]),"")</f>
        <v>0.23287671232876708</v>
      </c>
      <c r="AJ78" s="14" t="str" cm="1">
        <f t="array" ref="AJ7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78" s="98" cm="1">
        <f t="array" ref="AK7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14107.567576155474</v>
      </c>
      <c r="AL78" s="53" t="str" cm="1">
        <f t="array" ref="AL78">IF(tblPiNAnalysis[[#This Row],[3º PiN más alto]]="", "", _xlfn.TEXTJOIN(CHAR(10), TRUE, IF(tblPiNAnalysis[[#This Row],[3º PiN más alto]]=tblPiNAnalysis[[#This Row],[SAMV]:[ASH]], tblPiNAnalysis[[#Headers],[SAMV]:[ASH]], "")))</f>
        <v>PRO</v>
      </c>
      <c r="AM78" s="53">
        <f>IFERROR(tblPiNAnalysis[[#This Row],[3º PiN más alto]]/tblPiNAnalysis[[#This Row],[Población]], "")</f>
        <v>0.22242562318537309</v>
      </c>
      <c r="AN78" s="15">
        <f>IFERROR(tblPiNAnalysis[[#This Row],[PiN más alto]]-tblPiNAnalysis[[#This Row],[3º PiN más alto]],"")</f>
        <v>14434.132423844527</v>
      </c>
      <c r="AO78" s="14">
        <f>IFERROR(tblPiNAnalysis[[#This Row],[Diferencia de PiN entre el más alto y el 3º más alto]]/tblPiNAnalysis[[#This Row],[3º PiN más alto]], "")</f>
        <v>1.0231482036804851</v>
      </c>
      <c r="AP78" s="96" t="str" cm="1">
        <f t="array" ref="AP7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78" s="84" cm="1">
        <f t="array" ref="AQ78">IFERROR(IF(tblPiNAnalysis[[#This Row],[ID]]="", "", INDEX(tblPiNHistorical[[SAMV]:[ASH]], MATCH(tblPiNAnalysis[[#This Row],[ID]],tblPiNHistorical[ID], 0),MATCH(_xlfn._xlws.FILTER(tblPiNAnalysis[[#Headers],[SAMV]:[ASH]], tblPiNAnalysis[[#This Row],[PiN más alto]]=tblPiNAnalysis[[#This Row],[SAMV]:[ASH]]), tblPiNHistorical[[#Headers],[SAMV]:[ASH]], 0))), "")</f>
        <v>0.1</v>
      </c>
      <c r="AR78" s="99" t="str" cm="1">
        <f t="array" ref="AR7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78" s="74" cm="1">
        <f t="array" ref="AS78">IFERROR(IF(tblPiNAnalysis[[#This Row],[ID]]="", "", INDEX(tblPiNHistorical[[SAMV]:[ASH]], MATCH(tblPiNAnalysis[[#This Row],[ID]],tblPiNHistorical[ID], 0),MATCH(_xlfn._xlws.FILTER(tblPiNAnalysis[[#Headers],[SAMV]:[ASH]], tblPiNAnalysis[[#This Row],[2º PiN más alto]]=tblPiNAnalysis[[#This Row],[SAMV]:[ASH]]), tblPiNHistorical[[#Headers],[SAMV]:[ASH]], 0))), "")</f>
        <v>-0.5</v>
      </c>
      <c r="AT78" s="100" t="str" cm="1">
        <f t="array" ref="AT7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78" s="219">
        <f>INDEX(tblSeverityAnalysis[Severidad final], MATCH(tblPiNAnalysis[[#This Row],[ID]],tblSeverityAnalysis[ID], 0))</f>
        <v>3</v>
      </c>
      <c r="AV78" s="220">
        <f>IF(tblPiNAnalysis[[#This Row],[Severidad]]&gt;2,tblPiNAnalysis[[#This Row],[PiN más alto]],)</f>
        <v>28541.7</v>
      </c>
      <c r="AW78" s="54"/>
      <c r="AX78" s="55"/>
      <c r="AY78" s="56">
        <f>COUNTIFS(tblPiNAnalysis[[#This Row],[Número de PiN ausentes/cero superior al umbral - Calidad de los datos]:[Marcador manual]],"Flagged")</f>
        <v>1</v>
      </c>
      <c r="AZ78" s="34" t="str">
        <f>IF(tblPiNAnalysis[[#This Row],[Número de marcadores]]&gt;0, "Flagged", "")</f>
        <v>Flagged</v>
      </c>
      <c r="BA78" s="92">
        <f>tblPiNAnalysis[[#This Row],[PiN preliminar]]</f>
        <v>28541.7</v>
      </c>
      <c r="BB78" s="97"/>
      <c r="BC78" s="70">
        <f>IFERROR(IF(tblPiNAnalysis[[#This Row],[Severidad]]=3,tblPiNAnalysis[[#This Row],[PiN final]]*Umbrales!$D$33,tblPiNAnalysis[[#This Row],[PiN final]]*Umbrales!$D$34),)</f>
        <v>14270.85</v>
      </c>
      <c r="BD78" s="70">
        <f>IFERROR(IF(tblPiNAnalysis[[#This Row],[Severidad]]&gt;3,tblPiNAnalysis[[#This Row],[PiN final]]*Umbrales!$D$34,),)</f>
        <v>0</v>
      </c>
    </row>
    <row r="79" spans="1:56">
      <c r="A79" s="101" t="str">
        <f>IFERROR(_xlfn.CONCAT(IF(tblPiNAnalysis[[#This Row],[Grupo]]="", "",tblPiNAnalysis[[#This Row],[Grupo]] ),  _xlfn.IFS(tblPiNAnalysis[[#This Row],[Admin2PCODE]]&lt;&gt;"", tblPiNAnalysis[[#This Row],[Admin2PCODE]], tblPiNAnalysis[[#This Row],[Admin1PCODE]]&lt;&gt;"", tblPiNAnalysis[[#This Row],[Admin1PCODE]])),"")</f>
        <v>VenezolanosVE0315</v>
      </c>
      <c r="B79" s="105" t="s">
        <v>119</v>
      </c>
      <c r="C79" s="104" t="s">
        <v>120</v>
      </c>
      <c r="D79" s="119" t="s">
        <v>811</v>
      </c>
      <c r="E79" s="104" t="s">
        <v>150</v>
      </c>
      <c r="F79" s="358"/>
      <c r="G79" s="357">
        <v>78118</v>
      </c>
      <c r="H79" s="103" t="s">
        <v>102</v>
      </c>
      <c r="I79" s="60">
        <v>15460</v>
      </c>
      <c r="J79" s="134">
        <v>2344.6864669370925</v>
      </c>
      <c r="K79" s="57">
        <v>28513.07</v>
      </c>
      <c r="L79" s="87">
        <v>6144.3072028704237</v>
      </c>
      <c r="M79" s="87">
        <v>15537.62981376378</v>
      </c>
      <c r="N79" s="57">
        <v>5272.9649999999992</v>
      </c>
      <c r="O79" s="57">
        <v>4972.0415404044097</v>
      </c>
      <c r="P79" s="57">
        <v>5438.1704348173234</v>
      </c>
      <c r="Q79" s="88">
        <f>IFERROR(IF(tblPiNAnalysis[[#This Row],[SAMV]]="", "", MROUND(tblPiNAnalysis[[#This Row],[SAMV]]/tblPiNAnalysis[[#This Row],[Población]], 0.05)), "")</f>
        <v>0.2</v>
      </c>
      <c r="R79" s="89">
        <f>IFERROR(IF(tblPiNAnalysis[[#This Row],[NUT]]="", "", MROUND(tblPiNAnalysis[[#This Row],[NUT]]/tblPiNAnalysis[[#This Row],[Población]], 0.05)), "")</f>
        <v>0.05</v>
      </c>
      <c r="S79" s="89">
        <f>IFERROR(IF(tblPiNAnalysis[[#This Row],[SAL]]="", "", MROUND(tblPiNAnalysis[[#This Row],[SAL]]/tblPiNAnalysis[[#This Row],[Población]], 0.05)), "")</f>
        <v>0.35000000000000003</v>
      </c>
      <c r="T79" s="89">
        <f>IFERROR(IF(tblPiNAnalysis[[#This Row],[EDU]]="", "", MROUND(tblPiNAnalysis[[#This Row],[EDU]]/tblPiNAnalysis[[#This Row],[Población]], 0.05)), "")</f>
        <v>0.1</v>
      </c>
      <c r="U79" s="89">
        <f>IFERROR(IF(tblPiNAnalysis[[#This Row],[PRO]]="", "", MROUND(tblPiNAnalysis[[#This Row],[PRO]]/tblPiNAnalysis[[#This Row],[Población]], 0.05)), "")</f>
        <v>0.2</v>
      </c>
      <c r="V79" s="90">
        <f>IFERROR(IF(tblPiNAnalysis[[#This Row],[ASH]]="", "", MROUND(tblPiNAnalysis[[#This Row],[ASH]]/tblPiNAnalysis[[#This Row],[Población]], 0.05)), "")</f>
        <v>0.05</v>
      </c>
      <c r="W79" s="89">
        <f>IFERROR(MROUND(tblPiNAnalysis[[#This Row],[NNA]]/tblPiNAnalysis[[#This Row],[Población]], 0.05), "")</f>
        <v>0.05</v>
      </c>
      <c r="X79" s="89">
        <f>IFERROR(MROUND(tblPiNAnalysis[[#This Row],[VBG]]/tblPiNAnalysis[[#This Row],[Población]], 0.05), "")</f>
        <v>0.05</v>
      </c>
      <c r="Y79" s="91">
        <f>IFERROR(LARGE(tblPiNAnalysis[[#This Row],[SAMV]:[ASH]], 1), "")</f>
        <v>28513.07</v>
      </c>
      <c r="Z79" s="92" t="str" cm="1">
        <f t="array" ref="Z79">IF(tblPiNAnalysis[[#This Row],[PiN más alto]]="", "", _xlfn.TEXTJOIN(CHAR(10), TRUE, IF(tblPiNAnalysis[[#This Row],[PiN más alto]]=tblPiNAnalysis[[#This Row],[SAMV]:[ASH]], tblPiNAnalysis[[#Headers],[SAMV]:[ASH]], "")))</f>
        <v>SAL</v>
      </c>
      <c r="AA79" s="93">
        <f>IF(tblPiNAnalysis[[#This Row],[PiN más alto]]="", "", tblPiNAnalysis[[#This Row],[PiN más alto]]/tblPiNAnalysis[[#This Row],[Población]])</f>
        <v>0.36499999999999999</v>
      </c>
      <c r="AB79" s="94" t="str">
        <f>IF(SUM(tblPiNAnalysis[[#This Row],[SAMV]:[ASH]])=0, "",IF(COUNTIF(tblPiNAnalysis[[#This Row],[SAMV]:[ASH]],"=0")+COUNTIF(tblPiNAnalysis[[#This Row],[SAMV]:[ASH]],"")&gt;=zero_pin_thresh, "Flagged", ""))</f>
        <v/>
      </c>
      <c r="AC79" s="95" t="str">
        <f>IFERROR(IF(tblPiNAnalysis[[#This Row],[PiN más alto]]="", "", IF(tblPiNAnalysis[[#This Row],[% PiN Sectores más altos]]&gt;=flag_pin_perc, "Flagged", "")), "")</f>
        <v/>
      </c>
      <c r="AD79" s="96" t="str" cm="1">
        <f t="array" ref="AD79">IF(tblPiNAnalysis[[#This Row],[PiN más alto]]=0, "",  IF(OR(COUNTIF(tblPiNAnalysis[[#This Row],[Sectores más altos]],tblSubSectorPopulation[Sector])), "Flagged", ""))</f>
        <v/>
      </c>
      <c r="AE79" s="16" cm="1">
        <f t="array" ref="AE7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15537.62981376378</v>
      </c>
      <c r="AF79" s="97" t="str" cm="1">
        <f t="array" ref="AF79">IF(tblPiNAnalysis[[#This Row],[2º PiN más alto]]="", "", _xlfn.TEXTJOIN(CHAR(10), TRUE, IF(tblPiNAnalysis[[#This Row],[2º PiN más alto]]=tblPiNAnalysis[[#This Row],[SAMV]:[ASH]], tblPiNAnalysis[[#Headers],[SAMV]:[ASH]], "")))</f>
        <v>PRO</v>
      </c>
      <c r="AG79" s="12">
        <f>IFERROR(tblPiNAnalysis[[#This Row],[2º PiN más alto]]/tblPiNAnalysis[[#This Row],[Población]], "")</f>
        <v>0.19889948300985408</v>
      </c>
      <c r="AH79" s="16">
        <f>IFERROR(tblPiNAnalysis[[#This Row],[PiN más alto]]-tblPiNAnalysis[[#This Row],[2º PiN más alto]], "")</f>
        <v>12975.440186236219</v>
      </c>
      <c r="AI79" s="14">
        <f>IFERROR(((tblPiNAnalysis[[#This Row],[PiN más alto]]-tblPiNAnalysis[[#This Row],[2º PiN más alto]])/tblPiNAnalysis[[#This Row],[2º PiN más alto]]),"")</f>
        <v>0.83509778143524294</v>
      </c>
      <c r="AJ79" s="14" t="str" cm="1">
        <f t="array" ref="AJ7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79" s="98" cm="1">
        <f t="array" ref="AK7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15460</v>
      </c>
      <c r="AL79" s="53" t="str" cm="1">
        <f t="array" ref="AL79">IF(tblPiNAnalysis[[#This Row],[3º PiN más alto]]="", "", _xlfn.TEXTJOIN(CHAR(10), TRUE, IF(tblPiNAnalysis[[#This Row],[3º PiN más alto]]=tblPiNAnalysis[[#This Row],[SAMV]:[ASH]], tblPiNAnalysis[[#Headers],[SAMV]:[ASH]], "")))</f>
        <v>SAMV</v>
      </c>
      <c r="AM79" s="53">
        <f>IFERROR(tblPiNAnalysis[[#This Row],[3º PiN más alto]]/tblPiNAnalysis[[#This Row],[Población]], "")</f>
        <v>0.19790573235361889</v>
      </c>
      <c r="AN79" s="15">
        <f>IFERROR(tblPiNAnalysis[[#This Row],[PiN más alto]]-tblPiNAnalysis[[#This Row],[3º PiN más alto]],"")</f>
        <v>13053.07</v>
      </c>
      <c r="AO79" s="14">
        <f>IFERROR(tblPiNAnalysis[[#This Row],[Diferencia de PiN entre el más alto y el 3º más alto]]/tblPiNAnalysis[[#This Row],[3º PiN más alto]], "")</f>
        <v>0.84431241914618371</v>
      </c>
      <c r="AP79" s="96" t="str" cm="1">
        <f t="array" ref="AP7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79" s="84" cm="1">
        <f t="array" ref="AQ79">IFERROR(IF(tblPiNAnalysis[[#This Row],[ID]]="", "", INDEX(tblPiNHistorical[[SAMV]:[ASH]], MATCH(tblPiNAnalysis[[#This Row],[ID]],tblPiNHistorical[ID], 0),MATCH(_xlfn._xlws.FILTER(tblPiNAnalysis[[#Headers],[SAMV]:[ASH]], tblPiNAnalysis[[#This Row],[PiN más alto]]=tblPiNAnalysis[[#This Row],[SAMV]:[ASH]]), tblPiNHistorical[[#Headers],[SAMV]:[ASH]], 0))), "")</f>
        <v>3.1</v>
      </c>
      <c r="AR79" s="99" t="str" cm="1">
        <f t="array" ref="AR7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79" s="74" cm="1">
        <f t="array" ref="AS79">IFERROR(IF(tblPiNAnalysis[[#This Row],[ID]]="", "", INDEX(tblPiNHistorical[[SAMV]:[ASH]], MATCH(tblPiNAnalysis[[#This Row],[ID]],tblPiNHistorical[ID], 0),MATCH(_xlfn._xlws.FILTER(tblPiNAnalysis[[#Headers],[SAMV]:[ASH]], tblPiNAnalysis[[#This Row],[2º PiN más alto]]=tblPiNAnalysis[[#This Row],[SAMV]:[ASH]]), tblPiNHistorical[[#Headers],[SAMV]:[ASH]], 0))), "")</f>
        <v>1</v>
      </c>
      <c r="AT79" s="100" t="str" cm="1">
        <f t="array" ref="AT7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79" s="219">
        <f>INDEX(tblSeverityAnalysis[Severidad final], MATCH(tblPiNAnalysis[[#This Row],[ID]],tblSeverityAnalysis[ID], 0))</f>
        <v>3</v>
      </c>
      <c r="AV79" s="220">
        <f>IF(tblPiNAnalysis[[#This Row],[Severidad]]&gt;2,tblPiNAnalysis[[#This Row],[PiN más alto]],)</f>
        <v>28513.07</v>
      </c>
      <c r="AW79" s="54"/>
      <c r="AX79" s="55"/>
      <c r="AY79" s="56">
        <f>COUNTIFS(tblPiNAnalysis[[#This Row],[Número de PiN ausentes/cero superior al umbral - Calidad de los datos]:[Marcador manual]],"Flagged")</f>
        <v>4</v>
      </c>
      <c r="AZ79" s="34" t="str">
        <f>IF(tblPiNAnalysis[[#This Row],[Número de marcadores]]&gt;0, "Flagged", "")</f>
        <v>Flagged</v>
      </c>
      <c r="BA79" s="92">
        <f>tblPiNAnalysis[[#This Row],[PiN preliminar]]</f>
        <v>28513.07</v>
      </c>
      <c r="BB79" s="97"/>
      <c r="BC79" s="70">
        <f>IFERROR(IF(tblPiNAnalysis[[#This Row],[Severidad]]=3,tblPiNAnalysis[[#This Row],[PiN final]]*Umbrales!$D$33,tblPiNAnalysis[[#This Row],[PiN final]]*Umbrales!$D$34),)</f>
        <v>14256.535</v>
      </c>
      <c r="BD79" s="70">
        <f>IFERROR(IF(tblPiNAnalysis[[#This Row],[Severidad]]&gt;3,tblPiNAnalysis[[#This Row],[PiN final]]*Umbrales!$D$34,),)</f>
        <v>0</v>
      </c>
    </row>
    <row r="80" spans="1:56">
      <c r="A80" s="101" t="str">
        <f>IFERROR(_xlfn.CONCAT(IF(tblPiNAnalysis[[#This Row],[Grupo]]="", "",tblPiNAnalysis[[#This Row],[Grupo]] ),  _xlfn.IFS(tblPiNAnalysis[[#This Row],[Admin2PCODE]]&lt;&gt;"", tblPiNAnalysis[[#This Row],[Admin2PCODE]], tblPiNAnalysis[[#This Row],[Admin1PCODE]]&lt;&gt;"", tblPiNAnalysis[[#This Row],[Admin1PCODE]])),"")</f>
        <v>VenezolanosVE1109</v>
      </c>
      <c r="B80" s="105" t="s">
        <v>316</v>
      </c>
      <c r="C80" s="104" t="s">
        <v>317</v>
      </c>
      <c r="D80" s="119" t="s">
        <v>316</v>
      </c>
      <c r="E80" s="104" t="s">
        <v>333</v>
      </c>
      <c r="F80" s="358"/>
      <c r="G80" s="357">
        <v>47260</v>
      </c>
      <c r="H80" s="103" t="s">
        <v>102</v>
      </c>
      <c r="I80" s="60">
        <v>8303</v>
      </c>
      <c r="J80" s="134">
        <v>2335.1810107225751</v>
      </c>
      <c r="K80" s="57">
        <v>17249.900000000001</v>
      </c>
      <c r="L80" s="87">
        <v>4467.9959280783969</v>
      </c>
      <c r="M80" s="87">
        <v>9425.4308322014749</v>
      </c>
      <c r="N80" s="57">
        <v>28356</v>
      </c>
      <c r="O80" s="57">
        <v>3025.5632971366736</v>
      </c>
      <c r="P80" s="57">
        <v>3298.9007912705165</v>
      </c>
      <c r="Q80" s="88">
        <f>IFERROR(IF(tblPiNAnalysis[[#This Row],[SAMV]]="", "", MROUND(tblPiNAnalysis[[#This Row],[SAMV]]/tblPiNAnalysis[[#This Row],[Población]], 0.05)), "")</f>
        <v>0.2</v>
      </c>
      <c r="R80" s="89">
        <f>IFERROR(IF(tblPiNAnalysis[[#This Row],[NUT]]="", "", MROUND(tblPiNAnalysis[[#This Row],[NUT]]/tblPiNAnalysis[[#This Row],[Población]], 0.05)), "")</f>
        <v>0.05</v>
      </c>
      <c r="S80" s="89">
        <f>IFERROR(IF(tblPiNAnalysis[[#This Row],[SAL]]="", "", MROUND(tblPiNAnalysis[[#This Row],[SAL]]/tblPiNAnalysis[[#This Row],[Población]], 0.05)), "")</f>
        <v>0.35000000000000003</v>
      </c>
      <c r="T80" s="89">
        <f>IFERROR(IF(tblPiNAnalysis[[#This Row],[EDU]]="", "", MROUND(tblPiNAnalysis[[#This Row],[EDU]]/tblPiNAnalysis[[#This Row],[Población]], 0.05)), "")</f>
        <v>0.1</v>
      </c>
      <c r="U80" s="89">
        <f>IFERROR(IF(tblPiNAnalysis[[#This Row],[PRO]]="", "", MROUND(tblPiNAnalysis[[#This Row],[PRO]]/tblPiNAnalysis[[#This Row],[Población]], 0.05)), "")</f>
        <v>0.2</v>
      </c>
      <c r="V80" s="90">
        <f>IFERROR(IF(tblPiNAnalysis[[#This Row],[ASH]]="", "", MROUND(tblPiNAnalysis[[#This Row],[ASH]]/tblPiNAnalysis[[#This Row],[Población]], 0.05)), "")</f>
        <v>0.60000000000000009</v>
      </c>
      <c r="W80" s="89">
        <f>IFERROR(MROUND(tblPiNAnalysis[[#This Row],[NNA]]/tblPiNAnalysis[[#This Row],[Población]], 0.05), "")</f>
        <v>0.05</v>
      </c>
      <c r="X80" s="89">
        <f>IFERROR(MROUND(tblPiNAnalysis[[#This Row],[VBG]]/tblPiNAnalysis[[#This Row],[Población]], 0.05), "")</f>
        <v>0.05</v>
      </c>
      <c r="Y80" s="91">
        <f>IFERROR(LARGE(tblPiNAnalysis[[#This Row],[SAMV]:[ASH]], 1), "")</f>
        <v>28356</v>
      </c>
      <c r="Z80" s="92" t="str" cm="1">
        <f t="array" ref="Z80">IF(tblPiNAnalysis[[#This Row],[PiN más alto]]="", "", _xlfn.TEXTJOIN(CHAR(10), TRUE, IF(tblPiNAnalysis[[#This Row],[PiN más alto]]=tblPiNAnalysis[[#This Row],[SAMV]:[ASH]], tblPiNAnalysis[[#Headers],[SAMV]:[ASH]], "")))</f>
        <v>ASH</v>
      </c>
      <c r="AA80" s="93">
        <f>IF(tblPiNAnalysis[[#This Row],[PiN más alto]]="", "", tblPiNAnalysis[[#This Row],[PiN más alto]]/tblPiNAnalysis[[#This Row],[Población]])</f>
        <v>0.6</v>
      </c>
      <c r="AB80" s="94" t="str">
        <f>IF(SUM(tblPiNAnalysis[[#This Row],[SAMV]:[ASH]])=0, "",IF(COUNTIF(tblPiNAnalysis[[#This Row],[SAMV]:[ASH]],"=0")+COUNTIF(tblPiNAnalysis[[#This Row],[SAMV]:[ASH]],"")&gt;=zero_pin_thresh, "Flagged", ""))</f>
        <v/>
      </c>
      <c r="AC80" s="95" t="str">
        <f>IFERROR(IF(tblPiNAnalysis[[#This Row],[PiN más alto]]="", "", IF(tblPiNAnalysis[[#This Row],[% PiN Sectores más altos]]&gt;=flag_pin_perc, "Flagged", "")), "")</f>
        <v/>
      </c>
      <c r="AD80" s="96" t="str" cm="1">
        <f t="array" ref="AD80">IF(tblPiNAnalysis[[#This Row],[PiN más alto]]=0, "",  IF(OR(COUNTIF(tblPiNAnalysis[[#This Row],[Sectores más altos]],tblSubSectorPopulation[Sector])), "Flagged", ""))</f>
        <v/>
      </c>
      <c r="AE80" s="16" cm="1">
        <f t="array" ref="AE8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17249.900000000001</v>
      </c>
      <c r="AF80" s="97" t="str" cm="1">
        <f t="array" ref="AF80">IF(tblPiNAnalysis[[#This Row],[2º PiN más alto]]="", "", _xlfn.TEXTJOIN(CHAR(10), TRUE, IF(tblPiNAnalysis[[#This Row],[2º PiN más alto]]=tblPiNAnalysis[[#This Row],[SAMV]:[ASH]], tblPiNAnalysis[[#Headers],[SAMV]:[ASH]], "")))</f>
        <v>SAL</v>
      </c>
      <c r="AG80" s="12">
        <f>IFERROR(tblPiNAnalysis[[#This Row],[2º PiN más alto]]/tblPiNAnalysis[[#This Row],[Población]], "")</f>
        <v>0.36500000000000005</v>
      </c>
      <c r="AH80" s="16">
        <f>IFERROR(tblPiNAnalysis[[#This Row],[PiN más alto]]-tblPiNAnalysis[[#This Row],[2º PiN más alto]], "")</f>
        <v>11106.099999999999</v>
      </c>
      <c r="AI80" s="14">
        <f>IFERROR(((tblPiNAnalysis[[#This Row],[PiN más alto]]-tblPiNAnalysis[[#This Row],[2º PiN más alto]])/tblPiNAnalysis[[#This Row],[2º PiN más alto]]),"")</f>
        <v>0.64383561643835607</v>
      </c>
      <c r="AJ80" s="14" t="str" cm="1">
        <f t="array" ref="AJ8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80" s="98" cm="1">
        <f t="array" ref="AK8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9425.4308322014749</v>
      </c>
      <c r="AL80" s="53" t="str" cm="1">
        <f t="array" ref="AL80">IF(tblPiNAnalysis[[#This Row],[3º PiN más alto]]="", "", _xlfn.TEXTJOIN(CHAR(10), TRUE, IF(tblPiNAnalysis[[#This Row],[3º PiN más alto]]=tblPiNAnalysis[[#This Row],[SAMV]:[ASH]], tblPiNAnalysis[[#Headers],[SAMV]:[ASH]], "")))</f>
        <v>PRO</v>
      </c>
      <c r="AM80" s="53">
        <f>IFERROR(tblPiNAnalysis[[#This Row],[3º PiN más alto]]/tblPiNAnalysis[[#This Row],[Población]], "")</f>
        <v>0.19943780855271848</v>
      </c>
      <c r="AN80" s="15">
        <f>IFERROR(tblPiNAnalysis[[#This Row],[PiN más alto]]-tblPiNAnalysis[[#This Row],[3º PiN más alto]],"")</f>
        <v>18930.569167798523</v>
      </c>
      <c r="AO80" s="14">
        <f>IFERROR(tblPiNAnalysis[[#This Row],[Diferencia de PiN entre el más alto y el 3º más alto]]/tblPiNAnalysis[[#This Row],[3º PiN más alto]], "")</f>
        <v>2.0084566429709776</v>
      </c>
      <c r="AP80" s="96" t="str" cm="1">
        <f t="array" ref="AP8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80" s="84" t="str" cm="1">
        <f t="array" ref="AQ80">IFERROR(IF(tblPiNAnalysis[[#This Row],[ID]]="", "", INDEX(tblPiNHistorical[[SAMV]:[ASH]], MATCH(tblPiNAnalysis[[#This Row],[ID]],tblPiNHistorical[ID], 0),MATCH(_xlfn._xlws.FILTER(tblPiNAnalysis[[#Headers],[SAMV]:[ASH]], tblPiNAnalysis[[#This Row],[PiN más alto]]=tblPiNAnalysis[[#This Row],[SAMV]:[ASH]]), tblPiNHistorical[[#Headers],[SAMV]:[ASH]], 0))), "")</f>
        <v>NoPIN26 23108</v>
      </c>
      <c r="AR80" s="99" t="str" cm="1">
        <f t="array" ref="AR8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80" s="74" cm="1">
        <f t="array" ref="AS80">IFERROR(IF(tblPiNAnalysis[[#This Row],[ID]]="", "", INDEX(tblPiNHistorical[[SAMV]:[ASH]], MATCH(tblPiNAnalysis[[#This Row],[ID]],tblPiNHistorical[ID], 0),MATCH(_xlfn._xlws.FILTER(tblPiNAnalysis[[#Headers],[SAMV]:[ASH]], tblPiNAnalysis[[#This Row],[2º PiN más alto]]=tblPiNAnalysis[[#This Row],[SAMV]:[ASH]]), tblPiNHistorical[[#Headers],[SAMV]:[ASH]], 0))), "")</f>
        <v>0.5</v>
      </c>
      <c r="AT80" s="100" t="str" cm="1">
        <f t="array" ref="AT8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80" s="219">
        <f>INDEX(tblSeverityAnalysis[Severidad final], MATCH(tblPiNAnalysis[[#This Row],[ID]],tblSeverityAnalysis[ID], 0))</f>
        <v>3</v>
      </c>
      <c r="AV80" s="220">
        <f>IF(tblPiNAnalysis[[#This Row],[Severidad]]&gt;2,tblPiNAnalysis[[#This Row],[PiN más alto]],)</f>
        <v>28356</v>
      </c>
      <c r="AW80" s="54"/>
      <c r="AX80" s="55"/>
      <c r="AY80" s="56">
        <f>COUNTIFS(tblPiNAnalysis[[#This Row],[Número de PiN ausentes/cero superior al umbral - Calidad de los datos]:[Marcador manual]],"Flagged")</f>
        <v>2</v>
      </c>
      <c r="AZ80" s="34" t="str">
        <f>IF(tblPiNAnalysis[[#This Row],[Número de marcadores]]&gt;0, "Flagged", "")</f>
        <v>Flagged</v>
      </c>
      <c r="BA80" s="92">
        <f>tblPiNAnalysis[[#This Row],[PiN preliminar]]</f>
        <v>28356</v>
      </c>
      <c r="BB80" s="97"/>
      <c r="BC80" s="70">
        <f>IFERROR(IF(tblPiNAnalysis[[#This Row],[Severidad]]=3,tblPiNAnalysis[[#This Row],[PiN final]]*Umbrales!$D$33,tblPiNAnalysis[[#This Row],[PiN final]]*Umbrales!$D$34),)</f>
        <v>14178</v>
      </c>
      <c r="BD80" s="70">
        <f>IFERROR(IF(tblPiNAnalysis[[#This Row],[Severidad]]&gt;3,tblPiNAnalysis[[#This Row],[PiN final]]*Umbrales!$D$34,),)</f>
        <v>0</v>
      </c>
    </row>
    <row r="81" spans="1:56">
      <c r="A81" s="101" t="str">
        <f>IFERROR(_xlfn.CONCAT(IF(tblPiNAnalysis[[#This Row],[Grupo]]="", "",tblPiNAnalysis[[#This Row],[Grupo]] ),  _xlfn.IFS(tblPiNAnalysis[[#This Row],[Admin2PCODE]]&lt;&gt;"", tblPiNAnalysis[[#This Row],[Admin2PCODE]], tblPiNAnalysis[[#This Row],[Admin1PCODE]]&lt;&gt;"", tblPiNAnalysis[[#This Row],[Admin1PCODE]])),"")</f>
        <v>VenezolanosVE0707</v>
      </c>
      <c r="B81" s="105" t="s">
        <v>180</v>
      </c>
      <c r="C81" s="104" t="s">
        <v>239</v>
      </c>
      <c r="D81" s="119" t="s">
        <v>252</v>
      </c>
      <c r="E81" s="104" t="s">
        <v>253</v>
      </c>
      <c r="F81" s="358"/>
      <c r="G81" s="357">
        <v>41853</v>
      </c>
      <c r="H81" s="103" t="s">
        <v>102</v>
      </c>
      <c r="I81" s="60">
        <v>21591</v>
      </c>
      <c r="J81" s="134">
        <v>1297.1731768772693</v>
      </c>
      <c r="K81" s="57">
        <v>28000</v>
      </c>
      <c r="L81" s="87">
        <v>3621.390173575317</v>
      </c>
      <c r="M81" s="87">
        <v>10028.49676865043</v>
      </c>
      <c r="N81" s="57">
        <v>2825.0775000000003</v>
      </c>
      <c r="O81" s="57">
        <v>3219.1474627367879</v>
      </c>
      <c r="P81" s="57">
        <v>3509.9738690276508</v>
      </c>
      <c r="Q81" s="88">
        <f>IFERROR(IF(tblPiNAnalysis[[#This Row],[SAMV]]="", "", MROUND(tblPiNAnalysis[[#This Row],[SAMV]]/tblPiNAnalysis[[#This Row],[Población]], 0.05)), "")</f>
        <v>0.5</v>
      </c>
      <c r="R81" s="89">
        <f>IFERROR(IF(tblPiNAnalysis[[#This Row],[NUT]]="", "", MROUND(tblPiNAnalysis[[#This Row],[NUT]]/tblPiNAnalysis[[#This Row],[Población]], 0.05)), "")</f>
        <v>0.05</v>
      </c>
      <c r="S81" s="89">
        <f>IFERROR(IF(tblPiNAnalysis[[#This Row],[SAL]]="", "", MROUND(tblPiNAnalysis[[#This Row],[SAL]]/tblPiNAnalysis[[#This Row],[Población]], 0.05)), "")</f>
        <v>0.65</v>
      </c>
      <c r="T81" s="89">
        <f>IFERROR(IF(tblPiNAnalysis[[#This Row],[EDU]]="", "", MROUND(tblPiNAnalysis[[#This Row],[EDU]]/tblPiNAnalysis[[#This Row],[Población]], 0.05)), "")</f>
        <v>0.1</v>
      </c>
      <c r="U81" s="89">
        <f>IFERROR(IF(tblPiNAnalysis[[#This Row],[PRO]]="", "", MROUND(tblPiNAnalysis[[#This Row],[PRO]]/tblPiNAnalysis[[#This Row],[Población]], 0.05)), "")</f>
        <v>0.25</v>
      </c>
      <c r="V81" s="90">
        <f>IFERROR(IF(tblPiNAnalysis[[#This Row],[ASH]]="", "", MROUND(tblPiNAnalysis[[#This Row],[ASH]]/tblPiNAnalysis[[#This Row],[Población]], 0.05)), "")</f>
        <v>0.05</v>
      </c>
      <c r="W81" s="89">
        <f>IFERROR(MROUND(tblPiNAnalysis[[#This Row],[NNA]]/tblPiNAnalysis[[#This Row],[Población]], 0.05), "")</f>
        <v>0.1</v>
      </c>
      <c r="X81" s="89">
        <f>IFERROR(MROUND(tblPiNAnalysis[[#This Row],[VBG]]/tblPiNAnalysis[[#This Row],[Población]], 0.05), "")</f>
        <v>0.1</v>
      </c>
      <c r="Y81" s="91">
        <f>IFERROR(LARGE(tblPiNAnalysis[[#This Row],[SAMV]:[ASH]], 1), "")</f>
        <v>28000</v>
      </c>
      <c r="Z81" s="92" t="str" cm="1">
        <f t="array" ref="Z81">IF(tblPiNAnalysis[[#This Row],[PiN más alto]]="", "", _xlfn.TEXTJOIN(CHAR(10), TRUE, IF(tblPiNAnalysis[[#This Row],[PiN más alto]]=tblPiNAnalysis[[#This Row],[SAMV]:[ASH]], tblPiNAnalysis[[#Headers],[SAMV]:[ASH]], "")))</f>
        <v>SAL</v>
      </c>
      <c r="AA81" s="93">
        <f>IF(tblPiNAnalysis[[#This Row],[PiN más alto]]="", "", tblPiNAnalysis[[#This Row],[PiN más alto]]/tblPiNAnalysis[[#This Row],[Población]])</f>
        <v>0.66900819535039302</v>
      </c>
      <c r="AB81" s="94" t="str">
        <f>IF(SUM(tblPiNAnalysis[[#This Row],[SAMV]:[ASH]])=0, "",IF(COUNTIF(tblPiNAnalysis[[#This Row],[SAMV]:[ASH]],"=0")+COUNTIF(tblPiNAnalysis[[#This Row],[SAMV]:[ASH]],"")&gt;=zero_pin_thresh, "Flagged", ""))</f>
        <v/>
      </c>
      <c r="AC81" s="95" t="str">
        <f>IFERROR(IF(tblPiNAnalysis[[#This Row],[PiN más alto]]="", "", IF(tblPiNAnalysis[[#This Row],[% PiN Sectores más altos]]&gt;=flag_pin_perc, "Flagged", "")), "")</f>
        <v/>
      </c>
      <c r="AD81" s="96" t="str" cm="1">
        <f t="array" ref="AD81">IF(tblPiNAnalysis[[#This Row],[PiN más alto]]=0, "",  IF(OR(COUNTIF(tblPiNAnalysis[[#This Row],[Sectores más altos]],tblSubSectorPopulation[Sector])), "Flagged", ""))</f>
        <v/>
      </c>
      <c r="AE81" s="16" cm="1">
        <f t="array" ref="AE8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21591</v>
      </c>
      <c r="AF81" s="97" t="str" cm="1">
        <f t="array" ref="AF81">IF(tblPiNAnalysis[[#This Row],[2º PiN más alto]]="", "", _xlfn.TEXTJOIN(CHAR(10), TRUE, IF(tblPiNAnalysis[[#This Row],[2º PiN más alto]]=tblPiNAnalysis[[#This Row],[SAMV]:[ASH]], tblPiNAnalysis[[#Headers],[SAMV]:[ASH]], "")))</f>
        <v>SAMV</v>
      </c>
      <c r="AG81" s="12">
        <f>IFERROR(tblPiNAnalysis[[#This Row],[2º PiN más alto]]/tblPiNAnalysis[[#This Row],[Población]], "")</f>
        <v>0.51587699806465481</v>
      </c>
      <c r="AH81" s="16">
        <f>IFERROR(tblPiNAnalysis[[#This Row],[PiN más alto]]-tblPiNAnalysis[[#This Row],[2º PiN más alto]], "")</f>
        <v>6409</v>
      </c>
      <c r="AI81" s="14">
        <f>IFERROR(((tblPiNAnalysis[[#This Row],[PiN más alto]]-tblPiNAnalysis[[#This Row],[2º PiN más alto]])/tblPiNAnalysis[[#This Row],[2º PiN más alto]]),"")</f>
        <v>0.29683664489833728</v>
      </c>
      <c r="AJ81" s="14" t="str" cm="1">
        <f t="array" ref="AJ8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81" s="98" cm="1">
        <f t="array" ref="AK8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10028.49676865043</v>
      </c>
      <c r="AL81" s="53" t="str" cm="1">
        <f t="array" ref="AL81">IF(tblPiNAnalysis[[#This Row],[3º PiN más alto]]="", "", _xlfn.TEXTJOIN(CHAR(10), TRUE, IF(tblPiNAnalysis[[#This Row],[3º PiN más alto]]=tblPiNAnalysis[[#This Row],[SAMV]:[ASH]], tblPiNAnalysis[[#Headers],[SAMV]:[ASH]], "")))</f>
        <v>PRO</v>
      </c>
      <c r="AM81" s="53">
        <f>IFERROR(tblPiNAnalysis[[#This Row],[3º PiN más alto]]/tblPiNAnalysis[[#This Row],[Población]], "")</f>
        <v>0.239612375902574</v>
      </c>
      <c r="AN81" s="15">
        <f>IFERROR(tblPiNAnalysis[[#This Row],[PiN más alto]]-tblPiNAnalysis[[#This Row],[3º PiN más alto]],"")</f>
        <v>17971.503231349569</v>
      </c>
      <c r="AO81" s="14">
        <f>IFERROR(tblPiNAnalysis[[#This Row],[Diferencia de PiN entre el más alto y el 3º más alto]]/tblPiNAnalysis[[#This Row],[3º PiN más alto]], "")</f>
        <v>1.7920435780095543</v>
      </c>
      <c r="AP81" s="96" t="str" cm="1">
        <f t="array" ref="AP8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81" s="84" cm="1">
        <f t="array" ref="AQ81">IFERROR(IF(tblPiNAnalysis[[#This Row],[ID]]="", "", INDEX(tblPiNHistorical[[SAMV]:[ASH]], MATCH(tblPiNAnalysis[[#This Row],[ID]],tblPiNHistorical[ID], 0),MATCH(_xlfn._xlws.FILTER(tblPiNAnalysis[[#Headers],[SAMV]:[ASH]], tblPiNAnalysis[[#This Row],[PiN más alto]]=tblPiNAnalysis[[#This Row],[SAMV]:[ASH]]), tblPiNHistorical[[#Headers],[SAMV]:[ASH]], 0))), "")</f>
        <v>1.9</v>
      </c>
      <c r="AR81" s="99" t="str" cm="1">
        <f t="array" ref="AR8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81" s="74" cm="1">
        <f t="array" ref="AS81">IFERROR(IF(tblPiNAnalysis[[#This Row],[ID]]="", "", INDEX(tblPiNHistorical[[SAMV]:[ASH]], MATCH(tblPiNAnalysis[[#This Row],[ID]],tblPiNHistorical[ID], 0),MATCH(_xlfn._xlws.FILTER(tblPiNAnalysis[[#Headers],[SAMV]:[ASH]], tblPiNAnalysis[[#This Row],[2º PiN más alto]]=tblPiNAnalysis[[#This Row],[SAMV]:[ASH]]), tblPiNHistorical[[#Headers],[SAMV]:[ASH]], 0))), "")</f>
        <v>0</v>
      </c>
      <c r="AT81" s="100" t="str" cm="1">
        <f t="array" ref="AT8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81" s="219">
        <f>INDEX(tblSeverityAnalysis[Severidad final], MATCH(tblPiNAnalysis[[#This Row],[ID]],tblSeverityAnalysis[ID], 0))</f>
        <v>4</v>
      </c>
      <c r="AV81" s="220">
        <f>IF(tblPiNAnalysis[[#This Row],[Severidad]]&gt;2,tblPiNAnalysis[[#This Row],[PiN más alto]],)</f>
        <v>28000</v>
      </c>
      <c r="AW81" s="54"/>
      <c r="AX81" s="55"/>
      <c r="AY81" s="56">
        <f>COUNTIFS(tblPiNAnalysis[[#This Row],[Número de PiN ausentes/cero superior al umbral - Calidad de los datos]:[Marcador manual]],"Flagged")</f>
        <v>2</v>
      </c>
      <c r="AZ81" s="34" t="str">
        <f>IF(tblPiNAnalysis[[#This Row],[Número de marcadores]]&gt;0, "Flagged", "")</f>
        <v>Flagged</v>
      </c>
      <c r="BA81" s="92">
        <f>tblPiNAnalysis[[#This Row],[PiN preliminar]]</f>
        <v>28000</v>
      </c>
      <c r="BB81" s="97"/>
      <c r="BC81" s="70">
        <f>IFERROR(IF(tblPiNAnalysis[[#This Row],[Severidad]]=3,tblPiNAnalysis[[#This Row],[PiN final]]*Umbrales!$D$33,tblPiNAnalysis[[#This Row],[PiN final]]*Umbrales!$D$34),)</f>
        <v>28000</v>
      </c>
      <c r="BD81" s="70">
        <f>IFERROR(IF(tblPiNAnalysis[[#This Row],[Severidad]]&gt;3,tblPiNAnalysis[[#This Row],[PiN final]]*Umbrales!$D$34,),)</f>
        <v>28000</v>
      </c>
    </row>
    <row r="82" spans="1:56">
      <c r="A82" s="101" t="str">
        <f>IFERROR(_xlfn.CONCAT(IF(tblPiNAnalysis[[#This Row],[Grupo]]="", "",tblPiNAnalysis[[#This Row],[Grupo]] ),  _xlfn.IFS(tblPiNAnalysis[[#This Row],[Admin2PCODE]]&lt;&gt;"", tblPiNAnalysis[[#This Row],[Admin2PCODE]], tblPiNAnalysis[[#This Row],[Admin1PCODE]]&lt;&gt;"", tblPiNAnalysis[[#This Row],[Admin1PCODE]])),"")</f>
        <v>VenezolanosVE1209</v>
      </c>
      <c r="B82" s="105" t="s">
        <v>362</v>
      </c>
      <c r="C82" s="104" t="s">
        <v>363</v>
      </c>
      <c r="D82" s="119" t="s">
        <v>379</v>
      </c>
      <c r="E82" s="104" t="s">
        <v>380</v>
      </c>
      <c r="F82" s="358"/>
      <c r="G82" s="357">
        <v>76246</v>
      </c>
      <c r="H82" s="103" t="s">
        <v>102</v>
      </c>
      <c r="I82" s="60">
        <v>13534</v>
      </c>
      <c r="J82" s="134">
        <v>3862.6008584669858</v>
      </c>
      <c r="K82" s="57">
        <v>27829.79</v>
      </c>
      <c r="L82" s="87">
        <v>9043.2888174120781</v>
      </c>
      <c r="M82" s="87">
        <v>16959.064065391955</v>
      </c>
      <c r="N82" s="57">
        <v>10293.210000000001</v>
      </c>
      <c r="O82" s="57">
        <v>5443.8595649908175</v>
      </c>
      <c r="P82" s="57">
        <v>5935.6724228871835</v>
      </c>
      <c r="Q82" s="88">
        <f>IFERROR(IF(tblPiNAnalysis[[#This Row],[SAMV]]="", "", MROUND(tblPiNAnalysis[[#This Row],[SAMV]]/tblPiNAnalysis[[#This Row],[Población]], 0.05)), "")</f>
        <v>0.2</v>
      </c>
      <c r="R82" s="89">
        <f>IFERROR(IF(tblPiNAnalysis[[#This Row],[NUT]]="", "", MROUND(tblPiNAnalysis[[#This Row],[NUT]]/tblPiNAnalysis[[#This Row],[Población]], 0.05)), "")</f>
        <v>0.05</v>
      </c>
      <c r="S82" s="89">
        <f>IFERROR(IF(tblPiNAnalysis[[#This Row],[SAL]]="", "", MROUND(tblPiNAnalysis[[#This Row],[SAL]]/tblPiNAnalysis[[#This Row],[Población]], 0.05)), "")</f>
        <v>0.35000000000000003</v>
      </c>
      <c r="T82" s="89">
        <f>IFERROR(IF(tblPiNAnalysis[[#This Row],[EDU]]="", "", MROUND(tblPiNAnalysis[[#This Row],[EDU]]/tblPiNAnalysis[[#This Row],[Población]], 0.05)), "")</f>
        <v>0.1</v>
      </c>
      <c r="U82" s="89">
        <f>IFERROR(IF(tblPiNAnalysis[[#This Row],[PRO]]="", "", MROUND(tblPiNAnalysis[[#This Row],[PRO]]/tblPiNAnalysis[[#This Row],[Población]], 0.05)), "")</f>
        <v>0.2</v>
      </c>
      <c r="V82" s="90">
        <f>IFERROR(IF(tblPiNAnalysis[[#This Row],[ASH]]="", "", MROUND(tblPiNAnalysis[[#This Row],[ASH]]/tblPiNAnalysis[[#This Row],[Población]], 0.05)), "")</f>
        <v>0.15000000000000002</v>
      </c>
      <c r="W82" s="89">
        <f>IFERROR(MROUND(tblPiNAnalysis[[#This Row],[NNA]]/tblPiNAnalysis[[#This Row],[Población]], 0.05), "")</f>
        <v>0.05</v>
      </c>
      <c r="X82" s="89">
        <f>IFERROR(MROUND(tblPiNAnalysis[[#This Row],[VBG]]/tblPiNAnalysis[[#This Row],[Población]], 0.05), "")</f>
        <v>0.1</v>
      </c>
      <c r="Y82" s="91">
        <f>IFERROR(LARGE(tblPiNAnalysis[[#This Row],[SAMV]:[ASH]], 1), "")</f>
        <v>27829.79</v>
      </c>
      <c r="Z82" s="92" t="str" cm="1">
        <f t="array" ref="Z82">IF(tblPiNAnalysis[[#This Row],[PiN más alto]]="", "", _xlfn.TEXTJOIN(CHAR(10), TRUE, IF(tblPiNAnalysis[[#This Row],[PiN más alto]]=tblPiNAnalysis[[#This Row],[SAMV]:[ASH]], tblPiNAnalysis[[#Headers],[SAMV]:[ASH]], "")))</f>
        <v>SAL</v>
      </c>
      <c r="AA82" s="93">
        <f>IF(tblPiNAnalysis[[#This Row],[PiN más alto]]="", "", tblPiNAnalysis[[#This Row],[PiN más alto]]/tblPiNAnalysis[[#This Row],[Población]])</f>
        <v>0.36499999999999999</v>
      </c>
      <c r="AB82" s="94" t="str">
        <f>IF(SUM(tblPiNAnalysis[[#This Row],[SAMV]:[ASH]])=0, "",IF(COUNTIF(tblPiNAnalysis[[#This Row],[SAMV]:[ASH]],"=0")+COUNTIF(tblPiNAnalysis[[#This Row],[SAMV]:[ASH]],"")&gt;=zero_pin_thresh, "Flagged", ""))</f>
        <v/>
      </c>
      <c r="AC82" s="95" t="str">
        <f>IFERROR(IF(tblPiNAnalysis[[#This Row],[PiN más alto]]="", "", IF(tblPiNAnalysis[[#This Row],[% PiN Sectores más altos]]&gt;=flag_pin_perc, "Flagged", "")), "")</f>
        <v/>
      </c>
      <c r="AD82" s="96" t="str" cm="1">
        <f t="array" ref="AD82">IF(tblPiNAnalysis[[#This Row],[PiN más alto]]=0, "",  IF(OR(COUNTIF(tblPiNAnalysis[[#This Row],[Sectores más altos]],tblSubSectorPopulation[Sector])), "Flagged", ""))</f>
        <v/>
      </c>
      <c r="AE82" s="16" cm="1">
        <f t="array" ref="AE8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16959.064065391955</v>
      </c>
      <c r="AF82" s="97" t="str" cm="1">
        <f t="array" ref="AF82">IF(tblPiNAnalysis[[#This Row],[2º PiN más alto]]="", "", _xlfn.TEXTJOIN(CHAR(10), TRUE, IF(tblPiNAnalysis[[#This Row],[2º PiN más alto]]=tblPiNAnalysis[[#This Row],[SAMV]:[ASH]], tblPiNAnalysis[[#Headers],[SAMV]:[ASH]], "")))</f>
        <v>PRO</v>
      </c>
      <c r="AG82" s="12">
        <f>IFERROR(tblPiNAnalysis[[#This Row],[2º PiN más alto]]/tblPiNAnalysis[[#This Row],[Población]], "")</f>
        <v>0.22242562318537307</v>
      </c>
      <c r="AH82" s="16">
        <f>IFERROR(tblPiNAnalysis[[#This Row],[PiN más alto]]-tblPiNAnalysis[[#This Row],[2º PiN más alto]], "")</f>
        <v>10870.725934608046</v>
      </c>
      <c r="AI82" s="14">
        <f>IFERROR(((tblPiNAnalysis[[#This Row],[PiN más alto]]-tblPiNAnalysis[[#This Row],[2º PiN más alto]])/tblPiNAnalysis[[#This Row],[2º PiN más alto]]),"")</f>
        <v>0.64099798742972691</v>
      </c>
      <c r="AJ82" s="14" t="str" cm="1">
        <f t="array" ref="AJ8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82" s="98" cm="1">
        <f t="array" ref="AK8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13534</v>
      </c>
      <c r="AL82" s="53" t="str" cm="1">
        <f t="array" ref="AL82">IF(tblPiNAnalysis[[#This Row],[3º PiN más alto]]="", "", _xlfn.TEXTJOIN(CHAR(10), TRUE, IF(tblPiNAnalysis[[#This Row],[3º PiN más alto]]=tblPiNAnalysis[[#This Row],[SAMV]:[ASH]], tblPiNAnalysis[[#Headers],[SAMV]:[ASH]], "")))</f>
        <v>SAMV</v>
      </c>
      <c r="AM82" s="53">
        <f>IFERROR(tblPiNAnalysis[[#This Row],[3º PiN más alto]]/tblPiNAnalysis[[#This Row],[Población]], "")</f>
        <v>0.17750439367311072</v>
      </c>
      <c r="AN82" s="15">
        <f>IFERROR(tblPiNAnalysis[[#This Row],[PiN más alto]]-tblPiNAnalysis[[#This Row],[3º PiN más alto]],"")</f>
        <v>14295.79</v>
      </c>
      <c r="AO82" s="14">
        <f>IFERROR(tblPiNAnalysis[[#This Row],[Diferencia de PiN entre el más alto y el 3º más alto]]/tblPiNAnalysis[[#This Row],[3º PiN más alto]], "")</f>
        <v>1.0562871287128714</v>
      </c>
      <c r="AP82" s="96" t="str" cm="1">
        <f t="array" ref="AP8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82" s="84" cm="1">
        <f t="array" ref="AQ82">IFERROR(IF(tblPiNAnalysis[[#This Row],[ID]]="", "", INDEX(tblPiNHistorical[[SAMV]:[ASH]], MATCH(tblPiNAnalysis[[#This Row],[ID]],tblPiNHistorical[ID], 0),MATCH(_xlfn._xlws.FILTER(tblPiNAnalysis[[#Headers],[SAMV]:[ASH]], tblPiNAnalysis[[#This Row],[PiN más alto]]=tblPiNAnalysis[[#This Row],[SAMV]:[ASH]]), tblPiNHistorical[[#Headers],[SAMV]:[ASH]], 0))), "")</f>
        <v>-0.3</v>
      </c>
      <c r="AR82" s="99" t="str" cm="1">
        <f t="array" ref="AR8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82" s="74" cm="1">
        <f t="array" ref="AS82">IFERROR(IF(tblPiNAnalysis[[#This Row],[ID]]="", "", INDEX(tblPiNHistorical[[SAMV]:[ASH]], MATCH(tblPiNAnalysis[[#This Row],[ID]],tblPiNHistorical[ID], 0),MATCH(_xlfn._xlws.FILTER(tblPiNAnalysis[[#Headers],[SAMV]:[ASH]], tblPiNAnalysis[[#This Row],[2º PiN más alto]]=tblPiNAnalysis[[#This Row],[SAMV]:[ASH]]), tblPiNHistorical[[#Headers],[SAMV]:[ASH]], 0))), "")</f>
        <v>-0.3</v>
      </c>
      <c r="AT82" s="100" t="str" cm="1">
        <f t="array" ref="AT8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82" s="219">
        <f>INDEX(tblSeverityAnalysis[Severidad final], MATCH(tblPiNAnalysis[[#This Row],[ID]],tblSeverityAnalysis[ID], 0))</f>
        <v>3</v>
      </c>
      <c r="AV82" s="220">
        <f>IF(tblPiNAnalysis[[#This Row],[Severidad]]&gt;2,tblPiNAnalysis[[#This Row],[PiN más alto]],)</f>
        <v>27829.79</v>
      </c>
      <c r="AW82" s="54"/>
      <c r="AX82" s="55"/>
      <c r="AY82" s="56">
        <f>COUNTIFS(tblPiNAnalysis[[#This Row],[Número de PiN ausentes/cero superior al umbral - Calidad de los datos]:[Marcador manual]],"Flagged")</f>
        <v>2</v>
      </c>
      <c r="AZ82" s="34" t="str">
        <f>IF(tblPiNAnalysis[[#This Row],[Número de marcadores]]&gt;0, "Flagged", "")</f>
        <v>Flagged</v>
      </c>
      <c r="BA82" s="92">
        <f>tblPiNAnalysis[[#This Row],[PiN preliminar]]</f>
        <v>27829.79</v>
      </c>
      <c r="BB82" s="97"/>
      <c r="BC82" s="70">
        <f>IFERROR(IF(tblPiNAnalysis[[#This Row],[Severidad]]=3,tblPiNAnalysis[[#This Row],[PiN final]]*Umbrales!$D$33,tblPiNAnalysis[[#This Row],[PiN final]]*Umbrales!$D$34),)</f>
        <v>13914.895</v>
      </c>
      <c r="BD82" s="70">
        <f>IFERROR(IF(tblPiNAnalysis[[#This Row],[Severidad]]&gt;3,tblPiNAnalysis[[#This Row],[PiN final]]*Umbrales!$D$34,),)</f>
        <v>0</v>
      </c>
    </row>
    <row r="83" spans="1:56">
      <c r="A83" s="101" t="str">
        <f>IFERROR(_xlfn.CONCAT(IF(tblPiNAnalysis[[#This Row],[Grupo]]="", "",tblPiNAnalysis[[#This Row],[Grupo]] ),  _xlfn.IFS(tblPiNAnalysis[[#This Row],[Admin2PCODE]]&lt;&gt;"", tblPiNAnalysis[[#This Row],[Admin2PCODE]], tblPiNAnalysis[[#This Row],[Admin1PCODE]]&lt;&gt;"", tblPiNAnalysis[[#This Row],[Admin1PCODE]])),"")</f>
        <v>VenezolanosVE0313</v>
      </c>
      <c r="B83" s="105" t="s">
        <v>119</v>
      </c>
      <c r="C83" s="104" t="s">
        <v>120</v>
      </c>
      <c r="D83" s="119" t="s">
        <v>812</v>
      </c>
      <c r="E83" s="104" t="s">
        <v>146</v>
      </c>
      <c r="F83" s="358"/>
      <c r="G83" s="357">
        <v>74776</v>
      </c>
      <c r="H83" s="103" t="s">
        <v>102</v>
      </c>
      <c r="I83" s="60">
        <v>20215</v>
      </c>
      <c r="J83" s="134">
        <v>2763.9128509916441</v>
      </c>
      <c r="K83" s="57">
        <v>27293.24</v>
      </c>
      <c r="L83" s="87">
        <v>7478.7139998815883</v>
      </c>
      <c r="M83" s="87">
        <v>14872.90774154485</v>
      </c>
      <c r="N83" s="57">
        <v>10094.76</v>
      </c>
      <c r="O83" s="57">
        <v>4759.330477294352</v>
      </c>
      <c r="P83" s="57">
        <v>5205.5177095406971</v>
      </c>
      <c r="Q83" s="88">
        <f>IFERROR(IF(tblPiNAnalysis[[#This Row],[SAMV]]="", "", MROUND(tblPiNAnalysis[[#This Row],[SAMV]]/tblPiNAnalysis[[#This Row],[Población]], 0.05)), "")</f>
        <v>0.25</v>
      </c>
      <c r="R83" s="89">
        <f>IFERROR(IF(tblPiNAnalysis[[#This Row],[NUT]]="", "", MROUND(tblPiNAnalysis[[#This Row],[NUT]]/tblPiNAnalysis[[#This Row],[Población]], 0.05)), "")</f>
        <v>0.05</v>
      </c>
      <c r="S83" s="89">
        <f>IFERROR(IF(tblPiNAnalysis[[#This Row],[SAL]]="", "", MROUND(tblPiNAnalysis[[#This Row],[SAL]]/tblPiNAnalysis[[#This Row],[Población]], 0.05)), "")</f>
        <v>0.35000000000000003</v>
      </c>
      <c r="T83" s="89">
        <f>IFERROR(IF(tblPiNAnalysis[[#This Row],[EDU]]="", "", MROUND(tblPiNAnalysis[[#This Row],[EDU]]/tblPiNAnalysis[[#This Row],[Población]], 0.05)), "")</f>
        <v>0.1</v>
      </c>
      <c r="U83" s="89">
        <f>IFERROR(IF(tblPiNAnalysis[[#This Row],[PRO]]="", "", MROUND(tblPiNAnalysis[[#This Row],[PRO]]/tblPiNAnalysis[[#This Row],[Población]], 0.05)), "")</f>
        <v>0.2</v>
      </c>
      <c r="V83" s="90">
        <f>IFERROR(IF(tblPiNAnalysis[[#This Row],[ASH]]="", "", MROUND(tblPiNAnalysis[[#This Row],[ASH]]/tblPiNAnalysis[[#This Row],[Población]], 0.05)), "")</f>
        <v>0.15000000000000002</v>
      </c>
      <c r="W83" s="89">
        <f>IFERROR(MROUND(tblPiNAnalysis[[#This Row],[NNA]]/tblPiNAnalysis[[#This Row],[Población]], 0.05), "")</f>
        <v>0.05</v>
      </c>
      <c r="X83" s="89">
        <f>IFERROR(MROUND(tblPiNAnalysis[[#This Row],[VBG]]/tblPiNAnalysis[[#This Row],[Población]], 0.05), "")</f>
        <v>0.05</v>
      </c>
      <c r="Y83" s="91">
        <f>IFERROR(LARGE(tblPiNAnalysis[[#This Row],[SAMV]:[ASH]], 1), "")</f>
        <v>27293.24</v>
      </c>
      <c r="Z83" s="92" t="str" cm="1">
        <f t="array" ref="Z83">IF(tblPiNAnalysis[[#This Row],[PiN más alto]]="", "", _xlfn.TEXTJOIN(CHAR(10), TRUE, IF(tblPiNAnalysis[[#This Row],[PiN más alto]]=tblPiNAnalysis[[#This Row],[SAMV]:[ASH]], tblPiNAnalysis[[#Headers],[SAMV]:[ASH]], "")))</f>
        <v>SAL</v>
      </c>
      <c r="AA83" s="93">
        <f>IF(tblPiNAnalysis[[#This Row],[PiN más alto]]="", "", tblPiNAnalysis[[#This Row],[PiN más alto]]/tblPiNAnalysis[[#This Row],[Población]])</f>
        <v>0.36500000000000005</v>
      </c>
      <c r="AB83" s="94" t="str">
        <f>IF(SUM(tblPiNAnalysis[[#This Row],[SAMV]:[ASH]])=0, "",IF(COUNTIF(tblPiNAnalysis[[#This Row],[SAMV]:[ASH]],"=0")+COUNTIF(tblPiNAnalysis[[#This Row],[SAMV]:[ASH]],"")&gt;=zero_pin_thresh, "Flagged", ""))</f>
        <v/>
      </c>
      <c r="AC83" s="95" t="str">
        <f>IFERROR(IF(tblPiNAnalysis[[#This Row],[PiN más alto]]="", "", IF(tblPiNAnalysis[[#This Row],[% PiN Sectores más altos]]&gt;=flag_pin_perc, "Flagged", "")), "")</f>
        <v/>
      </c>
      <c r="AD83" s="96" t="str" cm="1">
        <f t="array" ref="AD83">IF(tblPiNAnalysis[[#This Row],[PiN más alto]]=0, "",  IF(OR(COUNTIF(tblPiNAnalysis[[#This Row],[Sectores más altos]],tblSubSectorPopulation[Sector])), "Flagged", ""))</f>
        <v/>
      </c>
      <c r="AE83" s="16" cm="1">
        <f t="array" ref="AE8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20215</v>
      </c>
      <c r="AF83" s="97" t="str" cm="1">
        <f t="array" ref="AF83">IF(tblPiNAnalysis[[#This Row],[2º PiN más alto]]="", "", _xlfn.TEXTJOIN(CHAR(10), TRUE, IF(tblPiNAnalysis[[#This Row],[2º PiN más alto]]=tblPiNAnalysis[[#This Row],[SAMV]:[ASH]], tblPiNAnalysis[[#Headers],[SAMV]:[ASH]], "")))</f>
        <v>SAMV</v>
      </c>
      <c r="AG83" s="12">
        <f>IFERROR(tblPiNAnalysis[[#This Row],[2º PiN más alto]]/tblPiNAnalysis[[#This Row],[Población]], "")</f>
        <v>0.27034075104311545</v>
      </c>
      <c r="AH83" s="16">
        <f>IFERROR(tblPiNAnalysis[[#This Row],[PiN más alto]]-tblPiNAnalysis[[#This Row],[2º PiN más alto]], "")</f>
        <v>7078.2400000000016</v>
      </c>
      <c r="AI83" s="14">
        <f>IFERROR(((tblPiNAnalysis[[#This Row],[PiN más alto]]-tblPiNAnalysis[[#This Row],[2º PiN más alto]])/tblPiNAnalysis[[#This Row],[2º PiN más alto]]),"")</f>
        <v>0.35014790996784573</v>
      </c>
      <c r="AJ83" s="14" t="str" cm="1">
        <f t="array" ref="AJ8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83" s="98" cm="1">
        <f t="array" ref="AK8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14872.90774154485</v>
      </c>
      <c r="AL83" s="53" t="str" cm="1">
        <f t="array" ref="AL83">IF(tblPiNAnalysis[[#This Row],[3º PiN más alto]]="", "", _xlfn.TEXTJOIN(CHAR(10), TRUE, IF(tblPiNAnalysis[[#This Row],[3º PiN más alto]]=tblPiNAnalysis[[#This Row],[SAMV]:[ASH]], tblPiNAnalysis[[#Headers],[SAMV]:[ASH]], "")))</f>
        <v>PRO</v>
      </c>
      <c r="AM83" s="53">
        <f>IFERROR(tblPiNAnalysis[[#This Row],[3º PiN más alto]]/tblPiNAnalysis[[#This Row],[Población]], "")</f>
        <v>0.19889948300985411</v>
      </c>
      <c r="AN83" s="15">
        <f>IFERROR(tblPiNAnalysis[[#This Row],[PiN más alto]]-tblPiNAnalysis[[#This Row],[3º PiN más alto]],"")</f>
        <v>12420.332258455152</v>
      </c>
      <c r="AO83" s="14">
        <f>IFERROR(tblPiNAnalysis[[#This Row],[Diferencia de PiN entre el más alto y el 3º más alto]]/tblPiNAnalysis[[#This Row],[3º PiN más alto]], "")</f>
        <v>0.83509778143524283</v>
      </c>
      <c r="AP83" s="96" t="str" cm="1">
        <f t="array" ref="AP8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83" s="84" cm="1">
        <f t="array" ref="AQ83">IFERROR(IF(tblPiNAnalysis[[#This Row],[ID]]="", "", INDEX(tblPiNHistorical[[SAMV]:[ASH]], MATCH(tblPiNAnalysis[[#This Row],[ID]],tblPiNHistorical[ID], 0),MATCH(_xlfn._xlws.FILTER(tblPiNAnalysis[[#Headers],[SAMV]:[ASH]], tblPiNAnalysis[[#This Row],[PiN más alto]]=tblPiNAnalysis[[#This Row],[SAMV]:[ASH]]), tblPiNHistorical[[#Headers],[SAMV]:[ASH]], 0))), "")</f>
        <v>3.8</v>
      </c>
      <c r="AR83" s="99" t="str" cm="1">
        <f t="array" ref="AR8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83" s="74" cm="1">
        <f t="array" ref="AS83">IFERROR(IF(tblPiNAnalysis[[#This Row],[ID]]="", "", INDEX(tblPiNHistorical[[SAMV]:[ASH]], MATCH(tblPiNAnalysis[[#This Row],[ID]],tblPiNHistorical[ID], 0),MATCH(_xlfn._xlws.FILTER(tblPiNAnalysis[[#Headers],[SAMV]:[ASH]], tblPiNAnalysis[[#This Row],[2º PiN más alto]]=tblPiNAnalysis[[#This Row],[SAMV]:[ASH]]), tblPiNHistorical[[#Headers],[SAMV]:[ASH]], 0))), "")</f>
        <v>3.9</v>
      </c>
      <c r="AT83" s="100" t="str" cm="1">
        <f t="array" ref="AT8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83" s="219">
        <f>INDEX(tblSeverityAnalysis[Severidad final], MATCH(tblPiNAnalysis[[#This Row],[ID]],tblSeverityAnalysis[ID], 0))</f>
        <v>3</v>
      </c>
      <c r="AV83" s="220">
        <f>IF(tblPiNAnalysis[[#This Row],[Severidad]]&gt;2,tblPiNAnalysis[[#This Row],[PiN más alto]],)</f>
        <v>27293.24</v>
      </c>
      <c r="AW83" s="54"/>
      <c r="AX83" s="55"/>
      <c r="AY83" s="56">
        <f>COUNTIFS(tblPiNAnalysis[[#This Row],[Número de PiN ausentes/cero superior al umbral - Calidad de los datos]:[Marcador manual]],"Flagged")</f>
        <v>4</v>
      </c>
      <c r="AZ83" s="34" t="str">
        <f>IF(tblPiNAnalysis[[#This Row],[Número de marcadores]]&gt;0, "Flagged", "")</f>
        <v>Flagged</v>
      </c>
      <c r="BA83" s="92">
        <f>tblPiNAnalysis[[#This Row],[PiN preliminar]]</f>
        <v>27293.24</v>
      </c>
      <c r="BB83" s="97"/>
      <c r="BC83" s="70">
        <f>IFERROR(IF(tblPiNAnalysis[[#This Row],[Severidad]]=3,tblPiNAnalysis[[#This Row],[PiN final]]*Umbrales!$D$33,tblPiNAnalysis[[#This Row],[PiN final]]*Umbrales!$D$34),)</f>
        <v>13646.62</v>
      </c>
      <c r="BD83" s="70">
        <f>IFERROR(IF(tblPiNAnalysis[[#This Row],[Severidad]]&gt;3,tblPiNAnalysis[[#This Row],[PiN final]]*Umbrales!$D$34,),)</f>
        <v>0</v>
      </c>
    </row>
    <row r="84" spans="1:56">
      <c r="A84" s="101" t="str">
        <f>IFERROR(_xlfn.CONCAT(IF(tblPiNAnalysis[[#This Row],[Grupo]]="", "",tblPiNAnalysis[[#This Row],[Grupo]] ),  _xlfn.IFS(tblPiNAnalysis[[#This Row],[Admin2PCODE]]&lt;&gt;"", tblPiNAnalysis[[#This Row],[Admin2PCODE]], tblPiNAnalysis[[#This Row],[Admin1PCODE]]&lt;&gt;"", tblPiNAnalysis[[#This Row],[Admin1PCODE]])),"")</f>
        <v>VenezolanosVE2203</v>
      </c>
      <c r="B84" s="105" t="s">
        <v>678</v>
      </c>
      <c r="C84" s="104" t="s">
        <v>679</v>
      </c>
      <c r="D84" s="119" t="s">
        <v>683</v>
      </c>
      <c r="E84" s="104" t="s">
        <v>684</v>
      </c>
      <c r="F84" s="358"/>
      <c r="G84" s="357">
        <v>71311</v>
      </c>
      <c r="H84" s="103" t="s">
        <v>102</v>
      </c>
      <c r="I84" s="60">
        <v>11299</v>
      </c>
      <c r="J84" s="134">
        <v>1690.1065796166481</v>
      </c>
      <c r="K84" s="57">
        <v>26028.514999999999</v>
      </c>
      <c r="L84" s="87">
        <v>6297.3319012244301</v>
      </c>
      <c r="M84" s="87">
        <v>14175.613858208251</v>
      </c>
      <c r="N84" s="57">
        <v>0</v>
      </c>
      <c r="O84" s="57">
        <v>4536.1964346266404</v>
      </c>
      <c r="P84" s="57">
        <v>4961.4648503728877</v>
      </c>
      <c r="Q84" s="88">
        <f>IFERROR(IF(tblPiNAnalysis[[#This Row],[SAMV]]="", "", MROUND(tblPiNAnalysis[[#This Row],[SAMV]]/tblPiNAnalysis[[#This Row],[Población]], 0.05)), "")</f>
        <v>0.15000000000000002</v>
      </c>
      <c r="R84" s="89">
        <f>IFERROR(IF(tblPiNAnalysis[[#This Row],[NUT]]="", "", MROUND(tblPiNAnalysis[[#This Row],[NUT]]/tblPiNAnalysis[[#This Row],[Población]], 0.05)), "")</f>
        <v>0</v>
      </c>
      <c r="S84" s="89">
        <f>IFERROR(IF(tblPiNAnalysis[[#This Row],[SAL]]="", "", MROUND(tblPiNAnalysis[[#This Row],[SAL]]/tblPiNAnalysis[[#This Row],[Población]], 0.05)), "")</f>
        <v>0.35000000000000003</v>
      </c>
      <c r="T84" s="89">
        <f>IFERROR(IF(tblPiNAnalysis[[#This Row],[EDU]]="", "", MROUND(tblPiNAnalysis[[#This Row],[EDU]]/tblPiNAnalysis[[#This Row],[Población]], 0.05)), "")</f>
        <v>0.1</v>
      </c>
      <c r="U84" s="89">
        <f>IFERROR(IF(tblPiNAnalysis[[#This Row],[PRO]]="", "", MROUND(tblPiNAnalysis[[#This Row],[PRO]]/tblPiNAnalysis[[#This Row],[Población]], 0.05)), "")</f>
        <v>0.2</v>
      </c>
      <c r="V84" s="90">
        <f>IFERROR(IF(tblPiNAnalysis[[#This Row],[ASH]]="", "", MROUND(tblPiNAnalysis[[#This Row],[ASH]]/tblPiNAnalysis[[#This Row],[Población]], 0.05)), "")</f>
        <v>0</v>
      </c>
      <c r="W84" s="89">
        <f>IFERROR(MROUND(tblPiNAnalysis[[#This Row],[NNA]]/tblPiNAnalysis[[#This Row],[Población]], 0.05), "")</f>
        <v>0.05</v>
      </c>
      <c r="X84" s="89">
        <f>IFERROR(MROUND(tblPiNAnalysis[[#This Row],[VBG]]/tblPiNAnalysis[[#This Row],[Población]], 0.05), "")</f>
        <v>0.05</v>
      </c>
      <c r="Y84" s="91">
        <f>IFERROR(LARGE(tblPiNAnalysis[[#This Row],[SAMV]:[ASH]], 1), "")</f>
        <v>26028.514999999999</v>
      </c>
      <c r="Z84" s="92" t="str" cm="1">
        <f t="array" ref="Z84">IF(tblPiNAnalysis[[#This Row],[PiN más alto]]="", "", _xlfn.TEXTJOIN(CHAR(10), TRUE, IF(tblPiNAnalysis[[#This Row],[PiN más alto]]=tblPiNAnalysis[[#This Row],[SAMV]:[ASH]], tblPiNAnalysis[[#Headers],[SAMV]:[ASH]], "")))</f>
        <v>SAL</v>
      </c>
      <c r="AA84" s="93">
        <f>IF(tblPiNAnalysis[[#This Row],[PiN más alto]]="", "", tblPiNAnalysis[[#This Row],[PiN más alto]]/tblPiNAnalysis[[#This Row],[Población]])</f>
        <v>0.36499999999999999</v>
      </c>
      <c r="AB84" s="94" t="str">
        <f>IF(SUM(tblPiNAnalysis[[#This Row],[SAMV]:[ASH]])=0, "",IF(COUNTIF(tblPiNAnalysis[[#This Row],[SAMV]:[ASH]],"=0")+COUNTIF(tblPiNAnalysis[[#This Row],[SAMV]:[ASH]],"")&gt;=zero_pin_thresh, "Flagged", ""))</f>
        <v/>
      </c>
      <c r="AC84" s="95" t="str">
        <f>IFERROR(IF(tblPiNAnalysis[[#This Row],[PiN más alto]]="", "", IF(tblPiNAnalysis[[#This Row],[% PiN Sectores más altos]]&gt;=flag_pin_perc, "Flagged", "")), "")</f>
        <v/>
      </c>
      <c r="AD84" s="96" t="str" cm="1">
        <f t="array" ref="AD84">IF(tblPiNAnalysis[[#This Row],[PiN más alto]]=0, "",  IF(OR(COUNTIF(tblPiNAnalysis[[#This Row],[Sectores más altos]],tblSubSectorPopulation[Sector])), "Flagged", ""))</f>
        <v/>
      </c>
      <c r="AE84" s="16" cm="1">
        <f t="array" ref="AE8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14175.613858208251</v>
      </c>
      <c r="AF84" s="97" t="str" cm="1">
        <f t="array" ref="AF84">IF(tblPiNAnalysis[[#This Row],[2º PiN más alto]]="", "", _xlfn.TEXTJOIN(CHAR(10), TRUE, IF(tblPiNAnalysis[[#This Row],[2º PiN más alto]]=tblPiNAnalysis[[#This Row],[SAMV]:[ASH]], tblPiNAnalysis[[#Headers],[SAMV]:[ASH]], "")))</f>
        <v>PRO</v>
      </c>
      <c r="AG84" s="12">
        <f>IFERROR(tblPiNAnalysis[[#This Row],[2º PiN más alto]]/tblPiNAnalysis[[#This Row],[Población]], "")</f>
        <v>0.19878579543420022</v>
      </c>
      <c r="AH84" s="16">
        <f>IFERROR(tblPiNAnalysis[[#This Row],[PiN más alto]]-tblPiNAnalysis[[#This Row],[2º PiN más alto]], "")</f>
        <v>11852.901141791748</v>
      </c>
      <c r="AI84" s="14">
        <f>IFERROR(((tblPiNAnalysis[[#This Row],[PiN más alto]]-tblPiNAnalysis[[#This Row],[2º PiN más alto]])/tblPiNAnalysis[[#This Row],[2º PiN más alto]]),"")</f>
        <v>0.83614729212791317</v>
      </c>
      <c r="AJ84" s="14" t="str" cm="1">
        <f t="array" ref="AJ8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84" s="98" cm="1">
        <f t="array" ref="AK8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11299</v>
      </c>
      <c r="AL84" s="53" t="str" cm="1">
        <f t="array" ref="AL84">IF(tblPiNAnalysis[[#This Row],[3º PiN más alto]]="", "", _xlfn.TEXTJOIN(CHAR(10), TRUE, IF(tblPiNAnalysis[[#This Row],[3º PiN más alto]]=tblPiNAnalysis[[#This Row],[SAMV]:[ASH]], tblPiNAnalysis[[#Headers],[SAMV]:[ASH]], "")))</f>
        <v>SAMV</v>
      </c>
      <c r="AM84" s="53">
        <f>IFERROR(tblPiNAnalysis[[#This Row],[3º PiN más alto]]/tblPiNAnalysis[[#This Row],[Población]], "")</f>
        <v>0.15844680343845971</v>
      </c>
      <c r="AN84" s="15">
        <f>IFERROR(tblPiNAnalysis[[#This Row],[PiN más alto]]-tblPiNAnalysis[[#This Row],[3º PiN más alto]],"")</f>
        <v>14729.514999999999</v>
      </c>
      <c r="AO84" s="14">
        <f>IFERROR(tblPiNAnalysis[[#This Row],[Diferencia de PiN entre el más alto y el 3º más alto]]/tblPiNAnalysis[[#This Row],[3º PiN más alto]], "")</f>
        <v>1.3036122665722629</v>
      </c>
      <c r="AP84" s="96" t="str" cm="1">
        <f t="array" ref="AP8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84" s="84" cm="1">
        <f t="array" ref="AQ84">IFERROR(IF(tblPiNAnalysis[[#This Row],[ID]]="", "", INDEX(tblPiNHistorical[[SAMV]:[ASH]], MATCH(tblPiNAnalysis[[#This Row],[ID]],tblPiNHistorical[ID], 0),MATCH(_xlfn._xlws.FILTER(tblPiNAnalysis[[#Headers],[SAMV]:[ASH]], tblPiNAnalysis[[#This Row],[PiN más alto]]=tblPiNAnalysis[[#This Row],[SAMV]:[ASH]]), tblPiNHistorical[[#Headers],[SAMV]:[ASH]], 0))), "")</f>
        <v>-0.6</v>
      </c>
      <c r="AR84" s="99" t="str" cm="1">
        <f t="array" ref="AR8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84" s="74" cm="1">
        <f t="array" ref="AS84">IFERROR(IF(tblPiNAnalysis[[#This Row],[ID]]="", "", INDEX(tblPiNHistorical[[SAMV]:[ASH]], MATCH(tblPiNAnalysis[[#This Row],[ID]],tblPiNHistorical[ID], 0),MATCH(_xlfn._xlws.FILTER(tblPiNAnalysis[[#Headers],[SAMV]:[ASH]], tblPiNAnalysis[[#This Row],[2º PiN más alto]]=tblPiNAnalysis[[#This Row],[SAMV]:[ASH]]), tblPiNHistorical[[#Headers],[SAMV]:[ASH]], 0))), "")</f>
        <v>-0.5</v>
      </c>
      <c r="AT84" s="100" t="str" cm="1">
        <f t="array" ref="AT8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84" s="219">
        <f>INDEX(tblSeverityAnalysis[Severidad final], MATCH(tblPiNAnalysis[[#This Row],[ID]],tblSeverityAnalysis[ID], 0))</f>
        <v>3</v>
      </c>
      <c r="AV84" s="220">
        <f>IF(tblPiNAnalysis[[#This Row],[Severidad]]&gt;2,tblPiNAnalysis[[#This Row],[PiN más alto]],)</f>
        <v>26028.514999999999</v>
      </c>
      <c r="AW84" s="54"/>
      <c r="AX84" s="55"/>
      <c r="AY84" s="56">
        <f>COUNTIFS(tblPiNAnalysis[[#This Row],[Número de PiN ausentes/cero superior al umbral - Calidad de los datos]:[Marcador manual]],"Flagged")</f>
        <v>2</v>
      </c>
      <c r="AZ84" s="34" t="str">
        <f>IF(tblPiNAnalysis[[#This Row],[Número de marcadores]]&gt;0, "Flagged", "")</f>
        <v>Flagged</v>
      </c>
      <c r="BA84" s="92">
        <f>tblPiNAnalysis[[#This Row],[PiN preliminar]]</f>
        <v>26028.514999999999</v>
      </c>
      <c r="BB84" s="97"/>
      <c r="BC84" s="70">
        <f>IFERROR(IF(tblPiNAnalysis[[#This Row],[Severidad]]=3,tblPiNAnalysis[[#This Row],[PiN final]]*Umbrales!$D$33,tblPiNAnalysis[[#This Row],[PiN final]]*Umbrales!$D$34),)</f>
        <v>13014.2575</v>
      </c>
      <c r="BD84" s="70">
        <f>IFERROR(IF(tblPiNAnalysis[[#This Row],[Severidad]]&gt;3,tblPiNAnalysis[[#This Row],[PiN final]]*Umbrales!$D$34,),)</f>
        <v>0</v>
      </c>
    </row>
    <row r="85" spans="1:56">
      <c r="A85" s="101" t="str">
        <f>IFERROR(_xlfn.CONCAT(IF(tblPiNAnalysis[[#This Row],[Grupo]]="", "",tblPiNAnalysis[[#This Row],[Grupo]] ),  _xlfn.IFS(tblPiNAnalysis[[#This Row],[Admin2PCODE]]&lt;&gt;"", tblPiNAnalysis[[#This Row],[Admin2PCODE]], tblPiNAnalysis[[#This Row],[Admin1PCODE]]&lt;&gt;"", tblPiNAnalysis[[#This Row],[Admin1PCODE]])),"")</f>
        <v>VenezolanosVE0805</v>
      </c>
      <c r="B85" s="105" t="s">
        <v>261</v>
      </c>
      <c r="C85" s="104" t="s">
        <v>262</v>
      </c>
      <c r="D85" s="119" t="s">
        <v>271</v>
      </c>
      <c r="E85" s="104" t="s">
        <v>272</v>
      </c>
      <c r="F85" s="358"/>
      <c r="G85" s="357">
        <v>70800</v>
      </c>
      <c r="H85" s="103" t="s">
        <v>102</v>
      </c>
      <c r="I85" s="60">
        <v>16276</v>
      </c>
      <c r="J85" s="134">
        <v>2532.9927315847249</v>
      </c>
      <c r="K85" s="57">
        <v>25842</v>
      </c>
      <c r="L85" s="87">
        <v>9444.4968576447445</v>
      </c>
      <c r="M85" s="87">
        <v>14063.234641702875</v>
      </c>
      <c r="N85" s="57">
        <v>9558</v>
      </c>
      <c r="O85" s="57">
        <v>4500.2350853449207</v>
      </c>
      <c r="P85" s="57">
        <v>4922.1321245960062</v>
      </c>
      <c r="Q85" s="88">
        <f>IFERROR(IF(tblPiNAnalysis[[#This Row],[SAMV]]="", "", MROUND(tblPiNAnalysis[[#This Row],[SAMV]]/tblPiNAnalysis[[#This Row],[Población]], 0.05)), "")</f>
        <v>0.25</v>
      </c>
      <c r="R85" s="89">
        <f>IFERROR(IF(tblPiNAnalysis[[#This Row],[NUT]]="", "", MROUND(tblPiNAnalysis[[#This Row],[NUT]]/tblPiNAnalysis[[#This Row],[Población]], 0.05)), "")</f>
        <v>0.05</v>
      </c>
      <c r="S85" s="89">
        <f>IFERROR(IF(tblPiNAnalysis[[#This Row],[SAL]]="", "", MROUND(tblPiNAnalysis[[#This Row],[SAL]]/tblPiNAnalysis[[#This Row],[Población]], 0.05)), "")</f>
        <v>0.35000000000000003</v>
      </c>
      <c r="T85" s="89">
        <f>IFERROR(IF(tblPiNAnalysis[[#This Row],[EDU]]="", "", MROUND(tblPiNAnalysis[[#This Row],[EDU]]/tblPiNAnalysis[[#This Row],[Población]], 0.05)), "")</f>
        <v>0.15000000000000002</v>
      </c>
      <c r="U85" s="89">
        <f>IFERROR(IF(tblPiNAnalysis[[#This Row],[PRO]]="", "", MROUND(tblPiNAnalysis[[#This Row],[PRO]]/tblPiNAnalysis[[#This Row],[Población]], 0.05)), "")</f>
        <v>0.2</v>
      </c>
      <c r="V85" s="90">
        <f>IFERROR(IF(tblPiNAnalysis[[#This Row],[ASH]]="", "", MROUND(tblPiNAnalysis[[#This Row],[ASH]]/tblPiNAnalysis[[#This Row],[Población]], 0.05)), "")</f>
        <v>0.15000000000000002</v>
      </c>
      <c r="W85" s="89">
        <f>IFERROR(MROUND(tblPiNAnalysis[[#This Row],[NNA]]/tblPiNAnalysis[[#This Row],[Población]], 0.05), "")</f>
        <v>0.05</v>
      </c>
      <c r="X85" s="89">
        <f>IFERROR(MROUND(tblPiNAnalysis[[#This Row],[VBG]]/tblPiNAnalysis[[#This Row],[Población]], 0.05), "")</f>
        <v>0.05</v>
      </c>
      <c r="Y85" s="91">
        <f>IFERROR(LARGE(tblPiNAnalysis[[#This Row],[SAMV]:[ASH]], 1), "")</f>
        <v>25842</v>
      </c>
      <c r="Z85" s="92" t="str" cm="1">
        <f t="array" ref="Z85">IF(tblPiNAnalysis[[#This Row],[PiN más alto]]="", "", _xlfn.TEXTJOIN(CHAR(10), TRUE, IF(tblPiNAnalysis[[#This Row],[PiN más alto]]=tblPiNAnalysis[[#This Row],[SAMV]:[ASH]], tblPiNAnalysis[[#Headers],[SAMV]:[ASH]], "")))</f>
        <v>SAL</v>
      </c>
      <c r="AA85" s="93">
        <f>IF(tblPiNAnalysis[[#This Row],[PiN más alto]]="", "", tblPiNAnalysis[[#This Row],[PiN más alto]]/tblPiNAnalysis[[#This Row],[Población]])</f>
        <v>0.36499999999999999</v>
      </c>
      <c r="AB85" s="94" t="str">
        <f>IF(SUM(tblPiNAnalysis[[#This Row],[SAMV]:[ASH]])=0, "",IF(COUNTIF(tblPiNAnalysis[[#This Row],[SAMV]:[ASH]],"=0")+COUNTIF(tblPiNAnalysis[[#This Row],[SAMV]:[ASH]],"")&gt;=zero_pin_thresh, "Flagged", ""))</f>
        <v/>
      </c>
      <c r="AC85" s="95" t="str">
        <f>IFERROR(IF(tblPiNAnalysis[[#This Row],[PiN más alto]]="", "", IF(tblPiNAnalysis[[#This Row],[% PiN Sectores más altos]]&gt;=flag_pin_perc, "Flagged", "")), "")</f>
        <v/>
      </c>
      <c r="AD85" s="96" t="str" cm="1">
        <f t="array" ref="AD85">IF(tblPiNAnalysis[[#This Row],[PiN más alto]]=0, "",  IF(OR(COUNTIF(tblPiNAnalysis[[#This Row],[Sectores más altos]],tblSubSectorPopulation[Sector])), "Flagged", ""))</f>
        <v/>
      </c>
      <c r="AE85" s="16" cm="1">
        <f t="array" ref="AE8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16276</v>
      </c>
      <c r="AF85" s="97" t="str" cm="1">
        <f t="array" ref="AF85">IF(tblPiNAnalysis[[#This Row],[2º PiN más alto]]="", "", _xlfn.TEXTJOIN(CHAR(10), TRUE, IF(tblPiNAnalysis[[#This Row],[2º PiN más alto]]=tblPiNAnalysis[[#This Row],[SAMV]:[ASH]], tblPiNAnalysis[[#Headers],[SAMV]:[ASH]], "")))</f>
        <v>SAMV</v>
      </c>
      <c r="AG85" s="12">
        <f>IFERROR(tblPiNAnalysis[[#This Row],[2º PiN más alto]]/tblPiNAnalysis[[#This Row],[Población]], "")</f>
        <v>0.22988700564971751</v>
      </c>
      <c r="AH85" s="16">
        <f>IFERROR(tblPiNAnalysis[[#This Row],[PiN más alto]]-tblPiNAnalysis[[#This Row],[2º PiN más alto]], "")</f>
        <v>9566</v>
      </c>
      <c r="AI85" s="14">
        <f>IFERROR(((tblPiNAnalysis[[#This Row],[PiN más alto]]-tblPiNAnalysis[[#This Row],[2º PiN más alto]])/tblPiNAnalysis[[#This Row],[2º PiN más alto]]),"")</f>
        <v>0.58773654460555425</v>
      </c>
      <c r="AJ85" s="14" t="str" cm="1">
        <f t="array" ref="AJ8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85" s="98" cm="1">
        <f t="array" ref="AK8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14063.234641702875</v>
      </c>
      <c r="AL85" s="53" t="str" cm="1">
        <f t="array" ref="AL85">IF(tblPiNAnalysis[[#This Row],[3º PiN más alto]]="", "", _xlfn.TEXTJOIN(CHAR(10), TRUE, IF(tblPiNAnalysis[[#This Row],[3º PiN más alto]]=tblPiNAnalysis[[#This Row],[SAMV]:[ASH]], tblPiNAnalysis[[#Headers],[SAMV]:[ASH]], "")))</f>
        <v>PRO</v>
      </c>
      <c r="AM85" s="53">
        <f>IFERROR(tblPiNAnalysis[[#This Row],[3º PiN más alto]]/tblPiNAnalysis[[#This Row],[Población]], "")</f>
        <v>0.19863325765117054</v>
      </c>
      <c r="AN85" s="15">
        <f>IFERROR(tblPiNAnalysis[[#This Row],[PiN más alto]]-tblPiNAnalysis[[#This Row],[3º PiN más alto]],"")</f>
        <v>11778.765358297125</v>
      </c>
      <c r="AO85" s="14">
        <f>IFERROR(tblPiNAnalysis[[#This Row],[Diferencia de PiN entre el más alto y el 3º más alto]]/tblPiNAnalysis[[#This Row],[3º PiN más alto]], "")</f>
        <v>0.83755733715546321</v>
      </c>
      <c r="AP85" s="96" t="str" cm="1">
        <f t="array" ref="AP8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85" s="84" cm="1">
        <f t="array" ref="AQ85">IFERROR(IF(tblPiNAnalysis[[#This Row],[ID]]="", "", INDEX(tblPiNHistorical[[SAMV]:[ASH]], MATCH(tblPiNAnalysis[[#This Row],[ID]],tblPiNHistorical[ID], 0),MATCH(_xlfn._xlws.FILTER(tblPiNAnalysis[[#Headers],[SAMV]:[ASH]], tblPiNAnalysis[[#This Row],[PiN más alto]]=tblPiNAnalysis[[#This Row],[SAMV]:[ASH]]), tblPiNHistorical[[#Headers],[SAMV]:[ASH]], 0))), "")</f>
        <v>0.4</v>
      </c>
      <c r="AR85" s="99" t="str" cm="1">
        <f t="array" ref="AR8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85" s="74" cm="1">
        <f t="array" ref="AS85">IFERROR(IF(tblPiNAnalysis[[#This Row],[ID]]="", "", INDEX(tblPiNHistorical[[SAMV]:[ASH]], MATCH(tblPiNAnalysis[[#This Row],[ID]],tblPiNHistorical[ID], 0),MATCH(_xlfn._xlws.FILTER(tblPiNAnalysis[[#Headers],[SAMV]:[ASH]], tblPiNAnalysis[[#This Row],[2º PiN más alto]]=tblPiNAnalysis[[#This Row],[SAMV]:[ASH]]), tblPiNHistorical[[#Headers],[SAMV]:[ASH]], 0))), "")</f>
        <v>0.5</v>
      </c>
      <c r="AT85" s="100" t="str" cm="1">
        <f t="array" ref="AT8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85" s="219">
        <f>INDEX(tblSeverityAnalysis[Severidad final], MATCH(tblPiNAnalysis[[#This Row],[ID]],tblSeverityAnalysis[ID], 0))</f>
        <v>3</v>
      </c>
      <c r="AV85" s="220">
        <f>IF(tblPiNAnalysis[[#This Row],[Severidad]]&gt;2,tblPiNAnalysis[[#This Row],[PiN más alto]],)</f>
        <v>25842</v>
      </c>
      <c r="AW85" s="54"/>
      <c r="AX85" s="55"/>
      <c r="AY85" s="56">
        <f>COUNTIFS(tblPiNAnalysis[[#This Row],[Número de PiN ausentes/cero superior al umbral - Calidad de los datos]:[Marcador manual]],"Flagged")</f>
        <v>2</v>
      </c>
      <c r="AZ85" s="34" t="str">
        <f>IF(tblPiNAnalysis[[#This Row],[Número de marcadores]]&gt;0, "Flagged", "")</f>
        <v>Flagged</v>
      </c>
      <c r="BA85" s="92">
        <f>tblPiNAnalysis[[#This Row],[PiN preliminar]]</f>
        <v>25842</v>
      </c>
      <c r="BB85" s="97"/>
      <c r="BC85" s="70">
        <f>IFERROR(IF(tblPiNAnalysis[[#This Row],[Severidad]]=3,tblPiNAnalysis[[#This Row],[PiN final]]*Umbrales!$D$33,tblPiNAnalysis[[#This Row],[PiN final]]*Umbrales!$D$34),)</f>
        <v>12921</v>
      </c>
      <c r="BD85" s="70">
        <f>IFERROR(IF(tblPiNAnalysis[[#This Row],[Severidad]]&gt;3,tblPiNAnalysis[[#This Row],[PiN final]]*Umbrales!$D$34,),)</f>
        <v>0</v>
      </c>
    </row>
    <row r="86" spans="1:56">
      <c r="A86" s="101" t="str">
        <f>IFERROR(_xlfn.CONCAT(IF(tblPiNAnalysis[[#This Row],[Grupo]]="", "",tblPiNAnalysis[[#This Row],[Grupo]] ),  _xlfn.IFS(tblPiNAnalysis[[#This Row],[Admin2PCODE]]&lt;&gt;"", tblPiNAnalysis[[#This Row],[Admin2PCODE]], tblPiNAnalysis[[#This Row],[Admin1PCODE]]&lt;&gt;"", tblPiNAnalysis[[#This Row],[Admin1PCODE]])),"")</f>
        <v>VenezolanosVE1112</v>
      </c>
      <c r="B86" s="105" t="s">
        <v>316</v>
      </c>
      <c r="C86" s="104" t="s">
        <v>317</v>
      </c>
      <c r="D86" s="119" t="s">
        <v>338</v>
      </c>
      <c r="E86" s="104" t="s">
        <v>339</v>
      </c>
      <c r="F86" s="358"/>
      <c r="G86" s="357">
        <v>42517</v>
      </c>
      <c r="H86" s="103" t="s">
        <v>102</v>
      </c>
      <c r="I86" s="60">
        <v>3335</v>
      </c>
      <c r="J86" s="134">
        <v>2597.1737913962606</v>
      </c>
      <c r="K86" s="57">
        <v>15518.705</v>
      </c>
      <c r="L86" s="87">
        <v>2855.8989631766344</v>
      </c>
      <c r="M86" s="87">
        <v>8479.497306235935</v>
      </c>
      <c r="N86" s="57">
        <v>25510.2</v>
      </c>
      <c r="O86" s="57">
        <v>2713.4391379954991</v>
      </c>
      <c r="P86" s="57">
        <v>2967.8240571825777</v>
      </c>
      <c r="Q86" s="88">
        <f>IFERROR(IF(tblPiNAnalysis[[#This Row],[SAMV]]="", "", MROUND(tblPiNAnalysis[[#This Row],[SAMV]]/tblPiNAnalysis[[#This Row],[Población]], 0.05)), "")</f>
        <v>0.1</v>
      </c>
      <c r="R86" s="89">
        <f>IFERROR(IF(tblPiNAnalysis[[#This Row],[NUT]]="", "", MROUND(tblPiNAnalysis[[#This Row],[NUT]]/tblPiNAnalysis[[#This Row],[Población]], 0.05)), "")</f>
        <v>0.05</v>
      </c>
      <c r="S86" s="89">
        <f>IFERROR(IF(tblPiNAnalysis[[#This Row],[SAL]]="", "", MROUND(tblPiNAnalysis[[#This Row],[SAL]]/tblPiNAnalysis[[#This Row],[Población]], 0.05)), "")</f>
        <v>0.35000000000000003</v>
      </c>
      <c r="T86" s="89">
        <f>IFERROR(IF(tblPiNAnalysis[[#This Row],[EDU]]="", "", MROUND(tblPiNAnalysis[[#This Row],[EDU]]/tblPiNAnalysis[[#This Row],[Población]], 0.05)), "")</f>
        <v>0.05</v>
      </c>
      <c r="U86" s="89">
        <f>IFERROR(IF(tblPiNAnalysis[[#This Row],[PRO]]="", "", MROUND(tblPiNAnalysis[[#This Row],[PRO]]/tblPiNAnalysis[[#This Row],[Población]], 0.05)), "")</f>
        <v>0.2</v>
      </c>
      <c r="V86" s="90">
        <f>IFERROR(IF(tblPiNAnalysis[[#This Row],[ASH]]="", "", MROUND(tblPiNAnalysis[[#This Row],[ASH]]/tblPiNAnalysis[[#This Row],[Población]], 0.05)), "")</f>
        <v>0.60000000000000009</v>
      </c>
      <c r="W86" s="89">
        <f>IFERROR(MROUND(tblPiNAnalysis[[#This Row],[NNA]]/tblPiNAnalysis[[#This Row],[Población]], 0.05), "")</f>
        <v>0.05</v>
      </c>
      <c r="X86" s="89">
        <f>IFERROR(MROUND(tblPiNAnalysis[[#This Row],[VBG]]/tblPiNAnalysis[[#This Row],[Población]], 0.05), "")</f>
        <v>0.05</v>
      </c>
      <c r="Y86" s="91">
        <f>IFERROR(LARGE(tblPiNAnalysis[[#This Row],[SAMV]:[ASH]], 1), "")</f>
        <v>25510.2</v>
      </c>
      <c r="Z86" s="92" t="str" cm="1">
        <f t="array" ref="Z86">IF(tblPiNAnalysis[[#This Row],[PiN más alto]]="", "", _xlfn.TEXTJOIN(CHAR(10), TRUE, IF(tblPiNAnalysis[[#This Row],[PiN más alto]]=tblPiNAnalysis[[#This Row],[SAMV]:[ASH]], tblPiNAnalysis[[#Headers],[SAMV]:[ASH]], "")))</f>
        <v>ASH</v>
      </c>
      <c r="AA86" s="93">
        <f>IF(tblPiNAnalysis[[#This Row],[PiN más alto]]="", "", tblPiNAnalysis[[#This Row],[PiN más alto]]/tblPiNAnalysis[[#This Row],[Población]])</f>
        <v>0.6</v>
      </c>
      <c r="AB86" s="94" t="str">
        <f>IF(SUM(tblPiNAnalysis[[#This Row],[SAMV]:[ASH]])=0, "",IF(COUNTIF(tblPiNAnalysis[[#This Row],[SAMV]:[ASH]],"=0")+COUNTIF(tblPiNAnalysis[[#This Row],[SAMV]:[ASH]],"")&gt;=zero_pin_thresh, "Flagged", ""))</f>
        <v/>
      </c>
      <c r="AC86" s="95" t="str">
        <f>IFERROR(IF(tblPiNAnalysis[[#This Row],[PiN más alto]]="", "", IF(tblPiNAnalysis[[#This Row],[% PiN Sectores más altos]]&gt;=flag_pin_perc, "Flagged", "")), "")</f>
        <v/>
      </c>
      <c r="AD86" s="96" t="str" cm="1">
        <f t="array" ref="AD86">IF(tblPiNAnalysis[[#This Row],[PiN más alto]]=0, "",  IF(OR(COUNTIF(tblPiNAnalysis[[#This Row],[Sectores más altos]],tblSubSectorPopulation[Sector])), "Flagged", ""))</f>
        <v/>
      </c>
      <c r="AE86" s="16" cm="1">
        <f t="array" ref="AE8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15518.705</v>
      </c>
      <c r="AF86" s="97" t="str" cm="1">
        <f t="array" ref="AF86">IF(tblPiNAnalysis[[#This Row],[2º PiN más alto]]="", "", _xlfn.TEXTJOIN(CHAR(10), TRUE, IF(tblPiNAnalysis[[#This Row],[2º PiN más alto]]=tblPiNAnalysis[[#This Row],[SAMV]:[ASH]], tblPiNAnalysis[[#Headers],[SAMV]:[ASH]], "")))</f>
        <v>SAL</v>
      </c>
      <c r="AG86" s="12">
        <f>IFERROR(tblPiNAnalysis[[#This Row],[2º PiN más alto]]/tblPiNAnalysis[[#This Row],[Población]], "")</f>
        <v>0.36499999999999999</v>
      </c>
      <c r="AH86" s="16">
        <f>IFERROR(tblPiNAnalysis[[#This Row],[PiN más alto]]-tblPiNAnalysis[[#This Row],[2º PiN más alto]], "")</f>
        <v>9991.4950000000008</v>
      </c>
      <c r="AI86" s="14">
        <f>IFERROR(((tblPiNAnalysis[[#This Row],[PiN más alto]]-tblPiNAnalysis[[#This Row],[2º PiN más alto]])/tblPiNAnalysis[[#This Row],[2º PiN más alto]]),"")</f>
        <v>0.64383561643835618</v>
      </c>
      <c r="AJ86" s="14" t="str" cm="1">
        <f t="array" ref="AJ8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86" s="98" cm="1">
        <f t="array" ref="AK8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8479.497306235935</v>
      </c>
      <c r="AL86" s="53" t="str" cm="1">
        <f t="array" ref="AL86">IF(tblPiNAnalysis[[#This Row],[3º PiN más alto]]="", "", _xlfn.TEXTJOIN(CHAR(10), TRUE, IF(tblPiNAnalysis[[#This Row],[3º PiN más alto]]=tblPiNAnalysis[[#This Row],[SAMV]:[ASH]], tblPiNAnalysis[[#Headers],[SAMV]:[ASH]], "")))</f>
        <v>PRO</v>
      </c>
      <c r="AM86" s="53">
        <f>IFERROR(tblPiNAnalysis[[#This Row],[3º PiN más alto]]/tblPiNAnalysis[[#This Row],[Población]], "")</f>
        <v>0.19943780855271856</v>
      </c>
      <c r="AN86" s="15">
        <f>IFERROR(tblPiNAnalysis[[#This Row],[PiN más alto]]-tblPiNAnalysis[[#This Row],[3º PiN más alto]],"")</f>
        <v>17030.702693764066</v>
      </c>
      <c r="AO86" s="14">
        <f>IFERROR(tblPiNAnalysis[[#This Row],[Diferencia de PiN entre el más alto y el 3º más alto]]/tblPiNAnalysis[[#This Row],[3º PiN más alto]], "")</f>
        <v>2.0084566429709767</v>
      </c>
      <c r="AP86" s="96" t="str" cm="1">
        <f t="array" ref="AP8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86" s="84" cm="1">
        <f t="array" ref="AQ86">IFERROR(IF(tblPiNAnalysis[[#This Row],[ID]]="", "", INDEX(tblPiNHistorical[[SAMV]:[ASH]], MATCH(tblPiNAnalysis[[#This Row],[ID]],tblPiNHistorical[ID], 0),MATCH(_xlfn._xlws.FILTER(tblPiNAnalysis[[#Headers],[SAMV]:[ASH]], tblPiNAnalysis[[#This Row],[PiN más alto]]=tblPiNAnalysis[[#This Row],[SAMV]:[ASH]]), tblPiNHistorical[[#Headers],[SAMV]:[ASH]], 0))), "")</f>
        <v>-0.4</v>
      </c>
      <c r="AR86" s="99" t="str" cm="1">
        <f t="array" ref="AR8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86" s="74" cm="1">
        <f t="array" ref="AS86">IFERROR(IF(tblPiNAnalysis[[#This Row],[ID]]="", "", INDEX(tblPiNHistorical[[SAMV]:[ASH]], MATCH(tblPiNAnalysis[[#This Row],[ID]],tblPiNHistorical[ID], 0),MATCH(_xlfn._xlws.FILTER(tblPiNAnalysis[[#Headers],[SAMV]:[ASH]], tblPiNAnalysis[[#This Row],[2º PiN más alto]]=tblPiNAnalysis[[#This Row],[SAMV]:[ASH]]), tblPiNHistorical[[#Headers],[SAMV]:[ASH]], 0))), "")</f>
        <v>0.7</v>
      </c>
      <c r="AT86" s="100" t="str" cm="1">
        <f t="array" ref="AT8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86" s="219">
        <f>INDEX(tblSeverityAnalysis[Severidad final], MATCH(tblPiNAnalysis[[#This Row],[ID]],tblSeverityAnalysis[ID], 0))</f>
        <v>3</v>
      </c>
      <c r="AV86" s="220">
        <f>IF(tblPiNAnalysis[[#This Row],[Severidad]]&gt;2,tblPiNAnalysis[[#This Row],[PiN más alto]],)</f>
        <v>25510.2</v>
      </c>
      <c r="AW86" s="54"/>
      <c r="AX86" s="55"/>
      <c r="AY86" s="56">
        <f>COUNTIFS(tblPiNAnalysis[[#This Row],[Número de PiN ausentes/cero superior al umbral - Calidad de los datos]:[Marcador manual]],"Flagged")</f>
        <v>2</v>
      </c>
      <c r="AZ86" s="34" t="str">
        <f>IF(tblPiNAnalysis[[#This Row],[Número de marcadores]]&gt;0, "Flagged", "")</f>
        <v>Flagged</v>
      </c>
      <c r="BA86" s="92">
        <f>tblPiNAnalysis[[#This Row],[PiN preliminar]]</f>
        <v>25510.2</v>
      </c>
      <c r="BB86" s="97"/>
      <c r="BC86" s="70">
        <f>IFERROR(IF(tblPiNAnalysis[[#This Row],[Severidad]]=3,tblPiNAnalysis[[#This Row],[PiN final]]*Umbrales!$D$33,tblPiNAnalysis[[#This Row],[PiN final]]*Umbrales!$D$34),)</f>
        <v>12755.1</v>
      </c>
      <c r="BD86" s="70">
        <f>IFERROR(IF(tblPiNAnalysis[[#This Row],[Severidad]]&gt;3,tblPiNAnalysis[[#This Row],[PiN final]]*Umbrales!$D$34,),)</f>
        <v>0</v>
      </c>
    </row>
    <row r="87" spans="1:56">
      <c r="A87" s="101" t="str">
        <f>IFERROR(_xlfn.CONCAT(IF(tblPiNAnalysis[[#This Row],[Grupo]]="", "",tblPiNAnalysis[[#This Row],[Grupo]] ),  _xlfn.IFS(tblPiNAnalysis[[#This Row],[Admin2PCODE]]&lt;&gt;"", tblPiNAnalysis[[#This Row],[Admin2PCODE]], tblPiNAnalysis[[#This Row],[Admin1PCODE]]&lt;&gt;"", tblPiNAnalysis[[#This Row],[Admin1PCODE]])),"")</f>
        <v>VenezolanosVE1106</v>
      </c>
      <c r="B87" s="105" t="s">
        <v>316</v>
      </c>
      <c r="C87" s="104" t="s">
        <v>317</v>
      </c>
      <c r="D87" s="119" t="s">
        <v>327</v>
      </c>
      <c r="E87" s="104" t="s">
        <v>328</v>
      </c>
      <c r="F87" s="358"/>
      <c r="G87" s="357">
        <v>42442</v>
      </c>
      <c r="H87" s="103" t="s">
        <v>102</v>
      </c>
      <c r="I87" s="60">
        <v>3979</v>
      </c>
      <c r="J87" s="134">
        <v>2741.6181750233609</v>
      </c>
      <c r="K87" s="57">
        <v>15491.33</v>
      </c>
      <c r="L87" s="87">
        <v>4309.9988029649658</v>
      </c>
      <c r="M87" s="87">
        <v>10157.447364713376</v>
      </c>
      <c r="N87" s="57">
        <v>25465.200000000001</v>
      </c>
      <c r="O87" s="57">
        <v>3250.3831567082807</v>
      </c>
      <c r="P87" s="57">
        <v>3555.1065776496816</v>
      </c>
      <c r="Q87" s="88">
        <f>IFERROR(IF(tblPiNAnalysis[[#This Row],[SAMV]]="", "", MROUND(tblPiNAnalysis[[#This Row],[SAMV]]/tblPiNAnalysis[[#This Row],[Población]], 0.05)), "")</f>
        <v>0.1</v>
      </c>
      <c r="R87" s="89">
        <f>IFERROR(IF(tblPiNAnalysis[[#This Row],[NUT]]="", "", MROUND(tblPiNAnalysis[[#This Row],[NUT]]/tblPiNAnalysis[[#This Row],[Población]], 0.05)), "")</f>
        <v>0.05</v>
      </c>
      <c r="S87" s="89">
        <f>IFERROR(IF(tblPiNAnalysis[[#This Row],[SAL]]="", "", MROUND(tblPiNAnalysis[[#This Row],[SAL]]/tblPiNAnalysis[[#This Row],[Población]], 0.05)), "")</f>
        <v>0.35000000000000003</v>
      </c>
      <c r="T87" s="89">
        <f>IFERROR(IF(tblPiNAnalysis[[#This Row],[EDU]]="", "", MROUND(tblPiNAnalysis[[#This Row],[EDU]]/tblPiNAnalysis[[#This Row],[Población]], 0.05)), "")</f>
        <v>0.1</v>
      </c>
      <c r="U87" s="89">
        <f>IFERROR(IF(tblPiNAnalysis[[#This Row],[PRO]]="", "", MROUND(tblPiNAnalysis[[#This Row],[PRO]]/tblPiNAnalysis[[#This Row],[Población]], 0.05)), "")</f>
        <v>0.25</v>
      </c>
      <c r="V87" s="90">
        <f>IFERROR(IF(tblPiNAnalysis[[#This Row],[ASH]]="", "", MROUND(tblPiNAnalysis[[#This Row],[ASH]]/tblPiNAnalysis[[#This Row],[Población]], 0.05)), "")</f>
        <v>0.60000000000000009</v>
      </c>
      <c r="W87" s="89">
        <f>IFERROR(MROUND(tblPiNAnalysis[[#This Row],[NNA]]/tblPiNAnalysis[[#This Row],[Población]], 0.05), "")</f>
        <v>0.1</v>
      </c>
      <c r="X87" s="89">
        <f>IFERROR(MROUND(tblPiNAnalysis[[#This Row],[VBG]]/tblPiNAnalysis[[#This Row],[Población]], 0.05), "")</f>
        <v>0.1</v>
      </c>
      <c r="Y87" s="91">
        <f>IFERROR(LARGE(tblPiNAnalysis[[#This Row],[SAMV]:[ASH]], 1), "")</f>
        <v>25465.200000000001</v>
      </c>
      <c r="Z87" s="92" t="str" cm="1">
        <f t="array" ref="Z87">IF(tblPiNAnalysis[[#This Row],[PiN más alto]]="", "", _xlfn.TEXTJOIN(CHAR(10), TRUE, IF(tblPiNAnalysis[[#This Row],[PiN más alto]]=tblPiNAnalysis[[#This Row],[SAMV]:[ASH]], tblPiNAnalysis[[#Headers],[SAMV]:[ASH]], "")))</f>
        <v>ASH</v>
      </c>
      <c r="AA87" s="93">
        <f>IF(tblPiNAnalysis[[#This Row],[PiN más alto]]="", "", tblPiNAnalysis[[#This Row],[PiN más alto]]/tblPiNAnalysis[[#This Row],[Población]])</f>
        <v>0.6</v>
      </c>
      <c r="AB87" s="94" t="str">
        <f>IF(SUM(tblPiNAnalysis[[#This Row],[SAMV]:[ASH]])=0, "",IF(COUNTIF(tblPiNAnalysis[[#This Row],[SAMV]:[ASH]],"=0")+COUNTIF(tblPiNAnalysis[[#This Row],[SAMV]:[ASH]],"")&gt;=zero_pin_thresh, "Flagged", ""))</f>
        <v/>
      </c>
      <c r="AC87" s="95" t="str">
        <f>IFERROR(IF(tblPiNAnalysis[[#This Row],[PiN más alto]]="", "", IF(tblPiNAnalysis[[#This Row],[% PiN Sectores más altos]]&gt;=flag_pin_perc, "Flagged", "")), "")</f>
        <v/>
      </c>
      <c r="AD87" s="96" t="str" cm="1">
        <f t="array" ref="AD87">IF(tblPiNAnalysis[[#This Row],[PiN más alto]]=0, "",  IF(OR(COUNTIF(tblPiNAnalysis[[#This Row],[Sectores más altos]],tblSubSectorPopulation[Sector])), "Flagged", ""))</f>
        <v/>
      </c>
      <c r="AE87" s="16" cm="1">
        <f t="array" ref="AE8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15491.33</v>
      </c>
      <c r="AF87" s="97" t="str" cm="1">
        <f t="array" ref="AF87">IF(tblPiNAnalysis[[#This Row],[2º PiN más alto]]="", "", _xlfn.TEXTJOIN(CHAR(10), TRUE, IF(tblPiNAnalysis[[#This Row],[2º PiN más alto]]=tblPiNAnalysis[[#This Row],[SAMV]:[ASH]], tblPiNAnalysis[[#Headers],[SAMV]:[ASH]], "")))</f>
        <v>SAL</v>
      </c>
      <c r="AG87" s="12">
        <f>IFERROR(tblPiNAnalysis[[#This Row],[2º PiN más alto]]/tblPiNAnalysis[[#This Row],[Población]], "")</f>
        <v>0.36499999999999999</v>
      </c>
      <c r="AH87" s="16">
        <f>IFERROR(tblPiNAnalysis[[#This Row],[PiN más alto]]-tblPiNAnalysis[[#This Row],[2º PiN más alto]], "")</f>
        <v>9973.8700000000008</v>
      </c>
      <c r="AI87" s="14">
        <f>IFERROR(((tblPiNAnalysis[[#This Row],[PiN más alto]]-tblPiNAnalysis[[#This Row],[2º PiN más alto]])/tblPiNAnalysis[[#This Row],[2º PiN más alto]]),"")</f>
        <v>0.64383561643835618</v>
      </c>
      <c r="AJ87" s="14" t="str" cm="1">
        <f t="array" ref="AJ8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87" s="98" cm="1">
        <f t="array" ref="AK8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10157.447364713376</v>
      </c>
      <c r="AL87" s="53" t="str" cm="1">
        <f t="array" ref="AL87">IF(tblPiNAnalysis[[#This Row],[3º PiN más alto]]="", "", _xlfn.TEXTJOIN(CHAR(10), TRUE, IF(tblPiNAnalysis[[#This Row],[3º PiN más alto]]=tblPiNAnalysis[[#This Row],[SAMV]:[ASH]], tblPiNAnalysis[[#Headers],[SAMV]:[ASH]], "")))</f>
        <v>PRO</v>
      </c>
      <c r="AM87" s="53">
        <f>IFERROR(tblPiNAnalysis[[#This Row],[3º PiN más alto]]/tblPiNAnalysis[[#This Row],[Población]], "")</f>
        <v>0.23932537026326225</v>
      </c>
      <c r="AN87" s="15">
        <f>IFERROR(tblPiNAnalysis[[#This Row],[PiN más alto]]-tblPiNAnalysis[[#This Row],[3º PiN más alto]],"")</f>
        <v>15307.752635286624</v>
      </c>
      <c r="AO87" s="14">
        <f>IFERROR(tblPiNAnalysis[[#This Row],[Diferencia de PiN entre el más alto y el 3º más alto]]/tblPiNAnalysis[[#This Row],[3º PiN más alto]], "")</f>
        <v>1.5070472024758141</v>
      </c>
      <c r="AP87" s="96" t="str" cm="1">
        <f t="array" ref="AP8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87" s="84" cm="1">
        <f t="array" ref="AQ87">IFERROR(IF(tblPiNAnalysis[[#This Row],[ID]]="", "", INDEX(tblPiNHistorical[[SAMV]:[ASH]], MATCH(tblPiNAnalysis[[#This Row],[ID]],tblPiNHistorical[ID], 0),MATCH(_xlfn._xlws.FILTER(tblPiNAnalysis[[#Headers],[SAMV]:[ASH]], tblPiNAnalysis[[#This Row],[PiN más alto]]=tblPiNAnalysis[[#This Row],[SAMV]:[ASH]]), tblPiNHistorical[[#Headers],[SAMV]:[ASH]], 0))), "")</f>
        <v>-0.7</v>
      </c>
      <c r="AR87" s="99" t="str" cm="1">
        <f t="array" ref="AR8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87" s="74" cm="1">
        <f t="array" ref="AS87">IFERROR(IF(tblPiNAnalysis[[#This Row],[ID]]="", "", INDEX(tblPiNHistorical[[SAMV]:[ASH]], MATCH(tblPiNAnalysis[[#This Row],[ID]],tblPiNHistorical[ID], 0),MATCH(_xlfn._xlws.FILTER(tblPiNAnalysis[[#Headers],[SAMV]:[ASH]], tblPiNAnalysis[[#This Row],[2º PiN más alto]]=tblPiNAnalysis[[#This Row],[SAMV]:[ASH]]), tblPiNHistorical[[#Headers],[SAMV]:[ASH]], 0))), "")</f>
        <v>0.7</v>
      </c>
      <c r="AT87" s="100" t="str" cm="1">
        <f t="array" ref="AT8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87" s="219">
        <f>INDEX(tblSeverityAnalysis[Severidad final], MATCH(tblPiNAnalysis[[#This Row],[ID]],tblSeverityAnalysis[ID], 0))</f>
        <v>3</v>
      </c>
      <c r="AV87" s="220">
        <f>IF(tblPiNAnalysis[[#This Row],[Severidad]]&gt;2,tblPiNAnalysis[[#This Row],[PiN más alto]],)</f>
        <v>25465.200000000001</v>
      </c>
      <c r="AW87" s="54"/>
      <c r="AX87" s="55"/>
      <c r="AY87" s="56">
        <f>COUNTIFS(tblPiNAnalysis[[#This Row],[Número de PiN ausentes/cero superior al umbral - Calidad de los datos]:[Marcador manual]],"Flagged")</f>
        <v>2</v>
      </c>
      <c r="AZ87" s="34" t="str">
        <f>IF(tblPiNAnalysis[[#This Row],[Número de marcadores]]&gt;0, "Flagged", "")</f>
        <v>Flagged</v>
      </c>
      <c r="BA87" s="92">
        <f>tblPiNAnalysis[[#This Row],[PiN preliminar]]</f>
        <v>25465.200000000001</v>
      </c>
      <c r="BB87" s="97"/>
      <c r="BC87" s="70">
        <f>IFERROR(IF(tblPiNAnalysis[[#This Row],[Severidad]]=3,tblPiNAnalysis[[#This Row],[PiN final]]*Umbrales!$D$33,tblPiNAnalysis[[#This Row],[PiN final]]*Umbrales!$D$34),)</f>
        <v>12732.6</v>
      </c>
      <c r="BD87" s="70">
        <f>IFERROR(IF(tblPiNAnalysis[[#This Row],[Severidad]]&gt;3,tblPiNAnalysis[[#This Row],[PiN final]]*Umbrales!$D$34,),)</f>
        <v>0</v>
      </c>
    </row>
    <row r="88" spans="1:56">
      <c r="A88" s="101" t="str">
        <f>IFERROR(_xlfn.CONCAT(IF(tblPiNAnalysis[[#This Row],[Grupo]]="", "",tblPiNAnalysis[[#This Row],[Grupo]] ),  _xlfn.IFS(tblPiNAnalysis[[#This Row],[Admin2PCODE]]&lt;&gt;"", tblPiNAnalysis[[#This Row],[Admin2PCODE]], tblPiNAnalysis[[#This Row],[Admin1PCODE]]&lt;&gt;"", tblPiNAnalysis[[#This Row],[Admin1PCODE]])),"")</f>
        <v>VenezolanosVE1309</v>
      </c>
      <c r="B88" s="105" t="s">
        <v>393</v>
      </c>
      <c r="C88" s="104" t="s">
        <v>394</v>
      </c>
      <c r="D88" s="119" t="s">
        <v>207</v>
      </c>
      <c r="E88" s="104" t="s">
        <v>410</v>
      </c>
      <c r="F88" s="358"/>
      <c r="G88" s="357">
        <v>62764</v>
      </c>
      <c r="H88" s="103" t="s">
        <v>102</v>
      </c>
      <c r="I88" s="60">
        <v>7113</v>
      </c>
      <c r="J88" s="134">
        <v>2625.1246631407112</v>
      </c>
      <c r="K88" s="57">
        <v>24500</v>
      </c>
      <c r="L88" s="87">
        <v>3212.5750178089393</v>
      </c>
      <c r="M88" s="87">
        <v>7478.9383706577783</v>
      </c>
      <c r="N88" s="57">
        <v>8473.14</v>
      </c>
      <c r="O88" s="57">
        <v>2393.260278610489</v>
      </c>
      <c r="P88" s="57">
        <v>2617.6284297302227</v>
      </c>
      <c r="Q88" s="88">
        <f>IFERROR(IF(tblPiNAnalysis[[#This Row],[SAMV]]="", "", MROUND(tblPiNAnalysis[[#This Row],[SAMV]]/tblPiNAnalysis[[#This Row],[Población]], 0.05)), "")</f>
        <v>0.1</v>
      </c>
      <c r="R88" s="89">
        <f>IFERROR(IF(tblPiNAnalysis[[#This Row],[NUT]]="", "", MROUND(tblPiNAnalysis[[#This Row],[NUT]]/tblPiNAnalysis[[#This Row],[Población]], 0.05)), "")</f>
        <v>0.05</v>
      </c>
      <c r="S88" s="89">
        <f>IFERROR(IF(tblPiNAnalysis[[#This Row],[SAL]]="", "", MROUND(tblPiNAnalysis[[#This Row],[SAL]]/tblPiNAnalysis[[#This Row],[Población]], 0.05)), "")</f>
        <v>0.4</v>
      </c>
      <c r="T88" s="89">
        <f>IFERROR(IF(tblPiNAnalysis[[#This Row],[EDU]]="", "", MROUND(tblPiNAnalysis[[#This Row],[EDU]]/tblPiNAnalysis[[#This Row],[Población]], 0.05)), "")</f>
        <v>0.05</v>
      </c>
      <c r="U88" s="89">
        <f>IFERROR(IF(tblPiNAnalysis[[#This Row],[PRO]]="", "", MROUND(tblPiNAnalysis[[#This Row],[PRO]]/tblPiNAnalysis[[#This Row],[Población]], 0.05)), "")</f>
        <v>0.1</v>
      </c>
      <c r="V88" s="90">
        <f>IFERROR(IF(tblPiNAnalysis[[#This Row],[ASH]]="", "", MROUND(tblPiNAnalysis[[#This Row],[ASH]]/tblPiNAnalysis[[#This Row],[Población]], 0.05)), "")</f>
        <v>0.15000000000000002</v>
      </c>
      <c r="W88" s="89">
        <f>IFERROR(MROUND(tblPiNAnalysis[[#This Row],[NNA]]/tblPiNAnalysis[[#This Row],[Población]], 0.05), "")</f>
        <v>0.05</v>
      </c>
      <c r="X88" s="89">
        <f>IFERROR(MROUND(tblPiNAnalysis[[#This Row],[VBG]]/tblPiNAnalysis[[#This Row],[Población]], 0.05), "")</f>
        <v>0.05</v>
      </c>
      <c r="Y88" s="91">
        <f>IFERROR(LARGE(tblPiNAnalysis[[#This Row],[SAMV]:[ASH]], 1), "")</f>
        <v>24500</v>
      </c>
      <c r="Z88" s="92" t="str" cm="1">
        <f t="array" ref="Z88">IF(tblPiNAnalysis[[#This Row],[PiN más alto]]="", "", _xlfn.TEXTJOIN(CHAR(10), TRUE, IF(tblPiNAnalysis[[#This Row],[PiN más alto]]=tblPiNAnalysis[[#This Row],[SAMV]:[ASH]], tblPiNAnalysis[[#Headers],[SAMV]:[ASH]], "")))</f>
        <v>SAL</v>
      </c>
      <c r="AA88" s="93">
        <f>IF(tblPiNAnalysis[[#This Row],[PiN más alto]]="", "", tblPiNAnalysis[[#This Row],[PiN más alto]]/tblPiNAnalysis[[#This Row],[Población]])</f>
        <v>0.39035115671403992</v>
      </c>
      <c r="AB88" s="94" t="str">
        <f>IF(SUM(tblPiNAnalysis[[#This Row],[SAMV]:[ASH]])=0, "",IF(COUNTIF(tblPiNAnalysis[[#This Row],[SAMV]:[ASH]],"=0")+COUNTIF(tblPiNAnalysis[[#This Row],[SAMV]:[ASH]],"")&gt;=zero_pin_thresh, "Flagged", ""))</f>
        <v/>
      </c>
      <c r="AC88" s="95" t="str">
        <f>IFERROR(IF(tblPiNAnalysis[[#This Row],[PiN más alto]]="", "", IF(tblPiNAnalysis[[#This Row],[% PiN Sectores más altos]]&gt;=flag_pin_perc, "Flagged", "")), "")</f>
        <v/>
      </c>
      <c r="AD88" s="96" t="str" cm="1">
        <f t="array" ref="AD88">IF(tblPiNAnalysis[[#This Row],[PiN más alto]]=0, "",  IF(OR(COUNTIF(tblPiNAnalysis[[#This Row],[Sectores más altos]],tblSubSectorPopulation[Sector])), "Flagged", ""))</f>
        <v/>
      </c>
      <c r="AE88" s="16" cm="1">
        <f t="array" ref="AE8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8473.14</v>
      </c>
      <c r="AF88" s="97" t="str" cm="1">
        <f t="array" ref="AF88">IF(tblPiNAnalysis[[#This Row],[2º PiN más alto]]="", "", _xlfn.TEXTJOIN(CHAR(10), TRUE, IF(tblPiNAnalysis[[#This Row],[2º PiN más alto]]=tblPiNAnalysis[[#This Row],[SAMV]:[ASH]], tblPiNAnalysis[[#Headers],[SAMV]:[ASH]], "")))</f>
        <v>ASH</v>
      </c>
      <c r="AG88" s="12">
        <f>IFERROR(tblPiNAnalysis[[#This Row],[2º PiN más alto]]/tblPiNAnalysis[[#This Row],[Población]], "")</f>
        <v>0.13499999999999998</v>
      </c>
      <c r="AH88" s="16">
        <f>IFERROR(tblPiNAnalysis[[#This Row],[PiN más alto]]-tblPiNAnalysis[[#This Row],[2º PiN más alto]], "")</f>
        <v>16026.86</v>
      </c>
      <c r="AI88" s="14">
        <f>IFERROR(((tblPiNAnalysis[[#This Row],[PiN más alto]]-tblPiNAnalysis[[#This Row],[2º PiN más alto]])/tblPiNAnalysis[[#This Row],[2º PiN más alto]]),"")</f>
        <v>1.8914900497336291</v>
      </c>
      <c r="AJ88" s="14" t="str" cm="1">
        <f t="array" ref="AJ8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88" s="98" cm="1">
        <f t="array" ref="AK8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7478.9383706577783</v>
      </c>
      <c r="AL88" s="53" t="str" cm="1">
        <f t="array" ref="AL88">IF(tblPiNAnalysis[[#This Row],[3º PiN más alto]]="", "", _xlfn.TEXTJOIN(CHAR(10), TRUE, IF(tblPiNAnalysis[[#This Row],[3º PiN más alto]]=tblPiNAnalysis[[#This Row],[SAMV]:[ASH]], tblPiNAnalysis[[#Headers],[SAMV]:[ASH]], "")))</f>
        <v>PRO</v>
      </c>
      <c r="AM88" s="53">
        <f>IFERROR(tblPiNAnalysis[[#This Row],[3º PiN más alto]]/tblPiNAnalysis[[#This Row],[Población]], "")</f>
        <v>0.11915968342772573</v>
      </c>
      <c r="AN88" s="15">
        <f>IFERROR(tblPiNAnalysis[[#This Row],[PiN más alto]]-tblPiNAnalysis[[#This Row],[3º PiN más alto]],"")</f>
        <v>17021.061629342221</v>
      </c>
      <c r="AO88" s="14">
        <f>IFERROR(tblPiNAnalysis[[#This Row],[Diferencia de PiN entre el más alto y el 3º más alto]]/tblPiNAnalysis[[#This Row],[3º PiN más alto]], "")</f>
        <v>2.2758660100905748</v>
      </c>
      <c r="AP88" s="96" t="str" cm="1">
        <f t="array" ref="AP8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88" s="84" cm="1">
        <f t="array" ref="AQ88">IFERROR(IF(tblPiNAnalysis[[#This Row],[ID]]="", "", INDEX(tblPiNHistorical[[SAMV]:[ASH]], MATCH(tblPiNAnalysis[[#This Row],[ID]],tblPiNHistorical[ID], 0),MATCH(_xlfn._xlws.FILTER(tblPiNAnalysis[[#Headers],[SAMV]:[ASH]], tblPiNAnalysis[[#This Row],[PiN más alto]]=tblPiNAnalysis[[#This Row],[SAMV]:[ASH]]), tblPiNHistorical[[#Headers],[SAMV]:[ASH]], 0))), "")</f>
        <v>-0.2</v>
      </c>
      <c r="AR88" s="99" t="str" cm="1">
        <f t="array" ref="AR8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88" s="74" cm="1">
        <f t="array" ref="AS88">IFERROR(IF(tblPiNAnalysis[[#This Row],[ID]]="", "", INDEX(tblPiNHistorical[[SAMV]:[ASH]], MATCH(tblPiNAnalysis[[#This Row],[ID]],tblPiNHistorical[ID], 0),MATCH(_xlfn._xlws.FILTER(tblPiNAnalysis[[#Headers],[SAMV]:[ASH]], tblPiNAnalysis[[#This Row],[2º PiN más alto]]=tblPiNAnalysis[[#This Row],[SAMV]:[ASH]]), tblPiNHistorical[[#Headers],[SAMV]:[ASH]], 0))), "")</f>
        <v>-0.8</v>
      </c>
      <c r="AT88" s="100" t="str" cm="1">
        <f t="array" ref="AT8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88" s="219">
        <f>INDEX(tblSeverityAnalysis[Severidad final], MATCH(tblPiNAnalysis[[#This Row],[ID]],tblSeverityAnalysis[ID], 0))</f>
        <v>3</v>
      </c>
      <c r="AV88" s="220">
        <f>IF(tblPiNAnalysis[[#This Row],[Severidad]]&gt;2,tblPiNAnalysis[[#This Row],[PiN más alto]],)</f>
        <v>24500</v>
      </c>
      <c r="AW88" s="54"/>
      <c r="AX88" s="55"/>
      <c r="AY88" s="56">
        <f>COUNTIFS(tblPiNAnalysis[[#This Row],[Número de PiN ausentes/cero superior al umbral - Calidad de los datos]:[Marcador manual]],"Flagged")</f>
        <v>2</v>
      </c>
      <c r="AZ88" s="34" t="str">
        <f>IF(tblPiNAnalysis[[#This Row],[Número de marcadores]]&gt;0, "Flagged", "")</f>
        <v>Flagged</v>
      </c>
      <c r="BA88" s="92">
        <f>tblPiNAnalysis[[#This Row],[PiN preliminar]]</f>
        <v>24500</v>
      </c>
      <c r="BB88" s="97"/>
      <c r="BC88" s="70">
        <f>IFERROR(IF(tblPiNAnalysis[[#This Row],[Severidad]]=3,tblPiNAnalysis[[#This Row],[PiN final]]*Umbrales!$D$33,tblPiNAnalysis[[#This Row],[PiN final]]*Umbrales!$D$34),)</f>
        <v>12250</v>
      </c>
      <c r="BD88" s="70">
        <f>IFERROR(IF(tblPiNAnalysis[[#This Row],[Severidad]]&gt;3,tblPiNAnalysis[[#This Row],[PiN final]]*Umbrales!$D$34,),)</f>
        <v>0</v>
      </c>
    </row>
    <row r="89" spans="1:56">
      <c r="A89" s="101" t="str">
        <f>IFERROR(_xlfn.CONCAT(IF(tblPiNAnalysis[[#This Row],[Grupo]]="", "",tblPiNAnalysis[[#This Row],[Grupo]] ),  _xlfn.IFS(tblPiNAnalysis[[#This Row],[Admin2PCODE]]&lt;&gt;"", tblPiNAnalysis[[#This Row],[Admin2PCODE]], tblPiNAnalysis[[#This Row],[Admin1PCODE]]&lt;&gt;"", tblPiNAnalysis[[#This Row],[Admin1PCODE]])),"")</f>
        <v>VenezolanosVE1915</v>
      </c>
      <c r="B89" s="105" t="s">
        <v>203</v>
      </c>
      <c r="C89" s="104" t="s">
        <v>564</v>
      </c>
      <c r="D89" s="119" t="s">
        <v>587</v>
      </c>
      <c r="E89" s="104" t="s">
        <v>588</v>
      </c>
      <c r="F89" s="358"/>
      <c r="G89" s="357">
        <v>39377</v>
      </c>
      <c r="H89" s="103" t="s">
        <v>102</v>
      </c>
      <c r="I89" s="60">
        <v>11398</v>
      </c>
      <c r="J89" s="134">
        <v>2531.4080645362196</v>
      </c>
      <c r="K89" s="57">
        <v>14372.605</v>
      </c>
      <c r="L89" s="87">
        <v>2065.9507327970409</v>
      </c>
      <c r="M89" s="87">
        <v>7855.226933963655</v>
      </c>
      <c r="N89" s="57">
        <v>23626.2</v>
      </c>
      <c r="O89" s="57">
        <v>2513.6726188683697</v>
      </c>
      <c r="P89" s="57">
        <v>2749.3294268872792</v>
      </c>
      <c r="Q89" s="88">
        <f>IFERROR(IF(tblPiNAnalysis[[#This Row],[SAMV]]="", "", MROUND(tblPiNAnalysis[[#This Row],[SAMV]]/tblPiNAnalysis[[#This Row],[Población]], 0.05)), "")</f>
        <v>0.30000000000000004</v>
      </c>
      <c r="R89" s="89">
        <f>IFERROR(IF(tblPiNAnalysis[[#This Row],[NUT]]="", "", MROUND(tblPiNAnalysis[[#This Row],[NUT]]/tblPiNAnalysis[[#This Row],[Población]], 0.05)), "")</f>
        <v>0.05</v>
      </c>
      <c r="S89" s="89">
        <f>IFERROR(IF(tblPiNAnalysis[[#This Row],[SAL]]="", "", MROUND(tblPiNAnalysis[[#This Row],[SAL]]/tblPiNAnalysis[[#This Row],[Población]], 0.05)), "")</f>
        <v>0.35000000000000003</v>
      </c>
      <c r="T89" s="89">
        <f>IFERROR(IF(tblPiNAnalysis[[#This Row],[EDU]]="", "", MROUND(tblPiNAnalysis[[#This Row],[EDU]]/tblPiNAnalysis[[#This Row],[Población]], 0.05)), "")</f>
        <v>0.05</v>
      </c>
      <c r="U89" s="89">
        <f>IFERROR(IF(tblPiNAnalysis[[#This Row],[PRO]]="", "", MROUND(tblPiNAnalysis[[#This Row],[PRO]]/tblPiNAnalysis[[#This Row],[Población]], 0.05)), "")</f>
        <v>0.2</v>
      </c>
      <c r="V89" s="90">
        <f>IFERROR(IF(tblPiNAnalysis[[#This Row],[ASH]]="", "", MROUND(tblPiNAnalysis[[#This Row],[ASH]]/tblPiNAnalysis[[#This Row],[Población]], 0.05)), "")</f>
        <v>0.60000000000000009</v>
      </c>
      <c r="W89" s="89">
        <f>IFERROR(MROUND(tblPiNAnalysis[[#This Row],[NNA]]/tblPiNAnalysis[[#This Row],[Población]], 0.05), "")</f>
        <v>0.05</v>
      </c>
      <c r="X89" s="89">
        <f>IFERROR(MROUND(tblPiNAnalysis[[#This Row],[VBG]]/tblPiNAnalysis[[#This Row],[Población]], 0.05), "")</f>
        <v>0.05</v>
      </c>
      <c r="Y89" s="91">
        <f>IFERROR(LARGE(tblPiNAnalysis[[#This Row],[SAMV]:[ASH]], 1), "")</f>
        <v>23626.2</v>
      </c>
      <c r="Z89" s="92" t="str" cm="1">
        <f t="array" ref="Z89">IF(tblPiNAnalysis[[#This Row],[PiN más alto]]="", "", _xlfn.TEXTJOIN(CHAR(10), TRUE, IF(tblPiNAnalysis[[#This Row],[PiN más alto]]=tblPiNAnalysis[[#This Row],[SAMV]:[ASH]], tblPiNAnalysis[[#Headers],[SAMV]:[ASH]], "")))</f>
        <v>ASH</v>
      </c>
      <c r="AA89" s="93">
        <f>IF(tblPiNAnalysis[[#This Row],[PiN más alto]]="", "", tblPiNAnalysis[[#This Row],[PiN más alto]]/tblPiNAnalysis[[#This Row],[Población]])</f>
        <v>0.6</v>
      </c>
      <c r="AB89" s="94" t="str">
        <f>IF(SUM(tblPiNAnalysis[[#This Row],[SAMV]:[ASH]])=0, "",IF(COUNTIF(tblPiNAnalysis[[#This Row],[SAMV]:[ASH]],"=0")+COUNTIF(tblPiNAnalysis[[#This Row],[SAMV]:[ASH]],"")&gt;=zero_pin_thresh, "Flagged", ""))</f>
        <v/>
      </c>
      <c r="AC89" s="95" t="str">
        <f>IFERROR(IF(tblPiNAnalysis[[#This Row],[PiN más alto]]="", "", IF(tblPiNAnalysis[[#This Row],[% PiN Sectores más altos]]&gt;=flag_pin_perc, "Flagged", "")), "")</f>
        <v/>
      </c>
      <c r="AD89" s="96" t="str" cm="1">
        <f t="array" ref="AD89">IF(tblPiNAnalysis[[#This Row],[PiN más alto]]=0, "",  IF(OR(COUNTIF(tblPiNAnalysis[[#This Row],[Sectores más altos]],tblSubSectorPopulation[Sector])), "Flagged", ""))</f>
        <v/>
      </c>
      <c r="AE89" s="16" cm="1">
        <f t="array" ref="AE8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14372.605</v>
      </c>
      <c r="AF89" s="97" t="str" cm="1">
        <f t="array" ref="AF89">IF(tblPiNAnalysis[[#This Row],[2º PiN más alto]]="", "", _xlfn.TEXTJOIN(CHAR(10), TRUE, IF(tblPiNAnalysis[[#This Row],[2º PiN más alto]]=tblPiNAnalysis[[#This Row],[SAMV]:[ASH]], tblPiNAnalysis[[#Headers],[SAMV]:[ASH]], "")))</f>
        <v>SAL</v>
      </c>
      <c r="AG89" s="12">
        <f>IFERROR(tblPiNAnalysis[[#This Row],[2º PiN más alto]]/tblPiNAnalysis[[#This Row],[Población]], "")</f>
        <v>0.36499999999999999</v>
      </c>
      <c r="AH89" s="16">
        <f>IFERROR(tblPiNAnalysis[[#This Row],[PiN más alto]]-tblPiNAnalysis[[#This Row],[2º PiN más alto]], "")</f>
        <v>9253.5950000000012</v>
      </c>
      <c r="AI89" s="14">
        <f>IFERROR(((tblPiNAnalysis[[#This Row],[PiN más alto]]-tblPiNAnalysis[[#This Row],[2º PiN más alto]])/tblPiNAnalysis[[#This Row],[2º PiN más alto]]),"")</f>
        <v>0.6438356164383563</v>
      </c>
      <c r="AJ89" s="14" t="str" cm="1">
        <f t="array" ref="AJ8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89" s="98" cm="1">
        <f t="array" ref="AK8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11398</v>
      </c>
      <c r="AL89" s="53" t="str" cm="1">
        <f t="array" ref="AL89">IF(tblPiNAnalysis[[#This Row],[3º PiN más alto]]="", "", _xlfn.TEXTJOIN(CHAR(10), TRUE, IF(tblPiNAnalysis[[#This Row],[3º PiN más alto]]=tblPiNAnalysis[[#This Row],[SAMV]:[ASH]], tblPiNAnalysis[[#Headers],[SAMV]:[ASH]], "")))</f>
        <v>SAMV</v>
      </c>
      <c r="AM89" s="53">
        <f>IFERROR(tblPiNAnalysis[[#This Row],[3º PiN más alto]]/tblPiNAnalysis[[#This Row],[Población]], "")</f>
        <v>0.28945831322853444</v>
      </c>
      <c r="AN89" s="15">
        <f>IFERROR(tblPiNAnalysis[[#This Row],[PiN más alto]]-tblPiNAnalysis[[#This Row],[3º PiN más alto]],"")</f>
        <v>12228.2</v>
      </c>
      <c r="AO89" s="14">
        <f>IFERROR(tblPiNAnalysis[[#This Row],[Diferencia de PiN entre el más alto y el 3º más alto]]/tblPiNAnalysis[[#This Row],[3º PiN más alto]], "")</f>
        <v>1.0728373398841902</v>
      </c>
      <c r="AP89" s="96" t="str" cm="1">
        <f t="array" ref="AP8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89" s="84" t="str" cm="1">
        <f t="array" ref="AQ89">IFERROR(IF(tblPiNAnalysis[[#This Row],[ID]]="", "", INDEX(tblPiNHistorical[[SAMV]:[ASH]], MATCH(tblPiNAnalysis[[#This Row],[ID]],tblPiNHistorical[ID], 0),MATCH(_xlfn._xlws.FILTER(tblPiNAnalysis[[#Headers],[SAMV]:[ASH]], tblPiNAnalysis[[#This Row],[PiN más alto]]=tblPiNAnalysis[[#This Row],[SAMV]:[ASH]]), tblPiNHistorical[[#Headers],[SAMV]:[ASH]], 0))), "")</f>
        <v/>
      </c>
      <c r="AR89" s="99" t="str" cm="1">
        <f t="array" ref="AR8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89" s="74" cm="1">
        <f t="array" ref="AS89">IFERROR(IF(tblPiNAnalysis[[#This Row],[ID]]="", "", INDEX(tblPiNHistorical[[SAMV]:[ASH]], MATCH(tblPiNAnalysis[[#This Row],[ID]],tblPiNHistorical[ID], 0),MATCH(_xlfn._xlws.FILTER(tblPiNAnalysis[[#Headers],[SAMV]:[ASH]], tblPiNAnalysis[[#This Row],[2º PiN más alto]]=tblPiNAnalysis[[#This Row],[SAMV]:[ASH]]), tblPiNHistorical[[#Headers],[SAMV]:[ASH]], 0))), "")</f>
        <v>0.1</v>
      </c>
      <c r="AT89" s="100" t="str" cm="1">
        <f t="array" ref="AT8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89" s="219">
        <f>INDEX(tblSeverityAnalysis[Severidad final], MATCH(tblPiNAnalysis[[#This Row],[ID]],tblSeverityAnalysis[ID], 0))</f>
        <v>4</v>
      </c>
      <c r="AV89" s="220">
        <f>IF(tblPiNAnalysis[[#This Row],[Severidad]]&gt;2,tblPiNAnalysis[[#This Row],[PiN más alto]],)</f>
        <v>23626.2</v>
      </c>
      <c r="AW89" s="54"/>
      <c r="AX89" s="55"/>
      <c r="AY89" s="56">
        <f>COUNTIFS(tblPiNAnalysis[[#This Row],[Número de PiN ausentes/cero superior al umbral - Calidad de los datos]:[Marcador manual]],"Flagged")</f>
        <v>2</v>
      </c>
      <c r="AZ89" s="34" t="str">
        <f>IF(tblPiNAnalysis[[#This Row],[Número de marcadores]]&gt;0, "Flagged", "")</f>
        <v>Flagged</v>
      </c>
      <c r="BA89" s="92">
        <f>tblPiNAnalysis[[#This Row],[PiN preliminar]]</f>
        <v>23626.2</v>
      </c>
      <c r="BB89" s="97"/>
      <c r="BC89" s="70">
        <f>IFERROR(IF(tblPiNAnalysis[[#This Row],[Severidad]]=3,tblPiNAnalysis[[#This Row],[PiN final]]*Umbrales!$D$33,tblPiNAnalysis[[#This Row],[PiN final]]*Umbrales!$D$34),)</f>
        <v>23626.2</v>
      </c>
      <c r="BD89" s="70">
        <f>IFERROR(IF(tblPiNAnalysis[[#This Row],[Severidad]]&gt;3,tblPiNAnalysis[[#This Row],[PiN final]]*Umbrales!$D$34,),)</f>
        <v>23626.2</v>
      </c>
    </row>
    <row r="90" spans="1:56">
      <c r="A90" s="101" t="str">
        <f>IFERROR(_xlfn.CONCAT(IF(tblPiNAnalysis[[#This Row],[Grupo]]="", "",tblPiNAnalysis[[#This Row],[Grupo]] ),  _xlfn.IFS(tblPiNAnalysis[[#This Row],[Admin2PCODE]]&lt;&gt;"", tblPiNAnalysis[[#This Row],[Admin2PCODE]], tblPiNAnalysis[[#This Row],[Admin1PCODE]]&lt;&gt;"", tblPiNAnalysis[[#This Row],[Admin1PCODE]])),"")</f>
        <v>VenezolanosVE1606</v>
      </c>
      <c r="B90" s="105" t="s">
        <v>491</v>
      </c>
      <c r="C90" s="104" t="s">
        <v>492</v>
      </c>
      <c r="D90" s="119" t="s">
        <v>227</v>
      </c>
      <c r="E90" s="104" t="s">
        <v>500</v>
      </c>
      <c r="F90" s="358"/>
      <c r="G90" s="357">
        <v>64175</v>
      </c>
      <c r="H90" s="103" t="s">
        <v>102</v>
      </c>
      <c r="I90" s="60">
        <v>11092</v>
      </c>
      <c r="J90" s="134">
        <v>2362.2506272927922</v>
      </c>
      <c r="K90" s="57">
        <v>23423.875</v>
      </c>
      <c r="L90" s="87">
        <v>4636.9914419492197</v>
      </c>
      <c r="M90" s="87">
        <v>12814.879748186348</v>
      </c>
      <c r="N90" s="57">
        <v>0</v>
      </c>
      <c r="O90" s="57">
        <v>4100.7615194196314</v>
      </c>
      <c r="P90" s="57">
        <v>4485.2079118652209</v>
      </c>
      <c r="Q90" s="88">
        <f>IFERROR(IF(tblPiNAnalysis[[#This Row],[SAMV]]="", "", MROUND(tblPiNAnalysis[[#This Row],[SAMV]]/tblPiNAnalysis[[#This Row],[Población]], 0.05)), "")</f>
        <v>0.15000000000000002</v>
      </c>
      <c r="R90" s="89">
        <f>IFERROR(IF(tblPiNAnalysis[[#This Row],[NUT]]="", "", MROUND(tblPiNAnalysis[[#This Row],[NUT]]/tblPiNAnalysis[[#This Row],[Población]], 0.05)), "")</f>
        <v>0.05</v>
      </c>
      <c r="S90" s="89">
        <f>IFERROR(IF(tblPiNAnalysis[[#This Row],[SAL]]="", "", MROUND(tblPiNAnalysis[[#This Row],[SAL]]/tblPiNAnalysis[[#This Row],[Población]], 0.05)), "")</f>
        <v>0.35000000000000003</v>
      </c>
      <c r="T90" s="89">
        <f>IFERROR(IF(tblPiNAnalysis[[#This Row],[EDU]]="", "", MROUND(tblPiNAnalysis[[#This Row],[EDU]]/tblPiNAnalysis[[#This Row],[Población]], 0.05)), "")</f>
        <v>0.05</v>
      </c>
      <c r="U90" s="89">
        <f>IFERROR(IF(tblPiNAnalysis[[#This Row],[PRO]]="", "", MROUND(tblPiNAnalysis[[#This Row],[PRO]]/tblPiNAnalysis[[#This Row],[Población]], 0.05)), "")</f>
        <v>0.2</v>
      </c>
      <c r="V90" s="90">
        <f>IFERROR(IF(tblPiNAnalysis[[#This Row],[ASH]]="", "", MROUND(tblPiNAnalysis[[#This Row],[ASH]]/tblPiNAnalysis[[#This Row],[Población]], 0.05)), "")</f>
        <v>0</v>
      </c>
      <c r="W90" s="89">
        <f>IFERROR(MROUND(tblPiNAnalysis[[#This Row],[NNA]]/tblPiNAnalysis[[#This Row],[Población]], 0.05), "")</f>
        <v>0.05</v>
      </c>
      <c r="X90" s="89">
        <f>IFERROR(MROUND(tblPiNAnalysis[[#This Row],[VBG]]/tblPiNAnalysis[[#This Row],[Población]], 0.05), "")</f>
        <v>0.05</v>
      </c>
      <c r="Y90" s="91">
        <f>IFERROR(LARGE(tblPiNAnalysis[[#This Row],[SAMV]:[ASH]], 1), "")</f>
        <v>23423.875</v>
      </c>
      <c r="Z90" s="92" t="str" cm="1">
        <f t="array" ref="Z90">IF(tblPiNAnalysis[[#This Row],[PiN más alto]]="", "", _xlfn.TEXTJOIN(CHAR(10), TRUE, IF(tblPiNAnalysis[[#This Row],[PiN más alto]]=tblPiNAnalysis[[#This Row],[SAMV]:[ASH]], tblPiNAnalysis[[#Headers],[SAMV]:[ASH]], "")))</f>
        <v>SAL</v>
      </c>
      <c r="AA90" s="93">
        <f>IF(tblPiNAnalysis[[#This Row],[PiN más alto]]="", "", tblPiNAnalysis[[#This Row],[PiN más alto]]/tblPiNAnalysis[[#This Row],[Población]])</f>
        <v>0.36499999999999999</v>
      </c>
      <c r="AB90" s="94" t="str">
        <f>IF(SUM(tblPiNAnalysis[[#This Row],[SAMV]:[ASH]])=0, "",IF(COUNTIF(tblPiNAnalysis[[#This Row],[SAMV]:[ASH]],"=0")+COUNTIF(tblPiNAnalysis[[#This Row],[SAMV]:[ASH]],"")&gt;=zero_pin_thresh, "Flagged", ""))</f>
        <v/>
      </c>
      <c r="AC90" s="95" t="str">
        <f>IFERROR(IF(tblPiNAnalysis[[#This Row],[PiN más alto]]="", "", IF(tblPiNAnalysis[[#This Row],[% PiN Sectores más altos]]&gt;=flag_pin_perc, "Flagged", "")), "")</f>
        <v/>
      </c>
      <c r="AD90" s="96" t="str" cm="1">
        <f t="array" ref="AD90">IF(tblPiNAnalysis[[#This Row],[PiN más alto]]=0, "",  IF(OR(COUNTIF(tblPiNAnalysis[[#This Row],[Sectores más altos]],tblSubSectorPopulation[Sector])), "Flagged", ""))</f>
        <v/>
      </c>
      <c r="AE90" s="16" cm="1">
        <f t="array" ref="AE9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12814.879748186348</v>
      </c>
      <c r="AF90" s="97" t="str" cm="1">
        <f t="array" ref="AF90">IF(tblPiNAnalysis[[#This Row],[2º PiN más alto]]="", "", _xlfn.TEXTJOIN(CHAR(10), TRUE, IF(tblPiNAnalysis[[#This Row],[2º PiN más alto]]=tblPiNAnalysis[[#This Row],[SAMV]:[ASH]], tblPiNAnalysis[[#Headers],[SAMV]:[ASH]], "")))</f>
        <v>PRO</v>
      </c>
      <c r="AG90" s="12">
        <f>IFERROR(tblPiNAnalysis[[#This Row],[2º PiN más alto]]/tblPiNAnalysis[[#This Row],[Población]], "")</f>
        <v>0.1996864783511702</v>
      </c>
      <c r="AH90" s="16">
        <f>IFERROR(tblPiNAnalysis[[#This Row],[PiN más alto]]-tblPiNAnalysis[[#This Row],[2º PiN más alto]], "")</f>
        <v>10608.995251813652</v>
      </c>
      <c r="AI90" s="14">
        <f>IFERROR(((tblPiNAnalysis[[#This Row],[PiN más alto]]-tblPiNAnalysis[[#This Row],[2º PiN más alto]])/tblPiNAnalysis[[#This Row],[2º PiN más alto]]),"")</f>
        <v>0.82786537683391936</v>
      </c>
      <c r="AJ90" s="14" t="str" cm="1">
        <f t="array" ref="AJ9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90" s="98" cm="1">
        <f t="array" ref="AK9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11092</v>
      </c>
      <c r="AL90" s="53" t="str" cm="1">
        <f t="array" ref="AL90">IF(tblPiNAnalysis[[#This Row],[3º PiN más alto]]="", "", _xlfn.TEXTJOIN(CHAR(10), TRUE, IF(tblPiNAnalysis[[#This Row],[3º PiN más alto]]=tblPiNAnalysis[[#This Row],[SAMV]:[ASH]], tblPiNAnalysis[[#Headers],[SAMV]:[ASH]], "")))</f>
        <v>SAMV</v>
      </c>
      <c r="AM90" s="53">
        <f>IFERROR(tblPiNAnalysis[[#This Row],[3º PiN más alto]]/tblPiNAnalysis[[#This Row],[Población]], "")</f>
        <v>0.17283989092325672</v>
      </c>
      <c r="AN90" s="15">
        <f>IFERROR(tblPiNAnalysis[[#This Row],[PiN más alto]]-tblPiNAnalysis[[#This Row],[3º PiN más alto]],"")</f>
        <v>12331.875</v>
      </c>
      <c r="AO90" s="14">
        <f>IFERROR(tblPiNAnalysis[[#This Row],[Diferencia de PiN entre el más alto y el 3º más alto]]/tblPiNAnalysis[[#This Row],[3º PiN más alto]], "")</f>
        <v>1.1117810133429498</v>
      </c>
      <c r="AP90" s="96" t="str" cm="1">
        <f t="array" ref="AP9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90" s="84" cm="1">
        <f t="array" ref="AQ90">IFERROR(IF(tblPiNAnalysis[[#This Row],[ID]]="", "", INDEX(tblPiNHistorical[[SAMV]:[ASH]], MATCH(tblPiNAnalysis[[#This Row],[ID]],tblPiNHistorical[ID], 0),MATCH(_xlfn._xlws.FILTER(tblPiNAnalysis[[#Headers],[SAMV]:[ASH]], tblPiNAnalysis[[#This Row],[PiN más alto]]=tblPiNAnalysis[[#This Row],[SAMV]:[ASH]]), tblPiNHistorical[[#Headers],[SAMV]:[ASH]], 0))), "")</f>
        <v>-0.5</v>
      </c>
      <c r="AR90" s="99" t="str" cm="1">
        <f t="array" ref="AR9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90" s="74" cm="1">
        <f t="array" ref="AS90">IFERROR(IF(tblPiNAnalysis[[#This Row],[ID]]="", "", INDEX(tblPiNHistorical[[SAMV]:[ASH]], MATCH(tblPiNAnalysis[[#This Row],[ID]],tblPiNHistorical[ID], 0),MATCH(_xlfn._xlws.FILTER(tblPiNAnalysis[[#Headers],[SAMV]:[ASH]], tblPiNAnalysis[[#This Row],[2º PiN más alto]]=tblPiNAnalysis[[#This Row],[SAMV]:[ASH]]), tblPiNHistorical[[#Headers],[SAMV]:[ASH]], 0))), "")</f>
        <v>-0.6</v>
      </c>
      <c r="AT90" s="100" t="str" cm="1">
        <f t="array" ref="AT9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90" s="219">
        <f>INDEX(tblSeverityAnalysis[Severidad final], MATCH(tblPiNAnalysis[[#This Row],[ID]],tblSeverityAnalysis[ID], 0))</f>
        <v>3</v>
      </c>
      <c r="AV90" s="220">
        <f>IF(tblPiNAnalysis[[#This Row],[Severidad]]&gt;2,tblPiNAnalysis[[#This Row],[PiN más alto]],)</f>
        <v>23423.875</v>
      </c>
      <c r="AW90" s="54"/>
      <c r="AX90" s="55"/>
      <c r="AY90" s="56">
        <f>COUNTIFS(tblPiNAnalysis[[#This Row],[Número de PiN ausentes/cero superior al umbral - Calidad de los datos]:[Marcador manual]],"Flagged")</f>
        <v>2</v>
      </c>
      <c r="AZ90" s="34" t="str">
        <f>IF(tblPiNAnalysis[[#This Row],[Número de marcadores]]&gt;0, "Flagged", "")</f>
        <v>Flagged</v>
      </c>
      <c r="BA90" s="92">
        <f>tblPiNAnalysis[[#This Row],[PiN preliminar]]</f>
        <v>23423.875</v>
      </c>
      <c r="BB90" s="97"/>
      <c r="BC90" s="70">
        <f>IFERROR(IF(tblPiNAnalysis[[#This Row],[Severidad]]=3,tblPiNAnalysis[[#This Row],[PiN final]]*Umbrales!$D$33,tblPiNAnalysis[[#This Row],[PiN final]]*Umbrales!$D$34),)</f>
        <v>11711.9375</v>
      </c>
      <c r="BD90" s="70">
        <f>IFERROR(IF(tblPiNAnalysis[[#This Row],[Severidad]]&gt;3,tblPiNAnalysis[[#This Row],[PiN final]]*Umbrales!$D$34,),)</f>
        <v>0</v>
      </c>
    </row>
    <row r="91" spans="1:56">
      <c r="A91" s="101" t="str">
        <f>IFERROR(_xlfn.CONCAT(IF(tblPiNAnalysis[[#This Row],[Grupo]]="", "",tblPiNAnalysis[[#This Row],[Grupo]] ),  _xlfn.IFS(tblPiNAnalysis[[#This Row],[Admin2PCODE]]&lt;&gt;"", tblPiNAnalysis[[#This Row],[Admin2PCODE]], tblPiNAnalysis[[#This Row],[Admin1PCODE]]&lt;&gt;"", tblPiNAnalysis[[#This Row],[Admin1PCODE]])),"")</f>
        <v>VenezolanosVE1507</v>
      </c>
      <c r="B91" s="105" t="s">
        <v>276</v>
      </c>
      <c r="C91" s="104" t="s">
        <v>455</v>
      </c>
      <c r="D91" s="119" t="s">
        <v>467</v>
      </c>
      <c r="E91" s="104" t="s">
        <v>468</v>
      </c>
      <c r="F91" s="358"/>
      <c r="G91" s="357">
        <v>62597</v>
      </c>
      <c r="H91" s="103" t="s">
        <v>102</v>
      </c>
      <c r="I91" s="60">
        <v>5738</v>
      </c>
      <c r="J91" s="134">
        <v>1793.4293125195629</v>
      </c>
      <c r="K91" s="57">
        <v>22847.904999999999</v>
      </c>
      <c r="L91" s="87">
        <v>4359.3628028084731</v>
      </c>
      <c r="M91" s="87">
        <v>12479.21101038803</v>
      </c>
      <c r="N91" s="57">
        <v>0</v>
      </c>
      <c r="O91" s="57">
        <v>3993.3475233241697</v>
      </c>
      <c r="P91" s="57">
        <v>4367.7238536358091</v>
      </c>
      <c r="Q91" s="88">
        <f>IFERROR(IF(tblPiNAnalysis[[#This Row],[SAMV]]="", "", MROUND(tblPiNAnalysis[[#This Row],[SAMV]]/tblPiNAnalysis[[#This Row],[Población]], 0.05)), "")</f>
        <v>0.1</v>
      </c>
      <c r="R91" s="89">
        <f>IFERROR(IF(tblPiNAnalysis[[#This Row],[NUT]]="", "", MROUND(tblPiNAnalysis[[#This Row],[NUT]]/tblPiNAnalysis[[#This Row],[Población]], 0.05)), "")</f>
        <v>0.05</v>
      </c>
      <c r="S91" s="89">
        <f>IFERROR(IF(tblPiNAnalysis[[#This Row],[SAL]]="", "", MROUND(tblPiNAnalysis[[#This Row],[SAL]]/tblPiNAnalysis[[#This Row],[Población]], 0.05)), "")</f>
        <v>0.35000000000000003</v>
      </c>
      <c r="T91" s="89">
        <f>IFERROR(IF(tblPiNAnalysis[[#This Row],[EDU]]="", "", MROUND(tblPiNAnalysis[[#This Row],[EDU]]/tblPiNAnalysis[[#This Row],[Población]], 0.05)), "")</f>
        <v>0.05</v>
      </c>
      <c r="U91" s="89">
        <f>IFERROR(IF(tblPiNAnalysis[[#This Row],[PRO]]="", "", MROUND(tblPiNAnalysis[[#This Row],[PRO]]/tblPiNAnalysis[[#This Row],[Población]], 0.05)), "")</f>
        <v>0.2</v>
      </c>
      <c r="V91" s="90">
        <f>IFERROR(IF(tblPiNAnalysis[[#This Row],[ASH]]="", "", MROUND(tblPiNAnalysis[[#This Row],[ASH]]/tblPiNAnalysis[[#This Row],[Población]], 0.05)), "")</f>
        <v>0</v>
      </c>
      <c r="W91" s="89">
        <f>IFERROR(MROUND(tblPiNAnalysis[[#This Row],[NNA]]/tblPiNAnalysis[[#This Row],[Población]], 0.05), "")</f>
        <v>0.05</v>
      </c>
      <c r="X91" s="89">
        <f>IFERROR(MROUND(tblPiNAnalysis[[#This Row],[VBG]]/tblPiNAnalysis[[#This Row],[Población]], 0.05), "")</f>
        <v>0.05</v>
      </c>
      <c r="Y91" s="91">
        <f>IFERROR(LARGE(tblPiNAnalysis[[#This Row],[SAMV]:[ASH]], 1), "")</f>
        <v>22847.904999999999</v>
      </c>
      <c r="Z91" s="92" t="str" cm="1">
        <f t="array" ref="Z91">IF(tblPiNAnalysis[[#This Row],[PiN más alto]]="", "", _xlfn.TEXTJOIN(CHAR(10), TRUE, IF(tblPiNAnalysis[[#This Row],[PiN más alto]]=tblPiNAnalysis[[#This Row],[SAMV]:[ASH]], tblPiNAnalysis[[#Headers],[SAMV]:[ASH]], "")))</f>
        <v>SAL</v>
      </c>
      <c r="AA91" s="93">
        <f>IF(tblPiNAnalysis[[#This Row],[PiN más alto]]="", "", tblPiNAnalysis[[#This Row],[PiN más alto]]/tblPiNAnalysis[[#This Row],[Población]])</f>
        <v>0.36499999999999999</v>
      </c>
      <c r="AB91" s="94" t="str">
        <f>IF(SUM(tblPiNAnalysis[[#This Row],[SAMV]:[ASH]])=0, "",IF(COUNTIF(tblPiNAnalysis[[#This Row],[SAMV]:[ASH]],"=0")+COUNTIF(tblPiNAnalysis[[#This Row],[SAMV]:[ASH]],"")&gt;=zero_pin_thresh, "Flagged", ""))</f>
        <v/>
      </c>
      <c r="AC91" s="95" t="str">
        <f>IFERROR(IF(tblPiNAnalysis[[#This Row],[PiN más alto]]="", "", IF(tblPiNAnalysis[[#This Row],[% PiN Sectores más altos]]&gt;=flag_pin_perc, "Flagged", "")), "")</f>
        <v/>
      </c>
      <c r="AD91" s="96" t="str" cm="1">
        <f t="array" ref="AD91">IF(tblPiNAnalysis[[#This Row],[PiN más alto]]=0, "",  IF(OR(COUNTIF(tblPiNAnalysis[[#This Row],[Sectores más altos]],tblSubSectorPopulation[Sector])), "Flagged", ""))</f>
        <v/>
      </c>
      <c r="AE91" s="16" cm="1">
        <f t="array" ref="AE9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12479.21101038803</v>
      </c>
      <c r="AF91" s="97" t="str" cm="1">
        <f t="array" ref="AF91">IF(tblPiNAnalysis[[#This Row],[2º PiN más alto]]="", "", _xlfn.TEXTJOIN(CHAR(10), TRUE, IF(tblPiNAnalysis[[#This Row],[2º PiN más alto]]=tblPiNAnalysis[[#This Row],[SAMV]:[ASH]], tblPiNAnalysis[[#Headers],[SAMV]:[ASH]], "")))</f>
        <v>PRO</v>
      </c>
      <c r="AG91" s="12">
        <f>IFERROR(tblPiNAnalysis[[#This Row],[2º PiN más alto]]/tblPiNAnalysis[[#This Row],[Población]], "")</f>
        <v>0.19935797259274454</v>
      </c>
      <c r="AH91" s="16">
        <f>IFERROR(tblPiNAnalysis[[#This Row],[PiN más alto]]-tblPiNAnalysis[[#This Row],[2º PiN más alto]], "")</f>
        <v>10368.693989611969</v>
      </c>
      <c r="AI91" s="14">
        <f>IFERROR(((tblPiNAnalysis[[#This Row],[PiN más alto]]-tblPiNAnalysis[[#This Row],[2º PiN más alto]])/tblPiNAnalysis[[#This Row],[2º PiN más alto]]),"")</f>
        <v>0.83087736724547656</v>
      </c>
      <c r="AJ91" s="14" t="str" cm="1">
        <f t="array" ref="AJ9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91" s="98" cm="1">
        <f t="array" ref="AK9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5738</v>
      </c>
      <c r="AL91" s="53" t="str" cm="1">
        <f t="array" ref="AL91">IF(tblPiNAnalysis[[#This Row],[3º PiN más alto]]="", "", _xlfn.TEXTJOIN(CHAR(10), TRUE, IF(tblPiNAnalysis[[#This Row],[3º PiN más alto]]=tblPiNAnalysis[[#This Row],[SAMV]:[ASH]], tblPiNAnalysis[[#Headers],[SAMV]:[ASH]], "")))</f>
        <v>SAMV</v>
      </c>
      <c r="AM91" s="53">
        <f>IFERROR(tblPiNAnalysis[[#This Row],[3º PiN más alto]]/tblPiNAnalysis[[#This Row],[Población]], "")</f>
        <v>9.1665734779622032E-2</v>
      </c>
      <c r="AN91" s="15">
        <f>IFERROR(tblPiNAnalysis[[#This Row],[PiN más alto]]-tblPiNAnalysis[[#This Row],[3º PiN más alto]],"")</f>
        <v>17109.904999999999</v>
      </c>
      <c r="AO91" s="14">
        <f>IFERROR(tblPiNAnalysis[[#This Row],[Diferencia de PiN entre el más alto y el 3º más alto]]/tblPiNAnalysis[[#This Row],[3º PiN más alto]], "")</f>
        <v>2.9818586615545484</v>
      </c>
      <c r="AP91" s="96" t="str" cm="1">
        <f t="array" ref="AP9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91" s="84" cm="1">
        <f t="array" ref="AQ91">IFERROR(IF(tblPiNAnalysis[[#This Row],[ID]]="", "", INDEX(tblPiNHistorical[[SAMV]:[ASH]], MATCH(tblPiNAnalysis[[#This Row],[ID]],tblPiNHistorical[ID], 0),MATCH(_xlfn._xlws.FILTER(tblPiNAnalysis[[#Headers],[SAMV]:[ASH]], tblPiNAnalysis[[#This Row],[PiN más alto]]=tblPiNAnalysis[[#This Row],[SAMV]:[ASH]]), tblPiNHistorical[[#Headers],[SAMV]:[ASH]], 0))), "")</f>
        <v>-0.4</v>
      </c>
      <c r="AR91" s="99" t="str" cm="1">
        <f t="array" ref="AR9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91" s="74" cm="1">
        <f t="array" ref="AS91">IFERROR(IF(tblPiNAnalysis[[#This Row],[ID]]="", "", INDEX(tblPiNHistorical[[SAMV]:[ASH]], MATCH(tblPiNAnalysis[[#This Row],[ID]],tblPiNHistorical[ID], 0),MATCH(_xlfn._xlws.FILTER(tblPiNAnalysis[[#Headers],[SAMV]:[ASH]], tblPiNAnalysis[[#This Row],[2º PiN más alto]]=tblPiNAnalysis[[#This Row],[SAMV]:[ASH]]), tblPiNHistorical[[#Headers],[SAMV]:[ASH]], 0))), "")</f>
        <v>-0.9</v>
      </c>
      <c r="AT91" s="100" t="str" cm="1">
        <f t="array" ref="AT9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91" s="219">
        <f>INDEX(tblSeverityAnalysis[Severidad final], MATCH(tblPiNAnalysis[[#This Row],[ID]],tblSeverityAnalysis[ID], 0))</f>
        <v>3</v>
      </c>
      <c r="AV91" s="220">
        <f>IF(tblPiNAnalysis[[#This Row],[Severidad]]&gt;2,tblPiNAnalysis[[#This Row],[PiN más alto]],)</f>
        <v>22847.904999999999</v>
      </c>
      <c r="AW91" s="54"/>
      <c r="AX91" s="55"/>
      <c r="AY91" s="56">
        <f>COUNTIFS(tblPiNAnalysis[[#This Row],[Número de PiN ausentes/cero superior al umbral - Calidad de los datos]:[Marcador manual]],"Flagged")</f>
        <v>2</v>
      </c>
      <c r="AZ91" s="34" t="str">
        <f>IF(tblPiNAnalysis[[#This Row],[Número de marcadores]]&gt;0, "Flagged", "")</f>
        <v>Flagged</v>
      </c>
      <c r="BA91" s="92">
        <f>tblPiNAnalysis[[#This Row],[PiN preliminar]]</f>
        <v>22847.904999999999</v>
      </c>
      <c r="BB91" s="97"/>
      <c r="BC91" s="70">
        <f>IFERROR(IF(tblPiNAnalysis[[#This Row],[Severidad]]=3,tblPiNAnalysis[[#This Row],[PiN final]]*Umbrales!$D$33,tblPiNAnalysis[[#This Row],[PiN final]]*Umbrales!$D$34),)</f>
        <v>11423.952499999999</v>
      </c>
      <c r="BD91" s="70">
        <f>IFERROR(IF(tblPiNAnalysis[[#This Row],[Severidad]]&gt;3,tblPiNAnalysis[[#This Row],[PiN final]]*Umbrales!$D$34,),)</f>
        <v>0</v>
      </c>
    </row>
    <row r="92" spans="1:56">
      <c r="A92" s="101" t="str">
        <f>IFERROR(_xlfn.CONCAT(IF(tblPiNAnalysis[[#This Row],[Grupo]]="", "",tblPiNAnalysis[[#This Row],[Grupo]] ),  _xlfn.IFS(tblPiNAnalysis[[#This Row],[Admin2PCODE]]&lt;&gt;"", tblPiNAnalysis[[#This Row],[Admin2PCODE]], tblPiNAnalysis[[#This Row],[Admin1PCODE]]&lt;&gt;"", tblPiNAnalysis[[#This Row],[Admin1PCODE]])),"")</f>
        <v>VenezolanosVE1710</v>
      </c>
      <c r="B92" s="105" t="s">
        <v>513</v>
      </c>
      <c r="C92" s="104" t="s">
        <v>514</v>
      </c>
      <c r="D92" s="119" t="s">
        <v>532</v>
      </c>
      <c r="E92" s="104" t="s">
        <v>533</v>
      </c>
      <c r="F92" s="358"/>
      <c r="G92" s="357">
        <v>37758</v>
      </c>
      <c r="H92" s="103" t="s">
        <v>102</v>
      </c>
      <c r="I92" s="60">
        <v>0</v>
      </c>
      <c r="J92" s="134">
        <v>1103.2166846083849</v>
      </c>
      <c r="K92" s="57">
        <v>13781.67</v>
      </c>
      <c r="L92" s="87">
        <v>2402.4245040400083</v>
      </c>
      <c r="M92" s="87">
        <v>4548.5452693327561</v>
      </c>
      <c r="N92" s="57">
        <v>22654.799999999999</v>
      </c>
      <c r="O92" s="57">
        <v>1455.5344861864819</v>
      </c>
      <c r="P92" s="57">
        <v>1591.9908442664644</v>
      </c>
      <c r="Q92" s="88">
        <f>IFERROR(IF(tblPiNAnalysis[[#This Row],[SAMV]]="", "", MROUND(tblPiNAnalysis[[#This Row],[SAMV]]/tblPiNAnalysis[[#This Row],[Población]], 0.05)), "")</f>
        <v>0</v>
      </c>
      <c r="R92" s="89">
        <f>IFERROR(IF(tblPiNAnalysis[[#This Row],[NUT]]="", "", MROUND(tblPiNAnalysis[[#This Row],[NUT]]/tblPiNAnalysis[[#This Row],[Población]], 0.05)), "")</f>
        <v>0.05</v>
      </c>
      <c r="S92" s="89">
        <f>IFERROR(IF(tblPiNAnalysis[[#This Row],[SAL]]="", "", MROUND(tblPiNAnalysis[[#This Row],[SAL]]/tblPiNAnalysis[[#This Row],[Población]], 0.05)), "")</f>
        <v>0.35000000000000003</v>
      </c>
      <c r="T92" s="89">
        <f>IFERROR(IF(tblPiNAnalysis[[#This Row],[EDU]]="", "", MROUND(tblPiNAnalysis[[#This Row],[EDU]]/tblPiNAnalysis[[#This Row],[Población]], 0.05)), "")</f>
        <v>0.05</v>
      </c>
      <c r="U92" s="89">
        <f>IFERROR(IF(tblPiNAnalysis[[#This Row],[PRO]]="", "", MROUND(tblPiNAnalysis[[#This Row],[PRO]]/tblPiNAnalysis[[#This Row],[Población]], 0.05)), "")</f>
        <v>0.1</v>
      </c>
      <c r="V92" s="90">
        <f>IFERROR(IF(tblPiNAnalysis[[#This Row],[ASH]]="", "", MROUND(tblPiNAnalysis[[#This Row],[ASH]]/tblPiNAnalysis[[#This Row],[Población]], 0.05)), "")</f>
        <v>0.60000000000000009</v>
      </c>
      <c r="W92" s="89">
        <f>IFERROR(MROUND(tblPiNAnalysis[[#This Row],[NNA]]/tblPiNAnalysis[[#This Row],[Población]], 0.05), "")</f>
        <v>0.05</v>
      </c>
      <c r="X92" s="89">
        <f>IFERROR(MROUND(tblPiNAnalysis[[#This Row],[VBG]]/tblPiNAnalysis[[#This Row],[Población]], 0.05), "")</f>
        <v>0.05</v>
      </c>
      <c r="Y92" s="91">
        <f>IFERROR(LARGE(tblPiNAnalysis[[#This Row],[SAMV]:[ASH]], 1), "")</f>
        <v>22654.799999999999</v>
      </c>
      <c r="Z92" s="92" t="str" cm="1">
        <f t="array" ref="Z92">IF(tblPiNAnalysis[[#This Row],[PiN más alto]]="", "", _xlfn.TEXTJOIN(CHAR(10), TRUE, IF(tblPiNAnalysis[[#This Row],[PiN más alto]]=tblPiNAnalysis[[#This Row],[SAMV]:[ASH]], tblPiNAnalysis[[#Headers],[SAMV]:[ASH]], "")))</f>
        <v>ASH</v>
      </c>
      <c r="AA92" s="93">
        <f>IF(tblPiNAnalysis[[#This Row],[PiN más alto]]="", "", tblPiNAnalysis[[#This Row],[PiN más alto]]/tblPiNAnalysis[[#This Row],[Población]])</f>
        <v>0.6</v>
      </c>
      <c r="AB92" s="94" t="str">
        <f>IF(SUM(tblPiNAnalysis[[#This Row],[SAMV]:[ASH]])=0, "",IF(COUNTIF(tblPiNAnalysis[[#This Row],[SAMV]:[ASH]],"=0")+COUNTIF(tblPiNAnalysis[[#This Row],[SAMV]:[ASH]],"")&gt;=zero_pin_thresh, "Flagged", ""))</f>
        <v/>
      </c>
      <c r="AC92" s="95" t="str">
        <f>IFERROR(IF(tblPiNAnalysis[[#This Row],[PiN más alto]]="", "", IF(tblPiNAnalysis[[#This Row],[% PiN Sectores más altos]]&gt;=flag_pin_perc, "Flagged", "")), "")</f>
        <v/>
      </c>
      <c r="AD92" s="96" t="str" cm="1">
        <f t="array" ref="AD92">IF(tblPiNAnalysis[[#This Row],[PiN más alto]]=0, "",  IF(OR(COUNTIF(tblPiNAnalysis[[#This Row],[Sectores más altos]],tblSubSectorPopulation[Sector])), "Flagged", ""))</f>
        <v/>
      </c>
      <c r="AE92" s="16" cm="1">
        <f t="array" ref="AE9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13781.67</v>
      </c>
      <c r="AF92" s="97" t="str" cm="1">
        <f t="array" ref="AF92">IF(tblPiNAnalysis[[#This Row],[2º PiN más alto]]="", "", _xlfn.TEXTJOIN(CHAR(10), TRUE, IF(tblPiNAnalysis[[#This Row],[2º PiN más alto]]=tblPiNAnalysis[[#This Row],[SAMV]:[ASH]], tblPiNAnalysis[[#Headers],[SAMV]:[ASH]], "")))</f>
        <v>SAL</v>
      </c>
      <c r="AG92" s="12">
        <f>IFERROR(tblPiNAnalysis[[#This Row],[2º PiN más alto]]/tblPiNAnalysis[[#This Row],[Población]], "")</f>
        <v>0.36499999999999999</v>
      </c>
      <c r="AH92" s="16">
        <f>IFERROR(tblPiNAnalysis[[#This Row],[PiN más alto]]-tblPiNAnalysis[[#This Row],[2º PiN más alto]], "")</f>
        <v>8873.1299999999992</v>
      </c>
      <c r="AI92" s="14">
        <f>IFERROR(((tblPiNAnalysis[[#This Row],[PiN más alto]]-tblPiNAnalysis[[#This Row],[2º PiN más alto]])/tblPiNAnalysis[[#This Row],[2º PiN más alto]]),"")</f>
        <v>0.64383561643835607</v>
      </c>
      <c r="AJ92" s="14" t="str" cm="1">
        <f t="array" ref="AJ9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92" s="98" cm="1">
        <f t="array" ref="AK9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4548.5452693327561</v>
      </c>
      <c r="AL92" s="53" t="str" cm="1">
        <f t="array" ref="AL92">IF(tblPiNAnalysis[[#This Row],[3º PiN más alto]]="", "", _xlfn.TEXTJOIN(CHAR(10), TRUE, IF(tblPiNAnalysis[[#This Row],[3º PiN más alto]]=tblPiNAnalysis[[#This Row],[SAMV]:[ASH]], tblPiNAnalysis[[#Headers],[SAMV]:[ASH]], "")))</f>
        <v>PRO</v>
      </c>
      <c r="AM92" s="53">
        <f>IFERROR(tblPiNAnalysis[[#This Row],[3º PiN más alto]]/tblPiNAnalysis[[#This Row],[Población]], "")</f>
        <v>0.1204657362501392</v>
      </c>
      <c r="AN92" s="15">
        <f>IFERROR(tblPiNAnalysis[[#This Row],[PiN más alto]]-tblPiNAnalysis[[#This Row],[3º PiN más alto]],"")</f>
        <v>18106.254730667242</v>
      </c>
      <c r="AO92" s="14">
        <f>IFERROR(tblPiNAnalysis[[#This Row],[Diferencia de PiN entre el más alto y el 3º más alto]]/tblPiNAnalysis[[#This Row],[3º PiN más alto]], "")</f>
        <v>3.9806693477898087</v>
      </c>
      <c r="AP92" s="96" t="str" cm="1">
        <f t="array" ref="AP9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92" s="84" t="str" cm="1">
        <f t="array" ref="AQ92">IFERROR(IF(tblPiNAnalysis[[#This Row],[ID]]="", "", INDEX(tblPiNHistorical[[SAMV]:[ASH]], MATCH(tblPiNAnalysis[[#This Row],[ID]],tblPiNHistorical[ID], 0),MATCH(_xlfn._xlws.FILTER(tblPiNAnalysis[[#Headers],[SAMV]:[ASH]], tblPiNAnalysis[[#This Row],[PiN más alto]]=tblPiNAnalysis[[#This Row],[SAMV]:[ASH]]), tblPiNHistorical[[#Headers],[SAMV]:[ASH]], 0))), "")</f>
        <v>NoPIN26 7385</v>
      </c>
      <c r="AR92" s="99" t="str" cm="1">
        <f t="array" ref="AR9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92" s="74" cm="1">
        <f t="array" ref="AS92">IFERROR(IF(tblPiNAnalysis[[#This Row],[ID]]="", "", INDEX(tblPiNHistorical[[SAMV]:[ASH]], MATCH(tblPiNAnalysis[[#This Row],[ID]],tblPiNHistorical[ID], 0),MATCH(_xlfn._xlws.FILTER(tblPiNAnalysis[[#Headers],[SAMV]:[ASH]], tblPiNAnalysis[[#This Row],[2º PiN más alto]]=tblPiNAnalysis[[#This Row],[SAMV]:[ASH]]), tblPiNHistorical[[#Headers],[SAMV]:[ASH]], 0))), "")</f>
        <v>-0.6</v>
      </c>
      <c r="AT92" s="100" t="str" cm="1">
        <f t="array" ref="AT9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92" s="219">
        <f>INDEX(tblSeverityAnalysis[Severidad final], MATCH(tblPiNAnalysis[[#This Row],[ID]],tblSeverityAnalysis[ID], 0))</f>
        <v>3</v>
      </c>
      <c r="AV92" s="220">
        <f>IF(tblPiNAnalysis[[#This Row],[Severidad]]&gt;2,tblPiNAnalysis[[#This Row],[PiN más alto]],)</f>
        <v>22654.799999999999</v>
      </c>
      <c r="AW92" s="54"/>
      <c r="AX92" s="55"/>
      <c r="AY92" s="56">
        <f>COUNTIFS(tblPiNAnalysis[[#This Row],[Número de PiN ausentes/cero superior al umbral - Calidad de los datos]:[Marcador manual]],"Flagged")</f>
        <v>2</v>
      </c>
      <c r="AZ92" s="34" t="str">
        <f>IF(tblPiNAnalysis[[#This Row],[Número de marcadores]]&gt;0, "Flagged", "")</f>
        <v>Flagged</v>
      </c>
      <c r="BA92" s="92">
        <f>tblPiNAnalysis[[#This Row],[PiN preliminar]]</f>
        <v>22654.799999999999</v>
      </c>
      <c r="BB92" s="97"/>
      <c r="BC92" s="70">
        <f>IFERROR(IF(tblPiNAnalysis[[#This Row],[Severidad]]=3,tblPiNAnalysis[[#This Row],[PiN final]]*Umbrales!$D$33,tblPiNAnalysis[[#This Row],[PiN final]]*Umbrales!$D$34),)</f>
        <v>11327.4</v>
      </c>
      <c r="BD92" s="70">
        <f>IFERROR(IF(tblPiNAnalysis[[#This Row],[Severidad]]&gt;3,tblPiNAnalysis[[#This Row],[PiN final]]*Umbrales!$D$34,),)</f>
        <v>0</v>
      </c>
    </row>
    <row r="93" spans="1:56">
      <c r="A93" s="101" t="str">
        <f>IFERROR(_xlfn.CONCAT(IF(tblPiNAnalysis[[#This Row],[Grupo]]="", "",tblPiNAnalysis[[#This Row],[Grupo]] ),  _xlfn.IFS(tblPiNAnalysis[[#This Row],[Admin2PCODE]]&lt;&gt;"", tblPiNAnalysis[[#This Row],[Admin2PCODE]], tblPiNAnalysis[[#This Row],[Admin1PCODE]]&lt;&gt;"", tblPiNAnalysis[[#This Row],[Admin1PCODE]])),"")</f>
        <v>VenezolanosVE1504</v>
      </c>
      <c r="B93" s="105" t="s">
        <v>276</v>
      </c>
      <c r="C93" s="104" t="s">
        <v>455</v>
      </c>
      <c r="D93" s="119" t="s">
        <v>461</v>
      </c>
      <c r="E93" s="104" t="s">
        <v>462</v>
      </c>
      <c r="F93" s="358"/>
      <c r="G93" s="357">
        <v>60274</v>
      </c>
      <c r="H93" s="103" t="s">
        <v>102</v>
      </c>
      <c r="I93" s="60">
        <v>2184</v>
      </c>
      <c r="J93" s="134">
        <v>3179.7856799341707</v>
      </c>
      <c r="K93" s="57">
        <v>22500</v>
      </c>
      <c r="L93" s="87">
        <v>5643.4249558007468</v>
      </c>
      <c r="M93" s="87">
        <v>14419.322928066102</v>
      </c>
      <c r="N93" s="57">
        <v>0</v>
      </c>
      <c r="O93" s="57">
        <v>4614.183336981152</v>
      </c>
      <c r="P93" s="57">
        <v>5046.7630248231353</v>
      </c>
      <c r="Q93" s="88">
        <f>IFERROR(IF(tblPiNAnalysis[[#This Row],[SAMV]]="", "", MROUND(tblPiNAnalysis[[#This Row],[SAMV]]/tblPiNAnalysis[[#This Row],[Población]], 0.05)), "")</f>
        <v>0.05</v>
      </c>
      <c r="R93" s="89">
        <f>IFERROR(IF(tblPiNAnalysis[[#This Row],[NUT]]="", "", MROUND(tblPiNAnalysis[[#This Row],[NUT]]/tblPiNAnalysis[[#This Row],[Población]], 0.05)), "")</f>
        <v>0.05</v>
      </c>
      <c r="S93" s="89">
        <f>IFERROR(IF(tblPiNAnalysis[[#This Row],[SAL]]="", "", MROUND(tblPiNAnalysis[[#This Row],[SAL]]/tblPiNAnalysis[[#This Row],[Población]], 0.05)), "")</f>
        <v>0.35000000000000003</v>
      </c>
      <c r="T93" s="89">
        <f>IFERROR(IF(tblPiNAnalysis[[#This Row],[EDU]]="", "", MROUND(tblPiNAnalysis[[#This Row],[EDU]]/tblPiNAnalysis[[#This Row],[Población]], 0.05)), "")</f>
        <v>0.1</v>
      </c>
      <c r="U93" s="89">
        <f>IFERROR(IF(tblPiNAnalysis[[#This Row],[PRO]]="", "", MROUND(tblPiNAnalysis[[#This Row],[PRO]]/tblPiNAnalysis[[#This Row],[Población]], 0.05)), "")</f>
        <v>0.25</v>
      </c>
      <c r="V93" s="90">
        <f>IFERROR(IF(tblPiNAnalysis[[#This Row],[ASH]]="", "", MROUND(tblPiNAnalysis[[#This Row],[ASH]]/tblPiNAnalysis[[#This Row],[Población]], 0.05)), "")</f>
        <v>0</v>
      </c>
      <c r="W93" s="89">
        <f>IFERROR(MROUND(tblPiNAnalysis[[#This Row],[NNA]]/tblPiNAnalysis[[#This Row],[Población]], 0.05), "")</f>
        <v>0.1</v>
      </c>
      <c r="X93" s="89">
        <f>IFERROR(MROUND(tblPiNAnalysis[[#This Row],[VBG]]/tblPiNAnalysis[[#This Row],[Población]], 0.05), "")</f>
        <v>0.1</v>
      </c>
      <c r="Y93" s="91">
        <f>IFERROR(LARGE(tblPiNAnalysis[[#This Row],[SAMV]:[ASH]], 1), "")</f>
        <v>22500</v>
      </c>
      <c r="Z93" s="92" t="str" cm="1">
        <f t="array" ref="Z93">IF(tblPiNAnalysis[[#This Row],[PiN más alto]]="", "", _xlfn.TEXTJOIN(CHAR(10), TRUE, IF(tblPiNAnalysis[[#This Row],[PiN más alto]]=tblPiNAnalysis[[#This Row],[SAMV]:[ASH]], tblPiNAnalysis[[#Headers],[SAMV]:[ASH]], "")))</f>
        <v>SAL</v>
      </c>
      <c r="AA93" s="93">
        <f>IF(tblPiNAnalysis[[#This Row],[PiN más alto]]="", "", tblPiNAnalysis[[#This Row],[PiN más alto]]/tblPiNAnalysis[[#This Row],[Población]])</f>
        <v>0.37329528486577962</v>
      </c>
      <c r="AB93" s="94" t="str">
        <f>IF(SUM(tblPiNAnalysis[[#This Row],[SAMV]:[ASH]])=0, "",IF(COUNTIF(tblPiNAnalysis[[#This Row],[SAMV]:[ASH]],"=0")+COUNTIF(tblPiNAnalysis[[#This Row],[SAMV]:[ASH]],"")&gt;=zero_pin_thresh, "Flagged", ""))</f>
        <v/>
      </c>
      <c r="AC93" s="95" t="str">
        <f>IFERROR(IF(tblPiNAnalysis[[#This Row],[PiN más alto]]="", "", IF(tblPiNAnalysis[[#This Row],[% PiN Sectores más altos]]&gt;=flag_pin_perc, "Flagged", "")), "")</f>
        <v/>
      </c>
      <c r="AD93" s="96" t="str" cm="1">
        <f t="array" ref="AD93">IF(tblPiNAnalysis[[#This Row],[PiN más alto]]=0, "",  IF(OR(COUNTIF(tblPiNAnalysis[[#This Row],[Sectores más altos]],tblSubSectorPopulation[Sector])), "Flagged", ""))</f>
        <v/>
      </c>
      <c r="AE93" s="16" cm="1">
        <f t="array" ref="AE9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14419.322928066102</v>
      </c>
      <c r="AF93" s="97" t="str" cm="1">
        <f t="array" ref="AF93">IF(tblPiNAnalysis[[#This Row],[2º PiN más alto]]="", "", _xlfn.TEXTJOIN(CHAR(10), TRUE, IF(tblPiNAnalysis[[#This Row],[2º PiN más alto]]=tblPiNAnalysis[[#This Row],[SAMV]:[ASH]], tblPiNAnalysis[[#Headers],[SAMV]:[ASH]], "")))</f>
        <v>PRO</v>
      </c>
      <c r="AG93" s="12">
        <f>IFERROR(tblPiNAnalysis[[#This Row],[2º PiN más alto]]/tblPiNAnalysis[[#This Row],[Población]], "")</f>
        <v>0.23922956711129345</v>
      </c>
      <c r="AH93" s="16">
        <f>IFERROR(tblPiNAnalysis[[#This Row],[PiN más alto]]-tblPiNAnalysis[[#This Row],[2º PiN más alto]], "")</f>
        <v>8080.6770719338983</v>
      </c>
      <c r="AI93" s="14">
        <f>IFERROR(((tblPiNAnalysis[[#This Row],[PiN más alto]]-tblPiNAnalysis[[#This Row],[2º PiN más alto]])/tblPiNAnalysis[[#This Row],[2º PiN más alto]]),"")</f>
        <v>0.56040613780869575</v>
      </c>
      <c r="AJ93" s="14" t="str" cm="1">
        <f t="array" ref="AJ9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93" s="98" cm="1">
        <f t="array" ref="AK9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5643.4249558007468</v>
      </c>
      <c r="AL93" s="53" t="str" cm="1">
        <f t="array" ref="AL93">IF(tblPiNAnalysis[[#This Row],[3º PiN más alto]]="", "", _xlfn.TEXTJOIN(CHAR(10), TRUE, IF(tblPiNAnalysis[[#This Row],[3º PiN más alto]]=tblPiNAnalysis[[#This Row],[SAMV]:[ASH]], tblPiNAnalysis[[#Headers],[SAMV]:[ASH]], "")))</f>
        <v>EDU</v>
      </c>
      <c r="AM93" s="53">
        <f>IFERROR(tblPiNAnalysis[[#This Row],[3º PiN más alto]]/tblPiNAnalysis[[#This Row],[Población]], "")</f>
        <v>9.3629507844190649E-2</v>
      </c>
      <c r="AN93" s="15">
        <f>IFERROR(tblPiNAnalysis[[#This Row],[PiN más alto]]-tblPiNAnalysis[[#This Row],[3º PiN más alto]],"")</f>
        <v>16856.575044199253</v>
      </c>
      <c r="AO93" s="14">
        <f>IFERROR(tblPiNAnalysis[[#This Row],[Diferencia de PiN entre el más alto y el 3º más alto]]/tblPiNAnalysis[[#This Row],[3º PiN más alto]], "")</f>
        <v>2.9869405859420115</v>
      </c>
      <c r="AP93" s="96" t="str" cm="1">
        <f t="array" ref="AP9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93" s="84" cm="1">
        <f t="array" ref="AQ93">IFERROR(IF(tblPiNAnalysis[[#This Row],[ID]]="", "", INDEX(tblPiNHistorical[[SAMV]:[ASH]], MATCH(tblPiNAnalysis[[#This Row],[ID]],tblPiNHistorical[ID], 0),MATCH(_xlfn._xlws.FILTER(tblPiNAnalysis[[#Headers],[SAMV]:[ASH]], tblPiNAnalysis[[#This Row],[PiN más alto]]=tblPiNAnalysis[[#This Row],[SAMV]:[ASH]]), tblPiNHistorical[[#Headers],[SAMV]:[ASH]], 0))), "")</f>
        <v>-0.4</v>
      </c>
      <c r="AR93" s="99" t="str" cm="1">
        <f t="array" ref="AR9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93" s="74" cm="1">
        <f t="array" ref="AS93">IFERROR(IF(tblPiNAnalysis[[#This Row],[ID]]="", "", INDEX(tblPiNHistorical[[SAMV]:[ASH]], MATCH(tblPiNAnalysis[[#This Row],[ID]],tblPiNHistorical[ID], 0),MATCH(_xlfn._xlws.FILTER(tblPiNAnalysis[[#Headers],[SAMV]:[ASH]], tblPiNAnalysis[[#This Row],[2º PiN más alto]]=tblPiNAnalysis[[#This Row],[SAMV]:[ASH]]), tblPiNHistorical[[#Headers],[SAMV]:[ASH]], 0))), "")</f>
        <v>-0.9</v>
      </c>
      <c r="AT93" s="100" t="str" cm="1">
        <f t="array" ref="AT9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93" s="219">
        <f>INDEX(tblSeverityAnalysis[Severidad final], MATCH(tblPiNAnalysis[[#This Row],[ID]],tblSeverityAnalysis[ID], 0))</f>
        <v>3</v>
      </c>
      <c r="AV93" s="220">
        <f>IF(tblPiNAnalysis[[#This Row],[Severidad]]&gt;2,tblPiNAnalysis[[#This Row],[PiN más alto]],)</f>
        <v>22500</v>
      </c>
      <c r="AW93" s="54"/>
      <c r="AX93" s="55"/>
      <c r="AY93" s="56">
        <f>COUNTIFS(tblPiNAnalysis[[#This Row],[Número de PiN ausentes/cero superior al umbral - Calidad de los datos]:[Marcador manual]],"Flagged")</f>
        <v>2</v>
      </c>
      <c r="AZ93" s="34" t="str">
        <f>IF(tblPiNAnalysis[[#This Row],[Número de marcadores]]&gt;0, "Flagged", "")</f>
        <v>Flagged</v>
      </c>
      <c r="BA93" s="92">
        <f>tblPiNAnalysis[[#This Row],[PiN preliminar]]</f>
        <v>22500</v>
      </c>
      <c r="BB93" s="97"/>
      <c r="BC93" s="70">
        <f>IFERROR(IF(tblPiNAnalysis[[#This Row],[Severidad]]=3,tblPiNAnalysis[[#This Row],[PiN final]]*Umbrales!$D$33,tblPiNAnalysis[[#This Row],[PiN final]]*Umbrales!$D$34),)</f>
        <v>11250</v>
      </c>
      <c r="BD93" s="70">
        <f>IFERROR(IF(tblPiNAnalysis[[#This Row],[Severidad]]&gt;3,tblPiNAnalysis[[#This Row],[PiN final]]*Umbrales!$D$34,),)</f>
        <v>0</v>
      </c>
    </row>
    <row r="94" spans="1:56">
      <c r="A94" s="101" t="str">
        <f>IFERROR(_xlfn.CONCAT(IF(tblPiNAnalysis[[#This Row],[Grupo]]="", "",tblPiNAnalysis[[#This Row],[Grupo]] ),  _xlfn.IFS(tblPiNAnalysis[[#This Row],[Admin2PCODE]]&lt;&gt;"", tblPiNAnalysis[[#This Row],[Admin2PCODE]], tblPiNAnalysis[[#This Row],[Admin1PCODE]]&lt;&gt;"", tblPiNAnalysis[[#This Row],[Admin1PCODE]])),"")</f>
        <v>VenezolanosVE0704</v>
      </c>
      <c r="B94" s="105" t="s">
        <v>180</v>
      </c>
      <c r="C94" s="104" t="s">
        <v>239</v>
      </c>
      <c r="D94" s="119" t="s">
        <v>246</v>
      </c>
      <c r="E94" s="104" t="s">
        <v>247</v>
      </c>
      <c r="F94" s="358"/>
      <c r="G94" s="357">
        <v>29091</v>
      </c>
      <c r="H94" s="103" t="s">
        <v>102</v>
      </c>
      <c r="I94" s="60">
        <v>1763</v>
      </c>
      <c r="J94" s="134">
        <v>1991.3478835207732</v>
      </c>
      <c r="K94" s="57">
        <v>22400</v>
      </c>
      <c r="L94" s="87">
        <v>7128.4096028049971</v>
      </c>
      <c r="M94" s="87">
        <v>6970.563627381779</v>
      </c>
      <c r="N94" s="57">
        <v>3927.2849999999999</v>
      </c>
      <c r="O94" s="57">
        <v>2230.5803607621692</v>
      </c>
      <c r="P94" s="57">
        <v>2439.6972695836225</v>
      </c>
      <c r="Q94" s="88">
        <f>IFERROR(IF(tblPiNAnalysis[[#This Row],[SAMV]]="", "", MROUND(tblPiNAnalysis[[#This Row],[SAMV]]/tblPiNAnalysis[[#This Row],[Población]], 0.05)), "")</f>
        <v>0.05</v>
      </c>
      <c r="R94" s="89">
        <f>IFERROR(IF(tblPiNAnalysis[[#This Row],[NUT]]="", "", MROUND(tblPiNAnalysis[[#This Row],[NUT]]/tblPiNAnalysis[[#This Row],[Población]], 0.05)), "")</f>
        <v>0.05</v>
      </c>
      <c r="S94" s="89">
        <f>IFERROR(IF(tblPiNAnalysis[[#This Row],[SAL]]="", "", MROUND(tblPiNAnalysis[[#This Row],[SAL]]/tblPiNAnalysis[[#This Row],[Población]], 0.05)), "")</f>
        <v>0.75</v>
      </c>
      <c r="T94" s="89">
        <f>IFERROR(IF(tblPiNAnalysis[[#This Row],[EDU]]="", "", MROUND(tblPiNAnalysis[[#This Row],[EDU]]/tblPiNAnalysis[[#This Row],[Población]], 0.05)), "")</f>
        <v>0.25</v>
      </c>
      <c r="U94" s="89">
        <f>IFERROR(IF(tblPiNAnalysis[[#This Row],[PRO]]="", "", MROUND(tblPiNAnalysis[[#This Row],[PRO]]/tblPiNAnalysis[[#This Row],[Población]], 0.05)), "")</f>
        <v>0.25</v>
      </c>
      <c r="V94" s="90">
        <f>IFERROR(IF(tblPiNAnalysis[[#This Row],[ASH]]="", "", MROUND(tblPiNAnalysis[[#This Row],[ASH]]/tblPiNAnalysis[[#This Row],[Población]], 0.05)), "")</f>
        <v>0.15000000000000002</v>
      </c>
      <c r="W94" s="89">
        <f>IFERROR(MROUND(tblPiNAnalysis[[#This Row],[NNA]]/tblPiNAnalysis[[#This Row],[Población]], 0.05), "")</f>
        <v>0.1</v>
      </c>
      <c r="X94" s="89">
        <f>IFERROR(MROUND(tblPiNAnalysis[[#This Row],[VBG]]/tblPiNAnalysis[[#This Row],[Población]], 0.05), "")</f>
        <v>0.1</v>
      </c>
      <c r="Y94" s="91">
        <f>IFERROR(LARGE(tblPiNAnalysis[[#This Row],[SAMV]:[ASH]], 1), "")</f>
        <v>22400</v>
      </c>
      <c r="Z94" s="92" t="str" cm="1">
        <f t="array" ref="Z94">IF(tblPiNAnalysis[[#This Row],[PiN más alto]]="", "", _xlfn.TEXTJOIN(CHAR(10), TRUE, IF(tblPiNAnalysis[[#This Row],[PiN más alto]]=tblPiNAnalysis[[#This Row],[SAMV]:[ASH]], tblPiNAnalysis[[#Headers],[SAMV]:[ASH]], "")))</f>
        <v>SAL</v>
      </c>
      <c r="AA94" s="93">
        <f>IF(tblPiNAnalysis[[#This Row],[PiN más alto]]="", "", tblPiNAnalysis[[#This Row],[PiN más alto]]/tblPiNAnalysis[[#This Row],[Población]])</f>
        <v>0.76999759375751953</v>
      </c>
      <c r="AB94" s="94" t="str">
        <f>IF(SUM(tblPiNAnalysis[[#This Row],[SAMV]:[ASH]])=0, "",IF(COUNTIF(tblPiNAnalysis[[#This Row],[SAMV]:[ASH]],"=0")+COUNTIF(tblPiNAnalysis[[#This Row],[SAMV]:[ASH]],"")&gt;=zero_pin_thresh, "Flagged", ""))</f>
        <v/>
      </c>
      <c r="AC94" s="95" t="str">
        <f>IFERROR(IF(tblPiNAnalysis[[#This Row],[PiN más alto]]="", "", IF(tblPiNAnalysis[[#This Row],[% PiN Sectores más altos]]&gt;=flag_pin_perc, "Flagged", "")), "")</f>
        <v/>
      </c>
      <c r="AD94" s="96" t="str" cm="1">
        <f t="array" ref="AD94">IF(tblPiNAnalysis[[#This Row],[PiN más alto]]=0, "",  IF(OR(COUNTIF(tblPiNAnalysis[[#This Row],[Sectores más altos]],tblSubSectorPopulation[Sector])), "Flagged", ""))</f>
        <v/>
      </c>
      <c r="AE94" s="16" cm="1">
        <f t="array" ref="AE9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7128.4096028049971</v>
      </c>
      <c r="AF94" s="97" t="str" cm="1">
        <f t="array" ref="AF94">IF(tblPiNAnalysis[[#This Row],[2º PiN más alto]]="", "", _xlfn.TEXTJOIN(CHAR(10), TRUE, IF(tblPiNAnalysis[[#This Row],[2º PiN más alto]]=tblPiNAnalysis[[#This Row],[SAMV]:[ASH]], tblPiNAnalysis[[#Headers],[SAMV]:[ASH]], "")))</f>
        <v>EDU</v>
      </c>
      <c r="AG94" s="12">
        <f>IFERROR(tblPiNAnalysis[[#This Row],[2º PiN más alto]]/tblPiNAnalysis[[#This Row],[Población]], "")</f>
        <v>0.24503831435168943</v>
      </c>
      <c r="AH94" s="16">
        <f>IFERROR(tblPiNAnalysis[[#This Row],[PiN más alto]]-tblPiNAnalysis[[#This Row],[2º PiN más alto]], "")</f>
        <v>15271.590397195003</v>
      </c>
      <c r="AI94" s="14">
        <f>IFERROR(((tblPiNAnalysis[[#This Row],[PiN más alto]]-tblPiNAnalysis[[#This Row],[2º PiN más alto]])/tblPiNAnalysis[[#This Row],[2º PiN más alto]]),"")</f>
        <v>2.1423559037889324</v>
      </c>
      <c r="AJ94" s="14" t="str" cm="1">
        <f t="array" ref="AJ9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94" s="98" cm="1">
        <f t="array" ref="AK9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6970.563627381779</v>
      </c>
      <c r="AL94" s="53" t="str" cm="1">
        <f t="array" ref="AL94">IF(tblPiNAnalysis[[#This Row],[3º PiN más alto]]="", "", _xlfn.TEXTJOIN(CHAR(10), TRUE, IF(tblPiNAnalysis[[#This Row],[3º PiN más alto]]=tblPiNAnalysis[[#This Row],[SAMV]:[ASH]], tblPiNAnalysis[[#Headers],[SAMV]:[ASH]], "")))</f>
        <v>PRO</v>
      </c>
      <c r="AM94" s="53">
        <f>IFERROR(tblPiNAnalysis[[#This Row],[3º PiN más alto]]/tblPiNAnalysis[[#This Row],[Población]], "")</f>
        <v>0.23961237590257395</v>
      </c>
      <c r="AN94" s="15">
        <f>IFERROR(tblPiNAnalysis[[#This Row],[PiN más alto]]-tblPiNAnalysis[[#This Row],[3º PiN más alto]],"")</f>
        <v>15429.43637261822</v>
      </c>
      <c r="AO94" s="14">
        <f>IFERROR(tblPiNAnalysis[[#This Row],[Diferencia de PiN entre el más alto y el 3º más alto]]/tblPiNAnalysis[[#This Row],[3º PiN más alto]], "")</f>
        <v>2.2135134542073875</v>
      </c>
      <c r="AP94" s="96" t="str" cm="1">
        <f t="array" ref="AP9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94" s="84" cm="1">
        <f t="array" ref="AQ94">IFERROR(IF(tblPiNAnalysis[[#This Row],[ID]]="", "", INDEX(tblPiNHistorical[[SAMV]:[ASH]], MATCH(tblPiNAnalysis[[#This Row],[ID]],tblPiNHistorical[ID], 0),MATCH(_xlfn._xlws.FILTER(tblPiNAnalysis[[#Headers],[SAMV]:[ASH]], tblPiNAnalysis[[#This Row],[PiN más alto]]=tblPiNAnalysis[[#This Row],[SAMV]:[ASH]]), tblPiNHistorical[[#Headers],[SAMV]:[ASH]], 0))), "")</f>
        <v>2.7</v>
      </c>
      <c r="AR94" s="99" t="str" cm="1">
        <f t="array" ref="AR9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94" s="74" cm="1">
        <f t="array" ref="AS94">IFERROR(IF(tblPiNAnalysis[[#This Row],[ID]]="", "", INDEX(tblPiNHistorical[[SAMV]:[ASH]], MATCH(tblPiNAnalysis[[#This Row],[ID]],tblPiNHistorical[ID], 0),MATCH(_xlfn._xlws.FILTER(tblPiNAnalysis[[#Headers],[SAMV]:[ASH]], tblPiNAnalysis[[#This Row],[2º PiN más alto]]=tblPiNAnalysis[[#This Row],[SAMV]:[ASH]]), tblPiNHistorical[[#Headers],[SAMV]:[ASH]], 0))), "")</f>
        <v>-0.6</v>
      </c>
      <c r="AT94" s="100" t="str" cm="1">
        <f t="array" ref="AT9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94" s="219">
        <f>INDEX(tblSeverityAnalysis[Severidad final], MATCH(tblPiNAnalysis[[#This Row],[ID]],tblSeverityAnalysis[ID], 0))</f>
        <v>3</v>
      </c>
      <c r="AV94" s="220">
        <f>IF(tblPiNAnalysis[[#This Row],[Severidad]]&gt;2,tblPiNAnalysis[[#This Row],[PiN más alto]],)</f>
        <v>22400</v>
      </c>
      <c r="AW94" s="54"/>
      <c r="AX94" s="55"/>
      <c r="AY94" s="56">
        <f>COUNTIFS(tblPiNAnalysis[[#This Row],[Número de PiN ausentes/cero superior al umbral - Calidad de los datos]:[Marcador manual]],"Flagged")</f>
        <v>3</v>
      </c>
      <c r="AZ94" s="34" t="str">
        <f>IF(tblPiNAnalysis[[#This Row],[Número de marcadores]]&gt;0, "Flagged", "")</f>
        <v>Flagged</v>
      </c>
      <c r="BA94" s="92">
        <f>tblPiNAnalysis[[#This Row],[PiN preliminar]]</f>
        <v>22400</v>
      </c>
      <c r="BB94" s="97"/>
      <c r="BC94" s="70">
        <f>IFERROR(IF(tblPiNAnalysis[[#This Row],[Severidad]]=3,tblPiNAnalysis[[#This Row],[PiN final]]*Umbrales!$D$33,tblPiNAnalysis[[#This Row],[PiN final]]*Umbrales!$D$34),)</f>
        <v>11200</v>
      </c>
      <c r="BD94" s="70">
        <f>IFERROR(IF(tblPiNAnalysis[[#This Row],[Severidad]]&gt;3,tblPiNAnalysis[[#This Row],[PiN final]]*Umbrales!$D$34,),)</f>
        <v>0</v>
      </c>
    </row>
    <row r="95" spans="1:56">
      <c r="A95" s="101" t="str">
        <f>IFERROR(_xlfn.CONCAT(IF(tblPiNAnalysis[[#This Row],[Grupo]]="", "",tblPiNAnalysis[[#This Row],[Grupo]] ),  _xlfn.IFS(tblPiNAnalysis[[#This Row],[Admin2PCODE]]&lt;&gt;"", tblPiNAnalysis[[#This Row],[Admin2PCODE]], tblPiNAnalysis[[#This Row],[Admin1PCODE]]&lt;&gt;"", tblPiNAnalysis[[#This Row],[Admin1PCODE]])),"")</f>
        <v>VenezolanosVE1001</v>
      </c>
      <c r="B95" s="105" t="s">
        <v>306</v>
      </c>
      <c r="C95" s="104" t="s">
        <v>307</v>
      </c>
      <c r="D95" s="119" t="s">
        <v>308</v>
      </c>
      <c r="E95" s="104" t="s">
        <v>309</v>
      </c>
      <c r="F95" s="358"/>
      <c r="G95" s="357">
        <v>27250</v>
      </c>
      <c r="H95" s="103" t="s">
        <v>102</v>
      </c>
      <c r="I95" s="60">
        <v>9669</v>
      </c>
      <c r="J95" s="134">
        <v>3020.7010416679373</v>
      </c>
      <c r="K95" s="57">
        <v>22400</v>
      </c>
      <c r="L95" s="87">
        <v>2224.6410759086475</v>
      </c>
      <c r="M95" s="87">
        <v>6507.468808159284</v>
      </c>
      <c r="N95" s="57">
        <v>16350</v>
      </c>
      <c r="O95" s="57">
        <v>2082.3900186109709</v>
      </c>
      <c r="P95" s="57">
        <v>2277.6140828557491</v>
      </c>
      <c r="Q95" s="88">
        <f>IFERROR(IF(tblPiNAnalysis[[#This Row],[SAMV]]="", "", MROUND(tblPiNAnalysis[[#This Row],[SAMV]]/tblPiNAnalysis[[#This Row],[Población]], 0.05)), "")</f>
        <v>0.35000000000000003</v>
      </c>
      <c r="R95" s="89">
        <f>IFERROR(IF(tblPiNAnalysis[[#This Row],[NUT]]="", "", MROUND(tblPiNAnalysis[[#This Row],[NUT]]/tblPiNAnalysis[[#This Row],[Población]], 0.05)), "")</f>
        <v>0.1</v>
      </c>
      <c r="S95" s="89">
        <f>IFERROR(IF(tblPiNAnalysis[[#This Row],[SAL]]="", "", MROUND(tblPiNAnalysis[[#This Row],[SAL]]/tblPiNAnalysis[[#This Row],[Población]], 0.05)), "")</f>
        <v>0.8</v>
      </c>
      <c r="T95" s="89">
        <f>IFERROR(IF(tblPiNAnalysis[[#This Row],[EDU]]="", "", MROUND(tblPiNAnalysis[[#This Row],[EDU]]/tblPiNAnalysis[[#This Row],[Población]], 0.05)), "")</f>
        <v>0.1</v>
      </c>
      <c r="U95" s="89">
        <f>IFERROR(IF(tblPiNAnalysis[[#This Row],[PRO]]="", "", MROUND(tblPiNAnalysis[[#This Row],[PRO]]/tblPiNAnalysis[[#This Row],[Población]], 0.05)), "")</f>
        <v>0.25</v>
      </c>
      <c r="V95" s="90">
        <f>IFERROR(IF(tblPiNAnalysis[[#This Row],[ASH]]="", "", MROUND(tblPiNAnalysis[[#This Row],[ASH]]/tblPiNAnalysis[[#This Row],[Población]], 0.05)), "")</f>
        <v>0.60000000000000009</v>
      </c>
      <c r="W95" s="89">
        <f>IFERROR(MROUND(tblPiNAnalysis[[#This Row],[NNA]]/tblPiNAnalysis[[#This Row],[Población]], 0.05), "")</f>
        <v>0.1</v>
      </c>
      <c r="X95" s="89">
        <f>IFERROR(MROUND(tblPiNAnalysis[[#This Row],[VBG]]/tblPiNAnalysis[[#This Row],[Población]], 0.05), "")</f>
        <v>0.1</v>
      </c>
      <c r="Y95" s="91">
        <f>IFERROR(LARGE(tblPiNAnalysis[[#This Row],[SAMV]:[ASH]], 1), "")</f>
        <v>22400</v>
      </c>
      <c r="Z95" s="92" t="str" cm="1">
        <f t="array" ref="Z95">IF(tblPiNAnalysis[[#This Row],[PiN más alto]]="", "", _xlfn.TEXTJOIN(CHAR(10), TRUE, IF(tblPiNAnalysis[[#This Row],[PiN más alto]]=tblPiNAnalysis[[#This Row],[SAMV]:[ASH]], tblPiNAnalysis[[#Headers],[SAMV]:[ASH]], "")))</f>
        <v>SAL</v>
      </c>
      <c r="AA95" s="93">
        <f>IF(tblPiNAnalysis[[#This Row],[PiN más alto]]="", "", tblPiNAnalysis[[#This Row],[PiN más alto]]/tblPiNAnalysis[[#This Row],[Población]])</f>
        <v>0.82201834862385326</v>
      </c>
      <c r="AB95" s="94" t="str">
        <f>IF(SUM(tblPiNAnalysis[[#This Row],[SAMV]:[ASH]])=0, "",IF(COUNTIF(tblPiNAnalysis[[#This Row],[SAMV]:[ASH]],"=0")+COUNTIF(tblPiNAnalysis[[#This Row],[SAMV]:[ASH]],"")&gt;=zero_pin_thresh, "Flagged", ""))</f>
        <v/>
      </c>
      <c r="AC95" s="95" t="str">
        <f>IFERROR(IF(tblPiNAnalysis[[#This Row],[PiN más alto]]="", "", IF(tblPiNAnalysis[[#This Row],[% PiN Sectores más altos]]&gt;=flag_pin_perc, "Flagged", "")), "")</f>
        <v/>
      </c>
      <c r="AD95" s="96" t="str" cm="1">
        <f t="array" ref="AD95">IF(tblPiNAnalysis[[#This Row],[PiN más alto]]=0, "",  IF(OR(COUNTIF(tblPiNAnalysis[[#This Row],[Sectores más altos]],tblSubSectorPopulation[Sector])), "Flagged", ""))</f>
        <v/>
      </c>
      <c r="AE95" s="16" cm="1">
        <f t="array" ref="AE9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16350</v>
      </c>
      <c r="AF95" s="97" t="str" cm="1">
        <f t="array" ref="AF95">IF(tblPiNAnalysis[[#This Row],[2º PiN más alto]]="", "", _xlfn.TEXTJOIN(CHAR(10), TRUE, IF(tblPiNAnalysis[[#This Row],[2º PiN más alto]]=tblPiNAnalysis[[#This Row],[SAMV]:[ASH]], tblPiNAnalysis[[#Headers],[SAMV]:[ASH]], "")))</f>
        <v>ASH</v>
      </c>
      <c r="AG95" s="12">
        <f>IFERROR(tblPiNAnalysis[[#This Row],[2º PiN más alto]]/tblPiNAnalysis[[#This Row],[Población]], "")</f>
        <v>0.6</v>
      </c>
      <c r="AH95" s="16">
        <f>IFERROR(tblPiNAnalysis[[#This Row],[PiN más alto]]-tblPiNAnalysis[[#This Row],[2º PiN más alto]], "")</f>
        <v>6050</v>
      </c>
      <c r="AI95" s="14">
        <f>IFERROR(((tblPiNAnalysis[[#This Row],[PiN más alto]]-tblPiNAnalysis[[#This Row],[2º PiN más alto]])/tblPiNAnalysis[[#This Row],[2º PiN más alto]]),"")</f>
        <v>0.37003058103975534</v>
      </c>
      <c r="AJ95" s="14" t="str" cm="1">
        <f t="array" ref="AJ9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95" s="98" cm="1">
        <f t="array" ref="AK9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9669</v>
      </c>
      <c r="AL95" s="53" t="str" cm="1">
        <f t="array" ref="AL95">IF(tblPiNAnalysis[[#This Row],[3º PiN más alto]]="", "", _xlfn.TEXTJOIN(CHAR(10), TRUE, IF(tblPiNAnalysis[[#This Row],[3º PiN más alto]]=tblPiNAnalysis[[#This Row],[SAMV]:[ASH]], tblPiNAnalysis[[#Headers],[SAMV]:[ASH]], "")))</f>
        <v>SAMV</v>
      </c>
      <c r="AM95" s="53">
        <f>IFERROR(tblPiNAnalysis[[#This Row],[3º PiN más alto]]/tblPiNAnalysis[[#This Row],[Población]], "")</f>
        <v>0.35482568807339449</v>
      </c>
      <c r="AN95" s="15">
        <f>IFERROR(tblPiNAnalysis[[#This Row],[PiN más alto]]-tblPiNAnalysis[[#This Row],[3º PiN más alto]],"")</f>
        <v>12731</v>
      </c>
      <c r="AO95" s="14">
        <f>IFERROR(tblPiNAnalysis[[#This Row],[Diferencia de PiN entre el más alto y el 3º más alto]]/tblPiNAnalysis[[#This Row],[3º PiN más alto]], "")</f>
        <v>1.3166821801634088</v>
      </c>
      <c r="AP95" s="96" t="str" cm="1">
        <f t="array" ref="AP9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95" s="84" cm="1">
        <f t="array" ref="AQ95">IFERROR(IF(tblPiNAnalysis[[#This Row],[ID]]="", "", INDEX(tblPiNHistorical[[SAMV]:[ASH]], MATCH(tblPiNAnalysis[[#This Row],[ID]],tblPiNHistorical[ID], 0),MATCH(_xlfn._xlws.FILTER(tblPiNAnalysis[[#Headers],[SAMV]:[ASH]], tblPiNAnalysis[[#This Row],[PiN más alto]]=tblPiNAnalysis[[#This Row],[SAMV]:[ASH]]), tblPiNHistorical[[#Headers],[SAMV]:[ASH]], 0))), "")</f>
        <v>2</v>
      </c>
      <c r="AR95" s="99" t="str" cm="1">
        <f t="array" ref="AR9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95" s="74" t="str" cm="1">
        <f t="array" ref="AS95">IFERROR(IF(tblPiNAnalysis[[#This Row],[ID]]="", "", INDEX(tblPiNHistorical[[SAMV]:[ASH]], MATCH(tblPiNAnalysis[[#This Row],[ID]],tblPiNHistorical[ID], 0),MATCH(_xlfn._xlws.FILTER(tblPiNAnalysis[[#Headers],[SAMV]:[ASH]], tblPiNAnalysis[[#This Row],[2º PiN más alto]]=tblPiNAnalysis[[#This Row],[SAMV]:[ASH]]), tblPiNHistorical[[#Headers],[SAMV]:[ASH]], 0))), "")</f>
        <v>NoPIN26 15993</v>
      </c>
      <c r="AT95" s="100" t="str" cm="1">
        <f t="array" ref="AT9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95" s="219">
        <f>INDEX(tblSeverityAnalysis[Severidad final], MATCH(tblPiNAnalysis[[#This Row],[ID]],tblSeverityAnalysis[ID], 0))</f>
        <v>5</v>
      </c>
      <c r="AV95" s="220">
        <f>IF(tblPiNAnalysis[[#This Row],[Severidad]]&gt;2,tblPiNAnalysis[[#This Row],[PiN más alto]],)</f>
        <v>22400</v>
      </c>
      <c r="AW95" s="54"/>
      <c r="AX95" s="55"/>
      <c r="AY95" s="56">
        <f>COUNTIFS(tblPiNAnalysis[[#This Row],[Número de PiN ausentes/cero superior al umbral - Calidad de los datos]:[Marcador manual]],"Flagged")</f>
        <v>3</v>
      </c>
      <c r="AZ95" s="34" t="str">
        <f>IF(tblPiNAnalysis[[#This Row],[Número de marcadores]]&gt;0, "Flagged", "")</f>
        <v>Flagged</v>
      </c>
      <c r="BA95" s="92">
        <f>tblPiNAnalysis[[#This Row],[PiN preliminar]]</f>
        <v>22400</v>
      </c>
      <c r="BB95" s="97"/>
      <c r="BC95" s="70">
        <f>IFERROR(IF(tblPiNAnalysis[[#This Row],[Severidad]]=3,tblPiNAnalysis[[#This Row],[PiN final]]*Umbrales!$D$33,tblPiNAnalysis[[#This Row],[PiN final]]*Umbrales!$D$34),)</f>
        <v>22400</v>
      </c>
      <c r="BD95" s="70">
        <f>IFERROR(IF(tblPiNAnalysis[[#This Row],[Severidad]]&gt;3,tblPiNAnalysis[[#This Row],[PiN final]]*Umbrales!$D$34,),)</f>
        <v>22400</v>
      </c>
    </row>
    <row r="96" spans="1:56">
      <c r="A96" s="101" t="str">
        <f>IFERROR(_xlfn.CONCAT(IF(tblPiNAnalysis[[#This Row],[Grupo]]="", "",tblPiNAnalysis[[#This Row],[Grupo]] ),  _xlfn.IFS(tblPiNAnalysis[[#This Row],[Admin2PCODE]]&lt;&gt;"", tblPiNAnalysis[[#This Row],[Admin2PCODE]], tblPiNAnalysis[[#This Row],[Admin1PCODE]]&lt;&gt;"", tblPiNAnalysis[[#This Row],[Admin1PCODE]])),"")</f>
        <v>VenezolanosVE1607</v>
      </c>
      <c r="B96" s="105" t="s">
        <v>491</v>
      </c>
      <c r="C96" s="104" t="s">
        <v>492</v>
      </c>
      <c r="D96" s="119" t="s">
        <v>100</v>
      </c>
      <c r="E96" s="104" t="s">
        <v>501</v>
      </c>
      <c r="F96" s="358"/>
      <c r="G96" s="357">
        <v>46295</v>
      </c>
      <c r="H96" s="103" t="s">
        <v>102</v>
      </c>
      <c r="I96" s="60">
        <v>22258</v>
      </c>
      <c r="J96" s="134">
        <v>2231.7423237660842</v>
      </c>
      <c r="K96" s="57">
        <v>16897.674999999999</v>
      </c>
      <c r="L96" s="87">
        <v>2414.548858930661</v>
      </c>
      <c r="M96" s="87">
        <v>11093.382618320909</v>
      </c>
      <c r="N96" s="57">
        <v>0</v>
      </c>
      <c r="O96" s="57">
        <v>3549.8824378626914</v>
      </c>
      <c r="P96" s="57">
        <v>3882.6839164123185</v>
      </c>
      <c r="Q96" s="88">
        <f>IFERROR(IF(tblPiNAnalysis[[#This Row],[SAMV]]="", "", MROUND(tblPiNAnalysis[[#This Row],[SAMV]]/tblPiNAnalysis[[#This Row],[Población]], 0.05)), "")</f>
        <v>0.5</v>
      </c>
      <c r="R96" s="89">
        <f>IFERROR(IF(tblPiNAnalysis[[#This Row],[NUT]]="", "", MROUND(tblPiNAnalysis[[#This Row],[NUT]]/tblPiNAnalysis[[#This Row],[Población]], 0.05)), "")</f>
        <v>0.05</v>
      </c>
      <c r="S96" s="89">
        <f>IFERROR(IF(tblPiNAnalysis[[#This Row],[SAL]]="", "", MROUND(tblPiNAnalysis[[#This Row],[SAL]]/tblPiNAnalysis[[#This Row],[Población]], 0.05)), "")</f>
        <v>0.35000000000000003</v>
      </c>
      <c r="T96" s="89">
        <f>IFERROR(IF(tblPiNAnalysis[[#This Row],[EDU]]="", "", MROUND(tblPiNAnalysis[[#This Row],[EDU]]/tblPiNAnalysis[[#This Row],[Población]], 0.05)), "")</f>
        <v>0.05</v>
      </c>
      <c r="U96" s="89">
        <f>IFERROR(IF(tblPiNAnalysis[[#This Row],[PRO]]="", "", MROUND(tblPiNAnalysis[[#This Row],[PRO]]/tblPiNAnalysis[[#This Row],[Población]], 0.05)), "")</f>
        <v>0.25</v>
      </c>
      <c r="V96" s="90">
        <f>IFERROR(IF(tblPiNAnalysis[[#This Row],[ASH]]="", "", MROUND(tblPiNAnalysis[[#This Row],[ASH]]/tblPiNAnalysis[[#This Row],[Población]], 0.05)), "")</f>
        <v>0</v>
      </c>
      <c r="W96" s="89">
        <f>IFERROR(MROUND(tblPiNAnalysis[[#This Row],[NNA]]/tblPiNAnalysis[[#This Row],[Población]], 0.05), "")</f>
        <v>0.1</v>
      </c>
      <c r="X96" s="89">
        <f>IFERROR(MROUND(tblPiNAnalysis[[#This Row],[VBG]]/tblPiNAnalysis[[#This Row],[Población]], 0.05), "")</f>
        <v>0.1</v>
      </c>
      <c r="Y96" s="91">
        <f>IFERROR(LARGE(tblPiNAnalysis[[#This Row],[SAMV]:[ASH]], 1), "")</f>
        <v>22258</v>
      </c>
      <c r="Z96" s="92" t="str" cm="1">
        <f t="array" ref="Z96">IF(tblPiNAnalysis[[#This Row],[PiN más alto]]="", "", _xlfn.TEXTJOIN(CHAR(10), TRUE, IF(tblPiNAnalysis[[#This Row],[PiN más alto]]=tblPiNAnalysis[[#This Row],[SAMV]:[ASH]], tblPiNAnalysis[[#Headers],[SAMV]:[ASH]], "")))</f>
        <v>SAMV</v>
      </c>
      <c r="AA96" s="93">
        <f>IF(tblPiNAnalysis[[#This Row],[PiN más alto]]="", "", tblPiNAnalysis[[#This Row],[PiN más alto]]/tblPiNAnalysis[[#This Row],[Población]])</f>
        <v>0.48078626201533642</v>
      </c>
      <c r="AB96" s="94" t="str">
        <f>IF(SUM(tblPiNAnalysis[[#This Row],[SAMV]:[ASH]])=0, "",IF(COUNTIF(tblPiNAnalysis[[#This Row],[SAMV]:[ASH]],"=0")+COUNTIF(tblPiNAnalysis[[#This Row],[SAMV]:[ASH]],"")&gt;=zero_pin_thresh, "Flagged", ""))</f>
        <v/>
      </c>
      <c r="AC96" s="95" t="str">
        <f>IFERROR(IF(tblPiNAnalysis[[#This Row],[PiN más alto]]="", "", IF(tblPiNAnalysis[[#This Row],[% PiN Sectores más altos]]&gt;=flag_pin_perc, "Flagged", "")), "")</f>
        <v/>
      </c>
      <c r="AD96" s="96" t="str" cm="1">
        <f t="array" ref="AD96">IF(tblPiNAnalysis[[#This Row],[PiN más alto]]=0, "",  IF(OR(COUNTIF(tblPiNAnalysis[[#This Row],[Sectores más altos]],tblSubSectorPopulation[Sector])), "Flagged", ""))</f>
        <v/>
      </c>
      <c r="AE96" s="16" cm="1">
        <f t="array" ref="AE9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16897.674999999999</v>
      </c>
      <c r="AF96" s="97" t="str" cm="1">
        <f t="array" ref="AF96">IF(tblPiNAnalysis[[#This Row],[2º PiN más alto]]="", "", _xlfn.TEXTJOIN(CHAR(10), TRUE, IF(tblPiNAnalysis[[#This Row],[2º PiN más alto]]=tblPiNAnalysis[[#This Row],[SAMV]:[ASH]], tblPiNAnalysis[[#Headers],[SAMV]:[ASH]], "")))</f>
        <v>SAL</v>
      </c>
      <c r="AG96" s="12">
        <f>IFERROR(tblPiNAnalysis[[#This Row],[2º PiN más alto]]/tblPiNAnalysis[[#This Row],[Población]], "")</f>
        <v>0.36499999999999999</v>
      </c>
      <c r="AH96" s="16">
        <f>IFERROR(tblPiNAnalysis[[#This Row],[PiN más alto]]-tblPiNAnalysis[[#This Row],[2º PiN más alto]], "")</f>
        <v>5360.3250000000007</v>
      </c>
      <c r="AI96" s="14">
        <f>IFERROR(((tblPiNAnalysis[[#This Row],[PiN más alto]]-tblPiNAnalysis[[#This Row],[2º PiN más alto]])/tblPiNAnalysis[[#This Row],[2º PiN más alto]]),"")</f>
        <v>0.31722263565845604</v>
      </c>
      <c r="AJ96" s="14" t="str" cm="1">
        <f t="array" ref="AJ9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96" s="98" cm="1">
        <f t="array" ref="AK9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11093.382618320909</v>
      </c>
      <c r="AL96" s="53" t="str" cm="1">
        <f t="array" ref="AL96">IF(tblPiNAnalysis[[#This Row],[3º PiN más alto]]="", "", _xlfn.TEXTJOIN(CHAR(10), TRUE, IF(tblPiNAnalysis[[#This Row],[3º PiN más alto]]=tblPiNAnalysis[[#This Row],[SAMV]:[ASH]], tblPiNAnalysis[[#Headers],[SAMV]:[ASH]], "")))</f>
        <v>PRO</v>
      </c>
      <c r="AM96" s="53">
        <f>IFERROR(tblPiNAnalysis[[#This Row],[3º PiN más alto]]/tblPiNAnalysis[[#This Row],[Población]], "")</f>
        <v>0.23962377402140425</v>
      </c>
      <c r="AN96" s="15">
        <f>IFERROR(tblPiNAnalysis[[#This Row],[PiN más alto]]-tblPiNAnalysis[[#This Row],[3º PiN más alto]],"")</f>
        <v>11164.617381679091</v>
      </c>
      <c r="AO96" s="14">
        <f>IFERROR(tblPiNAnalysis[[#This Row],[Diferencia de PiN entre el más alto y el 3º más alto]]/tblPiNAnalysis[[#This Row],[3º PiN más alto]], "")</f>
        <v>1.0064213744183435</v>
      </c>
      <c r="AP96" s="96" t="str" cm="1">
        <f t="array" ref="AP9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96" s="84" cm="1">
        <f t="array" ref="AQ96">IFERROR(IF(tblPiNAnalysis[[#This Row],[ID]]="", "", INDEX(tblPiNHistorical[[SAMV]:[ASH]], MATCH(tblPiNAnalysis[[#This Row],[ID]],tblPiNHistorical[ID], 0),MATCH(_xlfn._xlws.FILTER(tblPiNAnalysis[[#Headers],[SAMV]:[ASH]], tblPiNAnalysis[[#This Row],[PiN más alto]]=tblPiNAnalysis[[#This Row],[SAMV]:[ASH]]), tblPiNHistorical[[#Headers],[SAMV]:[ASH]], 0))), "")</f>
        <v>0.1</v>
      </c>
      <c r="AR96" s="99" t="str" cm="1">
        <f t="array" ref="AR9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96" s="74" cm="1">
        <f t="array" ref="AS96">IFERROR(IF(tblPiNAnalysis[[#This Row],[ID]]="", "", INDEX(tblPiNHistorical[[SAMV]:[ASH]], MATCH(tblPiNAnalysis[[#This Row],[ID]],tblPiNHistorical[ID], 0),MATCH(_xlfn._xlws.FILTER(tblPiNAnalysis[[#Headers],[SAMV]:[ASH]], tblPiNAnalysis[[#This Row],[2º PiN más alto]]=tblPiNAnalysis[[#This Row],[SAMV]:[ASH]]), tblPiNHistorical[[#Headers],[SAMV]:[ASH]], 0))), "")</f>
        <v>-0.4</v>
      </c>
      <c r="AT96" s="100" t="str" cm="1">
        <f t="array" ref="AT9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96" s="219">
        <f>INDEX(tblSeverityAnalysis[Severidad final], MATCH(tblPiNAnalysis[[#This Row],[ID]],tblSeverityAnalysis[ID], 0))</f>
        <v>3</v>
      </c>
      <c r="AV96" s="220">
        <f>IF(tblPiNAnalysis[[#This Row],[Severidad]]&gt;2,tblPiNAnalysis[[#This Row],[PiN más alto]],)</f>
        <v>22258</v>
      </c>
      <c r="AW96" s="54"/>
      <c r="AX96" s="55"/>
      <c r="AY96" s="56">
        <f>COUNTIFS(tblPiNAnalysis[[#This Row],[Número de PiN ausentes/cero superior al umbral - Calidad de los datos]:[Marcador manual]],"Flagged")</f>
        <v>2</v>
      </c>
      <c r="AZ96" s="34" t="str">
        <f>IF(tblPiNAnalysis[[#This Row],[Número de marcadores]]&gt;0, "Flagged", "")</f>
        <v>Flagged</v>
      </c>
      <c r="BA96" s="92">
        <f>tblPiNAnalysis[[#This Row],[PiN preliminar]]</f>
        <v>22258</v>
      </c>
      <c r="BB96" s="97"/>
      <c r="BC96" s="70">
        <f>IFERROR(IF(tblPiNAnalysis[[#This Row],[Severidad]]=3,tblPiNAnalysis[[#This Row],[PiN final]]*Umbrales!$D$33,tblPiNAnalysis[[#This Row],[PiN final]]*Umbrales!$D$34),)</f>
        <v>11129</v>
      </c>
      <c r="BD96" s="70">
        <f>IFERROR(IF(tblPiNAnalysis[[#This Row],[Severidad]]&gt;3,tblPiNAnalysis[[#This Row],[PiN final]]*Umbrales!$D$34,),)</f>
        <v>0</v>
      </c>
    </row>
    <row r="97" spans="1:56">
      <c r="A97" s="101" t="str">
        <f>IFERROR(_xlfn.CONCAT(IF(tblPiNAnalysis[[#This Row],[Grupo]]="", "",tblPiNAnalysis[[#This Row],[Grupo]] ),  _xlfn.IFS(tblPiNAnalysis[[#This Row],[Admin2PCODE]]&lt;&gt;"", tblPiNAnalysis[[#This Row],[Admin2PCODE]], tblPiNAnalysis[[#This Row],[Admin1PCODE]]&lt;&gt;"", tblPiNAnalysis[[#This Row],[Admin1PCODE]])),"")</f>
        <v>VenezolanosVE2003</v>
      </c>
      <c r="B97" s="105" t="s">
        <v>589</v>
      </c>
      <c r="C97" s="104" t="s">
        <v>590</v>
      </c>
      <c r="D97" s="119" t="s">
        <v>595</v>
      </c>
      <c r="E97" s="104" t="s">
        <v>596</v>
      </c>
      <c r="F97" s="358"/>
      <c r="G97" s="357">
        <v>60678</v>
      </c>
      <c r="H97" s="103" t="s">
        <v>102</v>
      </c>
      <c r="I97" s="60">
        <v>14448</v>
      </c>
      <c r="J97" s="134">
        <v>2212.9798862816215</v>
      </c>
      <c r="K97" s="57">
        <v>22147.47</v>
      </c>
      <c r="L97" s="87">
        <v>7493.618245715983</v>
      </c>
      <c r="M97" s="87">
        <v>7287.7381323869377</v>
      </c>
      <c r="N97" s="57">
        <v>8191.5300000000007</v>
      </c>
      <c r="O97" s="57">
        <v>2332.0762023638199</v>
      </c>
      <c r="P97" s="57">
        <v>2550.7083463354279</v>
      </c>
      <c r="Q97" s="88">
        <f>IFERROR(IF(tblPiNAnalysis[[#This Row],[SAMV]]="", "", MROUND(tblPiNAnalysis[[#This Row],[SAMV]]/tblPiNAnalysis[[#This Row],[Población]], 0.05)), "")</f>
        <v>0.25</v>
      </c>
      <c r="R97" s="89">
        <f>IFERROR(IF(tblPiNAnalysis[[#This Row],[NUT]]="", "", MROUND(tblPiNAnalysis[[#This Row],[NUT]]/tblPiNAnalysis[[#This Row],[Población]], 0.05)), "")</f>
        <v>0.05</v>
      </c>
      <c r="S97" s="89">
        <f>IFERROR(IF(tblPiNAnalysis[[#This Row],[SAL]]="", "", MROUND(tblPiNAnalysis[[#This Row],[SAL]]/tblPiNAnalysis[[#This Row],[Población]], 0.05)), "")</f>
        <v>0.35000000000000003</v>
      </c>
      <c r="T97" s="89">
        <f>IFERROR(IF(tblPiNAnalysis[[#This Row],[EDU]]="", "", MROUND(tblPiNAnalysis[[#This Row],[EDU]]/tblPiNAnalysis[[#This Row],[Población]], 0.05)), "")</f>
        <v>0.1</v>
      </c>
      <c r="U97" s="89">
        <f>IFERROR(IF(tblPiNAnalysis[[#This Row],[PRO]]="", "", MROUND(tblPiNAnalysis[[#This Row],[PRO]]/tblPiNAnalysis[[#This Row],[Población]], 0.05)), "")</f>
        <v>0.1</v>
      </c>
      <c r="V97" s="90">
        <f>IFERROR(IF(tblPiNAnalysis[[#This Row],[ASH]]="", "", MROUND(tblPiNAnalysis[[#This Row],[ASH]]/tblPiNAnalysis[[#This Row],[Población]], 0.05)), "")</f>
        <v>0.15000000000000002</v>
      </c>
      <c r="W97" s="89">
        <f>IFERROR(MROUND(tblPiNAnalysis[[#This Row],[NNA]]/tblPiNAnalysis[[#This Row],[Población]], 0.05), "")</f>
        <v>0.05</v>
      </c>
      <c r="X97" s="89">
        <f>IFERROR(MROUND(tblPiNAnalysis[[#This Row],[VBG]]/tblPiNAnalysis[[#This Row],[Población]], 0.05), "")</f>
        <v>0.05</v>
      </c>
      <c r="Y97" s="91">
        <f>IFERROR(LARGE(tblPiNAnalysis[[#This Row],[SAMV]:[ASH]], 1), "")</f>
        <v>22147.47</v>
      </c>
      <c r="Z97" s="92" t="str" cm="1">
        <f t="array" ref="Z97">IF(tblPiNAnalysis[[#This Row],[PiN más alto]]="", "", _xlfn.TEXTJOIN(CHAR(10), TRUE, IF(tblPiNAnalysis[[#This Row],[PiN más alto]]=tblPiNAnalysis[[#This Row],[SAMV]:[ASH]], tblPiNAnalysis[[#Headers],[SAMV]:[ASH]], "")))</f>
        <v>SAL</v>
      </c>
      <c r="AA97" s="93">
        <f>IF(tblPiNAnalysis[[#This Row],[PiN más alto]]="", "", tblPiNAnalysis[[#This Row],[PiN más alto]]/tblPiNAnalysis[[#This Row],[Población]])</f>
        <v>0.36500000000000005</v>
      </c>
      <c r="AB97" s="94" t="str">
        <f>IF(SUM(tblPiNAnalysis[[#This Row],[SAMV]:[ASH]])=0, "",IF(COUNTIF(tblPiNAnalysis[[#This Row],[SAMV]:[ASH]],"=0")+COUNTIF(tblPiNAnalysis[[#This Row],[SAMV]:[ASH]],"")&gt;=zero_pin_thresh, "Flagged", ""))</f>
        <v/>
      </c>
      <c r="AC97" s="95" t="str">
        <f>IFERROR(IF(tblPiNAnalysis[[#This Row],[PiN más alto]]="", "", IF(tblPiNAnalysis[[#This Row],[% PiN Sectores más altos]]&gt;=flag_pin_perc, "Flagged", "")), "")</f>
        <v/>
      </c>
      <c r="AD97" s="96" t="str" cm="1">
        <f t="array" ref="AD97">IF(tblPiNAnalysis[[#This Row],[PiN más alto]]=0, "",  IF(OR(COUNTIF(tblPiNAnalysis[[#This Row],[Sectores más altos]],tblSubSectorPopulation[Sector])), "Flagged", ""))</f>
        <v/>
      </c>
      <c r="AE97" s="16" cm="1">
        <f t="array" ref="AE9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14448</v>
      </c>
      <c r="AF97" s="97" t="str" cm="1">
        <f t="array" ref="AF97">IF(tblPiNAnalysis[[#This Row],[2º PiN más alto]]="", "", _xlfn.TEXTJOIN(CHAR(10), TRUE, IF(tblPiNAnalysis[[#This Row],[2º PiN más alto]]=tblPiNAnalysis[[#This Row],[SAMV]:[ASH]], tblPiNAnalysis[[#Headers],[SAMV]:[ASH]], "")))</f>
        <v>SAMV</v>
      </c>
      <c r="AG97" s="12">
        <f>IFERROR(tblPiNAnalysis[[#This Row],[2º PiN más alto]]/tblPiNAnalysis[[#This Row],[Población]], "")</f>
        <v>0.23810936418471274</v>
      </c>
      <c r="AH97" s="16">
        <f>IFERROR(tblPiNAnalysis[[#This Row],[PiN más alto]]-tblPiNAnalysis[[#This Row],[2º PiN más alto]], "")</f>
        <v>7699.4700000000012</v>
      </c>
      <c r="AI97" s="14">
        <f>IFERROR(((tblPiNAnalysis[[#This Row],[PiN más alto]]-tblPiNAnalysis[[#This Row],[2º PiN más alto]])/tblPiNAnalysis[[#This Row],[2º PiN más alto]]),"")</f>
        <v>0.53290905315614623</v>
      </c>
      <c r="AJ97" s="14" t="str" cm="1">
        <f t="array" ref="AJ9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97" s="98" cm="1">
        <f t="array" ref="AK9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8191.5300000000007</v>
      </c>
      <c r="AL97" s="53" t="str" cm="1">
        <f t="array" ref="AL97">IF(tblPiNAnalysis[[#This Row],[3º PiN más alto]]="", "", _xlfn.TEXTJOIN(CHAR(10), TRUE, IF(tblPiNAnalysis[[#This Row],[3º PiN más alto]]=tblPiNAnalysis[[#This Row],[SAMV]:[ASH]], tblPiNAnalysis[[#Headers],[SAMV]:[ASH]], "")))</f>
        <v>ASH</v>
      </c>
      <c r="AM97" s="53">
        <f>IFERROR(tblPiNAnalysis[[#This Row],[3º PiN más alto]]/tblPiNAnalysis[[#This Row],[Población]], "")</f>
        <v>0.13500000000000001</v>
      </c>
      <c r="AN97" s="15">
        <f>IFERROR(tblPiNAnalysis[[#This Row],[PiN más alto]]-tblPiNAnalysis[[#This Row],[3º PiN más alto]],"")</f>
        <v>13955.94</v>
      </c>
      <c r="AO97" s="14">
        <f>IFERROR(tblPiNAnalysis[[#This Row],[Diferencia de PiN entre el más alto y el 3º más alto]]/tblPiNAnalysis[[#This Row],[3º PiN más alto]], "")</f>
        <v>1.7037037037037037</v>
      </c>
      <c r="AP97" s="96" t="str" cm="1">
        <f t="array" ref="AP9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97" s="84" cm="1">
        <f t="array" ref="AQ97">IFERROR(IF(tblPiNAnalysis[[#This Row],[ID]]="", "", INDEX(tblPiNHistorical[[SAMV]:[ASH]], MATCH(tblPiNAnalysis[[#This Row],[ID]],tblPiNHistorical[ID], 0),MATCH(_xlfn._xlws.FILTER(tblPiNAnalysis[[#Headers],[SAMV]:[ASH]], tblPiNAnalysis[[#This Row],[PiN más alto]]=tblPiNAnalysis[[#This Row],[SAMV]:[ASH]]), tblPiNHistorical[[#Headers],[SAMV]:[ASH]], 0))), "")</f>
        <v>3.3</v>
      </c>
      <c r="AR97" s="99" t="str" cm="1">
        <f t="array" ref="AR9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97" s="74" cm="1">
        <f t="array" ref="AS97">IFERROR(IF(tblPiNAnalysis[[#This Row],[ID]]="", "", INDEX(tblPiNHistorical[[SAMV]:[ASH]], MATCH(tblPiNAnalysis[[#This Row],[ID]],tblPiNHistorical[ID], 0),MATCH(_xlfn._xlws.FILTER(tblPiNAnalysis[[#Headers],[SAMV]:[ASH]], tblPiNAnalysis[[#This Row],[2º PiN más alto]]=tblPiNAnalysis[[#This Row],[SAMV]:[ASH]]), tblPiNHistorical[[#Headers],[SAMV]:[ASH]], 0))), "")</f>
        <v>0.2</v>
      </c>
      <c r="AT97" s="100" t="str" cm="1">
        <f t="array" ref="AT9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97" s="219">
        <f>INDEX(tblSeverityAnalysis[Severidad final], MATCH(tblPiNAnalysis[[#This Row],[ID]],tblSeverityAnalysis[ID], 0))</f>
        <v>3</v>
      </c>
      <c r="AV97" s="220">
        <f>IF(tblPiNAnalysis[[#This Row],[Severidad]]&gt;2,tblPiNAnalysis[[#This Row],[PiN más alto]],)</f>
        <v>22147.47</v>
      </c>
      <c r="AW97" s="54"/>
      <c r="AX97" s="55"/>
      <c r="AY97" s="56">
        <f>COUNTIFS(tblPiNAnalysis[[#This Row],[Número de PiN ausentes/cero superior al umbral - Calidad de los datos]:[Marcador manual]],"Flagged")</f>
        <v>3</v>
      </c>
      <c r="AZ97" s="34" t="str">
        <f>IF(tblPiNAnalysis[[#This Row],[Número de marcadores]]&gt;0, "Flagged", "")</f>
        <v>Flagged</v>
      </c>
      <c r="BA97" s="92">
        <f>tblPiNAnalysis[[#This Row],[PiN preliminar]]</f>
        <v>22147.47</v>
      </c>
      <c r="BB97" s="97"/>
      <c r="BC97" s="70">
        <f>IFERROR(IF(tblPiNAnalysis[[#This Row],[Severidad]]=3,tblPiNAnalysis[[#This Row],[PiN final]]*Umbrales!$D$33,tblPiNAnalysis[[#This Row],[PiN final]]*Umbrales!$D$34),)</f>
        <v>11073.735000000001</v>
      </c>
      <c r="BD97" s="70">
        <f>IFERROR(IF(tblPiNAnalysis[[#This Row],[Severidad]]&gt;3,tblPiNAnalysis[[#This Row],[PiN final]]*Umbrales!$D$34,),)</f>
        <v>0</v>
      </c>
    </row>
    <row r="98" spans="1:56">
      <c r="A98" s="101" t="str">
        <f>IFERROR(_xlfn.CONCAT(IF(tblPiNAnalysis[[#This Row],[Grupo]]="", "",tblPiNAnalysis[[#This Row],[Grupo]] ),  _xlfn.IFS(tblPiNAnalysis[[#This Row],[Admin2PCODE]]&lt;&gt;"", tblPiNAnalysis[[#This Row],[Admin2PCODE]], tblPiNAnalysis[[#This Row],[Admin1PCODE]]&lt;&gt;"", tblPiNAnalysis[[#This Row],[Admin1PCODE]])),"")</f>
        <v>VenezolanosVE1807</v>
      </c>
      <c r="B98" s="105" t="s">
        <v>536</v>
      </c>
      <c r="C98" s="104" t="s">
        <v>537</v>
      </c>
      <c r="D98" s="119" t="s">
        <v>550</v>
      </c>
      <c r="E98" s="104" t="s">
        <v>551</v>
      </c>
      <c r="F98" s="358"/>
      <c r="G98" s="357">
        <v>50334</v>
      </c>
      <c r="H98" s="103" t="s">
        <v>102</v>
      </c>
      <c r="I98" s="60">
        <v>22117</v>
      </c>
      <c r="J98" s="134">
        <v>1747.0312648443976</v>
      </c>
      <c r="K98" s="57">
        <v>18371.91</v>
      </c>
      <c r="L98" s="87">
        <v>2612.3250879443831</v>
      </c>
      <c r="M98" s="87">
        <v>7959.0928470456447</v>
      </c>
      <c r="N98" s="57">
        <v>0</v>
      </c>
      <c r="O98" s="57">
        <v>2554.868803901652</v>
      </c>
      <c r="P98" s="57">
        <v>2785.6824964659754</v>
      </c>
      <c r="Q98" s="88">
        <f>IFERROR(IF(tblPiNAnalysis[[#This Row],[SAMV]]="", "", MROUND(tblPiNAnalysis[[#This Row],[SAMV]]/tblPiNAnalysis[[#This Row],[Población]], 0.05)), "")</f>
        <v>0.45</v>
      </c>
      <c r="R98" s="89">
        <f>IFERROR(IF(tblPiNAnalysis[[#This Row],[NUT]]="", "", MROUND(tblPiNAnalysis[[#This Row],[NUT]]/tblPiNAnalysis[[#This Row],[Población]], 0.05)), "")</f>
        <v>0.05</v>
      </c>
      <c r="S98" s="89">
        <f>IFERROR(IF(tblPiNAnalysis[[#This Row],[SAL]]="", "", MROUND(tblPiNAnalysis[[#This Row],[SAL]]/tblPiNAnalysis[[#This Row],[Población]], 0.05)), "")</f>
        <v>0.35000000000000003</v>
      </c>
      <c r="T98" s="89">
        <f>IFERROR(IF(tblPiNAnalysis[[#This Row],[EDU]]="", "", MROUND(tblPiNAnalysis[[#This Row],[EDU]]/tblPiNAnalysis[[#This Row],[Población]], 0.05)), "")</f>
        <v>0.05</v>
      </c>
      <c r="U98" s="89">
        <f>IFERROR(IF(tblPiNAnalysis[[#This Row],[PRO]]="", "", MROUND(tblPiNAnalysis[[#This Row],[PRO]]/tblPiNAnalysis[[#This Row],[Población]], 0.05)), "")</f>
        <v>0.15000000000000002</v>
      </c>
      <c r="V98" s="90">
        <f>IFERROR(IF(tblPiNAnalysis[[#This Row],[ASH]]="", "", MROUND(tblPiNAnalysis[[#This Row],[ASH]]/tblPiNAnalysis[[#This Row],[Población]], 0.05)), "")</f>
        <v>0</v>
      </c>
      <c r="W98" s="89">
        <f>IFERROR(MROUND(tblPiNAnalysis[[#This Row],[NNA]]/tblPiNAnalysis[[#This Row],[Población]], 0.05), "")</f>
        <v>0.05</v>
      </c>
      <c r="X98" s="89">
        <f>IFERROR(MROUND(tblPiNAnalysis[[#This Row],[VBG]]/tblPiNAnalysis[[#This Row],[Población]], 0.05), "")</f>
        <v>0.05</v>
      </c>
      <c r="Y98" s="91">
        <f>IFERROR(LARGE(tblPiNAnalysis[[#This Row],[SAMV]:[ASH]], 1), "")</f>
        <v>22117</v>
      </c>
      <c r="Z98" s="92" t="str" cm="1">
        <f t="array" ref="Z98">IF(tblPiNAnalysis[[#This Row],[PiN más alto]]="", "", _xlfn.TEXTJOIN(CHAR(10), TRUE, IF(tblPiNAnalysis[[#This Row],[PiN más alto]]=tblPiNAnalysis[[#This Row],[SAMV]:[ASH]], tblPiNAnalysis[[#Headers],[SAMV]:[ASH]], "")))</f>
        <v>SAMV</v>
      </c>
      <c r="AA98" s="93">
        <f>IF(tblPiNAnalysis[[#This Row],[PiN más alto]]="", "", tblPiNAnalysis[[#This Row],[PiN más alto]]/tblPiNAnalysis[[#This Row],[Población]])</f>
        <v>0.43940477609568085</v>
      </c>
      <c r="AB98" s="94" t="str">
        <f>IF(SUM(tblPiNAnalysis[[#This Row],[SAMV]:[ASH]])=0, "",IF(COUNTIF(tblPiNAnalysis[[#This Row],[SAMV]:[ASH]],"=0")+COUNTIF(tblPiNAnalysis[[#This Row],[SAMV]:[ASH]],"")&gt;=zero_pin_thresh, "Flagged", ""))</f>
        <v/>
      </c>
      <c r="AC98" s="95" t="str">
        <f>IFERROR(IF(tblPiNAnalysis[[#This Row],[PiN más alto]]="", "", IF(tblPiNAnalysis[[#This Row],[% PiN Sectores más altos]]&gt;=flag_pin_perc, "Flagged", "")), "")</f>
        <v/>
      </c>
      <c r="AD98" s="96" t="str" cm="1">
        <f t="array" ref="AD98">IF(tblPiNAnalysis[[#This Row],[PiN más alto]]=0, "",  IF(OR(COUNTIF(tblPiNAnalysis[[#This Row],[Sectores más altos]],tblSubSectorPopulation[Sector])), "Flagged", ""))</f>
        <v/>
      </c>
      <c r="AE98" s="16" cm="1">
        <f t="array" ref="AE9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18371.91</v>
      </c>
      <c r="AF98" s="97" t="str" cm="1">
        <f t="array" ref="AF98">IF(tblPiNAnalysis[[#This Row],[2º PiN más alto]]="", "", _xlfn.TEXTJOIN(CHAR(10), TRUE, IF(tblPiNAnalysis[[#This Row],[2º PiN más alto]]=tblPiNAnalysis[[#This Row],[SAMV]:[ASH]], tblPiNAnalysis[[#Headers],[SAMV]:[ASH]], "")))</f>
        <v>SAL</v>
      </c>
      <c r="AG98" s="12">
        <f>IFERROR(tblPiNAnalysis[[#This Row],[2º PiN más alto]]/tblPiNAnalysis[[#This Row],[Población]], "")</f>
        <v>0.36499999999999999</v>
      </c>
      <c r="AH98" s="16">
        <f>IFERROR(tblPiNAnalysis[[#This Row],[PiN más alto]]-tblPiNAnalysis[[#This Row],[2º PiN más alto]], "")</f>
        <v>3745.09</v>
      </c>
      <c r="AI98" s="14">
        <f>IFERROR(((tblPiNAnalysis[[#This Row],[PiN más alto]]-tblPiNAnalysis[[#This Row],[2º PiN más alto]])/tblPiNAnalysis[[#This Row],[2º PiN más alto]]),"")</f>
        <v>0.20384870163200233</v>
      </c>
      <c r="AJ98" s="14" t="str" cm="1">
        <f t="array" ref="AJ9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98" s="98" cm="1">
        <f t="array" ref="AK9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7959.0928470456447</v>
      </c>
      <c r="AL98" s="53" t="str" cm="1">
        <f t="array" ref="AL98">IF(tblPiNAnalysis[[#This Row],[3º PiN más alto]]="", "", _xlfn.TEXTJOIN(CHAR(10), TRUE, IF(tblPiNAnalysis[[#This Row],[3º PiN más alto]]=tblPiNAnalysis[[#This Row],[SAMV]:[ASH]], tblPiNAnalysis[[#Headers],[SAMV]:[ASH]], "")))</f>
        <v>PRO</v>
      </c>
      <c r="AM98" s="53">
        <f>IFERROR(tblPiNAnalysis[[#This Row],[3º PiN más alto]]/tblPiNAnalysis[[#This Row],[Población]], "")</f>
        <v>0.15812557807934288</v>
      </c>
      <c r="AN98" s="15">
        <f>IFERROR(tblPiNAnalysis[[#This Row],[PiN más alto]]-tblPiNAnalysis[[#This Row],[3º PiN más alto]],"")</f>
        <v>14157.907152954354</v>
      </c>
      <c r="AO98" s="14">
        <f>IFERROR(tblPiNAnalysis[[#This Row],[Diferencia de PiN entre el más alto y el 3º más alto]]/tblPiNAnalysis[[#This Row],[3º PiN más alto]], "")</f>
        <v>1.7788342748394577</v>
      </c>
      <c r="AP98" s="96" t="str" cm="1">
        <f t="array" ref="AP9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98" s="84" cm="1">
        <f t="array" ref="AQ98">IFERROR(IF(tblPiNAnalysis[[#This Row],[ID]]="", "", INDEX(tblPiNHistorical[[SAMV]:[ASH]], MATCH(tblPiNAnalysis[[#This Row],[ID]],tblPiNHistorical[ID], 0),MATCH(_xlfn._xlws.FILTER(tblPiNAnalysis[[#Headers],[SAMV]:[ASH]], tblPiNAnalysis[[#This Row],[PiN más alto]]=tblPiNAnalysis[[#This Row],[SAMV]:[ASH]]), tblPiNHistorical[[#Headers],[SAMV]:[ASH]], 0))), "")</f>
        <v>-0.9</v>
      </c>
      <c r="AR98" s="99" t="str" cm="1">
        <f t="array" ref="AR9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98" s="74" cm="1">
        <f t="array" ref="AS98">IFERROR(IF(tblPiNAnalysis[[#This Row],[ID]]="", "", INDEX(tblPiNHistorical[[SAMV]:[ASH]], MATCH(tblPiNAnalysis[[#This Row],[ID]],tblPiNHistorical[ID], 0),MATCH(_xlfn._xlws.FILTER(tblPiNAnalysis[[#Headers],[SAMV]:[ASH]], tblPiNAnalysis[[#This Row],[2º PiN más alto]]=tblPiNAnalysis[[#This Row],[SAMV]:[ASH]]), tblPiNHistorical[[#Headers],[SAMV]:[ASH]], 0))), "")</f>
        <v>-0.8</v>
      </c>
      <c r="AT98" s="100" t="str" cm="1">
        <f t="array" ref="AT9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98" s="219">
        <f>INDEX(tblSeverityAnalysis[Severidad final], MATCH(tblPiNAnalysis[[#This Row],[ID]],tblSeverityAnalysis[ID], 0))</f>
        <v>3</v>
      </c>
      <c r="AV98" s="220">
        <f>IF(tblPiNAnalysis[[#This Row],[Severidad]]&gt;2,tblPiNAnalysis[[#This Row],[PiN más alto]],)</f>
        <v>22117</v>
      </c>
      <c r="AW98" s="54"/>
      <c r="AX98" s="55"/>
      <c r="AY98" s="56">
        <f>COUNTIFS(tblPiNAnalysis[[#This Row],[Número de PiN ausentes/cero superior al umbral - Calidad de los datos]:[Marcador manual]],"Flagged")</f>
        <v>1</v>
      </c>
      <c r="AZ98" s="34" t="str">
        <f>IF(tblPiNAnalysis[[#This Row],[Número de marcadores]]&gt;0, "Flagged", "")</f>
        <v>Flagged</v>
      </c>
      <c r="BA98" s="92">
        <f>tblPiNAnalysis[[#This Row],[PiN preliminar]]</f>
        <v>22117</v>
      </c>
      <c r="BB98" s="97"/>
      <c r="BC98" s="70">
        <f>IFERROR(IF(tblPiNAnalysis[[#This Row],[Severidad]]=3,tblPiNAnalysis[[#This Row],[PiN final]]*Umbrales!$D$33,tblPiNAnalysis[[#This Row],[PiN final]]*Umbrales!$D$34),)</f>
        <v>11058.5</v>
      </c>
      <c r="BD98" s="70">
        <f>IFERROR(IF(tblPiNAnalysis[[#This Row],[Severidad]]&gt;3,tblPiNAnalysis[[#This Row],[PiN final]]*Umbrales!$D$34,),)</f>
        <v>0</v>
      </c>
    </row>
    <row r="99" spans="1:56">
      <c r="A99" s="101" t="str">
        <f>IFERROR(_xlfn.CONCAT(IF(tblPiNAnalysis[[#This Row],[Grupo]]="", "",tblPiNAnalysis[[#This Row],[Grupo]] ),  _xlfn.IFS(tblPiNAnalysis[[#This Row],[Admin2PCODE]]&lt;&gt;"", tblPiNAnalysis[[#This Row],[Admin2PCODE]], tblPiNAnalysis[[#This Row],[Admin1PCODE]]&lt;&gt;"", tblPiNAnalysis[[#This Row],[Admin1PCODE]])),"")</f>
        <v>VenezolanosVE2209</v>
      </c>
      <c r="B99" s="105" t="s">
        <v>678</v>
      </c>
      <c r="C99" s="104" t="s">
        <v>679</v>
      </c>
      <c r="D99" s="119" t="s">
        <v>694</v>
      </c>
      <c r="E99" s="104" t="s">
        <v>695</v>
      </c>
      <c r="F99" s="358"/>
      <c r="G99" s="357">
        <v>60255</v>
      </c>
      <c r="H99" s="103" t="s">
        <v>102</v>
      </c>
      <c r="I99" s="60">
        <v>15063</v>
      </c>
      <c r="J99" s="134">
        <v>3140.3300244250358</v>
      </c>
      <c r="K99" s="57">
        <v>21993.075000000001</v>
      </c>
      <c r="L99" s="87">
        <v>6639.3574819902069</v>
      </c>
      <c r="M99" s="87">
        <v>14373.405724665281</v>
      </c>
      <c r="N99" s="57">
        <v>0</v>
      </c>
      <c r="O99" s="57">
        <v>4613.8632376175556</v>
      </c>
      <c r="P99" s="57">
        <v>5030.6920036328484</v>
      </c>
      <c r="Q99" s="88">
        <f>IFERROR(IF(tblPiNAnalysis[[#This Row],[SAMV]]="", "", MROUND(tblPiNAnalysis[[#This Row],[SAMV]]/tblPiNAnalysis[[#This Row],[Población]], 0.05)), "")</f>
        <v>0.25</v>
      </c>
      <c r="R99" s="89">
        <f>IFERROR(IF(tblPiNAnalysis[[#This Row],[NUT]]="", "", MROUND(tblPiNAnalysis[[#This Row],[NUT]]/tblPiNAnalysis[[#This Row],[Población]], 0.05)), "")</f>
        <v>0.05</v>
      </c>
      <c r="S99" s="89">
        <f>IFERROR(IF(tblPiNAnalysis[[#This Row],[SAL]]="", "", MROUND(tblPiNAnalysis[[#This Row],[SAL]]/tblPiNAnalysis[[#This Row],[Población]], 0.05)), "")</f>
        <v>0.35000000000000003</v>
      </c>
      <c r="T99" s="89">
        <f>IFERROR(IF(tblPiNAnalysis[[#This Row],[EDU]]="", "", MROUND(tblPiNAnalysis[[#This Row],[EDU]]/tblPiNAnalysis[[#This Row],[Población]], 0.05)), "")</f>
        <v>0.1</v>
      </c>
      <c r="U99" s="89">
        <f>IFERROR(IF(tblPiNAnalysis[[#This Row],[PRO]]="", "", MROUND(tblPiNAnalysis[[#This Row],[PRO]]/tblPiNAnalysis[[#This Row],[Población]], 0.05)), "")</f>
        <v>0.25</v>
      </c>
      <c r="V99" s="90">
        <f>IFERROR(IF(tblPiNAnalysis[[#This Row],[ASH]]="", "", MROUND(tblPiNAnalysis[[#This Row],[ASH]]/tblPiNAnalysis[[#This Row],[Población]], 0.05)), "")</f>
        <v>0</v>
      </c>
      <c r="W99" s="89">
        <f>IFERROR(MROUND(tblPiNAnalysis[[#This Row],[NNA]]/tblPiNAnalysis[[#This Row],[Población]], 0.05), "")</f>
        <v>0.1</v>
      </c>
      <c r="X99" s="89">
        <f>IFERROR(MROUND(tblPiNAnalysis[[#This Row],[VBG]]/tblPiNAnalysis[[#This Row],[Población]], 0.05), "")</f>
        <v>0.1</v>
      </c>
      <c r="Y99" s="91">
        <f>IFERROR(LARGE(tblPiNAnalysis[[#This Row],[SAMV]:[ASH]], 1), "")</f>
        <v>21993.075000000001</v>
      </c>
      <c r="Z99" s="92" t="str" cm="1">
        <f t="array" ref="Z99">IF(tblPiNAnalysis[[#This Row],[PiN más alto]]="", "", _xlfn.TEXTJOIN(CHAR(10), TRUE, IF(tblPiNAnalysis[[#This Row],[PiN más alto]]=tblPiNAnalysis[[#This Row],[SAMV]:[ASH]], tblPiNAnalysis[[#Headers],[SAMV]:[ASH]], "")))</f>
        <v>SAL</v>
      </c>
      <c r="AA99" s="93">
        <f>IF(tblPiNAnalysis[[#This Row],[PiN más alto]]="", "", tblPiNAnalysis[[#This Row],[PiN más alto]]/tblPiNAnalysis[[#This Row],[Población]])</f>
        <v>0.36499999999999999</v>
      </c>
      <c r="AB99" s="94" t="str">
        <f>IF(SUM(tblPiNAnalysis[[#This Row],[SAMV]:[ASH]])=0, "",IF(COUNTIF(tblPiNAnalysis[[#This Row],[SAMV]:[ASH]],"=0")+COUNTIF(tblPiNAnalysis[[#This Row],[SAMV]:[ASH]],"")&gt;=zero_pin_thresh, "Flagged", ""))</f>
        <v/>
      </c>
      <c r="AC99" s="95" t="str">
        <f>IFERROR(IF(tblPiNAnalysis[[#This Row],[PiN más alto]]="", "", IF(tblPiNAnalysis[[#This Row],[% PiN Sectores más altos]]&gt;=flag_pin_perc, "Flagged", "")), "")</f>
        <v/>
      </c>
      <c r="AD99" s="96" t="str" cm="1">
        <f t="array" ref="AD99">IF(tblPiNAnalysis[[#This Row],[PiN más alto]]=0, "",  IF(OR(COUNTIF(tblPiNAnalysis[[#This Row],[Sectores más altos]],tblSubSectorPopulation[Sector])), "Flagged", ""))</f>
        <v/>
      </c>
      <c r="AE99" s="16" cm="1">
        <f t="array" ref="AE9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15063</v>
      </c>
      <c r="AF99" s="97" t="str" cm="1">
        <f t="array" ref="AF99">IF(tblPiNAnalysis[[#This Row],[2º PiN más alto]]="", "", _xlfn.TEXTJOIN(CHAR(10), TRUE, IF(tblPiNAnalysis[[#This Row],[2º PiN más alto]]=tblPiNAnalysis[[#This Row],[SAMV]:[ASH]], tblPiNAnalysis[[#Headers],[SAMV]:[ASH]], "")))</f>
        <v>SAMV</v>
      </c>
      <c r="AG99" s="12">
        <f>IFERROR(tblPiNAnalysis[[#This Row],[2º PiN más alto]]/tblPiNAnalysis[[#This Row],[Población]], "")</f>
        <v>0.24998755290017427</v>
      </c>
      <c r="AH99" s="16">
        <f>IFERROR(tblPiNAnalysis[[#This Row],[PiN más alto]]-tblPiNAnalysis[[#This Row],[2º PiN más alto]], "")</f>
        <v>6930.0750000000007</v>
      </c>
      <c r="AI99" s="14">
        <f>IFERROR(((tblPiNAnalysis[[#This Row],[PiN más alto]]-tblPiNAnalysis[[#This Row],[2º PiN más alto]])/tblPiNAnalysis[[#This Row],[2º PiN más alto]]),"")</f>
        <v>0.46007269468233425</v>
      </c>
      <c r="AJ99" s="14" t="str" cm="1">
        <f t="array" ref="AJ9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99" s="98" cm="1">
        <f t="array" ref="AK9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14373.405724665281</v>
      </c>
      <c r="AL99" s="53" t="str" cm="1">
        <f t="array" ref="AL99">IF(tblPiNAnalysis[[#This Row],[3º PiN más alto]]="", "", _xlfn.TEXTJOIN(CHAR(10), TRUE, IF(tblPiNAnalysis[[#This Row],[3º PiN más alto]]=tblPiNAnalysis[[#This Row],[SAMV]:[ASH]], tblPiNAnalysis[[#Headers],[SAMV]:[ASH]], "")))</f>
        <v>PRO</v>
      </c>
      <c r="AM99" s="53">
        <f>IFERROR(tblPiNAnalysis[[#This Row],[3º PiN más alto]]/tblPiNAnalysis[[#This Row],[Población]], "")</f>
        <v>0.23854295452104027</v>
      </c>
      <c r="AN99" s="15">
        <f>IFERROR(tblPiNAnalysis[[#This Row],[PiN más alto]]-tblPiNAnalysis[[#This Row],[3º PiN más alto]],"")</f>
        <v>7619.6692753347197</v>
      </c>
      <c r="AO99" s="14">
        <f>IFERROR(tblPiNAnalysis[[#This Row],[Diferencia de PiN entre el más alto y el 3º más alto]]/tblPiNAnalysis[[#This Row],[3º PiN más alto]], "")</f>
        <v>0.5301227434399276</v>
      </c>
      <c r="AP99" s="96" t="str" cm="1">
        <f t="array" ref="AP9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99" s="84" cm="1">
        <f t="array" ref="AQ99">IFERROR(IF(tblPiNAnalysis[[#This Row],[ID]]="", "", INDEX(tblPiNHistorical[[SAMV]:[ASH]], MATCH(tblPiNAnalysis[[#This Row],[ID]],tblPiNHistorical[ID], 0),MATCH(_xlfn._xlws.FILTER(tblPiNAnalysis[[#Headers],[SAMV]:[ASH]], tblPiNAnalysis[[#This Row],[PiN más alto]]=tblPiNAnalysis[[#This Row],[SAMV]:[ASH]]), tblPiNHistorical[[#Headers],[SAMV]:[ASH]], 0))), "")</f>
        <v>-0.8</v>
      </c>
      <c r="AR99" s="99" t="str" cm="1">
        <f t="array" ref="AR9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99" s="74" cm="1">
        <f t="array" ref="AS99">IFERROR(IF(tblPiNAnalysis[[#This Row],[ID]]="", "", INDEX(tblPiNHistorical[[SAMV]:[ASH]], MATCH(tblPiNAnalysis[[#This Row],[ID]],tblPiNHistorical[ID], 0),MATCH(_xlfn._xlws.FILTER(tblPiNAnalysis[[#Headers],[SAMV]:[ASH]], tblPiNAnalysis[[#This Row],[2º PiN más alto]]=tblPiNAnalysis[[#This Row],[SAMV]:[ASH]]), tblPiNHistorical[[#Headers],[SAMV]:[ASH]], 0))), "")</f>
        <v>-1</v>
      </c>
      <c r="AT99" s="100" t="str" cm="1">
        <f t="array" ref="AT9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99" s="219">
        <f>INDEX(tblSeverityAnalysis[Severidad final], MATCH(tblPiNAnalysis[[#This Row],[ID]],tblSeverityAnalysis[ID], 0))</f>
        <v>3</v>
      </c>
      <c r="AV99" s="220">
        <f>IF(tblPiNAnalysis[[#This Row],[Severidad]]&gt;2,tblPiNAnalysis[[#This Row],[PiN más alto]],)</f>
        <v>21993.075000000001</v>
      </c>
      <c r="AW99" s="54"/>
      <c r="AX99" s="55"/>
      <c r="AY99" s="56">
        <f>COUNTIFS(tblPiNAnalysis[[#This Row],[Número de PiN ausentes/cero superior al umbral - Calidad de los datos]:[Marcador manual]],"Flagged")</f>
        <v>3</v>
      </c>
      <c r="AZ99" s="34" t="str">
        <f>IF(tblPiNAnalysis[[#This Row],[Número de marcadores]]&gt;0, "Flagged", "")</f>
        <v>Flagged</v>
      </c>
      <c r="BA99" s="92">
        <f>tblPiNAnalysis[[#This Row],[PiN preliminar]]</f>
        <v>21993.075000000001</v>
      </c>
      <c r="BB99" s="97"/>
      <c r="BC99" s="70">
        <f>IFERROR(IF(tblPiNAnalysis[[#This Row],[Severidad]]=3,tblPiNAnalysis[[#This Row],[PiN final]]*Umbrales!$D$33,tblPiNAnalysis[[#This Row],[PiN final]]*Umbrales!$D$34),)</f>
        <v>10996.5375</v>
      </c>
      <c r="BD99" s="70">
        <f>IFERROR(IF(tblPiNAnalysis[[#This Row],[Severidad]]&gt;3,tblPiNAnalysis[[#This Row],[PiN final]]*Umbrales!$D$34,),)</f>
        <v>0</v>
      </c>
    </row>
    <row r="100" spans="1:56">
      <c r="A100" s="101" t="str">
        <f>IFERROR(_xlfn.CONCAT(IF(tblPiNAnalysis[[#This Row],[Grupo]]="", "",tblPiNAnalysis[[#This Row],[Grupo]] ),  _xlfn.IFS(tblPiNAnalysis[[#This Row],[Admin2PCODE]]&lt;&gt;"", tblPiNAnalysis[[#This Row],[Admin2PCODE]], tblPiNAnalysis[[#This Row],[Admin1PCODE]]&lt;&gt;"", tblPiNAnalysis[[#This Row],[Admin1PCODE]])),"")</f>
        <v>VenezolanosVE1913</v>
      </c>
      <c r="B100" s="105" t="s">
        <v>203</v>
      </c>
      <c r="C100" s="104" t="s">
        <v>564</v>
      </c>
      <c r="D100" s="119" t="s">
        <v>584</v>
      </c>
      <c r="E100" s="104" t="s">
        <v>585</v>
      </c>
      <c r="F100" s="358"/>
      <c r="G100" s="357">
        <v>59508</v>
      </c>
      <c r="H100" s="103" t="s">
        <v>102</v>
      </c>
      <c r="I100" s="60">
        <v>7731</v>
      </c>
      <c r="J100" s="134">
        <v>2441.753786154798</v>
      </c>
      <c r="K100" s="57">
        <v>21720.42</v>
      </c>
      <c r="L100" s="87">
        <v>1885.123341986196</v>
      </c>
      <c r="M100" s="87">
        <v>11871.113705622807</v>
      </c>
      <c r="N100" s="57">
        <v>0</v>
      </c>
      <c r="O100" s="57">
        <v>3798.7563857992982</v>
      </c>
      <c r="P100" s="57">
        <v>4154.8897969679829</v>
      </c>
      <c r="Q100" s="88">
        <f>IFERROR(IF(tblPiNAnalysis[[#This Row],[SAMV]]="", "", MROUND(tblPiNAnalysis[[#This Row],[SAMV]]/tblPiNAnalysis[[#This Row],[Población]], 0.05)), "")</f>
        <v>0.15000000000000002</v>
      </c>
      <c r="R100" s="89">
        <f>IFERROR(IF(tblPiNAnalysis[[#This Row],[NUT]]="", "", MROUND(tblPiNAnalysis[[#This Row],[NUT]]/tblPiNAnalysis[[#This Row],[Población]], 0.05)), "")</f>
        <v>0.05</v>
      </c>
      <c r="S100" s="89">
        <f>IFERROR(IF(tblPiNAnalysis[[#This Row],[SAL]]="", "", MROUND(tblPiNAnalysis[[#This Row],[SAL]]/tblPiNAnalysis[[#This Row],[Población]], 0.05)), "")</f>
        <v>0.35000000000000003</v>
      </c>
      <c r="T100" s="89">
        <f>IFERROR(IF(tblPiNAnalysis[[#This Row],[EDU]]="", "", MROUND(tblPiNAnalysis[[#This Row],[EDU]]/tblPiNAnalysis[[#This Row],[Población]], 0.05)), "")</f>
        <v>0.05</v>
      </c>
      <c r="U100" s="89">
        <f>IFERROR(IF(tblPiNAnalysis[[#This Row],[PRO]]="", "", MROUND(tblPiNAnalysis[[#This Row],[PRO]]/tblPiNAnalysis[[#This Row],[Población]], 0.05)), "")</f>
        <v>0.2</v>
      </c>
      <c r="V100" s="90">
        <f>IFERROR(IF(tblPiNAnalysis[[#This Row],[ASH]]="", "", MROUND(tblPiNAnalysis[[#This Row],[ASH]]/tblPiNAnalysis[[#This Row],[Población]], 0.05)), "")</f>
        <v>0</v>
      </c>
      <c r="W100" s="89">
        <f>IFERROR(MROUND(tblPiNAnalysis[[#This Row],[NNA]]/tblPiNAnalysis[[#This Row],[Población]], 0.05), "")</f>
        <v>0.05</v>
      </c>
      <c r="X100" s="89">
        <f>IFERROR(MROUND(tblPiNAnalysis[[#This Row],[VBG]]/tblPiNAnalysis[[#This Row],[Población]], 0.05), "")</f>
        <v>0.05</v>
      </c>
      <c r="Y100" s="91">
        <f>IFERROR(LARGE(tblPiNAnalysis[[#This Row],[SAMV]:[ASH]], 1), "")</f>
        <v>21720.42</v>
      </c>
      <c r="Z100" s="92" t="str" cm="1">
        <f t="array" ref="Z100">IF(tblPiNAnalysis[[#This Row],[PiN más alto]]="", "", _xlfn.TEXTJOIN(CHAR(10), TRUE, IF(tblPiNAnalysis[[#This Row],[PiN más alto]]=tblPiNAnalysis[[#This Row],[SAMV]:[ASH]], tblPiNAnalysis[[#Headers],[SAMV]:[ASH]], "")))</f>
        <v>SAL</v>
      </c>
      <c r="AA100" s="93">
        <f>IF(tblPiNAnalysis[[#This Row],[PiN más alto]]="", "", tblPiNAnalysis[[#This Row],[PiN más alto]]/tblPiNAnalysis[[#This Row],[Población]])</f>
        <v>0.36499999999999999</v>
      </c>
      <c r="AB100" s="94" t="str">
        <f>IF(SUM(tblPiNAnalysis[[#This Row],[SAMV]:[ASH]])=0, "",IF(COUNTIF(tblPiNAnalysis[[#This Row],[SAMV]:[ASH]],"=0")+COUNTIF(tblPiNAnalysis[[#This Row],[SAMV]:[ASH]],"")&gt;=zero_pin_thresh, "Flagged", ""))</f>
        <v/>
      </c>
      <c r="AC100" s="95" t="str">
        <f>IFERROR(IF(tblPiNAnalysis[[#This Row],[PiN más alto]]="", "", IF(tblPiNAnalysis[[#This Row],[% PiN Sectores más altos]]&gt;=flag_pin_perc, "Flagged", "")), "")</f>
        <v/>
      </c>
      <c r="AD100" s="96" t="str" cm="1">
        <f t="array" ref="AD100">IF(tblPiNAnalysis[[#This Row],[PiN más alto]]=0, "",  IF(OR(COUNTIF(tblPiNAnalysis[[#This Row],[Sectores más altos]],tblSubSectorPopulation[Sector])), "Flagged", ""))</f>
        <v/>
      </c>
      <c r="AE100" s="16" cm="1">
        <f t="array" ref="AE10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11871.113705622807</v>
      </c>
      <c r="AF100" s="97" t="str" cm="1">
        <f t="array" ref="AF100">IF(tblPiNAnalysis[[#This Row],[2º PiN más alto]]="", "", _xlfn.TEXTJOIN(CHAR(10), TRUE, IF(tblPiNAnalysis[[#This Row],[2º PiN más alto]]=tblPiNAnalysis[[#This Row],[SAMV]:[ASH]], tblPiNAnalysis[[#Headers],[SAMV]:[ASH]], "")))</f>
        <v>PRO</v>
      </c>
      <c r="AG100" s="12">
        <f>IFERROR(tblPiNAnalysis[[#This Row],[2º PiN más alto]]/tblPiNAnalysis[[#This Row],[Población]], "")</f>
        <v>0.19948769418603898</v>
      </c>
      <c r="AH100" s="16">
        <f>IFERROR(tblPiNAnalysis[[#This Row],[PiN más alto]]-tblPiNAnalysis[[#This Row],[2º PiN más alto]], "")</f>
        <v>9849.3062943771911</v>
      </c>
      <c r="AI100" s="14">
        <f>IFERROR(((tblPiNAnalysis[[#This Row],[PiN más alto]]-tblPiNAnalysis[[#This Row],[2º PiN más alto]])/tblPiNAnalysis[[#This Row],[2º PiN más alto]]),"")</f>
        <v>0.82968679591637828</v>
      </c>
      <c r="AJ100" s="14" t="str" cm="1">
        <f t="array" ref="AJ10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00" s="98" cm="1">
        <f t="array" ref="AK10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7731</v>
      </c>
      <c r="AL100" s="53" t="str" cm="1">
        <f t="array" ref="AL100">IF(tblPiNAnalysis[[#This Row],[3º PiN más alto]]="", "", _xlfn.TEXTJOIN(CHAR(10), TRUE, IF(tblPiNAnalysis[[#This Row],[3º PiN más alto]]=tblPiNAnalysis[[#This Row],[SAMV]:[ASH]], tblPiNAnalysis[[#Headers],[SAMV]:[ASH]], "")))</f>
        <v>SAMV</v>
      </c>
      <c r="AM100" s="53">
        <f>IFERROR(tblPiNAnalysis[[#This Row],[3º PiN más alto]]/tblPiNAnalysis[[#This Row],[Población]], "")</f>
        <v>0.12991530550514216</v>
      </c>
      <c r="AN100" s="15">
        <f>IFERROR(tblPiNAnalysis[[#This Row],[PiN más alto]]-tblPiNAnalysis[[#This Row],[3º PiN más alto]],"")</f>
        <v>13989.419999999998</v>
      </c>
      <c r="AO100" s="14">
        <f>IFERROR(tblPiNAnalysis[[#This Row],[Diferencia de PiN entre el más alto y el 3º más alto]]/tblPiNAnalysis[[#This Row],[3º PiN más alto]], "")</f>
        <v>1.8095227008149009</v>
      </c>
      <c r="AP100" s="96" t="str" cm="1">
        <f t="array" ref="AP10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00" s="84" cm="1">
        <f t="array" ref="AQ100">IFERROR(IF(tblPiNAnalysis[[#This Row],[ID]]="", "", INDEX(tblPiNHistorical[[SAMV]:[ASH]], MATCH(tblPiNAnalysis[[#This Row],[ID]],tblPiNHistorical[ID], 0),MATCH(_xlfn._xlws.FILTER(tblPiNAnalysis[[#Headers],[SAMV]:[ASH]], tblPiNAnalysis[[#This Row],[PiN más alto]]=tblPiNAnalysis[[#This Row],[SAMV]:[ASH]]), tblPiNHistorical[[#Headers],[SAMV]:[ASH]], 0))), "")</f>
        <v>0.3</v>
      </c>
      <c r="AR100" s="99" t="str" cm="1">
        <f t="array" ref="AR10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00" s="74" cm="1">
        <f t="array" ref="AS100">IFERROR(IF(tblPiNAnalysis[[#This Row],[ID]]="", "", INDEX(tblPiNHistorical[[SAMV]:[ASH]], MATCH(tblPiNAnalysis[[#This Row],[ID]],tblPiNHistorical[ID], 0),MATCH(_xlfn._xlws.FILTER(tblPiNAnalysis[[#Headers],[SAMV]:[ASH]], tblPiNAnalysis[[#This Row],[2º PiN más alto]]=tblPiNAnalysis[[#This Row],[SAMV]:[ASH]]), tblPiNHistorical[[#Headers],[SAMV]:[ASH]], 0))), "")</f>
        <v>-0.4</v>
      </c>
      <c r="AT100" s="100" t="str" cm="1">
        <f t="array" ref="AT10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00" s="219">
        <f>INDEX(tblSeverityAnalysis[Severidad final], MATCH(tblPiNAnalysis[[#This Row],[ID]],tblSeverityAnalysis[ID], 0))</f>
        <v>3</v>
      </c>
      <c r="AV100" s="220">
        <f>IF(tblPiNAnalysis[[#This Row],[Severidad]]&gt;2,tblPiNAnalysis[[#This Row],[PiN más alto]],)</f>
        <v>21720.42</v>
      </c>
      <c r="AW100" s="54"/>
      <c r="AX100" s="55"/>
      <c r="AY100" s="56">
        <f>COUNTIFS(tblPiNAnalysis[[#This Row],[Número de PiN ausentes/cero superior al umbral - Calidad de los datos]:[Marcador manual]],"Flagged")</f>
        <v>2</v>
      </c>
      <c r="AZ100" s="34" t="str">
        <f>IF(tblPiNAnalysis[[#This Row],[Número de marcadores]]&gt;0, "Flagged", "")</f>
        <v>Flagged</v>
      </c>
      <c r="BA100" s="92">
        <f>tblPiNAnalysis[[#This Row],[PiN preliminar]]</f>
        <v>21720.42</v>
      </c>
      <c r="BB100" s="97"/>
      <c r="BC100" s="70">
        <f>IFERROR(IF(tblPiNAnalysis[[#This Row],[Severidad]]=3,tblPiNAnalysis[[#This Row],[PiN final]]*Umbrales!$D$33,tblPiNAnalysis[[#This Row],[PiN final]]*Umbrales!$D$34),)</f>
        <v>10860.21</v>
      </c>
      <c r="BD100" s="70">
        <f>IFERROR(IF(tblPiNAnalysis[[#This Row],[Severidad]]&gt;3,tblPiNAnalysis[[#This Row],[PiN final]]*Umbrales!$D$34,),)</f>
        <v>0</v>
      </c>
    </row>
    <row r="101" spans="1:56">
      <c r="A101" s="101" t="str">
        <f>IFERROR(_xlfn.CONCAT(IF(tblPiNAnalysis[[#This Row],[Grupo]]="", "",tblPiNAnalysis[[#This Row],[Grupo]] ),  _xlfn.IFS(tblPiNAnalysis[[#This Row],[Admin2PCODE]]&lt;&gt;"", tblPiNAnalysis[[#This Row],[Admin2PCODE]], tblPiNAnalysis[[#This Row],[Admin1PCODE]]&lt;&gt;"", tblPiNAnalysis[[#This Row],[Admin1PCODE]])),"")</f>
        <v>VenezolanosVE1509</v>
      </c>
      <c r="B101" s="105" t="s">
        <v>276</v>
      </c>
      <c r="C101" s="104" t="s">
        <v>455</v>
      </c>
      <c r="D101" s="119" t="s">
        <v>471</v>
      </c>
      <c r="E101" s="104" t="s">
        <v>472</v>
      </c>
      <c r="F101" s="358"/>
      <c r="G101" s="357">
        <v>59467</v>
      </c>
      <c r="H101" s="103" t="s">
        <v>102</v>
      </c>
      <c r="I101" s="60">
        <v>17179</v>
      </c>
      <c r="J101" s="134">
        <v>1827.1077707490199</v>
      </c>
      <c r="K101" s="57">
        <v>21705.455000000002</v>
      </c>
      <c r="L101" s="87">
        <v>10280.43031349696</v>
      </c>
      <c r="M101" s="87">
        <v>11855.220556172742</v>
      </c>
      <c r="N101" s="57">
        <v>4014.0225</v>
      </c>
      <c r="O101" s="57">
        <v>3793.6705779752774</v>
      </c>
      <c r="P101" s="57">
        <v>4149.32719466046</v>
      </c>
      <c r="Q101" s="88">
        <f>IFERROR(IF(tblPiNAnalysis[[#This Row],[SAMV]]="", "", MROUND(tblPiNAnalysis[[#This Row],[SAMV]]/tblPiNAnalysis[[#This Row],[Población]], 0.05)), "")</f>
        <v>0.30000000000000004</v>
      </c>
      <c r="R101" s="89">
        <f>IFERROR(IF(tblPiNAnalysis[[#This Row],[NUT]]="", "", MROUND(tblPiNAnalysis[[#This Row],[NUT]]/tblPiNAnalysis[[#This Row],[Población]], 0.05)), "")</f>
        <v>0.05</v>
      </c>
      <c r="S101" s="89">
        <f>IFERROR(IF(tblPiNAnalysis[[#This Row],[SAL]]="", "", MROUND(tblPiNAnalysis[[#This Row],[SAL]]/tblPiNAnalysis[[#This Row],[Población]], 0.05)), "")</f>
        <v>0.35000000000000003</v>
      </c>
      <c r="T101" s="89">
        <f>IFERROR(IF(tblPiNAnalysis[[#This Row],[EDU]]="", "", MROUND(tblPiNAnalysis[[#This Row],[EDU]]/tblPiNAnalysis[[#This Row],[Población]], 0.05)), "")</f>
        <v>0.15000000000000002</v>
      </c>
      <c r="U101" s="89">
        <f>IFERROR(IF(tblPiNAnalysis[[#This Row],[PRO]]="", "", MROUND(tblPiNAnalysis[[#This Row],[PRO]]/tblPiNAnalysis[[#This Row],[Población]], 0.05)), "")</f>
        <v>0.2</v>
      </c>
      <c r="V101" s="90">
        <f>IFERROR(IF(tblPiNAnalysis[[#This Row],[ASH]]="", "", MROUND(tblPiNAnalysis[[#This Row],[ASH]]/tblPiNAnalysis[[#This Row],[Población]], 0.05)), "")</f>
        <v>0.05</v>
      </c>
      <c r="W101" s="89">
        <f>IFERROR(MROUND(tblPiNAnalysis[[#This Row],[NNA]]/tblPiNAnalysis[[#This Row],[Población]], 0.05), "")</f>
        <v>0.05</v>
      </c>
      <c r="X101" s="89">
        <f>IFERROR(MROUND(tblPiNAnalysis[[#This Row],[VBG]]/tblPiNAnalysis[[#This Row],[Población]], 0.05), "")</f>
        <v>0.05</v>
      </c>
      <c r="Y101" s="91">
        <f>IFERROR(LARGE(tblPiNAnalysis[[#This Row],[SAMV]:[ASH]], 1), "")</f>
        <v>21705.455000000002</v>
      </c>
      <c r="Z101" s="92" t="str" cm="1">
        <f t="array" ref="Z101">IF(tblPiNAnalysis[[#This Row],[PiN más alto]]="", "", _xlfn.TEXTJOIN(CHAR(10), TRUE, IF(tblPiNAnalysis[[#This Row],[PiN más alto]]=tblPiNAnalysis[[#This Row],[SAMV]:[ASH]], tblPiNAnalysis[[#Headers],[SAMV]:[ASH]], "")))</f>
        <v>SAL</v>
      </c>
      <c r="AA101" s="93">
        <f>IF(tblPiNAnalysis[[#This Row],[PiN más alto]]="", "", tblPiNAnalysis[[#This Row],[PiN más alto]]/tblPiNAnalysis[[#This Row],[Población]])</f>
        <v>0.36500000000000005</v>
      </c>
      <c r="AB101" s="94" t="str">
        <f>IF(SUM(tblPiNAnalysis[[#This Row],[SAMV]:[ASH]])=0, "",IF(COUNTIF(tblPiNAnalysis[[#This Row],[SAMV]:[ASH]],"=0")+COUNTIF(tblPiNAnalysis[[#This Row],[SAMV]:[ASH]],"")&gt;=zero_pin_thresh, "Flagged", ""))</f>
        <v/>
      </c>
      <c r="AC101" s="95" t="str">
        <f>IFERROR(IF(tblPiNAnalysis[[#This Row],[PiN más alto]]="", "", IF(tblPiNAnalysis[[#This Row],[% PiN Sectores más altos]]&gt;=flag_pin_perc, "Flagged", "")), "")</f>
        <v/>
      </c>
      <c r="AD101" s="96" t="str" cm="1">
        <f t="array" ref="AD101">IF(tblPiNAnalysis[[#This Row],[PiN más alto]]=0, "",  IF(OR(COUNTIF(tblPiNAnalysis[[#This Row],[Sectores más altos]],tblSubSectorPopulation[Sector])), "Flagged", ""))</f>
        <v/>
      </c>
      <c r="AE101" s="16" cm="1">
        <f t="array" ref="AE10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17179</v>
      </c>
      <c r="AF101" s="97" t="str" cm="1">
        <f t="array" ref="AF101">IF(tblPiNAnalysis[[#This Row],[2º PiN más alto]]="", "", _xlfn.TEXTJOIN(CHAR(10), TRUE, IF(tblPiNAnalysis[[#This Row],[2º PiN más alto]]=tblPiNAnalysis[[#This Row],[SAMV]:[ASH]], tblPiNAnalysis[[#Headers],[SAMV]:[ASH]], "")))</f>
        <v>SAMV</v>
      </c>
      <c r="AG101" s="12">
        <f>IFERROR(tblPiNAnalysis[[#This Row],[2º PiN más alto]]/tblPiNAnalysis[[#This Row],[Población]], "")</f>
        <v>0.28888290984916004</v>
      </c>
      <c r="AH101" s="16">
        <f>IFERROR(tblPiNAnalysis[[#This Row],[PiN más alto]]-tblPiNAnalysis[[#This Row],[2º PiN más alto]], "")</f>
        <v>4526.4550000000017</v>
      </c>
      <c r="AI101" s="14">
        <f>IFERROR(((tblPiNAnalysis[[#This Row],[PiN más alto]]-tblPiNAnalysis[[#This Row],[2º PiN más alto]])/tblPiNAnalysis[[#This Row],[2º PiN más alto]]),"")</f>
        <v>0.26348768845683695</v>
      </c>
      <c r="AJ101" s="14" t="str" cm="1">
        <f t="array" ref="AJ10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01" s="98" cm="1">
        <f t="array" ref="AK10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11855.220556172742</v>
      </c>
      <c r="AL101" s="53" t="str" cm="1">
        <f t="array" ref="AL101">IF(tblPiNAnalysis[[#This Row],[3º PiN más alto]]="", "", _xlfn.TEXTJOIN(CHAR(10), TRUE, IF(tblPiNAnalysis[[#This Row],[3º PiN más alto]]=tblPiNAnalysis[[#This Row],[SAMV]:[ASH]], tblPiNAnalysis[[#Headers],[SAMV]:[ASH]], "")))</f>
        <v>PRO</v>
      </c>
      <c r="AM101" s="53">
        <f>IFERROR(tblPiNAnalysis[[#This Row],[3º PiN más alto]]/tblPiNAnalysis[[#This Row],[Población]], "")</f>
        <v>0.1993579725927446</v>
      </c>
      <c r="AN101" s="15">
        <f>IFERROR(tblPiNAnalysis[[#This Row],[PiN más alto]]-tblPiNAnalysis[[#This Row],[3º PiN más alto]],"")</f>
        <v>9850.2344438272594</v>
      </c>
      <c r="AO101" s="14">
        <f>IFERROR(tblPiNAnalysis[[#This Row],[Diferencia de PiN entre el más alto y el 3º más alto]]/tblPiNAnalysis[[#This Row],[3º PiN más alto]], "")</f>
        <v>0.83087736724547634</v>
      </c>
      <c r="AP101" s="96" t="str" cm="1">
        <f t="array" ref="AP10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01" s="84" cm="1">
        <f t="array" ref="AQ101">IFERROR(IF(tblPiNAnalysis[[#This Row],[ID]]="", "", INDEX(tblPiNHistorical[[SAMV]:[ASH]], MATCH(tblPiNAnalysis[[#This Row],[ID]],tblPiNHistorical[ID], 0),MATCH(_xlfn._xlws.FILTER(tblPiNAnalysis[[#Headers],[SAMV]:[ASH]], tblPiNAnalysis[[#This Row],[PiN más alto]]=tblPiNAnalysis[[#This Row],[SAMV]:[ASH]]), tblPiNHistorical[[#Headers],[SAMV]:[ASH]], 0))), "")</f>
        <v>-0.4</v>
      </c>
      <c r="AR101" s="99" t="str" cm="1">
        <f t="array" ref="AR10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01" s="74" cm="1">
        <f t="array" ref="AS101">IFERROR(IF(tblPiNAnalysis[[#This Row],[ID]]="", "", INDEX(tblPiNHistorical[[SAMV]:[ASH]], MATCH(tblPiNAnalysis[[#This Row],[ID]],tblPiNHistorical[ID], 0),MATCH(_xlfn._xlws.FILTER(tblPiNAnalysis[[#Headers],[SAMV]:[ASH]], tblPiNAnalysis[[#This Row],[2º PiN más alto]]=tblPiNAnalysis[[#This Row],[SAMV]:[ASH]]), tblPiNHistorical[[#Headers],[SAMV]:[ASH]], 0))), "")</f>
        <v>-0.6</v>
      </c>
      <c r="AT101" s="100" t="str" cm="1">
        <f t="array" ref="AT10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01" s="219">
        <f>INDEX(tblSeverityAnalysis[Severidad final], MATCH(tblPiNAnalysis[[#This Row],[ID]],tblSeverityAnalysis[ID], 0))</f>
        <v>3</v>
      </c>
      <c r="AV101" s="220">
        <f>IF(tblPiNAnalysis[[#This Row],[Severidad]]&gt;2,tblPiNAnalysis[[#This Row],[PiN más alto]],)</f>
        <v>21705.455000000002</v>
      </c>
      <c r="AW101" s="54"/>
      <c r="AX101" s="55"/>
      <c r="AY101" s="56">
        <f>COUNTIFS(tblPiNAnalysis[[#This Row],[Número de PiN ausentes/cero superior al umbral - Calidad de los datos]:[Marcador manual]],"Flagged")</f>
        <v>1</v>
      </c>
      <c r="AZ101" s="34" t="str">
        <f>IF(tblPiNAnalysis[[#This Row],[Número de marcadores]]&gt;0, "Flagged", "")</f>
        <v>Flagged</v>
      </c>
      <c r="BA101" s="92">
        <f>tblPiNAnalysis[[#This Row],[PiN preliminar]]</f>
        <v>21705.455000000002</v>
      </c>
      <c r="BB101" s="97"/>
      <c r="BC101" s="70">
        <f>IFERROR(IF(tblPiNAnalysis[[#This Row],[Severidad]]=3,tblPiNAnalysis[[#This Row],[PiN final]]*Umbrales!$D$33,tblPiNAnalysis[[#This Row],[PiN final]]*Umbrales!$D$34),)</f>
        <v>10852.727500000001</v>
      </c>
      <c r="BD101" s="70">
        <f>IFERROR(IF(tblPiNAnalysis[[#This Row],[Severidad]]&gt;3,tblPiNAnalysis[[#This Row],[PiN final]]*Umbrales!$D$34,),)</f>
        <v>0</v>
      </c>
    </row>
    <row r="102" spans="1:56">
      <c r="A102" s="101" t="str">
        <f>IFERROR(_xlfn.CONCAT(IF(tblPiNAnalysis[[#This Row],[Grupo]]="", "",tblPiNAnalysis[[#This Row],[Grupo]] ),  _xlfn.IFS(tblPiNAnalysis[[#This Row],[Admin2PCODE]]&lt;&gt;"", tblPiNAnalysis[[#This Row],[Admin2PCODE]], tblPiNAnalysis[[#This Row],[Admin1PCODE]]&lt;&gt;"", tblPiNAnalysis[[#This Row],[Admin1PCODE]])),"")</f>
        <v>VenezolanosVE2205</v>
      </c>
      <c r="B102" s="105" t="s">
        <v>678</v>
      </c>
      <c r="C102" s="104" t="s">
        <v>679</v>
      </c>
      <c r="D102" s="119" t="s">
        <v>133</v>
      </c>
      <c r="E102" s="104" t="s">
        <v>687</v>
      </c>
      <c r="F102" s="358"/>
      <c r="G102" s="357">
        <v>59114</v>
      </c>
      <c r="H102" s="103" t="s">
        <v>102</v>
      </c>
      <c r="I102" s="60">
        <v>11709</v>
      </c>
      <c r="J102" s="134">
        <v>1176.967145846462</v>
      </c>
      <c r="K102" s="57">
        <v>21576.61</v>
      </c>
      <c r="L102" s="87">
        <v>10136.559796715932</v>
      </c>
      <c r="M102" s="87">
        <v>14101.228213556771</v>
      </c>
      <c r="N102" s="57">
        <v>0</v>
      </c>
      <c r="O102" s="57">
        <v>4512.3930283381669</v>
      </c>
      <c r="P102" s="57">
        <v>4935.4298747448702</v>
      </c>
      <c r="Q102" s="88">
        <f>IFERROR(IF(tblPiNAnalysis[[#This Row],[SAMV]]="", "", MROUND(tblPiNAnalysis[[#This Row],[SAMV]]/tblPiNAnalysis[[#This Row],[Población]], 0.05)), "")</f>
        <v>0.2</v>
      </c>
      <c r="R102" s="89">
        <f>IFERROR(IF(tblPiNAnalysis[[#This Row],[NUT]]="", "", MROUND(tblPiNAnalysis[[#This Row],[NUT]]/tblPiNAnalysis[[#This Row],[Población]], 0.05)), "")</f>
        <v>0</v>
      </c>
      <c r="S102" s="89">
        <f>IFERROR(IF(tblPiNAnalysis[[#This Row],[SAL]]="", "", MROUND(tblPiNAnalysis[[#This Row],[SAL]]/tblPiNAnalysis[[#This Row],[Población]], 0.05)), "")</f>
        <v>0.35000000000000003</v>
      </c>
      <c r="T102" s="89">
        <f>IFERROR(IF(tblPiNAnalysis[[#This Row],[EDU]]="", "", MROUND(tblPiNAnalysis[[#This Row],[EDU]]/tblPiNAnalysis[[#This Row],[Población]], 0.05)), "")</f>
        <v>0.15000000000000002</v>
      </c>
      <c r="U102" s="89">
        <f>IFERROR(IF(tblPiNAnalysis[[#This Row],[PRO]]="", "", MROUND(tblPiNAnalysis[[#This Row],[PRO]]/tblPiNAnalysis[[#This Row],[Población]], 0.05)), "")</f>
        <v>0.25</v>
      </c>
      <c r="V102" s="90">
        <f>IFERROR(IF(tblPiNAnalysis[[#This Row],[ASH]]="", "", MROUND(tblPiNAnalysis[[#This Row],[ASH]]/tblPiNAnalysis[[#This Row],[Población]], 0.05)), "")</f>
        <v>0</v>
      </c>
      <c r="W102" s="89">
        <f>IFERROR(MROUND(tblPiNAnalysis[[#This Row],[NNA]]/tblPiNAnalysis[[#This Row],[Población]], 0.05), "")</f>
        <v>0.1</v>
      </c>
      <c r="X102" s="89">
        <f>IFERROR(MROUND(tblPiNAnalysis[[#This Row],[VBG]]/tblPiNAnalysis[[#This Row],[Población]], 0.05), "")</f>
        <v>0.1</v>
      </c>
      <c r="Y102" s="91">
        <f>IFERROR(LARGE(tblPiNAnalysis[[#This Row],[SAMV]:[ASH]], 1), "")</f>
        <v>21576.61</v>
      </c>
      <c r="Z102" s="92" t="str" cm="1">
        <f t="array" ref="Z102">IF(tblPiNAnalysis[[#This Row],[PiN más alto]]="", "", _xlfn.TEXTJOIN(CHAR(10), TRUE, IF(tblPiNAnalysis[[#This Row],[PiN más alto]]=tblPiNAnalysis[[#This Row],[SAMV]:[ASH]], tblPiNAnalysis[[#Headers],[SAMV]:[ASH]], "")))</f>
        <v>SAL</v>
      </c>
      <c r="AA102" s="93">
        <f>IF(tblPiNAnalysis[[#This Row],[PiN más alto]]="", "", tblPiNAnalysis[[#This Row],[PiN más alto]]/tblPiNAnalysis[[#This Row],[Población]])</f>
        <v>0.36499999999999999</v>
      </c>
      <c r="AB102" s="94" t="str">
        <f>IF(SUM(tblPiNAnalysis[[#This Row],[SAMV]:[ASH]])=0, "",IF(COUNTIF(tblPiNAnalysis[[#This Row],[SAMV]:[ASH]],"=0")+COUNTIF(tblPiNAnalysis[[#This Row],[SAMV]:[ASH]],"")&gt;=zero_pin_thresh, "Flagged", ""))</f>
        <v/>
      </c>
      <c r="AC102" s="95" t="str">
        <f>IFERROR(IF(tblPiNAnalysis[[#This Row],[PiN más alto]]="", "", IF(tblPiNAnalysis[[#This Row],[% PiN Sectores más altos]]&gt;=flag_pin_perc, "Flagged", "")), "")</f>
        <v/>
      </c>
      <c r="AD102" s="96" t="str" cm="1">
        <f t="array" ref="AD102">IF(tblPiNAnalysis[[#This Row],[PiN más alto]]=0, "",  IF(OR(COUNTIF(tblPiNAnalysis[[#This Row],[Sectores más altos]],tblSubSectorPopulation[Sector])), "Flagged", ""))</f>
        <v/>
      </c>
      <c r="AE102" s="16" cm="1">
        <f t="array" ref="AE10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14101.228213556771</v>
      </c>
      <c r="AF102" s="97" t="str" cm="1">
        <f t="array" ref="AF102">IF(tblPiNAnalysis[[#This Row],[2º PiN más alto]]="", "", _xlfn.TEXTJOIN(CHAR(10), TRUE, IF(tblPiNAnalysis[[#This Row],[2º PiN más alto]]=tblPiNAnalysis[[#This Row],[SAMV]:[ASH]], tblPiNAnalysis[[#Headers],[SAMV]:[ASH]], "")))</f>
        <v>PRO</v>
      </c>
      <c r="AG102" s="12">
        <f>IFERROR(tblPiNAnalysis[[#This Row],[2º PiN más alto]]/tblPiNAnalysis[[#This Row],[Población]], "")</f>
        <v>0.23854295452104021</v>
      </c>
      <c r="AH102" s="16">
        <f>IFERROR(tblPiNAnalysis[[#This Row],[PiN más alto]]-tblPiNAnalysis[[#This Row],[2º PiN más alto]], "")</f>
        <v>7475.3817864432294</v>
      </c>
      <c r="AI102" s="14">
        <f>IFERROR(((tblPiNAnalysis[[#This Row],[PiN más alto]]-tblPiNAnalysis[[#This Row],[2º PiN más alto]])/tblPiNAnalysis[[#This Row],[2º PiN más alto]]),"")</f>
        <v>0.53012274343992793</v>
      </c>
      <c r="AJ102" s="14" t="str" cm="1">
        <f t="array" ref="AJ10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02" s="98" cm="1">
        <f t="array" ref="AK10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11709</v>
      </c>
      <c r="AL102" s="53" t="str" cm="1">
        <f t="array" ref="AL102">IF(tblPiNAnalysis[[#This Row],[3º PiN más alto]]="", "", _xlfn.TEXTJOIN(CHAR(10), TRUE, IF(tblPiNAnalysis[[#This Row],[3º PiN más alto]]=tblPiNAnalysis[[#This Row],[SAMV]:[ASH]], tblPiNAnalysis[[#Headers],[SAMV]:[ASH]], "")))</f>
        <v>SAMV</v>
      </c>
      <c r="AM102" s="53">
        <f>IFERROR(tblPiNAnalysis[[#This Row],[3º PiN más alto]]/tblPiNAnalysis[[#This Row],[Población]], "")</f>
        <v>0.19807490611361098</v>
      </c>
      <c r="AN102" s="15">
        <f>IFERROR(tblPiNAnalysis[[#This Row],[PiN más alto]]-tblPiNAnalysis[[#This Row],[3º PiN más alto]],"")</f>
        <v>9867.61</v>
      </c>
      <c r="AO102" s="14">
        <f>IFERROR(tblPiNAnalysis[[#This Row],[Diferencia de PiN entre el más alto y el 3º más alto]]/tblPiNAnalysis[[#This Row],[3º PiN más alto]], "")</f>
        <v>0.84273721069262963</v>
      </c>
      <c r="AP102" s="96" t="str" cm="1">
        <f t="array" ref="AP10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02" s="84" cm="1">
        <f t="array" ref="AQ102">IFERROR(IF(tblPiNAnalysis[[#This Row],[ID]]="", "", INDEX(tblPiNHistorical[[SAMV]:[ASH]], MATCH(tblPiNAnalysis[[#This Row],[ID]],tblPiNHistorical[ID], 0),MATCH(_xlfn._xlws.FILTER(tblPiNAnalysis[[#Headers],[SAMV]:[ASH]], tblPiNAnalysis[[#This Row],[PiN más alto]]=tblPiNAnalysis[[#This Row],[SAMV]:[ASH]]), tblPiNHistorical[[#Headers],[SAMV]:[ASH]], 0))), "")</f>
        <v>2</v>
      </c>
      <c r="AR102" s="99" t="str" cm="1">
        <f t="array" ref="AR10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02" s="74" cm="1">
        <f t="array" ref="AS102">IFERROR(IF(tblPiNAnalysis[[#This Row],[ID]]="", "", INDEX(tblPiNHistorical[[SAMV]:[ASH]], MATCH(tblPiNAnalysis[[#This Row],[ID]],tblPiNHistorical[ID], 0),MATCH(_xlfn._xlws.FILTER(tblPiNAnalysis[[#Headers],[SAMV]:[ASH]], tblPiNAnalysis[[#This Row],[2º PiN más alto]]=tblPiNAnalysis[[#This Row],[SAMV]:[ASH]]), tblPiNHistorical[[#Headers],[SAMV]:[ASH]], 0))), "")</f>
        <v>1.3</v>
      </c>
      <c r="AT102" s="100" t="str" cm="1">
        <f t="array" ref="AT10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02" s="219">
        <f>INDEX(tblSeverityAnalysis[Severidad final], MATCH(tblPiNAnalysis[[#This Row],[ID]],tblSeverityAnalysis[ID], 0))</f>
        <v>3</v>
      </c>
      <c r="AV102" s="220">
        <f>IF(tblPiNAnalysis[[#This Row],[Severidad]]&gt;2,tblPiNAnalysis[[#This Row],[PiN más alto]],)</f>
        <v>21576.61</v>
      </c>
      <c r="AW102" s="54"/>
      <c r="AX102" s="55"/>
      <c r="AY102" s="56">
        <f>COUNTIFS(tblPiNAnalysis[[#This Row],[Número de PiN ausentes/cero superior al umbral - Calidad de los datos]:[Marcador manual]],"Flagged")</f>
        <v>4</v>
      </c>
      <c r="AZ102" s="34" t="str">
        <f>IF(tblPiNAnalysis[[#This Row],[Número de marcadores]]&gt;0, "Flagged", "")</f>
        <v>Flagged</v>
      </c>
      <c r="BA102" s="92">
        <f>tblPiNAnalysis[[#This Row],[PiN preliminar]]</f>
        <v>21576.61</v>
      </c>
      <c r="BB102" s="97"/>
      <c r="BC102" s="70">
        <f>IFERROR(IF(tblPiNAnalysis[[#This Row],[Severidad]]=3,tblPiNAnalysis[[#This Row],[PiN final]]*Umbrales!$D$33,tblPiNAnalysis[[#This Row],[PiN final]]*Umbrales!$D$34),)</f>
        <v>10788.305</v>
      </c>
      <c r="BD102" s="70">
        <f>IFERROR(IF(tblPiNAnalysis[[#This Row],[Severidad]]&gt;3,tblPiNAnalysis[[#This Row],[PiN final]]*Umbrales!$D$34,),)</f>
        <v>0</v>
      </c>
    </row>
    <row r="103" spans="1:56">
      <c r="A103" s="101" t="str">
        <f>IFERROR(_xlfn.CONCAT(IF(tblPiNAnalysis[[#This Row],[Grupo]]="", "",tblPiNAnalysis[[#This Row],[Grupo]] ),  _xlfn.IFS(tblPiNAnalysis[[#This Row],[Admin2PCODE]]&lt;&gt;"", tblPiNAnalysis[[#This Row],[Admin2PCODE]], tblPiNAnalysis[[#This Row],[Admin1PCODE]]&lt;&gt;"", tblPiNAnalysis[[#This Row],[Admin1PCODE]])),"")</f>
        <v>VenezolanosVE1908</v>
      </c>
      <c r="B103" s="105" t="s">
        <v>203</v>
      </c>
      <c r="C103" s="104" t="s">
        <v>564</v>
      </c>
      <c r="D103" s="119" t="s">
        <v>576</v>
      </c>
      <c r="E103" s="104" t="s">
        <v>577</v>
      </c>
      <c r="F103" s="358"/>
      <c r="G103" s="357">
        <v>35731</v>
      </c>
      <c r="H103" s="103" t="s">
        <v>102</v>
      </c>
      <c r="I103" s="60">
        <v>6414</v>
      </c>
      <c r="J103" s="134">
        <v>1537.2418604392319</v>
      </c>
      <c r="K103" s="57">
        <v>13041.815000000001</v>
      </c>
      <c r="L103" s="87">
        <v>1978.4485672164108</v>
      </c>
      <c r="M103" s="87">
        <v>8553.4737611536257</v>
      </c>
      <c r="N103" s="57">
        <v>21438.6</v>
      </c>
      <c r="O103" s="57">
        <v>2745.6650773303136</v>
      </c>
      <c r="P103" s="57">
        <v>2993.7158164037687</v>
      </c>
      <c r="Q103" s="88">
        <f>IFERROR(IF(tblPiNAnalysis[[#This Row],[SAMV]]="", "", MROUND(tblPiNAnalysis[[#This Row],[SAMV]]/tblPiNAnalysis[[#This Row],[Población]], 0.05)), "")</f>
        <v>0.2</v>
      </c>
      <c r="R103" s="89">
        <f>IFERROR(IF(tblPiNAnalysis[[#This Row],[NUT]]="", "", MROUND(tblPiNAnalysis[[#This Row],[NUT]]/tblPiNAnalysis[[#This Row],[Población]], 0.05)), "")</f>
        <v>0.05</v>
      </c>
      <c r="S103" s="89">
        <f>IFERROR(IF(tblPiNAnalysis[[#This Row],[SAL]]="", "", MROUND(tblPiNAnalysis[[#This Row],[SAL]]/tblPiNAnalysis[[#This Row],[Población]], 0.05)), "")</f>
        <v>0.35000000000000003</v>
      </c>
      <c r="T103" s="89">
        <f>IFERROR(IF(tblPiNAnalysis[[#This Row],[EDU]]="", "", MROUND(tblPiNAnalysis[[#This Row],[EDU]]/tblPiNAnalysis[[#This Row],[Población]], 0.05)), "")</f>
        <v>0.05</v>
      </c>
      <c r="U103" s="89">
        <f>IFERROR(IF(tblPiNAnalysis[[#This Row],[PRO]]="", "", MROUND(tblPiNAnalysis[[#This Row],[PRO]]/tblPiNAnalysis[[#This Row],[Población]], 0.05)), "")</f>
        <v>0.25</v>
      </c>
      <c r="V103" s="90">
        <f>IFERROR(IF(tblPiNAnalysis[[#This Row],[ASH]]="", "", MROUND(tblPiNAnalysis[[#This Row],[ASH]]/tblPiNAnalysis[[#This Row],[Población]], 0.05)), "")</f>
        <v>0.60000000000000009</v>
      </c>
      <c r="W103" s="89">
        <f>IFERROR(MROUND(tblPiNAnalysis[[#This Row],[NNA]]/tblPiNAnalysis[[#This Row],[Población]], 0.05), "")</f>
        <v>0.1</v>
      </c>
      <c r="X103" s="89">
        <f>IFERROR(MROUND(tblPiNAnalysis[[#This Row],[VBG]]/tblPiNAnalysis[[#This Row],[Población]], 0.05), "")</f>
        <v>0.1</v>
      </c>
      <c r="Y103" s="91">
        <f>IFERROR(LARGE(tblPiNAnalysis[[#This Row],[SAMV]:[ASH]], 1), "")</f>
        <v>21438.6</v>
      </c>
      <c r="Z103" s="92" t="str" cm="1">
        <f t="array" ref="Z103">IF(tblPiNAnalysis[[#This Row],[PiN más alto]]="", "", _xlfn.TEXTJOIN(CHAR(10), TRUE, IF(tblPiNAnalysis[[#This Row],[PiN más alto]]=tblPiNAnalysis[[#This Row],[SAMV]:[ASH]], tblPiNAnalysis[[#Headers],[SAMV]:[ASH]], "")))</f>
        <v>ASH</v>
      </c>
      <c r="AA103" s="93">
        <f>IF(tblPiNAnalysis[[#This Row],[PiN más alto]]="", "", tblPiNAnalysis[[#This Row],[PiN más alto]]/tblPiNAnalysis[[#This Row],[Población]])</f>
        <v>0.6</v>
      </c>
      <c r="AB103" s="94" t="str">
        <f>IF(SUM(tblPiNAnalysis[[#This Row],[SAMV]:[ASH]])=0, "",IF(COUNTIF(tblPiNAnalysis[[#This Row],[SAMV]:[ASH]],"=0")+COUNTIF(tblPiNAnalysis[[#This Row],[SAMV]:[ASH]],"")&gt;=zero_pin_thresh, "Flagged", ""))</f>
        <v/>
      </c>
      <c r="AC103" s="95" t="str">
        <f>IFERROR(IF(tblPiNAnalysis[[#This Row],[PiN más alto]]="", "", IF(tblPiNAnalysis[[#This Row],[% PiN Sectores más altos]]&gt;=flag_pin_perc, "Flagged", "")), "")</f>
        <v/>
      </c>
      <c r="AD103" s="96" t="str" cm="1">
        <f t="array" ref="AD103">IF(tblPiNAnalysis[[#This Row],[PiN más alto]]=0, "",  IF(OR(COUNTIF(tblPiNAnalysis[[#This Row],[Sectores más altos]],tblSubSectorPopulation[Sector])), "Flagged", ""))</f>
        <v/>
      </c>
      <c r="AE103" s="16" cm="1">
        <f t="array" ref="AE10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13041.815000000001</v>
      </c>
      <c r="AF103" s="97" t="str" cm="1">
        <f t="array" ref="AF103">IF(tblPiNAnalysis[[#This Row],[2º PiN más alto]]="", "", _xlfn.TEXTJOIN(CHAR(10), TRUE, IF(tblPiNAnalysis[[#This Row],[2º PiN más alto]]=tblPiNAnalysis[[#This Row],[SAMV]:[ASH]], tblPiNAnalysis[[#Headers],[SAMV]:[ASH]], "")))</f>
        <v>SAL</v>
      </c>
      <c r="AG103" s="12">
        <f>IFERROR(tblPiNAnalysis[[#This Row],[2º PiN más alto]]/tblPiNAnalysis[[#This Row],[Población]], "")</f>
        <v>0.36499999999999999</v>
      </c>
      <c r="AH103" s="16">
        <f>IFERROR(tblPiNAnalysis[[#This Row],[PiN más alto]]-tblPiNAnalysis[[#This Row],[2º PiN más alto]], "")</f>
        <v>8396.784999999998</v>
      </c>
      <c r="AI103" s="14">
        <f>IFERROR(((tblPiNAnalysis[[#This Row],[PiN más alto]]-tblPiNAnalysis[[#This Row],[2º PiN más alto]])/tblPiNAnalysis[[#This Row],[2º PiN más alto]]),"")</f>
        <v>0.64383561643835596</v>
      </c>
      <c r="AJ103" s="14" t="str" cm="1">
        <f t="array" ref="AJ10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03" s="98" cm="1">
        <f t="array" ref="AK10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8553.4737611536257</v>
      </c>
      <c r="AL103" s="53" t="str" cm="1">
        <f t="array" ref="AL103">IF(tblPiNAnalysis[[#This Row],[3º PiN más alto]]="", "", _xlfn.TEXTJOIN(CHAR(10), TRUE, IF(tblPiNAnalysis[[#This Row],[3º PiN más alto]]=tblPiNAnalysis[[#This Row],[SAMV]:[ASH]], tblPiNAnalysis[[#Headers],[SAMV]:[ASH]], "")))</f>
        <v>PRO</v>
      </c>
      <c r="AM103" s="53">
        <f>IFERROR(tblPiNAnalysis[[#This Row],[3º PiN más alto]]/tblPiNAnalysis[[#This Row],[Población]], "")</f>
        <v>0.23938523302324663</v>
      </c>
      <c r="AN103" s="15">
        <f>IFERROR(tblPiNAnalysis[[#This Row],[PiN más alto]]-tblPiNAnalysis[[#This Row],[3º PiN más alto]],"")</f>
        <v>12885.126238846373</v>
      </c>
      <c r="AO103" s="14">
        <f>IFERROR(tblPiNAnalysis[[#This Row],[Diferencia de PiN entre el más alto y el 3º más alto]]/tblPiNAnalysis[[#This Row],[3º PiN más alto]], "")</f>
        <v>1.5064202683786017</v>
      </c>
      <c r="AP103" s="96" t="str" cm="1">
        <f t="array" ref="AP10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03" s="84" t="str" cm="1">
        <f t="array" ref="AQ103">IFERROR(IF(tblPiNAnalysis[[#This Row],[ID]]="", "", INDEX(tblPiNHistorical[[SAMV]:[ASH]], MATCH(tblPiNAnalysis[[#This Row],[ID]],tblPiNHistorical[ID], 0),MATCH(_xlfn._xlws.FILTER(tblPiNAnalysis[[#Headers],[SAMV]:[ASH]], tblPiNAnalysis[[#This Row],[PiN más alto]]=tblPiNAnalysis[[#This Row],[SAMV]:[ASH]]), tblPiNHistorical[[#Headers],[SAMV]:[ASH]], 0))), "")</f>
        <v>NoPIN26 17468</v>
      </c>
      <c r="AR103" s="99" t="str" cm="1">
        <f t="array" ref="AR10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03" s="74" cm="1">
        <f t="array" ref="AS103">IFERROR(IF(tblPiNAnalysis[[#This Row],[ID]]="", "", INDEX(tblPiNHistorical[[SAMV]:[ASH]], MATCH(tblPiNAnalysis[[#This Row],[ID]],tblPiNHistorical[ID], 0),MATCH(_xlfn._xlws.FILTER(tblPiNAnalysis[[#Headers],[SAMV]:[ASH]], tblPiNAnalysis[[#This Row],[2º PiN más alto]]=tblPiNAnalysis[[#This Row],[SAMV]:[ASH]]), tblPiNHistorical[[#Headers],[SAMV]:[ASH]], 0))), "")</f>
        <v>4.0999999999999996</v>
      </c>
      <c r="AT103" s="100" t="str" cm="1">
        <f t="array" ref="AT10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03" s="219">
        <f>INDEX(tblSeverityAnalysis[Severidad final], MATCH(tblPiNAnalysis[[#This Row],[ID]],tblSeverityAnalysis[ID], 0))</f>
        <v>4</v>
      </c>
      <c r="AV103" s="220">
        <f>IF(tblPiNAnalysis[[#This Row],[Severidad]]&gt;2,tblPiNAnalysis[[#This Row],[PiN más alto]],)</f>
        <v>21438.6</v>
      </c>
      <c r="AW103" s="54"/>
      <c r="AX103" s="55"/>
      <c r="AY103" s="56">
        <f>COUNTIFS(tblPiNAnalysis[[#This Row],[Número de PiN ausentes/cero superior al umbral - Calidad de los datos]:[Marcador manual]],"Flagged")</f>
        <v>3</v>
      </c>
      <c r="AZ103" s="34" t="str">
        <f>IF(tblPiNAnalysis[[#This Row],[Número de marcadores]]&gt;0, "Flagged", "")</f>
        <v>Flagged</v>
      </c>
      <c r="BA103" s="92">
        <f>tblPiNAnalysis[[#This Row],[PiN preliminar]]</f>
        <v>21438.6</v>
      </c>
      <c r="BB103" s="97"/>
      <c r="BC103" s="70">
        <f>IFERROR(IF(tblPiNAnalysis[[#This Row],[Severidad]]=3,tblPiNAnalysis[[#This Row],[PiN final]]*Umbrales!$D$33,tblPiNAnalysis[[#This Row],[PiN final]]*Umbrales!$D$34),)</f>
        <v>21438.6</v>
      </c>
      <c r="BD103" s="70">
        <f>IFERROR(IF(tblPiNAnalysis[[#This Row],[Severidad]]&gt;3,tblPiNAnalysis[[#This Row],[PiN final]]*Umbrales!$D$34,),)</f>
        <v>21438.6</v>
      </c>
    </row>
    <row r="104" spans="1:56">
      <c r="A104" s="101" t="str">
        <f>IFERROR(_xlfn.CONCAT(IF(tblPiNAnalysis[[#This Row],[Grupo]]="", "",tblPiNAnalysis[[#This Row],[Grupo]] ),  _xlfn.IFS(tblPiNAnalysis[[#This Row],[Admin2PCODE]]&lt;&gt;"", tblPiNAnalysis[[#This Row],[Admin2PCODE]], tblPiNAnalysis[[#This Row],[Admin1PCODE]]&lt;&gt;"", tblPiNAnalysis[[#This Row],[Admin1PCODE]])),"")</f>
        <v>VenezolanosVE1420</v>
      </c>
      <c r="B104" s="105" t="s">
        <v>411</v>
      </c>
      <c r="C104" s="104" t="s">
        <v>412</v>
      </c>
      <c r="D104" s="119" t="s">
        <v>203</v>
      </c>
      <c r="E104" s="104" t="s">
        <v>449</v>
      </c>
      <c r="F104" s="358"/>
      <c r="G104" s="357">
        <v>57096</v>
      </c>
      <c r="H104" s="103" t="s">
        <v>102</v>
      </c>
      <c r="I104" s="60">
        <v>4964</v>
      </c>
      <c r="J104" s="134">
        <v>1808.2568163481376</v>
      </c>
      <c r="K104" s="57">
        <v>20840.04</v>
      </c>
      <c r="L104" s="87">
        <v>6752.5322016719847</v>
      </c>
      <c r="M104" s="87">
        <v>9550.5968975834294</v>
      </c>
      <c r="N104" s="57">
        <v>0</v>
      </c>
      <c r="O104" s="57">
        <v>3056.1910072266974</v>
      </c>
      <c r="P104" s="57">
        <v>3342.7089141542001</v>
      </c>
      <c r="Q104" s="88">
        <f>IFERROR(IF(tblPiNAnalysis[[#This Row],[SAMV]]="", "", MROUND(tblPiNAnalysis[[#This Row],[SAMV]]/tblPiNAnalysis[[#This Row],[Población]], 0.05)), "")</f>
        <v>0.1</v>
      </c>
      <c r="R104" s="89">
        <f>IFERROR(IF(tblPiNAnalysis[[#This Row],[NUT]]="", "", MROUND(tblPiNAnalysis[[#This Row],[NUT]]/tblPiNAnalysis[[#This Row],[Población]], 0.05)), "")</f>
        <v>0.05</v>
      </c>
      <c r="S104" s="89">
        <f>IFERROR(IF(tblPiNAnalysis[[#This Row],[SAL]]="", "", MROUND(tblPiNAnalysis[[#This Row],[SAL]]/tblPiNAnalysis[[#This Row],[Población]], 0.05)), "")</f>
        <v>0.35000000000000003</v>
      </c>
      <c r="T104" s="89">
        <f>IFERROR(IF(tblPiNAnalysis[[#This Row],[EDU]]="", "", MROUND(tblPiNAnalysis[[#This Row],[EDU]]/tblPiNAnalysis[[#This Row],[Población]], 0.05)), "")</f>
        <v>0.1</v>
      </c>
      <c r="U104" s="89">
        <f>IFERROR(IF(tblPiNAnalysis[[#This Row],[PRO]]="", "", MROUND(tblPiNAnalysis[[#This Row],[PRO]]/tblPiNAnalysis[[#This Row],[Población]], 0.05)), "")</f>
        <v>0.15000000000000002</v>
      </c>
      <c r="V104" s="90">
        <f>IFERROR(IF(tblPiNAnalysis[[#This Row],[ASH]]="", "", MROUND(tblPiNAnalysis[[#This Row],[ASH]]/tblPiNAnalysis[[#This Row],[Población]], 0.05)), "")</f>
        <v>0</v>
      </c>
      <c r="W104" s="89">
        <f>IFERROR(MROUND(tblPiNAnalysis[[#This Row],[NNA]]/tblPiNAnalysis[[#This Row],[Población]], 0.05), "")</f>
        <v>0.05</v>
      </c>
      <c r="X104" s="89">
        <f>IFERROR(MROUND(tblPiNAnalysis[[#This Row],[VBG]]/tblPiNAnalysis[[#This Row],[Población]], 0.05), "")</f>
        <v>0.05</v>
      </c>
      <c r="Y104" s="91">
        <f>IFERROR(LARGE(tblPiNAnalysis[[#This Row],[SAMV]:[ASH]], 1), "")</f>
        <v>20840.04</v>
      </c>
      <c r="Z104" s="92" t="str" cm="1">
        <f t="array" ref="Z104">IF(tblPiNAnalysis[[#This Row],[PiN más alto]]="", "", _xlfn.TEXTJOIN(CHAR(10), TRUE, IF(tblPiNAnalysis[[#This Row],[PiN más alto]]=tblPiNAnalysis[[#This Row],[SAMV]:[ASH]], tblPiNAnalysis[[#Headers],[SAMV]:[ASH]], "")))</f>
        <v>SAL</v>
      </c>
      <c r="AA104" s="93">
        <f>IF(tblPiNAnalysis[[#This Row],[PiN más alto]]="", "", tblPiNAnalysis[[#This Row],[PiN más alto]]/tblPiNAnalysis[[#This Row],[Población]])</f>
        <v>0.36499999999999999</v>
      </c>
      <c r="AB104" s="94" t="str">
        <f>IF(SUM(tblPiNAnalysis[[#This Row],[SAMV]:[ASH]])=0, "",IF(COUNTIF(tblPiNAnalysis[[#This Row],[SAMV]:[ASH]],"=0")+COUNTIF(tblPiNAnalysis[[#This Row],[SAMV]:[ASH]],"")&gt;=zero_pin_thresh, "Flagged", ""))</f>
        <v/>
      </c>
      <c r="AC104" s="95" t="str">
        <f>IFERROR(IF(tblPiNAnalysis[[#This Row],[PiN más alto]]="", "", IF(tblPiNAnalysis[[#This Row],[% PiN Sectores más altos]]&gt;=flag_pin_perc, "Flagged", "")), "")</f>
        <v/>
      </c>
      <c r="AD104" s="96" t="str" cm="1">
        <f t="array" ref="AD104">IF(tblPiNAnalysis[[#This Row],[PiN más alto]]=0, "",  IF(OR(COUNTIF(tblPiNAnalysis[[#This Row],[Sectores más altos]],tblSubSectorPopulation[Sector])), "Flagged", ""))</f>
        <v/>
      </c>
      <c r="AE104" s="16" cm="1">
        <f t="array" ref="AE10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9550.5968975834294</v>
      </c>
      <c r="AF104" s="97" t="str" cm="1">
        <f t="array" ref="AF104">IF(tblPiNAnalysis[[#This Row],[2º PiN más alto]]="", "", _xlfn.TEXTJOIN(CHAR(10), TRUE, IF(tblPiNAnalysis[[#This Row],[2º PiN más alto]]=tblPiNAnalysis[[#This Row],[SAMV]:[ASH]], tblPiNAnalysis[[#Headers],[SAMV]:[ASH]], "")))</f>
        <v>PRO</v>
      </c>
      <c r="AG104" s="12">
        <f>IFERROR(tblPiNAnalysis[[#This Row],[2º PiN más alto]]/tblPiNAnalysis[[#This Row],[Población]], "")</f>
        <v>0.16727260924729279</v>
      </c>
      <c r="AH104" s="16">
        <f>IFERROR(tblPiNAnalysis[[#This Row],[PiN más alto]]-tblPiNAnalysis[[#This Row],[2º PiN más alto]], "")</f>
        <v>11289.443102416571</v>
      </c>
      <c r="AI104" s="14">
        <f>IFERROR(((tblPiNAnalysis[[#This Row],[PiN más alto]]-tblPiNAnalysis[[#This Row],[2º PiN más alto]])/tblPiNAnalysis[[#This Row],[2º PiN más alto]]),"")</f>
        <v>1.1820667570288848</v>
      </c>
      <c r="AJ104" s="14" t="str" cm="1">
        <f t="array" ref="AJ10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04" s="98" cm="1">
        <f t="array" ref="AK10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6752.5322016719847</v>
      </c>
      <c r="AL104" s="53" t="str" cm="1">
        <f t="array" ref="AL104">IF(tblPiNAnalysis[[#This Row],[3º PiN más alto]]="", "", _xlfn.TEXTJOIN(CHAR(10), TRUE, IF(tblPiNAnalysis[[#This Row],[3º PiN más alto]]=tblPiNAnalysis[[#This Row],[SAMV]:[ASH]], tblPiNAnalysis[[#Headers],[SAMV]:[ASH]], "")))</f>
        <v>EDU</v>
      </c>
      <c r="AM104" s="53">
        <f>IFERROR(tblPiNAnalysis[[#This Row],[3º PiN más alto]]/tblPiNAnalysis[[#This Row],[Población]], "")</f>
        <v>0.11826629188860839</v>
      </c>
      <c r="AN104" s="15">
        <f>IFERROR(tblPiNAnalysis[[#This Row],[PiN más alto]]-tblPiNAnalysis[[#This Row],[3º PiN más alto]],"")</f>
        <v>14087.507798328017</v>
      </c>
      <c r="AO104" s="14">
        <f>IFERROR(tblPiNAnalysis[[#This Row],[Diferencia de PiN entre el más alto y el 3º más alto]]/tblPiNAnalysis[[#This Row],[3º PiN más alto]], "")</f>
        <v>2.0862555523748307</v>
      </c>
      <c r="AP104" s="96" t="str" cm="1">
        <f t="array" ref="AP10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04" s="84" cm="1">
        <f t="array" ref="AQ104">IFERROR(IF(tblPiNAnalysis[[#This Row],[ID]]="", "", INDEX(tblPiNHistorical[[SAMV]:[ASH]], MATCH(tblPiNAnalysis[[#This Row],[ID]],tblPiNHistorical[ID], 0),MATCH(_xlfn._xlws.FILTER(tblPiNAnalysis[[#Headers],[SAMV]:[ASH]], tblPiNAnalysis[[#This Row],[PiN más alto]]=tblPiNAnalysis[[#This Row],[SAMV]:[ASH]]), tblPiNHistorical[[#Headers],[SAMV]:[ASH]], 0))), "")</f>
        <v>-0.3</v>
      </c>
      <c r="AR104" s="99" t="str" cm="1">
        <f t="array" ref="AR10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04" s="74" cm="1">
        <f t="array" ref="AS104">IFERROR(IF(tblPiNAnalysis[[#This Row],[ID]]="", "", INDEX(tblPiNHistorical[[SAMV]:[ASH]], MATCH(tblPiNAnalysis[[#This Row],[ID]],tblPiNHistorical[ID], 0),MATCH(_xlfn._xlws.FILTER(tblPiNAnalysis[[#Headers],[SAMV]:[ASH]], tblPiNAnalysis[[#This Row],[2º PiN más alto]]=tblPiNAnalysis[[#This Row],[SAMV]:[ASH]]), tblPiNHistorical[[#Headers],[SAMV]:[ASH]], 0))), "")</f>
        <v>-0.5</v>
      </c>
      <c r="AT104" s="100" t="str" cm="1">
        <f t="array" ref="AT10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04" s="219">
        <f>INDEX(tblSeverityAnalysis[Severidad final], MATCH(tblPiNAnalysis[[#This Row],[ID]],tblSeverityAnalysis[ID], 0))</f>
        <v>3</v>
      </c>
      <c r="AV104" s="220">
        <f>IF(tblPiNAnalysis[[#This Row],[Severidad]]&gt;2,tblPiNAnalysis[[#This Row],[PiN más alto]],)</f>
        <v>20840.04</v>
      </c>
      <c r="AW104" s="54"/>
      <c r="AX104" s="55"/>
      <c r="AY104" s="56">
        <f>COUNTIFS(tblPiNAnalysis[[#This Row],[Número de PiN ausentes/cero superior al umbral - Calidad de los datos]:[Marcador manual]],"Flagged")</f>
        <v>2</v>
      </c>
      <c r="AZ104" s="34" t="str">
        <f>IF(tblPiNAnalysis[[#This Row],[Número de marcadores]]&gt;0, "Flagged", "")</f>
        <v>Flagged</v>
      </c>
      <c r="BA104" s="92">
        <f>tblPiNAnalysis[[#This Row],[PiN preliminar]]</f>
        <v>20840.04</v>
      </c>
      <c r="BB104" s="97"/>
      <c r="BC104" s="70">
        <f>IFERROR(IF(tblPiNAnalysis[[#This Row],[Severidad]]=3,tblPiNAnalysis[[#This Row],[PiN final]]*Umbrales!$D$33,tblPiNAnalysis[[#This Row],[PiN final]]*Umbrales!$D$34),)</f>
        <v>10420.02</v>
      </c>
      <c r="BD104" s="70">
        <f>IFERROR(IF(tblPiNAnalysis[[#This Row],[Severidad]]&gt;3,tblPiNAnalysis[[#This Row],[PiN final]]*Umbrales!$D$34,),)</f>
        <v>0</v>
      </c>
    </row>
    <row r="105" spans="1:56">
      <c r="A105" s="101" t="str">
        <f>IFERROR(_xlfn.CONCAT(IF(tblPiNAnalysis[[#This Row],[Grupo]]="", "",tblPiNAnalysis[[#This Row],[Grupo]] ),  _xlfn.IFS(tblPiNAnalysis[[#This Row],[Admin2PCODE]]&lt;&gt;"", tblPiNAnalysis[[#This Row],[Admin2PCODE]], tblPiNAnalysis[[#This Row],[Admin1PCODE]]&lt;&gt;"", tblPiNAnalysis[[#This Row],[Admin1PCODE]])),"")</f>
        <v>VenezolanosVE0303</v>
      </c>
      <c r="B105" s="105" t="s">
        <v>119</v>
      </c>
      <c r="C105" s="104" t="s">
        <v>120</v>
      </c>
      <c r="D105" s="119" t="s">
        <v>813</v>
      </c>
      <c r="E105" s="104" t="s">
        <v>126</v>
      </c>
      <c r="F105" s="358"/>
      <c r="G105" s="357">
        <v>34186</v>
      </c>
      <c r="H105" s="103" t="s">
        <v>102</v>
      </c>
      <c r="I105" s="60">
        <v>9398</v>
      </c>
      <c r="J105" s="134">
        <v>1131.4833189646201</v>
      </c>
      <c r="K105" s="57">
        <v>12477.89</v>
      </c>
      <c r="L105" s="87">
        <v>2675.0067699306851</v>
      </c>
      <c r="M105" s="87">
        <v>6799.5777261748708</v>
      </c>
      <c r="N105" s="57">
        <v>20511.599999999999</v>
      </c>
      <c r="O105" s="57">
        <v>2175.8648723759588</v>
      </c>
      <c r="P105" s="57">
        <v>2379.8522041612046</v>
      </c>
      <c r="Q105" s="88">
        <f>IFERROR(IF(tblPiNAnalysis[[#This Row],[SAMV]]="", "", MROUND(tblPiNAnalysis[[#This Row],[SAMV]]/tblPiNAnalysis[[#This Row],[Población]], 0.05)), "")</f>
        <v>0.25</v>
      </c>
      <c r="R105" s="89">
        <f>IFERROR(IF(tblPiNAnalysis[[#This Row],[NUT]]="", "", MROUND(tblPiNAnalysis[[#This Row],[NUT]]/tblPiNAnalysis[[#This Row],[Población]], 0.05)), "")</f>
        <v>0.05</v>
      </c>
      <c r="S105" s="89">
        <f>IFERROR(IF(tblPiNAnalysis[[#This Row],[SAL]]="", "", MROUND(tblPiNAnalysis[[#This Row],[SAL]]/tblPiNAnalysis[[#This Row],[Población]], 0.05)), "")</f>
        <v>0.35000000000000003</v>
      </c>
      <c r="T105" s="89">
        <f>IFERROR(IF(tblPiNAnalysis[[#This Row],[EDU]]="", "", MROUND(tblPiNAnalysis[[#This Row],[EDU]]/tblPiNAnalysis[[#This Row],[Población]], 0.05)), "")</f>
        <v>0.1</v>
      </c>
      <c r="U105" s="89">
        <f>IFERROR(IF(tblPiNAnalysis[[#This Row],[PRO]]="", "", MROUND(tblPiNAnalysis[[#This Row],[PRO]]/tblPiNAnalysis[[#This Row],[Población]], 0.05)), "")</f>
        <v>0.2</v>
      </c>
      <c r="V105" s="90">
        <f>IFERROR(IF(tblPiNAnalysis[[#This Row],[ASH]]="", "", MROUND(tblPiNAnalysis[[#This Row],[ASH]]/tblPiNAnalysis[[#This Row],[Población]], 0.05)), "")</f>
        <v>0.60000000000000009</v>
      </c>
      <c r="W105" s="89">
        <f>IFERROR(MROUND(tblPiNAnalysis[[#This Row],[NNA]]/tblPiNAnalysis[[#This Row],[Población]], 0.05), "")</f>
        <v>0.05</v>
      </c>
      <c r="X105" s="89">
        <f>IFERROR(MROUND(tblPiNAnalysis[[#This Row],[VBG]]/tblPiNAnalysis[[#This Row],[Población]], 0.05), "")</f>
        <v>0.05</v>
      </c>
      <c r="Y105" s="91">
        <f>IFERROR(LARGE(tblPiNAnalysis[[#This Row],[SAMV]:[ASH]], 1), "")</f>
        <v>20511.599999999999</v>
      </c>
      <c r="Z105" s="92" t="str" cm="1">
        <f t="array" ref="Z105">IF(tblPiNAnalysis[[#This Row],[PiN más alto]]="", "", _xlfn.TEXTJOIN(CHAR(10), TRUE, IF(tblPiNAnalysis[[#This Row],[PiN más alto]]=tblPiNAnalysis[[#This Row],[SAMV]:[ASH]], tblPiNAnalysis[[#Headers],[SAMV]:[ASH]], "")))</f>
        <v>ASH</v>
      </c>
      <c r="AA105" s="93">
        <f>IF(tblPiNAnalysis[[#This Row],[PiN más alto]]="", "", tblPiNAnalysis[[#This Row],[PiN más alto]]/tblPiNAnalysis[[#This Row],[Población]])</f>
        <v>0.6</v>
      </c>
      <c r="AB105" s="94" t="str">
        <f>IF(SUM(tblPiNAnalysis[[#This Row],[SAMV]:[ASH]])=0, "",IF(COUNTIF(tblPiNAnalysis[[#This Row],[SAMV]:[ASH]],"=0")+COUNTIF(tblPiNAnalysis[[#This Row],[SAMV]:[ASH]],"")&gt;=zero_pin_thresh, "Flagged", ""))</f>
        <v/>
      </c>
      <c r="AC105" s="95" t="str">
        <f>IFERROR(IF(tblPiNAnalysis[[#This Row],[PiN más alto]]="", "", IF(tblPiNAnalysis[[#This Row],[% PiN Sectores más altos]]&gt;=flag_pin_perc, "Flagged", "")), "")</f>
        <v/>
      </c>
      <c r="AD105" s="96" t="str" cm="1">
        <f t="array" ref="AD105">IF(tblPiNAnalysis[[#This Row],[PiN más alto]]=0, "",  IF(OR(COUNTIF(tblPiNAnalysis[[#This Row],[Sectores más altos]],tblSubSectorPopulation[Sector])), "Flagged", ""))</f>
        <v/>
      </c>
      <c r="AE105" s="16" cm="1">
        <f t="array" ref="AE10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12477.89</v>
      </c>
      <c r="AF105" s="97" t="str" cm="1">
        <f t="array" ref="AF105">IF(tblPiNAnalysis[[#This Row],[2º PiN más alto]]="", "", _xlfn.TEXTJOIN(CHAR(10), TRUE, IF(tblPiNAnalysis[[#This Row],[2º PiN más alto]]=tblPiNAnalysis[[#This Row],[SAMV]:[ASH]], tblPiNAnalysis[[#Headers],[SAMV]:[ASH]], "")))</f>
        <v>SAL</v>
      </c>
      <c r="AG105" s="12">
        <f>IFERROR(tblPiNAnalysis[[#This Row],[2º PiN más alto]]/tblPiNAnalysis[[#This Row],[Población]], "")</f>
        <v>0.36499999999999999</v>
      </c>
      <c r="AH105" s="16">
        <f>IFERROR(tblPiNAnalysis[[#This Row],[PiN más alto]]-tblPiNAnalysis[[#This Row],[2º PiN más alto]], "")</f>
        <v>8033.7099999999991</v>
      </c>
      <c r="AI105" s="14">
        <f>IFERROR(((tblPiNAnalysis[[#This Row],[PiN más alto]]-tblPiNAnalysis[[#This Row],[2º PiN más alto]])/tblPiNAnalysis[[#This Row],[2º PiN más alto]]),"")</f>
        <v>0.64383561643835607</v>
      </c>
      <c r="AJ105" s="14" t="str" cm="1">
        <f t="array" ref="AJ10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05" s="98" cm="1">
        <f t="array" ref="AK10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9398</v>
      </c>
      <c r="AL105" s="53" t="str" cm="1">
        <f t="array" ref="AL105">IF(tblPiNAnalysis[[#This Row],[3º PiN más alto]]="", "", _xlfn.TEXTJOIN(CHAR(10), TRUE, IF(tblPiNAnalysis[[#This Row],[3º PiN más alto]]=tblPiNAnalysis[[#This Row],[SAMV]:[ASH]], tblPiNAnalysis[[#Headers],[SAMV]:[ASH]], "")))</f>
        <v>SAMV</v>
      </c>
      <c r="AM105" s="53">
        <f>IFERROR(tblPiNAnalysis[[#This Row],[3º PiN más alto]]/tblPiNAnalysis[[#This Row],[Población]], "")</f>
        <v>0.27490785701749254</v>
      </c>
      <c r="AN105" s="15">
        <f>IFERROR(tblPiNAnalysis[[#This Row],[PiN más alto]]-tblPiNAnalysis[[#This Row],[3º PiN más alto]],"")</f>
        <v>11113.599999999999</v>
      </c>
      <c r="AO105" s="14">
        <f>IFERROR(tblPiNAnalysis[[#This Row],[Diferencia de PiN entre el más alto y el 3º más alto]]/tblPiNAnalysis[[#This Row],[3º PiN más alto]], "")</f>
        <v>1.1825494786124706</v>
      </c>
      <c r="AP105" s="96" t="str" cm="1">
        <f t="array" ref="AP10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05" s="84" cm="1">
        <f t="array" ref="AQ105">IFERROR(IF(tblPiNAnalysis[[#This Row],[ID]]="", "", INDEX(tblPiNHistorical[[SAMV]:[ASH]], MATCH(tblPiNAnalysis[[#This Row],[ID]],tblPiNHistorical[ID], 0),MATCH(_xlfn._xlws.FILTER(tblPiNAnalysis[[#Headers],[SAMV]:[ASH]], tblPiNAnalysis[[#This Row],[PiN más alto]]=tblPiNAnalysis[[#This Row],[SAMV]:[ASH]]), tblPiNHistorical[[#Headers],[SAMV]:[ASH]], 0))), "")</f>
        <v>23.3</v>
      </c>
      <c r="AR105" s="99" t="str" cm="1">
        <f t="array" ref="AR10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05" s="74" cm="1">
        <f t="array" ref="AS105">IFERROR(IF(tblPiNAnalysis[[#This Row],[ID]]="", "", INDEX(tblPiNHistorical[[SAMV]:[ASH]], MATCH(tblPiNAnalysis[[#This Row],[ID]],tblPiNHistorical[ID], 0),MATCH(_xlfn._xlws.FILTER(tblPiNAnalysis[[#Headers],[SAMV]:[ASH]], tblPiNAnalysis[[#This Row],[2º PiN más alto]]=tblPiNAnalysis[[#This Row],[SAMV]:[ASH]]), tblPiNHistorical[[#Headers],[SAMV]:[ASH]], 0))), "")</f>
        <v>14.1</v>
      </c>
      <c r="AT105" s="100" t="str" cm="1">
        <f t="array" ref="AT10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05" s="219">
        <f>INDEX(tblSeverityAnalysis[Severidad final], MATCH(tblPiNAnalysis[[#This Row],[ID]],tblSeverityAnalysis[ID], 0))</f>
        <v>3</v>
      </c>
      <c r="AV105" s="220">
        <f>IF(tblPiNAnalysis[[#This Row],[Severidad]]&gt;2,tblPiNAnalysis[[#This Row],[PiN más alto]],)</f>
        <v>20511.599999999999</v>
      </c>
      <c r="AW105" s="54"/>
      <c r="AX105" s="55"/>
      <c r="AY105" s="56">
        <f>COUNTIFS(tblPiNAnalysis[[#This Row],[Número de PiN ausentes/cero superior al umbral - Calidad de los datos]:[Marcador manual]],"Flagged")</f>
        <v>4</v>
      </c>
      <c r="AZ105" s="34" t="str">
        <f>IF(tblPiNAnalysis[[#This Row],[Número de marcadores]]&gt;0, "Flagged", "")</f>
        <v>Flagged</v>
      </c>
      <c r="BA105" s="92">
        <f>tblPiNAnalysis[[#This Row],[PiN preliminar]]</f>
        <v>20511.599999999999</v>
      </c>
      <c r="BB105" s="97"/>
      <c r="BC105" s="70">
        <f>IFERROR(IF(tblPiNAnalysis[[#This Row],[Severidad]]=3,tblPiNAnalysis[[#This Row],[PiN final]]*Umbrales!$D$33,tblPiNAnalysis[[#This Row],[PiN final]]*Umbrales!$D$34),)</f>
        <v>10255.799999999999</v>
      </c>
      <c r="BD105" s="70">
        <f>IFERROR(IF(tblPiNAnalysis[[#This Row],[Severidad]]&gt;3,tblPiNAnalysis[[#This Row],[PiN final]]*Umbrales!$D$34,),)</f>
        <v>0</v>
      </c>
    </row>
    <row r="106" spans="1:56">
      <c r="A106" s="101" t="str">
        <f>IFERROR(_xlfn.CONCAT(IF(tblPiNAnalysis[[#This Row],[Grupo]]="", "",tblPiNAnalysis[[#This Row],[Grupo]] ),  _xlfn.IFS(tblPiNAnalysis[[#This Row],[Admin2PCODE]]&lt;&gt;"", tblPiNAnalysis[[#This Row],[Admin2PCODE]], tblPiNAnalysis[[#This Row],[Admin1PCODE]]&lt;&gt;"", tblPiNAnalysis[[#This Row],[Admin1PCODE]])),"")</f>
        <v>VenezolanosVE2118</v>
      </c>
      <c r="B106" s="105" t="s">
        <v>642</v>
      </c>
      <c r="C106" s="104" t="s">
        <v>643</v>
      </c>
      <c r="D106" s="119" t="s">
        <v>642</v>
      </c>
      <c r="E106" s="104" t="s">
        <v>674</v>
      </c>
      <c r="F106" s="358"/>
      <c r="G106" s="357">
        <v>55431</v>
      </c>
      <c r="H106" s="103" t="s">
        <v>102</v>
      </c>
      <c r="I106" s="60">
        <v>9366</v>
      </c>
      <c r="J106" s="134">
        <v>2478.0140410177223</v>
      </c>
      <c r="K106" s="57">
        <v>20232.314999999999</v>
      </c>
      <c r="L106" s="87">
        <v>6118.5979452721185</v>
      </c>
      <c r="M106" s="87">
        <v>6705.0535463466149</v>
      </c>
      <c r="N106" s="57">
        <v>0</v>
      </c>
      <c r="O106" s="57">
        <v>2145.6171348309172</v>
      </c>
      <c r="P106" s="57">
        <v>2346.7687412213149</v>
      </c>
      <c r="Q106" s="88">
        <f>IFERROR(IF(tblPiNAnalysis[[#This Row],[SAMV]]="", "", MROUND(tblPiNAnalysis[[#This Row],[SAMV]]/tblPiNAnalysis[[#This Row],[Población]], 0.05)), "")</f>
        <v>0.15000000000000002</v>
      </c>
      <c r="R106" s="89">
        <f>IFERROR(IF(tblPiNAnalysis[[#This Row],[NUT]]="", "", MROUND(tblPiNAnalysis[[#This Row],[NUT]]/tblPiNAnalysis[[#This Row],[Población]], 0.05)), "")</f>
        <v>0.05</v>
      </c>
      <c r="S106" s="89">
        <f>IFERROR(IF(tblPiNAnalysis[[#This Row],[SAL]]="", "", MROUND(tblPiNAnalysis[[#This Row],[SAL]]/tblPiNAnalysis[[#This Row],[Población]], 0.05)), "")</f>
        <v>0.35000000000000003</v>
      </c>
      <c r="T106" s="89">
        <f>IFERROR(IF(tblPiNAnalysis[[#This Row],[EDU]]="", "", MROUND(tblPiNAnalysis[[#This Row],[EDU]]/tblPiNAnalysis[[#This Row],[Población]], 0.05)), "")</f>
        <v>0.1</v>
      </c>
      <c r="U106" s="89">
        <f>IFERROR(IF(tblPiNAnalysis[[#This Row],[PRO]]="", "", MROUND(tblPiNAnalysis[[#This Row],[PRO]]/tblPiNAnalysis[[#This Row],[Población]], 0.05)), "")</f>
        <v>0.1</v>
      </c>
      <c r="V106" s="90">
        <f>IFERROR(IF(tblPiNAnalysis[[#This Row],[ASH]]="", "", MROUND(tblPiNAnalysis[[#This Row],[ASH]]/tblPiNAnalysis[[#This Row],[Población]], 0.05)), "")</f>
        <v>0</v>
      </c>
      <c r="W106" s="89">
        <f>IFERROR(MROUND(tblPiNAnalysis[[#This Row],[NNA]]/tblPiNAnalysis[[#This Row],[Población]], 0.05), "")</f>
        <v>0.05</v>
      </c>
      <c r="X106" s="89">
        <f>IFERROR(MROUND(tblPiNAnalysis[[#This Row],[VBG]]/tblPiNAnalysis[[#This Row],[Población]], 0.05), "")</f>
        <v>0.05</v>
      </c>
      <c r="Y106" s="91">
        <f>IFERROR(LARGE(tblPiNAnalysis[[#This Row],[SAMV]:[ASH]], 1), "")</f>
        <v>20232.314999999999</v>
      </c>
      <c r="Z106" s="92" t="str" cm="1">
        <f t="array" ref="Z106">IF(tblPiNAnalysis[[#This Row],[PiN más alto]]="", "", _xlfn.TEXTJOIN(CHAR(10), TRUE, IF(tblPiNAnalysis[[#This Row],[PiN más alto]]=tblPiNAnalysis[[#This Row],[SAMV]:[ASH]], tblPiNAnalysis[[#Headers],[SAMV]:[ASH]], "")))</f>
        <v>SAL</v>
      </c>
      <c r="AA106" s="93">
        <f>IF(tblPiNAnalysis[[#This Row],[PiN más alto]]="", "", tblPiNAnalysis[[#This Row],[PiN más alto]]/tblPiNAnalysis[[#This Row],[Población]])</f>
        <v>0.36499999999999999</v>
      </c>
      <c r="AB106" s="94" t="str">
        <f>IF(SUM(tblPiNAnalysis[[#This Row],[SAMV]:[ASH]])=0, "",IF(COUNTIF(tblPiNAnalysis[[#This Row],[SAMV]:[ASH]],"=0")+COUNTIF(tblPiNAnalysis[[#This Row],[SAMV]:[ASH]],"")&gt;=zero_pin_thresh, "Flagged", ""))</f>
        <v/>
      </c>
      <c r="AC106" s="95" t="str">
        <f>IFERROR(IF(tblPiNAnalysis[[#This Row],[PiN más alto]]="", "", IF(tblPiNAnalysis[[#This Row],[% PiN Sectores más altos]]&gt;=flag_pin_perc, "Flagged", "")), "")</f>
        <v/>
      </c>
      <c r="AD106" s="96" t="str" cm="1">
        <f t="array" ref="AD106">IF(tblPiNAnalysis[[#This Row],[PiN más alto]]=0, "",  IF(OR(COUNTIF(tblPiNAnalysis[[#This Row],[Sectores más altos]],tblSubSectorPopulation[Sector])), "Flagged", ""))</f>
        <v/>
      </c>
      <c r="AE106" s="16" cm="1">
        <f t="array" ref="AE10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9366</v>
      </c>
      <c r="AF106" s="97" t="str" cm="1">
        <f t="array" ref="AF106">IF(tblPiNAnalysis[[#This Row],[2º PiN más alto]]="", "", _xlfn.TEXTJOIN(CHAR(10), TRUE, IF(tblPiNAnalysis[[#This Row],[2º PiN más alto]]=tblPiNAnalysis[[#This Row],[SAMV]:[ASH]], tblPiNAnalysis[[#Headers],[SAMV]:[ASH]], "")))</f>
        <v>SAMV</v>
      </c>
      <c r="AG106" s="12">
        <f>IFERROR(tblPiNAnalysis[[#This Row],[2º PiN más alto]]/tblPiNAnalysis[[#This Row],[Población]], "")</f>
        <v>0.16896682361855281</v>
      </c>
      <c r="AH106" s="16">
        <f>IFERROR(tblPiNAnalysis[[#This Row],[PiN más alto]]-tblPiNAnalysis[[#This Row],[2º PiN más alto]], "")</f>
        <v>10866.314999999999</v>
      </c>
      <c r="AI106" s="14">
        <f>IFERROR(((tblPiNAnalysis[[#This Row],[PiN más alto]]-tblPiNAnalysis[[#This Row],[2º PiN más alto]])/tblPiNAnalysis[[#This Row],[2º PiN más alto]]),"")</f>
        <v>1.1601873798846891</v>
      </c>
      <c r="AJ106" s="14" t="str" cm="1">
        <f t="array" ref="AJ10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06" s="98" cm="1">
        <f t="array" ref="AK10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6705.0535463466149</v>
      </c>
      <c r="AL106" s="53" t="str" cm="1">
        <f t="array" ref="AL106">IF(tblPiNAnalysis[[#This Row],[3º PiN más alto]]="", "", _xlfn.TEXTJOIN(CHAR(10), TRUE, IF(tblPiNAnalysis[[#This Row],[3º PiN más alto]]=tblPiNAnalysis[[#This Row],[SAMV]:[ASH]], tblPiNAnalysis[[#Headers],[SAMV]:[ASH]], "")))</f>
        <v>PRO</v>
      </c>
      <c r="AM106" s="53">
        <f>IFERROR(tblPiNAnalysis[[#This Row],[3º PiN más alto]]/tblPiNAnalysis[[#This Row],[Población]], "")</f>
        <v>0.12096216099919928</v>
      </c>
      <c r="AN106" s="15">
        <f>IFERROR(tblPiNAnalysis[[#This Row],[PiN más alto]]-tblPiNAnalysis[[#This Row],[3º PiN más alto]],"")</f>
        <v>13527.261453653384</v>
      </c>
      <c r="AO106" s="14">
        <f>IFERROR(tblPiNAnalysis[[#This Row],[Diferencia de PiN entre el más alto y el 3º más alto]]/tblPiNAnalysis[[#This Row],[3º PiN más alto]], "")</f>
        <v>2.0174725466620602</v>
      </c>
      <c r="AP106" s="96" t="str" cm="1">
        <f t="array" ref="AP10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06" s="84" cm="1">
        <f t="array" ref="AQ106">IFERROR(IF(tblPiNAnalysis[[#This Row],[ID]]="", "", INDEX(tblPiNHistorical[[SAMV]:[ASH]], MATCH(tblPiNAnalysis[[#This Row],[ID]],tblPiNHistorical[ID], 0),MATCH(_xlfn._xlws.FILTER(tblPiNAnalysis[[#Headers],[SAMV]:[ASH]], tblPiNAnalysis[[#This Row],[PiN más alto]]=tblPiNAnalysis[[#This Row],[SAMV]:[ASH]]), tblPiNHistorical[[#Headers],[SAMV]:[ASH]], 0))), "")</f>
        <v>-0.3</v>
      </c>
      <c r="AR106" s="99" t="str" cm="1">
        <f t="array" ref="AR10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06" s="74" cm="1">
        <f t="array" ref="AS106">IFERROR(IF(tblPiNAnalysis[[#This Row],[ID]]="", "", INDEX(tblPiNHistorical[[SAMV]:[ASH]], MATCH(tblPiNAnalysis[[#This Row],[ID]],tblPiNHistorical[ID], 0),MATCH(_xlfn._xlws.FILTER(tblPiNAnalysis[[#Headers],[SAMV]:[ASH]], tblPiNAnalysis[[#This Row],[2º PiN más alto]]=tblPiNAnalysis[[#This Row],[SAMV]:[ASH]]), tblPiNHistorical[[#Headers],[SAMV]:[ASH]], 0))), "")</f>
        <v>-0.1</v>
      </c>
      <c r="AT106" s="100" t="str" cm="1">
        <f t="array" ref="AT10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06" s="219">
        <f>INDEX(tblSeverityAnalysis[Severidad final], MATCH(tblPiNAnalysis[[#This Row],[ID]],tblSeverityAnalysis[ID], 0))</f>
        <v>3</v>
      </c>
      <c r="AV106" s="220">
        <f>IF(tblPiNAnalysis[[#This Row],[Severidad]]&gt;2,tblPiNAnalysis[[#This Row],[PiN más alto]],)</f>
        <v>20232.314999999999</v>
      </c>
      <c r="AW106" s="54"/>
      <c r="AX106" s="55"/>
      <c r="AY106" s="56">
        <f>COUNTIFS(tblPiNAnalysis[[#This Row],[Número de PiN ausentes/cero superior al umbral - Calidad de los datos]:[Marcador manual]],"Flagged")</f>
        <v>2</v>
      </c>
      <c r="AZ106" s="34" t="str">
        <f>IF(tblPiNAnalysis[[#This Row],[Número de marcadores]]&gt;0, "Flagged", "")</f>
        <v>Flagged</v>
      </c>
      <c r="BA106" s="92">
        <f>tblPiNAnalysis[[#This Row],[PiN preliminar]]</f>
        <v>20232.314999999999</v>
      </c>
      <c r="BB106" s="97"/>
      <c r="BC106" s="70">
        <f>IFERROR(IF(tblPiNAnalysis[[#This Row],[Severidad]]=3,tblPiNAnalysis[[#This Row],[PiN final]]*Umbrales!$D$33,tblPiNAnalysis[[#This Row],[PiN final]]*Umbrales!$D$34),)</f>
        <v>10116.157499999999</v>
      </c>
      <c r="BD106" s="70">
        <f>IFERROR(IF(tblPiNAnalysis[[#This Row],[Severidad]]&gt;3,tblPiNAnalysis[[#This Row],[PiN final]]*Umbrales!$D$34,),)</f>
        <v>0</v>
      </c>
    </row>
    <row r="107" spans="1:56">
      <c r="A107" s="101" t="str">
        <f>IFERROR(_xlfn.CONCAT(IF(tblPiNAnalysis[[#This Row],[Grupo]]="", "",tblPiNAnalysis[[#This Row],[Grupo]] ),  _xlfn.IFS(tblPiNAnalysis[[#This Row],[Admin2PCODE]]&lt;&gt;"", tblPiNAnalysis[[#This Row],[Admin2PCODE]], tblPiNAnalysis[[#This Row],[Admin1PCODE]]&lt;&gt;"", tblPiNAnalysis[[#This Row],[Admin1PCODE]])),"")</f>
        <v>VenezolanosVE1912</v>
      </c>
      <c r="B107" s="105" t="s">
        <v>203</v>
      </c>
      <c r="C107" s="104" t="s">
        <v>564</v>
      </c>
      <c r="D107" s="119" t="s">
        <v>582</v>
      </c>
      <c r="E107" s="104" t="s">
        <v>583</v>
      </c>
      <c r="F107" s="358"/>
      <c r="G107" s="357">
        <v>55104</v>
      </c>
      <c r="H107" s="103" t="s">
        <v>102</v>
      </c>
      <c r="I107" s="60">
        <v>13011</v>
      </c>
      <c r="J107" s="134">
        <v>2518.6704656282359</v>
      </c>
      <c r="K107" s="57">
        <v>20112.96</v>
      </c>
      <c r="L107" s="87">
        <v>2239.9969085969688</v>
      </c>
      <c r="M107" s="87">
        <v>10992.569900427487</v>
      </c>
      <c r="N107" s="57">
        <v>0</v>
      </c>
      <c r="O107" s="57">
        <v>3517.6223681367956</v>
      </c>
      <c r="P107" s="57">
        <v>3847.39946514962</v>
      </c>
      <c r="Q107" s="88">
        <f>IFERROR(IF(tblPiNAnalysis[[#This Row],[SAMV]]="", "", MROUND(tblPiNAnalysis[[#This Row],[SAMV]]/tblPiNAnalysis[[#This Row],[Población]], 0.05)), "")</f>
        <v>0.25</v>
      </c>
      <c r="R107" s="89">
        <f>IFERROR(IF(tblPiNAnalysis[[#This Row],[NUT]]="", "", MROUND(tblPiNAnalysis[[#This Row],[NUT]]/tblPiNAnalysis[[#This Row],[Población]], 0.05)), "")</f>
        <v>0.05</v>
      </c>
      <c r="S107" s="89">
        <f>IFERROR(IF(tblPiNAnalysis[[#This Row],[SAL]]="", "", MROUND(tblPiNAnalysis[[#This Row],[SAL]]/tblPiNAnalysis[[#This Row],[Población]], 0.05)), "")</f>
        <v>0.35000000000000003</v>
      </c>
      <c r="T107" s="89">
        <f>IFERROR(IF(tblPiNAnalysis[[#This Row],[EDU]]="", "", MROUND(tblPiNAnalysis[[#This Row],[EDU]]/tblPiNAnalysis[[#This Row],[Población]], 0.05)), "")</f>
        <v>0.05</v>
      </c>
      <c r="U107" s="89">
        <f>IFERROR(IF(tblPiNAnalysis[[#This Row],[PRO]]="", "", MROUND(tblPiNAnalysis[[#This Row],[PRO]]/tblPiNAnalysis[[#This Row],[Población]], 0.05)), "")</f>
        <v>0.2</v>
      </c>
      <c r="V107" s="90">
        <f>IFERROR(IF(tblPiNAnalysis[[#This Row],[ASH]]="", "", MROUND(tblPiNAnalysis[[#This Row],[ASH]]/tblPiNAnalysis[[#This Row],[Población]], 0.05)), "")</f>
        <v>0</v>
      </c>
      <c r="W107" s="89">
        <f>IFERROR(MROUND(tblPiNAnalysis[[#This Row],[NNA]]/tblPiNAnalysis[[#This Row],[Población]], 0.05), "")</f>
        <v>0.05</v>
      </c>
      <c r="X107" s="89">
        <f>IFERROR(MROUND(tblPiNAnalysis[[#This Row],[VBG]]/tblPiNAnalysis[[#This Row],[Población]], 0.05), "")</f>
        <v>0.05</v>
      </c>
      <c r="Y107" s="91">
        <f>IFERROR(LARGE(tblPiNAnalysis[[#This Row],[SAMV]:[ASH]], 1), "")</f>
        <v>20112.96</v>
      </c>
      <c r="Z107" s="92" t="str" cm="1">
        <f t="array" ref="Z107">IF(tblPiNAnalysis[[#This Row],[PiN más alto]]="", "", _xlfn.TEXTJOIN(CHAR(10), TRUE, IF(tblPiNAnalysis[[#This Row],[PiN más alto]]=tblPiNAnalysis[[#This Row],[SAMV]:[ASH]], tblPiNAnalysis[[#Headers],[SAMV]:[ASH]], "")))</f>
        <v>SAL</v>
      </c>
      <c r="AA107" s="93">
        <f>IF(tblPiNAnalysis[[#This Row],[PiN más alto]]="", "", tblPiNAnalysis[[#This Row],[PiN más alto]]/tblPiNAnalysis[[#This Row],[Población]])</f>
        <v>0.36499999999999999</v>
      </c>
      <c r="AB107" s="94" t="str">
        <f>IF(SUM(tblPiNAnalysis[[#This Row],[SAMV]:[ASH]])=0, "",IF(COUNTIF(tblPiNAnalysis[[#This Row],[SAMV]:[ASH]],"=0")+COUNTIF(tblPiNAnalysis[[#This Row],[SAMV]:[ASH]],"")&gt;=zero_pin_thresh, "Flagged", ""))</f>
        <v/>
      </c>
      <c r="AC107" s="95" t="str">
        <f>IFERROR(IF(tblPiNAnalysis[[#This Row],[PiN más alto]]="", "", IF(tblPiNAnalysis[[#This Row],[% PiN Sectores más altos]]&gt;=flag_pin_perc, "Flagged", "")), "")</f>
        <v/>
      </c>
      <c r="AD107" s="96" t="str" cm="1">
        <f t="array" ref="AD107">IF(tblPiNAnalysis[[#This Row],[PiN más alto]]=0, "",  IF(OR(COUNTIF(tblPiNAnalysis[[#This Row],[Sectores más altos]],tblSubSectorPopulation[Sector])), "Flagged", ""))</f>
        <v/>
      </c>
      <c r="AE107" s="16" cm="1">
        <f t="array" ref="AE10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13011</v>
      </c>
      <c r="AF107" s="97" t="str" cm="1">
        <f t="array" ref="AF107">IF(tblPiNAnalysis[[#This Row],[2º PiN más alto]]="", "", _xlfn.TEXTJOIN(CHAR(10), TRUE, IF(tblPiNAnalysis[[#This Row],[2º PiN más alto]]=tblPiNAnalysis[[#This Row],[SAMV]:[ASH]], tblPiNAnalysis[[#Headers],[SAMV]:[ASH]], "")))</f>
        <v>SAMV</v>
      </c>
      <c r="AG107" s="12">
        <f>IFERROR(tblPiNAnalysis[[#This Row],[2º PiN más alto]]/tblPiNAnalysis[[#This Row],[Población]], "")</f>
        <v>0.23611716027874566</v>
      </c>
      <c r="AH107" s="16">
        <f>IFERROR(tblPiNAnalysis[[#This Row],[PiN más alto]]-tblPiNAnalysis[[#This Row],[2º PiN más alto]], "")</f>
        <v>7101.9599999999991</v>
      </c>
      <c r="AI107" s="14">
        <f>IFERROR(((tblPiNAnalysis[[#This Row],[PiN más alto]]-tblPiNAnalysis[[#This Row],[2º PiN más alto]])/tblPiNAnalysis[[#This Row],[2º PiN más alto]]),"")</f>
        <v>0.54584274844362457</v>
      </c>
      <c r="AJ107" s="14" t="str" cm="1">
        <f t="array" ref="AJ10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07" s="98" cm="1">
        <f t="array" ref="AK10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10992.569900427487</v>
      </c>
      <c r="AL107" s="53" t="str" cm="1">
        <f t="array" ref="AL107">IF(tblPiNAnalysis[[#This Row],[3º PiN más alto]]="", "", _xlfn.TEXTJOIN(CHAR(10), TRUE, IF(tblPiNAnalysis[[#This Row],[3º PiN más alto]]=tblPiNAnalysis[[#This Row],[SAMV]:[ASH]], tblPiNAnalysis[[#Headers],[SAMV]:[ASH]], "")))</f>
        <v>PRO</v>
      </c>
      <c r="AM107" s="53">
        <f>IFERROR(tblPiNAnalysis[[#This Row],[3º PiN más alto]]/tblPiNAnalysis[[#This Row],[Población]], "")</f>
        <v>0.19948769418603887</v>
      </c>
      <c r="AN107" s="15">
        <f>IFERROR(tblPiNAnalysis[[#This Row],[PiN más alto]]-tblPiNAnalysis[[#This Row],[3º PiN más alto]],"")</f>
        <v>9120.3900995725126</v>
      </c>
      <c r="AO107" s="14">
        <f>IFERROR(tblPiNAnalysis[[#This Row],[Diferencia de PiN entre el más alto y el 3º más alto]]/tblPiNAnalysis[[#This Row],[3º PiN más alto]], "")</f>
        <v>0.82968679591637917</v>
      </c>
      <c r="AP107" s="96" t="str" cm="1">
        <f t="array" ref="AP10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07" s="84" cm="1">
        <f t="array" ref="AQ107">IFERROR(IF(tblPiNAnalysis[[#This Row],[ID]]="", "", INDEX(tblPiNHistorical[[SAMV]:[ASH]], MATCH(tblPiNAnalysis[[#This Row],[ID]],tblPiNHistorical[ID], 0),MATCH(_xlfn._xlws.FILTER(tblPiNAnalysis[[#Headers],[SAMV]:[ASH]], tblPiNAnalysis[[#This Row],[PiN más alto]]=tblPiNAnalysis[[#This Row],[SAMV]:[ASH]]), tblPiNHistorical[[#Headers],[SAMV]:[ASH]], 0))), "")</f>
        <v>0.5</v>
      </c>
      <c r="AR107" s="99" t="str" cm="1">
        <f t="array" ref="AR10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07" s="74" cm="1">
        <f t="array" ref="AS107">IFERROR(IF(tblPiNAnalysis[[#This Row],[ID]]="", "", INDEX(tblPiNHistorical[[SAMV]:[ASH]], MATCH(tblPiNAnalysis[[#This Row],[ID]],tblPiNHistorical[ID], 0),MATCH(_xlfn._xlws.FILTER(tblPiNAnalysis[[#Headers],[SAMV]:[ASH]], tblPiNAnalysis[[#This Row],[2º PiN más alto]]=tblPiNAnalysis[[#This Row],[SAMV]:[ASH]]), tblPiNHistorical[[#Headers],[SAMV]:[ASH]], 0))), "")</f>
        <v>-0.4</v>
      </c>
      <c r="AT107" s="100" t="str" cm="1">
        <f t="array" ref="AT10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07" s="219">
        <f>INDEX(tblSeverityAnalysis[Severidad final], MATCH(tblPiNAnalysis[[#This Row],[ID]],tblSeverityAnalysis[ID], 0))</f>
        <v>3</v>
      </c>
      <c r="AV107" s="220">
        <f>IF(tblPiNAnalysis[[#This Row],[Severidad]]&gt;2,tblPiNAnalysis[[#This Row],[PiN más alto]],)</f>
        <v>20112.96</v>
      </c>
      <c r="AW107" s="54"/>
      <c r="AX107" s="55"/>
      <c r="AY107" s="56">
        <f>COUNTIFS(tblPiNAnalysis[[#This Row],[Número de PiN ausentes/cero superior al umbral - Calidad de los datos]:[Marcador manual]],"Flagged")</f>
        <v>2</v>
      </c>
      <c r="AZ107" s="34" t="str">
        <f>IF(tblPiNAnalysis[[#This Row],[Número de marcadores]]&gt;0, "Flagged", "")</f>
        <v>Flagged</v>
      </c>
      <c r="BA107" s="92">
        <f>tblPiNAnalysis[[#This Row],[PiN preliminar]]</f>
        <v>20112.96</v>
      </c>
      <c r="BB107" s="97"/>
      <c r="BC107" s="70">
        <f>IFERROR(IF(tblPiNAnalysis[[#This Row],[Severidad]]=3,tblPiNAnalysis[[#This Row],[PiN final]]*Umbrales!$D$33,tblPiNAnalysis[[#This Row],[PiN final]]*Umbrales!$D$34),)</f>
        <v>10056.48</v>
      </c>
      <c r="BD107" s="70">
        <f>IFERROR(IF(tblPiNAnalysis[[#This Row],[Severidad]]&gt;3,tblPiNAnalysis[[#This Row],[PiN final]]*Umbrales!$D$34,),)</f>
        <v>0</v>
      </c>
    </row>
    <row r="108" spans="1:56">
      <c r="A108" s="101" t="str">
        <f>IFERROR(_xlfn.CONCAT(IF(tblPiNAnalysis[[#This Row],[Grupo]]="", "",tblPiNAnalysis[[#This Row],[Grupo]] ),  _xlfn.IFS(tblPiNAnalysis[[#This Row],[Admin2PCODE]]&lt;&gt;"", tblPiNAnalysis[[#This Row],[Admin2PCODE]], tblPiNAnalysis[[#This Row],[Admin1PCODE]]&lt;&gt;"", tblPiNAnalysis[[#This Row],[Admin1PCODE]])),"")</f>
        <v>VenezolanosVE0406</v>
      </c>
      <c r="B108" s="105" t="s">
        <v>163</v>
      </c>
      <c r="C108" s="104" t="s">
        <v>164</v>
      </c>
      <c r="D108" s="119" t="s">
        <v>175</v>
      </c>
      <c r="E108" s="104" t="s">
        <v>176</v>
      </c>
      <c r="F108" s="358"/>
      <c r="G108" s="357">
        <v>24970</v>
      </c>
      <c r="H108" s="103" t="s">
        <v>102</v>
      </c>
      <c r="I108" s="60">
        <v>3026</v>
      </c>
      <c r="J108" s="134">
        <v>3417.4794151314604</v>
      </c>
      <c r="K108" s="57">
        <v>12100</v>
      </c>
      <c r="L108" s="87">
        <v>386.41111982904505</v>
      </c>
      <c r="M108" s="87">
        <v>5996.3366071694882</v>
      </c>
      <c r="N108" s="57">
        <v>19976</v>
      </c>
      <c r="O108" s="57">
        <v>1924.8240509014058</v>
      </c>
      <c r="P108" s="57">
        <v>2098.717812509321</v>
      </c>
      <c r="Q108" s="88">
        <f>IFERROR(IF(tblPiNAnalysis[[#This Row],[SAMV]]="", "", MROUND(tblPiNAnalysis[[#This Row],[SAMV]]/tblPiNAnalysis[[#This Row],[Población]], 0.05)), "")</f>
        <v>0.1</v>
      </c>
      <c r="R108" s="89">
        <f>IFERROR(IF(tblPiNAnalysis[[#This Row],[NUT]]="", "", MROUND(tblPiNAnalysis[[#This Row],[NUT]]/tblPiNAnalysis[[#This Row],[Población]], 0.05)), "")</f>
        <v>0.15000000000000002</v>
      </c>
      <c r="S108" s="89">
        <f>IFERROR(IF(tblPiNAnalysis[[#This Row],[SAL]]="", "", MROUND(tblPiNAnalysis[[#This Row],[SAL]]/tblPiNAnalysis[[#This Row],[Población]], 0.05)), "")</f>
        <v>0.5</v>
      </c>
      <c r="T108" s="89">
        <f>IFERROR(IF(tblPiNAnalysis[[#This Row],[EDU]]="", "", MROUND(tblPiNAnalysis[[#This Row],[EDU]]/tblPiNAnalysis[[#This Row],[Población]], 0.05)), "")</f>
        <v>0</v>
      </c>
      <c r="U108" s="89">
        <f>IFERROR(IF(tblPiNAnalysis[[#This Row],[PRO]]="", "", MROUND(tblPiNAnalysis[[#This Row],[PRO]]/tblPiNAnalysis[[#This Row],[Población]], 0.05)), "")</f>
        <v>0.25</v>
      </c>
      <c r="V108" s="90">
        <f>IFERROR(IF(tblPiNAnalysis[[#This Row],[ASH]]="", "", MROUND(tblPiNAnalysis[[#This Row],[ASH]]/tblPiNAnalysis[[#This Row],[Población]], 0.05)), "")</f>
        <v>0.8</v>
      </c>
      <c r="W108" s="89">
        <f>IFERROR(MROUND(tblPiNAnalysis[[#This Row],[NNA]]/tblPiNAnalysis[[#This Row],[Población]], 0.05), "")</f>
        <v>0.1</v>
      </c>
      <c r="X108" s="89">
        <f>IFERROR(MROUND(tblPiNAnalysis[[#This Row],[VBG]]/tblPiNAnalysis[[#This Row],[Población]], 0.05), "")</f>
        <v>0.1</v>
      </c>
      <c r="Y108" s="91">
        <f>IFERROR(LARGE(tblPiNAnalysis[[#This Row],[SAMV]:[ASH]], 1), "")</f>
        <v>19976</v>
      </c>
      <c r="Z108" s="92" t="str" cm="1">
        <f t="array" ref="Z108">IF(tblPiNAnalysis[[#This Row],[PiN más alto]]="", "", _xlfn.TEXTJOIN(CHAR(10), TRUE, IF(tblPiNAnalysis[[#This Row],[PiN más alto]]=tblPiNAnalysis[[#This Row],[SAMV]:[ASH]], tblPiNAnalysis[[#Headers],[SAMV]:[ASH]], "")))</f>
        <v>ASH</v>
      </c>
      <c r="AA108" s="93">
        <f>IF(tblPiNAnalysis[[#This Row],[PiN más alto]]="", "", tblPiNAnalysis[[#This Row],[PiN más alto]]/tblPiNAnalysis[[#This Row],[Población]])</f>
        <v>0.8</v>
      </c>
      <c r="AB108" s="94" t="str">
        <f>IF(SUM(tblPiNAnalysis[[#This Row],[SAMV]:[ASH]])=0, "",IF(COUNTIF(tblPiNAnalysis[[#This Row],[SAMV]:[ASH]],"=0")+COUNTIF(tblPiNAnalysis[[#This Row],[SAMV]:[ASH]],"")&gt;=zero_pin_thresh, "Flagged", ""))</f>
        <v/>
      </c>
      <c r="AC108" s="95" t="str">
        <f>IFERROR(IF(tblPiNAnalysis[[#This Row],[PiN más alto]]="", "", IF(tblPiNAnalysis[[#This Row],[% PiN Sectores más altos]]&gt;=flag_pin_perc, "Flagged", "")), "")</f>
        <v/>
      </c>
      <c r="AD108" s="96" t="str" cm="1">
        <f t="array" ref="AD108">IF(tblPiNAnalysis[[#This Row],[PiN más alto]]=0, "",  IF(OR(COUNTIF(tblPiNAnalysis[[#This Row],[Sectores más altos]],tblSubSectorPopulation[Sector])), "Flagged", ""))</f>
        <v/>
      </c>
      <c r="AE108" s="16" cm="1">
        <f t="array" ref="AE10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12100</v>
      </c>
      <c r="AF108" s="97" t="str" cm="1">
        <f t="array" ref="AF108">IF(tblPiNAnalysis[[#This Row],[2º PiN más alto]]="", "", _xlfn.TEXTJOIN(CHAR(10), TRUE, IF(tblPiNAnalysis[[#This Row],[2º PiN más alto]]=tblPiNAnalysis[[#This Row],[SAMV]:[ASH]], tblPiNAnalysis[[#Headers],[SAMV]:[ASH]], "")))</f>
        <v>SAL</v>
      </c>
      <c r="AG108" s="12">
        <f>IFERROR(tblPiNAnalysis[[#This Row],[2º PiN más alto]]/tblPiNAnalysis[[#This Row],[Población]], "")</f>
        <v>0.48458149779735682</v>
      </c>
      <c r="AH108" s="16">
        <f>IFERROR(tblPiNAnalysis[[#This Row],[PiN más alto]]-tblPiNAnalysis[[#This Row],[2º PiN más alto]], "")</f>
        <v>7876</v>
      </c>
      <c r="AI108" s="14">
        <f>IFERROR(((tblPiNAnalysis[[#This Row],[PiN más alto]]-tblPiNAnalysis[[#This Row],[2º PiN más alto]])/tblPiNAnalysis[[#This Row],[2º PiN más alto]]),"")</f>
        <v>0.65090909090909088</v>
      </c>
      <c r="AJ108" s="14" t="str" cm="1">
        <f t="array" ref="AJ10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08" s="98" cm="1">
        <f t="array" ref="AK10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5996.3366071694882</v>
      </c>
      <c r="AL108" s="53" t="str" cm="1">
        <f t="array" ref="AL108">IF(tblPiNAnalysis[[#This Row],[3º PiN más alto]]="", "", _xlfn.TEXTJOIN(CHAR(10), TRUE, IF(tblPiNAnalysis[[#This Row],[3º PiN más alto]]=tblPiNAnalysis[[#This Row],[SAMV]:[ASH]], tblPiNAnalysis[[#Headers],[SAMV]:[ASH]], "")))</f>
        <v>PRO</v>
      </c>
      <c r="AM108" s="53">
        <f>IFERROR(tblPiNAnalysis[[#This Row],[3º PiN más alto]]/tblPiNAnalysis[[#This Row],[Población]], "")</f>
        <v>0.24014163424787699</v>
      </c>
      <c r="AN108" s="15">
        <f>IFERROR(tblPiNAnalysis[[#This Row],[PiN más alto]]-tblPiNAnalysis[[#This Row],[3º PiN más alto]],"")</f>
        <v>13979.663392830513</v>
      </c>
      <c r="AO108" s="14">
        <f>IFERROR(tblPiNAnalysis[[#This Row],[Diferencia de PiN entre el más alto y el 3º más alto]]/tblPiNAnalysis[[#This Row],[3º PiN más alto]], "")</f>
        <v>2.3313673512117052</v>
      </c>
      <c r="AP108" s="96" t="str" cm="1">
        <f t="array" ref="AP10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08" s="84" cm="1">
        <f t="array" ref="AQ108">IFERROR(IF(tblPiNAnalysis[[#This Row],[ID]]="", "", INDEX(tblPiNHistorical[[SAMV]:[ASH]], MATCH(tblPiNAnalysis[[#This Row],[ID]],tblPiNHistorical[ID], 0),MATCH(_xlfn._xlws.FILTER(tblPiNAnalysis[[#Headers],[SAMV]:[ASH]], tblPiNAnalysis[[#This Row],[PiN más alto]]=tblPiNAnalysis[[#This Row],[SAMV]:[ASH]]), tblPiNHistorical[[#Headers],[SAMV]:[ASH]], 0))), "")</f>
        <v>2.8</v>
      </c>
      <c r="AR108" s="99" t="str" cm="1">
        <f t="array" ref="AR10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08" s="74" cm="1">
        <f t="array" ref="AS108">IFERROR(IF(tblPiNAnalysis[[#This Row],[ID]]="", "", INDEX(tblPiNHistorical[[SAMV]:[ASH]], MATCH(tblPiNAnalysis[[#This Row],[ID]],tblPiNHistorical[ID], 0),MATCH(_xlfn._xlws.FILTER(tblPiNAnalysis[[#Headers],[SAMV]:[ASH]], tblPiNAnalysis[[#This Row],[2º PiN más alto]]=tblPiNAnalysis[[#This Row],[SAMV]:[ASH]]), tblPiNHistorical[[#Headers],[SAMV]:[ASH]], 0))), "")</f>
        <v>4.3</v>
      </c>
      <c r="AT108" s="100" t="str" cm="1">
        <f t="array" ref="AT10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08" s="219">
        <f>INDEX(tblSeverityAnalysis[Severidad final], MATCH(tblPiNAnalysis[[#This Row],[ID]],tblSeverityAnalysis[ID], 0))</f>
        <v>4</v>
      </c>
      <c r="AV108" s="220">
        <f>IF(tblPiNAnalysis[[#This Row],[Severidad]]&gt;2,tblPiNAnalysis[[#This Row],[PiN más alto]],)</f>
        <v>19976</v>
      </c>
      <c r="AW108" s="54"/>
      <c r="AX108" s="55"/>
      <c r="AY108" s="56">
        <f>COUNTIFS(tblPiNAnalysis[[#This Row],[Número de PiN ausentes/cero superior al umbral - Calidad de los datos]:[Marcador manual]],"Flagged")</f>
        <v>4</v>
      </c>
      <c r="AZ108" s="34" t="str">
        <f>IF(tblPiNAnalysis[[#This Row],[Número de marcadores]]&gt;0, "Flagged", "")</f>
        <v>Flagged</v>
      </c>
      <c r="BA108" s="92">
        <f>tblPiNAnalysis[[#This Row],[PiN preliminar]]</f>
        <v>19976</v>
      </c>
      <c r="BB108" s="97"/>
      <c r="BC108" s="70">
        <f>IFERROR(IF(tblPiNAnalysis[[#This Row],[Severidad]]=3,tblPiNAnalysis[[#This Row],[PiN final]]*Umbrales!$D$33,tblPiNAnalysis[[#This Row],[PiN final]]*Umbrales!$D$34),)</f>
        <v>19976</v>
      </c>
      <c r="BD108" s="70">
        <f>IFERROR(IF(tblPiNAnalysis[[#This Row],[Severidad]]&gt;3,tblPiNAnalysis[[#This Row],[PiN final]]*Umbrales!$D$34,),)</f>
        <v>19976</v>
      </c>
    </row>
    <row r="109" spans="1:56">
      <c r="A109" s="101" t="str">
        <f>IFERROR(_xlfn.CONCAT(IF(tblPiNAnalysis[[#This Row],[Grupo]]="", "",tblPiNAnalysis[[#This Row],[Grupo]] ),  _xlfn.IFS(tblPiNAnalysis[[#This Row],[Admin2PCODE]]&lt;&gt;"", tblPiNAnalysis[[#This Row],[Admin2PCODE]], tblPiNAnalysis[[#This Row],[Admin1PCODE]]&lt;&gt;"", tblPiNAnalysis[[#This Row],[Admin1PCODE]])),"")</f>
        <v>VenezolanosVE2321</v>
      </c>
      <c r="B109" s="105" t="s">
        <v>705</v>
      </c>
      <c r="C109" s="104" t="s">
        <v>706</v>
      </c>
      <c r="D109" s="119" t="s">
        <v>743</v>
      </c>
      <c r="E109" s="104" t="s">
        <v>744</v>
      </c>
      <c r="F109" s="358"/>
      <c r="G109" s="357">
        <v>53812</v>
      </c>
      <c r="H109" s="103" t="s">
        <v>102</v>
      </c>
      <c r="I109" s="60">
        <v>0</v>
      </c>
      <c r="J109" s="134">
        <v>2216.227866304348</v>
      </c>
      <c r="K109" s="57">
        <v>19641.38</v>
      </c>
      <c r="L109" s="87">
        <v>7118.3492301004626</v>
      </c>
      <c r="M109" s="87">
        <v>12825.691839484609</v>
      </c>
      <c r="N109" s="57">
        <v>7264.62</v>
      </c>
      <c r="O109" s="57">
        <v>4117.0470804745601</v>
      </c>
      <c r="P109" s="57">
        <v>4488.9921438196125</v>
      </c>
      <c r="Q109" s="88">
        <f>IFERROR(IF(tblPiNAnalysis[[#This Row],[SAMV]]="", "", MROUND(tblPiNAnalysis[[#This Row],[SAMV]]/tblPiNAnalysis[[#This Row],[Población]], 0.05)), "")</f>
        <v>0</v>
      </c>
      <c r="R109" s="89">
        <f>IFERROR(IF(tblPiNAnalysis[[#This Row],[NUT]]="", "", MROUND(tblPiNAnalysis[[#This Row],[NUT]]/tblPiNAnalysis[[#This Row],[Población]], 0.05)), "")</f>
        <v>0.05</v>
      </c>
      <c r="S109" s="89">
        <f>IFERROR(IF(tblPiNAnalysis[[#This Row],[SAL]]="", "", MROUND(tblPiNAnalysis[[#This Row],[SAL]]/tblPiNAnalysis[[#This Row],[Población]], 0.05)), "")</f>
        <v>0.35000000000000003</v>
      </c>
      <c r="T109" s="89">
        <f>IFERROR(IF(tblPiNAnalysis[[#This Row],[EDU]]="", "", MROUND(tblPiNAnalysis[[#This Row],[EDU]]/tblPiNAnalysis[[#This Row],[Población]], 0.05)), "")</f>
        <v>0.15000000000000002</v>
      </c>
      <c r="U109" s="89">
        <f>IFERROR(IF(tblPiNAnalysis[[#This Row],[PRO]]="", "", MROUND(tblPiNAnalysis[[#This Row],[PRO]]/tblPiNAnalysis[[#This Row],[Población]], 0.05)), "")</f>
        <v>0.25</v>
      </c>
      <c r="V109" s="90">
        <f>IFERROR(IF(tblPiNAnalysis[[#This Row],[ASH]]="", "", MROUND(tblPiNAnalysis[[#This Row],[ASH]]/tblPiNAnalysis[[#This Row],[Población]], 0.05)), "")</f>
        <v>0.15000000000000002</v>
      </c>
      <c r="W109" s="89">
        <f>IFERROR(MROUND(tblPiNAnalysis[[#This Row],[NNA]]/tblPiNAnalysis[[#This Row],[Población]], 0.05), "")</f>
        <v>0.1</v>
      </c>
      <c r="X109" s="89">
        <f>IFERROR(MROUND(tblPiNAnalysis[[#This Row],[VBG]]/tblPiNAnalysis[[#This Row],[Población]], 0.05), "")</f>
        <v>0.1</v>
      </c>
      <c r="Y109" s="91">
        <f>IFERROR(LARGE(tblPiNAnalysis[[#This Row],[SAMV]:[ASH]], 1), "")</f>
        <v>19641.38</v>
      </c>
      <c r="Z109" s="92" t="str" cm="1">
        <f t="array" ref="Z109">IF(tblPiNAnalysis[[#This Row],[PiN más alto]]="", "", _xlfn.TEXTJOIN(CHAR(10), TRUE, IF(tblPiNAnalysis[[#This Row],[PiN más alto]]=tblPiNAnalysis[[#This Row],[SAMV]:[ASH]], tblPiNAnalysis[[#Headers],[SAMV]:[ASH]], "")))</f>
        <v>SAL</v>
      </c>
      <c r="AA109" s="93">
        <f>IF(tblPiNAnalysis[[#This Row],[PiN más alto]]="", "", tblPiNAnalysis[[#This Row],[PiN más alto]]/tblPiNAnalysis[[#This Row],[Población]])</f>
        <v>0.36500000000000005</v>
      </c>
      <c r="AB109" s="94" t="str">
        <f>IF(SUM(tblPiNAnalysis[[#This Row],[SAMV]:[ASH]])=0, "",IF(COUNTIF(tblPiNAnalysis[[#This Row],[SAMV]:[ASH]],"=0")+COUNTIF(tblPiNAnalysis[[#This Row],[SAMV]:[ASH]],"")&gt;=zero_pin_thresh, "Flagged", ""))</f>
        <v/>
      </c>
      <c r="AC109" s="95" t="str">
        <f>IFERROR(IF(tblPiNAnalysis[[#This Row],[PiN más alto]]="", "", IF(tblPiNAnalysis[[#This Row],[% PiN Sectores más altos]]&gt;=flag_pin_perc, "Flagged", "")), "")</f>
        <v/>
      </c>
      <c r="AD109" s="96" t="str" cm="1">
        <f t="array" ref="AD109">IF(tblPiNAnalysis[[#This Row],[PiN más alto]]=0, "",  IF(OR(COUNTIF(tblPiNAnalysis[[#This Row],[Sectores más altos]],tblSubSectorPopulation[Sector])), "Flagged", ""))</f>
        <v/>
      </c>
      <c r="AE109" s="16" cm="1">
        <f t="array" ref="AE10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12825.691839484609</v>
      </c>
      <c r="AF109" s="97" t="str" cm="1">
        <f t="array" ref="AF109">IF(tblPiNAnalysis[[#This Row],[2º PiN más alto]]="", "", _xlfn.TEXTJOIN(CHAR(10), TRUE, IF(tblPiNAnalysis[[#This Row],[2º PiN más alto]]=tblPiNAnalysis[[#This Row],[SAMV]:[ASH]], tblPiNAnalysis[[#Headers],[SAMV]:[ASH]], "")))</f>
        <v>PRO</v>
      </c>
      <c r="AG109" s="12">
        <f>IFERROR(tblPiNAnalysis[[#This Row],[2º PiN más alto]]/tblPiNAnalysis[[#This Row],[Población]], "")</f>
        <v>0.23834259718064016</v>
      </c>
      <c r="AH109" s="16">
        <f>IFERROR(tblPiNAnalysis[[#This Row],[PiN más alto]]-tblPiNAnalysis[[#This Row],[2º PiN más alto]], "")</f>
        <v>6815.6881605153922</v>
      </c>
      <c r="AI109" s="14">
        <f>IFERROR(((tblPiNAnalysis[[#This Row],[PiN más alto]]-tblPiNAnalysis[[#This Row],[2º PiN más alto]])/tblPiNAnalysis[[#This Row],[2º PiN más alto]]),"")</f>
        <v>0.53140900668866187</v>
      </c>
      <c r="AJ109" s="14" t="str" cm="1">
        <f t="array" ref="AJ10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09" s="98" cm="1">
        <f t="array" ref="AK10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7264.62</v>
      </c>
      <c r="AL109" s="53" t="str" cm="1">
        <f t="array" ref="AL109">IF(tblPiNAnalysis[[#This Row],[3º PiN más alto]]="", "", _xlfn.TEXTJOIN(CHAR(10), TRUE, IF(tblPiNAnalysis[[#This Row],[3º PiN más alto]]=tblPiNAnalysis[[#This Row],[SAMV]:[ASH]], tblPiNAnalysis[[#Headers],[SAMV]:[ASH]], "")))</f>
        <v>ASH</v>
      </c>
      <c r="AM109" s="53">
        <f>IFERROR(tblPiNAnalysis[[#This Row],[3º PiN más alto]]/tblPiNAnalysis[[#This Row],[Población]], "")</f>
        <v>0.13500000000000001</v>
      </c>
      <c r="AN109" s="15">
        <f>IFERROR(tblPiNAnalysis[[#This Row],[PiN más alto]]-tblPiNAnalysis[[#This Row],[3º PiN más alto]],"")</f>
        <v>12376.760000000002</v>
      </c>
      <c r="AO109" s="14">
        <f>IFERROR(tblPiNAnalysis[[#This Row],[Diferencia de PiN entre el más alto y el 3º más alto]]/tblPiNAnalysis[[#This Row],[3º PiN más alto]], "")</f>
        <v>1.7037037037037039</v>
      </c>
      <c r="AP109" s="96" t="str" cm="1">
        <f t="array" ref="AP10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09" s="84" cm="1">
        <f t="array" ref="AQ109">IFERROR(IF(tblPiNAnalysis[[#This Row],[ID]]="", "", INDEX(tblPiNHistorical[[SAMV]:[ASH]], MATCH(tblPiNAnalysis[[#This Row],[ID]],tblPiNHistorical[ID], 0),MATCH(_xlfn._xlws.FILTER(tblPiNAnalysis[[#Headers],[SAMV]:[ASH]], tblPiNAnalysis[[#This Row],[PiN más alto]]=tblPiNAnalysis[[#This Row],[SAMV]:[ASH]]), tblPiNHistorical[[#Headers],[SAMV]:[ASH]], 0))), "")</f>
        <v>-0.2</v>
      </c>
      <c r="AR109" s="99" t="str" cm="1">
        <f t="array" ref="AR10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09" s="74" cm="1">
        <f t="array" ref="AS109">IFERROR(IF(tblPiNAnalysis[[#This Row],[ID]]="", "", INDEX(tblPiNHistorical[[SAMV]:[ASH]], MATCH(tblPiNAnalysis[[#This Row],[ID]],tblPiNHistorical[ID], 0),MATCH(_xlfn._xlws.FILTER(tblPiNAnalysis[[#Headers],[SAMV]:[ASH]], tblPiNAnalysis[[#This Row],[2º PiN más alto]]=tblPiNAnalysis[[#This Row],[SAMV]:[ASH]]), tblPiNHistorical[[#Headers],[SAMV]:[ASH]], 0))), "")</f>
        <v>-0.8</v>
      </c>
      <c r="AT109" s="100" t="str" cm="1">
        <f t="array" ref="AT10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09" s="219">
        <f>INDEX(tblSeverityAnalysis[Severidad final], MATCH(tblPiNAnalysis[[#This Row],[ID]],tblSeverityAnalysis[ID], 0))</f>
        <v>3</v>
      </c>
      <c r="AV109" s="220">
        <f>IF(tblPiNAnalysis[[#This Row],[Severidad]]&gt;2,tblPiNAnalysis[[#This Row],[PiN más alto]],)</f>
        <v>19641.38</v>
      </c>
      <c r="AW109" s="54"/>
      <c r="AX109" s="55"/>
      <c r="AY109" s="56">
        <f>COUNTIFS(tblPiNAnalysis[[#This Row],[Número de PiN ausentes/cero superior al umbral - Calidad de los datos]:[Marcador manual]],"Flagged")</f>
        <v>2</v>
      </c>
      <c r="AZ109" s="34" t="str">
        <f>IF(tblPiNAnalysis[[#This Row],[Número de marcadores]]&gt;0, "Flagged", "")</f>
        <v>Flagged</v>
      </c>
      <c r="BA109" s="92">
        <f>tblPiNAnalysis[[#This Row],[PiN preliminar]]</f>
        <v>19641.38</v>
      </c>
      <c r="BB109" s="97"/>
      <c r="BC109" s="70">
        <f>IFERROR(IF(tblPiNAnalysis[[#This Row],[Severidad]]=3,tblPiNAnalysis[[#This Row],[PiN final]]*Umbrales!$D$33,tblPiNAnalysis[[#This Row],[PiN final]]*Umbrales!$D$34),)</f>
        <v>9820.69</v>
      </c>
      <c r="BD109" s="70">
        <f>IFERROR(IF(tblPiNAnalysis[[#This Row],[Severidad]]&gt;3,tblPiNAnalysis[[#This Row],[PiN final]]*Umbrales!$D$34,),)</f>
        <v>0</v>
      </c>
    </row>
    <row r="110" spans="1:56">
      <c r="A110" s="101" t="str">
        <f>IFERROR(_xlfn.CONCAT(IF(tblPiNAnalysis[[#This Row],[Grupo]]="", "",tblPiNAnalysis[[#This Row],[Grupo]] ),  _xlfn.IFS(tblPiNAnalysis[[#This Row],[Admin2PCODE]]&lt;&gt;"", tblPiNAnalysis[[#This Row],[Admin2PCODE]], tblPiNAnalysis[[#This Row],[Admin1PCODE]]&lt;&gt;"", tblPiNAnalysis[[#This Row],[Admin1PCODE]])),"")</f>
        <v>VenezolanosVE1506</v>
      </c>
      <c r="B110" s="105" t="s">
        <v>276</v>
      </c>
      <c r="C110" s="104" t="s">
        <v>455</v>
      </c>
      <c r="D110" s="119" t="s">
        <v>465</v>
      </c>
      <c r="E110" s="104" t="s">
        <v>466</v>
      </c>
      <c r="F110" s="358"/>
      <c r="G110" s="357">
        <v>52877</v>
      </c>
      <c r="H110" s="103" t="s">
        <v>102</v>
      </c>
      <c r="I110" s="60">
        <v>2005</v>
      </c>
      <c r="J110" s="134">
        <v>1528.0685771064743</v>
      </c>
      <c r="K110" s="57">
        <v>19300.105</v>
      </c>
      <c r="L110" s="87">
        <v>6999.6638382914334</v>
      </c>
      <c r="M110" s="87">
        <v>12649.74182014386</v>
      </c>
      <c r="N110" s="57">
        <v>3569.1975000000002</v>
      </c>
      <c r="O110" s="57">
        <v>4060.5671242661788</v>
      </c>
      <c r="P110" s="57">
        <v>4427.4096370503503</v>
      </c>
      <c r="Q110" s="88">
        <f>IFERROR(IF(tblPiNAnalysis[[#This Row],[SAMV]]="", "", MROUND(tblPiNAnalysis[[#This Row],[SAMV]]/tblPiNAnalysis[[#This Row],[Población]], 0.05)), "")</f>
        <v>0.05</v>
      </c>
      <c r="R110" s="89">
        <f>IFERROR(IF(tblPiNAnalysis[[#This Row],[NUT]]="", "", MROUND(tblPiNAnalysis[[#This Row],[NUT]]/tblPiNAnalysis[[#This Row],[Población]], 0.05)), "")</f>
        <v>0.05</v>
      </c>
      <c r="S110" s="89">
        <f>IFERROR(IF(tblPiNAnalysis[[#This Row],[SAL]]="", "", MROUND(tblPiNAnalysis[[#This Row],[SAL]]/tblPiNAnalysis[[#This Row],[Población]], 0.05)), "")</f>
        <v>0.35000000000000003</v>
      </c>
      <c r="T110" s="89">
        <f>IFERROR(IF(tblPiNAnalysis[[#This Row],[EDU]]="", "", MROUND(tblPiNAnalysis[[#This Row],[EDU]]/tblPiNAnalysis[[#This Row],[Población]], 0.05)), "")</f>
        <v>0.15000000000000002</v>
      </c>
      <c r="U110" s="89">
        <f>IFERROR(IF(tblPiNAnalysis[[#This Row],[PRO]]="", "", MROUND(tblPiNAnalysis[[#This Row],[PRO]]/tblPiNAnalysis[[#This Row],[Población]], 0.05)), "")</f>
        <v>0.25</v>
      </c>
      <c r="V110" s="90">
        <f>IFERROR(IF(tblPiNAnalysis[[#This Row],[ASH]]="", "", MROUND(tblPiNAnalysis[[#This Row],[ASH]]/tblPiNAnalysis[[#This Row],[Población]], 0.05)), "")</f>
        <v>0.05</v>
      </c>
      <c r="W110" s="89">
        <f>IFERROR(MROUND(tblPiNAnalysis[[#This Row],[NNA]]/tblPiNAnalysis[[#This Row],[Población]], 0.05), "")</f>
        <v>0.1</v>
      </c>
      <c r="X110" s="89">
        <f>IFERROR(MROUND(tblPiNAnalysis[[#This Row],[VBG]]/tblPiNAnalysis[[#This Row],[Población]], 0.05), "")</f>
        <v>0.1</v>
      </c>
      <c r="Y110" s="91">
        <f>IFERROR(LARGE(tblPiNAnalysis[[#This Row],[SAMV]:[ASH]], 1), "")</f>
        <v>19300.105</v>
      </c>
      <c r="Z110" s="92" t="str" cm="1">
        <f t="array" ref="Z110">IF(tblPiNAnalysis[[#This Row],[PiN más alto]]="", "", _xlfn.TEXTJOIN(CHAR(10), TRUE, IF(tblPiNAnalysis[[#This Row],[PiN más alto]]=tblPiNAnalysis[[#This Row],[SAMV]:[ASH]], tblPiNAnalysis[[#Headers],[SAMV]:[ASH]], "")))</f>
        <v>SAL</v>
      </c>
      <c r="AA110" s="93">
        <f>IF(tblPiNAnalysis[[#This Row],[PiN más alto]]="", "", tblPiNAnalysis[[#This Row],[PiN más alto]]/tblPiNAnalysis[[#This Row],[Población]])</f>
        <v>0.36499999999999999</v>
      </c>
      <c r="AB110" s="94" t="str">
        <f>IF(SUM(tblPiNAnalysis[[#This Row],[SAMV]:[ASH]])=0, "",IF(COUNTIF(tblPiNAnalysis[[#This Row],[SAMV]:[ASH]],"=0")+COUNTIF(tblPiNAnalysis[[#This Row],[SAMV]:[ASH]],"")&gt;=zero_pin_thresh, "Flagged", ""))</f>
        <v/>
      </c>
      <c r="AC110" s="95" t="str">
        <f>IFERROR(IF(tblPiNAnalysis[[#This Row],[PiN más alto]]="", "", IF(tblPiNAnalysis[[#This Row],[% PiN Sectores más altos]]&gt;=flag_pin_perc, "Flagged", "")), "")</f>
        <v/>
      </c>
      <c r="AD110" s="96" t="str" cm="1">
        <f t="array" ref="AD110">IF(tblPiNAnalysis[[#This Row],[PiN más alto]]=0, "",  IF(OR(COUNTIF(tblPiNAnalysis[[#This Row],[Sectores más altos]],tblSubSectorPopulation[Sector])), "Flagged", ""))</f>
        <v/>
      </c>
      <c r="AE110" s="16" cm="1">
        <f t="array" ref="AE11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12649.74182014386</v>
      </c>
      <c r="AF110" s="97" t="str" cm="1">
        <f t="array" ref="AF110">IF(tblPiNAnalysis[[#This Row],[2º PiN más alto]]="", "", _xlfn.TEXTJOIN(CHAR(10), TRUE, IF(tblPiNAnalysis[[#This Row],[2º PiN más alto]]=tblPiNAnalysis[[#This Row],[SAMV]:[ASH]], tblPiNAnalysis[[#Headers],[SAMV]:[ASH]], "")))</f>
        <v>PRO</v>
      </c>
      <c r="AG110" s="12">
        <f>IFERROR(tblPiNAnalysis[[#This Row],[2º PiN más alto]]/tblPiNAnalysis[[#This Row],[Población]], "")</f>
        <v>0.23922956711129337</v>
      </c>
      <c r="AH110" s="16">
        <f>IFERROR(tblPiNAnalysis[[#This Row],[PiN más alto]]-tblPiNAnalysis[[#This Row],[2º PiN más alto]], "")</f>
        <v>6650.3631798561401</v>
      </c>
      <c r="AI110" s="14">
        <f>IFERROR(((tblPiNAnalysis[[#This Row],[PiN más alto]]-tblPiNAnalysis[[#This Row],[2º PiN más alto]])/tblPiNAnalysis[[#This Row],[2º PiN más alto]]),"")</f>
        <v>0.52573113937123095</v>
      </c>
      <c r="AJ110" s="14" t="str" cm="1">
        <f t="array" ref="AJ11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10" s="98" cm="1">
        <f t="array" ref="AK11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6999.6638382914334</v>
      </c>
      <c r="AL110" s="53" t="str" cm="1">
        <f t="array" ref="AL110">IF(tblPiNAnalysis[[#This Row],[3º PiN más alto]]="", "", _xlfn.TEXTJOIN(CHAR(10), TRUE, IF(tblPiNAnalysis[[#This Row],[3º PiN más alto]]=tblPiNAnalysis[[#This Row],[SAMV]:[ASH]], tblPiNAnalysis[[#Headers],[SAMV]:[ASH]], "")))</f>
        <v>EDU</v>
      </c>
      <c r="AM110" s="53">
        <f>IFERROR(tblPiNAnalysis[[#This Row],[3º PiN más alto]]/tblPiNAnalysis[[#This Row],[Población]], "")</f>
        <v>0.13237634204458334</v>
      </c>
      <c r="AN110" s="15">
        <f>IFERROR(tblPiNAnalysis[[#This Row],[PiN más alto]]-tblPiNAnalysis[[#This Row],[3º PiN más alto]],"")</f>
        <v>12300.441161708566</v>
      </c>
      <c r="AO110" s="14">
        <f>IFERROR(tblPiNAnalysis[[#This Row],[Diferencia de PiN entre el más alto y el 3º más alto]]/tblPiNAnalysis[[#This Row],[3º PiN más alto]], "")</f>
        <v>1.7572902707726339</v>
      </c>
      <c r="AP110" s="96" t="str" cm="1">
        <f t="array" ref="AP11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10" s="84" cm="1">
        <f t="array" ref="AQ110">IFERROR(IF(tblPiNAnalysis[[#This Row],[ID]]="", "", INDEX(tblPiNHistorical[[SAMV]:[ASH]], MATCH(tblPiNAnalysis[[#This Row],[ID]],tblPiNHistorical[ID], 0),MATCH(_xlfn._xlws.FILTER(tblPiNAnalysis[[#Headers],[SAMV]:[ASH]], tblPiNAnalysis[[#This Row],[PiN más alto]]=tblPiNAnalysis[[#This Row],[SAMV]:[ASH]]), tblPiNHistorical[[#Headers],[SAMV]:[ASH]], 0))), "")</f>
        <v>-0.3</v>
      </c>
      <c r="AR110" s="99" t="str" cm="1">
        <f t="array" ref="AR11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10" s="74" cm="1">
        <f t="array" ref="AS110">IFERROR(IF(tblPiNAnalysis[[#This Row],[ID]]="", "", INDEX(tblPiNHistorical[[SAMV]:[ASH]], MATCH(tblPiNAnalysis[[#This Row],[ID]],tblPiNHistorical[ID], 0),MATCH(_xlfn._xlws.FILTER(tblPiNAnalysis[[#Headers],[SAMV]:[ASH]], tblPiNAnalysis[[#This Row],[2º PiN más alto]]=tblPiNAnalysis[[#This Row],[SAMV]:[ASH]]), tblPiNHistorical[[#Headers],[SAMV]:[ASH]], 0))), "")</f>
        <v>-0.8</v>
      </c>
      <c r="AT110" s="100" t="str" cm="1">
        <f t="array" ref="AT11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10" s="219">
        <f>INDEX(tblSeverityAnalysis[Severidad final], MATCH(tblPiNAnalysis[[#This Row],[ID]],tblSeverityAnalysis[ID], 0))</f>
        <v>3</v>
      </c>
      <c r="AV110" s="220">
        <f>IF(tblPiNAnalysis[[#This Row],[Severidad]]&gt;2,tblPiNAnalysis[[#This Row],[PiN más alto]],)</f>
        <v>19300.105</v>
      </c>
      <c r="AW110" s="54"/>
      <c r="AX110" s="55"/>
      <c r="AY110" s="56">
        <f>COUNTIFS(tblPiNAnalysis[[#This Row],[Número de PiN ausentes/cero superior al umbral - Calidad de los datos]:[Marcador manual]],"Flagged")</f>
        <v>2</v>
      </c>
      <c r="AZ110" s="34" t="str">
        <f>IF(tblPiNAnalysis[[#This Row],[Número de marcadores]]&gt;0, "Flagged", "")</f>
        <v>Flagged</v>
      </c>
      <c r="BA110" s="92">
        <f>tblPiNAnalysis[[#This Row],[PiN preliminar]]</f>
        <v>19300.105</v>
      </c>
      <c r="BB110" s="97"/>
      <c r="BC110" s="70">
        <f>IFERROR(IF(tblPiNAnalysis[[#This Row],[Severidad]]=3,tblPiNAnalysis[[#This Row],[PiN final]]*Umbrales!$D$33,tblPiNAnalysis[[#This Row],[PiN final]]*Umbrales!$D$34),)</f>
        <v>9650.0524999999998</v>
      </c>
      <c r="BD110" s="70">
        <f>IFERROR(IF(tblPiNAnalysis[[#This Row],[Severidad]]&gt;3,tblPiNAnalysis[[#This Row],[PiN final]]*Umbrales!$D$34,),)</f>
        <v>0</v>
      </c>
    </row>
    <row r="111" spans="1:56">
      <c r="A111" s="101" t="str">
        <f>IFERROR(_xlfn.CONCAT(IF(tblPiNAnalysis[[#This Row],[Grupo]]="", "",tblPiNAnalysis[[#This Row],[Grupo]] ),  _xlfn.IFS(tblPiNAnalysis[[#This Row],[Admin2PCODE]]&lt;&gt;"", tblPiNAnalysis[[#This Row],[Admin2PCODE]], tblPiNAnalysis[[#This Row],[Admin1PCODE]]&lt;&gt;"", tblPiNAnalysis[[#This Row],[Admin1PCODE]])),"")</f>
        <v>VenezolanosVE2009</v>
      </c>
      <c r="B111" s="105" t="s">
        <v>589</v>
      </c>
      <c r="C111" s="104" t="s">
        <v>590</v>
      </c>
      <c r="D111" s="119" t="s">
        <v>814</v>
      </c>
      <c r="E111" s="104" t="s">
        <v>606</v>
      </c>
      <c r="F111" s="358"/>
      <c r="G111" s="357">
        <v>49570</v>
      </c>
      <c r="H111" s="103" t="s">
        <v>102</v>
      </c>
      <c r="I111" s="60">
        <v>19152</v>
      </c>
      <c r="J111" s="134">
        <v>2284.2050741202611</v>
      </c>
      <c r="K111" s="57">
        <v>18093.05</v>
      </c>
      <c r="L111" s="87">
        <v>4021.2830935506327</v>
      </c>
      <c r="M111" s="87">
        <v>11907.221042961875</v>
      </c>
      <c r="N111" s="57">
        <v>0</v>
      </c>
      <c r="O111" s="57">
        <v>3810.3107337478</v>
      </c>
      <c r="P111" s="57">
        <v>4167.5273650366571</v>
      </c>
      <c r="Q111" s="88">
        <f>IFERROR(IF(tblPiNAnalysis[[#This Row],[SAMV]]="", "", MROUND(tblPiNAnalysis[[#This Row],[SAMV]]/tblPiNAnalysis[[#This Row],[Población]], 0.05)), "")</f>
        <v>0.4</v>
      </c>
      <c r="R111" s="89">
        <f>IFERROR(IF(tblPiNAnalysis[[#This Row],[NUT]]="", "", MROUND(tblPiNAnalysis[[#This Row],[NUT]]/tblPiNAnalysis[[#This Row],[Población]], 0.05)), "")</f>
        <v>0.05</v>
      </c>
      <c r="S111" s="89">
        <f>IFERROR(IF(tblPiNAnalysis[[#This Row],[SAL]]="", "", MROUND(tblPiNAnalysis[[#This Row],[SAL]]/tblPiNAnalysis[[#This Row],[Población]], 0.05)), "")</f>
        <v>0.35000000000000003</v>
      </c>
      <c r="T111" s="89">
        <f>IFERROR(IF(tblPiNAnalysis[[#This Row],[EDU]]="", "", MROUND(tblPiNAnalysis[[#This Row],[EDU]]/tblPiNAnalysis[[#This Row],[Población]], 0.05)), "")</f>
        <v>0.1</v>
      </c>
      <c r="U111" s="89">
        <f>IFERROR(IF(tblPiNAnalysis[[#This Row],[PRO]]="", "", MROUND(tblPiNAnalysis[[#This Row],[PRO]]/tblPiNAnalysis[[#This Row],[Población]], 0.05)), "")</f>
        <v>0.25</v>
      </c>
      <c r="V111" s="90">
        <f>IFERROR(IF(tblPiNAnalysis[[#This Row],[ASH]]="", "", MROUND(tblPiNAnalysis[[#This Row],[ASH]]/tblPiNAnalysis[[#This Row],[Población]], 0.05)), "")</f>
        <v>0</v>
      </c>
      <c r="W111" s="89">
        <f>IFERROR(MROUND(tblPiNAnalysis[[#This Row],[NNA]]/tblPiNAnalysis[[#This Row],[Población]], 0.05), "")</f>
        <v>0.1</v>
      </c>
      <c r="X111" s="89">
        <f>IFERROR(MROUND(tblPiNAnalysis[[#This Row],[VBG]]/tblPiNAnalysis[[#This Row],[Población]], 0.05), "")</f>
        <v>0.1</v>
      </c>
      <c r="Y111" s="91">
        <f>IFERROR(LARGE(tblPiNAnalysis[[#This Row],[SAMV]:[ASH]], 1), "")</f>
        <v>19152</v>
      </c>
      <c r="Z111" s="92" t="str" cm="1">
        <f t="array" ref="Z111">IF(tblPiNAnalysis[[#This Row],[PiN más alto]]="", "", _xlfn.TEXTJOIN(CHAR(10), TRUE, IF(tblPiNAnalysis[[#This Row],[PiN más alto]]=tblPiNAnalysis[[#This Row],[SAMV]:[ASH]], tblPiNAnalysis[[#Headers],[SAMV]:[ASH]], "")))</f>
        <v>SAMV</v>
      </c>
      <c r="AA111" s="93">
        <f>IF(tblPiNAnalysis[[#This Row],[PiN más alto]]="", "", tblPiNAnalysis[[#This Row],[PiN más alto]]/tblPiNAnalysis[[#This Row],[Población]])</f>
        <v>0.38636271938672584</v>
      </c>
      <c r="AB111" s="94" t="str">
        <f>IF(SUM(tblPiNAnalysis[[#This Row],[SAMV]:[ASH]])=0, "",IF(COUNTIF(tblPiNAnalysis[[#This Row],[SAMV]:[ASH]],"=0")+COUNTIF(tblPiNAnalysis[[#This Row],[SAMV]:[ASH]],"")&gt;=zero_pin_thresh, "Flagged", ""))</f>
        <v/>
      </c>
      <c r="AC111" s="95" t="str">
        <f>IFERROR(IF(tblPiNAnalysis[[#This Row],[PiN más alto]]="", "", IF(tblPiNAnalysis[[#This Row],[% PiN Sectores más altos]]&gt;=flag_pin_perc, "Flagged", "")), "")</f>
        <v/>
      </c>
      <c r="AD111" s="96" t="str" cm="1">
        <f t="array" ref="AD111">IF(tblPiNAnalysis[[#This Row],[PiN más alto]]=0, "",  IF(OR(COUNTIF(tblPiNAnalysis[[#This Row],[Sectores más altos]],tblSubSectorPopulation[Sector])), "Flagged", ""))</f>
        <v/>
      </c>
      <c r="AE111" s="16" cm="1">
        <f t="array" ref="AE11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18093.05</v>
      </c>
      <c r="AF111" s="97" t="str" cm="1">
        <f t="array" ref="AF111">IF(tblPiNAnalysis[[#This Row],[2º PiN más alto]]="", "", _xlfn.TEXTJOIN(CHAR(10), TRUE, IF(tblPiNAnalysis[[#This Row],[2º PiN más alto]]=tblPiNAnalysis[[#This Row],[SAMV]:[ASH]], tblPiNAnalysis[[#Headers],[SAMV]:[ASH]], "")))</f>
        <v>SAL</v>
      </c>
      <c r="AG111" s="12">
        <f>IFERROR(tblPiNAnalysis[[#This Row],[2º PiN más alto]]/tblPiNAnalysis[[#This Row],[Población]], "")</f>
        <v>0.36499999999999999</v>
      </c>
      <c r="AH111" s="16">
        <f>IFERROR(tblPiNAnalysis[[#This Row],[PiN más alto]]-tblPiNAnalysis[[#This Row],[2º PiN más alto]], "")</f>
        <v>1058.9500000000007</v>
      </c>
      <c r="AI111" s="14">
        <f>IFERROR(((tblPiNAnalysis[[#This Row],[PiN más alto]]-tblPiNAnalysis[[#This Row],[2º PiN más alto]])/tblPiNAnalysis[[#This Row],[2º PiN más alto]]),"")</f>
        <v>5.8527998319796867E-2</v>
      </c>
      <c r="AJ111" s="14" t="str" cm="1">
        <f t="array" ref="AJ11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11" s="98" cm="1">
        <f t="array" ref="AK11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11907.221042961875</v>
      </c>
      <c r="AL111" s="53" t="str" cm="1">
        <f t="array" ref="AL111">IF(tblPiNAnalysis[[#This Row],[3º PiN más alto]]="", "", _xlfn.TEXTJOIN(CHAR(10), TRUE, IF(tblPiNAnalysis[[#This Row],[3º PiN más alto]]=tblPiNAnalysis[[#This Row],[SAMV]:[ASH]], tblPiNAnalysis[[#Headers],[SAMV]:[ASH]], "")))</f>
        <v>PRO</v>
      </c>
      <c r="AM111" s="53">
        <f>IFERROR(tblPiNAnalysis[[#This Row],[3º PiN más alto]]/tblPiNAnalysis[[#This Row],[Población]], "")</f>
        <v>0.24021022882715101</v>
      </c>
      <c r="AN111" s="15">
        <f>IFERROR(tblPiNAnalysis[[#This Row],[PiN más alto]]-tblPiNAnalysis[[#This Row],[3º PiN más alto]],"")</f>
        <v>7244.7789570381246</v>
      </c>
      <c r="AO111" s="14">
        <f>IFERROR(tblPiNAnalysis[[#This Row],[Diferencia de PiN entre el más alto y el 3º más alto]]/tblPiNAnalysis[[#This Row],[3º PiN más alto]], "")</f>
        <v>0.60843574927336819</v>
      </c>
      <c r="AP111" s="96" t="str" cm="1">
        <f t="array" ref="AP11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11" s="84" cm="1">
        <f t="array" ref="AQ111">IFERROR(IF(tblPiNAnalysis[[#This Row],[ID]]="", "", INDEX(tblPiNHistorical[[SAMV]:[ASH]], MATCH(tblPiNAnalysis[[#This Row],[ID]],tblPiNHistorical[ID], 0),MATCH(_xlfn._xlws.FILTER(tblPiNAnalysis[[#Headers],[SAMV]:[ASH]], tblPiNAnalysis[[#This Row],[PiN más alto]]=tblPiNAnalysis[[#This Row],[SAMV]:[ASH]]), tblPiNHistorical[[#Headers],[SAMV]:[ASH]], 0))), "")</f>
        <v>-0.4</v>
      </c>
      <c r="AR111" s="99" t="str" cm="1">
        <f t="array" ref="AR11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11" s="74" cm="1">
        <f t="array" ref="AS111">IFERROR(IF(tblPiNAnalysis[[#This Row],[ID]]="", "", INDEX(tblPiNHistorical[[SAMV]:[ASH]], MATCH(tblPiNAnalysis[[#This Row],[ID]],tblPiNHistorical[ID], 0),MATCH(_xlfn._xlws.FILTER(tblPiNAnalysis[[#Headers],[SAMV]:[ASH]], tblPiNAnalysis[[#This Row],[2º PiN más alto]]=tblPiNAnalysis[[#This Row],[SAMV]:[ASH]]), tblPiNHistorical[[#Headers],[SAMV]:[ASH]], 0))), "")</f>
        <v>1.8</v>
      </c>
      <c r="AT111" s="100" t="str" cm="1">
        <f t="array" ref="AT11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11" s="219">
        <f>INDEX(tblSeverityAnalysis[Severidad final], MATCH(tblPiNAnalysis[[#This Row],[ID]],tblSeverityAnalysis[ID], 0))</f>
        <v>3</v>
      </c>
      <c r="AV111" s="220">
        <f>IF(tblPiNAnalysis[[#This Row],[Severidad]]&gt;2,tblPiNAnalysis[[#This Row],[PiN más alto]],)</f>
        <v>19152</v>
      </c>
      <c r="AW111" s="54"/>
      <c r="AX111" s="55"/>
      <c r="AY111" s="56">
        <f>COUNTIFS(tblPiNAnalysis[[#This Row],[Número de PiN ausentes/cero superior al umbral - Calidad de los datos]:[Marcador manual]],"Flagged")</f>
        <v>2</v>
      </c>
      <c r="AZ111" s="34" t="str">
        <f>IF(tblPiNAnalysis[[#This Row],[Número de marcadores]]&gt;0, "Flagged", "")</f>
        <v>Flagged</v>
      </c>
      <c r="BA111" s="92">
        <f>tblPiNAnalysis[[#This Row],[PiN preliminar]]</f>
        <v>19152</v>
      </c>
      <c r="BB111" s="97"/>
      <c r="BC111" s="70">
        <f>IFERROR(IF(tblPiNAnalysis[[#This Row],[Severidad]]=3,tblPiNAnalysis[[#This Row],[PiN final]]*Umbrales!$D$33,tblPiNAnalysis[[#This Row],[PiN final]]*Umbrales!$D$34),)</f>
        <v>9576</v>
      </c>
      <c r="BD111" s="70">
        <f>IFERROR(IF(tblPiNAnalysis[[#This Row],[Severidad]]&gt;3,tblPiNAnalysis[[#This Row],[PiN final]]*Umbrales!$D$34,),)</f>
        <v>0</v>
      </c>
    </row>
    <row r="112" spans="1:56">
      <c r="A112" s="101" t="str">
        <f>IFERROR(_xlfn.CONCAT(IF(tblPiNAnalysis[[#This Row],[Grupo]]="", "",tblPiNAnalysis[[#This Row],[Grupo]] ),  _xlfn.IFS(tblPiNAnalysis[[#This Row],[Admin2PCODE]]&lt;&gt;"", tblPiNAnalysis[[#This Row],[Admin2PCODE]], tblPiNAnalysis[[#This Row],[Admin1PCODE]]&lt;&gt;"", tblPiNAnalysis[[#This Row],[Admin1PCODE]])),"")</f>
        <v>VenezolanosVE0314</v>
      </c>
      <c r="B112" s="105" t="s">
        <v>119</v>
      </c>
      <c r="C112" s="104" t="s">
        <v>120</v>
      </c>
      <c r="D112" s="119" t="s">
        <v>147</v>
      </c>
      <c r="E112" s="104" t="s">
        <v>148</v>
      </c>
      <c r="F112" s="358"/>
      <c r="G112" s="357">
        <v>23779</v>
      </c>
      <c r="H112" s="103" t="s">
        <v>102</v>
      </c>
      <c r="I112" s="60">
        <v>2869</v>
      </c>
      <c r="J112" s="134">
        <v>732.2190387289229</v>
      </c>
      <c r="K112" s="57">
        <v>9800</v>
      </c>
      <c r="L112" s="87">
        <v>2156.2087348994664</v>
      </c>
      <c r="M112" s="87">
        <v>5675.5569677895837</v>
      </c>
      <c r="N112" s="57">
        <v>19023.2</v>
      </c>
      <c r="O112" s="57">
        <v>1816.1782296926667</v>
      </c>
      <c r="P112" s="57">
        <v>1986.4449387263544</v>
      </c>
      <c r="Q112" s="88">
        <f>IFERROR(IF(tblPiNAnalysis[[#This Row],[SAMV]]="", "", MROUND(tblPiNAnalysis[[#This Row],[SAMV]]/tblPiNAnalysis[[#This Row],[Población]], 0.05)), "")</f>
        <v>0.1</v>
      </c>
      <c r="R112" s="89">
        <f>IFERROR(IF(tblPiNAnalysis[[#This Row],[NUT]]="", "", MROUND(tblPiNAnalysis[[#This Row],[NUT]]/tblPiNAnalysis[[#This Row],[Población]], 0.05)), "")</f>
        <v>0.05</v>
      </c>
      <c r="S112" s="89">
        <f>IFERROR(IF(tblPiNAnalysis[[#This Row],[SAL]]="", "", MROUND(tblPiNAnalysis[[#This Row],[SAL]]/tblPiNAnalysis[[#This Row],[Población]], 0.05)), "")</f>
        <v>0.4</v>
      </c>
      <c r="T112" s="89">
        <f>IFERROR(IF(tblPiNAnalysis[[#This Row],[EDU]]="", "", MROUND(tblPiNAnalysis[[#This Row],[EDU]]/tblPiNAnalysis[[#This Row],[Población]], 0.05)), "")</f>
        <v>0.1</v>
      </c>
      <c r="U112" s="89">
        <f>IFERROR(IF(tblPiNAnalysis[[#This Row],[PRO]]="", "", MROUND(tblPiNAnalysis[[#This Row],[PRO]]/tblPiNAnalysis[[#This Row],[Población]], 0.05)), "")</f>
        <v>0.25</v>
      </c>
      <c r="V112" s="90">
        <f>IFERROR(IF(tblPiNAnalysis[[#This Row],[ASH]]="", "", MROUND(tblPiNAnalysis[[#This Row],[ASH]]/tblPiNAnalysis[[#This Row],[Población]], 0.05)), "")</f>
        <v>0.8</v>
      </c>
      <c r="W112" s="89">
        <f>IFERROR(MROUND(tblPiNAnalysis[[#This Row],[NNA]]/tblPiNAnalysis[[#This Row],[Población]], 0.05), "")</f>
        <v>0.1</v>
      </c>
      <c r="X112" s="89">
        <f>IFERROR(MROUND(tblPiNAnalysis[[#This Row],[VBG]]/tblPiNAnalysis[[#This Row],[Población]], 0.05), "")</f>
        <v>0.1</v>
      </c>
      <c r="Y112" s="91">
        <f>IFERROR(LARGE(tblPiNAnalysis[[#This Row],[SAMV]:[ASH]], 1), "")</f>
        <v>19023.2</v>
      </c>
      <c r="Z112" s="92" t="str" cm="1">
        <f t="array" ref="Z112">IF(tblPiNAnalysis[[#This Row],[PiN más alto]]="", "", _xlfn.TEXTJOIN(CHAR(10), TRUE, IF(tblPiNAnalysis[[#This Row],[PiN más alto]]=tblPiNAnalysis[[#This Row],[SAMV]:[ASH]], tblPiNAnalysis[[#Headers],[SAMV]:[ASH]], "")))</f>
        <v>ASH</v>
      </c>
      <c r="AA112" s="93">
        <f>IF(tblPiNAnalysis[[#This Row],[PiN más alto]]="", "", tblPiNAnalysis[[#This Row],[PiN más alto]]/tblPiNAnalysis[[#This Row],[Población]])</f>
        <v>0.8</v>
      </c>
      <c r="AB112" s="94" t="str">
        <f>IF(SUM(tblPiNAnalysis[[#This Row],[SAMV]:[ASH]])=0, "",IF(COUNTIF(tblPiNAnalysis[[#This Row],[SAMV]:[ASH]],"=0")+COUNTIF(tblPiNAnalysis[[#This Row],[SAMV]:[ASH]],"")&gt;=zero_pin_thresh, "Flagged", ""))</f>
        <v/>
      </c>
      <c r="AC112" s="95" t="str">
        <f>IFERROR(IF(tblPiNAnalysis[[#This Row],[PiN más alto]]="", "", IF(tblPiNAnalysis[[#This Row],[% PiN Sectores más altos]]&gt;=flag_pin_perc, "Flagged", "")), "")</f>
        <v/>
      </c>
      <c r="AD112" s="96" t="str" cm="1">
        <f t="array" ref="AD112">IF(tblPiNAnalysis[[#This Row],[PiN más alto]]=0, "",  IF(OR(COUNTIF(tblPiNAnalysis[[#This Row],[Sectores más altos]],tblSubSectorPopulation[Sector])), "Flagged", ""))</f>
        <v/>
      </c>
      <c r="AE112" s="16" cm="1">
        <f t="array" ref="AE11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9800</v>
      </c>
      <c r="AF112" s="97" t="str" cm="1">
        <f t="array" ref="AF112">IF(tblPiNAnalysis[[#This Row],[2º PiN más alto]]="", "", _xlfn.TEXTJOIN(CHAR(10), TRUE, IF(tblPiNAnalysis[[#This Row],[2º PiN más alto]]=tblPiNAnalysis[[#This Row],[SAMV]:[ASH]], tblPiNAnalysis[[#Headers],[SAMV]:[ASH]], "")))</f>
        <v>SAL</v>
      </c>
      <c r="AG112" s="12">
        <f>IFERROR(tblPiNAnalysis[[#This Row],[2º PiN más alto]]/tblPiNAnalysis[[#This Row],[Población]], "")</f>
        <v>0.41212834854283192</v>
      </c>
      <c r="AH112" s="16">
        <f>IFERROR(tblPiNAnalysis[[#This Row],[PiN más alto]]-tblPiNAnalysis[[#This Row],[2º PiN más alto]], "")</f>
        <v>9223.2000000000007</v>
      </c>
      <c r="AI112" s="14">
        <f>IFERROR(((tblPiNAnalysis[[#This Row],[PiN más alto]]-tblPiNAnalysis[[#This Row],[2º PiN más alto]])/tblPiNAnalysis[[#This Row],[2º PiN más alto]]),"")</f>
        <v>0.94114285714285717</v>
      </c>
      <c r="AJ112" s="14" t="str" cm="1">
        <f t="array" ref="AJ11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12" s="98" cm="1">
        <f t="array" ref="AK11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5675.5569677895837</v>
      </c>
      <c r="AL112" s="53" t="str" cm="1">
        <f t="array" ref="AL112">IF(tblPiNAnalysis[[#This Row],[3º PiN más alto]]="", "", _xlfn.TEXTJOIN(CHAR(10), TRUE, IF(tblPiNAnalysis[[#This Row],[3º PiN más alto]]=tblPiNAnalysis[[#This Row],[SAMV]:[ASH]], tblPiNAnalysis[[#Headers],[SAMV]:[ASH]], "")))</f>
        <v>PRO</v>
      </c>
      <c r="AM112" s="53">
        <f>IFERROR(tblPiNAnalysis[[#This Row],[3º PiN más alto]]/tblPiNAnalysis[[#This Row],[Población]], "")</f>
        <v>0.23867937961182487</v>
      </c>
      <c r="AN112" s="15">
        <f>IFERROR(tblPiNAnalysis[[#This Row],[PiN más alto]]-tblPiNAnalysis[[#This Row],[3º PiN más alto]],"")</f>
        <v>13347.643032210417</v>
      </c>
      <c r="AO112" s="14">
        <f>IFERROR(tblPiNAnalysis[[#This Row],[Diferencia de PiN entre el más alto y el 3º más alto]]/tblPiNAnalysis[[#This Row],[3º PiN más alto]], "")</f>
        <v>2.351776769744736</v>
      </c>
      <c r="AP112" s="96" t="str" cm="1">
        <f t="array" ref="AP11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12" s="84" cm="1">
        <f t="array" ref="AQ112">IFERROR(IF(tblPiNAnalysis[[#This Row],[ID]]="", "", INDEX(tblPiNHistorical[[SAMV]:[ASH]], MATCH(tblPiNAnalysis[[#This Row],[ID]],tblPiNHistorical[ID], 0),MATCH(_xlfn._xlws.FILTER(tblPiNAnalysis[[#Headers],[SAMV]:[ASH]], tblPiNAnalysis[[#This Row],[PiN más alto]]=tblPiNAnalysis[[#This Row],[SAMV]:[ASH]]), tblPiNHistorical[[#Headers],[SAMV]:[ASH]], 0))), "")</f>
        <v>5.0999999999999996</v>
      </c>
      <c r="AR112" s="99" t="str" cm="1">
        <f t="array" ref="AR11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12" s="74" cm="1">
        <f t="array" ref="AS112">IFERROR(IF(tblPiNAnalysis[[#This Row],[ID]]="", "", INDEX(tblPiNHistorical[[SAMV]:[ASH]], MATCH(tblPiNAnalysis[[#This Row],[ID]],tblPiNHistorical[ID], 0),MATCH(_xlfn._xlws.FILTER(tblPiNAnalysis[[#Headers],[SAMV]:[ASH]], tblPiNAnalysis[[#This Row],[2º PiN más alto]]=tblPiNAnalysis[[#This Row],[SAMV]:[ASH]]), tblPiNHistorical[[#Headers],[SAMV]:[ASH]], 0))), "")</f>
        <v>7.6</v>
      </c>
      <c r="AT112" s="100" t="str" cm="1">
        <f t="array" ref="AT11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12" s="219">
        <f>INDEX(tblSeverityAnalysis[Severidad final], MATCH(tblPiNAnalysis[[#This Row],[ID]],tblSeverityAnalysis[ID], 0))</f>
        <v>3</v>
      </c>
      <c r="AV112" s="220">
        <f>IF(tblPiNAnalysis[[#This Row],[Severidad]]&gt;2,tblPiNAnalysis[[#This Row],[PiN más alto]],)</f>
        <v>19023.2</v>
      </c>
      <c r="AW112" s="54"/>
      <c r="AX112" s="55"/>
      <c r="AY112" s="56">
        <f>COUNTIFS(tblPiNAnalysis[[#This Row],[Número de PiN ausentes/cero superior al umbral - Calidad de los datos]:[Marcador manual]],"Flagged")</f>
        <v>4</v>
      </c>
      <c r="AZ112" s="34" t="str">
        <f>IF(tblPiNAnalysis[[#This Row],[Número de marcadores]]&gt;0, "Flagged", "")</f>
        <v>Flagged</v>
      </c>
      <c r="BA112" s="92">
        <f>tblPiNAnalysis[[#This Row],[PiN preliminar]]</f>
        <v>19023.2</v>
      </c>
      <c r="BB112" s="97"/>
      <c r="BC112" s="70">
        <f>IFERROR(IF(tblPiNAnalysis[[#This Row],[Severidad]]=3,tblPiNAnalysis[[#This Row],[PiN final]]*Umbrales!$D$33,tblPiNAnalysis[[#This Row],[PiN final]]*Umbrales!$D$34),)</f>
        <v>9511.6</v>
      </c>
      <c r="BD112" s="70">
        <f>IFERROR(IF(tblPiNAnalysis[[#This Row],[Severidad]]&gt;3,tblPiNAnalysis[[#This Row],[PiN final]]*Umbrales!$D$34,),)</f>
        <v>0</v>
      </c>
    </row>
    <row r="113" spans="1:56">
      <c r="A113" s="101" t="str">
        <f>IFERROR(_xlfn.CONCAT(IF(tblPiNAnalysis[[#This Row],[Grupo]]="", "",tblPiNAnalysis[[#This Row],[Grupo]] ),  _xlfn.IFS(tblPiNAnalysis[[#This Row],[Admin2PCODE]]&lt;&gt;"", tblPiNAnalysis[[#This Row],[Admin2PCODE]], tblPiNAnalysis[[#This Row],[Admin1PCODE]]&lt;&gt;"", tblPiNAnalysis[[#This Row],[Admin1PCODE]])),"")</f>
        <v>VenezolanosVE0610</v>
      </c>
      <c r="B113" s="105" t="s">
        <v>215</v>
      </c>
      <c r="C113" s="104" t="s">
        <v>216</v>
      </c>
      <c r="D113" s="119" t="s">
        <v>233</v>
      </c>
      <c r="E113" s="104" t="s">
        <v>234</v>
      </c>
      <c r="F113" s="358"/>
      <c r="G113" s="357">
        <v>41032</v>
      </c>
      <c r="H113" s="103" t="s">
        <v>102</v>
      </c>
      <c r="I113" s="60">
        <v>5699</v>
      </c>
      <c r="J113" s="134">
        <v>1722.2307831849673</v>
      </c>
      <c r="K113" s="57">
        <v>18900</v>
      </c>
      <c r="L113" s="87">
        <v>1658.9896070815421</v>
      </c>
      <c r="M113" s="87">
        <v>5892.8224154022146</v>
      </c>
      <c r="N113" s="57">
        <v>5539.3200000000006</v>
      </c>
      <c r="O113" s="57">
        <v>1891.5959953441111</v>
      </c>
      <c r="P113" s="57">
        <v>2062.487845390775</v>
      </c>
      <c r="Q113" s="88">
        <f>IFERROR(IF(tblPiNAnalysis[[#This Row],[SAMV]]="", "", MROUND(tblPiNAnalysis[[#This Row],[SAMV]]/tblPiNAnalysis[[#This Row],[Población]], 0.05)), "")</f>
        <v>0.15000000000000002</v>
      </c>
      <c r="R113" s="89">
        <f>IFERROR(IF(tblPiNAnalysis[[#This Row],[NUT]]="", "", MROUND(tblPiNAnalysis[[#This Row],[NUT]]/tblPiNAnalysis[[#This Row],[Población]], 0.05)), "")</f>
        <v>0.05</v>
      </c>
      <c r="S113" s="89">
        <f>IFERROR(IF(tblPiNAnalysis[[#This Row],[SAL]]="", "", MROUND(tblPiNAnalysis[[#This Row],[SAL]]/tblPiNAnalysis[[#This Row],[Población]], 0.05)), "")</f>
        <v>0.45</v>
      </c>
      <c r="T113" s="89">
        <f>IFERROR(IF(tblPiNAnalysis[[#This Row],[EDU]]="", "", MROUND(tblPiNAnalysis[[#This Row],[EDU]]/tblPiNAnalysis[[#This Row],[Población]], 0.05)), "")</f>
        <v>0.05</v>
      </c>
      <c r="U113" s="89">
        <f>IFERROR(IF(tblPiNAnalysis[[#This Row],[PRO]]="", "", MROUND(tblPiNAnalysis[[#This Row],[PRO]]/tblPiNAnalysis[[#This Row],[Población]], 0.05)), "")</f>
        <v>0.15000000000000002</v>
      </c>
      <c r="V113" s="90">
        <f>IFERROR(IF(tblPiNAnalysis[[#This Row],[ASH]]="", "", MROUND(tblPiNAnalysis[[#This Row],[ASH]]/tblPiNAnalysis[[#This Row],[Población]], 0.05)), "")</f>
        <v>0.15000000000000002</v>
      </c>
      <c r="W113" s="89">
        <f>IFERROR(MROUND(tblPiNAnalysis[[#This Row],[NNA]]/tblPiNAnalysis[[#This Row],[Población]], 0.05), "")</f>
        <v>0.05</v>
      </c>
      <c r="X113" s="89">
        <f>IFERROR(MROUND(tblPiNAnalysis[[#This Row],[VBG]]/tblPiNAnalysis[[#This Row],[Población]], 0.05), "")</f>
        <v>0.05</v>
      </c>
      <c r="Y113" s="91">
        <f>IFERROR(LARGE(tblPiNAnalysis[[#This Row],[SAMV]:[ASH]], 1), "")</f>
        <v>18900</v>
      </c>
      <c r="Z113" s="92" t="str" cm="1">
        <f t="array" ref="Z113">IF(tblPiNAnalysis[[#This Row],[PiN más alto]]="", "", _xlfn.TEXTJOIN(CHAR(10), TRUE, IF(tblPiNAnalysis[[#This Row],[PiN más alto]]=tblPiNAnalysis[[#This Row],[SAMV]:[ASH]], tblPiNAnalysis[[#Headers],[SAMV]:[ASH]], "")))</f>
        <v>SAL</v>
      </c>
      <c r="AA113" s="93">
        <f>IF(tblPiNAnalysis[[#This Row],[PiN más alto]]="", "", tblPiNAnalysis[[#This Row],[PiN más alto]]/tblPiNAnalysis[[#This Row],[Población]])</f>
        <v>0.46061610450380192</v>
      </c>
      <c r="AB113" s="94" t="str">
        <f>IF(SUM(tblPiNAnalysis[[#This Row],[SAMV]:[ASH]])=0, "",IF(COUNTIF(tblPiNAnalysis[[#This Row],[SAMV]:[ASH]],"=0")+COUNTIF(tblPiNAnalysis[[#This Row],[SAMV]:[ASH]],"")&gt;=zero_pin_thresh, "Flagged", ""))</f>
        <v/>
      </c>
      <c r="AC113" s="95" t="str">
        <f>IFERROR(IF(tblPiNAnalysis[[#This Row],[PiN más alto]]="", "", IF(tblPiNAnalysis[[#This Row],[% PiN Sectores más altos]]&gt;=flag_pin_perc, "Flagged", "")), "")</f>
        <v/>
      </c>
      <c r="AD113" s="96" t="str" cm="1">
        <f t="array" ref="AD113">IF(tblPiNAnalysis[[#This Row],[PiN más alto]]=0, "",  IF(OR(COUNTIF(tblPiNAnalysis[[#This Row],[Sectores más altos]],tblSubSectorPopulation[Sector])), "Flagged", ""))</f>
        <v/>
      </c>
      <c r="AE113" s="16" cm="1">
        <f t="array" ref="AE11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5892.8224154022146</v>
      </c>
      <c r="AF113" s="97" t="str" cm="1">
        <f t="array" ref="AF113">IF(tblPiNAnalysis[[#This Row],[2º PiN más alto]]="", "", _xlfn.TEXTJOIN(CHAR(10), TRUE, IF(tblPiNAnalysis[[#This Row],[2º PiN más alto]]=tblPiNAnalysis[[#This Row],[SAMV]:[ASH]], tblPiNAnalysis[[#Headers],[SAMV]:[ASH]], "")))</f>
        <v>PRO</v>
      </c>
      <c r="AG113" s="12">
        <f>IFERROR(tblPiNAnalysis[[#This Row],[2º PiN más alto]]/tblPiNAnalysis[[#This Row],[Población]], "")</f>
        <v>0.14361528600609805</v>
      </c>
      <c r="AH113" s="16">
        <f>IFERROR(tblPiNAnalysis[[#This Row],[PiN más alto]]-tblPiNAnalysis[[#This Row],[2º PiN más alto]], "")</f>
        <v>13007.177584597786</v>
      </c>
      <c r="AI113" s="14">
        <f>IFERROR(((tblPiNAnalysis[[#This Row],[PiN más alto]]-tblPiNAnalysis[[#This Row],[2º PiN más alto]])/tblPiNAnalysis[[#This Row],[2º PiN más alto]]),"")</f>
        <v>2.2072916283037154</v>
      </c>
      <c r="AJ113" s="14" t="str" cm="1">
        <f t="array" ref="AJ11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13" s="98" cm="1">
        <f t="array" ref="AK11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5699</v>
      </c>
      <c r="AL113" s="53" t="str" cm="1">
        <f t="array" ref="AL113">IF(tblPiNAnalysis[[#This Row],[3º PiN más alto]]="", "", _xlfn.TEXTJOIN(CHAR(10), TRUE, IF(tblPiNAnalysis[[#This Row],[3º PiN más alto]]=tblPiNAnalysis[[#This Row],[SAMV]:[ASH]], tblPiNAnalysis[[#Headers],[SAMV]:[ASH]], "")))</f>
        <v>SAMV</v>
      </c>
      <c r="AM113" s="53">
        <f>IFERROR(tblPiNAnalysis[[#This Row],[3º PiN más alto]]/tblPiNAnalysis[[#This Row],[Población]], "")</f>
        <v>0.1388915968024956</v>
      </c>
      <c r="AN113" s="15">
        <f>IFERROR(tblPiNAnalysis[[#This Row],[PiN más alto]]-tblPiNAnalysis[[#This Row],[3º PiN más alto]],"")</f>
        <v>13201</v>
      </c>
      <c r="AO113" s="14">
        <f>IFERROR(tblPiNAnalysis[[#This Row],[Diferencia de PiN entre el más alto y el 3º más alto]]/tblPiNAnalysis[[#This Row],[3º PiN más alto]], "")</f>
        <v>2.3163712932093348</v>
      </c>
      <c r="AP113" s="96" t="str" cm="1">
        <f t="array" ref="AP11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13" s="84" cm="1">
        <f t="array" ref="AQ113">IFERROR(IF(tblPiNAnalysis[[#This Row],[ID]]="", "", INDEX(tblPiNHistorical[[SAMV]:[ASH]], MATCH(tblPiNAnalysis[[#This Row],[ID]],tblPiNHistorical[ID], 0),MATCH(_xlfn._xlws.FILTER(tblPiNAnalysis[[#Headers],[SAMV]:[ASH]], tblPiNAnalysis[[#This Row],[PiN más alto]]=tblPiNAnalysis[[#This Row],[SAMV]:[ASH]]), tblPiNHistorical[[#Headers],[SAMV]:[ASH]], 0))), "")</f>
        <v>1.1000000000000001</v>
      </c>
      <c r="AR113" s="99" t="str" cm="1">
        <f t="array" ref="AR11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13" s="74" cm="1">
        <f t="array" ref="AS113">IFERROR(IF(tblPiNAnalysis[[#This Row],[ID]]="", "", INDEX(tblPiNHistorical[[SAMV]:[ASH]], MATCH(tblPiNAnalysis[[#This Row],[ID]],tblPiNHistorical[ID], 0),MATCH(_xlfn._xlws.FILTER(tblPiNAnalysis[[#Headers],[SAMV]:[ASH]], tblPiNAnalysis[[#This Row],[2º PiN más alto]]=tblPiNAnalysis[[#This Row],[SAMV]:[ASH]]), tblPiNHistorical[[#Headers],[SAMV]:[ASH]], 0))), "")</f>
        <v>0.1</v>
      </c>
      <c r="AT113" s="100" t="str" cm="1">
        <f t="array" ref="AT11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13" s="219">
        <f>INDEX(tblSeverityAnalysis[Severidad final], MATCH(tblPiNAnalysis[[#This Row],[ID]],tblSeverityAnalysis[ID], 0))</f>
        <v>3</v>
      </c>
      <c r="AV113" s="220">
        <f>IF(tblPiNAnalysis[[#This Row],[Severidad]]&gt;2,tblPiNAnalysis[[#This Row],[PiN más alto]],)</f>
        <v>18900</v>
      </c>
      <c r="AW113" s="54"/>
      <c r="AX113" s="55"/>
      <c r="AY113" s="56">
        <f>COUNTIFS(tblPiNAnalysis[[#This Row],[Número de PiN ausentes/cero superior al umbral - Calidad de los datos]:[Marcador manual]],"Flagged")</f>
        <v>3</v>
      </c>
      <c r="AZ113" s="34" t="str">
        <f>IF(tblPiNAnalysis[[#This Row],[Número de marcadores]]&gt;0, "Flagged", "")</f>
        <v>Flagged</v>
      </c>
      <c r="BA113" s="92">
        <f>tblPiNAnalysis[[#This Row],[PiN preliminar]]</f>
        <v>18900</v>
      </c>
      <c r="BB113" s="97"/>
      <c r="BC113" s="70">
        <f>IFERROR(IF(tblPiNAnalysis[[#This Row],[Severidad]]=3,tblPiNAnalysis[[#This Row],[PiN final]]*Umbrales!$D$33,tblPiNAnalysis[[#This Row],[PiN final]]*Umbrales!$D$34),)</f>
        <v>9450</v>
      </c>
      <c r="BD113" s="70">
        <f>IFERROR(IF(tblPiNAnalysis[[#This Row],[Severidad]]&gt;3,tblPiNAnalysis[[#This Row],[PiN final]]*Umbrales!$D$34,),)</f>
        <v>0</v>
      </c>
    </row>
    <row r="114" spans="1:56">
      <c r="A114" s="101" t="str">
        <f>IFERROR(_xlfn.CONCAT(IF(tblPiNAnalysis[[#This Row],[Grupo]]="", "",tblPiNAnalysis[[#This Row],[Grupo]] ),  _xlfn.IFS(tblPiNAnalysis[[#This Row],[Admin2PCODE]]&lt;&gt;"", tblPiNAnalysis[[#This Row],[Admin2PCODE]], tblPiNAnalysis[[#This Row],[Admin1PCODE]]&lt;&gt;"", tblPiNAnalysis[[#This Row],[Admin1PCODE]])),"")</f>
        <v>VenezolanosVE2304</v>
      </c>
      <c r="B114" s="105" t="s">
        <v>705</v>
      </c>
      <c r="C114" s="104" t="s">
        <v>706</v>
      </c>
      <c r="D114" s="119" t="s">
        <v>713</v>
      </c>
      <c r="E114" s="104" t="s">
        <v>714</v>
      </c>
      <c r="F114" s="358"/>
      <c r="G114" s="357">
        <v>41616</v>
      </c>
      <c r="H114" s="103" t="s">
        <v>102</v>
      </c>
      <c r="I114" s="60">
        <v>1734</v>
      </c>
      <c r="J114" s="134">
        <v>3113.2588394437125</v>
      </c>
      <c r="K114" s="57">
        <v>15189.84</v>
      </c>
      <c r="L114" s="87">
        <v>6960.4254978717099</v>
      </c>
      <c r="M114" s="87">
        <v>8265.7212702245997</v>
      </c>
      <c r="N114" s="57">
        <v>18727.2</v>
      </c>
      <c r="O114" s="57">
        <v>2645.030806471872</v>
      </c>
      <c r="P114" s="57">
        <v>2893.0024445786098</v>
      </c>
      <c r="Q114" s="88">
        <f>IFERROR(IF(tblPiNAnalysis[[#This Row],[SAMV]]="", "", MROUND(tblPiNAnalysis[[#This Row],[SAMV]]/tblPiNAnalysis[[#This Row],[Población]], 0.05)), "")</f>
        <v>0.05</v>
      </c>
      <c r="R114" s="89">
        <f>IFERROR(IF(tblPiNAnalysis[[#This Row],[NUT]]="", "", MROUND(tblPiNAnalysis[[#This Row],[NUT]]/tblPiNAnalysis[[#This Row],[Población]], 0.05)), "")</f>
        <v>0.05</v>
      </c>
      <c r="S114" s="89">
        <f>IFERROR(IF(tblPiNAnalysis[[#This Row],[SAL]]="", "", MROUND(tblPiNAnalysis[[#This Row],[SAL]]/tblPiNAnalysis[[#This Row],[Población]], 0.05)), "")</f>
        <v>0.35000000000000003</v>
      </c>
      <c r="T114" s="89">
        <f>IFERROR(IF(tblPiNAnalysis[[#This Row],[EDU]]="", "", MROUND(tblPiNAnalysis[[#This Row],[EDU]]/tblPiNAnalysis[[#This Row],[Población]], 0.05)), "")</f>
        <v>0.15000000000000002</v>
      </c>
      <c r="U114" s="89">
        <f>IFERROR(IF(tblPiNAnalysis[[#This Row],[PRO]]="", "", MROUND(tblPiNAnalysis[[#This Row],[PRO]]/tblPiNAnalysis[[#This Row],[Población]], 0.05)), "")</f>
        <v>0.2</v>
      </c>
      <c r="V114" s="90">
        <f>IFERROR(IF(tblPiNAnalysis[[#This Row],[ASH]]="", "", MROUND(tblPiNAnalysis[[#This Row],[ASH]]/tblPiNAnalysis[[#This Row],[Población]], 0.05)), "")</f>
        <v>0.45</v>
      </c>
      <c r="W114" s="89">
        <f>IFERROR(MROUND(tblPiNAnalysis[[#This Row],[NNA]]/tblPiNAnalysis[[#This Row],[Población]], 0.05), "")</f>
        <v>0.05</v>
      </c>
      <c r="X114" s="89">
        <f>IFERROR(MROUND(tblPiNAnalysis[[#This Row],[VBG]]/tblPiNAnalysis[[#This Row],[Población]], 0.05), "")</f>
        <v>0.05</v>
      </c>
      <c r="Y114" s="91">
        <f>IFERROR(LARGE(tblPiNAnalysis[[#This Row],[SAMV]:[ASH]], 1), "")</f>
        <v>18727.2</v>
      </c>
      <c r="Z114" s="92" t="str" cm="1">
        <f t="array" ref="Z114">IF(tblPiNAnalysis[[#This Row],[PiN más alto]]="", "", _xlfn.TEXTJOIN(CHAR(10), TRUE, IF(tblPiNAnalysis[[#This Row],[PiN más alto]]=tblPiNAnalysis[[#This Row],[SAMV]:[ASH]], tblPiNAnalysis[[#Headers],[SAMV]:[ASH]], "")))</f>
        <v>ASH</v>
      </c>
      <c r="AA114" s="93">
        <f>IF(tblPiNAnalysis[[#This Row],[PiN más alto]]="", "", tblPiNAnalysis[[#This Row],[PiN más alto]]/tblPiNAnalysis[[#This Row],[Población]])</f>
        <v>0.45</v>
      </c>
      <c r="AB114" s="94" t="str">
        <f>IF(SUM(tblPiNAnalysis[[#This Row],[SAMV]:[ASH]])=0, "",IF(COUNTIF(tblPiNAnalysis[[#This Row],[SAMV]:[ASH]],"=0")+COUNTIF(tblPiNAnalysis[[#This Row],[SAMV]:[ASH]],"")&gt;=zero_pin_thresh, "Flagged", ""))</f>
        <v/>
      </c>
      <c r="AC114" s="95" t="str">
        <f>IFERROR(IF(tblPiNAnalysis[[#This Row],[PiN más alto]]="", "", IF(tblPiNAnalysis[[#This Row],[% PiN Sectores más altos]]&gt;=flag_pin_perc, "Flagged", "")), "")</f>
        <v/>
      </c>
      <c r="AD114" s="96" t="str" cm="1">
        <f t="array" ref="AD114">IF(tblPiNAnalysis[[#This Row],[PiN más alto]]=0, "",  IF(OR(COUNTIF(tblPiNAnalysis[[#This Row],[Sectores más altos]],tblSubSectorPopulation[Sector])), "Flagged", ""))</f>
        <v/>
      </c>
      <c r="AE114" s="16" cm="1">
        <f t="array" ref="AE11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15189.84</v>
      </c>
      <c r="AF114" s="97" t="str" cm="1">
        <f t="array" ref="AF114">IF(tblPiNAnalysis[[#This Row],[2º PiN más alto]]="", "", _xlfn.TEXTJOIN(CHAR(10), TRUE, IF(tblPiNAnalysis[[#This Row],[2º PiN más alto]]=tblPiNAnalysis[[#This Row],[SAMV]:[ASH]], tblPiNAnalysis[[#Headers],[SAMV]:[ASH]], "")))</f>
        <v>SAL</v>
      </c>
      <c r="AG114" s="12">
        <f>IFERROR(tblPiNAnalysis[[#This Row],[2º PiN más alto]]/tblPiNAnalysis[[#This Row],[Población]], "")</f>
        <v>0.36499999999999999</v>
      </c>
      <c r="AH114" s="16">
        <f>IFERROR(tblPiNAnalysis[[#This Row],[PiN más alto]]-tblPiNAnalysis[[#This Row],[2º PiN más alto]], "")</f>
        <v>3537.3600000000006</v>
      </c>
      <c r="AI114" s="14">
        <f>IFERROR(((tblPiNAnalysis[[#This Row],[PiN más alto]]-tblPiNAnalysis[[#This Row],[2º PiN más alto]])/tblPiNAnalysis[[#This Row],[2º PiN más alto]]),"")</f>
        <v>0.23287671232876717</v>
      </c>
      <c r="AJ114" s="14" t="str" cm="1">
        <f t="array" ref="AJ11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14" s="98" cm="1">
        <f t="array" ref="AK11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8265.7212702245997</v>
      </c>
      <c r="AL114" s="53" t="str" cm="1">
        <f t="array" ref="AL114">IF(tblPiNAnalysis[[#This Row],[3º PiN más alto]]="", "", _xlfn.TEXTJOIN(CHAR(10), TRUE, IF(tblPiNAnalysis[[#This Row],[3º PiN más alto]]=tblPiNAnalysis[[#This Row],[SAMV]:[ASH]], tblPiNAnalysis[[#Headers],[SAMV]:[ASH]], "")))</f>
        <v>PRO</v>
      </c>
      <c r="AM114" s="53">
        <f>IFERROR(tblPiNAnalysis[[#This Row],[3º PiN más alto]]/tblPiNAnalysis[[#This Row],[Población]], "")</f>
        <v>0.19861883098386676</v>
      </c>
      <c r="AN114" s="15">
        <f>IFERROR(tblPiNAnalysis[[#This Row],[PiN más alto]]-tblPiNAnalysis[[#This Row],[3º PiN más alto]],"")</f>
        <v>10461.478729775401</v>
      </c>
      <c r="AO114" s="14">
        <f>IFERROR(tblPiNAnalysis[[#This Row],[Diferencia de PiN entre el más alto y el 3º más alto]]/tblPiNAnalysis[[#This Row],[3º PiN más alto]], "")</f>
        <v>1.2656462016763768</v>
      </c>
      <c r="AP114" s="96" t="str" cm="1">
        <f t="array" ref="AP11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14" s="84" t="str" cm="1">
        <f t="array" ref="AQ114">IFERROR(IF(tblPiNAnalysis[[#This Row],[ID]]="", "", INDEX(tblPiNHistorical[[SAMV]:[ASH]], MATCH(tblPiNAnalysis[[#This Row],[ID]],tblPiNHistorical[ID], 0),MATCH(_xlfn._xlws.FILTER(tblPiNAnalysis[[#Headers],[SAMV]:[ASH]], tblPiNAnalysis[[#This Row],[PiN más alto]]=tblPiNAnalysis[[#This Row],[SAMV]:[ASH]]), tblPiNHistorical[[#Headers],[SAMV]:[ASH]], 0))), "")</f>
        <v>NoPIN26 24421</v>
      </c>
      <c r="AR114" s="99" t="str" cm="1">
        <f t="array" ref="AR11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14" s="74" cm="1">
        <f t="array" ref="AS114">IFERROR(IF(tblPiNAnalysis[[#This Row],[ID]]="", "", INDEX(tblPiNHistorical[[SAMV]:[ASH]], MATCH(tblPiNAnalysis[[#This Row],[ID]],tblPiNHistorical[ID], 0),MATCH(_xlfn._xlws.FILTER(tblPiNAnalysis[[#Headers],[SAMV]:[ASH]], tblPiNAnalysis[[#This Row],[2º PiN más alto]]=tblPiNAnalysis[[#This Row],[SAMV]:[ASH]]), tblPiNHistorical[[#Headers],[SAMV]:[ASH]], 0))), "")</f>
        <v>-0.2</v>
      </c>
      <c r="AT114" s="100" t="str" cm="1">
        <f t="array" ref="AT11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14" s="219">
        <f>INDEX(tblSeverityAnalysis[Severidad final], MATCH(tblPiNAnalysis[[#This Row],[ID]],tblSeverityAnalysis[ID], 0))</f>
        <v>4</v>
      </c>
      <c r="AV114" s="220">
        <f>IF(tblPiNAnalysis[[#This Row],[Severidad]]&gt;2,tblPiNAnalysis[[#This Row],[PiN más alto]],)</f>
        <v>18727.2</v>
      </c>
      <c r="AW114" s="54"/>
      <c r="AX114" s="55"/>
      <c r="AY114" s="56">
        <f>COUNTIFS(tblPiNAnalysis[[#This Row],[Número de PiN ausentes/cero superior al umbral - Calidad de los datos]:[Marcador manual]],"Flagged")</f>
        <v>1</v>
      </c>
      <c r="AZ114" s="34" t="str">
        <f>IF(tblPiNAnalysis[[#This Row],[Número de marcadores]]&gt;0, "Flagged", "")</f>
        <v>Flagged</v>
      </c>
      <c r="BA114" s="92">
        <f>tblPiNAnalysis[[#This Row],[PiN preliminar]]</f>
        <v>18727.2</v>
      </c>
      <c r="BB114" s="97"/>
      <c r="BC114" s="70">
        <f>IFERROR(IF(tblPiNAnalysis[[#This Row],[Severidad]]=3,tblPiNAnalysis[[#This Row],[PiN final]]*Umbrales!$D$33,tblPiNAnalysis[[#This Row],[PiN final]]*Umbrales!$D$34),)</f>
        <v>18727.2</v>
      </c>
      <c r="BD114" s="70">
        <f>IFERROR(IF(tblPiNAnalysis[[#This Row],[Severidad]]&gt;3,tblPiNAnalysis[[#This Row],[PiN final]]*Umbrales!$D$34,),)</f>
        <v>18727.2</v>
      </c>
    </row>
    <row r="115" spans="1:56">
      <c r="A115" s="101" t="str">
        <f>IFERROR(_xlfn.CONCAT(IF(tblPiNAnalysis[[#This Row],[Grupo]]="", "",tblPiNAnalysis[[#This Row],[Grupo]] ),  _xlfn.IFS(tblPiNAnalysis[[#This Row],[Admin2PCODE]]&lt;&gt;"", tblPiNAnalysis[[#This Row],[Admin2PCODE]], tblPiNAnalysis[[#This Row],[Admin1PCODE]]&lt;&gt;"", tblPiNAnalysis[[#This Row],[Admin1PCODE]])),"")</f>
        <v>VenezolanosVE2308</v>
      </c>
      <c r="B115" s="105" t="s">
        <v>705</v>
      </c>
      <c r="C115" s="104" t="s">
        <v>706</v>
      </c>
      <c r="D115" s="119" t="s">
        <v>815</v>
      </c>
      <c r="E115" s="104" t="s">
        <v>722</v>
      </c>
      <c r="F115" s="358"/>
      <c r="G115" s="357">
        <v>31175</v>
      </c>
      <c r="H115" s="103" t="s">
        <v>102</v>
      </c>
      <c r="I115" s="60">
        <v>3247</v>
      </c>
      <c r="J115" s="134">
        <v>2467.22718487559</v>
      </c>
      <c r="K115" s="57">
        <v>11378.875</v>
      </c>
      <c r="L115" s="87">
        <v>4984.6427237542912</v>
      </c>
      <c r="M115" s="87">
        <v>7430.3304671064543</v>
      </c>
      <c r="N115" s="57">
        <v>18705</v>
      </c>
      <c r="O115" s="57">
        <v>2377.7057494740652</v>
      </c>
      <c r="P115" s="57">
        <v>2600.6156634872591</v>
      </c>
      <c r="Q115" s="88">
        <f>IFERROR(IF(tblPiNAnalysis[[#This Row],[SAMV]]="", "", MROUND(tblPiNAnalysis[[#This Row],[SAMV]]/tblPiNAnalysis[[#This Row],[Población]], 0.05)), "")</f>
        <v>0.1</v>
      </c>
      <c r="R115" s="89">
        <f>IFERROR(IF(tblPiNAnalysis[[#This Row],[NUT]]="", "", MROUND(tblPiNAnalysis[[#This Row],[NUT]]/tblPiNAnalysis[[#This Row],[Población]], 0.05)), "")</f>
        <v>0.1</v>
      </c>
      <c r="S115" s="89">
        <f>IFERROR(IF(tblPiNAnalysis[[#This Row],[SAL]]="", "", MROUND(tblPiNAnalysis[[#This Row],[SAL]]/tblPiNAnalysis[[#This Row],[Población]], 0.05)), "")</f>
        <v>0.35000000000000003</v>
      </c>
      <c r="T115" s="89">
        <f>IFERROR(IF(tblPiNAnalysis[[#This Row],[EDU]]="", "", MROUND(tblPiNAnalysis[[#This Row],[EDU]]/tblPiNAnalysis[[#This Row],[Población]], 0.05)), "")</f>
        <v>0.15000000000000002</v>
      </c>
      <c r="U115" s="89">
        <f>IFERROR(IF(tblPiNAnalysis[[#This Row],[PRO]]="", "", MROUND(tblPiNAnalysis[[#This Row],[PRO]]/tblPiNAnalysis[[#This Row],[Población]], 0.05)), "")</f>
        <v>0.25</v>
      </c>
      <c r="V115" s="90">
        <f>IFERROR(IF(tblPiNAnalysis[[#This Row],[ASH]]="", "", MROUND(tblPiNAnalysis[[#This Row],[ASH]]/tblPiNAnalysis[[#This Row],[Población]], 0.05)), "")</f>
        <v>0.60000000000000009</v>
      </c>
      <c r="W115" s="89">
        <f>IFERROR(MROUND(tblPiNAnalysis[[#This Row],[NNA]]/tblPiNAnalysis[[#This Row],[Población]], 0.05), "")</f>
        <v>0.1</v>
      </c>
      <c r="X115" s="89">
        <f>IFERROR(MROUND(tblPiNAnalysis[[#This Row],[VBG]]/tblPiNAnalysis[[#This Row],[Población]], 0.05), "")</f>
        <v>0.1</v>
      </c>
      <c r="Y115" s="91">
        <f>IFERROR(LARGE(tblPiNAnalysis[[#This Row],[SAMV]:[ASH]], 1), "")</f>
        <v>18705</v>
      </c>
      <c r="Z115" s="92" t="str" cm="1">
        <f t="array" ref="Z115">IF(tblPiNAnalysis[[#This Row],[PiN más alto]]="", "", _xlfn.TEXTJOIN(CHAR(10), TRUE, IF(tblPiNAnalysis[[#This Row],[PiN más alto]]=tblPiNAnalysis[[#This Row],[SAMV]:[ASH]], tblPiNAnalysis[[#Headers],[SAMV]:[ASH]], "")))</f>
        <v>ASH</v>
      </c>
      <c r="AA115" s="93">
        <f>IF(tblPiNAnalysis[[#This Row],[PiN más alto]]="", "", tblPiNAnalysis[[#This Row],[PiN más alto]]/tblPiNAnalysis[[#This Row],[Población]])</f>
        <v>0.6</v>
      </c>
      <c r="AB115" s="94" t="str">
        <f>IF(SUM(tblPiNAnalysis[[#This Row],[SAMV]:[ASH]])=0, "",IF(COUNTIF(tblPiNAnalysis[[#This Row],[SAMV]:[ASH]],"=0")+COUNTIF(tblPiNAnalysis[[#This Row],[SAMV]:[ASH]],"")&gt;=zero_pin_thresh, "Flagged", ""))</f>
        <v/>
      </c>
      <c r="AC115" s="95" t="str">
        <f>IFERROR(IF(tblPiNAnalysis[[#This Row],[PiN más alto]]="", "", IF(tblPiNAnalysis[[#This Row],[% PiN Sectores más altos]]&gt;=flag_pin_perc, "Flagged", "")), "")</f>
        <v/>
      </c>
      <c r="AD115" s="96" t="str" cm="1">
        <f t="array" ref="AD115">IF(tblPiNAnalysis[[#This Row],[PiN más alto]]=0, "",  IF(OR(COUNTIF(tblPiNAnalysis[[#This Row],[Sectores más altos]],tblSubSectorPopulation[Sector])), "Flagged", ""))</f>
        <v/>
      </c>
      <c r="AE115" s="16" cm="1">
        <f t="array" ref="AE11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11378.875</v>
      </c>
      <c r="AF115" s="97" t="str" cm="1">
        <f t="array" ref="AF115">IF(tblPiNAnalysis[[#This Row],[2º PiN más alto]]="", "", _xlfn.TEXTJOIN(CHAR(10), TRUE, IF(tblPiNAnalysis[[#This Row],[2º PiN más alto]]=tblPiNAnalysis[[#This Row],[SAMV]:[ASH]], tblPiNAnalysis[[#Headers],[SAMV]:[ASH]], "")))</f>
        <v>SAL</v>
      </c>
      <c r="AG115" s="12">
        <f>IFERROR(tblPiNAnalysis[[#This Row],[2º PiN más alto]]/tblPiNAnalysis[[#This Row],[Población]], "")</f>
        <v>0.36499999999999999</v>
      </c>
      <c r="AH115" s="16">
        <f>IFERROR(tblPiNAnalysis[[#This Row],[PiN más alto]]-tblPiNAnalysis[[#This Row],[2º PiN más alto]], "")</f>
        <v>7326.125</v>
      </c>
      <c r="AI115" s="14">
        <f>IFERROR(((tblPiNAnalysis[[#This Row],[PiN más alto]]-tblPiNAnalysis[[#This Row],[2º PiN más alto]])/tblPiNAnalysis[[#This Row],[2º PiN más alto]]),"")</f>
        <v>0.64383561643835618</v>
      </c>
      <c r="AJ115" s="14" t="str" cm="1">
        <f t="array" ref="AJ11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15" s="98" cm="1">
        <f t="array" ref="AK11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7430.3304671064543</v>
      </c>
      <c r="AL115" s="53" t="str" cm="1">
        <f t="array" ref="AL115">IF(tblPiNAnalysis[[#This Row],[3º PiN más alto]]="", "", _xlfn.TEXTJOIN(CHAR(10), TRUE, IF(tblPiNAnalysis[[#This Row],[3º PiN más alto]]=tblPiNAnalysis[[#This Row],[SAMV]:[ASH]], tblPiNAnalysis[[#Headers],[SAMV]:[ASH]], "")))</f>
        <v>PRO</v>
      </c>
      <c r="AM115" s="53">
        <f>IFERROR(tblPiNAnalysis[[#This Row],[3º PiN más alto]]/tblPiNAnalysis[[#This Row],[Población]], "")</f>
        <v>0.23834259718064008</v>
      </c>
      <c r="AN115" s="15">
        <f>IFERROR(tblPiNAnalysis[[#This Row],[PiN más alto]]-tblPiNAnalysis[[#This Row],[3º PiN más alto]],"")</f>
        <v>11274.669532893546</v>
      </c>
      <c r="AO115" s="14">
        <f>IFERROR(tblPiNAnalysis[[#This Row],[Diferencia de PiN entre el más alto y el 3º más alto]]/tblPiNAnalysis[[#This Row],[3º PiN más alto]], "")</f>
        <v>1.517384668529308</v>
      </c>
      <c r="AP115" s="96" t="str" cm="1">
        <f t="array" ref="AP11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15" s="84" t="str" cm="1">
        <f t="array" ref="AQ115">IFERROR(IF(tblPiNAnalysis[[#This Row],[ID]]="", "", INDEX(tblPiNHistorical[[SAMV]:[ASH]], MATCH(tblPiNAnalysis[[#This Row],[ID]],tblPiNHistorical[ID], 0),MATCH(_xlfn._xlws.FILTER(tblPiNAnalysis[[#Headers],[SAMV]:[ASH]], tblPiNAnalysis[[#This Row],[PiN más alto]]=tblPiNAnalysis[[#This Row],[SAMV]:[ASH]]), tblPiNHistorical[[#Headers],[SAMV]:[ASH]], 0))), "")</f>
        <v>NoPIN26 6097</v>
      </c>
      <c r="AR115" s="99" t="str" cm="1">
        <f t="array" ref="AR11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15" s="74" cm="1">
        <f t="array" ref="AS115">IFERROR(IF(tblPiNAnalysis[[#This Row],[ID]]="", "", INDEX(tblPiNHistorical[[SAMV]:[ASH]], MATCH(tblPiNAnalysis[[#This Row],[ID]],tblPiNHistorical[ID], 0),MATCH(_xlfn._xlws.FILTER(tblPiNAnalysis[[#Headers],[SAMV]:[ASH]], tblPiNAnalysis[[#This Row],[2º PiN más alto]]=tblPiNAnalysis[[#This Row],[SAMV]:[ASH]]), tblPiNHistorical[[#Headers],[SAMV]:[ASH]], 0))), "")</f>
        <v>-0.7</v>
      </c>
      <c r="AT115" s="100" t="str" cm="1">
        <f t="array" ref="AT11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15" s="219">
        <f>INDEX(tblSeverityAnalysis[Severidad final], MATCH(tblPiNAnalysis[[#This Row],[ID]],tblSeverityAnalysis[ID], 0))</f>
        <v>4</v>
      </c>
      <c r="AV115" s="220">
        <f>IF(tblPiNAnalysis[[#This Row],[Severidad]]&gt;2,tblPiNAnalysis[[#This Row],[PiN más alto]],)</f>
        <v>18705</v>
      </c>
      <c r="AW115" s="54"/>
      <c r="AX115" s="55"/>
      <c r="AY115" s="56">
        <f>COUNTIFS(tblPiNAnalysis[[#This Row],[Número de PiN ausentes/cero superior al umbral - Calidad de los datos]:[Marcador manual]],"Flagged")</f>
        <v>2</v>
      </c>
      <c r="AZ115" s="34" t="str">
        <f>IF(tblPiNAnalysis[[#This Row],[Número de marcadores]]&gt;0, "Flagged", "")</f>
        <v>Flagged</v>
      </c>
      <c r="BA115" s="92">
        <f>tblPiNAnalysis[[#This Row],[PiN preliminar]]</f>
        <v>18705</v>
      </c>
      <c r="BB115" s="97"/>
      <c r="BC115" s="70">
        <f>IFERROR(IF(tblPiNAnalysis[[#This Row],[Severidad]]=3,tblPiNAnalysis[[#This Row],[PiN final]]*Umbrales!$D$33,tblPiNAnalysis[[#This Row],[PiN final]]*Umbrales!$D$34),)</f>
        <v>18705</v>
      </c>
      <c r="BD115" s="70">
        <f>IFERROR(IF(tblPiNAnalysis[[#This Row],[Severidad]]&gt;3,tblPiNAnalysis[[#This Row],[PiN final]]*Umbrales!$D$34,),)</f>
        <v>18705</v>
      </c>
    </row>
    <row r="116" spans="1:56">
      <c r="A116" s="101" t="str">
        <f>IFERROR(_xlfn.CONCAT(IF(tblPiNAnalysis[[#This Row],[Grupo]]="", "",tblPiNAnalysis[[#This Row],[Grupo]] ),  _xlfn.IFS(tblPiNAnalysis[[#This Row],[Admin2PCODE]]&lt;&gt;"", tblPiNAnalysis[[#This Row],[Admin2PCODE]], tblPiNAnalysis[[#This Row],[Admin1PCODE]]&lt;&gt;"", tblPiNAnalysis[[#This Row],[Admin1PCODE]])),"")</f>
        <v>VenezolanosVE1302</v>
      </c>
      <c r="B116" s="105" t="s">
        <v>393</v>
      </c>
      <c r="C116" s="104" t="s">
        <v>394</v>
      </c>
      <c r="D116" s="119" t="s">
        <v>396</v>
      </c>
      <c r="E116" s="104" t="s">
        <v>397</v>
      </c>
      <c r="F116" s="358"/>
      <c r="G116" s="357">
        <v>51079</v>
      </c>
      <c r="H116" s="103" t="s">
        <v>102</v>
      </c>
      <c r="I116" s="60">
        <v>3870</v>
      </c>
      <c r="J116" s="134">
        <v>1663.6718543774771</v>
      </c>
      <c r="K116" s="57">
        <v>18643.834999999999</v>
      </c>
      <c r="L116" s="87">
        <v>4302.0118652724377</v>
      </c>
      <c r="M116" s="87">
        <v>10144.26244967467</v>
      </c>
      <c r="N116" s="57">
        <v>0</v>
      </c>
      <c r="O116" s="57">
        <v>3246.1639838958945</v>
      </c>
      <c r="P116" s="57">
        <v>3550.4918573861346</v>
      </c>
      <c r="Q116" s="88">
        <f>IFERROR(IF(tblPiNAnalysis[[#This Row],[SAMV]]="", "", MROUND(tblPiNAnalysis[[#This Row],[SAMV]]/tblPiNAnalysis[[#This Row],[Población]], 0.05)), "")</f>
        <v>0.1</v>
      </c>
      <c r="R116" s="89">
        <f>IFERROR(IF(tblPiNAnalysis[[#This Row],[NUT]]="", "", MROUND(tblPiNAnalysis[[#This Row],[NUT]]/tblPiNAnalysis[[#This Row],[Población]], 0.05)), "")</f>
        <v>0.05</v>
      </c>
      <c r="S116" s="89">
        <f>IFERROR(IF(tblPiNAnalysis[[#This Row],[SAL]]="", "", MROUND(tblPiNAnalysis[[#This Row],[SAL]]/tblPiNAnalysis[[#This Row],[Población]], 0.05)), "")</f>
        <v>0.35000000000000003</v>
      </c>
      <c r="T116" s="89">
        <f>IFERROR(IF(tblPiNAnalysis[[#This Row],[EDU]]="", "", MROUND(tblPiNAnalysis[[#This Row],[EDU]]/tblPiNAnalysis[[#This Row],[Población]], 0.05)), "")</f>
        <v>0.1</v>
      </c>
      <c r="U116" s="89">
        <f>IFERROR(IF(tblPiNAnalysis[[#This Row],[PRO]]="", "", MROUND(tblPiNAnalysis[[#This Row],[PRO]]/tblPiNAnalysis[[#This Row],[Población]], 0.05)), "")</f>
        <v>0.2</v>
      </c>
      <c r="V116" s="90">
        <f>IFERROR(IF(tblPiNAnalysis[[#This Row],[ASH]]="", "", MROUND(tblPiNAnalysis[[#This Row],[ASH]]/tblPiNAnalysis[[#This Row],[Población]], 0.05)), "")</f>
        <v>0</v>
      </c>
      <c r="W116" s="89">
        <f>IFERROR(MROUND(tblPiNAnalysis[[#This Row],[NNA]]/tblPiNAnalysis[[#This Row],[Población]], 0.05), "")</f>
        <v>0.05</v>
      </c>
      <c r="X116" s="89">
        <f>IFERROR(MROUND(tblPiNAnalysis[[#This Row],[VBG]]/tblPiNAnalysis[[#This Row],[Población]], 0.05), "")</f>
        <v>0.05</v>
      </c>
      <c r="Y116" s="91">
        <f>IFERROR(LARGE(tblPiNAnalysis[[#This Row],[SAMV]:[ASH]], 1), "")</f>
        <v>18643.834999999999</v>
      </c>
      <c r="Z116" s="92" t="str" cm="1">
        <f t="array" ref="Z116">IF(tblPiNAnalysis[[#This Row],[PiN más alto]]="", "", _xlfn.TEXTJOIN(CHAR(10), TRUE, IF(tblPiNAnalysis[[#This Row],[PiN más alto]]=tblPiNAnalysis[[#This Row],[SAMV]:[ASH]], tblPiNAnalysis[[#Headers],[SAMV]:[ASH]], "")))</f>
        <v>SAL</v>
      </c>
      <c r="AA116" s="93">
        <f>IF(tblPiNAnalysis[[#This Row],[PiN más alto]]="", "", tblPiNAnalysis[[#This Row],[PiN más alto]]/tblPiNAnalysis[[#This Row],[Población]])</f>
        <v>0.36499999999999999</v>
      </c>
      <c r="AB116" s="94" t="str">
        <f>IF(SUM(tblPiNAnalysis[[#This Row],[SAMV]:[ASH]])=0, "",IF(COUNTIF(tblPiNAnalysis[[#This Row],[SAMV]:[ASH]],"=0")+COUNTIF(tblPiNAnalysis[[#This Row],[SAMV]:[ASH]],"")&gt;=zero_pin_thresh, "Flagged", ""))</f>
        <v/>
      </c>
      <c r="AC116" s="95" t="str">
        <f>IFERROR(IF(tblPiNAnalysis[[#This Row],[PiN más alto]]="", "", IF(tblPiNAnalysis[[#This Row],[% PiN Sectores más altos]]&gt;=flag_pin_perc, "Flagged", "")), "")</f>
        <v/>
      </c>
      <c r="AD116" s="96" t="str" cm="1">
        <f t="array" ref="AD116">IF(tblPiNAnalysis[[#This Row],[PiN más alto]]=0, "",  IF(OR(COUNTIF(tblPiNAnalysis[[#This Row],[Sectores más altos]],tblSubSectorPopulation[Sector])), "Flagged", ""))</f>
        <v/>
      </c>
      <c r="AE116" s="16" cm="1">
        <f t="array" ref="AE11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10144.26244967467</v>
      </c>
      <c r="AF116" s="97" t="str" cm="1">
        <f t="array" ref="AF116">IF(tblPiNAnalysis[[#This Row],[2º PiN más alto]]="", "", _xlfn.TEXTJOIN(CHAR(10), TRUE, IF(tblPiNAnalysis[[#This Row],[2º PiN más alto]]=tblPiNAnalysis[[#This Row],[SAMV]:[ASH]], tblPiNAnalysis[[#Headers],[SAMV]:[ASH]], "")))</f>
        <v>PRO</v>
      </c>
      <c r="AG116" s="12">
        <f>IFERROR(tblPiNAnalysis[[#This Row],[2º PiN más alto]]/tblPiNAnalysis[[#This Row],[Población]], "")</f>
        <v>0.19859947237954287</v>
      </c>
      <c r="AH116" s="16">
        <f>IFERROR(tblPiNAnalysis[[#This Row],[PiN más alto]]-tblPiNAnalysis[[#This Row],[2º PiN más alto]], "")</f>
        <v>8499.5725503253288</v>
      </c>
      <c r="AI116" s="14">
        <f>IFERROR(((tblPiNAnalysis[[#This Row],[PiN más alto]]-tblPiNAnalysis[[#This Row],[2º PiN más alto]])/tblPiNAnalysis[[#This Row],[2º PiN más alto]]),"")</f>
        <v>0.8378699380552711</v>
      </c>
      <c r="AJ116" s="14" t="str" cm="1">
        <f t="array" ref="AJ11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16" s="98" cm="1">
        <f t="array" ref="AK11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4302.0118652724377</v>
      </c>
      <c r="AL116" s="53" t="str" cm="1">
        <f t="array" ref="AL116">IF(tblPiNAnalysis[[#This Row],[3º PiN más alto]]="", "", _xlfn.TEXTJOIN(CHAR(10), TRUE, IF(tblPiNAnalysis[[#This Row],[3º PiN más alto]]=tblPiNAnalysis[[#This Row],[SAMV]:[ASH]], tblPiNAnalysis[[#Headers],[SAMV]:[ASH]], "")))</f>
        <v>EDU</v>
      </c>
      <c r="AM116" s="53">
        <f>IFERROR(tblPiNAnalysis[[#This Row],[3º PiN más alto]]/tblPiNAnalysis[[#This Row],[Población]], "")</f>
        <v>8.4222711197800226E-2</v>
      </c>
      <c r="AN116" s="15">
        <f>IFERROR(tblPiNAnalysis[[#This Row],[PiN más alto]]-tblPiNAnalysis[[#This Row],[3º PiN más alto]],"")</f>
        <v>14341.823134727561</v>
      </c>
      <c r="AO116" s="14">
        <f>IFERROR(tblPiNAnalysis[[#This Row],[Diferencia de PiN entre el más alto y el 3º más alto]]/tblPiNAnalysis[[#This Row],[3º PiN más alto]], "")</f>
        <v>3.3337479262901391</v>
      </c>
      <c r="AP116" s="96" t="str" cm="1">
        <f t="array" ref="AP11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16" s="84" cm="1">
        <f t="array" ref="AQ116">IFERROR(IF(tblPiNAnalysis[[#This Row],[ID]]="", "", INDEX(tblPiNHistorical[[SAMV]:[ASH]], MATCH(tblPiNAnalysis[[#This Row],[ID]],tblPiNHistorical[ID], 0),MATCH(_xlfn._xlws.FILTER(tblPiNAnalysis[[#Headers],[SAMV]:[ASH]], tblPiNAnalysis[[#This Row],[PiN más alto]]=tblPiNAnalysis[[#This Row],[SAMV]:[ASH]]), tblPiNHistorical[[#Headers],[SAMV]:[ASH]], 0))), "")</f>
        <v>0</v>
      </c>
      <c r="AR116" s="99" t="str" cm="1">
        <f t="array" ref="AR11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16" s="74" cm="1">
        <f t="array" ref="AS116">IFERROR(IF(tblPiNAnalysis[[#This Row],[ID]]="", "", INDEX(tblPiNHistorical[[SAMV]:[ASH]], MATCH(tblPiNAnalysis[[#This Row],[ID]],tblPiNHistorical[ID], 0),MATCH(_xlfn._xlws.FILTER(tblPiNAnalysis[[#Headers],[SAMV]:[ASH]], tblPiNAnalysis[[#This Row],[2º PiN más alto]]=tblPiNAnalysis[[#This Row],[SAMV]:[ASH]]), tblPiNHistorical[[#Headers],[SAMV]:[ASH]], 0))), "")</f>
        <v>-0.5</v>
      </c>
      <c r="AT116" s="100" t="str" cm="1">
        <f t="array" ref="AT11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16" s="219">
        <f>INDEX(tblSeverityAnalysis[Severidad final], MATCH(tblPiNAnalysis[[#This Row],[ID]],tblSeverityAnalysis[ID], 0))</f>
        <v>3</v>
      </c>
      <c r="AV116" s="220">
        <f>IF(tblPiNAnalysis[[#This Row],[Severidad]]&gt;2,tblPiNAnalysis[[#This Row],[PiN más alto]],)</f>
        <v>18643.834999999999</v>
      </c>
      <c r="AW116" s="54"/>
      <c r="AX116" s="55"/>
      <c r="AY116" s="56">
        <f>COUNTIFS(tblPiNAnalysis[[#This Row],[Número de PiN ausentes/cero superior al umbral - Calidad de los datos]:[Marcador manual]],"Flagged")</f>
        <v>2</v>
      </c>
      <c r="AZ116" s="34" t="str">
        <f>IF(tblPiNAnalysis[[#This Row],[Número de marcadores]]&gt;0, "Flagged", "")</f>
        <v>Flagged</v>
      </c>
      <c r="BA116" s="92">
        <f>tblPiNAnalysis[[#This Row],[PiN preliminar]]</f>
        <v>18643.834999999999</v>
      </c>
      <c r="BB116" s="97"/>
      <c r="BC116" s="70">
        <f>IFERROR(IF(tblPiNAnalysis[[#This Row],[Severidad]]=3,tblPiNAnalysis[[#This Row],[PiN final]]*Umbrales!$D$33,tblPiNAnalysis[[#This Row],[PiN final]]*Umbrales!$D$34),)</f>
        <v>9321.9174999999996</v>
      </c>
      <c r="BD116" s="70">
        <f>IFERROR(IF(tblPiNAnalysis[[#This Row],[Severidad]]&gt;3,tblPiNAnalysis[[#This Row],[PiN final]]*Umbrales!$D$34,),)</f>
        <v>0</v>
      </c>
    </row>
    <row r="117" spans="1:56">
      <c r="A117" s="101" t="str">
        <f>IFERROR(_xlfn.CONCAT(IF(tblPiNAnalysis[[#This Row],[Grupo]]="", "",tblPiNAnalysis[[#This Row],[Grupo]] ),  _xlfn.IFS(tblPiNAnalysis[[#This Row],[Admin2PCODE]]&lt;&gt;"", tblPiNAnalysis[[#This Row],[Admin2PCODE]], tblPiNAnalysis[[#This Row],[Admin1PCODE]]&lt;&gt;"", tblPiNAnalysis[[#This Row],[Admin1PCODE]])),"")</f>
        <v>VenezolanosVE2027</v>
      </c>
      <c r="B117" s="105" t="s">
        <v>589</v>
      </c>
      <c r="C117" s="104" t="s">
        <v>590</v>
      </c>
      <c r="D117" s="119" t="s">
        <v>636</v>
      </c>
      <c r="E117" s="104" t="s">
        <v>637</v>
      </c>
      <c r="F117" s="358"/>
      <c r="G117" s="357">
        <v>50693</v>
      </c>
      <c r="H117" s="103" t="s">
        <v>102</v>
      </c>
      <c r="I117" s="60">
        <v>9985</v>
      </c>
      <c r="J117" s="134">
        <v>3359.3773568367869</v>
      </c>
      <c r="K117" s="57">
        <v>18502.945</v>
      </c>
      <c r="L117" s="87">
        <v>7907.3921391003178</v>
      </c>
      <c r="M117" s="87">
        <v>10147.48094161231</v>
      </c>
      <c r="N117" s="57">
        <v>3421.7775000000001</v>
      </c>
      <c r="O117" s="57">
        <v>3257.3413822575512</v>
      </c>
      <c r="P117" s="57">
        <v>3551.6183295643077</v>
      </c>
      <c r="Q117" s="88">
        <f>IFERROR(IF(tblPiNAnalysis[[#This Row],[SAMV]]="", "", MROUND(tblPiNAnalysis[[#This Row],[SAMV]]/tblPiNAnalysis[[#This Row],[Población]], 0.05)), "")</f>
        <v>0.2</v>
      </c>
      <c r="R117" s="89">
        <f>IFERROR(IF(tblPiNAnalysis[[#This Row],[NUT]]="", "", MROUND(tblPiNAnalysis[[#This Row],[NUT]]/tblPiNAnalysis[[#This Row],[Población]], 0.05)), "")</f>
        <v>0.05</v>
      </c>
      <c r="S117" s="89">
        <f>IFERROR(IF(tblPiNAnalysis[[#This Row],[SAL]]="", "", MROUND(tblPiNAnalysis[[#This Row],[SAL]]/tblPiNAnalysis[[#This Row],[Población]], 0.05)), "")</f>
        <v>0.35000000000000003</v>
      </c>
      <c r="T117" s="89">
        <f>IFERROR(IF(tblPiNAnalysis[[#This Row],[EDU]]="", "", MROUND(tblPiNAnalysis[[#This Row],[EDU]]/tblPiNAnalysis[[#This Row],[Población]], 0.05)), "")</f>
        <v>0.15000000000000002</v>
      </c>
      <c r="U117" s="89">
        <f>IFERROR(IF(tblPiNAnalysis[[#This Row],[PRO]]="", "", MROUND(tblPiNAnalysis[[#This Row],[PRO]]/tblPiNAnalysis[[#This Row],[Población]], 0.05)), "")</f>
        <v>0.2</v>
      </c>
      <c r="V117" s="90">
        <f>IFERROR(IF(tblPiNAnalysis[[#This Row],[ASH]]="", "", MROUND(tblPiNAnalysis[[#This Row],[ASH]]/tblPiNAnalysis[[#This Row],[Población]], 0.05)), "")</f>
        <v>0.05</v>
      </c>
      <c r="W117" s="89">
        <f>IFERROR(MROUND(tblPiNAnalysis[[#This Row],[NNA]]/tblPiNAnalysis[[#This Row],[Población]], 0.05), "")</f>
        <v>0.05</v>
      </c>
      <c r="X117" s="89">
        <f>IFERROR(MROUND(tblPiNAnalysis[[#This Row],[VBG]]/tblPiNAnalysis[[#This Row],[Población]], 0.05), "")</f>
        <v>0.05</v>
      </c>
      <c r="Y117" s="91">
        <f>IFERROR(LARGE(tblPiNAnalysis[[#This Row],[SAMV]:[ASH]], 1), "")</f>
        <v>18502.945</v>
      </c>
      <c r="Z117" s="92" t="str" cm="1">
        <f t="array" ref="Z117">IF(tblPiNAnalysis[[#This Row],[PiN más alto]]="", "", _xlfn.TEXTJOIN(CHAR(10), TRUE, IF(tblPiNAnalysis[[#This Row],[PiN más alto]]=tblPiNAnalysis[[#This Row],[SAMV]:[ASH]], tblPiNAnalysis[[#Headers],[SAMV]:[ASH]], "")))</f>
        <v>SAL</v>
      </c>
      <c r="AA117" s="93">
        <f>IF(tblPiNAnalysis[[#This Row],[PiN más alto]]="", "", tblPiNAnalysis[[#This Row],[PiN más alto]]/tblPiNAnalysis[[#This Row],[Población]])</f>
        <v>0.36499999999999999</v>
      </c>
      <c r="AB117" s="94" t="str">
        <f>IF(SUM(tblPiNAnalysis[[#This Row],[SAMV]:[ASH]])=0, "",IF(COUNTIF(tblPiNAnalysis[[#This Row],[SAMV]:[ASH]],"=0")+COUNTIF(tblPiNAnalysis[[#This Row],[SAMV]:[ASH]],"")&gt;=zero_pin_thresh, "Flagged", ""))</f>
        <v/>
      </c>
      <c r="AC117" s="95" t="str">
        <f>IFERROR(IF(tblPiNAnalysis[[#This Row],[PiN más alto]]="", "", IF(tblPiNAnalysis[[#This Row],[% PiN Sectores más altos]]&gt;=flag_pin_perc, "Flagged", "")), "")</f>
        <v/>
      </c>
      <c r="AD117" s="96" t="str" cm="1">
        <f t="array" ref="AD117">IF(tblPiNAnalysis[[#This Row],[PiN más alto]]=0, "",  IF(OR(COUNTIF(tblPiNAnalysis[[#This Row],[Sectores más altos]],tblSubSectorPopulation[Sector])), "Flagged", ""))</f>
        <v/>
      </c>
      <c r="AE117" s="16" cm="1">
        <f t="array" ref="AE11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10147.48094161231</v>
      </c>
      <c r="AF117" s="97" t="str" cm="1">
        <f t="array" ref="AF117">IF(tblPiNAnalysis[[#This Row],[2º PiN más alto]]="", "", _xlfn.TEXTJOIN(CHAR(10), TRUE, IF(tblPiNAnalysis[[#This Row],[2º PiN más alto]]=tblPiNAnalysis[[#This Row],[SAMV]:[ASH]], tblPiNAnalysis[[#Headers],[SAMV]:[ASH]], "")))</f>
        <v>PRO</v>
      </c>
      <c r="AG117" s="12">
        <f>IFERROR(tblPiNAnalysis[[#This Row],[2º PiN más alto]]/tblPiNAnalysis[[#This Row],[Población]], "")</f>
        <v>0.2001751906892926</v>
      </c>
      <c r="AH117" s="16">
        <f>IFERROR(tblPiNAnalysis[[#This Row],[PiN más alto]]-tblPiNAnalysis[[#This Row],[2º PiN más alto]], "")</f>
        <v>8355.4640583876899</v>
      </c>
      <c r="AI117" s="14">
        <f>IFERROR(((tblPiNAnalysis[[#This Row],[PiN más alto]]-tblPiNAnalysis[[#This Row],[2º PiN más alto]])/tblPiNAnalysis[[#This Row],[2º PiN más alto]]),"")</f>
        <v>0.82340278404702372</v>
      </c>
      <c r="AJ117" s="14" t="str" cm="1">
        <f t="array" ref="AJ11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17" s="98" cm="1">
        <f t="array" ref="AK11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9985</v>
      </c>
      <c r="AL117" s="53" t="str" cm="1">
        <f t="array" ref="AL117">IF(tblPiNAnalysis[[#This Row],[3º PiN más alto]]="", "", _xlfn.TEXTJOIN(CHAR(10), TRUE, IF(tblPiNAnalysis[[#This Row],[3º PiN más alto]]=tblPiNAnalysis[[#This Row],[SAMV]:[ASH]], tblPiNAnalysis[[#Headers],[SAMV]:[ASH]], "")))</f>
        <v>SAMV</v>
      </c>
      <c r="AM117" s="53">
        <f>IFERROR(tblPiNAnalysis[[#This Row],[3º PiN más alto]]/tblPiNAnalysis[[#This Row],[Población]], "")</f>
        <v>0.1969699958574162</v>
      </c>
      <c r="AN117" s="15">
        <f>IFERROR(tblPiNAnalysis[[#This Row],[PiN más alto]]-tblPiNAnalysis[[#This Row],[3º PiN más alto]],"")</f>
        <v>8517.9449999999997</v>
      </c>
      <c r="AO117" s="14">
        <f>IFERROR(tblPiNAnalysis[[#This Row],[Diferencia de PiN entre el más alto y el 3º más alto]]/tblPiNAnalysis[[#This Row],[3º PiN más alto]], "")</f>
        <v>0.85307411116675014</v>
      </c>
      <c r="AP117" s="96" t="str" cm="1">
        <f t="array" ref="AP11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17" s="84" cm="1">
        <f t="array" ref="AQ117">IFERROR(IF(tblPiNAnalysis[[#This Row],[ID]]="", "", INDEX(tblPiNHistorical[[SAMV]:[ASH]], MATCH(tblPiNAnalysis[[#This Row],[ID]],tblPiNHistorical[ID], 0),MATCH(_xlfn._xlws.FILTER(tblPiNAnalysis[[#Headers],[SAMV]:[ASH]], tblPiNAnalysis[[#This Row],[PiN más alto]]=tblPiNAnalysis[[#This Row],[SAMV]:[ASH]]), tblPiNHistorical[[#Headers],[SAMV]:[ASH]], 0))), "")</f>
        <v>-0.7</v>
      </c>
      <c r="AR117" s="99" t="str" cm="1">
        <f t="array" ref="AR11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17" s="74" cm="1">
        <f t="array" ref="AS117">IFERROR(IF(tblPiNAnalysis[[#This Row],[ID]]="", "", INDEX(tblPiNHistorical[[SAMV]:[ASH]], MATCH(tblPiNAnalysis[[#This Row],[ID]],tblPiNHistorical[ID], 0),MATCH(_xlfn._xlws.FILTER(tblPiNAnalysis[[#Headers],[SAMV]:[ASH]], tblPiNAnalysis[[#This Row],[2º PiN más alto]]=tblPiNAnalysis[[#This Row],[SAMV]:[ASH]]), tblPiNHistorical[[#Headers],[SAMV]:[ASH]], 0))), "")</f>
        <v>-0.9</v>
      </c>
      <c r="AT117" s="100" t="str" cm="1">
        <f t="array" ref="AT11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17" s="219">
        <f>INDEX(tblSeverityAnalysis[Severidad final], MATCH(tblPiNAnalysis[[#This Row],[ID]],tblSeverityAnalysis[ID], 0))</f>
        <v>3</v>
      </c>
      <c r="AV117" s="220">
        <f>IF(tblPiNAnalysis[[#This Row],[Severidad]]&gt;2,tblPiNAnalysis[[#This Row],[PiN más alto]],)</f>
        <v>18502.945</v>
      </c>
      <c r="AW117" s="54"/>
      <c r="AX117" s="55"/>
      <c r="AY117" s="56">
        <f>COUNTIFS(tblPiNAnalysis[[#This Row],[Número de PiN ausentes/cero superior al umbral - Calidad de los datos]:[Marcador manual]],"Flagged")</f>
        <v>2</v>
      </c>
      <c r="AZ117" s="34" t="str">
        <f>IF(tblPiNAnalysis[[#This Row],[Número de marcadores]]&gt;0, "Flagged", "")</f>
        <v>Flagged</v>
      </c>
      <c r="BA117" s="92">
        <f>tblPiNAnalysis[[#This Row],[PiN preliminar]]</f>
        <v>18502.945</v>
      </c>
      <c r="BB117" s="97"/>
      <c r="BC117" s="70">
        <f>IFERROR(IF(tblPiNAnalysis[[#This Row],[Severidad]]=3,tblPiNAnalysis[[#This Row],[PiN final]]*Umbrales!$D$33,tblPiNAnalysis[[#This Row],[PiN final]]*Umbrales!$D$34),)</f>
        <v>9251.4724999999999</v>
      </c>
      <c r="BD117" s="70">
        <f>IFERROR(IF(tblPiNAnalysis[[#This Row],[Severidad]]&gt;3,tblPiNAnalysis[[#This Row],[PiN final]]*Umbrales!$D$34,),)</f>
        <v>0</v>
      </c>
    </row>
    <row r="118" spans="1:56">
      <c r="A118" s="101" t="str">
        <f>IFERROR(_xlfn.CONCAT(IF(tblPiNAnalysis[[#This Row],[Grupo]]="", "",tblPiNAnalysis[[#This Row],[Grupo]] ),  _xlfn.IFS(tblPiNAnalysis[[#This Row],[Admin2PCODE]]&lt;&gt;"", tblPiNAnalysis[[#This Row],[Admin2PCODE]], tblPiNAnalysis[[#This Row],[Admin1PCODE]]&lt;&gt;"", tblPiNAnalysis[[#This Row],[Admin1PCODE]])),"")</f>
        <v>VenezolanosVE0312</v>
      </c>
      <c r="B118" s="105" t="s">
        <v>119</v>
      </c>
      <c r="C118" s="104" t="s">
        <v>120</v>
      </c>
      <c r="D118" s="119" t="s">
        <v>143</v>
      </c>
      <c r="E118" s="104" t="s">
        <v>144</v>
      </c>
      <c r="F118" s="358"/>
      <c r="G118" s="357">
        <v>33403</v>
      </c>
      <c r="H118" s="103" t="s">
        <v>102</v>
      </c>
      <c r="I118" s="60">
        <v>10784</v>
      </c>
      <c r="J118" s="134">
        <v>1139.1017697671107</v>
      </c>
      <c r="K118" s="57">
        <v>18200</v>
      </c>
      <c r="L118" s="87">
        <v>2576.5539253173292</v>
      </c>
      <c r="M118" s="87">
        <v>3986.3036585868931</v>
      </c>
      <c r="N118" s="57">
        <v>4509.4049999999997</v>
      </c>
      <c r="O118" s="57">
        <v>1275.6171707478059</v>
      </c>
      <c r="P118" s="57">
        <v>1395.2062805054125</v>
      </c>
      <c r="Q118" s="88">
        <f>IFERROR(IF(tblPiNAnalysis[[#This Row],[SAMV]]="", "", MROUND(tblPiNAnalysis[[#This Row],[SAMV]]/tblPiNAnalysis[[#This Row],[Población]], 0.05)), "")</f>
        <v>0.30000000000000004</v>
      </c>
      <c r="R118" s="89">
        <f>IFERROR(IF(tblPiNAnalysis[[#This Row],[NUT]]="", "", MROUND(tblPiNAnalysis[[#This Row],[NUT]]/tblPiNAnalysis[[#This Row],[Población]], 0.05)), "")</f>
        <v>0.05</v>
      </c>
      <c r="S118" s="89">
        <f>IFERROR(IF(tblPiNAnalysis[[#This Row],[SAL]]="", "", MROUND(tblPiNAnalysis[[#This Row],[SAL]]/tblPiNAnalysis[[#This Row],[Población]], 0.05)), "")</f>
        <v>0.55000000000000004</v>
      </c>
      <c r="T118" s="89">
        <f>IFERROR(IF(tblPiNAnalysis[[#This Row],[EDU]]="", "", MROUND(tblPiNAnalysis[[#This Row],[EDU]]/tblPiNAnalysis[[#This Row],[Población]], 0.05)), "")</f>
        <v>0.1</v>
      </c>
      <c r="U118" s="89">
        <f>IFERROR(IF(tblPiNAnalysis[[#This Row],[PRO]]="", "", MROUND(tblPiNAnalysis[[#This Row],[PRO]]/tblPiNAnalysis[[#This Row],[Población]], 0.05)), "")</f>
        <v>0.1</v>
      </c>
      <c r="V118" s="90">
        <f>IFERROR(IF(tblPiNAnalysis[[#This Row],[ASH]]="", "", MROUND(tblPiNAnalysis[[#This Row],[ASH]]/tblPiNAnalysis[[#This Row],[Población]], 0.05)), "")</f>
        <v>0.15000000000000002</v>
      </c>
      <c r="W118" s="89">
        <f>IFERROR(MROUND(tblPiNAnalysis[[#This Row],[NNA]]/tblPiNAnalysis[[#This Row],[Población]], 0.05), "")</f>
        <v>0.05</v>
      </c>
      <c r="X118" s="89">
        <f>IFERROR(MROUND(tblPiNAnalysis[[#This Row],[VBG]]/tblPiNAnalysis[[#This Row],[Población]], 0.05), "")</f>
        <v>0.05</v>
      </c>
      <c r="Y118" s="91">
        <f>IFERROR(LARGE(tblPiNAnalysis[[#This Row],[SAMV]:[ASH]], 1), "")</f>
        <v>18200</v>
      </c>
      <c r="Z118" s="92" t="str" cm="1">
        <f t="array" ref="Z118">IF(tblPiNAnalysis[[#This Row],[PiN más alto]]="", "", _xlfn.TEXTJOIN(CHAR(10), TRUE, IF(tblPiNAnalysis[[#This Row],[PiN más alto]]=tblPiNAnalysis[[#This Row],[SAMV]:[ASH]], tblPiNAnalysis[[#Headers],[SAMV]:[ASH]], "")))</f>
        <v>SAL</v>
      </c>
      <c r="AA118" s="93">
        <f>IF(tblPiNAnalysis[[#This Row],[PiN más alto]]="", "", tblPiNAnalysis[[#This Row],[PiN más alto]]/tblPiNAnalysis[[#This Row],[Población]])</f>
        <v>0.54486124000838243</v>
      </c>
      <c r="AB118" s="94" t="str">
        <f>IF(SUM(tblPiNAnalysis[[#This Row],[SAMV]:[ASH]])=0, "",IF(COUNTIF(tblPiNAnalysis[[#This Row],[SAMV]:[ASH]],"=0")+COUNTIF(tblPiNAnalysis[[#This Row],[SAMV]:[ASH]],"")&gt;=zero_pin_thresh, "Flagged", ""))</f>
        <v/>
      </c>
      <c r="AC118" s="95" t="str">
        <f>IFERROR(IF(tblPiNAnalysis[[#This Row],[PiN más alto]]="", "", IF(tblPiNAnalysis[[#This Row],[% PiN Sectores más altos]]&gt;=flag_pin_perc, "Flagged", "")), "")</f>
        <v/>
      </c>
      <c r="AD118" s="96" t="str" cm="1">
        <f t="array" ref="AD118">IF(tblPiNAnalysis[[#This Row],[PiN más alto]]=0, "",  IF(OR(COUNTIF(tblPiNAnalysis[[#This Row],[Sectores más altos]],tblSubSectorPopulation[Sector])), "Flagged", ""))</f>
        <v/>
      </c>
      <c r="AE118" s="16" cm="1">
        <f t="array" ref="AE11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10784</v>
      </c>
      <c r="AF118" s="97" t="str" cm="1">
        <f t="array" ref="AF118">IF(tblPiNAnalysis[[#This Row],[2º PiN más alto]]="", "", _xlfn.TEXTJOIN(CHAR(10), TRUE, IF(tblPiNAnalysis[[#This Row],[2º PiN más alto]]=tblPiNAnalysis[[#This Row],[SAMV]:[ASH]], tblPiNAnalysis[[#Headers],[SAMV]:[ASH]], "")))</f>
        <v>SAMV</v>
      </c>
      <c r="AG118" s="12">
        <f>IFERROR(tblPiNAnalysis[[#This Row],[2º PiN más alto]]/tblPiNAnalysis[[#This Row],[Población]], "")</f>
        <v>0.32284525342035147</v>
      </c>
      <c r="AH118" s="16">
        <f>IFERROR(tblPiNAnalysis[[#This Row],[PiN más alto]]-tblPiNAnalysis[[#This Row],[2º PiN más alto]], "")</f>
        <v>7416</v>
      </c>
      <c r="AI118" s="14">
        <f>IFERROR(((tblPiNAnalysis[[#This Row],[PiN más alto]]-tblPiNAnalysis[[#This Row],[2º PiN más alto]])/tblPiNAnalysis[[#This Row],[2º PiN más alto]]),"")</f>
        <v>0.68768545994065278</v>
      </c>
      <c r="AJ118" s="14" t="str" cm="1">
        <f t="array" ref="AJ11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18" s="98" cm="1">
        <f t="array" ref="AK11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4509.4049999999997</v>
      </c>
      <c r="AL118" s="53" t="str" cm="1">
        <f t="array" ref="AL118">IF(tblPiNAnalysis[[#This Row],[3º PiN más alto]]="", "", _xlfn.TEXTJOIN(CHAR(10), TRUE, IF(tblPiNAnalysis[[#This Row],[3º PiN más alto]]=tblPiNAnalysis[[#This Row],[SAMV]:[ASH]], tblPiNAnalysis[[#Headers],[SAMV]:[ASH]], "")))</f>
        <v>ASH</v>
      </c>
      <c r="AM118" s="53">
        <f>IFERROR(tblPiNAnalysis[[#This Row],[3º PiN más alto]]/tblPiNAnalysis[[#This Row],[Población]], "")</f>
        <v>0.13499999999999998</v>
      </c>
      <c r="AN118" s="15">
        <f>IFERROR(tblPiNAnalysis[[#This Row],[PiN más alto]]-tblPiNAnalysis[[#This Row],[3º PiN más alto]],"")</f>
        <v>13690.595000000001</v>
      </c>
      <c r="AO118" s="14">
        <f>IFERROR(tblPiNAnalysis[[#This Row],[Diferencia de PiN entre el más alto y el 3º más alto]]/tblPiNAnalysis[[#This Row],[3º PiN más alto]], "")</f>
        <v>3.0360091852472779</v>
      </c>
      <c r="AP118" s="96" t="str" cm="1">
        <f t="array" ref="AP11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18" s="84" cm="1">
        <f t="array" ref="AQ118">IFERROR(IF(tblPiNAnalysis[[#This Row],[ID]]="", "", INDEX(tblPiNHistorical[[SAMV]:[ASH]], MATCH(tblPiNAnalysis[[#This Row],[ID]],tblPiNHistorical[ID], 0),MATCH(_xlfn._xlws.FILTER(tblPiNAnalysis[[#Headers],[SAMV]:[ASH]], tblPiNAnalysis[[#This Row],[PiN más alto]]=tblPiNAnalysis[[#This Row],[SAMV]:[ASH]]), tblPiNHistorical[[#Headers],[SAMV]:[ASH]], 0))), "")</f>
        <v>9.9</v>
      </c>
      <c r="AR118" s="99" t="str" cm="1">
        <f t="array" ref="AR11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18" s="74" cm="1">
        <f t="array" ref="AS118">IFERROR(IF(tblPiNAnalysis[[#This Row],[ID]]="", "", INDEX(tblPiNHistorical[[SAMV]:[ASH]], MATCH(tblPiNAnalysis[[#This Row],[ID]],tblPiNHistorical[ID], 0),MATCH(_xlfn._xlws.FILTER(tblPiNAnalysis[[#Headers],[SAMV]:[ASH]], tblPiNAnalysis[[#This Row],[2º PiN más alto]]=tblPiNAnalysis[[#This Row],[SAMV]:[ASH]]), tblPiNHistorical[[#Headers],[SAMV]:[ASH]], 0))), "")</f>
        <v>-0.1</v>
      </c>
      <c r="AT118" s="100" t="str" cm="1">
        <f t="array" ref="AT11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18" s="219">
        <f>INDEX(tblSeverityAnalysis[Severidad final], MATCH(tblPiNAnalysis[[#This Row],[ID]],tblSeverityAnalysis[ID], 0))</f>
        <v>3</v>
      </c>
      <c r="AV118" s="220">
        <f>IF(tblPiNAnalysis[[#This Row],[Severidad]]&gt;2,tblPiNAnalysis[[#This Row],[PiN más alto]],)</f>
        <v>18200</v>
      </c>
      <c r="AW118" s="54"/>
      <c r="AX118" s="55"/>
      <c r="AY118" s="56">
        <f>COUNTIFS(tblPiNAnalysis[[#This Row],[Número de PiN ausentes/cero superior al umbral - Calidad de los datos]:[Marcador manual]],"Flagged")</f>
        <v>3</v>
      </c>
      <c r="AZ118" s="34" t="str">
        <f>IF(tblPiNAnalysis[[#This Row],[Número de marcadores]]&gt;0, "Flagged", "")</f>
        <v>Flagged</v>
      </c>
      <c r="BA118" s="92">
        <f>tblPiNAnalysis[[#This Row],[PiN preliminar]]</f>
        <v>18200</v>
      </c>
      <c r="BB118" s="97"/>
      <c r="BC118" s="70">
        <f>IFERROR(IF(tblPiNAnalysis[[#This Row],[Severidad]]=3,tblPiNAnalysis[[#This Row],[PiN final]]*Umbrales!$D$33,tblPiNAnalysis[[#This Row],[PiN final]]*Umbrales!$D$34),)</f>
        <v>9100</v>
      </c>
      <c r="BD118" s="70">
        <f>IFERROR(IF(tblPiNAnalysis[[#This Row],[Severidad]]&gt;3,tblPiNAnalysis[[#This Row],[PiN final]]*Umbrales!$D$34,),)</f>
        <v>0</v>
      </c>
    </row>
    <row r="119" spans="1:56">
      <c r="A119" s="101" t="str">
        <f>IFERROR(_xlfn.CONCAT(IF(tblPiNAnalysis[[#This Row],[Grupo]]="", "",tblPiNAnalysis[[#This Row],[Grupo]] ),  _xlfn.IFS(tblPiNAnalysis[[#This Row],[Admin2PCODE]]&lt;&gt;"", tblPiNAnalysis[[#This Row],[Admin2PCODE]], tblPiNAnalysis[[#This Row],[Admin1PCODE]]&lt;&gt;"", tblPiNAnalysis[[#This Row],[Admin1PCODE]])),"")</f>
        <v>VenezolanosVE0710</v>
      </c>
      <c r="B119" s="105" t="s">
        <v>180</v>
      </c>
      <c r="C119" s="104" t="s">
        <v>239</v>
      </c>
      <c r="D119" s="119" t="s">
        <v>203</v>
      </c>
      <c r="E119" s="104" t="s">
        <v>258</v>
      </c>
      <c r="F119" s="358"/>
      <c r="G119" s="357">
        <v>20817</v>
      </c>
      <c r="H119" s="103" t="s">
        <v>102</v>
      </c>
      <c r="I119" s="60">
        <v>7980</v>
      </c>
      <c r="J119" s="134">
        <v>1849.4484320327797</v>
      </c>
      <c r="K119" s="57">
        <v>18200</v>
      </c>
      <c r="L119" s="87">
        <v>1194.7859218025274</v>
      </c>
      <c r="M119" s="87">
        <v>4988.0108291638817</v>
      </c>
      <c r="N119" s="57">
        <v>12490.199999999999</v>
      </c>
      <c r="O119" s="57">
        <v>1596.1634653324422</v>
      </c>
      <c r="P119" s="57">
        <v>1745.8037902073586</v>
      </c>
      <c r="Q119" s="88">
        <f>IFERROR(IF(tblPiNAnalysis[[#This Row],[SAMV]]="", "", MROUND(tblPiNAnalysis[[#This Row],[SAMV]]/tblPiNAnalysis[[#This Row],[Población]], 0.05)), "")</f>
        <v>0.4</v>
      </c>
      <c r="R119" s="89">
        <f>IFERROR(IF(tblPiNAnalysis[[#This Row],[NUT]]="", "", MROUND(tblPiNAnalysis[[#This Row],[NUT]]/tblPiNAnalysis[[#This Row],[Población]], 0.05)), "")</f>
        <v>0.1</v>
      </c>
      <c r="S119" s="89">
        <f>IFERROR(IF(tblPiNAnalysis[[#This Row],[SAL]]="", "", MROUND(tblPiNAnalysis[[#This Row],[SAL]]/tblPiNAnalysis[[#This Row],[Población]], 0.05)), "")</f>
        <v>0.85000000000000009</v>
      </c>
      <c r="T119" s="89">
        <f>IFERROR(IF(tblPiNAnalysis[[#This Row],[EDU]]="", "", MROUND(tblPiNAnalysis[[#This Row],[EDU]]/tblPiNAnalysis[[#This Row],[Población]], 0.05)), "")</f>
        <v>0.05</v>
      </c>
      <c r="U119" s="89">
        <f>IFERROR(IF(tblPiNAnalysis[[#This Row],[PRO]]="", "", MROUND(tblPiNAnalysis[[#This Row],[PRO]]/tblPiNAnalysis[[#This Row],[Población]], 0.05)), "")</f>
        <v>0.25</v>
      </c>
      <c r="V119" s="90">
        <f>IFERROR(IF(tblPiNAnalysis[[#This Row],[ASH]]="", "", MROUND(tblPiNAnalysis[[#This Row],[ASH]]/tblPiNAnalysis[[#This Row],[Población]], 0.05)), "")</f>
        <v>0.60000000000000009</v>
      </c>
      <c r="W119" s="89">
        <f>IFERROR(MROUND(tblPiNAnalysis[[#This Row],[NNA]]/tblPiNAnalysis[[#This Row],[Población]], 0.05), "")</f>
        <v>0.1</v>
      </c>
      <c r="X119" s="89">
        <f>IFERROR(MROUND(tblPiNAnalysis[[#This Row],[VBG]]/tblPiNAnalysis[[#This Row],[Población]], 0.05), "")</f>
        <v>0.1</v>
      </c>
      <c r="Y119" s="91">
        <f>IFERROR(LARGE(tblPiNAnalysis[[#This Row],[SAMV]:[ASH]], 1), "")</f>
        <v>18200</v>
      </c>
      <c r="Z119" s="92" t="str" cm="1">
        <f t="array" ref="Z119">IF(tblPiNAnalysis[[#This Row],[PiN más alto]]="", "", _xlfn.TEXTJOIN(CHAR(10), TRUE, IF(tblPiNAnalysis[[#This Row],[PiN más alto]]=tblPiNAnalysis[[#This Row],[SAMV]:[ASH]], tblPiNAnalysis[[#Headers],[SAMV]:[ASH]], "")))</f>
        <v>SAL</v>
      </c>
      <c r="AA119" s="93">
        <f>IF(tblPiNAnalysis[[#This Row],[PiN más alto]]="", "", tblPiNAnalysis[[#This Row],[PiN más alto]]/tblPiNAnalysis[[#This Row],[Población]])</f>
        <v>0.87428543978479123</v>
      </c>
      <c r="AB119" s="94" t="str">
        <f>IF(SUM(tblPiNAnalysis[[#This Row],[SAMV]:[ASH]])=0, "",IF(COUNTIF(tblPiNAnalysis[[#This Row],[SAMV]:[ASH]],"=0")+COUNTIF(tblPiNAnalysis[[#This Row],[SAMV]:[ASH]],"")&gt;=zero_pin_thresh, "Flagged", ""))</f>
        <v/>
      </c>
      <c r="AC119" s="95" t="str">
        <f>IFERROR(IF(tblPiNAnalysis[[#This Row],[PiN más alto]]="", "", IF(tblPiNAnalysis[[#This Row],[% PiN Sectores más altos]]&gt;=flag_pin_perc, "Flagged", "")), "")</f>
        <v/>
      </c>
      <c r="AD119" s="96" t="str" cm="1">
        <f t="array" ref="AD119">IF(tblPiNAnalysis[[#This Row],[PiN más alto]]=0, "",  IF(OR(COUNTIF(tblPiNAnalysis[[#This Row],[Sectores más altos]],tblSubSectorPopulation[Sector])), "Flagged", ""))</f>
        <v/>
      </c>
      <c r="AE119" s="16" cm="1">
        <f t="array" ref="AE11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12490.199999999999</v>
      </c>
      <c r="AF119" s="97" t="str" cm="1">
        <f t="array" ref="AF119">IF(tblPiNAnalysis[[#This Row],[2º PiN más alto]]="", "", _xlfn.TEXTJOIN(CHAR(10), TRUE, IF(tblPiNAnalysis[[#This Row],[2º PiN más alto]]=tblPiNAnalysis[[#This Row],[SAMV]:[ASH]], tblPiNAnalysis[[#Headers],[SAMV]:[ASH]], "")))</f>
        <v>ASH</v>
      </c>
      <c r="AG119" s="12">
        <f>IFERROR(tblPiNAnalysis[[#This Row],[2º PiN más alto]]/tblPiNAnalysis[[#This Row],[Población]], "")</f>
        <v>0.6</v>
      </c>
      <c r="AH119" s="16">
        <f>IFERROR(tblPiNAnalysis[[#This Row],[PiN más alto]]-tblPiNAnalysis[[#This Row],[2º PiN más alto]], "")</f>
        <v>5709.8000000000011</v>
      </c>
      <c r="AI119" s="14">
        <f>IFERROR(((tblPiNAnalysis[[#This Row],[PiN más alto]]-tblPiNAnalysis[[#This Row],[2º PiN más alto]])/tblPiNAnalysis[[#This Row],[2º PiN más alto]]),"")</f>
        <v>0.45714239964131892</v>
      </c>
      <c r="AJ119" s="14" t="str" cm="1">
        <f t="array" ref="AJ11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19" s="98" cm="1">
        <f t="array" ref="AK11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7980</v>
      </c>
      <c r="AL119" s="53" t="str" cm="1">
        <f t="array" ref="AL119">IF(tblPiNAnalysis[[#This Row],[3º PiN más alto]]="", "", _xlfn.TEXTJOIN(CHAR(10), TRUE, IF(tblPiNAnalysis[[#This Row],[3º PiN más alto]]=tblPiNAnalysis[[#This Row],[SAMV]:[ASH]], tblPiNAnalysis[[#Headers],[SAMV]:[ASH]], "")))</f>
        <v>SAMV</v>
      </c>
      <c r="AM119" s="53">
        <f>IFERROR(tblPiNAnalysis[[#This Row],[3º PiN más alto]]/tblPiNAnalysis[[#This Row],[Población]], "")</f>
        <v>0.38334053898256232</v>
      </c>
      <c r="AN119" s="15">
        <f>IFERROR(tblPiNAnalysis[[#This Row],[PiN más alto]]-tblPiNAnalysis[[#This Row],[3º PiN más alto]],"")</f>
        <v>10220</v>
      </c>
      <c r="AO119" s="14">
        <f>IFERROR(tblPiNAnalysis[[#This Row],[Diferencia de PiN entre el más alto y el 3º más alto]]/tblPiNAnalysis[[#This Row],[3º PiN más alto]], "")</f>
        <v>1.2807017543859649</v>
      </c>
      <c r="AP119" s="96" t="str" cm="1">
        <f t="array" ref="AP11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19" s="84" cm="1">
        <f t="array" ref="AQ119">IFERROR(IF(tblPiNAnalysis[[#This Row],[ID]]="", "", INDEX(tblPiNHistorical[[SAMV]:[ASH]], MATCH(tblPiNAnalysis[[#This Row],[ID]],tblPiNHistorical[ID], 0),MATCH(_xlfn._xlws.FILTER(tblPiNAnalysis[[#Headers],[SAMV]:[ASH]], tblPiNAnalysis[[#This Row],[PiN más alto]]=tblPiNAnalysis[[#This Row],[SAMV]:[ASH]]), tblPiNHistorical[[#Headers],[SAMV]:[ASH]], 0))), "")</f>
        <v>4.4000000000000004</v>
      </c>
      <c r="AR119" s="99" t="str" cm="1">
        <f t="array" ref="AR11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19" s="74" cm="1">
        <f t="array" ref="AS119">IFERROR(IF(tblPiNAnalysis[[#This Row],[ID]]="", "", INDEX(tblPiNHistorical[[SAMV]:[ASH]], MATCH(tblPiNAnalysis[[#This Row],[ID]],tblPiNHistorical[ID], 0),MATCH(_xlfn._xlws.FILTER(tblPiNAnalysis[[#Headers],[SAMV]:[ASH]], tblPiNAnalysis[[#This Row],[2º PiN más alto]]=tblPiNAnalysis[[#This Row],[SAMV]:[ASH]]), tblPiNHistorical[[#Headers],[SAMV]:[ASH]], 0))), "")</f>
        <v>-0.5</v>
      </c>
      <c r="AT119" s="100" t="str" cm="1">
        <f t="array" ref="AT11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19" s="219">
        <f>INDEX(tblSeverityAnalysis[Severidad final], MATCH(tblPiNAnalysis[[#This Row],[ID]],tblSeverityAnalysis[ID], 0))</f>
        <v>4</v>
      </c>
      <c r="AV119" s="220">
        <f>IF(tblPiNAnalysis[[#This Row],[Severidad]]&gt;2,tblPiNAnalysis[[#This Row],[PiN más alto]],)</f>
        <v>18200</v>
      </c>
      <c r="AW119" s="54"/>
      <c r="AX119" s="55"/>
      <c r="AY119" s="56">
        <f>COUNTIFS(tblPiNAnalysis[[#This Row],[Número de PiN ausentes/cero superior al umbral - Calidad de los datos]:[Marcador manual]],"Flagged")</f>
        <v>3</v>
      </c>
      <c r="AZ119" s="34" t="str">
        <f>IF(tblPiNAnalysis[[#This Row],[Número de marcadores]]&gt;0, "Flagged", "")</f>
        <v>Flagged</v>
      </c>
      <c r="BA119" s="92">
        <f>tblPiNAnalysis[[#This Row],[PiN preliminar]]</f>
        <v>18200</v>
      </c>
      <c r="BB119" s="97"/>
      <c r="BC119" s="70">
        <f>IFERROR(IF(tblPiNAnalysis[[#This Row],[Severidad]]=3,tblPiNAnalysis[[#This Row],[PiN final]]*Umbrales!$D$33,tblPiNAnalysis[[#This Row],[PiN final]]*Umbrales!$D$34),)</f>
        <v>18200</v>
      </c>
      <c r="BD119" s="70">
        <f>IFERROR(IF(tblPiNAnalysis[[#This Row],[Severidad]]&gt;3,tblPiNAnalysis[[#This Row],[PiN final]]*Umbrales!$D$34,),)</f>
        <v>18200</v>
      </c>
    </row>
    <row r="120" spans="1:56">
      <c r="A120" s="101" t="str">
        <f>IFERROR(_xlfn.CONCAT(IF(tblPiNAnalysis[[#This Row],[Grupo]]="", "",tblPiNAnalysis[[#This Row],[Grupo]] ),  _xlfn.IFS(tblPiNAnalysis[[#This Row],[Admin2PCODE]]&lt;&gt;"", tblPiNAnalysis[[#This Row],[Admin2PCODE]], tblPiNAnalysis[[#This Row],[Admin1PCODE]]&lt;&gt;"", tblPiNAnalysis[[#This Row],[Admin1PCODE]])),"")</f>
        <v>VenezolanosVE2011</v>
      </c>
      <c r="B120" s="105" t="s">
        <v>589</v>
      </c>
      <c r="C120" s="104" t="s">
        <v>590</v>
      </c>
      <c r="D120" s="119" t="s">
        <v>133</v>
      </c>
      <c r="E120" s="104" t="s">
        <v>609</v>
      </c>
      <c r="F120" s="358"/>
      <c r="G120" s="357">
        <v>37797</v>
      </c>
      <c r="H120" s="103" t="s">
        <v>102</v>
      </c>
      <c r="I120" s="60">
        <v>18199</v>
      </c>
      <c r="J120" s="134">
        <v>1084.5786496147603</v>
      </c>
      <c r="K120" s="57">
        <v>13795.905000000001</v>
      </c>
      <c r="L120" s="87">
        <v>5616.0317417153929</v>
      </c>
      <c r="M120" s="87">
        <v>9079.2260189798271</v>
      </c>
      <c r="N120" s="57">
        <v>0</v>
      </c>
      <c r="O120" s="57">
        <v>2905.3523260735446</v>
      </c>
      <c r="P120" s="57">
        <v>3177.7291066429393</v>
      </c>
      <c r="Q120" s="88">
        <f>IFERROR(IF(tblPiNAnalysis[[#This Row],[SAMV]]="", "", MROUND(tblPiNAnalysis[[#This Row],[SAMV]]/tblPiNAnalysis[[#This Row],[Población]], 0.05)), "")</f>
        <v>0.5</v>
      </c>
      <c r="R120" s="89">
        <f>IFERROR(IF(tblPiNAnalysis[[#This Row],[NUT]]="", "", MROUND(tblPiNAnalysis[[#This Row],[NUT]]/tblPiNAnalysis[[#This Row],[Población]], 0.05)), "")</f>
        <v>0.05</v>
      </c>
      <c r="S120" s="89">
        <f>IFERROR(IF(tblPiNAnalysis[[#This Row],[SAL]]="", "", MROUND(tblPiNAnalysis[[#This Row],[SAL]]/tblPiNAnalysis[[#This Row],[Población]], 0.05)), "")</f>
        <v>0.35000000000000003</v>
      </c>
      <c r="T120" s="89">
        <f>IFERROR(IF(tblPiNAnalysis[[#This Row],[EDU]]="", "", MROUND(tblPiNAnalysis[[#This Row],[EDU]]/tblPiNAnalysis[[#This Row],[Población]], 0.05)), "")</f>
        <v>0.15000000000000002</v>
      </c>
      <c r="U120" s="89">
        <f>IFERROR(IF(tblPiNAnalysis[[#This Row],[PRO]]="", "", MROUND(tblPiNAnalysis[[#This Row],[PRO]]/tblPiNAnalysis[[#This Row],[Población]], 0.05)), "")</f>
        <v>0.25</v>
      </c>
      <c r="V120" s="90">
        <f>IFERROR(IF(tblPiNAnalysis[[#This Row],[ASH]]="", "", MROUND(tblPiNAnalysis[[#This Row],[ASH]]/tblPiNAnalysis[[#This Row],[Población]], 0.05)), "")</f>
        <v>0</v>
      </c>
      <c r="W120" s="89">
        <f>IFERROR(MROUND(tblPiNAnalysis[[#This Row],[NNA]]/tblPiNAnalysis[[#This Row],[Población]], 0.05), "")</f>
        <v>0.1</v>
      </c>
      <c r="X120" s="89">
        <f>IFERROR(MROUND(tblPiNAnalysis[[#This Row],[VBG]]/tblPiNAnalysis[[#This Row],[Población]], 0.05), "")</f>
        <v>0.1</v>
      </c>
      <c r="Y120" s="91">
        <f>IFERROR(LARGE(tblPiNAnalysis[[#This Row],[SAMV]:[ASH]], 1), "")</f>
        <v>18199</v>
      </c>
      <c r="Z120" s="92" t="str" cm="1">
        <f t="array" ref="Z120">IF(tblPiNAnalysis[[#This Row],[PiN más alto]]="", "", _xlfn.TEXTJOIN(CHAR(10), TRUE, IF(tblPiNAnalysis[[#This Row],[PiN más alto]]=tblPiNAnalysis[[#This Row],[SAMV]:[ASH]], tblPiNAnalysis[[#Headers],[SAMV]:[ASH]], "")))</f>
        <v>SAMV</v>
      </c>
      <c r="AA120" s="93">
        <f>IF(tblPiNAnalysis[[#This Row],[PiN más alto]]="", "", tblPiNAnalysis[[#This Row],[PiN más alto]]/tblPiNAnalysis[[#This Row],[Población]])</f>
        <v>0.481493240204249</v>
      </c>
      <c r="AB120" s="94" t="str">
        <f>IF(SUM(tblPiNAnalysis[[#This Row],[SAMV]:[ASH]])=0, "",IF(COUNTIF(tblPiNAnalysis[[#This Row],[SAMV]:[ASH]],"=0")+COUNTIF(tblPiNAnalysis[[#This Row],[SAMV]:[ASH]],"")&gt;=zero_pin_thresh, "Flagged", ""))</f>
        <v/>
      </c>
      <c r="AC120" s="95" t="str">
        <f>IFERROR(IF(tblPiNAnalysis[[#This Row],[PiN más alto]]="", "", IF(tblPiNAnalysis[[#This Row],[% PiN Sectores más altos]]&gt;=flag_pin_perc, "Flagged", "")), "")</f>
        <v/>
      </c>
      <c r="AD120" s="96" t="str" cm="1">
        <f t="array" ref="AD120">IF(tblPiNAnalysis[[#This Row],[PiN más alto]]=0, "",  IF(OR(COUNTIF(tblPiNAnalysis[[#This Row],[Sectores más altos]],tblSubSectorPopulation[Sector])), "Flagged", ""))</f>
        <v/>
      </c>
      <c r="AE120" s="16" cm="1">
        <f t="array" ref="AE12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13795.905000000001</v>
      </c>
      <c r="AF120" s="97" t="str" cm="1">
        <f t="array" ref="AF120">IF(tblPiNAnalysis[[#This Row],[2º PiN más alto]]="", "", _xlfn.TEXTJOIN(CHAR(10), TRUE, IF(tblPiNAnalysis[[#This Row],[2º PiN más alto]]=tblPiNAnalysis[[#This Row],[SAMV]:[ASH]], tblPiNAnalysis[[#Headers],[SAMV]:[ASH]], "")))</f>
        <v>SAL</v>
      </c>
      <c r="AG120" s="12">
        <f>IFERROR(tblPiNAnalysis[[#This Row],[2º PiN más alto]]/tblPiNAnalysis[[#This Row],[Población]], "")</f>
        <v>0.36499999999999999</v>
      </c>
      <c r="AH120" s="16">
        <f>IFERROR(tblPiNAnalysis[[#This Row],[PiN más alto]]-tblPiNAnalysis[[#This Row],[2º PiN más alto]], "")</f>
        <v>4403.0949999999993</v>
      </c>
      <c r="AI120" s="14">
        <f>IFERROR(((tblPiNAnalysis[[#This Row],[PiN más alto]]-tblPiNAnalysis[[#This Row],[2º PiN más alto]])/tblPiNAnalysis[[#This Row],[2º PiN más alto]]),"")</f>
        <v>0.3191595622034219</v>
      </c>
      <c r="AJ120" s="14" t="str" cm="1">
        <f t="array" ref="AJ12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20" s="98" cm="1">
        <f t="array" ref="AK12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9079.2260189798271</v>
      </c>
      <c r="AL120" s="53" t="str" cm="1">
        <f t="array" ref="AL120">IF(tblPiNAnalysis[[#This Row],[3º PiN más alto]]="", "", _xlfn.TEXTJOIN(CHAR(10), TRUE, IF(tblPiNAnalysis[[#This Row],[3º PiN más alto]]=tblPiNAnalysis[[#This Row],[SAMV]:[ASH]], tblPiNAnalysis[[#Headers],[SAMV]:[ASH]], "")))</f>
        <v>PRO</v>
      </c>
      <c r="AM120" s="53">
        <f>IFERROR(tblPiNAnalysis[[#This Row],[3º PiN más alto]]/tblPiNAnalysis[[#This Row],[Población]], "")</f>
        <v>0.24021022882715101</v>
      </c>
      <c r="AN120" s="15">
        <f>IFERROR(tblPiNAnalysis[[#This Row],[PiN más alto]]-tblPiNAnalysis[[#This Row],[3º PiN más alto]],"")</f>
        <v>9119.7739810201729</v>
      </c>
      <c r="AO120" s="14">
        <f>IFERROR(tblPiNAnalysis[[#This Row],[Diferencia de PiN entre el más alto y el 3º más alto]]/tblPiNAnalysis[[#This Row],[3º PiN más alto]], "")</f>
        <v>1.004466015269978</v>
      </c>
      <c r="AP120" s="96" t="str" cm="1">
        <f t="array" ref="AP12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20" s="84" cm="1">
        <f t="array" ref="AQ120">IFERROR(IF(tblPiNAnalysis[[#This Row],[ID]]="", "", INDEX(tblPiNHistorical[[SAMV]:[ASH]], MATCH(tblPiNAnalysis[[#This Row],[ID]],tblPiNHistorical[ID], 0),MATCH(_xlfn._xlws.FILTER(tblPiNAnalysis[[#Headers],[SAMV]:[ASH]], tblPiNAnalysis[[#This Row],[PiN más alto]]=tblPiNAnalysis[[#This Row],[SAMV]:[ASH]]), tblPiNHistorical[[#Headers],[SAMV]:[ASH]], 0))), "")</f>
        <v>-0.7</v>
      </c>
      <c r="AR120" s="99" t="str" cm="1">
        <f t="array" ref="AR12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20" s="74" cm="1">
        <f t="array" ref="AS120">IFERROR(IF(tblPiNAnalysis[[#This Row],[ID]]="", "", INDEX(tblPiNHistorical[[SAMV]:[ASH]], MATCH(tblPiNAnalysis[[#This Row],[ID]],tblPiNHistorical[ID], 0),MATCH(_xlfn._xlws.FILTER(tblPiNAnalysis[[#Headers],[SAMV]:[ASH]], tblPiNAnalysis[[#This Row],[2º PiN más alto]]=tblPiNAnalysis[[#This Row],[SAMV]:[ASH]]), tblPiNHistorical[[#Headers],[SAMV]:[ASH]], 0))), "")</f>
        <v>-0.2</v>
      </c>
      <c r="AT120" s="100" t="str" cm="1">
        <f t="array" ref="AT12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20" s="219">
        <f>INDEX(tblSeverityAnalysis[Severidad final], MATCH(tblPiNAnalysis[[#This Row],[ID]],tblSeverityAnalysis[ID], 0))</f>
        <v>3</v>
      </c>
      <c r="AV120" s="220">
        <f>IF(tblPiNAnalysis[[#This Row],[Severidad]]&gt;2,tblPiNAnalysis[[#This Row],[PiN más alto]],)</f>
        <v>18199</v>
      </c>
      <c r="AW120" s="54"/>
      <c r="AX120" s="55"/>
      <c r="AY120" s="56">
        <f>COUNTIFS(tblPiNAnalysis[[#This Row],[Número de PiN ausentes/cero superior al umbral - Calidad de los datos]:[Marcador manual]],"Flagged")</f>
        <v>2</v>
      </c>
      <c r="AZ120" s="34" t="str">
        <f>IF(tblPiNAnalysis[[#This Row],[Número de marcadores]]&gt;0, "Flagged", "")</f>
        <v>Flagged</v>
      </c>
      <c r="BA120" s="92">
        <f>tblPiNAnalysis[[#This Row],[PiN preliminar]]</f>
        <v>18199</v>
      </c>
      <c r="BB120" s="97"/>
      <c r="BC120" s="70">
        <f>IFERROR(IF(tblPiNAnalysis[[#This Row],[Severidad]]=3,tblPiNAnalysis[[#This Row],[PiN final]]*Umbrales!$D$33,tblPiNAnalysis[[#This Row],[PiN final]]*Umbrales!$D$34),)</f>
        <v>9099.5</v>
      </c>
      <c r="BD120" s="70">
        <f>IFERROR(IF(tblPiNAnalysis[[#This Row],[Severidad]]&gt;3,tblPiNAnalysis[[#This Row],[PiN final]]*Umbrales!$D$34,),)</f>
        <v>0</v>
      </c>
    </row>
    <row r="121" spans="1:56">
      <c r="A121" s="101" t="str">
        <f>IFERROR(_xlfn.CONCAT(IF(tblPiNAnalysis[[#This Row],[Grupo]]="", "",tblPiNAnalysis[[#This Row],[Grupo]] ),  _xlfn.IFS(tblPiNAnalysis[[#This Row],[Admin2PCODE]]&lt;&gt;"", tblPiNAnalysis[[#This Row],[Admin2PCODE]], tblPiNAnalysis[[#This Row],[Admin1PCODE]]&lt;&gt;"", tblPiNAnalysis[[#This Row],[Admin1PCODE]])),"")</f>
        <v>VenezolanosVE1002</v>
      </c>
      <c r="B121" s="105" t="s">
        <v>306</v>
      </c>
      <c r="C121" s="104" t="s">
        <v>307</v>
      </c>
      <c r="D121" s="119" t="s">
        <v>310</v>
      </c>
      <c r="E121" s="104" t="s">
        <v>311</v>
      </c>
      <c r="F121" s="358"/>
      <c r="G121" s="357">
        <v>30221</v>
      </c>
      <c r="H121" s="103" t="s">
        <v>102</v>
      </c>
      <c r="I121" s="60">
        <v>7524</v>
      </c>
      <c r="J121" s="134">
        <v>1153.0693155530209</v>
      </c>
      <c r="K121" s="57">
        <v>11030.665000000001</v>
      </c>
      <c r="L121" s="87">
        <v>1694.8917954765736</v>
      </c>
      <c r="M121" s="87">
        <v>7216.9620128947436</v>
      </c>
      <c r="N121" s="57">
        <v>18132.599999999999</v>
      </c>
      <c r="O121" s="57">
        <v>2309.4278441263177</v>
      </c>
      <c r="P121" s="57">
        <v>2525.9367045131603</v>
      </c>
      <c r="Q121" s="88">
        <f>IFERROR(IF(tblPiNAnalysis[[#This Row],[SAMV]]="", "", MROUND(tblPiNAnalysis[[#This Row],[SAMV]]/tblPiNAnalysis[[#This Row],[Población]], 0.05)), "")</f>
        <v>0.25</v>
      </c>
      <c r="R121" s="89">
        <f>IFERROR(IF(tblPiNAnalysis[[#This Row],[NUT]]="", "", MROUND(tblPiNAnalysis[[#This Row],[NUT]]/tblPiNAnalysis[[#This Row],[Población]], 0.05)), "")</f>
        <v>0.05</v>
      </c>
      <c r="S121" s="89">
        <f>IFERROR(IF(tblPiNAnalysis[[#This Row],[SAL]]="", "", MROUND(tblPiNAnalysis[[#This Row],[SAL]]/tblPiNAnalysis[[#This Row],[Población]], 0.05)), "")</f>
        <v>0.35000000000000003</v>
      </c>
      <c r="T121" s="89">
        <f>IFERROR(IF(tblPiNAnalysis[[#This Row],[EDU]]="", "", MROUND(tblPiNAnalysis[[#This Row],[EDU]]/tblPiNAnalysis[[#This Row],[Población]], 0.05)), "")</f>
        <v>0.05</v>
      </c>
      <c r="U121" s="89">
        <f>IFERROR(IF(tblPiNAnalysis[[#This Row],[PRO]]="", "", MROUND(tblPiNAnalysis[[#This Row],[PRO]]/tblPiNAnalysis[[#This Row],[Población]], 0.05)), "")</f>
        <v>0.25</v>
      </c>
      <c r="V121" s="90">
        <f>IFERROR(IF(tblPiNAnalysis[[#This Row],[ASH]]="", "", MROUND(tblPiNAnalysis[[#This Row],[ASH]]/tblPiNAnalysis[[#This Row],[Población]], 0.05)), "")</f>
        <v>0.60000000000000009</v>
      </c>
      <c r="W121" s="89">
        <f>IFERROR(MROUND(tblPiNAnalysis[[#This Row],[NNA]]/tblPiNAnalysis[[#This Row],[Población]], 0.05), "")</f>
        <v>0.1</v>
      </c>
      <c r="X121" s="89">
        <f>IFERROR(MROUND(tblPiNAnalysis[[#This Row],[VBG]]/tblPiNAnalysis[[#This Row],[Población]], 0.05), "")</f>
        <v>0.1</v>
      </c>
      <c r="Y121" s="91">
        <f>IFERROR(LARGE(tblPiNAnalysis[[#This Row],[SAMV]:[ASH]], 1), "")</f>
        <v>18132.599999999999</v>
      </c>
      <c r="Z121" s="92" t="str" cm="1">
        <f t="array" ref="Z121">IF(tblPiNAnalysis[[#This Row],[PiN más alto]]="", "", _xlfn.TEXTJOIN(CHAR(10), TRUE, IF(tblPiNAnalysis[[#This Row],[PiN más alto]]=tblPiNAnalysis[[#This Row],[SAMV]:[ASH]], tblPiNAnalysis[[#Headers],[SAMV]:[ASH]], "")))</f>
        <v>ASH</v>
      </c>
      <c r="AA121" s="93">
        <f>IF(tblPiNAnalysis[[#This Row],[PiN más alto]]="", "", tblPiNAnalysis[[#This Row],[PiN más alto]]/tblPiNAnalysis[[#This Row],[Población]])</f>
        <v>0.6</v>
      </c>
      <c r="AB121" s="94" t="str">
        <f>IF(SUM(tblPiNAnalysis[[#This Row],[SAMV]:[ASH]])=0, "",IF(COUNTIF(tblPiNAnalysis[[#This Row],[SAMV]:[ASH]],"=0")+COUNTIF(tblPiNAnalysis[[#This Row],[SAMV]:[ASH]],"")&gt;=zero_pin_thresh, "Flagged", ""))</f>
        <v/>
      </c>
      <c r="AC121" s="95" t="str">
        <f>IFERROR(IF(tblPiNAnalysis[[#This Row],[PiN más alto]]="", "", IF(tblPiNAnalysis[[#This Row],[% PiN Sectores más altos]]&gt;=flag_pin_perc, "Flagged", "")), "")</f>
        <v/>
      </c>
      <c r="AD121" s="96" t="str" cm="1">
        <f t="array" ref="AD121">IF(tblPiNAnalysis[[#This Row],[PiN más alto]]=0, "",  IF(OR(COUNTIF(tblPiNAnalysis[[#This Row],[Sectores más altos]],tblSubSectorPopulation[Sector])), "Flagged", ""))</f>
        <v/>
      </c>
      <c r="AE121" s="16" cm="1">
        <f t="array" ref="AE12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11030.665000000001</v>
      </c>
      <c r="AF121" s="97" t="str" cm="1">
        <f t="array" ref="AF121">IF(tblPiNAnalysis[[#This Row],[2º PiN más alto]]="", "", _xlfn.TEXTJOIN(CHAR(10), TRUE, IF(tblPiNAnalysis[[#This Row],[2º PiN más alto]]=tblPiNAnalysis[[#This Row],[SAMV]:[ASH]], tblPiNAnalysis[[#Headers],[SAMV]:[ASH]], "")))</f>
        <v>SAL</v>
      </c>
      <c r="AG121" s="12">
        <f>IFERROR(tblPiNAnalysis[[#This Row],[2º PiN más alto]]/tblPiNAnalysis[[#This Row],[Población]], "")</f>
        <v>0.36500000000000005</v>
      </c>
      <c r="AH121" s="16">
        <f>IFERROR(tblPiNAnalysis[[#This Row],[PiN más alto]]-tblPiNAnalysis[[#This Row],[2º PiN más alto]], "")</f>
        <v>7101.9349999999977</v>
      </c>
      <c r="AI121" s="14">
        <f>IFERROR(((tblPiNAnalysis[[#This Row],[PiN más alto]]-tblPiNAnalysis[[#This Row],[2º PiN más alto]])/tblPiNAnalysis[[#This Row],[2º PiN más alto]]),"")</f>
        <v>0.64383561643835585</v>
      </c>
      <c r="AJ121" s="14" t="str" cm="1">
        <f t="array" ref="AJ12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21" s="98" cm="1">
        <f t="array" ref="AK12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7524</v>
      </c>
      <c r="AL121" s="53" t="str" cm="1">
        <f t="array" ref="AL121">IF(tblPiNAnalysis[[#This Row],[3º PiN más alto]]="", "", _xlfn.TEXTJOIN(CHAR(10), TRUE, IF(tblPiNAnalysis[[#This Row],[3º PiN más alto]]=tblPiNAnalysis[[#This Row],[SAMV]:[ASH]], tblPiNAnalysis[[#Headers],[SAMV]:[ASH]], "")))</f>
        <v>SAMV</v>
      </c>
      <c r="AM121" s="53">
        <f>IFERROR(tblPiNAnalysis[[#This Row],[3º PiN más alto]]/tblPiNAnalysis[[#This Row],[Población]], "")</f>
        <v>0.24896595082889381</v>
      </c>
      <c r="AN121" s="15">
        <f>IFERROR(tblPiNAnalysis[[#This Row],[PiN más alto]]-tblPiNAnalysis[[#This Row],[3º PiN más alto]],"")</f>
        <v>10608.599999999999</v>
      </c>
      <c r="AO121" s="14">
        <f>IFERROR(tblPiNAnalysis[[#This Row],[Diferencia de PiN entre el más alto y el 3º más alto]]/tblPiNAnalysis[[#This Row],[3º PiN más alto]], "")</f>
        <v>1.409968102073365</v>
      </c>
      <c r="AP121" s="96" t="str" cm="1">
        <f t="array" ref="AP12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21" s="84" cm="1">
        <f t="array" ref="AQ121">IFERROR(IF(tblPiNAnalysis[[#This Row],[ID]]="", "", INDEX(tblPiNHistorical[[SAMV]:[ASH]], MATCH(tblPiNAnalysis[[#This Row],[ID]],tblPiNHistorical[ID], 0),MATCH(_xlfn._xlws.FILTER(tblPiNAnalysis[[#Headers],[SAMV]:[ASH]], tblPiNAnalysis[[#This Row],[PiN más alto]]=tblPiNAnalysis[[#This Row],[SAMV]:[ASH]]), tblPiNHistorical[[#Headers],[SAMV]:[ASH]], 0))), "")</f>
        <v>0.4</v>
      </c>
      <c r="AR121" s="99" t="str" cm="1">
        <f t="array" ref="AR12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21" s="74" cm="1">
        <f t="array" ref="AS121">IFERROR(IF(tblPiNAnalysis[[#This Row],[ID]]="", "", INDEX(tblPiNHistorical[[SAMV]:[ASH]], MATCH(tblPiNAnalysis[[#This Row],[ID]],tblPiNHistorical[ID], 0),MATCH(_xlfn._xlws.FILTER(tblPiNAnalysis[[#Headers],[SAMV]:[ASH]], tblPiNAnalysis[[#This Row],[2º PiN más alto]]=tblPiNAnalysis[[#This Row],[SAMV]:[ASH]]), tblPiNHistorical[[#Headers],[SAMV]:[ASH]], 0))), "")</f>
        <v>0.6</v>
      </c>
      <c r="AT121" s="100" t="str" cm="1">
        <f t="array" ref="AT12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21" s="219">
        <f>INDEX(tblSeverityAnalysis[Severidad final], MATCH(tblPiNAnalysis[[#This Row],[ID]],tblSeverityAnalysis[ID], 0))</f>
        <v>4</v>
      </c>
      <c r="AV121" s="220">
        <f>IF(tblPiNAnalysis[[#This Row],[Severidad]]&gt;2,tblPiNAnalysis[[#This Row],[PiN más alto]],)</f>
        <v>18132.599999999999</v>
      </c>
      <c r="AW121" s="54"/>
      <c r="AX121" s="55"/>
      <c r="AY121" s="56">
        <f>COUNTIFS(tblPiNAnalysis[[#This Row],[Número de PiN ausentes/cero superior al umbral - Calidad de los datos]:[Marcador manual]],"Flagged")</f>
        <v>2</v>
      </c>
      <c r="AZ121" s="34" t="str">
        <f>IF(tblPiNAnalysis[[#This Row],[Número de marcadores]]&gt;0, "Flagged", "")</f>
        <v>Flagged</v>
      </c>
      <c r="BA121" s="92">
        <f>tblPiNAnalysis[[#This Row],[PiN preliminar]]</f>
        <v>18132.599999999999</v>
      </c>
      <c r="BB121" s="97"/>
      <c r="BC121" s="70">
        <f>IFERROR(IF(tblPiNAnalysis[[#This Row],[Severidad]]=3,tblPiNAnalysis[[#This Row],[PiN final]]*Umbrales!$D$33,tblPiNAnalysis[[#This Row],[PiN final]]*Umbrales!$D$34),)</f>
        <v>18132.599999999999</v>
      </c>
      <c r="BD121" s="70">
        <f>IFERROR(IF(tblPiNAnalysis[[#This Row],[Severidad]]&gt;3,tblPiNAnalysis[[#This Row],[PiN final]]*Umbrales!$D$34,),)</f>
        <v>18132.599999999999</v>
      </c>
    </row>
    <row r="122" spans="1:56">
      <c r="A122" s="101" t="str">
        <f>IFERROR(_xlfn.CONCAT(IF(tblPiNAnalysis[[#This Row],[Grupo]]="", "",tblPiNAnalysis[[#This Row],[Grupo]] ),  _xlfn.IFS(tblPiNAnalysis[[#This Row],[Admin2PCODE]]&lt;&gt;"", tblPiNAnalysis[[#This Row],[Admin2PCODE]], tblPiNAnalysis[[#This Row],[Admin1PCODE]]&lt;&gt;"", tblPiNAnalysis[[#This Row],[Admin1PCODE]])),"")</f>
        <v>VenezolanosVE1518</v>
      </c>
      <c r="B122" s="105" t="s">
        <v>276</v>
      </c>
      <c r="C122" s="104" t="s">
        <v>455</v>
      </c>
      <c r="D122" s="119" t="s">
        <v>155</v>
      </c>
      <c r="E122" s="104" t="s">
        <v>487</v>
      </c>
      <c r="F122" s="358"/>
      <c r="G122" s="357">
        <v>43559</v>
      </c>
      <c r="H122" s="103" t="s">
        <v>102</v>
      </c>
      <c r="I122" s="60">
        <v>7260</v>
      </c>
      <c r="J122" s="134">
        <v>1270.4765280160575</v>
      </c>
      <c r="K122" s="57">
        <v>18000</v>
      </c>
      <c r="L122" s="87">
        <v>4535.1505941661726</v>
      </c>
      <c r="M122" s="87">
        <v>10420.600713800832</v>
      </c>
      <c r="N122" s="57">
        <v>0</v>
      </c>
      <c r="O122" s="57">
        <v>3334.5922284162662</v>
      </c>
      <c r="P122" s="57">
        <v>3647.2102498302911</v>
      </c>
      <c r="Q122" s="88">
        <f>IFERROR(IF(tblPiNAnalysis[[#This Row],[SAMV]]="", "", MROUND(tblPiNAnalysis[[#This Row],[SAMV]]/tblPiNAnalysis[[#This Row],[Población]], 0.05)), "")</f>
        <v>0.15000000000000002</v>
      </c>
      <c r="R122" s="89">
        <f>IFERROR(IF(tblPiNAnalysis[[#This Row],[NUT]]="", "", MROUND(tblPiNAnalysis[[#This Row],[NUT]]/tblPiNAnalysis[[#This Row],[Población]], 0.05)), "")</f>
        <v>0.05</v>
      </c>
      <c r="S122" s="89">
        <f>IFERROR(IF(tblPiNAnalysis[[#This Row],[SAL]]="", "", MROUND(tblPiNAnalysis[[#This Row],[SAL]]/tblPiNAnalysis[[#This Row],[Población]], 0.05)), "")</f>
        <v>0.4</v>
      </c>
      <c r="T122" s="89">
        <f>IFERROR(IF(tblPiNAnalysis[[#This Row],[EDU]]="", "", MROUND(tblPiNAnalysis[[#This Row],[EDU]]/tblPiNAnalysis[[#This Row],[Población]], 0.05)), "")</f>
        <v>0.1</v>
      </c>
      <c r="U122" s="89">
        <f>IFERROR(IF(tblPiNAnalysis[[#This Row],[PRO]]="", "", MROUND(tblPiNAnalysis[[#This Row],[PRO]]/tblPiNAnalysis[[#This Row],[Población]], 0.05)), "")</f>
        <v>0.25</v>
      </c>
      <c r="V122" s="90">
        <f>IFERROR(IF(tblPiNAnalysis[[#This Row],[ASH]]="", "", MROUND(tblPiNAnalysis[[#This Row],[ASH]]/tblPiNAnalysis[[#This Row],[Población]], 0.05)), "")</f>
        <v>0</v>
      </c>
      <c r="W122" s="89">
        <f>IFERROR(MROUND(tblPiNAnalysis[[#This Row],[NNA]]/tblPiNAnalysis[[#This Row],[Población]], 0.05), "")</f>
        <v>0.1</v>
      </c>
      <c r="X122" s="89">
        <f>IFERROR(MROUND(tblPiNAnalysis[[#This Row],[VBG]]/tblPiNAnalysis[[#This Row],[Población]], 0.05), "")</f>
        <v>0.1</v>
      </c>
      <c r="Y122" s="91">
        <f>IFERROR(LARGE(tblPiNAnalysis[[#This Row],[SAMV]:[ASH]], 1), "")</f>
        <v>18000</v>
      </c>
      <c r="Z122" s="92" t="str" cm="1">
        <f t="array" ref="Z122">IF(tblPiNAnalysis[[#This Row],[PiN más alto]]="", "", _xlfn.TEXTJOIN(CHAR(10), TRUE, IF(tblPiNAnalysis[[#This Row],[PiN más alto]]=tblPiNAnalysis[[#This Row],[SAMV]:[ASH]], tblPiNAnalysis[[#Headers],[SAMV]:[ASH]], "")))</f>
        <v>SAL</v>
      </c>
      <c r="AA122" s="93">
        <f>IF(tblPiNAnalysis[[#This Row],[PiN más alto]]="", "", tblPiNAnalysis[[#This Row],[PiN más alto]]/tblPiNAnalysis[[#This Row],[Población]])</f>
        <v>0.41323262701163938</v>
      </c>
      <c r="AB122" s="94" t="str">
        <f>IF(SUM(tblPiNAnalysis[[#This Row],[SAMV]:[ASH]])=0, "",IF(COUNTIF(tblPiNAnalysis[[#This Row],[SAMV]:[ASH]],"=0")+COUNTIF(tblPiNAnalysis[[#This Row],[SAMV]:[ASH]],"")&gt;=zero_pin_thresh, "Flagged", ""))</f>
        <v/>
      </c>
      <c r="AC122" s="95" t="str">
        <f>IFERROR(IF(tblPiNAnalysis[[#This Row],[PiN más alto]]="", "", IF(tblPiNAnalysis[[#This Row],[% PiN Sectores más altos]]&gt;=flag_pin_perc, "Flagged", "")), "")</f>
        <v/>
      </c>
      <c r="AD122" s="96" t="str" cm="1">
        <f t="array" ref="AD122">IF(tblPiNAnalysis[[#This Row],[PiN más alto]]=0, "",  IF(OR(COUNTIF(tblPiNAnalysis[[#This Row],[Sectores más altos]],tblSubSectorPopulation[Sector])), "Flagged", ""))</f>
        <v/>
      </c>
      <c r="AE122" s="16" cm="1">
        <f t="array" ref="AE12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10420.600713800832</v>
      </c>
      <c r="AF122" s="97" t="str" cm="1">
        <f t="array" ref="AF122">IF(tblPiNAnalysis[[#This Row],[2º PiN más alto]]="", "", _xlfn.TEXTJOIN(CHAR(10), TRUE, IF(tblPiNAnalysis[[#This Row],[2º PiN más alto]]=tblPiNAnalysis[[#This Row],[SAMV]:[ASH]], tblPiNAnalysis[[#Headers],[SAMV]:[ASH]], "")))</f>
        <v>PRO</v>
      </c>
      <c r="AG122" s="12">
        <f>IFERROR(tblPiNAnalysis[[#This Row],[2º PiN más alto]]/tblPiNAnalysis[[#This Row],[Población]], "")</f>
        <v>0.23922956711129345</v>
      </c>
      <c r="AH122" s="16">
        <f>IFERROR(tblPiNAnalysis[[#This Row],[PiN más alto]]-tblPiNAnalysis[[#This Row],[2º PiN más alto]], "")</f>
        <v>7579.3992861991683</v>
      </c>
      <c r="AI122" s="14">
        <f>IFERROR(((tblPiNAnalysis[[#This Row],[PiN más alto]]-tblPiNAnalysis[[#This Row],[2º PiN más alto]])/tblPiNAnalysis[[#This Row],[2º PiN más alto]]),"")</f>
        <v>0.72734763516667189</v>
      </c>
      <c r="AJ122" s="14" t="str" cm="1">
        <f t="array" ref="AJ12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22" s="98" cm="1">
        <f t="array" ref="AK12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7260</v>
      </c>
      <c r="AL122" s="53" t="str" cm="1">
        <f t="array" ref="AL122">IF(tblPiNAnalysis[[#This Row],[3º PiN más alto]]="", "", _xlfn.TEXTJOIN(CHAR(10), TRUE, IF(tblPiNAnalysis[[#This Row],[3º PiN más alto]]=tblPiNAnalysis[[#This Row],[SAMV]:[ASH]], tblPiNAnalysis[[#Headers],[SAMV]:[ASH]], "")))</f>
        <v>SAMV</v>
      </c>
      <c r="AM122" s="53">
        <f>IFERROR(tblPiNAnalysis[[#This Row],[3º PiN más alto]]/tblPiNAnalysis[[#This Row],[Población]], "")</f>
        <v>0.16667049289469454</v>
      </c>
      <c r="AN122" s="15">
        <f>IFERROR(tblPiNAnalysis[[#This Row],[PiN más alto]]-tblPiNAnalysis[[#This Row],[3º PiN más alto]],"")</f>
        <v>10740</v>
      </c>
      <c r="AO122" s="14">
        <f>IFERROR(tblPiNAnalysis[[#This Row],[Diferencia de PiN entre el más alto y el 3º más alto]]/tblPiNAnalysis[[#This Row],[3º PiN más alto]], "")</f>
        <v>1.4793388429752066</v>
      </c>
      <c r="AP122" s="96" t="str" cm="1">
        <f t="array" ref="AP12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22" s="84" cm="1">
        <f t="array" ref="AQ122">IFERROR(IF(tblPiNAnalysis[[#This Row],[ID]]="", "", INDEX(tblPiNHistorical[[SAMV]:[ASH]], MATCH(tblPiNAnalysis[[#This Row],[ID]],tblPiNHistorical[ID], 0),MATCH(_xlfn._xlws.FILTER(tblPiNAnalysis[[#Headers],[SAMV]:[ASH]], tblPiNAnalysis[[#This Row],[PiN más alto]]=tblPiNAnalysis[[#This Row],[SAMV]:[ASH]]), tblPiNHistorical[[#Headers],[SAMV]:[ASH]], 0))), "")</f>
        <v>-0.3</v>
      </c>
      <c r="AR122" s="99" t="str" cm="1">
        <f t="array" ref="AR12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22" s="74" cm="1">
        <f t="array" ref="AS122">IFERROR(IF(tblPiNAnalysis[[#This Row],[ID]]="", "", INDEX(tblPiNHistorical[[SAMV]:[ASH]], MATCH(tblPiNAnalysis[[#This Row],[ID]],tblPiNHistorical[ID], 0),MATCH(_xlfn._xlws.FILTER(tblPiNAnalysis[[#Headers],[SAMV]:[ASH]], tblPiNAnalysis[[#This Row],[2º PiN más alto]]=tblPiNAnalysis[[#This Row],[SAMV]:[ASH]]), tblPiNHistorical[[#Headers],[SAMV]:[ASH]], 0))), "")</f>
        <v>-0.9</v>
      </c>
      <c r="AT122" s="100" t="str" cm="1">
        <f t="array" ref="AT12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22" s="219">
        <f>INDEX(tblSeverityAnalysis[Severidad final], MATCH(tblPiNAnalysis[[#This Row],[ID]],tblSeverityAnalysis[ID], 0))</f>
        <v>3</v>
      </c>
      <c r="AV122" s="220">
        <f>IF(tblPiNAnalysis[[#This Row],[Severidad]]&gt;2,tblPiNAnalysis[[#This Row],[PiN más alto]],)</f>
        <v>18000</v>
      </c>
      <c r="AW122" s="54"/>
      <c r="AX122" s="55"/>
      <c r="AY122" s="56">
        <f>COUNTIFS(tblPiNAnalysis[[#This Row],[Número de PiN ausentes/cero superior al umbral - Calidad de los datos]:[Marcador manual]],"Flagged")</f>
        <v>2</v>
      </c>
      <c r="AZ122" s="34" t="str">
        <f>IF(tblPiNAnalysis[[#This Row],[Número de marcadores]]&gt;0, "Flagged", "")</f>
        <v>Flagged</v>
      </c>
      <c r="BA122" s="92">
        <f>tblPiNAnalysis[[#This Row],[PiN preliminar]]</f>
        <v>18000</v>
      </c>
      <c r="BB122" s="97"/>
      <c r="BC122" s="70">
        <f>IFERROR(IF(tblPiNAnalysis[[#This Row],[Severidad]]=3,tblPiNAnalysis[[#This Row],[PiN final]]*Umbrales!$D$33,tblPiNAnalysis[[#This Row],[PiN final]]*Umbrales!$D$34),)</f>
        <v>9000</v>
      </c>
      <c r="BD122" s="70">
        <f>IFERROR(IF(tblPiNAnalysis[[#This Row],[Severidad]]&gt;3,tblPiNAnalysis[[#This Row],[PiN final]]*Umbrales!$D$34,),)</f>
        <v>0</v>
      </c>
    </row>
    <row r="123" spans="1:56">
      <c r="A123" s="101" t="str">
        <f>IFERROR(_xlfn.CONCAT(IF(tblPiNAnalysis[[#This Row],[Grupo]]="", "",tblPiNAnalysis[[#This Row],[Grupo]] ),  _xlfn.IFS(tblPiNAnalysis[[#This Row],[Admin2PCODE]]&lt;&gt;"", tblPiNAnalysis[[#This Row],[Admin2PCODE]], tblPiNAnalysis[[#This Row],[Admin1PCODE]]&lt;&gt;"", tblPiNAnalysis[[#This Row],[Admin1PCODE]])),"")</f>
        <v>VenezolanosVE2319</v>
      </c>
      <c r="B123" s="105" t="s">
        <v>705</v>
      </c>
      <c r="C123" s="104" t="s">
        <v>706</v>
      </c>
      <c r="D123" s="119" t="s">
        <v>155</v>
      </c>
      <c r="E123" s="104" t="s">
        <v>741</v>
      </c>
      <c r="F123" s="358"/>
      <c r="G123" s="357">
        <v>44823</v>
      </c>
      <c r="H123" s="103" t="s">
        <v>102</v>
      </c>
      <c r="I123" s="60">
        <v>13368</v>
      </c>
      <c r="J123" s="134">
        <v>1852.225308282038</v>
      </c>
      <c r="K123" s="57">
        <v>18000</v>
      </c>
      <c r="L123" s="87">
        <v>6940.3432415920124</v>
      </c>
      <c r="M123" s="87">
        <v>10683.230233427832</v>
      </c>
      <c r="N123" s="57">
        <v>6051.1050000000005</v>
      </c>
      <c r="O123" s="57">
        <v>3418.6336746969064</v>
      </c>
      <c r="P123" s="57">
        <v>3739.1305816997406</v>
      </c>
      <c r="Q123" s="88">
        <f>IFERROR(IF(tblPiNAnalysis[[#This Row],[SAMV]]="", "", MROUND(tblPiNAnalysis[[#This Row],[SAMV]]/tblPiNAnalysis[[#This Row],[Población]], 0.05)), "")</f>
        <v>0.30000000000000004</v>
      </c>
      <c r="R123" s="89">
        <f>IFERROR(IF(tblPiNAnalysis[[#This Row],[NUT]]="", "", MROUND(tblPiNAnalysis[[#This Row],[NUT]]/tblPiNAnalysis[[#This Row],[Población]], 0.05)), "")</f>
        <v>0.05</v>
      </c>
      <c r="S123" s="89">
        <f>IFERROR(IF(tblPiNAnalysis[[#This Row],[SAL]]="", "", MROUND(tblPiNAnalysis[[#This Row],[SAL]]/tblPiNAnalysis[[#This Row],[Población]], 0.05)), "")</f>
        <v>0.4</v>
      </c>
      <c r="T123" s="89">
        <f>IFERROR(IF(tblPiNAnalysis[[#This Row],[EDU]]="", "", MROUND(tblPiNAnalysis[[#This Row],[EDU]]/tblPiNAnalysis[[#This Row],[Población]], 0.05)), "")</f>
        <v>0.15000000000000002</v>
      </c>
      <c r="U123" s="89">
        <f>IFERROR(IF(tblPiNAnalysis[[#This Row],[PRO]]="", "", MROUND(tblPiNAnalysis[[#This Row],[PRO]]/tblPiNAnalysis[[#This Row],[Población]], 0.05)), "")</f>
        <v>0.25</v>
      </c>
      <c r="V123" s="90">
        <f>IFERROR(IF(tblPiNAnalysis[[#This Row],[ASH]]="", "", MROUND(tblPiNAnalysis[[#This Row],[ASH]]/tblPiNAnalysis[[#This Row],[Población]], 0.05)), "")</f>
        <v>0.15000000000000002</v>
      </c>
      <c r="W123" s="89">
        <f>IFERROR(MROUND(tblPiNAnalysis[[#This Row],[NNA]]/tblPiNAnalysis[[#This Row],[Población]], 0.05), "")</f>
        <v>0.1</v>
      </c>
      <c r="X123" s="89">
        <f>IFERROR(MROUND(tblPiNAnalysis[[#This Row],[VBG]]/tblPiNAnalysis[[#This Row],[Población]], 0.05), "")</f>
        <v>0.1</v>
      </c>
      <c r="Y123" s="91">
        <f>IFERROR(LARGE(tblPiNAnalysis[[#This Row],[SAMV]:[ASH]], 1), "")</f>
        <v>18000</v>
      </c>
      <c r="Z123" s="92" t="str" cm="1">
        <f t="array" ref="Z123">IF(tblPiNAnalysis[[#This Row],[PiN más alto]]="", "", _xlfn.TEXTJOIN(CHAR(10), TRUE, IF(tblPiNAnalysis[[#This Row],[PiN más alto]]=tblPiNAnalysis[[#This Row],[SAMV]:[ASH]], tblPiNAnalysis[[#Headers],[SAMV]:[ASH]], "")))</f>
        <v>SAL</v>
      </c>
      <c r="AA123" s="93">
        <f>IF(tblPiNAnalysis[[#This Row],[PiN más alto]]="", "", tblPiNAnalysis[[#This Row],[PiN más alto]]/tblPiNAnalysis[[#This Row],[Población]])</f>
        <v>0.40157954621511277</v>
      </c>
      <c r="AB123" s="94" t="str">
        <f>IF(SUM(tblPiNAnalysis[[#This Row],[SAMV]:[ASH]])=0, "",IF(COUNTIF(tblPiNAnalysis[[#This Row],[SAMV]:[ASH]],"=0")+COUNTIF(tblPiNAnalysis[[#This Row],[SAMV]:[ASH]],"")&gt;=zero_pin_thresh, "Flagged", ""))</f>
        <v/>
      </c>
      <c r="AC123" s="95" t="str">
        <f>IFERROR(IF(tblPiNAnalysis[[#This Row],[PiN más alto]]="", "", IF(tblPiNAnalysis[[#This Row],[% PiN Sectores más altos]]&gt;=flag_pin_perc, "Flagged", "")), "")</f>
        <v/>
      </c>
      <c r="AD123" s="96" t="str" cm="1">
        <f t="array" ref="AD123">IF(tblPiNAnalysis[[#This Row],[PiN más alto]]=0, "",  IF(OR(COUNTIF(tblPiNAnalysis[[#This Row],[Sectores más altos]],tblSubSectorPopulation[Sector])), "Flagged", ""))</f>
        <v/>
      </c>
      <c r="AE123" s="16" cm="1">
        <f t="array" ref="AE12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13368</v>
      </c>
      <c r="AF123" s="97" t="str" cm="1">
        <f t="array" ref="AF123">IF(tblPiNAnalysis[[#This Row],[2º PiN más alto]]="", "", _xlfn.TEXTJOIN(CHAR(10), TRUE, IF(tblPiNAnalysis[[#This Row],[2º PiN más alto]]=tblPiNAnalysis[[#This Row],[SAMV]:[ASH]], tblPiNAnalysis[[#Headers],[SAMV]:[ASH]], "")))</f>
        <v>SAMV</v>
      </c>
      <c r="AG123" s="12">
        <f>IFERROR(tblPiNAnalysis[[#This Row],[2º PiN más alto]]/tblPiNAnalysis[[#This Row],[Población]], "")</f>
        <v>0.2982397429890904</v>
      </c>
      <c r="AH123" s="16">
        <f>IFERROR(tblPiNAnalysis[[#This Row],[PiN más alto]]-tblPiNAnalysis[[#This Row],[2º PiN más alto]], "")</f>
        <v>4632</v>
      </c>
      <c r="AI123" s="14">
        <f>IFERROR(((tblPiNAnalysis[[#This Row],[PiN más alto]]-tblPiNAnalysis[[#This Row],[2º PiN más alto]])/tblPiNAnalysis[[#This Row],[2º PiN más alto]]),"")</f>
        <v>0.34649910233393177</v>
      </c>
      <c r="AJ123" s="14" t="str" cm="1">
        <f t="array" ref="AJ12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23" s="98" cm="1">
        <f t="array" ref="AK12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10683.230233427832</v>
      </c>
      <c r="AL123" s="53" t="str" cm="1">
        <f t="array" ref="AL123">IF(tblPiNAnalysis[[#This Row],[3º PiN más alto]]="", "", _xlfn.TEXTJOIN(CHAR(10), TRUE, IF(tblPiNAnalysis[[#This Row],[3º PiN más alto]]=tblPiNAnalysis[[#This Row],[SAMV]:[ASH]], tblPiNAnalysis[[#Headers],[SAMV]:[ASH]], "")))</f>
        <v>PRO</v>
      </c>
      <c r="AM123" s="53">
        <f>IFERROR(tblPiNAnalysis[[#This Row],[3º PiN más alto]]/tblPiNAnalysis[[#This Row],[Población]], "")</f>
        <v>0.23834259718064013</v>
      </c>
      <c r="AN123" s="15">
        <f>IFERROR(tblPiNAnalysis[[#This Row],[PiN más alto]]-tblPiNAnalysis[[#This Row],[3º PiN más alto]],"")</f>
        <v>7316.769766572168</v>
      </c>
      <c r="AO123" s="14">
        <f>IFERROR(tblPiNAnalysis[[#This Row],[Diferencia de PiN entre el más alto y el 3º más alto]]/tblPiNAnalysis[[#This Row],[3º PiN más alto]], "")</f>
        <v>0.68488365472813573</v>
      </c>
      <c r="AP123" s="96" t="str" cm="1">
        <f t="array" ref="AP12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23" s="84" cm="1">
        <f t="array" ref="AQ123">IFERROR(IF(tblPiNAnalysis[[#This Row],[ID]]="", "", INDEX(tblPiNHistorical[[SAMV]:[ASH]], MATCH(tblPiNAnalysis[[#This Row],[ID]],tblPiNHistorical[ID], 0),MATCH(_xlfn._xlws.FILTER(tblPiNAnalysis[[#Headers],[SAMV]:[ASH]], tblPiNAnalysis[[#This Row],[PiN más alto]]=tblPiNAnalysis[[#This Row],[SAMV]:[ASH]]), tblPiNHistorical[[#Headers],[SAMV]:[ASH]], 0))), "")</f>
        <v>2.2999999999999998</v>
      </c>
      <c r="AR123" s="99" t="str" cm="1">
        <f t="array" ref="AR12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23" s="74" cm="1">
        <f t="array" ref="AS123">IFERROR(IF(tblPiNAnalysis[[#This Row],[ID]]="", "", INDEX(tblPiNHistorical[[SAMV]:[ASH]], MATCH(tblPiNAnalysis[[#This Row],[ID]],tblPiNHistorical[ID], 0),MATCH(_xlfn._xlws.FILTER(tblPiNAnalysis[[#Headers],[SAMV]:[ASH]], tblPiNAnalysis[[#This Row],[2º PiN más alto]]=tblPiNAnalysis[[#This Row],[SAMV]:[ASH]]), tblPiNHistorical[[#Headers],[SAMV]:[ASH]], 0))), "")</f>
        <v>3.4</v>
      </c>
      <c r="AT123" s="100" t="str" cm="1">
        <f t="array" ref="AT12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23" s="219">
        <f>INDEX(tblSeverityAnalysis[Severidad final], MATCH(tblPiNAnalysis[[#This Row],[ID]],tblSeverityAnalysis[ID], 0))</f>
        <v>3</v>
      </c>
      <c r="AV123" s="220">
        <f>IF(tblPiNAnalysis[[#This Row],[Severidad]]&gt;2,tblPiNAnalysis[[#This Row],[PiN más alto]],)</f>
        <v>18000</v>
      </c>
      <c r="AW123" s="54"/>
      <c r="AX123" s="55"/>
      <c r="AY123" s="56">
        <f>COUNTIFS(tblPiNAnalysis[[#This Row],[Número de PiN ausentes/cero superior al umbral - Calidad de los datos]:[Marcador manual]],"Flagged")</f>
        <v>4</v>
      </c>
      <c r="AZ123" s="34" t="str">
        <f>IF(tblPiNAnalysis[[#This Row],[Número de marcadores]]&gt;0, "Flagged", "")</f>
        <v>Flagged</v>
      </c>
      <c r="BA123" s="92">
        <f>tblPiNAnalysis[[#This Row],[PiN preliminar]]</f>
        <v>18000</v>
      </c>
      <c r="BB123" s="97"/>
      <c r="BC123" s="70">
        <f>IFERROR(IF(tblPiNAnalysis[[#This Row],[Severidad]]=3,tblPiNAnalysis[[#This Row],[PiN final]]*Umbrales!$D$33,tblPiNAnalysis[[#This Row],[PiN final]]*Umbrales!$D$34),)</f>
        <v>9000</v>
      </c>
      <c r="BD123" s="70">
        <f>IFERROR(IF(tblPiNAnalysis[[#This Row],[Severidad]]&gt;3,tblPiNAnalysis[[#This Row],[PiN final]]*Umbrales!$D$34,),)</f>
        <v>0</v>
      </c>
    </row>
    <row r="124" spans="1:56">
      <c r="A124" s="101" t="str">
        <f>IFERROR(_xlfn.CONCAT(IF(tblPiNAnalysis[[#This Row],[Grupo]]="", "",tblPiNAnalysis[[#This Row],[Grupo]] ),  _xlfn.IFS(tblPiNAnalysis[[#This Row],[Admin2PCODE]]&lt;&gt;"", tblPiNAnalysis[[#This Row],[Admin2PCODE]], tblPiNAnalysis[[#This Row],[Admin1PCODE]]&lt;&gt;"", tblPiNAnalysis[[#This Row],[Admin1PCODE]])),"")</f>
        <v>VenezolanosVE0302</v>
      </c>
      <c r="B124" s="105" t="s">
        <v>119</v>
      </c>
      <c r="C124" s="104" t="s">
        <v>120</v>
      </c>
      <c r="D124" s="119" t="s">
        <v>123</v>
      </c>
      <c r="E124" s="104" t="s">
        <v>124</v>
      </c>
      <c r="F124" s="358"/>
      <c r="G124" s="357">
        <v>29822</v>
      </c>
      <c r="H124" s="103" t="s">
        <v>102</v>
      </c>
      <c r="I124" s="60">
        <v>7455</v>
      </c>
      <c r="J124" s="134">
        <v>955.34534042100927</v>
      </c>
      <c r="K124" s="57">
        <v>10885.03</v>
      </c>
      <c r="L124" s="87">
        <v>2842.855119104549</v>
      </c>
      <c r="M124" s="87">
        <v>3558.9482293919218</v>
      </c>
      <c r="N124" s="57">
        <v>17893.2</v>
      </c>
      <c r="O124" s="57">
        <v>1138.863433405415</v>
      </c>
      <c r="P124" s="57">
        <v>1245.6318802871726</v>
      </c>
      <c r="Q124" s="88">
        <f>IFERROR(IF(tblPiNAnalysis[[#This Row],[SAMV]]="", "", MROUND(tblPiNAnalysis[[#This Row],[SAMV]]/tblPiNAnalysis[[#This Row],[Población]], 0.05)), "")</f>
        <v>0.25</v>
      </c>
      <c r="R124" s="89">
        <f>IFERROR(IF(tblPiNAnalysis[[#This Row],[NUT]]="", "", MROUND(tblPiNAnalysis[[#This Row],[NUT]]/tblPiNAnalysis[[#This Row],[Población]], 0.05)), "")</f>
        <v>0.05</v>
      </c>
      <c r="S124" s="89">
        <f>IFERROR(IF(tblPiNAnalysis[[#This Row],[SAL]]="", "", MROUND(tblPiNAnalysis[[#This Row],[SAL]]/tblPiNAnalysis[[#This Row],[Población]], 0.05)), "")</f>
        <v>0.35000000000000003</v>
      </c>
      <c r="T124" s="89">
        <f>IFERROR(IF(tblPiNAnalysis[[#This Row],[EDU]]="", "", MROUND(tblPiNAnalysis[[#This Row],[EDU]]/tblPiNAnalysis[[#This Row],[Población]], 0.05)), "")</f>
        <v>0.1</v>
      </c>
      <c r="U124" s="89">
        <f>IFERROR(IF(tblPiNAnalysis[[#This Row],[PRO]]="", "", MROUND(tblPiNAnalysis[[#This Row],[PRO]]/tblPiNAnalysis[[#This Row],[Población]], 0.05)), "")</f>
        <v>0.1</v>
      </c>
      <c r="V124" s="90">
        <f>IFERROR(IF(tblPiNAnalysis[[#This Row],[ASH]]="", "", MROUND(tblPiNAnalysis[[#This Row],[ASH]]/tblPiNAnalysis[[#This Row],[Población]], 0.05)), "")</f>
        <v>0.60000000000000009</v>
      </c>
      <c r="W124" s="89">
        <f>IFERROR(MROUND(tblPiNAnalysis[[#This Row],[NNA]]/tblPiNAnalysis[[#This Row],[Población]], 0.05), "")</f>
        <v>0.05</v>
      </c>
      <c r="X124" s="89">
        <f>IFERROR(MROUND(tblPiNAnalysis[[#This Row],[VBG]]/tblPiNAnalysis[[#This Row],[Población]], 0.05), "")</f>
        <v>0.05</v>
      </c>
      <c r="Y124" s="91">
        <f>IFERROR(LARGE(tblPiNAnalysis[[#This Row],[SAMV]:[ASH]], 1), "")</f>
        <v>17893.2</v>
      </c>
      <c r="Z124" s="92" t="str" cm="1">
        <f t="array" ref="Z124">IF(tblPiNAnalysis[[#This Row],[PiN más alto]]="", "", _xlfn.TEXTJOIN(CHAR(10), TRUE, IF(tblPiNAnalysis[[#This Row],[PiN más alto]]=tblPiNAnalysis[[#This Row],[SAMV]:[ASH]], tblPiNAnalysis[[#Headers],[SAMV]:[ASH]], "")))</f>
        <v>ASH</v>
      </c>
      <c r="AA124" s="93">
        <f>IF(tblPiNAnalysis[[#This Row],[PiN más alto]]="", "", tblPiNAnalysis[[#This Row],[PiN más alto]]/tblPiNAnalysis[[#This Row],[Población]])</f>
        <v>0.6</v>
      </c>
      <c r="AB124" s="94" t="str">
        <f>IF(SUM(tblPiNAnalysis[[#This Row],[SAMV]:[ASH]])=0, "",IF(COUNTIF(tblPiNAnalysis[[#This Row],[SAMV]:[ASH]],"=0")+COUNTIF(tblPiNAnalysis[[#This Row],[SAMV]:[ASH]],"")&gt;=zero_pin_thresh, "Flagged", ""))</f>
        <v/>
      </c>
      <c r="AC124" s="95" t="str">
        <f>IFERROR(IF(tblPiNAnalysis[[#This Row],[PiN más alto]]="", "", IF(tblPiNAnalysis[[#This Row],[% PiN Sectores más altos]]&gt;=flag_pin_perc, "Flagged", "")), "")</f>
        <v/>
      </c>
      <c r="AD124" s="96" t="str" cm="1">
        <f t="array" ref="AD124">IF(tblPiNAnalysis[[#This Row],[PiN más alto]]=0, "",  IF(OR(COUNTIF(tblPiNAnalysis[[#This Row],[Sectores más altos]],tblSubSectorPopulation[Sector])), "Flagged", ""))</f>
        <v/>
      </c>
      <c r="AE124" s="16" cm="1">
        <f t="array" ref="AE12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10885.03</v>
      </c>
      <c r="AF124" s="97" t="str" cm="1">
        <f t="array" ref="AF124">IF(tblPiNAnalysis[[#This Row],[2º PiN más alto]]="", "", _xlfn.TEXTJOIN(CHAR(10), TRUE, IF(tblPiNAnalysis[[#This Row],[2º PiN más alto]]=tblPiNAnalysis[[#This Row],[SAMV]:[ASH]], tblPiNAnalysis[[#Headers],[SAMV]:[ASH]], "")))</f>
        <v>SAL</v>
      </c>
      <c r="AG124" s="12">
        <f>IFERROR(tblPiNAnalysis[[#This Row],[2º PiN más alto]]/tblPiNAnalysis[[#This Row],[Población]], "")</f>
        <v>0.36500000000000005</v>
      </c>
      <c r="AH124" s="16">
        <f>IFERROR(tblPiNAnalysis[[#This Row],[PiN más alto]]-tblPiNAnalysis[[#This Row],[2º PiN más alto]], "")</f>
        <v>7008.17</v>
      </c>
      <c r="AI124" s="14">
        <f>IFERROR(((tblPiNAnalysis[[#This Row],[PiN más alto]]-tblPiNAnalysis[[#This Row],[2º PiN más alto]])/tblPiNAnalysis[[#This Row],[2º PiN más alto]]),"")</f>
        <v>0.64383561643835618</v>
      </c>
      <c r="AJ124" s="14" t="str" cm="1">
        <f t="array" ref="AJ12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24" s="98" cm="1">
        <f t="array" ref="AK12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7455</v>
      </c>
      <c r="AL124" s="53" t="str" cm="1">
        <f t="array" ref="AL124">IF(tblPiNAnalysis[[#This Row],[3º PiN más alto]]="", "", _xlfn.TEXTJOIN(CHAR(10), TRUE, IF(tblPiNAnalysis[[#This Row],[3º PiN más alto]]=tblPiNAnalysis[[#This Row],[SAMV]:[ASH]], tblPiNAnalysis[[#Headers],[SAMV]:[ASH]], "")))</f>
        <v>SAMV</v>
      </c>
      <c r="AM124" s="53">
        <f>IFERROR(tblPiNAnalysis[[#This Row],[3º PiN más alto]]/tblPiNAnalysis[[#This Row],[Población]], "")</f>
        <v>0.2499832338542016</v>
      </c>
      <c r="AN124" s="15">
        <f>IFERROR(tblPiNAnalysis[[#This Row],[PiN más alto]]-tblPiNAnalysis[[#This Row],[3º PiN más alto]],"")</f>
        <v>10438.200000000001</v>
      </c>
      <c r="AO124" s="14">
        <f>IFERROR(tblPiNAnalysis[[#This Row],[Diferencia de PiN entre el más alto y el 3º más alto]]/tblPiNAnalysis[[#This Row],[3º PiN más alto]], "")</f>
        <v>1.4001609657947687</v>
      </c>
      <c r="AP124" s="96" t="str" cm="1">
        <f t="array" ref="AP12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24" s="84" cm="1">
        <f t="array" ref="AQ124">IFERROR(IF(tblPiNAnalysis[[#This Row],[ID]]="", "", INDEX(tblPiNHistorical[[SAMV]:[ASH]], MATCH(tblPiNAnalysis[[#This Row],[ID]],tblPiNHistorical[ID], 0),MATCH(_xlfn._xlws.FILTER(tblPiNAnalysis[[#Headers],[SAMV]:[ASH]], tblPiNAnalysis[[#This Row],[PiN más alto]]=tblPiNAnalysis[[#This Row],[SAMV]:[ASH]]), tblPiNHistorical[[#Headers],[SAMV]:[ASH]], 0))), "")</f>
        <v>9.6</v>
      </c>
      <c r="AR124" s="99" t="str" cm="1">
        <f t="array" ref="AR12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24" s="74" cm="1">
        <f t="array" ref="AS124">IFERROR(IF(tblPiNAnalysis[[#This Row],[ID]]="", "", INDEX(tblPiNHistorical[[SAMV]:[ASH]], MATCH(tblPiNAnalysis[[#This Row],[ID]],tblPiNHistorical[ID], 0),MATCH(_xlfn._xlws.FILTER(tblPiNAnalysis[[#Headers],[SAMV]:[ASH]], tblPiNAnalysis[[#This Row],[2º PiN más alto]]=tblPiNAnalysis[[#This Row],[SAMV]:[ASH]]), tblPiNHistorical[[#Headers],[SAMV]:[ASH]], 0))), "")</f>
        <v>21</v>
      </c>
      <c r="AT124" s="100" t="str" cm="1">
        <f t="array" ref="AT12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24" s="219">
        <f>INDEX(tblSeverityAnalysis[Severidad final], MATCH(tblPiNAnalysis[[#This Row],[ID]],tblSeverityAnalysis[ID], 0))</f>
        <v>3</v>
      </c>
      <c r="AV124" s="220">
        <f>IF(tblPiNAnalysis[[#This Row],[Severidad]]&gt;2,tblPiNAnalysis[[#This Row],[PiN más alto]],)</f>
        <v>17893.2</v>
      </c>
      <c r="AW124" s="54"/>
      <c r="AX124" s="55"/>
      <c r="AY124" s="56">
        <f>COUNTIFS(tblPiNAnalysis[[#This Row],[Número de PiN ausentes/cero superior al umbral - Calidad de los datos]:[Marcador manual]],"Flagged")</f>
        <v>4</v>
      </c>
      <c r="AZ124" s="34" t="str">
        <f>IF(tblPiNAnalysis[[#This Row],[Número de marcadores]]&gt;0, "Flagged", "")</f>
        <v>Flagged</v>
      </c>
      <c r="BA124" s="92">
        <f>tblPiNAnalysis[[#This Row],[PiN preliminar]]</f>
        <v>17893.2</v>
      </c>
      <c r="BB124" s="97"/>
      <c r="BC124" s="70">
        <f>IFERROR(IF(tblPiNAnalysis[[#This Row],[Severidad]]=3,tblPiNAnalysis[[#This Row],[PiN final]]*Umbrales!$D$33,tblPiNAnalysis[[#This Row],[PiN final]]*Umbrales!$D$34),)</f>
        <v>8946.6</v>
      </c>
      <c r="BD124" s="70">
        <f>IFERROR(IF(tblPiNAnalysis[[#This Row],[Severidad]]&gt;3,tblPiNAnalysis[[#This Row],[PiN final]]*Umbrales!$D$34,),)</f>
        <v>0</v>
      </c>
    </row>
    <row r="125" spans="1:56">
      <c r="A125" s="101" t="str">
        <f>IFERROR(_xlfn.CONCAT(IF(tblPiNAnalysis[[#This Row],[Grupo]]="", "",tblPiNAnalysis[[#This Row],[Grupo]] ),  _xlfn.IFS(tblPiNAnalysis[[#This Row],[Admin2PCODE]]&lt;&gt;"", tblPiNAnalysis[[#This Row],[Admin2PCODE]], tblPiNAnalysis[[#This Row],[Admin1PCODE]]&lt;&gt;"", tblPiNAnalysis[[#This Row],[Admin1PCODE]])),"")</f>
        <v>VenezolanosVE0703</v>
      </c>
      <c r="B125" s="105" t="s">
        <v>180</v>
      </c>
      <c r="C125" s="104" t="s">
        <v>239</v>
      </c>
      <c r="D125" s="119" t="s">
        <v>244</v>
      </c>
      <c r="E125" s="104" t="s">
        <v>245</v>
      </c>
      <c r="F125" s="358"/>
      <c r="G125" s="357">
        <v>22263</v>
      </c>
      <c r="H125" s="103" t="s">
        <v>102</v>
      </c>
      <c r="I125" s="60">
        <v>9894</v>
      </c>
      <c r="J125" s="134">
        <v>1291.7422728640395</v>
      </c>
      <c r="K125" s="57">
        <v>8125.9949999999999</v>
      </c>
      <c r="L125" s="87">
        <v>2363.3583442033496</v>
      </c>
      <c r="M125" s="87">
        <v>4445.408603932503</v>
      </c>
      <c r="N125" s="57">
        <v>17810.400000000001</v>
      </c>
      <c r="O125" s="57">
        <v>1422.5307532584011</v>
      </c>
      <c r="P125" s="57">
        <v>1555.8930113763761</v>
      </c>
      <c r="Q125" s="88">
        <f>IFERROR(IF(tblPiNAnalysis[[#This Row],[SAMV]]="", "", MROUND(tblPiNAnalysis[[#This Row],[SAMV]]/tblPiNAnalysis[[#This Row],[Población]], 0.05)), "")</f>
        <v>0.45</v>
      </c>
      <c r="R125" s="89">
        <f>IFERROR(IF(tblPiNAnalysis[[#This Row],[NUT]]="", "", MROUND(tblPiNAnalysis[[#This Row],[NUT]]/tblPiNAnalysis[[#This Row],[Población]], 0.05)), "")</f>
        <v>0.05</v>
      </c>
      <c r="S125" s="89">
        <f>IFERROR(IF(tblPiNAnalysis[[#This Row],[SAL]]="", "", MROUND(tblPiNAnalysis[[#This Row],[SAL]]/tblPiNAnalysis[[#This Row],[Población]], 0.05)), "")</f>
        <v>0.35000000000000003</v>
      </c>
      <c r="T125" s="89">
        <f>IFERROR(IF(tblPiNAnalysis[[#This Row],[EDU]]="", "", MROUND(tblPiNAnalysis[[#This Row],[EDU]]/tblPiNAnalysis[[#This Row],[Población]], 0.05)), "")</f>
        <v>0.1</v>
      </c>
      <c r="U125" s="89">
        <f>IFERROR(IF(tblPiNAnalysis[[#This Row],[PRO]]="", "", MROUND(tblPiNAnalysis[[#This Row],[PRO]]/tblPiNAnalysis[[#This Row],[Población]], 0.05)), "")</f>
        <v>0.2</v>
      </c>
      <c r="V125" s="90">
        <f>IFERROR(IF(tblPiNAnalysis[[#This Row],[ASH]]="", "", MROUND(tblPiNAnalysis[[#This Row],[ASH]]/tblPiNAnalysis[[#This Row],[Población]], 0.05)), "")</f>
        <v>0.8</v>
      </c>
      <c r="W125" s="89">
        <f>IFERROR(MROUND(tblPiNAnalysis[[#This Row],[NNA]]/tblPiNAnalysis[[#This Row],[Población]], 0.05), "")</f>
        <v>0.05</v>
      </c>
      <c r="X125" s="89">
        <f>IFERROR(MROUND(tblPiNAnalysis[[#This Row],[VBG]]/tblPiNAnalysis[[#This Row],[Población]], 0.05), "")</f>
        <v>0.05</v>
      </c>
      <c r="Y125" s="91">
        <f>IFERROR(LARGE(tblPiNAnalysis[[#This Row],[SAMV]:[ASH]], 1), "")</f>
        <v>17810.400000000001</v>
      </c>
      <c r="Z125" s="92" t="str" cm="1">
        <f t="array" ref="Z125">IF(tblPiNAnalysis[[#This Row],[PiN más alto]]="", "", _xlfn.TEXTJOIN(CHAR(10), TRUE, IF(tblPiNAnalysis[[#This Row],[PiN más alto]]=tblPiNAnalysis[[#This Row],[SAMV]:[ASH]], tblPiNAnalysis[[#Headers],[SAMV]:[ASH]], "")))</f>
        <v>ASH</v>
      </c>
      <c r="AA125" s="93">
        <f>IF(tblPiNAnalysis[[#This Row],[PiN más alto]]="", "", tblPiNAnalysis[[#This Row],[PiN más alto]]/tblPiNAnalysis[[#This Row],[Población]])</f>
        <v>0.8</v>
      </c>
      <c r="AB125" s="94" t="str">
        <f>IF(SUM(tblPiNAnalysis[[#This Row],[SAMV]:[ASH]])=0, "",IF(COUNTIF(tblPiNAnalysis[[#This Row],[SAMV]:[ASH]],"=0")+COUNTIF(tblPiNAnalysis[[#This Row],[SAMV]:[ASH]],"")&gt;=zero_pin_thresh, "Flagged", ""))</f>
        <v/>
      </c>
      <c r="AC125" s="95" t="str">
        <f>IFERROR(IF(tblPiNAnalysis[[#This Row],[PiN más alto]]="", "", IF(tblPiNAnalysis[[#This Row],[% PiN Sectores más altos]]&gt;=flag_pin_perc, "Flagged", "")), "")</f>
        <v/>
      </c>
      <c r="AD125" s="96" t="str" cm="1">
        <f t="array" ref="AD125">IF(tblPiNAnalysis[[#This Row],[PiN más alto]]=0, "",  IF(OR(COUNTIF(tblPiNAnalysis[[#This Row],[Sectores más altos]],tblSubSectorPopulation[Sector])), "Flagged", ""))</f>
        <v/>
      </c>
      <c r="AE125" s="16" cm="1">
        <f t="array" ref="AE12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9894</v>
      </c>
      <c r="AF125" s="97" t="str" cm="1">
        <f t="array" ref="AF125">IF(tblPiNAnalysis[[#This Row],[2º PiN más alto]]="", "", _xlfn.TEXTJOIN(CHAR(10), TRUE, IF(tblPiNAnalysis[[#This Row],[2º PiN más alto]]=tblPiNAnalysis[[#This Row],[SAMV]:[ASH]], tblPiNAnalysis[[#Headers],[SAMV]:[ASH]], "")))</f>
        <v>SAMV</v>
      </c>
      <c r="AG125" s="12">
        <f>IFERROR(tblPiNAnalysis[[#This Row],[2º PiN más alto]]/tblPiNAnalysis[[#This Row],[Población]], "")</f>
        <v>0.44441449939361272</v>
      </c>
      <c r="AH125" s="16">
        <f>IFERROR(tblPiNAnalysis[[#This Row],[PiN más alto]]-tblPiNAnalysis[[#This Row],[2º PiN más alto]], "")</f>
        <v>7916.4000000000015</v>
      </c>
      <c r="AI125" s="14">
        <f>IFERROR(((tblPiNAnalysis[[#This Row],[PiN más alto]]-tblPiNAnalysis[[#This Row],[2º PiN más alto]])/tblPiNAnalysis[[#This Row],[2º PiN más alto]]),"")</f>
        <v>0.80012128562765328</v>
      </c>
      <c r="AJ125" s="14" t="str" cm="1">
        <f t="array" ref="AJ12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25" s="98" cm="1">
        <f t="array" ref="AK12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8125.9949999999999</v>
      </c>
      <c r="AL125" s="53" t="str" cm="1">
        <f t="array" ref="AL125">IF(tblPiNAnalysis[[#This Row],[3º PiN más alto]]="", "", _xlfn.TEXTJOIN(CHAR(10), TRUE, IF(tblPiNAnalysis[[#This Row],[3º PiN más alto]]=tblPiNAnalysis[[#This Row],[SAMV]:[ASH]], tblPiNAnalysis[[#Headers],[SAMV]:[ASH]], "")))</f>
        <v>SAL</v>
      </c>
      <c r="AM125" s="53">
        <f>IFERROR(tblPiNAnalysis[[#This Row],[3º PiN más alto]]/tblPiNAnalysis[[#This Row],[Población]], "")</f>
        <v>0.36499999999999999</v>
      </c>
      <c r="AN125" s="15">
        <f>IFERROR(tblPiNAnalysis[[#This Row],[PiN más alto]]-tblPiNAnalysis[[#This Row],[3º PiN más alto]],"")</f>
        <v>9684.4050000000025</v>
      </c>
      <c r="AO125" s="14">
        <f>IFERROR(tblPiNAnalysis[[#This Row],[Diferencia de PiN entre el más alto y el 3º más alto]]/tblPiNAnalysis[[#This Row],[3º PiN más alto]], "")</f>
        <v>1.1917808219178085</v>
      </c>
      <c r="AP125" s="96" t="str" cm="1">
        <f t="array" ref="AP12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25" s="84" cm="1">
        <f t="array" ref="AQ125">IFERROR(IF(tblPiNAnalysis[[#This Row],[ID]]="", "", INDEX(tblPiNHistorical[[SAMV]:[ASH]], MATCH(tblPiNAnalysis[[#This Row],[ID]],tblPiNHistorical[ID], 0),MATCH(_xlfn._xlws.FILTER(tblPiNAnalysis[[#Headers],[SAMV]:[ASH]], tblPiNAnalysis[[#This Row],[PiN más alto]]=tblPiNAnalysis[[#This Row],[SAMV]:[ASH]]), tblPiNHistorical[[#Headers],[SAMV]:[ASH]], 0))), "")</f>
        <v>-0.1</v>
      </c>
      <c r="AR125" s="99" t="str" cm="1">
        <f t="array" ref="AR12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25" s="74" cm="1">
        <f t="array" ref="AS125">IFERROR(IF(tblPiNAnalysis[[#This Row],[ID]]="", "", INDEX(tblPiNHistorical[[SAMV]:[ASH]], MATCH(tblPiNAnalysis[[#This Row],[ID]],tblPiNHistorical[ID], 0),MATCH(_xlfn._xlws.FILTER(tblPiNAnalysis[[#Headers],[SAMV]:[ASH]], tblPiNAnalysis[[#This Row],[2º PiN más alto]]=tblPiNAnalysis[[#This Row],[SAMV]:[ASH]]), tblPiNHistorical[[#Headers],[SAMV]:[ASH]], 0))), "")</f>
        <v>6.6</v>
      </c>
      <c r="AT125" s="100" t="str" cm="1">
        <f t="array" ref="AT12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25" s="219">
        <f>INDEX(tblSeverityAnalysis[Severidad final], MATCH(tblPiNAnalysis[[#This Row],[ID]],tblSeverityAnalysis[ID], 0))</f>
        <v>5</v>
      </c>
      <c r="AV125" s="220">
        <f>IF(tblPiNAnalysis[[#This Row],[Severidad]]&gt;2,tblPiNAnalysis[[#This Row],[PiN más alto]],)</f>
        <v>17810.400000000001</v>
      </c>
      <c r="AW125" s="54"/>
      <c r="AX125" s="55"/>
      <c r="AY125" s="56">
        <f>COUNTIFS(tblPiNAnalysis[[#This Row],[Número de PiN ausentes/cero superior al umbral - Calidad de los datos]:[Marcador manual]],"Flagged")</f>
        <v>3</v>
      </c>
      <c r="AZ125" s="34" t="str">
        <f>IF(tblPiNAnalysis[[#This Row],[Número de marcadores]]&gt;0, "Flagged", "")</f>
        <v>Flagged</v>
      </c>
      <c r="BA125" s="92">
        <f>tblPiNAnalysis[[#This Row],[PiN preliminar]]</f>
        <v>17810.400000000001</v>
      </c>
      <c r="BB125" s="97"/>
      <c r="BC125" s="70">
        <f>IFERROR(IF(tblPiNAnalysis[[#This Row],[Severidad]]=3,tblPiNAnalysis[[#This Row],[PiN final]]*Umbrales!$D$33,tblPiNAnalysis[[#This Row],[PiN final]]*Umbrales!$D$34),)</f>
        <v>17810.400000000001</v>
      </c>
      <c r="BD125" s="70">
        <f>IFERROR(IF(tblPiNAnalysis[[#This Row],[Severidad]]&gt;3,tblPiNAnalysis[[#This Row],[PiN final]]*Umbrales!$D$34,),)</f>
        <v>17810.400000000001</v>
      </c>
    </row>
    <row r="126" spans="1:56">
      <c r="A126" s="101" t="str">
        <f>IFERROR(_xlfn.CONCAT(IF(tblPiNAnalysis[[#This Row],[Grupo]]="", "",tblPiNAnalysis[[#This Row],[Grupo]] ),  _xlfn.IFS(tblPiNAnalysis[[#This Row],[Admin2PCODE]]&lt;&gt;"", tblPiNAnalysis[[#This Row],[Admin2PCODE]], tblPiNAnalysis[[#This Row],[Admin1PCODE]]&lt;&gt;"", tblPiNAnalysis[[#This Row],[Admin1PCODE]])),"")</f>
        <v>VenezolanosVE0405</v>
      </c>
      <c r="B126" s="105" t="s">
        <v>163</v>
      </c>
      <c r="C126" s="104" t="s">
        <v>164</v>
      </c>
      <c r="D126" s="119" t="s">
        <v>173</v>
      </c>
      <c r="E126" s="104" t="s">
        <v>174</v>
      </c>
      <c r="F126" s="358"/>
      <c r="G126" s="357">
        <v>29616</v>
      </c>
      <c r="H126" s="103" t="s">
        <v>102</v>
      </c>
      <c r="I126" s="60">
        <v>7019</v>
      </c>
      <c r="J126" s="134">
        <v>1363.3115695584729</v>
      </c>
      <c r="K126" s="57">
        <v>11200</v>
      </c>
      <c r="L126" s="87">
        <v>757.95896507376585</v>
      </c>
      <c r="M126" s="87">
        <v>5926.6955332376046</v>
      </c>
      <c r="N126" s="57">
        <v>17769.599999999999</v>
      </c>
      <c r="O126" s="57">
        <v>1896.5425706360334</v>
      </c>
      <c r="P126" s="57">
        <v>2074.3434366331617</v>
      </c>
      <c r="Q126" s="88">
        <f>IFERROR(IF(tblPiNAnalysis[[#This Row],[SAMV]]="", "", MROUND(tblPiNAnalysis[[#This Row],[SAMV]]/tblPiNAnalysis[[#This Row],[Población]], 0.05)), "")</f>
        <v>0.25</v>
      </c>
      <c r="R126" s="89">
        <f>IFERROR(IF(tblPiNAnalysis[[#This Row],[NUT]]="", "", MROUND(tblPiNAnalysis[[#This Row],[NUT]]/tblPiNAnalysis[[#This Row],[Población]], 0.05)), "")</f>
        <v>0.05</v>
      </c>
      <c r="S126" s="89">
        <f>IFERROR(IF(tblPiNAnalysis[[#This Row],[SAL]]="", "", MROUND(tblPiNAnalysis[[#This Row],[SAL]]/tblPiNAnalysis[[#This Row],[Población]], 0.05)), "")</f>
        <v>0.4</v>
      </c>
      <c r="T126" s="89">
        <f>IFERROR(IF(tblPiNAnalysis[[#This Row],[EDU]]="", "", MROUND(tblPiNAnalysis[[#This Row],[EDU]]/tblPiNAnalysis[[#This Row],[Población]], 0.05)), "")</f>
        <v>0.05</v>
      </c>
      <c r="U126" s="89">
        <f>IFERROR(IF(tblPiNAnalysis[[#This Row],[PRO]]="", "", MROUND(tblPiNAnalysis[[#This Row],[PRO]]/tblPiNAnalysis[[#This Row],[Población]], 0.05)), "")</f>
        <v>0.2</v>
      </c>
      <c r="V126" s="90">
        <f>IFERROR(IF(tblPiNAnalysis[[#This Row],[ASH]]="", "", MROUND(tblPiNAnalysis[[#This Row],[ASH]]/tblPiNAnalysis[[#This Row],[Población]], 0.05)), "")</f>
        <v>0.60000000000000009</v>
      </c>
      <c r="W126" s="89">
        <f>IFERROR(MROUND(tblPiNAnalysis[[#This Row],[NNA]]/tblPiNAnalysis[[#This Row],[Población]], 0.05), "")</f>
        <v>0.05</v>
      </c>
      <c r="X126" s="89">
        <f>IFERROR(MROUND(tblPiNAnalysis[[#This Row],[VBG]]/tblPiNAnalysis[[#This Row],[Población]], 0.05), "")</f>
        <v>0.05</v>
      </c>
      <c r="Y126" s="91">
        <f>IFERROR(LARGE(tblPiNAnalysis[[#This Row],[SAMV]:[ASH]], 1), "")</f>
        <v>17769.599999999999</v>
      </c>
      <c r="Z126" s="92" t="str" cm="1">
        <f t="array" ref="Z126">IF(tblPiNAnalysis[[#This Row],[PiN más alto]]="", "", _xlfn.TEXTJOIN(CHAR(10), TRUE, IF(tblPiNAnalysis[[#This Row],[PiN más alto]]=tblPiNAnalysis[[#This Row],[SAMV]:[ASH]], tblPiNAnalysis[[#Headers],[SAMV]:[ASH]], "")))</f>
        <v>ASH</v>
      </c>
      <c r="AA126" s="93">
        <f>IF(tblPiNAnalysis[[#This Row],[PiN más alto]]="", "", tblPiNAnalysis[[#This Row],[PiN más alto]]/tblPiNAnalysis[[#This Row],[Población]])</f>
        <v>0.6</v>
      </c>
      <c r="AB126" s="94" t="str">
        <f>IF(SUM(tblPiNAnalysis[[#This Row],[SAMV]:[ASH]])=0, "",IF(COUNTIF(tblPiNAnalysis[[#This Row],[SAMV]:[ASH]],"=0")+COUNTIF(tblPiNAnalysis[[#This Row],[SAMV]:[ASH]],"")&gt;=zero_pin_thresh, "Flagged", ""))</f>
        <v/>
      </c>
      <c r="AC126" s="95" t="str">
        <f>IFERROR(IF(tblPiNAnalysis[[#This Row],[PiN más alto]]="", "", IF(tblPiNAnalysis[[#This Row],[% PiN Sectores más altos]]&gt;=flag_pin_perc, "Flagged", "")), "")</f>
        <v/>
      </c>
      <c r="AD126" s="96" t="str" cm="1">
        <f t="array" ref="AD126">IF(tblPiNAnalysis[[#This Row],[PiN más alto]]=0, "",  IF(OR(COUNTIF(tblPiNAnalysis[[#This Row],[Sectores más altos]],tblSubSectorPopulation[Sector])), "Flagged", ""))</f>
        <v/>
      </c>
      <c r="AE126" s="16" cm="1">
        <f t="array" ref="AE12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11200</v>
      </c>
      <c r="AF126" s="97" t="str" cm="1">
        <f t="array" ref="AF126">IF(tblPiNAnalysis[[#This Row],[2º PiN más alto]]="", "", _xlfn.TEXTJOIN(CHAR(10), TRUE, IF(tblPiNAnalysis[[#This Row],[2º PiN más alto]]=tblPiNAnalysis[[#This Row],[SAMV]:[ASH]], tblPiNAnalysis[[#Headers],[SAMV]:[ASH]], "")))</f>
        <v>SAL</v>
      </c>
      <c r="AG126" s="12">
        <f>IFERROR(tblPiNAnalysis[[#This Row],[2º PiN más alto]]/tblPiNAnalysis[[#This Row],[Población]], "")</f>
        <v>0.37817396002160997</v>
      </c>
      <c r="AH126" s="16">
        <f>IFERROR(tblPiNAnalysis[[#This Row],[PiN más alto]]-tblPiNAnalysis[[#This Row],[2º PiN más alto]], "")</f>
        <v>6569.5999999999985</v>
      </c>
      <c r="AI126" s="14">
        <f>IFERROR(((tblPiNAnalysis[[#This Row],[PiN más alto]]-tblPiNAnalysis[[#This Row],[2º PiN más alto]])/tblPiNAnalysis[[#This Row],[2º PiN más alto]]),"")</f>
        <v>0.58657142857142841</v>
      </c>
      <c r="AJ126" s="14" t="str" cm="1">
        <f t="array" ref="AJ12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26" s="98" cm="1">
        <f t="array" ref="AK12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7019</v>
      </c>
      <c r="AL126" s="53" t="str" cm="1">
        <f t="array" ref="AL126">IF(tblPiNAnalysis[[#This Row],[3º PiN más alto]]="", "", _xlfn.TEXTJOIN(CHAR(10), TRUE, IF(tblPiNAnalysis[[#This Row],[3º PiN más alto]]=tblPiNAnalysis[[#This Row],[SAMV]:[ASH]], tblPiNAnalysis[[#Headers],[SAMV]:[ASH]], "")))</f>
        <v>SAMV</v>
      </c>
      <c r="AM126" s="53">
        <f>IFERROR(tblPiNAnalysis[[#This Row],[3º PiN más alto]]/tblPiNAnalysis[[#This Row],[Población]], "")</f>
        <v>0.23700027012425715</v>
      </c>
      <c r="AN126" s="15">
        <f>IFERROR(tblPiNAnalysis[[#This Row],[PiN más alto]]-tblPiNAnalysis[[#This Row],[3º PiN más alto]],"")</f>
        <v>10750.599999999999</v>
      </c>
      <c r="AO126" s="14">
        <f>IFERROR(tblPiNAnalysis[[#This Row],[Diferencia de PiN entre el más alto y el 3º más alto]]/tblPiNAnalysis[[#This Row],[3º PiN más alto]], "")</f>
        <v>1.5316426841430402</v>
      </c>
      <c r="AP126" s="96" t="str" cm="1">
        <f t="array" ref="AP12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26" s="84" t="str" cm="1">
        <f t="array" ref="AQ126">IFERROR(IF(tblPiNAnalysis[[#This Row],[ID]]="", "", INDEX(tblPiNHistorical[[SAMV]:[ASH]], MATCH(tblPiNAnalysis[[#This Row],[ID]],tblPiNHistorical[ID], 0),MATCH(_xlfn._xlws.FILTER(tblPiNAnalysis[[#Headers],[SAMV]:[ASH]], tblPiNAnalysis[[#This Row],[PiN más alto]]=tblPiNAnalysis[[#This Row],[SAMV]:[ASH]]), tblPiNHistorical[[#Headers],[SAMV]:[ASH]], 0))), "")</f>
        <v>NoPIN26 14483</v>
      </c>
      <c r="AR126" s="99" t="str" cm="1">
        <f t="array" ref="AR12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26" s="74" cm="1">
        <f t="array" ref="AS126">IFERROR(IF(tblPiNAnalysis[[#This Row],[ID]]="", "", INDEX(tblPiNHistorical[[SAMV]:[ASH]], MATCH(tblPiNAnalysis[[#This Row],[ID]],tblPiNHistorical[ID], 0),MATCH(_xlfn._xlws.FILTER(tblPiNAnalysis[[#Headers],[SAMV]:[ASH]], tblPiNAnalysis[[#This Row],[2º PiN más alto]]=tblPiNAnalysis[[#This Row],[SAMV]:[ASH]]), tblPiNHistorical[[#Headers],[SAMV]:[ASH]], 0))), "")</f>
        <v>6.4</v>
      </c>
      <c r="AT126" s="100" t="str" cm="1">
        <f t="array" ref="AT12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26" s="219">
        <f>INDEX(tblSeverityAnalysis[Severidad final], MATCH(tblPiNAnalysis[[#This Row],[ID]],tblSeverityAnalysis[ID], 0))</f>
        <v>4</v>
      </c>
      <c r="AV126" s="220">
        <f>IF(tblPiNAnalysis[[#This Row],[Severidad]]&gt;2,tblPiNAnalysis[[#This Row],[PiN más alto]],)</f>
        <v>17769.599999999999</v>
      </c>
      <c r="AW126" s="54"/>
      <c r="AX126" s="55"/>
      <c r="AY126" s="56">
        <f>COUNTIFS(tblPiNAnalysis[[#This Row],[Número de PiN ausentes/cero superior al umbral - Calidad de los datos]:[Marcador manual]],"Flagged")</f>
        <v>3</v>
      </c>
      <c r="AZ126" s="34" t="str">
        <f>IF(tblPiNAnalysis[[#This Row],[Número de marcadores]]&gt;0, "Flagged", "")</f>
        <v>Flagged</v>
      </c>
      <c r="BA126" s="92">
        <f>tblPiNAnalysis[[#This Row],[PiN preliminar]]</f>
        <v>17769.599999999999</v>
      </c>
      <c r="BB126" s="97"/>
      <c r="BC126" s="70">
        <f>IFERROR(IF(tblPiNAnalysis[[#This Row],[Severidad]]=3,tblPiNAnalysis[[#This Row],[PiN final]]*Umbrales!$D$33,tblPiNAnalysis[[#This Row],[PiN final]]*Umbrales!$D$34),)</f>
        <v>17769.599999999999</v>
      </c>
      <c r="BD126" s="70">
        <f>IFERROR(IF(tblPiNAnalysis[[#This Row],[Severidad]]&gt;3,tblPiNAnalysis[[#This Row],[PiN final]]*Umbrales!$D$34,),)</f>
        <v>17769.599999999999</v>
      </c>
    </row>
    <row r="127" spans="1:56">
      <c r="A127" s="101" t="str">
        <f>IFERROR(_xlfn.CONCAT(IF(tblPiNAnalysis[[#This Row],[Grupo]]="", "",tblPiNAnalysis[[#This Row],[Grupo]] ),  _xlfn.IFS(tblPiNAnalysis[[#This Row],[Admin2PCODE]]&lt;&gt;"", tblPiNAnalysis[[#This Row],[Admin2PCODE]], tblPiNAnalysis[[#This Row],[Admin1PCODE]]&lt;&gt;"", tblPiNAnalysis[[#This Row],[Admin1PCODE]])),"")</f>
        <v>VenezolanosVE1211</v>
      </c>
      <c r="B127" s="105" t="s">
        <v>362</v>
      </c>
      <c r="C127" s="104" t="s">
        <v>363</v>
      </c>
      <c r="D127" s="119" t="s">
        <v>188</v>
      </c>
      <c r="E127" s="104" t="s">
        <v>384</v>
      </c>
      <c r="F127" s="358"/>
      <c r="G127" s="357">
        <v>39282</v>
      </c>
      <c r="H127" s="103" t="s">
        <v>102</v>
      </c>
      <c r="I127" s="60">
        <v>6973</v>
      </c>
      <c r="J127" s="134">
        <v>2565.9408945649348</v>
      </c>
      <c r="K127" s="57">
        <v>14337.93</v>
      </c>
      <c r="L127" s="87">
        <v>3248.3825137372783</v>
      </c>
      <c r="M127" s="87">
        <v>4368.6616649839143</v>
      </c>
      <c r="N127" s="57">
        <v>17676.900000000001</v>
      </c>
      <c r="O127" s="57">
        <v>1397.9717327948524</v>
      </c>
      <c r="P127" s="57">
        <v>1529.0315827443701</v>
      </c>
      <c r="Q127" s="88">
        <f>IFERROR(IF(tblPiNAnalysis[[#This Row],[SAMV]]="", "", MROUND(tblPiNAnalysis[[#This Row],[SAMV]]/tblPiNAnalysis[[#This Row],[Población]], 0.05)), "")</f>
        <v>0.2</v>
      </c>
      <c r="R127" s="89">
        <f>IFERROR(IF(tblPiNAnalysis[[#This Row],[NUT]]="", "", MROUND(tblPiNAnalysis[[#This Row],[NUT]]/tblPiNAnalysis[[#This Row],[Población]], 0.05)), "")</f>
        <v>0.05</v>
      </c>
      <c r="S127" s="89">
        <f>IFERROR(IF(tblPiNAnalysis[[#This Row],[SAL]]="", "", MROUND(tblPiNAnalysis[[#This Row],[SAL]]/tblPiNAnalysis[[#This Row],[Población]], 0.05)), "")</f>
        <v>0.35000000000000003</v>
      </c>
      <c r="T127" s="89">
        <f>IFERROR(IF(tblPiNAnalysis[[#This Row],[EDU]]="", "", MROUND(tblPiNAnalysis[[#This Row],[EDU]]/tblPiNAnalysis[[#This Row],[Población]], 0.05)), "")</f>
        <v>0.1</v>
      </c>
      <c r="U127" s="89">
        <f>IFERROR(IF(tblPiNAnalysis[[#This Row],[PRO]]="", "", MROUND(tblPiNAnalysis[[#This Row],[PRO]]/tblPiNAnalysis[[#This Row],[Población]], 0.05)), "")</f>
        <v>0.1</v>
      </c>
      <c r="V127" s="90">
        <f>IFERROR(IF(tblPiNAnalysis[[#This Row],[ASH]]="", "", MROUND(tblPiNAnalysis[[#This Row],[ASH]]/tblPiNAnalysis[[#This Row],[Población]], 0.05)), "")</f>
        <v>0.45</v>
      </c>
      <c r="W127" s="89">
        <f>IFERROR(MROUND(tblPiNAnalysis[[#This Row],[NNA]]/tblPiNAnalysis[[#This Row],[Población]], 0.05), "")</f>
        <v>0.05</v>
      </c>
      <c r="X127" s="89">
        <f>IFERROR(MROUND(tblPiNAnalysis[[#This Row],[VBG]]/tblPiNAnalysis[[#This Row],[Población]], 0.05), "")</f>
        <v>0.05</v>
      </c>
      <c r="Y127" s="91">
        <f>IFERROR(LARGE(tblPiNAnalysis[[#This Row],[SAMV]:[ASH]], 1), "")</f>
        <v>17676.900000000001</v>
      </c>
      <c r="Z127" s="92" t="str" cm="1">
        <f t="array" ref="Z127">IF(tblPiNAnalysis[[#This Row],[PiN más alto]]="", "", _xlfn.TEXTJOIN(CHAR(10), TRUE, IF(tblPiNAnalysis[[#This Row],[PiN más alto]]=tblPiNAnalysis[[#This Row],[SAMV]:[ASH]], tblPiNAnalysis[[#Headers],[SAMV]:[ASH]], "")))</f>
        <v>ASH</v>
      </c>
      <c r="AA127" s="93">
        <f>IF(tblPiNAnalysis[[#This Row],[PiN más alto]]="", "", tblPiNAnalysis[[#This Row],[PiN más alto]]/tblPiNAnalysis[[#This Row],[Población]])</f>
        <v>0.45</v>
      </c>
      <c r="AB127" s="94" t="str">
        <f>IF(SUM(tblPiNAnalysis[[#This Row],[SAMV]:[ASH]])=0, "",IF(COUNTIF(tblPiNAnalysis[[#This Row],[SAMV]:[ASH]],"=0")+COUNTIF(tblPiNAnalysis[[#This Row],[SAMV]:[ASH]],"")&gt;=zero_pin_thresh, "Flagged", ""))</f>
        <v/>
      </c>
      <c r="AC127" s="95" t="str">
        <f>IFERROR(IF(tblPiNAnalysis[[#This Row],[PiN más alto]]="", "", IF(tblPiNAnalysis[[#This Row],[% PiN Sectores más altos]]&gt;=flag_pin_perc, "Flagged", "")), "")</f>
        <v/>
      </c>
      <c r="AD127" s="96" t="str" cm="1">
        <f t="array" ref="AD127">IF(tblPiNAnalysis[[#This Row],[PiN más alto]]=0, "",  IF(OR(COUNTIF(tblPiNAnalysis[[#This Row],[Sectores más altos]],tblSubSectorPopulation[Sector])), "Flagged", ""))</f>
        <v/>
      </c>
      <c r="AE127" s="16" cm="1">
        <f t="array" ref="AE12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14337.93</v>
      </c>
      <c r="AF127" s="97" t="str" cm="1">
        <f t="array" ref="AF127">IF(tblPiNAnalysis[[#This Row],[2º PiN más alto]]="", "", _xlfn.TEXTJOIN(CHAR(10), TRUE, IF(tblPiNAnalysis[[#This Row],[2º PiN más alto]]=tblPiNAnalysis[[#This Row],[SAMV]:[ASH]], tblPiNAnalysis[[#Headers],[SAMV]:[ASH]], "")))</f>
        <v>SAL</v>
      </c>
      <c r="AG127" s="12">
        <f>IFERROR(tblPiNAnalysis[[#This Row],[2º PiN más alto]]/tblPiNAnalysis[[#This Row],[Población]], "")</f>
        <v>0.36499999999999999</v>
      </c>
      <c r="AH127" s="16">
        <f>IFERROR(tblPiNAnalysis[[#This Row],[PiN más alto]]-tblPiNAnalysis[[#This Row],[2º PiN más alto]], "")</f>
        <v>3338.9700000000012</v>
      </c>
      <c r="AI127" s="14">
        <f>IFERROR(((tblPiNAnalysis[[#This Row],[PiN más alto]]-tblPiNAnalysis[[#This Row],[2º PiN más alto]])/tblPiNAnalysis[[#This Row],[2º PiN más alto]]),"")</f>
        <v>0.23287671232876719</v>
      </c>
      <c r="AJ127" s="14" t="str" cm="1">
        <f t="array" ref="AJ12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27" s="98" cm="1">
        <f t="array" ref="AK12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6973</v>
      </c>
      <c r="AL127" s="53" t="str" cm="1">
        <f t="array" ref="AL127">IF(tblPiNAnalysis[[#This Row],[3º PiN más alto]]="", "", _xlfn.TEXTJOIN(CHAR(10), TRUE, IF(tblPiNAnalysis[[#This Row],[3º PiN más alto]]=tblPiNAnalysis[[#This Row],[SAMV]:[ASH]], tblPiNAnalysis[[#Headers],[SAMV]:[ASH]], "")))</f>
        <v>SAMV</v>
      </c>
      <c r="AM127" s="53">
        <f>IFERROR(tblPiNAnalysis[[#This Row],[3º PiN más alto]]/tblPiNAnalysis[[#This Row],[Población]], "")</f>
        <v>0.17751132834377067</v>
      </c>
      <c r="AN127" s="15">
        <f>IFERROR(tblPiNAnalysis[[#This Row],[PiN más alto]]-tblPiNAnalysis[[#This Row],[3º PiN más alto]],"")</f>
        <v>10703.900000000001</v>
      </c>
      <c r="AO127" s="14">
        <f>IFERROR(tblPiNAnalysis[[#This Row],[Diferencia de PiN entre el más alto y el 3º más alto]]/tblPiNAnalysis[[#This Row],[3º PiN más alto]], "")</f>
        <v>1.5350494765524167</v>
      </c>
      <c r="AP127" s="96" t="str" cm="1">
        <f t="array" ref="AP12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27" s="84" t="str" cm="1">
        <f t="array" ref="AQ127">IFERROR(IF(tblPiNAnalysis[[#This Row],[ID]]="", "", INDEX(tblPiNHistorical[[SAMV]:[ASH]], MATCH(tblPiNAnalysis[[#This Row],[ID]],tblPiNHistorical[ID], 0),MATCH(_xlfn._xlws.FILTER(tblPiNAnalysis[[#Headers],[SAMV]:[ASH]], tblPiNAnalysis[[#This Row],[PiN más alto]]=tblPiNAnalysis[[#This Row],[SAMV]:[ASH]]), tblPiNHistorical[[#Headers],[SAMV]:[ASH]], 0))), "")</f>
        <v>New26 1312.2675</v>
      </c>
      <c r="AR127" s="99" t="str" cm="1">
        <f t="array" ref="AR12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27" s="74" cm="1">
        <f t="array" ref="AS127">IFERROR(IF(tblPiNAnalysis[[#This Row],[ID]]="", "", INDEX(tblPiNHistorical[[SAMV]:[ASH]], MATCH(tblPiNAnalysis[[#This Row],[ID]],tblPiNHistorical[ID], 0),MATCH(_xlfn._xlws.FILTER(tblPiNAnalysis[[#Headers],[SAMV]:[ASH]], tblPiNAnalysis[[#This Row],[2º PiN más alto]]=tblPiNAnalysis[[#This Row],[SAMV]:[ASH]]), tblPiNHistorical[[#Headers],[SAMV]:[ASH]], 0))), "")</f>
        <v>0.4</v>
      </c>
      <c r="AT127" s="100" t="str" cm="1">
        <f t="array" ref="AT12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27" s="219">
        <f>INDEX(tblSeverityAnalysis[Severidad final], MATCH(tblPiNAnalysis[[#This Row],[ID]],tblSeverityAnalysis[ID], 0))</f>
        <v>3</v>
      </c>
      <c r="AV127" s="220">
        <f>IF(tblPiNAnalysis[[#This Row],[Severidad]]&gt;2,tblPiNAnalysis[[#This Row],[PiN más alto]],)</f>
        <v>17676.900000000001</v>
      </c>
      <c r="AW127" s="54"/>
      <c r="AX127" s="55"/>
      <c r="AY127" s="56">
        <f>COUNTIFS(tblPiNAnalysis[[#This Row],[Número de PiN ausentes/cero superior al umbral - Calidad de los datos]:[Marcador manual]],"Flagged")</f>
        <v>1</v>
      </c>
      <c r="AZ127" s="34" t="str">
        <f>IF(tblPiNAnalysis[[#This Row],[Número de marcadores]]&gt;0, "Flagged", "")</f>
        <v>Flagged</v>
      </c>
      <c r="BA127" s="92">
        <f>tblPiNAnalysis[[#This Row],[PiN preliminar]]</f>
        <v>17676.900000000001</v>
      </c>
      <c r="BB127" s="97"/>
      <c r="BC127" s="70">
        <f>IFERROR(IF(tblPiNAnalysis[[#This Row],[Severidad]]=3,tblPiNAnalysis[[#This Row],[PiN final]]*Umbrales!$D$33,tblPiNAnalysis[[#This Row],[PiN final]]*Umbrales!$D$34),)</f>
        <v>8838.4500000000007</v>
      </c>
      <c r="BD127" s="70">
        <f>IFERROR(IF(tblPiNAnalysis[[#This Row],[Severidad]]&gt;3,tblPiNAnalysis[[#This Row],[PiN final]]*Umbrales!$D$34,),)</f>
        <v>0</v>
      </c>
    </row>
    <row r="128" spans="1:56">
      <c r="A128" s="101" t="str">
        <f>IFERROR(_xlfn.CONCAT(IF(tblPiNAnalysis[[#This Row],[Grupo]]="", "",tblPiNAnalysis[[#This Row],[Grupo]] ),  _xlfn.IFS(tblPiNAnalysis[[#This Row],[Admin2PCODE]]&lt;&gt;"", tblPiNAnalysis[[#This Row],[Admin2PCODE]], tblPiNAnalysis[[#This Row],[Admin1PCODE]]&lt;&gt;"", tblPiNAnalysis[[#This Row],[Admin1PCODE]])),"")</f>
        <v>VenezolanosVE1301</v>
      </c>
      <c r="B128" s="105" t="s">
        <v>393</v>
      </c>
      <c r="C128" s="104" t="s">
        <v>394</v>
      </c>
      <c r="D128" s="119" t="s">
        <v>237</v>
      </c>
      <c r="E128" s="104" t="s">
        <v>395</v>
      </c>
      <c r="F128" s="358"/>
      <c r="G128" s="357">
        <v>48313</v>
      </c>
      <c r="H128" s="103" t="s">
        <v>102</v>
      </c>
      <c r="I128" s="60">
        <v>5510</v>
      </c>
      <c r="J128" s="134">
        <v>2015.750991920838</v>
      </c>
      <c r="K128" s="57">
        <v>17634.244999999999</v>
      </c>
      <c r="L128" s="87">
        <v>7159.9278576803681</v>
      </c>
      <c r="M128" s="87">
        <v>9594.9363090728602</v>
      </c>
      <c r="N128" s="57">
        <v>6522.2550000000001</v>
      </c>
      <c r="O128" s="57">
        <v>3070.3796189033155</v>
      </c>
      <c r="P128" s="57">
        <v>3358.2277081755014</v>
      </c>
      <c r="Q128" s="88">
        <f>IFERROR(IF(tblPiNAnalysis[[#This Row],[SAMV]]="", "", MROUND(tblPiNAnalysis[[#This Row],[SAMV]]/tblPiNAnalysis[[#This Row],[Población]], 0.05)), "")</f>
        <v>0.1</v>
      </c>
      <c r="R128" s="89">
        <f>IFERROR(IF(tblPiNAnalysis[[#This Row],[NUT]]="", "", MROUND(tblPiNAnalysis[[#This Row],[NUT]]/tblPiNAnalysis[[#This Row],[Población]], 0.05)), "")</f>
        <v>0.05</v>
      </c>
      <c r="S128" s="89">
        <f>IFERROR(IF(tblPiNAnalysis[[#This Row],[SAL]]="", "", MROUND(tblPiNAnalysis[[#This Row],[SAL]]/tblPiNAnalysis[[#This Row],[Población]], 0.05)), "")</f>
        <v>0.35000000000000003</v>
      </c>
      <c r="T128" s="89">
        <f>IFERROR(IF(tblPiNAnalysis[[#This Row],[EDU]]="", "", MROUND(tblPiNAnalysis[[#This Row],[EDU]]/tblPiNAnalysis[[#This Row],[Población]], 0.05)), "")</f>
        <v>0.15000000000000002</v>
      </c>
      <c r="U128" s="89">
        <f>IFERROR(IF(tblPiNAnalysis[[#This Row],[PRO]]="", "", MROUND(tblPiNAnalysis[[#This Row],[PRO]]/tblPiNAnalysis[[#This Row],[Población]], 0.05)), "")</f>
        <v>0.2</v>
      </c>
      <c r="V128" s="90">
        <f>IFERROR(IF(tblPiNAnalysis[[#This Row],[ASH]]="", "", MROUND(tblPiNAnalysis[[#This Row],[ASH]]/tblPiNAnalysis[[#This Row],[Población]], 0.05)), "")</f>
        <v>0.15000000000000002</v>
      </c>
      <c r="W128" s="89">
        <f>IFERROR(MROUND(tblPiNAnalysis[[#This Row],[NNA]]/tblPiNAnalysis[[#This Row],[Población]], 0.05), "")</f>
        <v>0.05</v>
      </c>
      <c r="X128" s="89">
        <f>IFERROR(MROUND(tblPiNAnalysis[[#This Row],[VBG]]/tblPiNAnalysis[[#This Row],[Población]], 0.05), "")</f>
        <v>0.05</v>
      </c>
      <c r="Y128" s="91">
        <f>IFERROR(LARGE(tblPiNAnalysis[[#This Row],[SAMV]:[ASH]], 1), "")</f>
        <v>17634.244999999999</v>
      </c>
      <c r="Z128" s="92" t="str" cm="1">
        <f t="array" ref="Z128">IF(tblPiNAnalysis[[#This Row],[PiN más alto]]="", "", _xlfn.TEXTJOIN(CHAR(10), TRUE, IF(tblPiNAnalysis[[#This Row],[PiN más alto]]=tblPiNAnalysis[[#This Row],[SAMV]:[ASH]], tblPiNAnalysis[[#Headers],[SAMV]:[ASH]], "")))</f>
        <v>SAL</v>
      </c>
      <c r="AA128" s="93">
        <f>IF(tblPiNAnalysis[[#This Row],[PiN más alto]]="", "", tblPiNAnalysis[[#This Row],[PiN más alto]]/tblPiNAnalysis[[#This Row],[Población]])</f>
        <v>0.36499999999999999</v>
      </c>
      <c r="AB128" s="94" t="str">
        <f>IF(SUM(tblPiNAnalysis[[#This Row],[SAMV]:[ASH]])=0, "",IF(COUNTIF(tblPiNAnalysis[[#This Row],[SAMV]:[ASH]],"=0")+COUNTIF(tblPiNAnalysis[[#This Row],[SAMV]:[ASH]],"")&gt;=zero_pin_thresh, "Flagged", ""))</f>
        <v/>
      </c>
      <c r="AC128" s="95" t="str">
        <f>IFERROR(IF(tblPiNAnalysis[[#This Row],[PiN más alto]]="", "", IF(tblPiNAnalysis[[#This Row],[% PiN Sectores más altos]]&gt;=flag_pin_perc, "Flagged", "")), "")</f>
        <v/>
      </c>
      <c r="AD128" s="96" t="str" cm="1">
        <f t="array" ref="AD128">IF(tblPiNAnalysis[[#This Row],[PiN más alto]]=0, "",  IF(OR(COUNTIF(tblPiNAnalysis[[#This Row],[Sectores más altos]],tblSubSectorPopulation[Sector])), "Flagged", ""))</f>
        <v/>
      </c>
      <c r="AE128" s="16" cm="1">
        <f t="array" ref="AE12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9594.9363090728602</v>
      </c>
      <c r="AF128" s="97" t="str" cm="1">
        <f t="array" ref="AF128">IF(tblPiNAnalysis[[#This Row],[2º PiN más alto]]="", "", _xlfn.TEXTJOIN(CHAR(10), TRUE, IF(tblPiNAnalysis[[#This Row],[2º PiN más alto]]=tblPiNAnalysis[[#This Row],[SAMV]:[ASH]], tblPiNAnalysis[[#Headers],[SAMV]:[ASH]], "")))</f>
        <v>PRO</v>
      </c>
      <c r="AG128" s="12">
        <f>IFERROR(tblPiNAnalysis[[#This Row],[2º PiN más alto]]/tblPiNAnalysis[[#This Row],[Población]], "")</f>
        <v>0.19859947237954298</v>
      </c>
      <c r="AH128" s="16">
        <f>IFERROR(tblPiNAnalysis[[#This Row],[PiN más alto]]-tblPiNAnalysis[[#This Row],[2º PiN más alto]], "")</f>
        <v>8039.3086909271387</v>
      </c>
      <c r="AI128" s="14">
        <f>IFERROR(((tblPiNAnalysis[[#This Row],[PiN más alto]]-tblPiNAnalysis[[#This Row],[2º PiN más alto]])/tblPiNAnalysis[[#This Row],[2º PiN más alto]]),"")</f>
        <v>0.83786993805526999</v>
      </c>
      <c r="AJ128" s="14" t="str" cm="1">
        <f t="array" ref="AJ12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28" s="98" cm="1">
        <f t="array" ref="AK12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7159.9278576803681</v>
      </c>
      <c r="AL128" s="53" t="str" cm="1">
        <f t="array" ref="AL128">IF(tblPiNAnalysis[[#This Row],[3º PiN más alto]]="", "", _xlfn.TEXTJOIN(CHAR(10), TRUE, IF(tblPiNAnalysis[[#This Row],[3º PiN más alto]]=tblPiNAnalysis[[#This Row],[SAMV]:[ASH]], tblPiNAnalysis[[#Headers],[SAMV]:[ASH]], "")))</f>
        <v>EDU</v>
      </c>
      <c r="AM128" s="53">
        <f>IFERROR(tblPiNAnalysis[[#This Row],[3º PiN más alto]]/tblPiNAnalysis[[#This Row],[Población]], "")</f>
        <v>0.14819878413015891</v>
      </c>
      <c r="AN128" s="15">
        <f>IFERROR(tblPiNAnalysis[[#This Row],[PiN más alto]]-tblPiNAnalysis[[#This Row],[3º PiN más alto]],"")</f>
        <v>10474.317142319631</v>
      </c>
      <c r="AO128" s="14">
        <f>IFERROR(tblPiNAnalysis[[#This Row],[Diferencia de PiN entre el más alto y el 3º más alto]]/tblPiNAnalysis[[#This Row],[3º PiN más alto]], "")</f>
        <v>1.4629081955181933</v>
      </c>
      <c r="AP128" s="96" t="str" cm="1">
        <f t="array" ref="AP12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28" s="84" cm="1">
        <f t="array" ref="AQ128">IFERROR(IF(tblPiNAnalysis[[#This Row],[ID]]="", "", INDEX(tblPiNHistorical[[SAMV]:[ASH]], MATCH(tblPiNAnalysis[[#This Row],[ID]],tblPiNHistorical[ID], 0),MATCH(_xlfn._xlws.FILTER(tblPiNAnalysis[[#Headers],[SAMV]:[ASH]], tblPiNAnalysis[[#This Row],[PiN más alto]]=tblPiNAnalysis[[#This Row],[SAMV]:[ASH]]), tblPiNHistorical[[#Headers],[SAMV]:[ASH]], 0))), "")</f>
        <v>0.1</v>
      </c>
      <c r="AR128" s="99" t="str" cm="1">
        <f t="array" ref="AR12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28" s="74" cm="1">
        <f t="array" ref="AS128">IFERROR(IF(tblPiNAnalysis[[#This Row],[ID]]="", "", INDEX(tblPiNHistorical[[SAMV]:[ASH]], MATCH(tblPiNAnalysis[[#This Row],[ID]],tblPiNHistorical[ID], 0),MATCH(_xlfn._xlws.FILTER(tblPiNAnalysis[[#Headers],[SAMV]:[ASH]], tblPiNAnalysis[[#This Row],[2º PiN más alto]]=tblPiNAnalysis[[#This Row],[SAMV]:[ASH]]), tblPiNHistorical[[#Headers],[SAMV]:[ASH]], 0))), "")</f>
        <v>-0.8</v>
      </c>
      <c r="AT128" s="100" t="str" cm="1">
        <f t="array" ref="AT12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28" s="219">
        <f>INDEX(tblSeverityAnalysis[Severidad final], MATCH(tblPiNAnalysis[[#This Row],[ID]],tblSeverityAnalysis[ID], 0))</f>
        <v>3</v>
      </c>
      <c r="AV128" s="220">
        <f>IF(tblPiNAnalysis[[#This Row],[Severidad]]&gt;2,tblPiNAnalysis[[#This Row],[PiN más alto]],)</f>
        <v>17634.244999999999</v>
      </c>
      <c r="AW128" s="54"/>
      <c r="AX128" s="55"/>
      <c r="AY128" s="56">
        <f>COUNTIFS(tblPiNAnalysis[[#This Row],[Número de PiN ausentes/cero superior al umbral - Calidad de los datos]:[Marcador manual]],"Flagged")</f>
        <v>2</v>
      </c>
      <c r="AZ128" s="34" t="str">
        <f>IF(tblPiNAnalysis[[#This Row],[Número de marcadores]]&gt;0, "Flagged", "")</f>
        <v>Flagged</v>
      </c>
      <c r="BA128" s="92">
        <f>tblPiNAnalysis[[#This Row],[PiN preliminar]]</f>
        <v>17634.244999999999</v>
      </c>
      <c r="BB128" s="97"/>
      <c r="BC128" s="70">
        <f>IFERROR(IF(tblPiNAnalysis[[#This Row],[Severidad]]=3,tblPiNAnalysis[[#This Row],[PiN final]]*Umbrales!$D$33,tblPiNAnalysis[[#This Row],[PiN final]]*Umbrales!$D$34),)</f>
        <v>8817.1224999999995</v>
      </c>
      <c r="BD128" s="70">
        <f>IFERROR(IF(tblPiNAnalysis[[#This Row],[Severidad]]&gt;3,tblPiNAnalysis[[#This Row],[PiN final]]*Umbrales!$D$34,),)</f>
        <v>0</v>
      </c>
    </row>
    <row r="129" spans="1:56">
      <c r="A129" s="101" t="str">
        <f>IFERROR(_xlfn.CONCAT(IF(tblPiNAnalysis[[#This Row],[Grupo]]="", "",tblPiNAnalysis[[#This Row],[Grupo]] ),  _xlfn.IFS(tblPiNAnalysis[[#This Row],[Admin2PCODE]]&lt;&gt;"", tblPiNAnalysis[[#This Row],[Admin2PCODE]], tblPiNAnalysis[[#This Row],[Admin1PCODE]]&lt;&gt;"", tblPiNAnalysis[[#This Row],[Admin1PCODE]])),"")</f>
        <v>VenezolanosVE1903</v>
      </c>
      <c r="B129" s="105" t="s">
        <v>203</v>
      </c>
      <c r="C129" s="104" t="s">
        <v>564</v>
      </c>
      <c r="D129" s="119" t="s">
        <v>221</v>
      </c>
      <c r="E129" s="104" t="s">
        <v>568</v>
      </c>
      <c r="F129" s="358"/>
      <c r="G129" s="357">
        <v>48268</v>
      </c>
      <c r="H129" s="103" t="s">
        <v>102</v>
      </c>
      <c r="I129" s="60">
        <v>10773</v>
      </c>
      <c r="J129" s="134">
        <v>5570.5708381610048</v>
      </c>
      <c r="K129" s="57">
        <v>17617.82</v>
      </c>
      <c r="L129" s="87">
        <v>3108.3234911339991</v>
      </c>
      <c r="M129" s="87">
        <v>11554.646427566071</v>
      </c>
      <c r="N129" s="57">
        <v>0</v>
      </c>
      <c r="O129" s="57">
        <v>3697.4868568211432</v>
      </c>
      <c r="P129" s="57">
        <v>4044.1262496481249</v>
      </c>
      <c r="Q129" s="88">
        <f>IFERROR(IF(tblPiNAnalysis[[#This Row],[SAMV]]="", "", MROUND(tblPiNAnalysis[[#This Row],[SAMV]]/tblPiNAnalysis[[#This Row],[Población]], 0.05)), "")</f>
        <v>0.2</v>
      </c>
      <c r="R129" s="89">
        <f>IFERROR(IF(tblPiNAnalysis[[#This Row],[NUT]]="", "", MROUND(tblPiNAnalysis[[#This Row],[NUT]]/tblPiNAnalysis[[#This Row],[Población]], 0.05)), "")</f>
        <v>0.1</v>
      </c>
      <c r="S129" s="89">
        <f>IFERROR(IF(tblPiNAnalysis[[#This Row],[SAL]]="", "", MROUND(tblPiNAnalysis[[#This Row],[SAL]]/tblPiNAnalysis[[#This Row],[Población]], 0.05)), "")</f>
        <v>0.35000000000000003</v>
      </c>
      <c r="T129" s="89">
        <f>IFERROR(IF(tblPiNAnalysis[[#This Row],[EDU]]="", "", MROUND(tblPiNAnalysis[[#This Row],[EDU]]/tblPiNAnalysis[[#This Row],[Población]], 0.05)), "")</f>
        <v>0.05</v>
      </c>
      <c r="U129" s="89">
        <f>IFERROR(IF(tblPiNAnalysis[[#This Row],[PRO]]="", "", MROUND(tblPiNAnalysis[[#This Row],[PRO]]/tblPiNAnalysis[[#This Row],[Población]], 0.05)), "")</f>
        <v>0.25</v>
      </c>
      <c r="V129" s="90">
        <f>IFERROR(IF(tblPiNAnalysis[[#This Row],[ASH]]="", "", MROUND(tblPiNAnalysis[[#This Row],[ASH]]/tblPiNAnalysis[[#This Row],[Población]], 0.05)), "")</f>
        <v>0</v>
      </c>
      <c r="W129" s="89">
        <f>IFERROR(MROUND(tblPiNAnalysis[[#This Row],[NNA]]/tblPiNAnalysis[[#This Row],[Población]], 0.05), "")</f>
        <v>0.1</v>
      </c>
      <c r="X129" s="89">
        <f>IFERROR(MROUND(tblPiNAnalysis[[#This Row],[VBG]]/tblPiNAnalysis[[#This Row],[Población]], 0.05), "")</f>
        <v>0.1</v>
      </c>
      <c r="Y129" s="91">
        <f>IFERROR(LARGE(tblPiNAnalysis[[#This Row],[SAMV]:[ASH]], 1), "")</f>
        <v>17617.82</v>
      </c>
      <c r="Z129" s="92" t="str" cm="1">
        <f t="array" ref="Z129">IF(tblPiNAnalysis[[#This Row],[PiN más alto]]="", "", _xlfn.TEXTJOIN(CHAR(10), TRUE, IF(tblPiNAnalysis[[#This Row],[PiN más alto]]=tblPiNAnalysis[[#This Row],[SAMV]:[ASH]], tblPiNAnalysis[[#Headers],[SAMV]:[ASH]], "")))</f>
        <v>SAL</v>
      </c>
      <c r="AA129" s="93">
        <f>IF(tblPiNAnalysis[[#This Row],[PiN más alto]]="", "", tblPiNAnalysis[[#This Row],[PiN más alto]]/tblPiNAnalysis[[#This Row],[Población]])</f>
        <v>0.36499999999999999</v>
      </c>
      <c r="AB129" s="94" t="str">
        <f>IF(SUM(tblPiNAnalysis[[#This Row],[SAMV]:[ASH]])=0, "",IF(COUNTIF(tblPiNAnalysis[[#This Row],[SAMV]:[ASH]],"=0")+COUNTIF(tblPiNAnalysis[[#This Row],[SAMV]:[ASH]],"")&gt;=zero_pin_thresh, "Flagged", ""))</f>
        <v/>
      </c>
      <c r="AC129" s="95" t="str">
        <f>IFERROR(IF(tblPiNAnalysis[[#This Row],[PiN más alto]]="", "", IF(tblPiNAnalysis[[#This Row],[% PiN Sectores más altos]]&gt;=flag_pin_perc, "Flagged", "")), "")</f>
        <v/>
      </c>
      <c r="AD129" s="96" t="str" cm="1">
        <f t="array" ref="AD129">IF(tblPiNAnalysis[[#This Row],[PiN más alto]]=0, "",  IF(OR(COUNTIF(tblPiNAnalysis[[#This Row],[Sectores más altos]],tblSubSectorPopulation[Sector])), "Flagged", ""))</f>
        <v/>
      </c>
      <c r="AE129" s="16" cm="1">
        <f t="array" ref="AE12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11554.646427566071</v>
      </c>
      <c r="AF129" s="97" t="str" cm="1">
        <f t="array" ref="AF129">IF(tblPiNAnalysis[[#This Row],[2º PiN más alto]]="", "", _xlfn.TEXTJOIN(CHAR(10), TRUE, IF(tblPiNAnalysis[[#This Row],[2º PiN más alto]]=tblPiNAnalysis[[#This Row],[SAMV]:[ASH]], tblPiNAnalysis[[#Headers],[SAMV]:[ASH]], "")))</f>
        <v>PRO</v>
      </c>
      <c r="AG129" s="12">
        <f>IFERROR(tblPiNAnalysis[[#This Row],[2º PiN más alto]]/tblPiNAnalysis[[#This Row],[Población]], "")</f>
        <v>0.23938523302324669</v>
      </c>
      <c r="AH129" s="16">
        <f>IFERROR(tblPiNAnalysis[[#This Row],[PiN más alto]]-tblPiNAnalysis[[#This Row],[2º PiN más alto]], "")</f>
        <v>6063.1735724339287</v>
      </c>
      <c r="AI129" s="14">
        <f>IFERROR(((tblPiNAnalysis[[#This Row],[PiN más alto]]-tblPiNAnalysis[[#This Row],[2º PiN más alto]])/tblPiNAnalysis[[#This Row],[2º PiN más alto]]),"")</f>
        <v>0.52473899659698253</v>
      </c>
      <c r="AJ129" s="14" t="str" cm="1">
        <f t="array" ref="AJ12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29" s="98" cm="1">
        <f t="array" ref="AK12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10773</v>
      </c>
      <c r="AL129" s="53" t="str" cm="1">
        <f t="array" ref="AL129">IF(tblPiNAnalysis[[#This Row],[3º PiN más alto]]="", "", _xlfn.TEXTJOIN(CHAR(10), TRUE, IF(tblPiNAnalysis[[#This Row],[3º PiN más alto]]=tblPiNAnalysis[[#This Row],[SAMV]:[ASH]], tblPiNAnalysis[[#Headers],[SAMV]:[ASH]], "")))</f>
        <v>SAMV</v>
      </c>
      <c r="AM129" s="53">
        <f>IFERROR(tblPiNAnalysis[[#This Row],[3º PiN más alto]]/tblPiNAnalysis[[#This Row],[Población]], "")</f>
        <v>0.22319134830529544</v>
      </c>
      <c r="AN129" s="15">
        <f>IFERROR(tblPiNAnalysis[[#This Row],[PiN más alto]]-tblPiNAnalysis[[#This Row],[3º PiN más alto]],"")</f>
        <v>6844.82</v>
      </c>
      <c r="AO129" s="14">
        <f>IFERROR(tblPiNAnalysis[[#This Row],[Diferencia de PiN entre el más alto y el 3º más alto]]/tblPiNAnalysis[[#This Row],[3º PiN más alto]], "")</f>
        <v>0.63536804975401462</v>
      </c>
      <c r="AP129" s="96" t="str" cm="1">
        <f t="array" ref="AP12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29" s="84" cm="1">
        <f t="array" ref="AQ129">IFERROR(IF(tblPiNAnalysis[[#This Row],[ID]]="", "", INDEX(tblPiNHistorical[[SAMV]:[ASH]], MATCH(tblPiNAnalysis[[#This Row],[ID]],tblPiNHistorical[ID], 0),MATCH(_xlfn._xlws.FILTER(tblPiNAnalysis[[#Headers],[SAMV]:[ASH]], tblPiNAnalysis[[#This Row],[PiN más alto]]=tblPiNAnalysis[[#This Row],[SAMV]:[ASH]]), tblPiNHistorical[[#Headers],[SAMV]:[ASH]], 0))), "")</f>
        <v>2.5</v>
      </c>
      <c r="AR129" s="99" t="str" cm="1">
        <f t="array" ref="AR12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29" s="74" cm="1">
        <f t="array" ref="AS129">IFERROR(IF(tblPiNAnalysis[[#This Row],[ID]]="", "", INDEX(tblPiNHistorical[[SAMV]:[ASH]], MATCH(tblPiNAnalysis[[#This Row],[ID]],tblPiNHistorical[ID], 0),MATCH(_xlfn._xlws.FILTER(tblPiNAnalysis[[#Headers],[SAMV]:[ASH]], tblPiNAnalysis[[#This Row],[2º PiN más alto]]=tblPiNAnalysis[[#This Row],[SAMV]:[ASH]]), tblPiNHistorical[[#Headers],[SAMV]:[ASH]], 0))), "")</f>
        <v>0.5</v>
      </c>
      <c r="AT129" s="100" t="str" cm="1">
        <f t="array" ref="AT12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29" s="219">
        <f>INDEX(tblSeverityAnalysis[Severidad final], MATCH(tblPiNAnalysis[[#This Row],[ID]],tblSeverityAnalysis[ID], 0))</f>
        <v>3</v>
      </c>
      <c r="AV129" s="220">
        <f>IF(tblPiNAnalysis[[#This Row],[Severidad]]&gt;2,tblPiNAnalysis[[#This Row],[PiN más alto]],)</f>
        <v>17617.82</v>
      </c>
      <c r="AW129" s="54"/>
      <c r="AX129" s="55"/>
      <c r="AY129" s="56">
        <f>COUNTIFS(tblPiNAnalysis[[#This Row],[Número de PiN ausentes/cero superior al umbral - Calidad de los datos]:[Marcador manual]],"Flagged")</f>
        <v>3</v>
      </c>
      <c r="AZ129" s="34" t="str">
        <f>IF(tblPiNAnalysis[[#This Row],[Número de marcadores]]&gt;0, "Flagged", "")</f>
        <v>Flagged</v>
      </c>
      <c r="BA129" s="92">
        <f>tblPiNAnalysis[[#This Row],[PiN preliminar]]</f>
        <v>17617.82</v>
      </c>
      <c r="BB129" s="97"/>
      <c r="BC129" s="70">
        <f>IFERROR(IF(tblPiNAnalysis[[#This Row],[Severidad]]=3,tblPiNAnalysis[[#This Row],[PiN final]]*Umbrales!$D$33,tblPiNAnalysis[[#This Row],[PiN final]]*Umbrales!$D$34),)</f>
        <v>8808.91</v>
      </c>
      <c r="BD129" s="70">
        <f>IFERROR(IF(tblPiNAnalysis[[#This Row],[Severidad]]&gt;3,tblPiNAnalysis[[#This Row],[PiN final]]*Umbrales!$D$34,),)</f>
        <v>0</v>
      </c>
    </row>
    <row r="130" spans="1:56">
      <c r="A130" s="101" t="str">
        <f>IFERROR(_xlfn.CONCAT(IF(tblPiNAnalysis[[#This Row],[Grupo]]="", "",tblPiNAnalysis[[#This Row],[Grupo]] ),  _xlfn.IFS(tblPiNAnalysis[[#This Row],[Admin2PCODE]]&lt;&gt;"", tblPiNAnalysis[[#This Row],[Admin2PCODE]], tblPiNAnalysis[[#This Row],[Admin1PCODE]]&lt;&gt;"", tblPiNAnalysis[[#This Row],[Admin1PCODE]])),"")</f>
        <v>VenezolanosVE1403</v>
      </c>
      <c r="B130" s="105" t="s">
        <v>411</v>
      </c>
      <c r="C130" s="104" t="s">
        <v>412</v>
      </c>
      <c r="D130" s="119" t="s">
        <v>417</v>
      </c>
      <c r="E130" s="104" t="s">
        <v>418</v>
      </c>
      <c r="F130" s="358"/>
      <c r="G130" s="357">
        <v>24553</v>
      </c>
      <c r="H130" s="103" t="s">
        <v>102</v>
      </c>
      <c r="I130" s="60">
        <v>8556</v>
      </c>
      <c r="J130" s="134">
        <v>805.38895250687324</v>
      </c>
      <c r="K130" s="57">
        <v>17400</v>
      </c>
      <c r="L130" s="87">
        <v>2479.4893026590148</v>
      </c>
      <c r="M130" s="87">
        <v>4107.0443748487796</v>
      </c>
      <c r="N130" s="57">
        <v>0</v>
      </c>
      <c r="O130" s="57">
        <v>1314.2541999516095</v>
      </c>
      <c r="P130" s="57">
        <v>1437.4655311970728</v>
      </c>
      <c r="Q130" s="88">
        <f>IFERROR(IF(tblPiNAnalysis[[#This Row],[SAMV]]="", "", MROUND(tblPiNAnalysis[[#This Row],[SAMV]]/tblPiNAnalysis[[#This Row],[Población]], 0.05)), "")</f>
        <v>0.35000000000000003</v>
      </c>
      <c r="R130" s="89">
        <f>IFERROR(IF(tblPiNAnalysis[[#This Row],[NUT]]="", "", MROUND(tblPiNAnalysis[[#This Row],[NUT]]/tblPiNAnalysis[[#This Row],[Población]], 0.05)), "")</f>
        <v>0.05</v>
      </c>
      <c r="S130" s="89">
        <f>IFERROR(IF(tblPiNAnalysis[[#This Row],[SAL]]="", "", MROUND(tblPiNAnalysis[[#This Row],[SAL]]/tblPiNAnalysis[[#This Row],[Población]], 0.05)), "")</f>
        <v>0.70000000000000007</v>
      </c>
      <c r="T130" s="89">
        <f>IFERROR(IF(tblPiNAnalysis[[#This Row],[EDU]]="", "", MROUND(tblPiNAnalysis[[#This Row],[EDU]]/tblPiNAnalysis[[#This Row],[Población]], 0.05)), "")</f>
        <v>0.1</v>
      </c>
      <c r="U130" s="89">
        <f>IFERROR(IF(tblPiNAnalysis[[#This Row],[PRO]]="", "", MROUND(tblPiNAnalysis[[#This Row],[PRO]]/tblPiNAnalysis[[#This Row],[Población]], 0.05)), "")</f>
        <v>0.15000000000000002</v>
      </c>
      <c r="V130" s="90">
        <f>IFERROR(IF(tblPiNAnalysis[[#This Row],[ASH]]="", "", MROUND(tblPiNAnalysis[[#This Row],[ASH]]/tblPiNAnalysis[[#This Row],[Población]], 0.05)), "")</f>
        <v>0</v>
      </c>
      <c r="W130" s="89">
        <f>IFERROR(MROUND(tblPiNAnalysis[[#This Row],[NNA]]/tblPiNAnalysis[[#This Row],[Población]], 0.05), "")</f>
        <v>0.05</v>
      </c>
      <c r="X130" s="89">
        <f>IFERROR(MROUND(tblPiNAnalysis[[#This Row],[VBG]]/tblPiNAnalysis[[#This Row],[Población]], 0.05), "")</f>
        <v>0.05</v>
      </c>
      <c r="Y130" s="91">
        <f>IFERROR(LARGE(tblPiNAnalysis[[#This Row],[SAMV]:[ASH]], 1), "")</f>
        <v>17400</v>
      </c>
      <c r="Z130" s="92" t="str" cm="1">
        <f t="array" ref="Z130">IF(tblPiNAnalysis[[#This Row],[PiN más alto]]="", "", _xlfn.TEXTJOIN(CHAR(10), TRUE, IF(tblPiNAnalysis[[#This Row],[PiN más alto]]=tblPiNAnalysis[[#This Row],[SAMV]:[ASH]], tblPiNAnalysis[[#Headers],[SAMV]:[ASH]], "")))</f>
        <v>SAL</v>
      </c>
      <c r="AA130" s="93">
        <f>IF(tblPiNAnalysis[[#This Row],[PiN más alto]]="", "", tblPiNAnalysis[[#This Row],[PiN más alto]]/tblPiNAnalysis[[#This Row],[Población]])</f>
        <v>0.70867103816234267</v>
      </c>
      <c r="AB130" s="94" t="str">
        <f>IF(SUM(tblPiNAnalysis[[#This Row],[SAMV]:[ASH]])=0, "",IF(COUNTIF(tblPiNAnalysis[[#This Row],[SAMV]:[ASH]],"=0")+COUNTIF(tblPiNAnalysis[[#This Row],[SAMV]:[ASH]],"")&gt;=zero_pin_thresh, "Flagged", ""))</f>
        <v/>
      </c>
      <c r="AC130" s="95" t="str">
        <f>IFERROR(IF(tblPiNAnalysis[[#This Row],[PiN más alto]]="", "", IF(tblPiNAnalysis[[#This Row],[% PiN Sectores más altos]]&gt;=flag_pin_perc, "Flagged", "")), "")</f>
        <v/>
      </c>
      <c r="AD130" s="96" t="str" cm="1">
        <f t="array" ref="AD130">IF(tblPiNAnalysis[[#This Row],[PiN más alto]]=0, "",  IF(OR(COUNTIF(tblPiNAnalysis[[#This Row],[Sectores más altos]],tblSubSectorPopulation[Sector])), "Flagged", ""))</f>
        <v/>
      </c>
      <c r="AE130" s="16" cm="1">
        <f t="array" ref="AE13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8556</v>
      </c>
      <c r="AF130" s="97" t="str" cm="1">
        <f t="array" ref="AF130">IF(tblPiNAnalysis[[#This Row],[2º PiN más alto]]="", "", _xlfn.TEXTJOIN(CHAR(10), TRUE, IF(tblPiNAnalysis[[#This Row],[2º PiN más alto]]=tblPiNAnalysis[[#This Row],[SAMV]:[ASH]], tblPiNAnalysis[[#Headers],[SAMV]:[ASH]], "")))</f>
        <v>SAMV</v>
      </c>
      <c r="AG130" s="12">
        <f>IFERROR(tblPiNAnalysis[[#This Row],[2º PiN más alto]]/tblPiNAnalysis[[#This Row],[Población]], "")</f>
        <v>0.34847065531706922</v>
      </c>
      <c r="AH130" s="16">
        <f>IFERROR(tblPiNAnalysis[[#This Row],[PiN más alto]]-tblPiNAnalysis[[#This Row],[2º PiN más alto]], "")</f>
        <v>8844</v>
      </c>
      <c r="AI130" s="14">
        <f>IFERROR(((tblPiNAnalysis[[#This Row],[PiN más alto]]-tblPiNAnalysis[[#This Row],[2º PiN más alto]])/tblPiNAnalysis[[#This Row],[2º PiN más alto]]),"")</f>
        <v>1.0336605890603086</v>
      </c>
      <c r="AJ130" s="14" t="str" cm="1">
        <f t="array" ref="AJ13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30" s="98" cm="1">
        <f t="array" ref="AK13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4107.0443748487796</v>
      </c>
      <c r="AL130" s="53" t="str" cm="1">
        <f t="array" ref="AL130">IF(tblPiNAnalysis[[#This Row],[3º PiN más alto]]="", "", _xlfn.TEXTJOIN(CHAR(10), TRUE, IF(tblPiNAnalysis[[#This Row],[3º PiN más alto]]=tblPiNAnalysis[[#This Row],[SAMV]:[ASH]], tblPiNAnalysis[[#Headers],[SAMV]:[ASH]], "")))</f>
        <v>PRO</v>
      </c>
      <c r="AM130" s="53">
        <f>IFERROR(tblPiNAnalysis[[#This Row],[3º PiN más alto]]/tblPiNAnalysis[[#This Row],[Población]], "")</f>
        <v>0.16727260924729279</v>
      </c>
      <c r="AN130" s="15">
        <f>IFERROR(tblPiNAnalysis[[#This Row],[PiN más alto]]-tblPiNAnalysis[[#This Row],[3º PiN más alto]],"")</f>
        <v>13292.95562515122</v>
      </c>
      <c r="AO130" s="14">
        <f>IFERROR(tblPiNAnalysis[[#This Row],[Diferencia de PiN entre el más alto y el 3º más alto]]/tblPiNAnalysis[[#This Row],[3º PiN más alto]], "")</f>
        <v>3.2366233261457431</v>
      </c>
      <c r="AP130" s="96" t="str" cm="1">
        <f t="array" ref="AP13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30" s="84" cm="1">
        <f t="array" ref="AQ130">IFERROR(IF(tblPiNAnalysis[[#This Row],[ID]]="", "", INDEX(tblPiNHistorical[[SAMV]:[ASH]], MATCH(tblPiNAnalysis[[#This Row],[ID]],tblPiNHistorical[ID], 0),MATCH(_xlfn._xlws.FILTER(tblPiNAnalysis[[#Headers],[SAMV]:[ASH]], tblPiNAnalysis[[#This Row],[PiN más alto]]=tblPiNAnalysis[[#This Row],[SAMV]:[ASH]]), tblPiNHistorical[[#Headers],[SAMV]:[ASH]], 0))), "")</f>
        <v>0.2</v>
      </c>
      <c r="AR130" s="99" t="str" cm="1">
        <f t="array" ref="AR13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30" s="74" t="str" cm="1">
        <f t="array" ref="AS130">IFERROR(IF(tblPiNAnalysis[[#This Row],[ID]]="", "", INDEX(tblPiNHistorical[[SAMV]:[ASH]], MATCH(tblPiNAnalysis[[#This Row],[ID]],tblPiNHistorical[ID], 0),MATCH(_xlfn._xlws.FILTER(tblPiNAnalysis[[#Headers],[SAMV]:[ASH]], tblPiNAnalysis[[#This Row],[2º PiN más alto]]=tblPiNAnalysis[[#This Row],[SAMV]:[ASH]]), tblPiNHistorical[[#Headers],[SAMV]:[ASH]], 0))), "")</f>
        <v>NoPIN26 4597</v>
      </c>
      <c r="AT130" s="100" t="str" cm="1">
        <f t="array" ref="AT13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30" s="219">
        <f>INDEX(tblSeverityAnalysis[Severidad final], MATCH(tblPiNAnalysis[[#This Row],[ID]],tblSeverityAnalysis[ID], 0))</f>
        <v>3</v>
      </c>
      <c r="AV130" s="220">
        <f>IF(tblPiNAnalysis[[#This Row],[Severidad]]&gt;2,tblPiNAnalysis[[#This Row],[PiN más alto]],)</f>
        <v>17400</v>
      </c>
      <c r="AW130" s="54"/>
      <c r="AX130" s="55"/>
      <c r="AY130" s="56">
        <f>COUNTIFS(tblPiNAnalysis[[#This Row],[Número de PiN ausentes/cero superior al umbral - Calidad de los datos]:[Marcador manual]],"Flagged")</f>
        <v>2</v>
      </c>
      <c r="AZ130" s="34" t="str">
        <f>IF(tblPiNAnalysis[[#This Row],[Número de marcadores]]&gt;0, "Flagged", "")</f>
        <v>Flagged</v>
      </c>
      <c r="BA130" s="92">
        <f>tblPiNAnalysis[[#This Row],[PiN preliminar]]</f>
        <v>17400</v>
      </c>
      <c r="BB130" s="97"/>
      <c r="BC130" s="70">
        <f>IFERROR(IF(tblPiNAnalysis[[#This Row],[Severidad]]=3,tblPiNAnalysis[[#This Row],[PiN final]]*Umbrales!$D$33,tblPiNAnalysis[[#This Row],[PiN final]]*Umbrales!$D$34),)</f>
        <v>8700</v>
      </c>
      <c r="BD130" s="70">
        <f>IFERROR(IF(tblPiNAnalysis[[#This Row],[Severidad]]&gt;3,tblPiNAnalysis[[#This Row],[PiN final]]*Umbrales!$D$34,),)</f>
        <v>0</v>
      </c>
    </row>
    <row r="131" spans="1:56">
      <c r="A131" s="101" t="str">
        <f>IFERROR(_xlfn.CONCAT(IF(tblPiNAnalysis[[#This Row],[Grupo]]="", "",tblPiNAnalysis[[#This Row],[Grupo]] ),  _xlfn.IFS(tblPiNAnalysis[[#This Row],[Admin2PCODE]]&lt;&gt;"", tblPiNAnalysis[[#This Row],[Admin2PCODE]], tblPiNAnalysis[[#This Row],[Admin1PCODE]]&lt;&gt;"", tblPiNAnalysis[[#This Row],[Admin1PCODE]])),"")</f>
        <v>VenezolanosVE1702</v>
      </c>
      <c r="B131" s="105" t="s">
        <v>513</v>
      </c>
      <c r="C131" s="104" t="s">
        <v>514</v>
      </c>
      <c r="D131" s="119" t="s">
        <v>221</v>
      </c>
      <c r="E131" s="104" t="s">
        <v>517</v>
      </c>
      <c r="F131" s="358"/>
      <c r="G131" s="357">
        <v>28948</v>
      </c>
      <c r="H131" s="103" t="s">
        <v>102</v>
      </c>
      <c r="I131" s="60">
        <v>2227</v>
      </c>
      <c r="J131" s="134">
        <v>825.50543134974737</v>
      </c>
      <c r="K131" s="57">
        <v>10566.02</v>
      </c>
      <c r="L131" s="87">
        <v>1866.5807147718033</v>
      </c>
      <c r="M131" s="87">
        <v>5812.0702216150503</v>
      </c>
      <c r="N131" s="57">
        <v>17368.8</v>
      </c>
      <c r="O131" s="57">
        <v>1859.8624709168162</v>
      </c>
      <c r="P131" s="57">
        <v>2034.2245775652677</v>
      </c>
      <c r="Q131" s="88">
        <f>IFERROR(IF(tblPiNAnalysis[[#This Row],[SAMV]]="", "", MROUND(tblPiNAnalysis[[#This Row],[SAMV]]/tblPiNAnalysis[[#This Row],[Población]], 0.05)), "")</f>
        <v>0.1</v>
      </c>
      <c r="R131" s="89">
        <f>IFERROR(IF(tblPiNAnalysis[[#This Row],[NUT]]="", "", MROUND(tblPiNAnalysis[[#This Row],[NUT]]/tblPiNAnalysis[[#This Row],[Población]], 0.05)), "")</f>
        <v>0.05</v>
      </c>
      <c r="S131" s="89">
        <f>IFERROR(IF(tblPiNAnalysis[[#This Row],[SAL]]="", "", MROUND(tblPiNAnalysis[[#This Row],[SAL]]/tblPiNAnalysis[[#This Row],[Población]], 0.05)), "")</f>
        <v>0.35000000000000003</v>
      </c>
      <c r="T131" s="89">
        <f>IFERROR(IF(tblPiNAnalysis[[#This Row],[EDU]]="", "", MROUND(tblPiNAnalysis[[#This Row],[EDU]]/tblPiNAnalysis[[#This Row],[Población]], 0.05)), "")</f>
        <v>0.05</v>
      </c>
      <c r="U131" s="89">
        <f>IFERROR(IF(tblPiNAnalysis[[#This Row],[PRO]]="", "", MROUND(tblPiNAnalysis[[#This Row],[PRO]]/tblPiNAnalysis[[#This Row],[Población]], 0.05)), "")</f>
        <v>0.2</v>
      </c>
      <c r="V131" s="90">
        <f>IFERROR(IF(tblPiNAnalysis[[#This Row],[ASH]]="", "", MROUND(tblPiNAnalysis[[#This Row],[ASH]]/tblPiNAnalysis[[#This Row],[Población]], 0.05)), "")</f>
        <v>0.60000000000000009</v>
      </c>
      <c r="W131" s="89">
        <f>IFERROR(MROUND(tblPiNAnalysis[[#This Row],[NNA]]/tblPiNAnalysis[[#This Row],[Población]], 0.05), "")</f>
        <v>0.05</v>
      </c>
      <c r="X131" s="89">
        <f>IFERROR(MROUND(tblPiNAnalysis[[#This Row],[VBG]]/tblPiNAnalysis[[#This Row],[Población]], 0.05), "")</f>
        <v>0.05</v>
      </c>
      <c r="Y131" s="91">
        <f>IFERROR(LARGE(tblPiNAnalysis[[#This Row],[SAMV]:[ASH]], 1), "")</f>
        <v>17368.8</v>
      </c>
      <c r="Z131" s="92" t="str" cm="1">
        <f t="array" ref="Z131">IF(tblPiNAnalysis[[#This Row],[PiN más alto]]="", "", _xlfn.TEXTJOIN(CHAR(10), TRUE, IF(tblPiNAnalysis[[#This Row],[PiN más alto]]=tblPiNAnalysis[[#This Row],[SAMV]:[ASH]], tblPiNAnalysis[[#Headers],[SAMV]:[ASH]], "")))</f>
        <v>ASH</v>
      </c>
      <c r="AA131" s="93">
        <f>IF(tblPiNAnalysis[[#This Row],[PiN más alto]]="", "", tblPiNAnalysis[[#This Row],[PiN más alto]]/tblPiNAnalysis[[#This Row],[Población]])</f>
        <v>0.6</v>
      </c>
      <c r="AB131" s="94" t="str">
        <f>IF(SUM(tblPiNAnalysis[[#This Row],[SAMV]:[ASH]])=0, "",IF(COUNTIF(tblPiNAnalysis[[#This Row],[SAMV]:[ASH]],"=0")+COUNTIF(tblPiNAnalysis[[#This Row],[SAMV]:[ASH]],"")&gt;=zero_pin_thresh, "Flagged", ""))</f>
        <v/>
      </c>
      <c r="AC131" s="95" t="str">
        <f>IFERROR(IF(tblPiNAnalysis[[#This Row],[PiN más alto]]="", "", IF(tblPiNAnalysis[[#This Row],[% PiN Sectores más altos]]&gt;=flag_pin_perc, "Flagged", "")), "")</f>
        <v/>
      </c>
      <c r="AD131" s="96" t="str" cm="1">
        <f t="array" ref="AD131">IF(tblPiNAnalysis[[#This Row],[PiN más alto]]=0, "",  IF(OR(COUNTIF(tblPiNAnalysis[[#This Row],[Sectores más altos]],tblSubSectorPopulation[Sector])), "Flagged", ""))</f>
        <v/>
      </c>
      <c r="AE131" s="16" cm="1">
        <f t="array" ref="AE13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10566.02</v>
      </c>
      <c r="AF131" s="97" t="str" cm="1">
        <f t="array" ref="AF131">IF(tblPiNAnalysis[[#This Row],[2º PiN más alto]]="", "", _xlfn.TEXTJOIN(CHAR(10), TRUE, IF(tblPiNAnalysis[[#This Row],[2º PiN más alto]]=tblPiNAnalysis[[#This Row],[SAMV]:[ASH]], tblPiNAnalysis[[#Headers],[SAMV]:[ASH]], "")))</f>
        <v>SAL</v>
      </c>
      <c r="AG131" s="12">
        <f>IFERROR(tblPiNAnalysis[[#This Row],[2º PiN más alto]]/tblPiNAnalysis[[#This Row],[Población]], "")</f>
        <v>0.36499999999999999</v>
      </c>
      <c r="AH131" s="16">
        <f>IFERROR(tblPiNAnalysis[[#This Row],[PiN más alto]]-tblPiNAnalysis[[#This Row],[2º PiN más alto]], "")</f>
        <v>6802.7799999999988</v>
      </c>
      <c r="AI131" s="14">
        <f>IFERROR(((tblPiNAnalysis[[#This Row],[PiN más alto]]-tblPiNAnalysis[[#This Row],[2º PiN más alto]])/tblPiNAnalysis[[#This Row],[2º PiN más alto]]),"")</f>
        <v>0.64383561643835607</v>
      </c>
      <c r="AJ131" s="14" t="str" cm="1">
        <f t="array" ref="AJ13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31" s="98" cm="1">
        <f t="array" ref="AK13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5812.0702216150503</v>
      </c>
      <c r="AL131" s="53" t="str" cm="1">
        <f t="array" ref="AL131">IF(tblPiNAnalysis[[#This Row],[3º PiN más alto]]="", "", _xlfn.TEXTJOIN(CHAR(10), TRUE, IF(tblPiNAnalysis[[#This Row],[3º PiN más alto]]=tblPiNAnalysis[[#This Row],[SAMV]:[ASH]], tblPiNAnalysis[[#Headers],[SAMV]:[ASH]], "")))</f>
        <v>PRO</v>
      </c>
      <c r="AM131" s="53">
        <f>IFERROR(tblPiNAnalysis[[#This Row],[3º PiN más alto]]/tblPiNAnalysis[[#This Row],[Población]], "")</f>
        <v>0.20077622708356538</v>
      </c>
      <c r="AN131" s="15">
        <f>IFERROR(tblPiNAnalysis[[#This Row],[PiN más alto]]-tblPiNAnalysis[[#This Row],[3º PiN más alto]],"")</f>
        <v>11556.72977838495</v>
      </c>
      <c r="AO131" s="14">
        <f>IFERROR(tblPiNAnalysis[[#This Row],[Diferencia de PiN entre el más alto y el 3º más alto]]/tblPiNAnalysis[[#This Row],[3º PiN más alto]], "")</f>
        <v>1.9884016086738852</v>
      </c>
      <c r="AP131" s="96" t="str" cm="1">
        <f t="array" ref="AP13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31" s="84" cm="1">
        <f t="array" ref="AQ131">IFERROR(IF(tblPiNAnalysis[[#This Row],[ID]]="", "", INDEX(tblPiNHistorical[[SAMV]:[ASH]], MATCH(tblPiNAnalysis[[#This Row],[ID]],tblPiNHistorical[ID], 0),MATCH(_xlfn._xlws.FILTER(tblPiNAnalysis[[#Headers],[SAMV]:[ASH]], tblPiNAnalysis[[#This Row],[PiN más alto]]=tblPiNAnalysis[[#This Row],[SAMV]:[ASH]]), tblPiNHistorical[[#Headers],[SAMV]:[ASH]], 0))), "")</f>
        <v>-0.6</v>
      </c>
      <c r="AR131" s="99" t="str" cm="1">
        <f t="array" ref="AR13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31" s="74" cm="1">
        <f t="array" ref="AS131">IFERROR(IF(tblPiNAnalysis[[#This Row],[ID]]="", "", INDEX(tblPiNHistorical[[SAMV]:[ASH]], MATCH(tblPiNAnalysis[[#This Row],[ID]],tblPiNHistorical[ID], 0),MATCH(_xlfn._xlws.FILTER(tblPiNAnalysis[[#Headers],[SAMV]:[ASH]], tblPiNAnalysis[[#This Row],[2º PiN más alto]]=tblPiNAnalysis[[#This Row],[SAMV]:[ASH]]), tblPiNHistorical[[#Headers],[SAMV]:[ASH]], 0))), "")</f>
        <v>-0.5</v>
      </c>
      <c r="AT131" s="100" t="str" cm="1">
        <f t="array" ref="AT13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31" s="219">
        <f>INDEX(tblSeverityAnalysis[Severidad final], MATCH(tblPiNAnalysis[[#This Row],[ID]],tblSeverityAnalysis[ID], 0))</f>
        <v>3</v>
      </c>
      <c r="AV131" s="220">
        <f>IF(tblPiNAnalysis[[#This Row],[Severidad]]&gt;2,tblPiNAnalysis[[#This Row],[PiN más alto]],)</f>
        <v>17368.8</v>
      </c>
      <c r="AW131" s="54"/>
      <c r="AX131" s="55"/>
      <c r="AY131" s="56">
        <f>COUNTIFS(tblPiNAnalysis[[#This Row],[Número de PiN ausentes/cero superior al umbral - Calidad de los datos]:[Marcador manual]],"Flagged")</f>
        <v>2</v>
      </c>
      <c r="AZ131" s="34" t="str">
        <f>IF(tblPiNAnalysis[[#This Row],[Número de marcadores]]&gt;0, "Flagged", "")</f>
        <v>Flagged</v>
      </c>
      <c r="BA131" s="92">
        <f>tblPiNAnalysis[[#This Row],[PiN preliminar]]</f>
        <v>17368.8</v>
      </c>
      <c r="BB131" s="97"/>
      <c r="BC131" s="70">
        <f>IFERROR(IF(tblPiNAnalysis[[#This Row],[Severidad]]=3,tblPiNAnalysis[[#This Row],[PiN final]]*Umbrales!$D$33,tblPiNAnalysis[[#This Row],[PiN final]]*Umbrales!$D$34),)</f>
        <v>8684.4</v>
      </c>
      <c r="BD131" s="70">
        <f>IFERROR(IF(tblPiNAnalysis[[#This Row],[Severidad]]&gt;3,tblPiNAnalysis[[#This Row],[PiN final]]*Umbrales!$D$34,),)</f>
        <v>0</v>
      </c>
    </row>
    <row r="132" spans="1:56">
      <c r="A132" s="101" t="str">
        <f>IFERROR(_xlfn.CONCAT(IF(tblPiNAnalysis[[#This Row],[Grupo]]="", "",tblPiNAnalysis[[#This Row],[Grupo]] ),  _xlfn.IFS(tblPiNAnalysis[[#This Row],[Admin2PCODE]]&lt;&gt;"", tblPiNAnalysis[[#This Row],[Admin2PCODE]], tblPiNAnalysis[[#This Row],[Admin1PCODE]]&lt;&gt;"", tblPiNAnalysis[[#This Row],[Admin1PCODE]])),"")</f>
        <v>VenezolanosVE2007</v>
      </c>
      <c r="B132" s="105" t="s">
        <v>589</v>
      </c>
      <c r="C132" s="104" t="s">
        <v>590</v>
      </c>
      <c r="D132" s="119" t="s">
        <v>602</v>
      </c>
      <c r="E132" s="104" t="s">
        <v>603</v>
      </c>
      <c r="F132" s="358"/>
      <c r="G132" s="357">
        <v>46923</v>
      </c>
      <c r="H132" s="103" t="s">
        <v>102</v>
      </c>
      <c r="I132" s="60">
        <v>6331</v>
      </c>
      <c r="J132" s="134">
        <v>2100.7307218983515</v>
      </c>
      <c r="K132" s="57">
        <v>17126.895</v>
      </c>
      <c r="L132" s="87">
        <v>3926.0622671970582</v>
      </c>
      <c r="M132" s="87">
        <v>11271.384567256409</v>
      </c>
      <c r="N132" s="57">
        <v>0</v>
      </c>
      <c r="O132" s="57">
        <v>3606.8430615220514</v>
      </c>
      <c r="P132" s="57">
        <v>3944.9845985397428</v>
      </c>
      <c r="Q132" s="88">
        <f>IFERROR(IF(tblPiNAnalysis[[#This Row],[SAMV]]="", "", MROUND(tblPiNAnalysis[[#This Row],[SAMV]]/tblPiNAnalysis[[#This Row],[Población]], 0.05)), "")</f>
        <v>0.15000000000000002</v>
      </c>
      <c r="R132" s="89">
        <f>IFERROR(IF(tblPiNAnalysis[[#This Row],[NUT]]="", "", MROUND(tblPiNAnalysis[[#This Row],[NUT]]/tblPiNAnalysis[[#This Row],[Población]], 0.05)), "")</f>
        <v>0.05</v>
      </c>
      <c r="S132" s="89">
        <f>IFERROR(IF(tblPiNAnalysis[[#This Row],[SAL]]="", "", MROUND(tblPiNAnalysis[[#This Row],[SAL]]/tblPiNAnalysis[[#This Row],[Población]], 0.05)), "")</f>
        <v>0.35000000000000003</v>
      </c>
      <c r="T132" s="89">
        <f>IFERROR(IF(tblPiNAnalysis[[#This Row],[EDU]]="", "", MROUND(tblPiNAnalysis[[#This Row],[EDU]]/tblPiNAnalysis[[#This Row],[Población]], 0.05)), "")</f>
        <v>0.1</v>
      </c>
      <c r="U132" s="89">
        <f>IFERROR(IF(tblPiNAnalysis[[#This Row],[PRO]]="", "", MROUND(tblPiNAnalysis[[#This Row],[PRO]]/tblPiNAnalysis[[#This Row],[Población]], 0.05)), "")</f>
        <v>0.25</v>
      </c>
      <c r="V132" s="90">
        <f>IFERROR(IF(tblPiNAnalysis[[#This Row],[ASH]]="", "", MROUND(tblPiNAnalysis[[#This Row],[ASH]]/tblPiNAnalysis[[#This Row],[Población]], 0.05)), "")</f>
        <v>0</v>
      </c>
      <c r="W132" s="89">
        <f>IFERROR(MROUND(tblPiNAnalysis[[#This Row],[NNA]]/tblPiNAnalysis[[#This Row],[Población]], 0.05), "")</f>
        <v>0.1</v>
      </c>
      <c r="X132" s="89">
        <f>IFERROR(MROUND(tblPiNAnalysis[[#This Row],[VBG]]/tblPiNAnalysis[[#This Row],[Población]], 0.05), "")</f>
        <v>0.1</v>
      </c>
      <c r="Y132" s="91">
        <f>IFERROR(LARGE(tblPiNAnalysis[[#This Row],[SAMV]:[ASH]], 1), "")</f>
        <v>17126.895</v>
      </c>
      <c r="Z132" s="92" t="str" cm="1">
        <f t="array" ref="Z132">IF(tblPiNAnalysis[[#This Row],[PiN más alto]]="", "", _xlfn.TEXTJOIN(CHAR(10), TRUE, IF(tblPiNAnalysis[[#This Row],[PiN más alto]]=tblPiNAnalysis[[#This Row],[SAMV]:[ASH]], tblPiNAnalysis[[#Headers],[SAMV]:[ASH]], "")))</f>
        <v>SAL</v>
      </c>
      <c r="AA132" s="93">
        <f>IF(tblPiNAnalysis[[#This Row],[PiN más alto]]="", "", tblPiNAnalysis[[#This Row],[PiN más alto]]/tblPiNAnalysis[[#This Row],[Población]])</f>
        <v>0.36499999999999999</v>
      </c>
      <c r="AB132" s="94" t="str">
        <f>IF(SUM(tblPiNAnalysis[[#This Row],[SAMV]:[ASH]])=0, "",IF(COUNTIF(tblPiNAnalysis[[#This Row],[SAMV]:[ASH]],"=0")+COUNTIF(tblPiNAnalysis[[#This Row],[SAMV]:[ASH]],"")&gt;=zero_pin_thresh, "Flagged", ""))</f>
        <v/>
      </c>
      <c r="AC132" s="95" t="str">
        <f>IFERROR(IF(tblPiNAnalysis[[#This Row],[PiN más alto]]="", "", IF(tblPiNAnalysis[[#This Row],[% PiN Sectores más altos]]&gt;=flag_pin_perc, "Flagged", "")), "")</f>
        <v/>
      </c>
      <c r="AD132" s="96" t="str" cm="1">
        <f t="array" ref="AD132">IF(tblPiNAnalysis[[#This Row],[PiN más alto]]=0, "",  IF(OR(COUNTIF(tblPiNAnalysis[[#This Row],[Sectores más altos]],tblSubSectorPopulation[Sector])), "Flagged", ""))</f>
        <v/>
      </c>
      <c r="AE132" s="16" cm="1">
        <f t="array" ref="AE13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11271.384567256409</v>
      </c>
      <c r="AF132" s="97" t="str" cm="1">
        <f t="array" ref="AF132">IF(tblPiNAnalysis[[#This Row],[2º PiN más alto]]="", "", _xlfn.TEXTJOIN(CHAR(10), TRUE, IF(tblPiNAnalysis[[#This Row],[2º PiN más alto]]=tblPiNAnalysis[[#This Row],[SAMV]:[ASH]], tblPiNAnalysis[[#Headers],[SAMV]:[ASH]], "")))</f>
        <v>PRO</v>
      </c>
      <c r="AG132" s="12">
        <f>IFERROR(tblPiNAnalysis[[#This Row],[2º PiN más alto]]/tblPiNAnalysis[[#This Row],[Población]], "")</f>
        <v>0.24021022882715107</v>
      </c>
      <c r="AH132" s="16">
        <f>IFERROR(tblPiNAnalysis[[#This Row],[PiN más alto]]-tblPiNAnalysis[[#This Row],[2º PiN más alto]], "")</f>
        <v>5855.5104327435911</v>
      </c>
      <c r="AI132" s="14">
        <f>IFERROR(((tblPiNAnalysis[[#This Row],[PiN más alto]]-tblPiNAnalysis[[#This Row],[2º PiN más alto]])/tblPiNAnalysis[[#This Row],[2º PiN más alto]]),"")</f>
        <v>0.51950232003918684</v>
      </c>
      <c r="AJ132" s="14" t="str" cm="1">
        <f t="array" ref="AJ13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32" s="98" cm="1">
        <f t="array" ref="AK13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6331</v>
      </c>
      <c r="AL132" s="53" t="str" cm="1">
        <f t="array" ref="AL132">IF(tblPiNAnalysis[[#This Row],[3º PiN más alto]]="", "", _xlfn.TEXTJOIN(CHAR(10), TRUE, IF(tblPiNAnalysis[[#This Row],[3º PiN más alto]]=tblPiNAnalysis[[#This Row],[SAMV]:[ASH]], tblPiNAnalysis[[#Headers],[SAMV]:[ASH]], "")))</f>
        <v>SAMV</v>
      </c>
      <c r="AM132" s="53">
        <f>IFERROR(tblPiNAnalysis[[#This Row],[3º PiN más alto]]/tblPiNAnalysis[[#This Row],[Población]], "")</f>
        <v>0.13492317200520001</v>
      </c>
      <c r="AN132" s="15">
        <f>IFERROR(tblPiNAnalysis[[#This Row],[PiN más alto]]-tblPiNAnalysis[[#This Row],[3º PiN más alto]],"")</f>
        <v>10795.895</v>
      </c>
      <c r="AO132" s="14">
        <f>IFERROR(tblPiNAnalysis[[#This Row],[Diferencia de PiN entre el más alto y el 3º más alto]]/tblPiNAnalysis[[#This Row],[3º PiN más alto]], "")</f>
        <v>1.7052432475122414</v>
      </c>
      <c r="AP132" s="96" t="str" cm="1">
        <f t="array" ref="AP13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32" s="84" cm="1">
        <f t="array" ref="AQ132">IFERROR(IF(tblPiNAnalysis[[#This Row],[ID]]="", "", INDEX(tblPiNHistorical[[SAMV]:[ASH]], MATCH(tblPiNAnalysis[[#This Row],[ID]],tblPiNHistorical[ID], 0),MATCH(_xlfn._xlws.FILTER(tblPiNAnalysis[[#Headers],[SAMV]:[ASH]], tblPiNAnalysis[[#This Row],[PiN más alto]]=tblPiNAnalysis[[#This Row],[SAMV]:[ASH]]), tblPiNHistorical[[#Headers],[SAMV]:[ASH]], 0))), "")</f>
        <v>3.9</v>
      </c>
      <c r="AR132" s="99" t="str" cm="1">
        <f t="array" ref="AR13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32" s="74" cm="1">
        <f t="array" ref="AS132">IFERROR(IF(tblPiNAnalysis[[#This Row],[ID]]="", "", INDEX(tblPiNHistorical[[SAMV]:[ASH]], MATCH(tblPiNAnalysis[[#This Row],[ID]],tblPiNHistorical[ID], 0),MATCH(_xlfn._xlws.FILTER(tblPiNAnalysis[[#Headers],[SAMV]:[ASH]], tblPiNAnalysis[[#This Row],[2º PiN más alto]]=tblPiNAnalysis[[#This Row],[SAMV]:[ASH]]), tblPiNHistorical[[#Headers],[SAMV]:[ASH]], 0))), "")</f>
        <v>2.5</v>
      </c>
      <c r="AT132" s="100" t="str" cm="1">
        <f t="array" ref="AT13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32" s="219">
        <f>INDEX(tblSeverityAnalysis[Severidad final], MATCH(tblPiNAnalysis[[#This Row],[ID]],tblSeverityAnalysis[ID], 0))</f>
        <v>3</v>
      </c>
      <c r="AV132" s="220">
        <f>IF(tblPiNAnalysis[[#This Row],[Severidad]]&gt;2,tblPiNAnalysis[[#This Row],[PiN más alto]],)</f>
        <v>17126.895</v>
      </c>
      <c r="AW132" s="54"/>
      <c r="AX132" s="55"/>
      <c r="AY132" s="56">
        <f>COUNTIFS(tblPiNAnalysis[[#This Row],[Número de PiN ausentes/cero superior al umbral - Calidad de los datos]:[Marcador manual]],"Flagged")</f>
        <v>4</v>
      </c>
      <c r="AZ132" s="34" t="str">
        <f>IF(tblPiNAnalysis[[#This Row],[Número de marcadores]]&gt;0, "Flagged", "")</f>
        <v>Flagged</v>
      </c>
      <c r="BA132" s="92">
        <f>tblPiNAnalysis[[#This Row],[PiN preliminar]]</f>
        <v>17126.895</v>
      </c>
      <c r="BB132" s="97"/>
      <c r="BC132" s="70">
        <f>IFERROR(IF(tblPiNAnalysis[[#This Row],[Severidad]]=3,tblPiNAnalysis[[#This Row],[PiN final]]*Umbrales!$D$33,tblPiNAnalysis[[#This Row],[PiN final]]*Umbrales!$D$34),)</f>
        <v>8563.4475000000002</v>
      </c>
      <c r="BD132" s="70">
        <f>IFERROR(IF(tblPiNAnalysis[[#This Row],[Severidad]]&gt;3,tblPiNAnalysis[[#This Row],[PiN final]]*Umbrales!$D$34,),)</f>
        <v>0</v>
      </c>
    </row>
    <row r="133" spans="1:56">
      <c r="A133" s="101" t="str">
        <f>IFERROR(_xlfn.CONCAT(IF(tblPiNAnalysis[[#This Row],[Grupo]]="", "",tblPiNAnalysis[[#This Row],[Grupo]] ),  _xlfn.IFS(tblPiNAnalysis[[#This Row],[Admin2PCODE]]&lt;&gt;"", tblPiNAnalysis[[#This Row],[Admin2PCODE]], tblPiNAnalysis[[#This Row],[Admin1PCODE]]&lt;&gt;"", tblPiNAnalysis[[#This Row],[Admin1PCODE]])),"")</f>
        <v>VenezolanosVE2010</v>
      </c>
      <c r="B133" s="105" t="s">
        <v>589</v>
      </c>
      <c r="C133" s="104" t="s">
        <v>590</v>
      </c>
      <c r="D133" s="119" t="s">
        <v>607</v>
      </c>
      <c r="E133" s="104" t="s">
        <v>608</v>
      </c>
      <c r="F133" s="358"/>
      <c r="G133" s="357">
        <v>44214</v>
      </c>
      <c r="H133" s="103" t="s">
        <v>102</v>
      </c>
      <c r="I133" s="60">
        <v>11422</v>
      </c>
      <c r="J133" s="134">
        <v>1154.498159594782</v>
      </c>
      <c r="K133" s="57">
        <v>17085.5</v>
      </c>
      <c r="L133" s="87">
        <v>7429.7611499163168</v>
      </c>
      <c r="M133" s="87">
        <v>8850.5458811363824</v>
      </c>
      <c r="N133" s="57">
        <v>0</v>
      </c>
      <c r="O133" s="57">
        <v>2841.0252278447788</v>
      </c>
      <c r="P133" s="57">
        <v>3097.6910583977333</v>
      </c>
      <c r="Q133" s="88">
        <f>IFERROR(IF(tblPiNAnalysis[[#This Row],[SAMV]]="", "", MROUND(tblPiNAnalysis[[#This Row],[SAMV]]/tblPiNAnalysis[[#This Row],[Población]], 0.05)), "")</f>
        <v>0.25</v>
      </c>
      <c r="R133" s="89">
        <f>IFERROR(IF(tblPiNAnalysis[[#This Row],[NUT]]="", "", MROUND(tblPiNAnalysis[[#This Row],[NUT]]/tblPiNAnalysis[[#This Row],[Población]], 0.05)), "")</f>
        <v>0.05</v>
      </c>
      <c r="S133" s="89">
        <f>IFERROR(IF(tblPiNAnalysis[[#This Row],[SAL]]="", "", MROUND(tblPiNAnalysis[[#This Row],[SAL]]/tblPiNAnalysis[[#This Row],[Población]], 0.05)), "")</f>
        <v>0.4</v>
      </c>
      <c r="T133" s="89">
        <f>IFERROR(IF(tblPiNAnalysis[[#This Row],[EDU]]="", "", MROUND(tblPiNAnalysis[[#This Row],[EDU]]/tblPiNAnalysis[[#This Row],[Población]], 0.05)), "")</f>
        <v>0.15000000000000002</v>
      </c>
      <c r="U133" s="89">
        <f>IFERROR(IF(tblPiNAnalysis[[#This Row],[PRO]]="", "", MROUND(tblPiNAnalysis[[#This Row],[PRO]]/tblPiNAnalysis[[#This Row],[Población]], 0.05)), "")</f>
        <v>0.2</v>
      </c>
      <c r="V133" s="90">
        <f>IFERROR(IF(tblPiNAnalysis[[#This Row],[ASH]]="", "", MROUND(tblPiNAnalysis[[#This Row],[ASH]]/tblPiNAnalysis[[#This Row],[Población]], 0.05)), "")</f>
        <v>0</v>
      </c>
      <c r="W133" s="89">
        <f>IFERROR(MROUND(tblPiNAnalysis[[#This Row],[NNA]]/tblPiNAnalysis[[#This Row],[Población]], 0.05), "")</f>
        <v>0.05</v>
      </c>
      <c r="X133" s="89">
        <f>IFERROR(MROUND(tblPiNAnalysis[[#This Row],[VBG]]/tblPiNAnalysis[[#This Row],[Población]], 0.05), "")</f>
        <v>0.05</v>
      </c>
      <c r="Y133" s="91">
        <f>IFERROR(LARGE(tblPiNAnalysis[[#This Row],[SAMV]:[ASH]], 1), "")</f>
        <v>17085.5</v>
      </c>
      <c r="Z133" s="92" t="str" cm="1">
        <f t="array" ref="Z133">IF(tblPiNAnalysis[[#This Row],[PiN más alto]]="", "", _xlfn.TEXTJOIN(CHAR(10), TRUE, IF(tblPiNAnalysis[[#This Row],[PiN más alto]]=tblPiNAnalysis[[#This Row],[SAMV]:[ASH]], tblPiNAnalysis[[#Headers],[SAMV]:[ASH]], "")))</f>
        <v>SAL</v>
      </c>
      <c r="AA133" s="93">
        <f>IF(tblPiNAnalysis[[#This Row],[PiN más alto]]="", "", tblPiNAnalysis[[#This Row],[PiN más alto]]/tblPiNAnalysis[[#This Row],[Población]])</f>
        <v>0.38642737594427107</v>
      </c>
      <c r="AB133" s="94" t="str">
        <f>IF(SUM(tblPiNAnalysis[[#This Row],[SAMV]:[ASH]])=0, "",IF(COUNTIF(tblPiNAnalysis[[#This Row],[SAMV]:[ASH]],"=0")+COUNTIF(tblPiNAnalysis[[#This Row],[SAMV]:[ASH]],"")&gt;=zero_pin_thresh, "Flagged", ""))</f>
        <v/>
      </c>
      <c r="AC133" s="95" t="str">
        <f>IFERROR(IF(tblPiNAnalysis[[#This Row],[PiN más alto]]="", "", IF(tblPiNAnalysis[[#This Row],[% PiN Sectores más altos]]&gt;=flag_pin_perc, "Flagged", "")), "")</f>
        <v/>
      </c>
      <c r="AD133" s="96" t="str" cm="1">
        <f t="array" ref="AD133">IF(tblPiNAnalysis[[#This Row],[PiN más alto]]=0, "",  IF(OR(COUNTIF(tblPiNAnalysis[[#This Row],[Sectores más altos]],tblSubSectorPopulation[Sector])), "Flagged", ""))</f>
        <v/>
      </c>
      <c r="AE133" s="16" cm="1">
        <f t="array" ref="AE13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11422</v>
      </c>
      <c r="AF133" s="97" t="str" cm="1">
        <f t="array" ref="AF133">IF(tblPiNAnalysis[[#This Row],[2º PiN más alto]]="", "", _xlfn.TEXTJOIN(CHAR(10), TRUE, IF(tblPiNAnalysis[[#This Row],[2º PiN más alto]]=tblPiNAnalysis[[#This Row],[SAMV]:[ASH]], tblPiNAnalysis[[#Headers],[SAMV]:[ASH]], "")))</f>
        <v>SAMV</v>
      </c>
      <c r="AG133" s="12">
        <f>IFERROR(tblPiNAnalysis[[#This Row],[2º PiN más alto]]/tblPiNAnalysis[[#This Row],[Población]], "")</f>
        <v>0.25833446419686074</v>
      </c>
      <c r="AH133" s="16">
        <f>IFERROR(tblPiNAnalysis[[#This Row],[PiN más alto]]-tblPiNAnalysis[[#This Row],[2º PiN más alto]], "")</f>
        <v>5663.5</v>
      </c>
      <c r="AI133" s="14">
        <f>IFERROR(((tblPiNAnalysis[[#This Row],[PiN más alto]]-tblPiNAnalysis[[#This Row],[2º PiN más alto]])/tblPiNAnalysis[[#This Row],[2º PiN más alto]]),"")</f>
        <v>0.49584135878129926</v>
      </c>
      <c r="AJ133" s="14" t="str" cm="1">
        <f t="array" ref="AJ13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33" s="98" cm="1">
        <f t="array" ref="AK13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8850.5458811363824</v>
      </c>
      <c r="AL133" s="53" t="str" cm="1">
        <f t="array" ref="AL133">IF(tblPiNAnalysis[[#This Row],[3º PiN más alto]]="", "", _xlfn.TEXTJOIN(CHAR(10), TRUE, IF(tblPiNAnalysis[[#This Row],[3º PiN más alto]]=tblPiNAnalysis[[#This Row],[SAMV]:[ASH]], tblPiNAnalysis[[#Headers],[SAMV]:[ASH]], "")))</f>
        <v>PRO</v>
      </c>
      <c r="AM133" s="53">
        <f>IFERROR(tblPiNAnalysis[[#This Row],[3º PiN más alto]]/tblPiNAnalysis[[#This Row],[Población]], "")</f>
        <v>0.2001751906892926</v>
      </c>
      <c r="AN133" s="15">
        <f>IFERROR(tblPiNAnalysis[[#This Row],[PiN más alto]]-tblPiNAnalysis[[#This Row],[3º PiN más alto]],"")</f>
        <v>8234.9541188636176</v>
      </c>
      <c r="AO133" s="14">
        <f>IFERROR(tblPiNAnalysis[[#This Row],[Diferencia de PiN entre el más alto y el 3º más alto]]/tblPiNAnalysis[[#This Row],[3º PiN más alto]], "")</f>
        <v>0.93044589898293095</v>
      </c>
      <c r="AP133" s="96" t="str" cm="1">
        <f t="array" ref="AP13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33" s="84" cm="1">
        <f t="array" ref="AQ133">IFERROR(IF(tblPiNAnalysis[[#This Row],[ID]]="", "", INDEX(tblPiNHistorical[[SAMV]:[ASH]], MATCH(tblPiNAnalysis[[#This Row],[ID]],tblPiNHistorical[ID], 0),MATCH(_xlfn._xlws.FILTER(tblPiNAnalysis[[#Headers],[SAMV]:[ASH]], tblPiNAnalysis[[#This Row],[PiN más alto]]=tblPiNAnalysis[[#This Row],[SAMV]:[ASH]]), tblPiNHistorical[[#Headers],[SAMV]:[ASH]], 0))), "")</f>
        <v>1.1000000000000001</v>
      </c>
      <c r="AR133" s="99" t="str" cm="1">
        <f t="array" ref="AR13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33" s="74" cm="1">
        <f t="array" ref="AS133">IFERROR(IF(tblPiNAnalysis[[#This Row],[ID]]="", "", INDEX(tblPiNHistorical[[SAMV]:[ASH]], MATCH(tblPiNAnalysis[[#This Row],[ID]],tblPiNHistorical[ID], 0),MATCH(_xlfn._xlws.FILTER(tblPiNAnalysis[[#Headers],[SAMV]:[ASH]], tblPiNAnalysis[[#This Row],[2º PiN más alto]]=tblPiNAnalysis[[#This Row],[SAMV]:[ASH]]), tblPiNHistorical[[#Headers],[SAMV]:[ASH]], 0))), "")</f>
        <v>-0.2</v>
      </c>
      <c r="AT133" s="100" t="str" cm="1">
        <f t="array" ref="AT13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33" s="219">
        <f>INDEX(tblSeverityAnalysis[Severidad final], MATCH(tblPiNAnalysis[[#This Row],[ID]],tblSeverityAnalysis[ID], 0))</f>
        <v>3</v>
      </c>
      <c r="AV133" s="220">
        <f>IF(tblPiNAnalysis[[#This Row],[Severidad]]&gt;2,tblPiNAnalysis[[#This Row],[PiN más alto]],)</f>
        <v>17085.5</v>
      </c>
      <c r="AW133" s="54"/>
      <c r="AX133" s="55"/>
      <c r="AY133" s="56">
        <f>COUNTIFS(tblPiNAnalysis[[#This Row],[Número de PiN ausentes/cero superior al umbral - Calidad de los datos]:[Marcador manual]],"Flagged")</f>
        <v>3</v>
      </c>
      <c r="AZ133" s="34" t="str">
        <f>IF(tblPiNAnalysis[[#This Row],[Número de marcadores]]&gt;0, "Flagged", "")</f>
        <v>Flagged</v>
      </c>
      <c r="BA133" s="92">
        <f>tblPiNAnalysis[[#This Row],[PiN preliminar]]</f>
        <v>17085.5</v>
      </c>
      <c r="BB133" s="97"/>
      <c r="BC133" s="70">
        <f>IFERROR(IF(tblPiNAnalysis[[#This Row],[Severidad]]=3,tblPiNAnalysis[[#This Row],[PiN final]]*Umbrales!$D$33,tblPiNAnalysis[[#This Row],[PiN final]]*Umbrales!$D$34),)</f>
        <v>8542.75</v>
      </c>
      <c r="BD133" s="70">
        <f>IFERROR(IF(tblPiNAnalysis[[#This Row],[Severidad]]&gt;3,tblPiNAnalysis[[#This Row],[PiN final]]*Umbrales!$D$34,),)</f>
        <v>0</v>
      </c>
    </row>
    <row r="134" spans="1:56">
      <c r="A134" s="101" t="str">
        <f>IFERROR(_xlfn.CONCAT(IF(tblPiNAnalysis[[#This Row],[Grupo]]="", "",tblPiNAnalysis[[#This Row],[Grupo]] ),  _xlfn.IFS(tblPiNAnalysis[[#This Row],[Admin2PCODE]]&lt;&gt;"", tblPiNAnalysis[[#This Row],[Admin2PCODE]], tblPiNAnalysis[[#This Row],[Admin1PCODE]]&lt;&gt;"", tblPiNAnalysis[[#This Row],[Admin1PCODE]])),"")</f>
        <v>VenezolanosVE0403</v>
      </c>
      <c r="B134" s="105" t="s">
        <v>163</v>
      </c>
      <c r="C134" s="104" t="s">
        <v>164</v>
      </c>
      <c r="D134" s="119" t="s">
        <v>169</v>
      </c>
      <c r="E134" s="104" t="s">
        <v>170</v>
      </c>
      <c r="F134" s="358"/>
      <c r="G134" s="357">
        <v>28161</v>
      </c>
      <c r="H134" s="103" t="s">
        <v>102</v>
      </c>
      <c r="I134" s="60">
        <v>4693</v>
      </c>
      <c r="J134" s="134">
        <v>1415.0457714879094</v>
      </c>
      <c r="K134" s="57">
        <v>10278.764999999999</v>
      </c>
      <c r="L134" s="87">
        <v>5529.0919175159233</v>
      </c>
      <c r="M134" s="87">
        <v>6762.628562054465</v>
      </c>
      <c r="N134" s="57">
        <v>16896.599999999999</v>
      </c>
      <c r="O134" s="57">
        <v>2164.0411398574288</v>
      </c>
      <c r="P134" s="57">
        <v>2366.9199967190625</v>
      </c>
      <c r="Q134" s="88">
        <f>IFERROR(IF(tblPiNAnalysis[[#This Row],[SAMV]]="", "", MROUND(tblPiNAnalysis[[#This Row],[SAMV]]/tblPiNAnalysis[[#This Row],[Población]], 0.05)), "")</f>
        <v>0.15000000000000002</v>
      </c>
      <c r="R134" s="89">
        <f>IFERROR(IF(tblPiNAnalysis[[#This Row],[NUT]]="", "", MROUND(tblPiNAnalysis[[#This Row],[NUT]]/tblPiNAnalysis[[#This Row],[Población]], 0.05)), "")</f>
        <v>0.05</v>
      </c>
      <c r="S134" s="89">
        <f>IFERROR(IF(tblPiNAnalysis[[#This Row],[SAL]]="", "", MROUND(tblPiNAnalysis[[#This Row],[SAL]]/tblPiNAnalysis[[#This Row],[Población]], 0.05)), "")</f>
        <v>0.35000000000000003</v>
      </c>
      <c r="T134" s="89">
        <f>IFERROR(IF(tblPiNAnalysis[[#This Row],[EDU]]="", "", MROUND(tblPiNAnalysis[[#This Row],[EDU]]/tblPiNAnalysis[[#This Row],[Población]], 0.05)), "")</f>
        <v>0.2</v>
      </c>
      <c r="U134" s="89">
        <f>IFERROR(IF(tblPiNAnalysis[[#This Row],[PRO]]="", "", MROUND(tblPiNAnalysis[[#This Row],[PRO]]/tblPiNAnalysis[[#This Row],[Población]], 0.05)), "")</f>
        <v>0.25</v>
      </c>
      <c r="V134" s="90">
        <f>IFERROR(IF(tblPiNAnalysis[[#This Row],[ASH]]="", "", MROUND(tblPiNAnalysis[[#This Row],[ASH]]/tblPiNAnalysis[[#This Row],[Población]], 0.05)), "")</f>
        <v>0.60000000000000009</v>
      </c>
      <c r="W134" s="89">
        <f>IFERROR(MROUND(tblPiNAnalysis[[#This Row],[NNA]]/tblPiNAnalysis[[#This Row],[Población]], 0.05), "")</f>
        <v>0.1</v>
      </c>
      <c r="X134" s="89">
        <f>IFERROR(MROUND(tblPiNAnalysis[[#This Row],[VBG]]/tblPiNAnalysis[[#This Row],[Población]], 0.05), "")</f>
        <v>0.1</v>
      </c>
      <c r="Y134" s="91">
        <f>IFERROR(LARGE(tblPiNAnalysis[[#This Row],[SAMV]:[ASH]], 1), "")</f>
        <v>16896.599999999999</v>
      </c>
      <c r="Z134" s="92" t="str" cm="1">
        <f t="array" ref="Z134">IF(tblPiNAnalysis[[#This Row],[PiN más alto]]="", "", _xlfn.TEXTJOIN(CHAR(10), TRUE, IF(tblPiNAnalysis[[#This Row],[PiN más alto]]=tblPiNAnalysis[[#This Row],[SAMV]:[ASH]], tblPiNAnalysis[[#Headers],[SAMV]:[ASH]], "")))</f>
        <v>ASH</v>
      </c>
      <c r="AA134" s="93">
        <f>IF(tblPiNAnalysis[[#This Row],[PiN más alto]]="", "", tblPiNAnalysis[[#This Row],[PiN más alto]]/tblPiNAnalysis[[#This Row],[Población]])</f>
        <v>0.6</v>
      </c>
      <c r="AB134" s="94" t="str">
        <f>IF(SUM(tblPiNAnalysis[[#This Row],[SAMV]:[ASH]])=0, "",IF(COUNTIF(tblPiNAnalysis[[#This Row],[SAMV]:[ASH]],"=0")+COUNTIF(tblPiNAnalysis[[#This Row],[SAMV]:[ASH]],"")&gt;=zero_pin_thresh, "Flagged", ""))</f>
        <v/>
      </c>
      <c r="AC134" s="95" t="str">
        <f>IFERROR(IF(tblPiNAnalysis[[#This Row],[PiN más alto]]="", "", IF(tblPiNAnalysis[[#This Row],[% PiN Sectores más altos]]&gt;=flag_pin_perc, "Flagged", "")), "")</f>
        <v/>
      </c>
      <c r="AD134" s="96" t="str" cm="1">
        <f t="array" ref="AD134">IF(tblPiNAnalysis[[#This Row],[PiN más alto]]=0, "",  IF(OR(COUNTIF(tblPiNAnalysis[[#This Row],[Sectores más altos]],tblSubSectorPopulation[Sector])), "Flagged", ""))</f>
        <v/>
      </c>
      <c r="AE134" s="16" cm="1">
        <f t="array" ref="AE13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10278.764999999999</v>
      </c>
      <c r="AF134" s="97" t="str" cm="1">
        <f t="array" ref="AF134">IF(tblPiNAnalysis[[#This Row],[2º PiN más alto]]="", "", _xlfn.TEXTJOIN(CHAR(10), TRUE, IF(tblPiNAnalysis[[#This Row],[2º PiN más alto]]=tblPiNAnalysis[[#This Row],[SAMV]:[ASH]], tblPiNAnalysis[[#Headers],[SAMV]:[ASH]], "")))</f>
        <v>SAL</v>
      </c>
      <c r="AG134" s="12">
        <f>IFERROR(tblPiNAnalysis[[#This Row],[2º PiN más alto]]/tblPiNAnalysis[[#This Row],[Población]], "")</f>
        <v>0.36499999999999999</v>
      </c>
      <c r="AH134" s="16">
        <f>IFERROR(tblPiNAnalysis[[#This Row],[PiN más alto]]-tblPiNAnalysis[[#This Row],[2º PiN más alto]], "")</f>
        <v>6617.8349999999991</v>
      </c>
      <c r="AI134" s="14">
        <f>IFERROR(((tblPiNAnalysis[[#This Row],[PiN más alto]]-tblPiNAnalysis[[#This Row],[2º PiN más alto]])/tblPiNAnalysis[[#This Row],[2º PiN más alto]]),"")</f>
        <v>0.64383561643835607</v>
      </c>
      <c r="AJ134" s="14" t="str" cm="1">
        <f t="array" ref="AJ13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34" s="98" cm="1">
        <f t="array" ref="AK13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6762.628562054465</v>
      </c>
      <c r="AL134" s="53" t="str" cm="1">
        <f t="array" ref="AL134">IF(tblPiNAnalysis[[#This Row],[3º PiN más alto]]="", "", _xlfn.TEXTJOIN(CHAR(10), TRUE, IF(tblPiNAnalysis[[#This Row],[3º PiN más alto]]=tblPiNAnalysis[[#This Row],[SAMV]:[ASH]], tblPiNAnalysis[[#Headers],[SAMV]:[ASH]], "")))</f>
        <v>PRO</v>
      </c>
      <c r="AM134" s="53">
        <f>IFERROR(tblPiNAnalysis[[#This Row],[3º PiN más alto]]/tblPiNAnalysis[[#This Row],[Población]], "")</f>
        <v>0.24014163424787702</v>
      </c>
      <c r="AN134" s="15">
        <f>IFERROR(tblPiNAnalysis[[#This Row],[PiN más alto]]-tblPiNAnalysis[[#This Row],[3º PiN más alto]],"")</f>
        <v>10133.971437945533</v>
      </c>
      <c r="AO134" s="14">
        <f>IFERROR(tblPiNAnalysis[[#This Row],[Diferencia de PiN entre el más alto y el 3º más alto]]/tblPiNAnalysis[[#This Row],[3º PiN más alto]], "")</f>
        <v>1.4985255134087778</v>
      </c>
      <c r="AP134" s="96" t="str" cm="1">
        <f t="array" ref="AP13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34" s="84" cm="1">
        <f t="array" ref="AQ134">IFERROR(IF(tblPiNAnalysis[[#This Row],[ID]]="", "", INDEX(tblPiNHistorical[[SAMV]:[ASH]], MATCH(tblPiNAnalysis[[#This Row],[ID]],tblPiNHistorical[ID], 0),MATCH(_xlfn._xlws.FILTER(tblPiNAnalysis[[#Headers],[SAMV]:[ASH]], tblPiNAnalysis[[#This Row],[PiN más alto]]=tblPiNAnalysis[[#This Row],[SAMV]:[ASH]]), tblPiNHistorical[[#Headers],[SAMV]:[ASH]], 0))), "")</f>
        <v>3</v>
      </c>
      <c r="AR134" s="99" t="str" cm="1">
        <f t="array" ref="AR13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34" s="74" cm="1">
        <f t="array" ref="AS134">IFERROR(IF(tblPiNAnalysis[[#This Row],[ID]]="", "", INDEX(tblPiNHistorical[[SAMV]:[ASH]], MATCH(tblPiNAnalysis[[#This Row],[ID]],tblPiNHistorical[ID], 0),MATCH(_xlfn._xlws.FILTER(tblPiNAnalysis[[#Headers],[SAMV]:[ASH]], tblPiNAnalysis[[#This Row],[2º PiN más alto]]=tblPiNAnalysis[[#This Row],[SAMV]:[ASH]]), tblPiNHistorical[[#Headers],[SAMV]:[ASH]], 0))), "")</f>
        <v>6.5</v>
      </c>
      <c r="AT134" s="100" t="str" cm="1">
        <f t="array" ref="AT13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34" s="219">
        <f>INDEX(tblSeverityAnalysis[Severidad final], MATCH(tblPiNAnalysis[[#This Row],[ID]],tblSeverityAnalysis[ID], 0))</f>
        <v>3</v>
      </c>
      <c r="AV134" s="220">
        <f>IF(tblPiNAnalysis[[#This Row],[Severidad]]&gt;2,tblPiNAnalysis[[#This Row],[PiN más alto]],)</f>
        <v>16896.599999999999</v>
      </c>
      <c r="AW134" s="54"/>
      <c r="AX134" s="55"/>
      <c r="AY134" s="56">
        <f>COUNTIFS(tblPiNAnalysis[[#This Row],[Número de PiN ausentes/cero superior al umbral - Calidad de los datos]:[Marcador manual]],"Flagged")</f>
        <v>4</v>
      </c>
      <c r="AZ134" s="34" t="str">
        <f>IF(tblPiNAnalysis[[#This Row],[Número de marcadores]]&gt;0, "Flagged", "")</f>
        <v>Flagged</v>
      </c>
      <c r="BA134" s="92">
        <f>tblPiNAnalysis[[#This Row],[PiN preliminar]]</f>
        <v>16896.599999999999</v>
      </c>
      <c r="BB134" s="97"/>
      <c r="BC134" s="70">
        <f>IFERROR(IF(tblPiNAnalysis[[#This Row],[Severidad]]=3,tblPiNAnalysis[[#This Row],[PiN final]]*Umbrales!$D$33,tblPiNAnalysis[[#This Row],[PiN final]]*Umbrales!$D$34),)</f>
        <v>8448.2999999999993</v>
      </c>
      <c r="BD134" s="70">
        <f>IFERROR(IF(tblPiNAnalysis[[#This Row],[Severidad]]&gt;3,tblPiNAnalysis[[#This Row],[PiN final]]*Umbrales!$D$34,),)</f>
        <v>0</v>
      </c>
    </row>
    <row r="135" spans="1:56">
      <c r="A135" s="101" t="str">
        <f>IFERROR(_xlfn.CONCAT(IF(tblPiNAnalysis[[#This Row],[Grupo]]="", "",tblPiNAnalysis[[#This Row],[Grupo]] ),  _xlfn.IFS(tblPiNAnalysis[[#This Row],[Admin2PCODE]]&lt;&gt;"", tblPiNAnalysis[[#This Row],[Admin2PCODE]], tblPiNAnalysis[[#This Row],[Admin1PCODE]]&lt;&gt;"", tblPiNAnalysis[[#This Row],[Admin1PCODE]])),"")</f>
        <v>VenezolanosVE0305</v>
      </c>
      <c r="B135" s="105" t="s">
        <v>119</v>
      </c>
      <c r="C135" s="104" t="s">
        <v>120</v>
      </c>
      <c r="D135" s="119" t="s">
        <v>806</v>
      </c>
      <c r="E135" s="104" t="s">
        <v>130</v>
      </c>
      <c r="F135" s="358"/>
      <c r="G135" s="357">
        <v>44142</v>
      </c>
      <c r="H135" s="103" t="s">
        <v>102</v>
      </c>
      <c r="I135" s="60">
        <v>15414</v>
      </c>
      <c r="J135" s="134">
        <v>1292.0006397623515</v>
      </c>
      <c r="K135" s="57">
        <v>16111.83</v>
      </c>
      <c r="L135" s="87">
        <v>3788.8571903945158</v>
      </c>
      <c r="M135" s="87">
        <v>5267.8925874125889</v>
      </c>
      <c r="N135" s="57">
        <v>2979.585</v>
      </c>
      <c r="O135" s="57">
        <v>1685.7256279720286</v>
      </c>
      <c r="P135" s="57">
        <v>1843.7624055944057</v>
      </c>
      <c r="Q135" s="88">
        <f>IFERROR(IF(tblPiNAnalysis[[#This Row],[SAMV]]="", "", MROUND(tblPiNAnalysis[[#This Row],[SAMV]]/tblPiNAnalysis[[#This Row],[Población]], 0.05)), "")</f>
        <v>0.35000000000000003</v>
      </c>
      <c r="R135" s="89">
        <f>IFERROR(IF(tblPiNAnalysis[[#This Row],[NUT]]="", "", MROUND(tblPiNAnalysis[[#This Row],[NUT]]/tblPiNAnalysis[[#This Row],[Población]], 0.05)), "")</f>
        <v>0.05</v>
      </c>
      <c r="S135" s="89">
        <f>IFERROR(IF(tblPiNAnalysis[[#This Row],[SAL]]="", "", MROUND(tblPiNAnalysis[[#This Row],[SAL]]/tblPiNAnalysis[[#This Row],[Población]], 0.05)), "")</f>
        <v>0.35000000000000003</v>
      </c>
      <c r="T135" s="89">
        <f>IFERROR(IF(tblPiNAnalysis[[#This Row],[EDU]]="", "", MROUND(tblPiNAnalysis[[#This Row],[EDU]]/tblPiNAnalysis[[#This Row],[Población]], 0.05)), "")</f>
        <v>0.1</v>
      </c>
      <c r="U135" s="89">
        <f>IFERROR(IF(tblPiNAnalysis[[#This Row],[PRO]]="", "", MROUND(tblPiNAnalysis[[#This Row],[PRO]]/tblPiNAnalysis[[#This Row],[Población]], 0.05)), "")</f>
        <v>0.1</v>
      </c>
      <c r="V135" s="90">
        <f>IFERROR(IF(tblPiNAnalysis[[#This Row],[ASH]]="", "", MROUND(tblPiNAnalysis[[#This Row],[ASH]]/tblPiNAnalysis[[#This Row],[Población]], 0.05)), "")</f>
        <v>0.05</v>
      </c>
      <c r="W135" s="89">
        <f>IFERROR(MROUND(tblPiNAnalysis[[#This Row],[NNA]]/tblPiNAnalysis[[#This Row],[Población]], 0.05), "")</f>
        <v>0.05</v>
      </c>
      <c r="X135" s="89">
        <f>IFERROR(MROUND(tblPiNAnalysis[[#This Row],[VBG]]/tblPiNAnalysis[[#This Row],[Población]], 0.05), "")</f>
        <v>0.05</v>
      </c>
      <c r="Y135" s="91">
        <f>IFERROR(LARGE(tblPiNAnalysis[[#This Row],[SAMV]:[ASH]], 1), "")</f>
        <v>16111.83</v>
      </c>
      <c r="Z135" s="92" t="str" cm="1">
        <f t="array" ref="Z135">IF(tblPiNAnalysis[[#This Row],[PiN más alto]]="", "", _xlfn.TEXTJOIN(CHAR(10), TRUE, IF(tblPiNAnalysis[[#This Row],[PiN más alto]]=tblPiNAnalysis[[#This Row],[SAMV]:[ASH]], tblPiNAnalysis[[#Headers],[SAMV]:[ASH]], "")))</f>
        <v>SAL</v>
      </c>
      <c r="AA135" s="93">
        <f>IF(tblPiNAnalysis[[#This Row],[PiN más alto]]="", "", tblPiNAnalysis[[#This Row],[PiN más alto]]/tblPiNAnalysis[[#This Row],[Población]])</f>
        <v>0.36499999999999999</v>
      </c>
      <c r="AB135" s="94" t="str">
        <f>IF(SUM(tblPiNAnalysis[[#This Row],[SAMV]:[ASH]])=0, "",IF(COUNTIF(tblPiNAnalysis[[#This Row],[SAMV]:[ASH]],"=0")+COUNTIF(tblPiNAnalysis[[#This Row],[SAMV]:[ASH]],"")&gt;=zero_pin_thresh, "Flagged", ""))</f>
        <v/>
      </c>
      <c r="AC135" s="95" t="str">
        <f>IFERROR(IF(tblPiNAnalysis[[#This Row],[PiN más alto]]="", "", IF(tblPiNAnalysis[[#This Row],[% PiN Sectores más altos]]&gt;=flag_pin_perc, "Flagged", "")), "")</f>
        <v/>
      </c>
      <c r="AD135" s="96" t="str" cm="1">
        <f t="array" ref="AD135">IF(tblPiNAnalysis[[#This Row],[PiN más alto]]=0, "",  IF(OR(COUNTIF(tblPiNAnalysis[[#This Row],[Sectores más altos]],tblSubSectorPopulation[Sector])), "Flagged", ""))</f>
        <v/>
      </c>
      <c r="AE135" s="16" cm="1">
        <f t="array" ref="AE13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15414</v>
      </c>
      <c r="AF135" s="97" t="str" cm="1">
        <f t="array" ref="AF135">IF(tblPiNAnalysis[[#This Row],[2º PiN más alto]]="", "", _xlfn.TEXTJOIN(CHAR(10), TRUE, IF(tblPiNAnalysis[[#This Row],[2º PiN más alto]]=tblPiNAnalysis[[#This Row],[SAMV]:[ASH]], tblPiNAnalysis[[#Headers],[SAMV]:[ASH]], "")))</f>
        <v>SAMV</v>
      </c>
      <c r="AG135" s="12">
        <f>IFERROR(tblPiNAnalysis[[#This Row],[2º PiN más alto]]/tblPiNAnalysis[[#This Row],[Población]], "")</f>
        <v>0.34919124643196953</v>
      </c>
      <c r="AH135" s="16">
        <f>IFERROR(tblPiNAnalysis[[#This Row],[PiN más alto]]-tblPiNAnalysis[[#This Row],[2º PiN más alto]], "")</f>
        <v>697.82999999999993</v>
      </c>
      <c r="AI135" s="14">
        <f>IFERROR(((tblPiNAnalysis[[#This Row],[PiN más alto]]-tblPiNAnalysis[[#This Row],[2º PiN más alto]])/tblPiNAnalysis[[#This Row],[2º PiN más alto]]),"")</f>
        <v>4.5272479564032693E-2</v>
      </c>
      <c r="AJ135" s="14" t="str" cm="1">
        <f t="array" ref="AJ13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35" s="98" cm="1">
        <f t="array" ref="AK13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5267.8925874125889</v>
      </c>
      <c r="AL135" s="53" t="str" cm="1">
        <f t="array" ref="AL135">IF(tblPiNAnalysis[[#This Row],[3º PiN más alto]]="", "", _xlfn.TEXTJOIN(CHAR(10), TRUE, IF(tblPiNAnalysis[[#This Row],[3º PiN más alto]]=tblPiNAnalysis[[#This Row],[SAMV]:[ASH]], tblPiNAnalysis[[#Headers],[SAMV]:[ASH]], "")))</f>
        <v>PRO</v>
      </c>
      <c r="AM135" s="53">
        <f>IFERROR(tblPiNAnalysis[[#This Row],[3º PiN más alto]]/tblPiNAnalysis[[#This Row],[Población]], "")</f>
        <v>0.11933968980591249</v>
      </c>
      <c r="AN135" s="15">
        <f>IFERROR(tblPiNAnalysis[[#This Row],[PiN más alto]]-tblPiNAnalysis[[#This Row],[3º PiN más alto]],"")</f>
        <v>10843.937412587411</v>
      </c>
      <c r="AO135" s="14">
        <f>IFERROR(tblPiNAnalysis[[#This Row],[Diferencia de PiN entre el más alto y el 3º más alto]]/tblPiNAnalysis[[#This Row],[3º PiN más alto]], "")</f>
        <v>2.0584963023920704</v>
      </c>
      <c r="AP135" s="96" t="str" cm="1">
        <f t="array" ref="AP13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35" s="84" cm="1">
        <f t="array" ref="AQ135">IFERROR(IF(tblPiNAnalysis[[#This Row],[ID]]="", "", INDEX(tblPiNHistorical[[SAMV]:[ASH]], MATCH(tblPiNAnalysis[[#This Row],[ID]],tblPiNHistorical[ID], 0),MATCH(_xlfn._xlws.FILTER(tblPiNAnalysis[[#Headers],[SAMV]:[ASH]], tblPiNAnalysis[[#This Row],[PiN más alto]]=tblPiNAnalysis[[#This Row],[SAMV]:[ASH]]), tblPiNHistorical[[#Headers],[SAMV]:[ASH]], 0))), "")</f>
        <v>7.4</v>
      </c>
      <c r="AR135" s="99" t="str" cm="1">
        <f t="array" ref="AR13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35" s="74" cm="1">
        <f t="array" ref="AS135">IFERROR(IF(tblPiNAnalysis[[#This Row],[ID]]="", "", INDEX(tblPiNHistorical[[SAMV]:[ASH]], MATCH(tblPiNAnalysis[[#This Row],[ID]],tblPiNHistorical[ID], 0),MATCH(_xlfn._xlws.FILTER(tblPiNAnalysis[[#Headers],[SAMV]:[ASH]], tblPiNAnalysis[[#This Row],[2º PiN más alto]]=tblPiNAnalysis[[#This Row],[SAMV]:[ASH]]), tblPiNHistorical[[#Headers],[SAMV]:[ASH]], 0))), "")</f>
        <v>3.7</v>
      </c>
      <c r="AT135" s="100" t="str" cm="1">
        <f t="array" ref="AT13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35" s="219">
        <f>INDEX(tblSeverityAnalysis[Severidad final], MATCH(tblPiNAnalysis[[#This Row],[ID]],tblSeverityAnalysis[ID], 0))</f>
        <v>3</v>
      </c>
      <c r="AV135" s="220">
        <f>IF(tblPiNAnalysis[[#This Row],[Severidad]]&gt;2,tblPiNAnalysis[[#This Row],[PiN más alto]],)</f>
        <v>16111.83</v>
      </c>
      <c r="AW135" s="54"/>
      <c r="AX135" s="55"/>
      <c r="AY135" s="56">
        <f>COUNTIFS(tblPiNAnalysis[[#This Row],[Número de PiN ausentes/cero superior al umbral - Calidad de los datos]:[Marcador manual]],"Flagged")</f>
        <v>3</v>
      </c>
      <c r="AZ135" s="34" t="str">
        <f>IF(tblPiNAnalysis[[#This Row],[Número de marcadores]]&gt;0, "Flagged", "")</f>
        <v>Flagged</v>
      </c>
      <c r="BA135" s="92">
        <f>tblPiNAnalysis[[#This Row],[PiN preliminar]]</f>
        <v>16111.83</v>
      </c>
      <c r="BB135" s="97"/>
      <c r="BC135" s="70">
        <f>IFERROR(IF(tblPiNAnalysis[[#This Row],[Severidad]]=3,tblPiNAnalysis[[#This Row],[PiN final]]*Umbrales!$D$33,tblPiNAnalysis[[#This Row],[PiN final]]*Umbrales!$D$34),)</f>
        <v>8055.915</v>
      </c>
      <c r="BD135" s="70">
        <f>IFERROR(IF(tblPiNAnalysis[[#This Row],[Severidad]]&gt;3,tblPiNAnalysis[[#This Row],[PiN final]]*Umbrales!$D$34,),)</f>
        <v>0</v>
      </c>
    </row>
    <row r="136" spans="1:56">
      <c r="A136" s="101" t="str">
        <f>IFERROR(_xlfn.CONCAT(IF(tblPiNAnalysis[[#This Row],[Grupo]]="", "",tblPiNAnalysis[[#This Row],[Grupo]] ),  _xlfn.IFS(tblPiNAnalysis[[#This Row],[Admin2PCODE]]&lt;&gt;"", tblPiNAnalysis[[#This Row],[Admin2PCODE]], tblPiNAnalysis[[#This Row],[Admin1PCODE]]&lt;&gt;"", tblPiNAnalysis[[#This Row],[Admin1PCODE]])),"")</f>
        <v>VenezolanosVE2306</v>
      </c>
      <c r="B136" s="105" t="s">
        <v>705</v>
      </c>
      <c r="C136" s="104" t="s">
        <v>706</v>
      </c>
      <c r="D136" s="119" t="s">
        <v>717</v>
      </c>
      <c r="E136" s="104" t="s">
        <v>718</v>
      </c>
      <c r="F136" s="358"/>
      <c r="G136" s="357">
        <v>34710</v>
      </c>
      <c r="H136" s="103" t="s">
        <v>102</v>
      </c>
      <c r="I136" s="60">
        <v>14463</v>
      </c>
      <c r="J136" s="134">
        <v>1496.6943562930883</v>
      </c>
      <c r="K136" s="57">
        <v>12669.15</v>
      </c>
      <c r="L136" s="87">
        <v>5524.6626052729607</v>
      </c>
      <c r="M136" s="87">
        <v>6894.0596234500163</v>
      </c>
      <c r="N136" s="57">
        <v>4685.8499999999995</v>
      </c>
      <c r="O136" s="57">
        <v>2212.9931391274549</v>
      </c>
      <c r="P136" s="57">
        <v>2412.9208682075055</v>
      </c>
      <c r="Q136" s="88">
        <f>IFERROR(IF(tblPiNAnalysis[[#This Row],[SAMV]]="", "", MROUND(tblPiNAnalysis[[#This Row],[SAMV]]/tblPiNAnalysis[[#This Row],[Población]], 0.05)), "")</f>
        <v>0.4</v>
      </c>
      <c r="R136" s="89">
        <f>IFERROR(IF(tblPiNAnalysis[[#This Row],[NUT]]="", "", MROUND(tblPiNAnalysis[[#This Row],[NUT]]/tblPiNAnalysis[[#This Row],[Población]], 0.05)), "")</f>
        <v>0.05</v>
      </c>
      <c r="S136" s="89">
        <f>IFERROR(IF(tblPiNAnalysis[[#This Row],[SAL]]="", "", MROUND(tblPiNAnalysis[[#This Row],[SAL]]/tblPiNAnalysis[[#This Row],[Población]], 0.05)), "")</f>
        <v>0.35000000000000003</v>
      </c>
      <c r="T136" s="89">
        <f>IFERROR(IF(tblPiNAnalysis[[#This Row],[EDU]]="", "", MROUND(tblPiNAnalysis[[#This Row],[EDU]]/tblPiNAnalysis[[#This Row],[Población]], 0.05)), "")</f>
        <v>0.15000000000000002</v>
      </c>
      <c r="U136" s="89">
        <f>IFERROR(IF(tblPiNAnalysis[[#This Row],[PRO]]="", "", MROUND(tblPiNAnalysis[[#This Row],[PRO]]/tblPiNAnalysis[[#This Row],[Población]], 0.05)), "")</f>
        <v>0.2</v>
      </c>
      <c r="V136" s="90">
        <f>IFERROR(IF(tblPiNAnalysis[[#This Row],[ASH]]="", "", MROUND(tblPiNAnalysis[[#This Row],[ASH]]/tblPiNAnalysis[[#This Row],[Población]], 0.05)), "")</f>
        <v>0.15000000000000002</v>
      </c>
      <c r="W136" s="89">
        <f>IFERROR(MROUND(tblPiNAnalysis[[#This Row],[NNA]]/tblPiNAnalysis[[#This Row],[Población]], 0.05), "")</f>
        <v>0.05</v>
      </c>
      <c r="X136" s="89">
        <f>IFERROR(MROUND(tblPiNAnalysis[[#This Row],[VBG]]/tblPiNAnalysis[[#This Row],[Población]], 0.05), "")</f>
        <v>0.05</v>
      </c>
      <c r="Y136" s="91">
        <f>IFERROR(LARGE(tblPiNAnalysis[[#This Row],[SAMV]:[ASH]], 1), "")</f>
        <v>14463</v>
      </c>
      <c r="Z136" s="92" t="str" cm="1">
        <f t="array" ref="Z136">IF(tblPiNAnalysis[[#This Row],[PiN más alto]]="", "", _xlfn.TEXTJOIN(CHAR(10), TRUE, IF(tblPiNAnalysis[[#This Row],[PiN más alto]]=tblPiNAnalysis[[#This Row],[SAMV]:[ASH]], tblPiNAnalysis[[#Headers],[SAMV]:[ASH]], "")))</f>
        <v>SAMV</v>
      </c>
      <c r="AA136" s="93">
        <f>IF(tblPiNAnalysis[[#This Row],[PiN más alto]]="", "", tblPiNAnalysis[[#This Row],[PiN más alto]]/tblPiNAnalysis[[#This Row],[Población]])</f>
        <v>0.4166810717372515</v>
      </c>
      <c r="AB136" s="94" t="str">
        <f>IF(SUM(tblPiNAnalysis[[#This Row],[SAMV]:[ASH]])=0, "",IF(COUNTIF(tblPiNAnalysis[[#This Row],[SAMV]:[ASH]],"=0")+COUNTIF(tblPiNAnalysis[[#This Row],[SAMV]:[ASH]],"")&gt;=zero_pin_thresh, "Flagged", ""))</f>
        <v/>
      </c>
      <c r="AC136" s="95" t="str">
        <f>IFERROR(IF(tblPiNAnalysis[[#This Row],[PiN más alto]]="", "", IF(tblPiNAnalysis[[#This Row],[% PiN Sectores más altos]]&gt;=flag_pin_perc, "Flagged", "")), "")</f>
        <v/>
      </c>
      <c r="AD136" s="96" t="str" cm="1">
        <f t="array" ref="AD136">IF(tblPiNAnalysis[[#This Row],[PiN más alto]]=0, "",  IF(OR(COUNTIF(tblPiNAnalysis[[#This Row],[Sectores más altos]],tblSubSectorPopulation[Sector])), "Flagged", ""))</f>
        <v/>
      </c>
      <c r="AE136" s="16" cm="1">
        <f t="array" ref="AE13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12669.15</v>
      </c>
      <c r="AF136" s="97" t="str" cm="1">
        <f t="array" ref="AF136">IF(tblPiNAnalysis[[#This Row],[2º PiN más alto]]="", "", _xlfn.TEXTJOIN(CHAR(10), TRUE, IF(tblPiNAnalysis[[#This Row],[2º PiN más alto]]=tblPiNAnalysis[[#This Row],[SAMV]:[ASH]], tblPiNAnalysis[[#Headers],[SAMV]:[ASH]], "")))</f>
        <v>SAL</v>
      </c>
      <c r="AG136" s="12">
        <f>IFERROR(tblPiNAnalysis[[#This Row],[2º PiN más alto]]/tblPiNAnalysis[[#This Row],[Población]], "")</f>
        <v>0.36499999999999999</v>
      </c>
      <c r="AH136" s="16">
        <f>IFERROR(tblPiNAnalysis[[#This Row],[PiN más alto]]-tblPiNAnalysis[[#This Row],[2º PiN más alto]], "")</f>
        <v>1793.8500000000004</v>
      </c>
      <c r="AI136" s="14">
        <f>IFERROR(((tblPiNAnalysis[[#This Row],[PiN más alto]]-tblPiNAnalysis[[#This Row],[2º PiN más alto]])/tblPiNAnalysis[[#This Row],[2º PiN más alto]]),"")</f>
        <v>0.14159197736233295</v>
      </c>
      <c r="AJ136" s="14" t="str" cm="1">
        <f t="array" ref="AJ13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36" s="98" cm="1">
        <f t="array" ref="AK13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6894.0596234500163</v>
      </c>
      <c r="AL136" s="53" t="str" cm="1">
        <f t="array" ref="AL136">IF(tblPiNAnalysis[[#This Row],[3º PiN más alto]]="", "", _xlfn.TEXTJOIN(CHAR(10), TRUE, IF(tblPiNAnalysis[[#This Row],[3º PiN más alto]]=tblPiNAnalysis[[#This Row],[SAMV]:[ASH]], tblPiNAnalysis[[#Headers],[SAMV]:[ASH]], "")))</f>
        <v>PRO</v>
      </c>
      <c r="AM136" s="53">
        <f>IFERROR(tblPiNAnalysis[[#This Row],[3º PiN más alto]]/tblPiNAnalysis[[#This Row],[Población]], "")</f>
        <v>0.19861883098386679</v>
      </c>
      <c r="AN136" s="15">
        <f>IFERROR(tblPiNAnalysis[[#This Row],[PiN más alto]]-tblPiNAnalysis[[#This Row],[3º PiN más alto]],"")</f>
        <v>7568.9403765499837</v>
      </c>
      <c r="AO136" s="14">
        <f>IFERROR(tblPiNAnalysis[[#This Row],[Diferencia de PiN entre el más alto y el 3º más alto]]/tblPiNAnalysis[[#This Row],[3º PiN más alto]], "")</f>
        <v>1.0978930833154348</v>
      </c>
      <c r="AP136" s="96" t="str" cm="1">
        <f t="array" ref="AP13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36" s="84" cm="1">
        <f t="array" ref="AQ136">IFERROR(IF(tblPiNAnalysis[[#This Row],[ID]]="", "", INDEX(tblPiNHistorical[[SAMV]:[ASH]], MATCH(tblPiNAnalysis[[#This Row],[ID]],tblPiNHistorical[ID], 0),MATCH(_xlfn._xlws.FILTER(tblPiNAnalysis[[#Headers],[SAMV]:[ASH]], tblPiNAnalysis[[#This Row],[PiN más alto]]=tblPiNAnalysis[[#This Row],[SAMV]:[ASH]]), tblPiNHistorical[[#Headers],[SAMV]:[ASH]], 0))), "")</f>
        <v>0.3</v>
      </c>
      <c r="AR136" s="99" t="str" cm="1">
        <f t="array" ref="AR13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36" s="74" cm="1">
        <f t="array" ref="AS136">IFERROR(IF(tblPiNAnalysis[[#This Row],[ID]]="", "", INDEX(tblPiNHistorical[[SAMV]:[ASH]], MATCH(tblPiNAnalysis[[#This Row],[ID]],tblPiNHistorical[ID], 0),MATCH(_xlfn._xlws.FILTER(tblPiNAnalysis[[#Headers],[SAMV]:[ASH]], tblPiNAnalysis[[#This Row],[2º PiN más alto]]=tblPiNAnalysis[[#This Row],[SAMV]:[ASH]]), tblPiNHistorical[[#Headers],[SAMV]:[ASH]], 0))), "")</f>
        <v>0.2</v>
      </c>
      <c r="AT136" s="100" t="str" cm="1">
        <f t="array" ref="AT13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36" s="219">
        <f>INDEX(tblSeverityAnalysis[Severidad final], MATCH(tblPiNAnalysis[[#This Row],[ID]],tblSeverityAnalysis[ID], 0))</f>
        <v>3</v>
      </c>
      <c r="AV136" s="220">
        <f>IF(tblPiNAnalysis[[#This Row],[Severidad]]&gt;2,tblPiNAnalysis[[#This Row],[PiN más alto]],)</f>
        <v>14463</v>
      </c>
      <c r="AW136" s="54"/>
      <c r="AX136" s="55"/>
      <c r="AY136" s="56">
        <f>COUNTIFS(tblPiNAnalysis[[#This Row],[Número de PiN ausentes/cero superior al umbral - Calidad de los datos]:[Marcador manual]],"Flagged")</f>
        <v>1</v>
      </c>
      <c r="AZ136" s="34" t="str">
        <f>IF(tblPiNAnalysis[[#This Row],[Número de marcadores]]&gt;0, "Flagged", "")</f>
        <v>Flagged</v>
      </c>
      <c r="BA136" s="92">
        <f>tblPiNAnalysis[[#This Row],[PiN preliminar]]</f>
        <v>14463</v>
      </c>
      <c r="BB136" s="97"/>
      <c r="BC136" s="70">
        <f>IFERROR(IF(tblPiNAnalysis[[#This Row],[Severidad]]=3,tblPiNAnalysis[[#This Row],[PiN final]]*Umbrales!$D$33,tblPiNAnalysis[[#This Row],[PiN final]]*Umbrales!$D$34),)</f>
        <v>7231.5</v>
      </c>
      <c r="BD136" s="70">
        <f>IFERROR(IF(tblPiNAnalysis[[#This Row],[Severidad]]&gt;3,tblPiNAnalysis[[#This Row],[PiN final]]*Umbrales!$D$34,),)</f>
        <v>0</v>
      </c>
    </row>
    <row r="137" spans="1:56">
      <c r="A137" s="101" t="str">
        <f>IFERROR(_xlfn.CONCAT(IF(tblPiNAnalysis[[#This Row],[Grupo]]="", "",tblPiNAnalysis[[#This Row],[Grupo]] ),  _xlfn.IFS(tblPiNAnalysis[[#This Row],[Admin2PCODE]]&lt;&gt;"", tblPiNAnalysis[[#This Row],[Admin2PCODE]], tblPiNAnalysis[[#This Row],[Admin1PCODE]]&lt;&gt;"", tblPiNAnalysis[[#This Row],[Admin1PCODE]])),"")</f>
        <v>VenezolanosVE0512</v>
      </c>
      <c r="B137" s="105" t="s">
        <v>123</v>
      </c>
      <c r="C137" s="104" t="s">
        <v>179</v>
      </c>
      <c r="D137" s="119" t="s">
        <v>201</v>
      </c>
      <c r="E137" s="104" t="s">
        <v>202</v>
      </c>
      <c r="F137" s="358"/>
      <c r="G137" s="357">
        <v>39442</v>
      </c>
      <c r="H137" s="103" t="s">
        <v>102</v>
      </c>
      <c r="I137" s="60">
        <v>6228</v>
      </c>
      <c r="J137" s="134">
        <v>1259.4906836444238</v>
      </c>
      <c r="K137" s="57">
        <v>14396.33</v>
      </c>
      <c r="L137" s="87">
        <v>6225.9650139530877</v>
      </c>
      <c r="M137" s="87">
        <v>7868.6614333144407</v>
      </c>
      <c r="N137" s="57">
        <v>2662.335</v>
      </c>
      <c r="O137" s="57">
        <v>2517.971658660621</v>
      </c>
      <c r="P137" s="57">
        <v>2754.0315016600548</v>
      </c>
      <c r="Q137" s="88">
        <f>IFERROR(IF(tblPiNAnalysis[[#This Row],[SAMV]]="", "", MROUND(tblPiNAnalysis[[#This Row],[SAMV]]/tblPiNAnalysis[[#This Row],[Población]], 0.05)), "")</f>
        <v>0.15000000000000002</v>
      </c>
      <c r="R137" s="89">
        <f>IFERROR(IF(tblPiNAnalysis[[#This Row],[NUT]]="", "", MROUND(tblPiNAnalysis[[#This Row],[NUT]]/tblPiNAnalysis[[#This Row],[Población]], 0.05)), "")</f>
        <v>0.05</v>
      </c>
      <c r="S137" s="89">
        <f>IFERROR(IF(tblPiNAnalysis[[#This Row],[SAL]]="", "", MROUND(tblPiNAnalysis[[#This Row],[SAL]]/tblPiNAnalysis[[#This Row],[Población]], 0.05)), "")</f>
        <v>0.35000000000000003</v>
      </c>
      <c r="T137" s="89">
        <f>IFERROR(IF(tblPiNAnalysis[[#This Row],[EDU]]="", "", MROUND(tblPiNAnalysis[[#This Row],[EDU]]/tblPiNAnalysis[[#This Row],[Población]], 0.05)), "")</f>
        <v>0.15000000000000002</v>
      </c>
      <c r="U137" s="89">
        <f>IFERROR(IF(tblPiNAnalysis[[#This Row],[PRO]]="", "", MROUND(tblPiNAnalysis[[#This Row],[PRO]]/tblPiNAnalysis[[#This Row],[Población]], 0.05)), "")</f>
        <v>0.2</v>
      </c>
      <c r="V137" s="90">
        <f>IFERROR(IF(tblPiNAnalysis[[#This Row],[ASH]]="", "", MROUND(tblPiNAnalysis[[#This Row],[ASH]]/tblPiNAnalysis[[#This Row],[Población]], 0.05)), "")</f>
        <v>0.05</v>
      </c>
      <c r="W137" s="89">
        <f>IFERROR(MROUND(tblPiNAnalysis[[#This Row],[NNA]]/tblPiNAnalysis[[#This Row],[Población]], 0.05), "")</f>
        <v>0.05</v>
      </c>
      <c r="X137" s="89">
        <f>IFERROR(MROUND(tblPiNAnalysis[[#This Row],[VBG]]/tblPiNAnalysis[[#This Row],[Población]], 0.05), "")</f>
        <v>0.05</v>
      </c>
      <c r="Y137" s="91">
        <f>IFERROR(LARGE(tblPiNAnalysis[[#This Row],[SAMV]:[ASH]], 1), "")</f>
        <v>14396.33</v>
      </c>
      <c r="Z137" s="92" t="str" cm="1">
        <f t="array" ref="Z137">IF(tblPiNAnalysis[[#This Row],[PiN más alto]]="", "", _xlfn.TEXTJOIN(CHAR(10), TRUE, IF(tblPiNAnalysis[[#This Row],[PiN más alto]]=tblPiNAnalysis[[#This Row],[SAMV]:[ASH]], tblPiNAnalysis[[#Headers],[SAMV]:[ASH]], "")))</f>
        <v>SAL</v>
      </c>
      <c r="AA137" s="93">
        <f>IF(tblPiNAnalysis[[#This Row],[PiN más alto]]="", "", tblPiNAnalysis[[#This Row],[PiN más alto]]/tblPiNAnalysis[[#This Row],[Población]])</f>
        <v>0.36499999999999999</v>
      </c>
      <c r="AB137" s="94" t="str">
        <f>IF(SUM(tblPiNAnalysis[[#This Row],[SAMV]:[ASH]])=0, "",IF(COUNTIF(tblPiNAnalysis[[#This Row],[SAMV]:[ASH]],"=0")+COUNTIF(tblPiNAnalysis[[#This Row],[SAMV]:[ASH]],"")&gt;=zero_pin_thresh, "Flagged", ""))</f>
        <v/>
      </c>
      <c r="AC137" s="95" t="str">
        <f>IFERROR(IF(tblPiNAnalysis[[#This Row],[PiN más alto]]="", "", IF(tblPiNAnalysis[[#This Row],[% PiN Sectores más altos]]&gt;=flag_pin_perc, "Flagged", "")), "")</f>
        <v/>
      </c>
      <c r="AD137" s="96" t="str" cm="1">
        <f t="array" ref="AD137">IF(tblPiNAnalysis[[#This Row],[PiN más alto]]=0, "",  IF(OR(COUNTIF(tblPiNAnalysis[[#This Row],[Sectores más altos]],tblSubSectorPopulation[Sector])), "Flagged", ""))</f>
        <v/>
      </c>
      <c r="AE137" s="16" cm="1">
        <f t="array" ref="AE13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7868.6614333144407</v>
      </c>
      <c r="AF137" s="97" t="str" cm="1">
        <f t="array" ref="AF137">IF(tblPiNAnalysis[[#This Row],[2º PiN más alto]]="", "", _xlfn.TEXTJOIN(CHAR(10), TRUE, IF(tblPiNAnalysis[[#This Row],[2º PiN más alto]]=tblPiNAnalysis[[#This Row],[SAMV]:[ASH]], tblPiNAnalysis[[#Headers],[SAMV]:[ASH]], "")))</f>
        <v>PRO</v>
      </c>
      <c r="AG137" s="12">
        <f>IFERROR(tblPiNAnalysis[[#This Row],[2º PiN más alto]]/tblPiNAnalysis[[#This Row],[Población]], "")</f>
        <v>0.19949955461980734</v>
      </c>
      <c r="AH137" s="16">
        <f>IFERROR(tblPiNAnalysis[[#This Row],[PiN más alto]]-tblPiNAnalysis[[#This Row],[2º PiN más alto]], "")</f>
        <v>6527.6685666855592</v>
      </c>
      <c r="AI137" s="14">
        <f>IFERROR(((tblPiNAnalysis[[#This Row],[PiN más alto]]-tblPiNAnalysis[[#This Row],[2º PiN más alto]])/tblPiNAnalysis[[#This Row],[2º PiN más alto]]),"")</f>
        <v>0.82957801933739728</v>
      </c>
      <c r="AJ137" s="14" t="str" cm="1">
        <f t="array" ref="AJ13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37" s="98" cm="1">
        <f t="array" ref="AK13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6228</v>
      </c>
      <c r="AL137" s="53" t="str" cm="1">
        <f t="array" ref="AL137">IF(tblPiNAnalysis[[#This Row],[3º PiN más alto]]="", "", _xlfn.TEXTJOIN(CHAR(10), TRUE, IF(tblPiNAnalysis[[#This Row],[3º PiN más alto]]=tblPiNAnalysis[[#This Row],[SAMV]:[ASH]], tblPiNAnalysis[[#Headers],[SAMV]:[ASH]], "")))</f>
        <v>SAMV</v>
      </c>
      <c r="AM137" s="53">
        <f>IFERROR(tblPiNAnalysis[[#This Row],[3º PiN más alto]]/tblPiNAnalysis[[#This Row],[Población]], "")</f>
        <v>0.15790274326859693</v>
      </c>
      <c r="AN137" s="15">
        <f>IFERROR(tblPiNAnalysis[[#This Row],[PiN más alto]]-tblPiNAnalysis[[#This Row],[3º PiN más alto]],"")</f>
        <v>8168.33</v>
      </c>
      <c r="AO137" s="14">
        <f>IFERROR(tblPiNAnalysis[[#This Row],[Diferencia de PiN entre el más alto y el 3º más alto]]/tblPiNAnalysis[[#This Row],[3º PiN más alto]], "")</f>
        <v>1.3115494540783559</v>
      </c>
      <c r="AP137" s="96" t="str" cm="1">
        <f t="array" ref="AP13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37" s="84" cm="1">
        <f t="array" ref="AQ137">IFERROR(IF(tblPiNAnalysis[[#This Row],[ID]]="", "", INDEX(tblPiNHistorical[[SAMV]:[ASH]], MATCH(tblPiNAnalysis[[#This Row],[ID]],tblPiNHistorical[ID], 0),MATCH(_xlfn._xlws.FILTER(tblPiNAnalysis[[#Headers],[SAMV]:[ASH]], tblPiNAnalysis[[#This Row],[PiN más alto]]=tblPiNAnalysis[[#This Row],[SAMV]:[ASH]]), tblPiNHistorical[[#Headers],[SAMV]:[ASH]], 0))), "")</f>
        <v>3.5</v>
      </c>
      <c r="AR137" s="99" t="str" cm="1">
        <f t="array" ref="AR13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37" s="74" cm="1">
        <f t="array" ref="AS137">IFERROR(IF(tblPiNAnalysis[[#This Row],[ID]]="", "", INDEX(tblPiNHistorical[[SAMV]:[ASH]], MATCH(tblPiNAnalysis[[#This Row],[ID]],tblPiNHistorical[ID], 0),MATCH(_xlfn._xlws.FILTER(tblPiNAnalysis[[#Headers],[SAMV]:[ASH]], tblPiNAnalysis[[#This Row],[2º PiN más alto]]=tblPiNAnalysis[[#This Row],[SAMV]:[ASH]]), tblPiNHistorical[[#Headers],[SAMV]:[ASH]], 0))), "")</f>
        <v>0</v>
      </c>
      <c r="AT137" s="100" t="str" cm="1">
        <f t="array" ref="AT13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37" s="219">
        <f>INDEX(tblSeverityAnalysis[Severidad final], MATCH(tblPiNAnalysis[[#This Row],[ID]],tblSeverityAnalysis[ID], 0))</f>
        <v>3</v>
      </c>
      <c r="AV137" s="220">
        <f>IF(tblPiNAnalysis[[#This Row],[Severidad]]&gt;2,tblPiNAnalysis[[#This Row],[PiN más alto]],)</f>
        <v>14396.33</v>
      </c>
      <c r="AW137" s="54"/>
      <c r="AX137" s="55"/>
      <c r="AY137" s="56">
        <f>COUNTIFS(tblPiNAnalysis[[#This Row],[Número de PiN ausentes/cero superior al umbral - Calidad de los datos]:[Marcador manual]],"Flagged")</f>
        <v>3</v>
      </c>
      <c r="AZ137" s="34" t="str">
        <f>IF(tblPiNAnalysis[[#This Row],[Número de marcadores]]&gt;0, "Flagged", "")</f>
        <v>Flagged</v>
      </c>
      <c r="BA137" s="92">
        <f>tblPiNAnalysis[[#This Row],[PiN preliminar]]</f>
        <v>14396.33</v>
      </c>
      <c r="BB137" s="97"/>
      <c r="BC137" s="70">
        <f>IFERROR(IF(tblPiNAnalysis[[#This Row],[Severidad]]=3,tblPiNAnalysis[[#This Row],[PiN final]]*Umbrales!$D$33,tblPiNAnalysis[[#This Row],[PiN final]]*Umbrales!$D$34),)</f>
        <v>7198.165</v>
      </c>
      <c r="BD137" s="70">
        <f>IFERROR(IF(tblPiNAnalysis[[#This Row],[Severidad]]&gt;3,tblPiNAnalysis[[#This Row],[PiN final]]*Umbrales!$D$34,),)</f>
        <v>0</v>
      </c>
    </row>
    <row r="138" spans="1:56">
      <c r="A138" s="101" t="str">
        <f>IFERROR(_xlfn.CONCAT(IF(tblPiNAnalysis[[#This Row],[Grupo]]="", "",tblPiNAnalysis[[#This Row],[Grupo]] ),  _xlfn.IFS(tblPiNAnalysis[[#This Row],[Admin2PCODE]]&lt;&gt;"", tblPiNAnalysis[[#This Row],[Admin2PCODE]], tblPiNAnalysis[[#This Row],[Admin1PCODE]]&lt;&gt;"", tblPiNAnalysis[[#This Row],[Admin1PCODE]])),"")</f>
        <v>VenezolanosVE1421</v>
      </c>
      <c r="B138" s="105" t="s">
        <v>411</v>
      </c>
      <c r="C138" s="104" t="s">
        <v>412</v>
      </c>
      <c r="D138" s="119" t="s">
        <v>205</v>
      </c>
      <c r="E138" s="104" t="s">
        <v>450</v>
      </c>
      <c r="F138" s="358"/>
      <c r="G138" s="357">
        <v>39330</v>
      </c>
      <c r="H138" s="103" t="s">
        <v>102</v>
      </c>
      <c r="I138" s="60">
        <v>11018</v>
      </c>
      <c r="J138" s="134">
        <v>1286.4335878708293</v>
      </c>
      <c r="K138" s="57">
        <v>14355.45</v>
      </c>
      <c r="L138" s="87">
        <v>4434.8305882454169</v>
      </c>
      <c r="M138" s="87">
        <v>6578.8317216960249</v>
      </c>
      <c r="N138" s="57">
        <v>0</v>
      </c>
      <c r="O138" s="57">
        <v>2105.2261509427281</v>
      </c>
      <c r="P138" s="57">
        <v>2302.5911025936089</v>
      </c>
      <c r="Q138" s="88">
        <f>IFERROR(IF(tblPiNAnalysis[[#This Row],[SAMV]]="", "", MROUND(tblPiNAnalysis[[#This Row],[SAMV]]/tblPiNAnalysis[[#This Row],[Población]], 0.05)), "")</f>
        <v>0.30000000000000004</v>
      </c>
      <c r="R138" s="89">
        <f>IFERROR(IF(tblPiNAnalysis[[#This Row],[NUT]]="", "", MROUND(tblPiNAnalysis[[#This Row],[NUT]]/tblPiNAnalysis[[#This Row],[Población]], 0.05)), "")</f>
        <v>0.05</v>
      </c>
      <c r="S138" s="89">
        <f>IFERROR(IF(tblPiNAnalysis[[#This Row],[SAL]]="", "", MROUND(tblPiNAnalysis[[#This Row],[SAL]]/tblPiNAnalysis[[#This Row],[Población]], 0.05)), "")</f>
        <v>0.35000000000000003</v>
      </c>
      <c r="T138" s="89">
        <f>IFERROR(IF(tblPiNAnalysis[[#This Row],[EDU]]="", "", MROUND(tblPiNAnalysis[[#This Row],[EDU]]/tblPiNAnalysis[[#This Row],[Población]], 0.05)), "")</f>
        <v>0.1</v>
      </c>
      <c r="U138" s="89">
        <f>IFERROR(IF(tblPiNAnalysis[[#This Row],[PRO]]="", "", MROUND(tblPiNAnalysis[[#This Row],[PRO]]/tblPiNAnalysis[[#This Row],[Población]], 0.05)), "")</f>
        <v>0.15000000000000002</v>
      </c>
      <c r="V138" s="90">
        <f>IFERROR(IF(tblPiNAnalysis[[#This Row],[ASH]]="", "", MROUND(tblPiNAnalysis[[#This Row],[ASH]]/tblPiNAnalysis[[#This Row],[Población]], 0.05)), "")</f>
        <v>0</v>
      </c>
      <c r="W138" s="89">
        <f>IFERROR(MROUND(tblPiNAnalysis[[#This Row],[NNA]]/tblPiNAnalysis[[#This Row],[Población]], 0.05), "")</f>
        <v>0.05</v>
      </c>
      <c r="X138" s="89">
        <f>IFERROR(MROUND(tblPiNAnalysis[[#This Row],[VBG]]/tblPiNAnalysis[[#This Row],[Población]], 0.05), "")</f>
        <v>0.05</v>
      </c>
      <c r="Y138" s="91">
        <f>IFERROR(LARGE(tblPiNAnalysis[[#This Row],[SAMV]:[ASH]], 1), "")</f>
        <v>14355.45</v>
      </c>
      <c r="Z138" s="92" t="str" cm="1">
        <f t="array" ref="Z138">IF(tblPiNAnalysis[[#This Row],[PiN más alto]]="", "", _xlfn.TEXTJOIN(CHAR(10), TRUE, IF(tblPiNAnalysis[[#This Row],[PiN más alto]]=tblPiNAnalysis[[#This Row],[SAMV]:[ASH]], tblPiNAnalysis[[#Headers],[SAMV]:[ASH]], "")))</f>
        <v>SAL</v>
      </c>
      <c r="AA138" s="93">
        <f>IF(tblPiNAnalysis[[#This Row],[PiN más alto]]="", "", tblPiNAnalysis[[#This Row],[PiN más alto]]/tblPiNAnalysis[[#This Row],[Población]])</f>
        <v>0.36499999999999999</v>
      </c>
      <c r="AB138" s="94" t="str">
        <f>IF(SUM(tblPiNAnalysis[[#This Row],[SAMV]:[ASH]])=0, "",IF(COUNTIF(tblPiNAnalysis[[#This Row],[SAMV]:[ASH]],"=0")+COUNTIF(tblPiNAnalysis[[#This Row],[SAMV]:[ASH]],"")&gt;=zero_pin_thresh, "Flagged", ""))</f>
        <v/>
      </c>
      <c r="AC138" s="95" t="str">
        <f>IFERROR(IF(tblPiNAnalysis[[#This Row],[PiN más alto]]="", "", IF(tblPiNAnalysis[[#This Row],[% PiN Sectores más altos]]&gt;=flag_pin_perc, "Flagged", "")), "")</f>
        <v/>
      </c>
      <c r="AD138" s="96" t="str" cm="1">
        <f t="array" ref="AD138">IF(tblPiNAnalysis[[#This Row],[PiN más alto]]=0, "",  IF(OR(COUNTIF(tblPiNAnalysis[[#This Row],[Sectores más altos]],tblSubSectorPopulation[Sector])), "Flagged", ""))</f>
        <v/>
      </c>
      <c r="AE138" s="16" cm="1">
        <f t="array" ref="AE13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11018</v>
      </c>
      <c r="AF138" s="97" t="str" cm="1">
        <f t="array" ref="AF138">IF(tblPiNAnalysis[[#This Row],[2º PiN más alto]]="", "", _xlfn.TEXTJOIN(CHAR(10), TRUE, IF(tblPiNAnalysis[[#This Row],[2º PiN más alto]]=tblPiNAnalysis[[#This Row],[SAMV]:[ASH]], tblPiNAnalysis[[#Headers],[SAMV]:[ASH]], "")))</f>
        <v>SAMV</v>
      </c>
      <c r="AG138" s="12">
        <f>IFERROR(tblPiNAnalysis[[#This Row],[2º PiN más alto]]/tblPiNAnalysis[[#This Row],[Población]], "")</f>
        <v>0.28014238494787697</v>
      </c>
      <c r="AH138" s="16">
        <f>IFERROR(tblPiNAnalysis[[#This Row],[PiN más alto]]-tblPiNAnalysis[[#This Row],[2º PiN más alto]], "")</f>
        <v>3337.4500000000007</v>
      </c>
      <c r="AI138" s="14">
        <f>IFERROR(((tblPiNAnalysis[[#This Row],[PiN más alto]]-tblPiNAnalysis[[#This Row],[2º PiN más alto]])/tblPiNAnalysis[[#This Row],[2º PiN más alto]]),"")</f>
        <v>0.3029088763840988</v>
      </c>
      <c r="AJ138" s="14" t="str" cm="1">
        <f t="array" ref="AJ13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38" s="98" cm="1">
        <f t="array" ref="AK13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6578.8317216960249</v>
      </c>
      <c r="AL138" s="53" t="str" cm="1">
        <f t="array" ref="AL138">IF(tblPiNAnalysis[[#This Row],[3º PiN más alto]]="", "", _xlfn.TEXTJOIN(CHAR(10), TRUE, IF(tblPiNAnalysis[[#This Row],[3º PiN más alto]]=tblPiNAnalysis[[#This Row],[SAMV]:[ASH]], tblPiNAnalysis[[#Headers],[SAMV]:[ASH]], "")))</f>
        <v>PRO</v>
      </c>
      <c r="AM138" s="53">
        <f>IFERROR(tblPiNAnalysis[[#This Row],[3º PiN más alto]]/tblPiNAnalysis[[#This Row],[Población]], "")</f>
        <v>0.16727260924729279</v>
      </c>
      <c r="AN138" s="15">
        <f>IFERROR(tblPiNAnalysis[[#This Row],[PiN más alto]]-tblPiNAnalysis[[#This Row],[3º PiN más alto]],"")</f>
        <v>7776.6182783039758</v>
      </c>
      <c r="AO138" s="14">
        <f>IFERROR(tblPiNAnalysis[[#This Row],[Diferencia de PiN entre el más alto y el 3º más alto]]/tblPiNAnalysis[[#This Row],[3º PiN más alto]], "")</f>
        <v>1.182066757028885</v>
      </c>
      <c r="AP138" s="96" t="str" cm="1">
        <f t="array" ref="AP13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38" s="84" cm="1">
        <f t="array" ref="AQ138">IFERROR(IF(tblPiNAnalysis[[#This Row],[ID]]="", "", INDEX(tblPiNHistorical[[SAMV]:[ASH]], MATCH(tblPiNAnalysis[[#This Row],[ID]],tblPiNHistorical[ID], 0),MATCH(_xlfn._xlws.FILTER(tblPiNAnalysis[[#Headers],[SAMV]:[ASH]], tblPiNAnalysis[[#This Row],[PiN más alto]]=tblPiNAnalysis[[#This Row],[SAMV]:[ASH]]), tblPiNHistorical[[#Headers],[SAMV]:[ASH]], 0))), "")</f>
        <v>0</v>
      </c>
      <c r="AR138" s="99" t="str" cm="1">
        <f t="array" ref="AR13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38" s="74" cm="1">
        <f t="array" ref="AS138">IFERROR(IF(tblPiNAnalysis[[#This Row],[ID]]="", "", INDEX(tblPiNHistorical[[SAMV]:[ASH]], MATCH(tblPiNAnalysis[[#This Row],[ID]],tblPiNHistorical[ID], 0),MATCH(_xlfn._xlws.FILTER(tblPiNAnalysis[[#Headers],[SAMV]:[ASH]], tblPiNAnalysis[[#This Row],[2º PiN más alto]]=tblPiNAnalysis[[#This Row],[SAMV]:[ASH]]), tblPiNHistorical[[#Headers],[SAMV]:[ASH]], 0))), "")</f>
        <v>-0.9</v>
      </c>
      <c r="AT138" s="100" t="str" cm="1">
        <f t="array" ref="AT13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38" s="219">
        <f>INDEX(tblSeverityAnalysis[Severidad final], MATCH(tblPiNAnalysis[[#This Row],[ID]],tblSeverityAnalysis[ID], 0))</f>
        <v>3</v>
      </c>
      <c r="AV138" s="220">
        <f>IF(tblPiNAnalysis[[#This Row],[Severidad]]&gt;2,tblPiNAnalysis[[#This Row],[PiN más alto]],)</f>
        <v>14355.45</v>
      </c>
      <c r="AW138" s="54"/>
      <c r="AX138" s="55"/>
      <c r="AY138" s="56">
        <f>COUNTIFS(tblPiNAnalysis[[#This Row],[Número de PiN ausentes/cero superior al umbral - Calidad de los datos]:[Marcador manual]],"Flagged")</f>
        <v>2</v>
      </c>
      <c r="AZ138" s="34" t="str">
        <f>IF(tblPiNAnalysis[[#This Row],[Número de marcadores]]&gt;0, "Flagged", "")</f>
        <v>Flagged</v>
      </c>
      <c r="BA138" s="92">
        <f>tblPiNAnalysis[[#This Row],[PiN preliminar]]</f>
        <v>14355.45</v>
      </c>
      <c r="BB138" s="97"/>
      <c r="BC138" s="70">
        <f>IFERROR(IF(tblPiNAnalysis[[#This Row],[Severidad]]=3,tblPiNAnalysis[[#This Row],[PiN final]]*Umbrales!$D$33,tblPiNAnalysis[[#This Row],[PiN final]]*Umbrales!$D$34),)</f>
        <v>7177.7250000000004</v>
      </c>
      <c r="BD138" s="70">
        <f>IFERROR(IF(tblPiNAnalysis[[#This Row],[Severidad]]&gt;3,tblPiNAnalysis[[#This Row],[PiN final]]*Umbrales!$D$34,),)</f>
        <v>0</v>
      </c>
    </row>
    <row r="139" spans="1:56">
      <c r="A139" s="101" t="str">
        <f>IFERROR(_xlfn.CONCAT(IF(tblPiNAnalysis[[#This Row],[Grupo]]="", "",tblPiNAnalysis[[#This Row],[Grupo]] ),  _xlfn.IFS(tblPiNAnalysis[[#This Row],[Admin2PCODE]]&lt;&gt;"", tblPiNAnalysis[[#This Row],[Admin2PCODE]], tblPiNAnalysis[[#This Row],[Admin1PCODE]]&lt;&gt;"", tblPiNAnalysis[[#This Row],[Admin1PCODE]])),"")</f>
        <v>VenezolanosVE0510</v>
      </c>
      <c r="B139" s="105" t="s">
        <v>123</v>
      </c>
      <c r="C139" s="104" t="s">
        <v>179</v>
      </c>
      <c r="D139" s="119" t="s">
        <v>197</v>
      </c>
      <c r="E139" s="104" t="s">
        <v>198</v>
      </c>
      <c r="F139" s="358"/>
      <c r="G139" s="357">
        <v>23807</v>
      </c>
      <c r="H139" s="103" t="s">
        <v>102</v>
      </c>
      <c r="I139" s="60">
        <v>5411</v>
      </c>
      <c r="J139" s="134">
        <v>562.20911516388162</v>
      </c>
      <c r="K139" s="57">
        <v>8689.5550000000003</v>
      </c>
      <c r="L139" s="87">
        <v>2414.0083062227773</v>
      </c>
      <c r="M139" s="87">
        <v>4749.4858968337521</v>
      </c>
      <c r="N139" s="57">
        <v>14284.199999999999</v>
      </c>
      <c r="O139" s="57">
        <v>1524.5849728836345</v>
      </c>
      <c r="P139" s="57">
        <v>1662.3200638918131</v>
      </c>
      <c r="Q139" s="88">
        <f>IFERROR(IF(tblPiNAnalysis[[#This Row],[SAMV]]="", "", MROUND(tblPiNAnalysis[[#This Row],[SAMV]]/tblPiNAnalysis[[#This Row],[Población]], 0.05)), "")</f>
        <v>0.25</v>
      </c>
      <c r="R139" s="89">
        <f>IFERROR(IF(tblPiNAnalysis[[#This Row],[NUT]]="", "", MROUND(tblPiNAnalysis[[#This Row],[NUT]]/tblPiNAnalysis[[#This Row],[Población]], 0.05)), "")</f>
        <v>0</v>
      </c>
      <c r="S139" s="89">
        <f>IFERROR(IF(tblPiNAnalysis[[#This Row],[SAL]]="", "", MROUND(tblPiNAnalysis[[#This Row],[SAL]]/tblPiNAnalysis[[#This Row],[Población]], 0.05)), "")</f>
        <v>0.35000000000000003</v>
      </c>
      <c r="T139" s="89">
        <f>IFERROR(IF(tblPiNAnalysis[[#This Row],[EDU]]="", "", MROUND(tblPiNAnalysis[[#This Row],[EDU]]/tblPiNAnalysis[[#This Row],[Población]], 0.05)), "")</f>
        <v>0.1</v>
      </c>
      <c r="U139" s="89">
        <f>IFERROR(IF(tblPiNAnalysis[[#This Row],[PRO]]="", "", MROUND(tblPiNAnalysis[[#This Row],[PRO]]/tblPiNAnalysis[[#This Row],[Población]], 0.05)), "")</f>
        <v>0.2</v>
      </c>
      <c r="V139" s="90">
        <f>IFERROR(IF(tblPiNAnalysis[[#This Row],[ASH]]="", "", MROUND(tblPiNAnalysis[[#This Row],[ASH]]/tblPiNAnalysis[[#This Row],[Población]], 0.05)), "")</f>
        <v>0.60000000000000009</v>
      </c>
      <c r="W139" s="89">
        <f>IFERROR(MROUND(tblPiNAnalysis[[#This Row],[NNA]]/tblPiNAnalysis[[#This Row],[Población]], 0.05), "")</f>
        <v>0.05</v>
      </c>
      <c r="X139" s="89">
        <f>IFERROR(MROUND(tblPiNAnalysis[[#This Row],[VBG]]/tblPiNAnalysis[[#This Row],[Población]], 0.05), "")</f>
        <v>0.05</v>
      </c>
      <c r="Y139" s="91">
        <f>IFERROR(LARGE(tblPiNAnalysis[[#This Row],[SAMV]:[ASH]], 1), "")</f>
        <v>14284.199999999999</v>
      </c>
      <c r="Z139" s="92" t="str" cm="1">
        <f t="array" ref="Z139">IF(tblPiNAnalysis[[#This Row],[PiN más alto]]="", "", _xlfn.TEXTJOIN(CHAR(10), TRUE, IF(tblPiNAnalysis[[#This Row],[PiN más alto]]=tblPiNAnalysis[[#This Row],[SAMV]:[ASH]], tblPiNAnalysis[[#Headers],[SAMV]:[ASH]], "")))</f>
        <v>ASH</v>
      </c>
      <c r="AA139" s="93">
        <f>IF(tblPiNAnalysis[[#This Row],[PiN más alto]]="", "", tblPiNAnalysis[[#This Row],[PiN más alto]]/tblPiNAnalysis[[#This Row],[Población]])</f>
        <v>0.6</v>
      </c>
      <c r="AB139" s="94" t="str">
        <f>IF(SUM(tblPiNAnalysis[[#This Row],[SAMV]:[ASH]])=0, "",IF(COUNTIF(tblPiNAnalysis[[#This Row],[SAMV]:[ASH]],"=0")+COUNTIF(tblPiNAnalysis[[#This Row],[SAMV]:[ASH]],"")&gt;=zero_pin_thresh, "Flagged", ""))</f>
        <v/>
      </c>
      <c r="AC139" s="95" t="str">
        <f>IFERROR(IF(tblPiNAnalysis[[#This Row],[PiN más alto]]="", "", IF(tblPiNAnalysis[[#This Row],[% PiN Sectores más altos]]&gt;=flag_pin_perc, "Flagged", "")), "")</f>
        <v/>
      </c>
      <c r="AD139" s="96" t="str" cm="1">
        <f t="array" ref="AD139">IF(tblPiNAnalysis[[#This Row],[PiN más alto]]=0, "",  IF(OR(COUNTIF(tblPiNAnalysis[[#This Row],[Sectores más altos]],tblSubSectorPopulation[Sector])), "Flagged", ""))</f>
        <v/>
      </c>
      <c r="AE139" s="16" cm="1">
        <f t="array" ref="AE13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8689.5550000000003</v>
      </c>
      <c r="AF139" s="97" t="str" cm="1">
        <f t="array" ref="AF139">IF(tblPiNAnalysis[[#This Row],[2º PiN más alto]]="", "", _xlfn.TEXTJOIN(CHAR(10), TRUE, IF(tblPiNAnalysis[[#This Row],[2º PiN más alto]]=tblPiNAnalysis[[#This Row],[SAMV]:[ASH]], tblPiNAnalysis[[#Headers],[SAMV]:[ASH]], "")))</f>
        <v>SAL</v>
      </c>
      <c r="AG139" s="12">
        <f>IFERROR(tblPiNAnalysis[[#This Row],[2º PiN más alto]]/tblPiNAnalysis[[#This Row],[Población]], "")</f>
        <v>0.36499999999999999</v>
      </c>
      <c r="AH139" s="16">
        <f>IFERROR(tblPiNAnalysis[[#This Row],[PiN más alto]]-tblPiNAnalysis[[#This Row],[2º PiN más alto]], "")</f>
        <v>5594.6449999999986</v>
      </c>
      <c r="AI139" s="14">
        <f>IFERROR(((tblPiNAnalysis[[#This Row],[PiN más alto]]-tblPiNAnalysis[[#This Row],[2º PiN más alto]])/tblPiNAnalysis[[#This Row],[2º PiN más alto]]),"")</f>
        <v>0.64383561643835596</v>
      </c>
      <c r="AJ139" s="14" t="str" cm="1">
        <f t="array" ref="AJ13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39" s="98" cm="1">
        <f t="array" ref="AK13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5411</v>
      </c>
      <c r="AL139" s="53" t="str" cm="1">
        <f t="array" ref="AL139">IF(tblPiNAnalysis[[#This Row],[3º PiN más alto]]="", "", _xlfn.TEXTJOIN(CHAR(10), TRUE, IF(tblPiNAnalysis[[#This Row],[3º PiN más alto]]=tblPiNAnalysis[[#This Row],[SAMV]:[ASH]], tblPiNAnalysis[[#Headers],[SAMV]:[ASH]], "")))</f>
        <v>SAMV</v>
      </c>
      <c r="AM139" s="53">
        <f>IFERROR(tblPiNAnalysis[[#This Row],[3º PiN más alto]]/tblPiNAnalysis[[#This Row],[Población]], "")</f>
        <v>0.22728609232578653</v>
      </c>
      <c r="AN139" s="15">
        <f>IFERROR(tblPiNAnalysis[[#This Row],[PiN más alto]]-tblPiNAnalysis[[#This Row],[3º PiN más alto]],"")</f>
        <v>8873.1999999999989</v>
      </c>
      <c r="AO139" s="14">
        <f>IFERROR(tblPiNAnalysis[[#This Row],[Diferencia de PiN entre el más alto y el 3º más alto]]/tblPiNAnalysis[[#This Row],[3º PiN más alto]], "")</f>
        <v>1.6398447606727036</v>
      </c>
      <c r="AP139" s="96" t="str" cm="1">
        <f t="array" ref="AP13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39" s="84" cm="1">
        <f t="array" ref="AQ139">IFERROR(IF(tblPiNAnalysis[[#This Row],[ID]]="", "", INDEX(tblPiNHistorical[[SAMV]:[ASH]], MATCH(tblPiNAnalysis[[#This Row],[ID]],tblPiNHistorical[ID], 0),MATCH(_xlfn._xlws.FILTER(tblPiNAnalysis[[#Headers],[SAMV]:[ASH]], tblPiNAnalysis[[#This Row],[PiN más alto]]=tblPiNAnalysis[[#This Row],[SAMV]:[ASH]]), tblPiNHistorical[[#Headers],[SAMV]:[ASH]], 0))), "")</f>
        <v>0.2</v>
      </c>
      <c r="AR139" s="99" t="str" cm="1">
        <f t="array" ref="AR13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39" s="74" cm="1">
        <f t="array" ref="AS139">IFERROR(IF(tblPiNAnalysis[[#This Row],[ID]]="", "", INDEX(tblPiNHistorical[[SAMV]:[ASH]], MATCH(tblPiNAnalysis[[#This Row],[ID]],tblPiNHistorical[ID], 0),MATCH(_xlfn._xlws.FILTER(tblPiNAnalysis[[#Headers],[SAMV]:[ASH]], tblPiNAnalysis[[#This Row],[2º PiN más alto]]=tblPiNAnalysis[[#This Row],[SAMV]:[ASH]]), tblPiNHistorical[[#Headers],[SAMV]:[ASH]], 0))), "")</f>
        <v>6.6</v>
      </c>
      <c r="AT139" s="100" t="str" cm="1">
        <f t="array" ref="AT13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39" s="219">
        <f>INDEX(tblSeverityAnalysis[Severidad final], MATCH(tblPiNAnalysis[[#This Row],[ID]],tblSeverityAnalysis[ID], 0))</f>
        <v>3</v>
      </c>
      <c r="AV139" s="220">
        <f>IF(tblPiNAnalysis[[#This Row],[Severidad]]&gt;2,tblPiNAnalysis[[#This Row],[PiN más alto]],)</f>
        <v>14284.199999999999</v>
      </c>
      <c r="AW139" s="54"/>
      <c r="AX139" s="55"/>
      <c r="AY139" s="56">
        <f>COUNTIFS(tblPiNAnalysis[[#This Row],[Número de PiN ausentes/cero superior al umbral - Calidad de los datos]:[Marcador manual]],"Flagged")</f>
        <v>3</v>
      </c>
      <c r="AZ139" s="34" t="str">
        <f>IF(tblPiNAnalysis[[#This Row],[Número de marcadores]]&gt;0, "Flagged", "")</f>
        <v>Flagged</v>
      </c>
      <c r="BA139" s="92">
        <f>tblPiNAnalysis[[#This Row],[PiN preliminar]]</f>
        <v>14284.199999999999</v>
      </c>
      <c r="BB139" s="97"/>
      <c r="BC139" s="70">
        <f>IFERROR(IF(tblPiNAnalysis[[#This Row],[Severidad]]=3,tblPiNAnalysis[[#This Row],[PiN final]]*Umbrales!$D$33,tblPiNAnalysis[[#This Row],[PiN final]]*Umbrales!$D$34),)</f>
        <v>7142.0999999999995</v>
      </c>
      <c r="BD139" s="70">
        <f>IFERROR(IF(tblPiNAnalysis[[#This Row],[Severidad]]&gt;3,tblPiNAnalysis[[#This Row],[PiN final]]*Umbrales!$D$34,),)</f>
        <v>0</v>
      </c>
    </row>
    <row r="140" spans="1:56">
      <c r="A140" s="101" t="str">
        <f>IFERROR(_xlfn.CONCAT(IF(tblPiNAnalysis[[#This Row],[Grupo]]="", "",tblPiNAnalysis[[#This Row],[Grupo]] ),  _xlfn.IFS(tblPiNAnalysis[[#This Row],[Admin2PCODE]]&lt;&gt;"", tblPiNAnalysis[[#This Row],[Admin2PCODE]], tblPiNAnalysis[[#This Row],[Admin1PCODE]]&lt;&gt;"", tblPiNAnalysis[[#This Row],[Admin1PCODE]])),"")</f>
        <v>VenezolanosVE1514</v>
      </c>
      <c r="B140" s="105" t="s">
        <v>276</v>
      </c>
      <c r="C140" s="104" t="s">
        <v>455</v>
      </c>
      <c r="D140" s="119" t="s">
        <v>171</v>
      </c>
      <c r="E140" s="104" t="s">
        <v>480</v>
      </c>
      <c r="F140" s="358"/>
      <c r="G140" s="357">
        <v>38798</v>
      </c>
      <c r="H140" s="103" t="s">
        <v>102</v>
      </c>
      <c r="I140" s="60">
        <v>4445</v>
      </c>
      <c r="J140" s="134">
        <v>1829.0509454631263</v>
      </c>
      <c r="K140" s="57">
        <v>14161.27</v>
      </c>
      <c r="L140" s="87">
        <v>2198.4547173935935</v>
      </c>
      <c r="M140" s="87">
        <v>9281.6287447839604</v>
      </c>
      <c r="N140" s="57">
        <v>0</v>
      </c>
      <c r="O140" s="57">
        <v>2979.4028270756512</v>
      </c>
      <c r="P140" s="57">
        <v>3248.5700606743858</v>
      </c>
      <c r="Q140" s="88">
        <f>IFERROR(IF(tblPiNAnalysis[[#This Row],[SAMV]]="", "", MROUND(tblPiNAnalysis[[#This Row],[SAMV]]/tblPiNAnalysis[[#This Row],[Población]], 0.05)), "")</f>
        <v>0.1</v>
      </c>
      <c r="R140" s="89">
        <f>IFERROR(IF(tblPiNAnalysis[[#This Row],[NUT]]="", "", MROUND(tblPiNAnalysis[[#This Row],[NUT]]/tblPiNAnalysis[[#This Row],[Población]], 0.05)), "")</f>
        <v>0.05</v>
      </c>
      <c r="S140" s="89">
        <f>IFERROR(IF(tblPiNAnalysis[[#This Row],[SAL]]="", "", MROUND(tblPiNAnalysis[[#This Row],[SAL]]/tblPiNAnalysis[[#This Row],[Población]], 0.05)), "")</f>
        <v>0.35000000000000003</v>
      </c>
      <c r="T140" s="89">
        <f>IFERROR(IF(tblPiNAnalysis[[#This Row],[EDU]]="", "", MROUND(tblPiNAnalysis[[#This Row],[EDU]]/tblPiNAnalysis[[#This Row],[Población]], 0.05)), "")</f>
        <v>0.05</v>
      </c>
      <c r="U140" s="89">
        <f>IFERROR(IF(tblPiNAnalysis[[#This Row],[PRO]]="", "", MROUND(tblPiNAnalysis[[#This Row],[PRO]]/tblPiNAnalysis[[#This Row],[Población]], 0.05)), "")</f>
        <v>0.25</v>
      </c>
      <c r="V140" s="90">
        <f>IFERROR(IF(tblPiNAnalysis[[#This Row],[ASH]]="", "", MROUND(tblPiNAnalysis[[#This Row],[ASH]]/tblPiNAnalysis[[#This Row],[Población]], 0.05)), "")</f>
        <v>0</v>
      </c>
      <c r="W140" s="89">
        <f>IFERROR(MROUND(tblPiNAnalysis[[#This Row],[NNA]]/tblPiNAnalysis[[#This Row],[Población]], 0.05), "")</f>
        <v>0.1</v>
      </c>
      <c r="X140" s="89">
        <f>IFERROR(MROUND(tblPiNAnalysis[[#This Row],[VBG]]/tblPiNAnalysis[[#This Row],[Población]], 0.05), "")</f>
        <v>0.1</v>
      </c>
      <c r="Y140" s="91">
        <f>IFERROR(LARGE(tblPiNAnalysis[[#This Row],[SAMV]:[ASH]], 1), "")</f>
        <v>14161.27</v>
      </c>
      <c r="Z140" s="92" t="str" cm="1">
        <f t="array" ref="Z140">IF(tblPiNAnalysis[[#This Row],[PiN más alto]]="", "", _xlfn.TEXTJOIN(CHAR(10), TRUE, IF(tblPiNAnalysis[[#This Row],[PiN más alto]]=tblPiNAnalysis[[#This Row],[SAMV]:[ASH]], tblPiNAnalysis[[#Headers],[SAMV]:[ASH]], "")))</f>
        <v>SAL</v>
      </c>
      <c r="AA140" s="93">
        <f>IF(tblPiNAnalysis[[#This Row],[PiN más alto]]="", "", tblPiNAnalysis[[#This Row],[PiN más alto]]/tblPiNAnalysis[[#This Row],[Población]])</f>
        <v>0.36499999999999999</v>
      </c>
      <c r="AB140" s="94" t="str">
        <f>IF(SUM(tblPiNAnalysis[[#This Row],[SAMV]:[ASH]])=0, "",IF(COUNTIF(tblPiNAnalysis[[#This Row],[SAMV]:[ASH]],"=0")+COUNTIF(tblPiNAnalysis[[#This Row],[SAMV]:[ASH]],"")&gt;=zero_pin_thresh, "Flagged", ""))</f>
        <v/>
      </c>
      <c r="AC140" s="95" t="str">
        <f>IFERROR(IF(tblPiNAnalysis[[#This Row],[PiN más alto]]="", "", IF(tblPiNAnalysis[[#This Row],[% PiN Sectores más altos]]&gt;=flag_pin_perc, "Flagged", "")), "")</f>
        <v/>
      </c>
      <c r="AD140" s="96" t="str" cm="1">
        <f t="array" ref="AD140">IF(tblPiNAnalysis[[#This Row],[PiN más alto]]=0, "",  IF(OR(COUNTIF(tblPiNAnalysis[[#This Row],[Sectores más altos]],tblSubSectorPopulation[Sector])), "Flagged", ""))</f>
        <v/>
      </c>
      <c r="AE140" s="16" cm="1">
        <f t="array" ref="AE14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9281.6287447839604</v>
      </c>
      <c r="AF140" s="97" t="str" cm="1">
        <f t="array" ref="AF140">IF(tblPiNAnalysis[[#This Row],[2º PiN más alto]]="", "", _xlfn.TEXTJOIN(CHAR(10), TRUE, IF(tblPiNAnalysis[[#This Row],[2º PiN más alto]]=tblPiNAnalysis[[#This Row],[SAMV]:[ASH]], tblPiNAnalysis[[#Headers],[SAMV]:[ASH]], "")))</f>
        <v>PRO</v>
      </c>
      <c r="AG140" s="12">
        <f>IFERROR(tblPiNAnalysis[[#This Row],[2º PiN más alto]]/tblPiNAnalysis[[#This Row],[Población]], "")</f>
        <v>0.23922956711129337</v>
      </c>
      <c r="AH140" s="16">
        <f>IFERROR(tblPiNAnalysis[[#This Row],[PiN más alto]]-tblPiNAnalysis[[#This Row],[2º PiN más alto]], "")</f>
        <v>4879.64125521604</v>
      </c>
      <c r="AI140" s="14">
        <f>IFERROR(((tblPiNAnalysis[[#This Row],[PiN más alto]]-tblPiNAnalysis[[#This Row],[2º PiN más alto]])/tblPiNAnalysis[[#This Row],[2º PiN más alto]]),"")</f>
        <v>0.52573113937123095</v>
      </c>
      <c r="AJ140" s="14" t="str" cm="1">
        <f t="array" ref="AJ14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40" s="98" cm="1">
        <f t="array" ref="AK14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4445</v>
      </c>
      <c r="AL140" s="53" t="str" cm="1">
        <f t="array" ref="AL140">IF(tblPiNAnalysis[[#This Row],[3º PiN más alto]]="", "", _xlfn.TEXTJOIN(CHAR(10), TRUE, IF(tblPiNAnalysis[[#This Row],[3º PiN más alto]]=tblPiNAnalysis[[#This Row],[SAMV]:[ASH]], tblPiNAnalysis[[#Headers],[SAMV]:[ASH]], "")))</f>
        <v>SAMV</v>
      </c>
      <c r="AM140" s="53">
        <f>IFERROR(tblPiNAnalysis[[#This Row],[3º PiN más alto]]/tblPiNAnalysis[[#This Row],[Población]], "")</f>
        <v>0.1145677612248054</v>
      </c>
      <c r="AN140" s="15">
        <f>IFERROR(tblPiNAnalysis[[#This Row],[PiN más alto]]-tblPiNAnalysis[[#This Row],[3º PiN más alto]],"")</f>
        <v>9716.27</v>
      </c>
      <c r="AO140" s="14">
        <f>IFERROR(tblPiNAnalysis[[#This Row],[Diferencia de PiN entre el más alto y el 3º más alto]]/tblPiNAnalysis[[#This Row],[3º PiN más alto]], "")</f>
        <v>2.1858875140607426</v>
      </c>
      <c r="AP140" s="96" t="str" cm="1">
        <f t="array" ref="AP14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40" s="84" cm="1">
        <f t="array" ref="AQ140">IFERROR(IF(tblPiNAnalysis[[#This Row],[ID]]="", "", INDEX(tblPiNHistorical[[SAMV]:[ASH]], MATCH(tblPiNAnalysis[[#This Row],[ID]],tblPiNHistorical[ID], 0),MATCH(_xlfn._xlws.FILTER(tblPiNAnalysis[[#Headers],[SAMV]:[ASH]], tblPiNAnalysis[[#This Row],[PiN más alto]]=tblPiNAnalysis[[#This Row],[SAMV]:[ASH]]), tblPiNHistorical[[#Headers],[SAMV]:[ASH]], 0))), "")</f>
        <v>-0.2</v>
      </c>
      <c r="AR140" s="99" t="str" cm="1">
        <f t="array" ref="AR14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40" s="74" cm="1">
        <f t="array" ref="AS140">IFERROR(IF(tblPiNAnalysis[[#This Row],[ID]]="", "", INDEX(tblPiNHistorical[[SAMV]:[ASH]], MATCH(tblPiNAnalysis[[#This Row],[ID]],tblPiNHistorical[ID], 0),MATCH(_xlfn._xlws.FILTER(tblPiNAnalysis[[#Headers],[SAMV]:[ASH]], tblPiNAnalysis[[#This Row],[2º PiN más alto]]=tblPiNAnalysis[[#This Row],[SAMV]:[ASH]]), tblPiNHistorical[[#Headers],[SAMV]:[ASH]], 0))), "")</f>
        <v>-0.8</v>
      </c>
      <c r="AT140" s="100" t="str" cm="1">
        <f t="array" ref="AT14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40" s="219">
        <f>INDEX(tblSeverityAnalysis[Severidad final], MATCH(tblPiNAnalysis[[#This Row],[ID]],tblSeverityAnalysis[ID], 0))</f>
        <v>3</v>
      </c>
      <c r="AV140" s="220">
        <f>IF(tblPiNAnalysis[[#This Row],[Severidad]]&gt;2,tblPiNAnalysis[[#This Row],[PiN más alto]],)</f>
        <v>14161.27</v>
      </c>
      <c r="AW140" s="54"/>
      <c r="AX140" s="55"/>
      <c r="AY140" s="56">
        <f>COUNTIFS(tblPiNAnalysis[[#This Row],[Número de PiN ausentes/cero superior al umbral - Calidad de los datos]:[Marcador manual]],"Flagged")</f>
        <v>2</v>
      </c>
      <c r="AZ140" s="34" t="str">
        <f>IF(tblPiNAnalysis[[#This Row],[Número de marcadores]]&gt;0, "Flagged", "")</f>
        <v>Flagged</v>
      </c>
      <c r="BA140" s="92">
        <f>tblPiNAnalysis[[#This Row],[PiN preliminar]]</f>
        <v>14161.27</v>
      </c>
      <c r="BB140" s="97"/>
      <c r="BC140" s="70">
        <f>IFERROR(IF(tblPiNAnalysis[[#This Row],[Severidad]]=3,tblPiNAnalysis[[#This Row],[PiN final]]*Umbrales!$D$33,tblPiNAnalysis[[#This Row],[PiN final]]*Umbrales!$D$34),)</f>
        <v>7080.6350000000002</v>
      </c>
      <c r="BD140" s="70">
        <f>IFERROR(IF(tblPiNAnalysis[[#This Row],[Severidad]]&gt;3,tblPiNAnalysis[[#This Row],[PiN final]]*Umbrales!$D$34,),)</f>
        <v>0</v>
      </c>
    </row>
    <row r="141" spans="1:56">
      <c r="A141" s="101" t="str">
        <f>IFERROR(_xlfn.CONCAT(IF(tblPiNAnalysis[[#This Row],[Grupo]]="", "",tblPiNAnalysis[[#This Row],[Grupo]] ),  _xlfn.IFS(tblPiNAnalysis[[#This Row],[Admin2PCODE]]&lt;&gt;"", tblPiNAnalysis[[#This Row],[Admin2PCODE]], tblPiNAnalysis[[#This Row],[Admin1PCODE]]&lt;&gt;"", tblPiNAnalysis[[#This Row],[Admin1PCODE]])),"")</f>
        <v>VenezolanosVE0321</v>
      </c>
      <c r="B141" s="105" t="s">
        <v>119</v>
      </c>
      <c r="C141" s="104" t="s">
        <v>120</v>
      </c>
      <c r="D141" s="119" t="s">
        <v>816</v>
      </c>
      <c r="E141" s="104" t="s">
        <v>162</v>
      </c>
      <c r="F141" s="358"/>
      <c r="G141" s="357">
        <v>38686</v>
      </c>
      <c r="H141" s="103" t="s">
        <v>102</v>
      </c>
      <c r="I141" s="60">
        <v>8691</v>
      </c>
      <c r="J141" s="134">
        <v>1033.4588004943298</v>
      </c>
      <c r="K141" s="57">
        <v>14120.39</v>
      </c>
      <c r="L141" s="87">
        <v>5194.9364259822232</v>
      </c>
      <c r="M141" s="87">
        <v>9233.5504796630576</v>
      </c>
      <c r="N141" s="57">
        <v>0</v>
      </c>
      <c r="O141" s="57">
        <v>2954.7361534921783</v>
      </c>
      <c r="P141" s="57">
        <v>3231.7426678820698</v>
      </c>
      <c r="Q141" s="88">
        <f>IFERROR(IF(tblPiNAnalysis[[#This Row],[SAMV]]="", "", MROUND(tblPiNAnalysis[[#This Row],[SAMV]]/tblPiNAnalysis[[#This Row],[Población]], 0.05)), "")</f>
        <v>0.2</v>
      </c>
      <c r="R141" s="89">
        <f>IFERROR(IF(tblPiNAnalysis[[#This Row],[NUT]]="", "", MROUND(tblPiNAnalysis[[#This Row],[NUT]]/tblPiNAnalysis[[#This Row],[Población]], 0.05)), "")</f>
        <v>0.05</v>
      </c>
      <c r="S141" s="89">
        <f>IFERROR(IF(tblPiNAnalysis[[#This Row],[SAL]]="", "", MROUND(tblPiNAnalysis[[#This Row],[SAL]]/tblPiNAnalysis[[#This Row],[Población]], 0.05)), "")</f>
        <v>0.35000000000000003</v>
      </c>
      <c r="T141" s="89">
        <f>IFERROR(IF(tblPiNAnalysis[[#This Row],[EDU]]="", "", MROUND(tblPiNAnalysis[[#This Row],[EDU]]/tblPiNAnalysis[[#This Row],[Población]], 0.05)), "")</f>
        <v>0.15000000000000002</v>
      </c>
      <c r="U141" s="89">
        <f>IFERROR(IF(tblPiNAnalysis[[#This Row],[PRO]]="", "", MROUND(tblPiNAnalysis[[#This Row],[PRO]]/tblPiNAnalysis[[#This Row],[Población]], 0.05)), "")</f>
        <v>0.25</v>
      </c>
      <c r="V141" s="90">
        <f>IFERROR(IF(tblPiNAnalysis[[#This Row],[ASH]]="", "", MROUND(tblPiNAnalysis[[#This Row],[ASH]]/tblPiNAnalysis[[#This Row],[Población]], 0.05)), "")</f>
        <v>0</v>
      </c>
      <c r="W141" s="89">
        <f>IFERROR(MROUND(tblPiNAnalysis[[#This Row],[NNA]]/tblPiNAnalysis[[#This Row],[Población]], 0.05), "")</f>
        <v>0.1</v>
      </c>
      <c r="X141" s="89">
        <f>IFERROR(MROUND(tblPiNAnalysis[[#This Row],[VBG]]/tblPiNAnalysis[[#This Row],[Población]], 0.05), "")</f>
        <v>0.1</v>
      </c>
      <c r="Y141" s="91">
        <f>IFERROR(LARGE(tblPiNAnalysis[[#This Row],[SAMV]:[ASH]], 1), "")</f>
        <v>14120.39</v>
      </c>
      <c r="Z141" s="92" t="str" cm="1">
        <f t="array" ref="Z141">IF(tblPiNAnalysis[[#This Row],[PiN más alto]]="", "", _xlfn.TEXTJOIN(CHAR(10), TRUE, IF(tblPiNAnalysis[[#This Row],[PiN más alto]]=tblPiNAnalysis[[#This Row],[SAMV]:[ASH]], tblPiNAnalysis[[#Headers],[SAMV]:[ASH]], "")))</f>
        <v>SAL</v>
      </c>
      <c r="AA141" s="93">
        <f>IF(tblPiNAnalysis[[#This Row],[PiN más alto]]="", "", tblPiNAnalysis[[#This Row],[PiN más alto]]/tblPiNAnalysis[[#This Row],[Población]])</f>
        <v>0.36499999999999999</v>
      </c>
      <c r="AB141" s="94" t="str">
        <f>IF(SUM(tblPiNAnalysis[[#This Row],[SAMV]:[ASH]])=0, "",IF(COUNTIF(tblPiNAnalysis[[#This Row],[SAMV]:[ASH]],"=0")+COUNTIF(tblPiNAnalysis[[#This Row],[SAMV]:[ASH]],"")&gt;=zero_pin_thresh, "Flagged", ""))</f>
        <v/>
      </c>
      <c r="AC141" s="95" t="str">
        <f>IFERROR(IF(tblPiNAnalysis[[#This Row],[PiN más alto]]="", "", IF(tblPiNAnalysis[[#This Row],[% PiN Sectores más altos]]&gt;=flag_pin_perc, "Flagged", "")), "")</f>
        <v/>
      </c>
      <c r="AD141" s="96" t="str" cm="1">
        <f t="array" ref="AD141">IF(tblPiNAnalysis[[#This Row],[PiN más alto]]=0, "",  IF(OR(COUNTIF(tblPiNAnalysis[[#This Row],[Sectores más altos]],tblSubSectorPopulation[Sector])), "Flagged", ""))</f>
        <v/>
      </c>
      <c r="AE141" s="16" cm="1">
        <f t="array" ref="AE14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9233.5504796630576</v>
      </c>
      <c r="AF141" s="97" t="str" cm="1">
        <f t="array" ref="AF141">IF(tblPiNAnalysis[[#This Row],[2º PiN más alto]]="", "", _xlfn.TEXTJOIN(CHAR(10), TRUE, IF(tblPiNAnalysis[[#This Row],[2º PiN más alto]]=tblPiNAnalysis[[#This Row],[SAMV]:[ASH]], tblPiNAnalysis[[#Headers],[SAMV]:[ASH]], "")))</f>
        <v>PRO</v>
      </c>
      <c r="AG141" s="12">
        <f>IFERROR(tblPiNAnalysis[[#This Row],[2º PiN más alto]]/tblPiNAnalysis[[#This Row],[Población]], "")</f>
        <v>0.23867937961182489</v>
      </c>
      <c r="AH141" s="16">
        <f>IFERROR(tblPiNAnalysis[[#This Row],[PiN más alto]]-tblPiNAnalysis[[#This Row],[2º PiN más alto]], "")</f>
        <v>4886.8395203369419</v>
      </c>
      <c r="AI141" s="14">
        <f>IFERROR(((tblPiNAnalysis[[#This Row],[PiN más alto]]-tblPiNAnalysis[[#This Row],[2º PiN más alto]])/tblPiNAnalysis[[#This Row],[2º PiN más alto]]),"")</f>
        <v>0.52924815119603574</v>
      </c>
      <c r="AJ141" s="14" t="str" cm="1">
        <f t="array" ref="AJ14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41" s="98" cm="1">
        <f t="array" ref="AK14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8691</v>
      </c>
      <c r="AL141" s="53" t="str" cm="1">
        <f t="array" ref="AL141">IF(tblPiNAnalysis[[#This Row],[3º PiN más alto]]="", "", _xlfn.TEXTJOIN(CHAR(10), TRUE, IF(tblPiNAnalysis[[#This Row],[3º PiN más alto]]=tblPiNAnalysis[[#This Row],[SAMV]:[ASH]], tblPiNAnalysis[[#Headers],[SAMV]:[ASH]], "")))</f>
        <v>SAMV</v>
      </c>
      <c r="AM141" s="53">
        <f>IFERROR(tblPiNAnalysis[[#This Row],[3º PiN más alto]]/tblPiNAnalysis[[#This Row],[Población]], "")</f>
        <v>0.22465491392234918</v>
      </c>
      <c r="AN141" s="15">
        <f>IFERROR(tblPiNAnalysis[[#This Row],[PiN más alto]]-tblPiNAnalysis[[#This Row],[3º PiN más alto]],"")</f>
        <v>5429.3899999999994</v>
      </c>
      <c r="AO141" s="14">
        <f>IFERROR(tblPiNAnalysis[[#This Row],[Diferencia de PiN entre el más alto y el 3º más alto]]/tblPiNAnalysis[[#This Row],[3º PiN más alto]], "")</f>
        <v>0.62471407202853524</v>
      </c>
      <c r="AP141" s="96" t="str" cm="1">
        <f t="array" ref="AP14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41" s="84" cm="1">
        <f t="array" ref="AQ141">IFERROR(IF(tblPiNAnalysis[[#This Row],[ID]]="", "", INDEX(tblPiNHistorical[[SAMV]:[ASH]], MATCH(tblPiNAnalysis[[#This Row],[ID]],tblPiNHistorical[ID], 0),MATCH(_xlfn._xlws.FILTER(tblPiNAnalysis[[#Headers],[SAMV]:[ASH]], tblPiNAnalysis[[#This Row],[PiN más alto]]=tblPiNAnalysis[[#This Row],[SAMV]:[ASH]]), tblPiNHistorical[[#Headers],[SAMV]:[ASH]], 0))), "")</f>
        <v>6</v>
      </c>
      <c r="AR141" s="99" t="str" cm="1">
        <f t="array" ref="AR14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41" s="74" cm="1">
        <f t="array" ref="AS141">IFERROR(IF(tblPiNAnalysis[[#This Row],[ID]]="", "", INDEX(tblPiNHistorical[[SAMV]:[ASH]], MATCH(tblPiNAnalysis[[#This Row],[ID]],tblPiNHistorical[ID], 0),MATCH(_xlfn._xlws.FILTER(tblPiNAnalysis[[#Headers],[SAMV]:[ASH]], tblPiNAnalysis[[#This Row],[2º PiN más alto]]=tblPiNAnalysis[[#This Row],[SAMV]:[ASH]]), tblPiNHistorical[[#Headers],[SAMV]:[ASH]], 0))), "")</f>
        <v>0.7</v>
      </c>
      <c r="AT141" s="100" t="str" cm="1">
        <f t="array" ref="AT14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41" s="219">
        <f>INDEX(tblSeverityAnalysis[Severidad final], MATCH(tblPiNAnalysis[[#This Row],[ID]],tblSeverityAnalysis[ID], 0))</f>
        <v>3</v>
      </c>
      <c r="AV141" s="220">
        <f>IF(tblPiNAnalysis[[#This Row],[Severidad]]&gt;2,tblPiNAnalysis[[#This Row],[PiN más alto]],)</f>
        <v>14120.39</v>
      </c>
      <c r="AW141" s="54"/>
      <c r="AX141" s="55"/>
      <c r="AY141" s="56">
        <f>COUNTIFS(tblPiNAnalysis[[#This Row],[Número de PiN ausentes/cero superior al umbral - Calidad de los datos]:[Marcador manual]],"Flagged")</f>
        <v>3</v>
      </c>
      <c r="AZ141" s="34" t="str">
        <f>IF(tblPiNAnalysis[[#This Row],[Número de marcadores]]&gt;0, "Flagged", "")</f>
        <v>Flagged</v>
      </c>
      <c r="BA141" s="92">
        <f>tblPiNAnalysis[[#This Row],[PiN preliminar]]</f>
        <v>14120.39</v>
      </c>
      <c r="BB141" s="97"/>
      <c r="BC141" s="70">
        <f>IFERROR(IF(tblPiNAnalysis[[#This Row],[Severidad]]=3,tblPiNAnalysis[[#This Row],[PiN final]]*Umbrales!$D$33,tblPiNAnalysis[[#This Row],[PiN final]]*Umbrales!$D$34),)</f>
        <v>7060.1949999999997</v>
      </c>
      <c r="BD141" s="70">
        <f>IFERROR(IF(tblPiNAnalysis[[#This Row],[Severidad]]&gt;3,tblPiNAnalysis[[#This Row],[PiN final]]*Umbrales!$D$34,),)</f>
        <v>0</v>
      </c>
    </row>
    <row r="142" spans="1:56">
      <c r="A142" s="101" t="str">
        <f>IFERROR(_xlfn.CONCAT(IF(tblPiNAnalysis[[#This Row],[Grupo]]="", "",tblPiNAnalysis[[#This Row],[Grupo]] ),  _xlfn.IFS(tblPiNAnalysis[[#This Row],[Admin2PCODE]]&lt;&gt;"", tblPiNAnalysis[[#This Row],[Admin2PCODE]], tblPiNAnalysis[[#This Row],[Admin1PCODE]]&lt;&gt;"", tblPiNAnalysis[[#This Row],[Admin1PCODE]])),"")</f>
        <v>VenezolanosVE0310</v>
      </c>
      <c r="B142" s="105" t="s">
        <v>119</v>
      </c>
      <c r="C142" s="104" t="s">
        <v>120</v>
      </c>
      <c r="D142" s="119" t="s">
        <v>139</v>
      </c>
      <c r="E142" s="104" t="s">
        <v>140</v>
      </c>
      <c r="F142" s="358"/>
      <c r="G142" s="357">
        <v>17933</v>
      </c>
      <c r="H142" s="103" t="s">
        <v>102</v>
      </c>
      <c r="I142" s="60">
        <v>2989</v>
      </c>
      <c r="J142" s="134">
        <v>1895.5368817451808</v>
      </c>
      <c r="K142" s="57">
        <v>14000</v>
      </c>
      <c r="L142" s="87">
        <v>2082.8416132481525</v>
      </c>
      <c r="M142" s="87">
        <v>2140.118657289428</v>
      </c>
      <c r="N142" s="57">
        <v>8069.85</v>
      </c>
      <c r="O142" s="57">
        <v>684.83797033261703</v>
      </c>
      <c r="P142" s="57">
        <v>749.04153005129967</v>
      </c>
      <c r="Q142" s="88">
        <f>IFERROR(IF(tblPiNAnalysis[[#This Row],[SAMV]]="", "", MROUND(tblPiNAnalysis[[#This Row],[SAMV]]/tblPiNAnalysis[[#This Row],[Población]], 0.05)), "")</f>
        <v>0.15000000000000002</v>
      </c>
      <c r="R142" s="89">
        <f>IFERROR(IF(tblPiNAnalysis[[#This Row],[NUT]]="", "", MROUND(tblPiNAnalysis[[#This Row],[NUT]]/tblPiNAnalysis[[#This Row],[Población]], 0.05)), "")</f>
        <v>0.1</v>
      </c>
      <c r="S142" s="89">
        <f>IFERROR(IF(tblPiNAnalysis[[#This Row],[SAL]]="", "", MROUND(tblPiNAnalysis[[#This Row],[SAL]]/tblPiNAnalysis[[#This Row],[Población]], 0.05)), "")</f>
        <v>0.8</v>
      </c>
      <c r="T142" s="89">
        <f>IFERROR(IF(tblPiNAnalysis[[#This Row],[EDU]]="", "", MROUND(tblPiNAnalysis[[#This Row],[EDU]]/tblPiNAnalysis[[#This Row],[Población]], 0.05)), "")</f>
        <v>0.1</v>
      </c>
      <c r="U142" s="89">
        <f>IFERROR(IF(tblPiNAnalysis[[#This Row],[PRO]]="", "", MROUND(tblPiNAnalysis[[#This Row],[PRO]]/tblPiNAnalysis[[#This Row],[Población]], 0.05)), "")</f>
        <v>0.1</v>
      </c>
      <c r="V142" s="90">
        <f>IFERROR(IF(tblPiNAnalysis[[#This Row],[ASH]]="", "", MROUND(tblPiNAnalysis[[#This Row],[ASH]]/tblPiNAnalysis[[#This Row],[Población]], 0.05)), "")</f>
        <v>0.45</v>
      </c>
      <c r="W142" s="89">
        <f>IFERROR(MROUND(tblPiNAnalysis[[#This Row],[NNA]]/tblPiNAnalysis[[#This Row],[Población]], 0.05), "")</f>
        <v>0.05</v>
      </c>
      <c r="X142" s="89">
        <f>IFERROR(MROUND(tblPiNAnalysis[[#This Row],[VBG]]/tblPiNAnalysis[[#This Row],[Población]], 0.05), "")</f>
        <v>0.05</v>
      </c>
      <c r="Y142" s="91">
        <f>IFERROR(LARGE(tblPiNAnalysis[[#This Row],[SAMV]:[ASH]], 1), "")</f>
        <v>14000</v>
      </c>
      <c r="Z142" s="92" t="str" cm="1">
        <f t="array" ref="Z142">IF(tblPiNAnalysis[[#This Row],[PiN más alto]]="", "", _xlfn.TEXTJOIN(CHAR(10), TRUE, IF(tblPiNAnalysis[[#This Row],[PiN más alto]]=tblPiNAnalysis[[#This Row],[SAMV]:[ASH]], tblPiNAnalysis[[#Headers],[SAMV]:[ASH]], "")))</f>
        <v>SAL</v>
      </c>
      <c r="AA142" s="93">
        <f>IF(tblPiNAnalysis[[#This Row],[PiN más alto]]="", "", tblPiNAnalysis[[#This Row],[PiN más alto]]/tblPiNAnalysis[[#This Row],[Población]])</f>
        <v>0.78068365583003396</v>
      </c>
      <c r="AB142" s="94" t="str">
        <f>IF(SUM(tblPiNAnalysis[[#This Row],[SAMV]:[ASH]])=0, "",IF(COUNTIF(tblPiNAnalysis[[#This Row],[SAMV]:[ASH]],"=0")+COUNTIF(tblPiNAnalysis[[#This Row],[SAMV]:[ASH]],"")&gt;=zero_pin_thresh, "Flagged", ""))</f>
        <v/>
      </c>
      <c r="AC142" s="95" t="str">
        <f>IFERROR(IF(tblPiNAnalysis[[#This Row],[PiN más alto]]="", "", IF(tblPiNAnalysis[[#This Row],[% PiN Sectores más altos]]&gt;=flag_pin_perc, "Flagged", "")), "")</f>
        <v/>
      </c>
      <c r="AD142" s="96" t="str" cm="1">
        <f t="array" ref="AD142">IF(tblPiNAnalysis[[#This Row],[PiN más alto]]=0, "",  IF(OR(COUNTIF(tblPiNAnalysis[[#This Row],[Sectores más altos]],tblSubSectorPopulation[Sector])), "Flagged", ""))</f>
        <v/>
      </c>
      <c r="AE142" s="16" cm="1">
        <f t="array" ref="AE14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8069.85</v>
      </c>
      <c r="AF142" s="97" t="str" cm="1">
        <f t="array" ref="AF142">IF(tblPiNAnalysis[[#This Row],[2º PiN más alto]]="", "", _xlfn.TEXTJOIN(CHAR(10), TRUE, IF(tblPiNAnalysis[[#This Row],[2º PiN más alto]]=tblPiNAnalysis[[#This Row],[SAMV]:[ASH]], tblPiNAnalysis[[#Headers],[SAMV]:[ASH]], "")))</f>
        <v>ASH</v>
      </c>
      <c r="AG142" s="12">
        <f>IFERROR(tblPiNAnalysis[[#This Row],[2º PiN más alto]]/tblPiNAnalysis[[#This Row],[Población]], "")</f>
        <v>0.45</v>
      </c>
      <c r="AH142" s="16">
        <f>IFERROR(tblPiNAnalysis[[#This Row],[PiN más alto]]-tblPiNAnalysis[[#This Row],[2º PiN más alto]], "")</f>
        <v>5930.15</v>
      </c>
      <c r="AI142" s="14">
        <f>IFERROR(((tblPiNAnalysis[[#This Row],[PiN más alto]]-tblPiNAnalysis[[#This Row],[2º PiN más alto]])/tblPiNAnalysis[[#This Row],[2º PiN más alto]]),"")</f>
        <v>0.73485256851118663</v>
      </c>
      <c r="AJ142" s="14" t="str" cm="1">
        <f t="array" ref="AJ14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42" s="98" cm="1">
        <f t="array" ref="AK14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2989</v>
      </c>
      <c r="AL142" s="53" t="str" cm="1">
        <f t="array" ref="AL142">IF(tblPiNAnalysis[[#This Row],[3º PiN más alto]]="", "", _xlfn.TEXTJOIN(CHAR(10), TRUE, IF(tblPiNAnalysis[[#This Row],[3º PiN más alto]]=tblPiNAnalysis[[#This Row],[SAMV]:[ASH]], tblPiNAnalysis[[#Headers],[SAMV]:[ASH]], "")))</f>
        <v>SAMV</v>
      </c>
      <c r="AM142" s="53">
        <f>IFERROR(tblPiNAnalysis[[#This Row],[3º PiN más alto]]/tblPiNAnalysis[[#This Row],[Población]], "")</f>
        <v>0.16667596051971226</v>
      </c>
      <c r="AN142" s="15">
        <f>IFERROR(tblPiNAnalysis[[#This Row],[PiN más alto]]-tblPiNAnalysis[[#This Row],[3º PiN más alto]],"")</f>
        <v>11011</v>
      </c>
      <c r="AO142" s="14">
        <f>IFERROR(tblPiNAnalysis[[#This Row],[Diferencia de PiN entre el más alto y el 3º más alto]]/tblPiNAnalysis[[#This Row],[3º PiN más alto]], "")</f>
        <v>3.6838407494145198</v>
      </c>
      <c r="AP142" s="96" t="str" cm="1">
        <f t="array" ref="AP14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42" s="84" cm="1">
        <f t="array" ref="AQ142">IFERROR(IF(tblPiNAnalysis[[#This Row],[ID]]="", "", INDEX(tblPiNHistorical[[SAMV]:[ASH]], MATCH(tblPiNAnalysis[[#This Row],[ID]],tblPiNHistorical[ID], 0),MATCH(_xlfn._xlws.FILTER(tblPiNAnalysis[[#Headers],[SAMV]:[ASH]], tblPiNAnalysis[[#This Row],[PiN más alto]]=tblPiNAnalysis[[#This Row],[SAMV]:[ASH]]), tblPiNHistorical[[#Headers],[SAMV]:[ASH]], 0))), "")</f>
        <v>12.5</v>
      </c>
      <c r="AR142" s="99" t="str" cm="1">
        <f t="array" ref="AR14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42" s="74" t="str" cm="1">
        <f t="array" ref="AS142">IFERROR(IF(tblPiNAnalysis[[#This Row],[ID]]="", "", INDEX(tblPiNHistorical[[SAMV]:[ASH]], MATCH(tblPiNAnalysis[[#This Row],[ID]],tblPiNHistorical[ID], 0),MATCH(_xlfn._xlws.FILTER(tblPiNAnalysis[[#Headers],[SAMV]:[ASH]], tblPiNAnalysis[[#This Row],[2º PiN más alto]]=tblPiNAnalysis[[#This Row],[SAMV]:[ASH]]), tblPiNHistorical[[#Headers],[SAMV]:[ASH]], 0))), "")</f>
        <v>New26 101316</v>
      </c>
      <c r="AT142" s="100" t="str" cm="1">
        <f t="array" ref="AT14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42" s="219">
        <f>INDEX(tblSeverityAnalysis[Severidad final], MATCH(tblPiNAnalysis[[#This Row],[ID]],tblSeverityAnalysis[ID], 0))</f>
        <v>4</v>
      </c>
      <c r="AV142" s="220">
        <f>IF(tblPiNAnalysis[[#This Row],[Severidad]]&gt;2,tblPiNAnalysis[[#This Row],[PiN más alto]],)</f>
        <v>14000</v>
      </c>
      <c r="AW142" s="54"/>
      <c r="AX142" s="55"/>
      <c r="AY142" s="56">
        <f>COUNTIFS(tblPiNAnalysis[[#This Row],[Número de PiN ausentes/cero superior al umbral - Calidad de los datos]:[Marcador manual]],"Flagged")</f>
        <v>3</v>
      </c>
      <c r="AZ142" s="34" t="str">
        <f>IF(tblPiNAnalysis[[#This Row],[Número de marcadores]]&gt;0, "Flagged", "")</f>
        <v>Flagged</v>
      </c>
      <c r="BA142" s="92">
        <f>tblPiNAnalysis[[#This Row],[PiN preliminar]]</f>
        <v>14000</v>
      </c>
      <c r="BB142" s="97"/>
      <c r="BC142" s="70">
        <f>IFERROR(IF(tblPiNAnalysis[[#This Row],[Severidad]]=3,tblPiNAnalysis[[#This Row],[PiN final]]*Umbrales!$D$33,tblPiNAnalysis[[#This Row],[PiN final]]*Umbrales!$D$34),)</f>
        <v>14000</v>
      </c>
      <c r="BD142" s="70">
        <f>IFERROR(IF(tblPiNAnalysis[[#This Row],[Severidad]]&gt;3,tblPiNAnalysis[[#This Row],[PiN final]]*Umbrales!$D$34,),)</f>
        <v>14000</v>
      </c>
    </row>
    <row r="143" spans="1:56">
      <c r="A143" s="101" t="str">
        <f>IFERROR(_xlfn.CONCAT(IF(tblPiNAnalysis[[#This Row],[Grupo]]="", "",tblPiNAnalysis[[#This Row],[Grupo]] ),  _xlfn.IFS(tblPiNAnalysis[[#This Row],[Admin2PCODE]]&lt;&gt;"", tblPiNAnalysis[[#This Row],[Admin2PCODE]], tblPiNAnalysis[[#This Row],[Admin1PCODE]]&lt;&gt;"", tblPiNAnalysis[[#This Row],[Admin1PCODE]])),"")</f>
        <v>VenezolanosVE1417</v>
      </c>
      <c r="B143" s="105" t="s">
        <v>411</v>
      </c>
      <c r="C143" s="104" t="s">
        <v>412</v>
      </c>
      <c r="D143" s="119" t="s">
        <v>443</v>
      </c>
      <c r="E143" s="104" t="s">
        <v>444</v>
      </c>
      <c r="F143" s="358"/>
      <c r="G143" s="357">
        <v>19441</v>
      </c>
      <c r="H143" s="103" t="s">
        <v>102</v>
      </c>
      <c r="I143" s="60">
        <v>1215</v>
      </c>
      <c r="J143" s="134">
        <v>618.26089629892681</v>
      </c>
      <c r="K143" s="57">
        <v>14000</v>
      </c>
      <c r="L143" s="87">
        <v>1588.824253037423</v>
      </c>
      <c r="M143" s="87">
        <v>3251.9467963766192</v>
      </c>
      <c r="N143" s="57">
        <v>1312.2675000000002</v>
      </c>
      <c r="O143" s="57">
        <v>1040.6229748405181</v>
      </c>
      <c r="P143" s="57">
        <v>1138.1813787318165</v>
      </c>
      <c r="Q143" s="88">
        <f>IFERROR(IF(tblPiNAnalysis[[#This Row],[SAMV]]="", "", MROUND(tblPiNAnalysis[[#This Row],[SAMV]]/tblPiNAnalysis[[#This Row],[Población]], 0.05)), "")</f>
        <v>0.05</v>
      </c>
      <c r="R143" s="89">
        <f>IFERROR(IF(tblPiNAnalysis[[#This Row],[NUT]]="", "", MROUND(tblPiNAnalysis[[#This Row],[NUT]]/tblPiNAnalysis[[#This Row],[Población]], 0.05)), "")</f>
        <v>0.05</v>
      </c>
      <c r="S143" s="89">
        <f>IFERROR(IF(tblPiNAnalysis[[#This Row],[SAL]]="", "", MROUND(tblPiNAnalysis[[#This Row],[SAL]]/tblPiNAnalysis[[#This Row],[Población]], 0.05)), "")</f>
        <v>0.70000000000000007</v>
      </c>
      <c r="T143" s="89">
        <f>IFERROR(IF(tblPiNAnalysis[[#This Row],[EDU]]="", "", MROUND(tblPiNAnalysis[[#This Row],[EDU]]/tblPiNAnalysis[[#This Row],[Población]], 0.05)), "")</f>
        <v>0.1</v>
      </c>
      <c r="U143" s="89">
        <f>IFERROR(IF(tblPiNAnalysis[[#This Row],[PRO]]="", "", MROUND(tblPiNAnalysis[[#This Row],[PRO]]/tblPiNAnalysis[[#This Row],[Población]], 0.05)), "")</f>
        <v>0.15000000000000002</v>
      </c>
      <c r="V143" s="90">
        <f>IFERROR(IF(tblPiNAnalysis[[#This Row],[ASH]]="", "", MROUND(tblPiNAnalysis[[#This Row],[ASH]]/tblPiNAnalysis[[#This Row],[Población]], 0.05)), "")</f>
        <v>0.05</v>
      </c>
      <c r="W143" s="89">
        <f>IFERROR(MROUND(tblPiNAnalysis[[#This Row],[NNA]]/tblPiNAnalysis[[#This Row],[Población]], 0.05), "")</f>
        <v>0.05</v>
      </c>
      <c r="X143" s="89">
        <f>IFERROR(MROUND(tblPiNAnalysis[[#This Row],[VBG]]/tblPiNAnalysis[[#This Row],[Población]], 0.05), "")</f>
        <v>0.05</v>
      </c>
      <c r="Y143" s="91">
        <f>IFERROR(LARGE(tblPiNAnalysis[[#This Row],[SAMV]:[ASH]], 1), "")</f>
        <v>14000</v>
      </c>
      <c r="Z143" s="92" t="str" cm="1">
        <f t="array" ref="Z143">IF(tblPiNAnalysis[[#This Row],[PiN más alto]]="", "", _xlfn.TEXTJOIN(CHAR(10), TRUE, IF(tblPiNAnalysis[[#This Row],[PiN más alto]]=tblPiNAnalysis[[#This Row],[SAMV]:[ASH]], tblPiNAnalysis[[#Headers],[SAMV]:[ASH]], "")))</f>
        <v>SAL</v>
      </c>
      <c r="AA143" s="93">
        <f>IF(tblPiNAnalysis[[#This Row],[PiN más alto]]="", "", tblPiNAnalysis[[#This Row],[PiN más alto]]/tblPiNAnalysis[[#This Row],[Población]])</f>
        <v>0.72012756545445189</v>
      </c>
      <c r="AB143" s="94" t="str">
        <f>IF(SUM(tblPiNAnalysis[[#This Row],[SAMV]:[ASH]])=0, "",IF(COUNTIF(tblPiNAnalysis[[#This Row],[SAMV]:[ASH]],"=0")+COUNTIF(tblPiNAnalysis[[#This Row],[SAMV]:[ASH]],"")&gt;=zero_pin_thresh, "Flagged", ""))</f>
        <v/>
      </c>
      <c r="AC143" s="95" t="str">
        <f>IFERROR(IF(tblPiNAnalysis[[#This Row],[PiN más alto]]="", "", IF(tblPiNAnalysis[[#This Row],[% PiN Sectores más altos]]&gt;=flag_pin_perc, "Flagged", "")), "")</f>
        <v/>
      </c>
      <c r="AD143" s="96" t="str" cm="1">
        <f t="array" ref="AD143">IF(tblPiNAnalysis[[#This Row],[PiN más alto]]=0, "",  IF(OR(COUNTIF(tblPiNAnalysis[[#This Row],[Sectores más altos]],tblSubSectorPopulation[Sector])), "Flagged", ""))</f>
        <v/>
      </c>
      <c r="AE143" s="16" cm="1">
        <f t="array" ref="AE14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3251.9467963766192</v>
      </c>
      <c r="AF143" s="97" t="str" cm="1">
        <f t="array" ref="AF143">IF(tblPiNAnalysis[[#This Row],[2º PiN más alto]]="", "", _xlfn.TEXTJOIN(CHAR(10), TRUE, IF(tblPiNAnalysis[[#This Row],[2º PiN más alto]]=tblPiNAnalysis[[#This Row],[SAMV]:[ASH]], tblPiNAnalysis[[#Headers],[SAMV]:[ASH]], "")))</f>
        <v>PRO</v>
      </c>
      <c r="AG143" s="12">
        <f>IFERROR(tblPiNAnalysis[[#This Row],[2º PiN más alto]]/tblPiNAnalysis[[#This Row],[Población]], "")</f>
        <v>0.16727260924729279</v>
      </c>
      <c r="AH143" s="16">
        <f>IFERROR(tblPiNAnalysis[[#This Row],[PiN más alto]]-tblPiNAnalysis[[#This Row],[2º PiN más alto]], "")</f>
        <v>10748.053203623382</v>
      </c>
      <c r="AI143" s="14">
        <f>IFERROR(((tblPiNAnalysis[[#This Row],[PiN más alto]]-tblPiNAnalysis[[#This Row],[2º PiN más alto]])/tblPiNAnalysis[[#This Row],[2º PiN más alto]]),"")</f>
        <v>3.3051134832830189</v>
      </c>
      <c r="AJ143" s="14" t="str" cm="1">
        <f t="array" ref="AJ14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43" s="98" cm="1">
        <f t="array" ref="AK14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1588.824253037423</v>
      </c>
      <c r="AL143" s="53" t="str" cm="1">
        <f t="array" ref="AL143">IF(tblPiNAnalysis[[#This Row],[3º PiN más alto]]="", "", _xlfn.TEXTJOIN(CHAR(10), TRUE, IF(tblPiNAnalysis[[#This Row],[3º PiN más alto]]=tblPiNAnalysis[[#This Row],[SAMV]:[ASH]], tblPiNAnalysis[[#Headers],[SAMV]:[ASH]], "")))</f>
        <v>EDU</v>
      </c>
      <c r="AM143" s="53">
        <f>IFERROR(tblPiNAnalysis[[#This Row],[3º PiN más alto]]/tblPiNAnalysis[[#This Row],[Población]], "")</f>
        <v>8.1725438662487673E-2</v>
      </c>
      <c r="AN143" s="15">
        <f>IFERROR(tblPiNAnalysis[[#This Row],[PiN más alto]]-tblPiNAnalysis[[#This Row],[3º PiN más alto]],"")</f>
        <v>12411.175746962577</v>
      </c>
      <c r="AO143" s="14">
        <f>IFERROR(tblPiNAnalysis[[#This Row],[Diferencia de PiN entre el más alto y el 3º más alto]]/tblPiNAnalysis[[#This Row],[3º PiN más alto]], "")</f>
        <v>7.8115472641077854</v>
      </c>
      <c r="AP143" s="96" t="str" cm="1">
        <f t="array" ref="AP14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43" s="84" cm="1">
        <f t="array" ref="AQ143">IFERROR(IF(tblPiNAnalysis[[#This Row],[ID]]="", "", INDEX(tblPiNHistorical[[SAMV]:[ASH]], MATCH(tblPiNAnalysis[[#This Row],[ID]],tblPiNHistorical[ID], 0),MATCH(_xlfn._xlws.FILTER(tblPiNAnalysis[[#Headers],[SAMV]:[ASH]], tblPiNAnalysis[[#This Row],[PiN más alto]]=tblPiNAnalysis[[#This Row],[SAMV]:[ASH]]), tblPiNHistorical[[#Headers],[SAMV]:[ASH]], 0))), "")</f>
        <v>0.7</v>
      </c>
      <c r="AR143" s="99" t="str" cm="1">
        <f t="array" ref="AR14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43" s="74" cm="1">
        <f t="array" ref="AS143">IFERROR(IF(tblPiNAnalysis[[#This Row],[ID]]="", "", INDEX(tblPiNHistorical[[SAMV]:[ASH]], MATCH(tblPiNAnalysis[[#This Row],[ID]],tblPiNHistorical[ID], 0),MATCH(_xlfn._xlws.FILTER(tblPiNAnalysis[[#Headers],[SAMV]:[ASH]], tblPiNAnalysis[[#This Row],[2º PiN más alto]]=tblPiNAnalysis[[#This Row],[SAMV]:[ASH]]), tblPiNHistorical[[#Headers],[SAMV]:[ASH]], 0))), "")</f>
        <v>-0.4</v>
      </c>
      <c r="AT143" s="100" t="str" cm="1">
        <f t="array" ref="AT14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43" s="219">
        <f>INDEX(tblSeverityAnalysis[Severidad final], MATCH(tblPiNAnalysis[[#This Row],[ID]],tblSeverityAnalysis[ID], 0))</f>
        <v>3</v>
      </c>
      <c r="AV143" s="220">
        <f>IF(tblPiNAnalysis[[#This Row],[Severidad]]&gt;2,tblPiNAnalysis[[#This Row],[PiN más alto]],)</f>
        <v>14000</v>
      </c>
      <c r="AW143" s="54"/>
      <c r="AX143" s="55"/>
      <c r="AY143" s="56">
        <f>COUNTIFS(tblPiNAnalysis[[#This Row],[Número de PiN ausentes/cero superior al umbral - Calidad de los datos]:[Marcador manual]],"Flagged")</f>
        <v>2</v>
      </c>
      <c r="AZ143" s="34" t="str">
        <f>IF(tblPiNAnalysis[[#This Row],[Número de marcadores]]&gt;0, "Flagged", "")</f>
        <v>Flagged</v>
      </c>
      <c r="BA143" s="92">
        <f>tblPiNAnalysis[[#This Row],[PiN preliminar]]</f>
        <v>14000</v>
      </c>
      <c r="BB143" s="97"/>
      <c r="BC143" s="70">
        <f>IFERROR(IF(tblPiNAnalysis[[#This Row],[Severidad]]=3,tblPiNAnalysis[[#This Row],[PiN final]]*Umbrales!$D$33,tblPiNAnalysis[[#This Row],[PiN final]]*Umbrales!$D$34),)</f>
        <v>7000</v>
      </c>
      <c r="BD143" s="70">
        <f>IFERROR(IF(tblPiNAnalysis[[#This Row],[Severidad]]&gt;3,tblPiNAnalysis[[#This Row],[PiN final]]*Umbrales!$D$34,),)</f>
        <v>0</v>
      </c>
    </row>
    <row r="144" spans="1:56">
      <c r="A144" s="101" t="str">
        <f>IFERROR(_xlfn.CONCAT(IF(tblPiNAnalysis[[#This Row],[Grupo]]="", "",tblPiNAnalysis[[#This Row],[Grupo]] ),  _xlfn.IFS(tblPiNAnalysis[[#This Row],[Admin2PCODE]]&lt;&gt;"", tblPiNAnalysis[[#This Row],[Admin2PCODE]], tblPiNAnalysis[[#This Row],[Admin1PCODE]]&lt;&gt;"", tblPiNAnalysis[[#This Row],[Admin1PCODE]])),"")</f>
        <v>VenezolanosVE0608</v>
      </c>
      <c r="B144" s="105" t="s">
        <v>215</v>
      </c>
      <c r="C144" s="104" t="s">
        <v>216</v>
      </c>
      <c r="D144" s="119" t="s">
        <v>229</v>
      </c>
      <c r="E144" s="104" t="s">
        <v>230</v>
      </c>
      <c r="F144" s="358"/>
      <c r="G144" s="357">
        <v>38344</v>
      </c>
      <c r="H144" s="103" t="s">
        <v>102</v>
      </c>
      <c r="I144" s="60">
        <v>7736</v>
      </c>
      <c r="J144" s="134">
        <v>1587.675273980743</v>
      </c>
      <c r="K144" s="57">
        <v>13995.56</v>
      </c>
      <c r="L144" s="87">
        <v>2906.6436473137446</v>
      </c>
      <c r="M144" s="87">
        <v>5506.7845266178247</v>
      </c>
      <c r="N144" s="57">
        <v>0</v>
      </c>
      <c r="O144" s="57">
        <v>1767.6778330443217</v>
      </c>
      <c r="P144" s="57">
        <v>1927.3745843162387</v>
      </c>
      <c r="Q144" s="88">
        <f>IFERROR(IF(tblPiNAnalysis[[#This Row],[SAMV]]="", "", MROUND(tblPiNAnalysis[[#This Row],[SAMV]]/tblPiNAnalysis[[#This Row],[Población]], 0.05)), "")</f>
        <v>0.2</v>
      </c>
      <c r="R144" s="89">
        <f>IFERROR(IF(tblPiNAnalysis[[#This Row],[NUT]]="", "", MROUND(tblPiNAnalysis[[#This Row],[NUT]]/tblPiNAnalysis[[#This Row],[Población]], 0.05)), "")</f>
        <v>0.05</v>
      </c>
      <c r="S144" s="89">
        <f>IFERROR(IF(tblPiNAnalysis[[#This Row],[SAL]]="", "", MROUND(tblPiNAnalysis[[#This Row],[SAL]]/tblPiNAnalysis[[#This Row],[Población]], 0.05)), "")</f>
        <v>0.35000000000000003</v>
      </c>
      <c r="T144" s="89">
        <f>IFERROR(IF(tblPiNAnalysis[[#This Row],[EDU]]="", "", MROUND(tblPiNAnalysis[[#This Row],[EDU]]/tblPiNAnalysis[[#This Row],[Población]], 0.05)), "")</f>
        <v>0.1</v>
      </c>
      <c r="U144" s="89">
        <f>IFERROR(IF(tblPiNAnalysis[[#This Row],[PRO]]="", "", MROUND(tblPiNAnalysis[[#This Row],[PRO]]/tblPiNAnalysis[[#This Row],[Población]], 0.05)), "")</f>
        <v>0.15000000000000002</v>
      </c>
      <c r="V144" s="90">
        <f>IFERROR(IF(tblPiNAnalysis[[#This Row],[ASH]]="", "", MROUND(tblPiNAnalysis[[#This Row],[ASH]]/tblPiNAnalysis[[#This Row],[Población]], 0.05)), "")</f>
        <v>0</v>
      </c>
      <c r="W144" s="89">
        <f>IFERROR(MROUND(tblPiNAnalysis[[#This Row],[NNA]]/tblPiNAnalysis[[#This Row],[Población]], 0.05), "")</f>
        <v>0.05</v>
      </c>
      <c r="X144" s="89">
        <f>IFERROR(MROUND(tblPiNAnalysis[[#This Row],[VBG]]/tblPiNAnalysis[[#This Row],[Población]], 0.05), "")</f>
        <v>0.05</v>
      </c>
      <c r="Y144" s="91">
        <f>IFERROR(LARGE(tblPiNAnalysis[[#This Row],[SAMV]:[ASH]], 1), "")</f>
        <v>13995.56</v>
      </c>
      <c r="Z144" s="92" t="str" cm="1">
        <f t="array" ref="Z144">IF(tblPiNAnalysis[[#This Row],[PiN más alto]]="", "", _xlfn.TEXTJOIN(CHAR(10), TRUE, IF(tblPiNAnalysis[[#This Row],[PiN más alto]]=tblPiNAnalysis[[#This Row],[SAMV]:[ASH]], tblPiNAnalysis[[#Headers],[SAMV]:[ASH]], "")))</f>
        <v>SAL</v>
      </c>
      <c r="AA144" s="93">
        <f>IF(tblPiNAnalysis[[#This Row],[PiN más alto]]="", "", tblPiNAnalysis[[#This Row],[PiN más alto]]/tblPiNAnalysis[[#This Row],[Población]])</f>
        <v>0.36499999999999999</v>
      </c>
      <c r="AB144" s="94" t="str">
        <f>IF(SUM(tblPiNAnalysis[[#This Row],[SAMV]:[ASH]])=0, "",IF(COUNTIF(tblPiNAnalysis[[#This Row],[SAMV]:[ASH]],"=0")+COUNTIF(tblPiNAnalysis[[#This Row],[SAMV]:[ASH]],"")&gt;=zero_pin_thresh, "Flagged", ""))</f>
        <v/>
      </c>
      <c r="AC144" s="95" t="str">
        <f>IFERROR(IF(tblPiNAnalysis[[#This Row],[PiN más alto]]="", "", IF(tblPiNAnalysis[[#This Row],[% PiN Sectores más altos]]&gt;=flag_pin_perc, "Flagged", "")), "")</f>
        <v/>
      </c>
      <c r="AD144" s="96" t="str" cm="1">
        <f t="array" ref="AD144">IF(tblPiNAnalysis[[#This Row],[PiN más alto]]=0, "",  IF(OR(COUNTIF(tblPiNAnalysis[[#This Row],[Sectores más altos]],tblSubSectorPopulation[Sector])), "Flagged", ""))</f>
        <v/>
      </c>
      <c r="AE144" s="16" cm="1">
        <f t="array" ref="AE14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7736</v>
      </c>
      <c r="AF144" s="97" t="str" cm="1">
        <f t="array" ref="AF144">IF(tblPiNAnalysis[[#This Row],[2º PiN más alto]]="", "", _xlfn.TEXTJOIN(CHAR(10), TRUE, IF(tblPiNAnalysis[[#This Row],[2º PiN más alto]]=tblPiNAnalysis[[#This Row],[SAMV]:[ASH]], tblPiNAnalysis[[#Headers],[SAMV]:[ASH]], "")))</f>
        <v>SAMV</v>
      </c>
      <c r="AG144" s="12">
        <f>IFERROR(tblPiNAnalysis[[#This Row],[2º PiN más alto]]/tblPiNAnalysis[[#This Row],[Población]], "")</f>
        <v>0.20175255581055707</v>
      </c>
      <c r="AH144" s="16">
        <f>IFERROR(tblPiNAnalysis[[#This Row],[PiN más alto]]-tblPiNAnalysis[[#This Row],[2º PiN más alto]], "")</f>
        <v>6259.5599999999995</v>
      </c>
      <c r="AI144" s="14">
        <f>IFERROR(((tblPiNAnalysis[[#This Row],[PiN más alto]]-tblPiNAnalysis[[#This Row],[2º PiN más alto]])/tblPiNAnalysis[[#This Row],[2º PiN más alto]]),"")</f>
        <v>0.80914684591520158</v>
      </c>
      <c r="AJ144" s="14" t="str" cm="1">
        <f t="array" ref="AJ14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44" s="98" cm="1">
        <f t="array" ref="AK14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5506.7845266178247</v>
      </c>
      <c r="AL144" s="53" t="str" cm="1">
        <f t="array" ref="AL144">IF(tblPiNAnalysis[[#This Row],[3º PiN más alto]]="", "", _xlfn.TEXTJOIN(CHAR(10), TRUE, IF(tblPiNAnalysis[[#This Row],[3º PiN más alto]]=tblPiNAnalysis[[#This Row],[SAMV]:[ASH]], tblPiNAnalysis[[#Headers],[SAMV]:[ASH]], "")))</f>
        <v>PRO</v>
      </c>
      <c r="AM144" s="53">
        <f>IFERROR(tblPiNAnalysis[[#This Row],[3º PiN más alto]]/tblPiNAnalysis[[#This Row],[Población]], "")</f>
        <v>0.14361528600609808</v>
      </c>
      <c r="AN144" s="15">
        <f>IFERROR(tblPiNAnalysis[[#This Row],[PiN más alto]]-tblPiNAnalysis[[#This Row],[3º PiN más alto]],"")</f>
        <v>8488.7754733821748</v>
      </c>
      <c r="AO144" s="14">
        <f>IFERROR(tblPiNAnalysis[[#This Row],[Diferencia de PiN entre el más alto y el 3º más alto]]/tblPiNAnalysis[[#This Row],[3º PiN más alto]], "")</f>
        <v>1.5415121896181834</v>
      </c>
      <c r="AP144" s="96" t="str" cm="1">
        <f t="array" ref="AP14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44" s="84" cm="1">
        <f t="array" ref="AQ144">IFERROR(IF(tblPiNAnalysis[[#This Row],[ID]]="", "", INDEX(tblPiNHistorical[[SAMV]:[ASH]], MATCH(tblPiNAnalysis[[#This Row],[ID]],tblPiNHistorical[ID], 0),MATCH(_xlfn._xlws.FILTER(tblPiNAnalysis[[#Headers],[SAMV]:[ASH]], tblPiNAnalysis[[#This Row],[PiN más alto]]=tblPiNAnalysis[[#This Row],[SAMV]:[ASH]]), tblPiNHistorical[[#Headers],[SAMV]:[ASH]], 0))), "")</f>
        <v>2.8</v>
      </c>
      <c r="AR144" s="99" t="str" cm="1">
        <f t="array" ref="AR14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44" s="74" cm="1">
        <f t="array" ref="AS144">IFERROR(IF(tblPiNAnalysis[[#This Row],[ID]]="", "", INDEX(tblPiNHistorical[[SAMV]:[ASH]], MATCH(tblPiNAnalysis[[#This Row],[ID]],tblPiNHistorical[ID], 0),MATCH(_xlfn._xlws.FILTER(tblPiNAnalysis[[#Headers],[SAMV]:[ASH]], tblPiNAnalysis[[#This Row],[2º PiN más alto]]=tblPiNAnalysis[[#This Row],[SAMV]:[ASH]]), tblPiNHistorical[[#Headers],[SAMV]:[ASH]], 0))), "")</f>
        <v>1.1000000000000001</v>
      </c>
      <c r="AT144" s="100" t="str" cm="1">
        <f t="array" ref="AT14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44" s="219">
        <f>INDEX(tblSeverityAnalysis[Severidad final], MATCH(tblPiNAnalysis[[#This Row],[ID]],tblSeverityAnalysis[ID], 0))</f>
        <v>3</v>
      </c>
      <c r="AV144" s="220">
        <f>IF(tblPiNAnalysis[[#This Row],[Severidad]]&gt;2,tblPiNAnalysis[[#This Row],[PiN más alto]],)</f>
        <v>13995.56</v>
      </c>
      <c r="AW144" s="54"/>
      <c r="AX144" s="55"/>
      <c r="AY144" s="56">
        <f>COUNTIFS(tblPiNAnalysis[[#This Row],[Número de PiN ausentes/cero superior al umbral - Calidad de los datos]:[Marcador manual]],"Flagged")</f>
        <v>4</v>
      </c>
      <c r="AZ144" s="34" t="str">
        <f>IF(tblPiNAnalysis[[#This Row],[Número de marcadores]]&gt;0, "Flagged", "")</f>
        <v>Flagged</v>
      </c>
      <c r="BA144" s="92">
        <f>tblPiNAnalysis[[#This Row],[PiN preliminar]]</f>
        <v>13995.56</v>
      </c>
      <c r="BB144" s="97"/>
      <c r="BC144" s="70">
        <f>IFERROR(IF(tblPiNAnalysis[[#This Row],[Severidad]]=3,tblPiNAnalysis[[#This Row],[PiN final]]*Umbrales!$D$33,tblPiNAnalysis[[#This Row],[PiN final]]*Umbrales!$D$34),)</f>
        <v>6997.78</v>
      </c>
      <c r="BD144" s="70">
        <f>IFERROR(IF(tblPiNAnalysis[[#This Row],[Severidad]]&gt;3,tblPiNAnalysis[[#This Row],[PiN final]]*Umbrales!$D$34,),)</f>
        <v>0</v>
      </c>
    </row>
    <row r="145" spans="1:56">
      <c r="A145" s="101" t="str">
        <f>IFERROR(_xlfn.CONCAT(IF(tblPiNAnalysis[[#This Row],[Grupo]]="", "",tblPiNAnalysis[[#This Row],[Grupo]] ),  _xlfn.IFS(tblPiNAnalysis[[#This Row],[Admin2PCODE]]&lt;&gt;"", tblPiNAnalysis[[#This Row],[Admin2PCODE]], tblPiNAnalysis[[#This Row],[Admin1PCODE]]&lt;&gt;"", tblPiNAnalysis[[#This Row],[Admin1PCODE]])),"")</f>
        <v>VenezolanosVE0711</v>
      </c>
      <c r="B145" s="105" t="s">
        <v>180</v>
      </c>
      <c r="C145" s="104" t="s">
        <v>239</v>
      </c>
      <c r="D145" s="119" t="s">
        <v>259</v>
      </c>
      <c r="E145" s="104" t="s">
        <v>260</v>
      </c>
      <c r="F145" s="358"/>
      <c r="G145" s="357">
        <v>15835</v>
      </c>
      <c r="H145" s="103" t="s">
        <v>102</v>
      </c>
      <c r="I145" s="60">
        <v>13950</v>
      </c>
      <c r="J145" s="134">
        <v>597.86705223600529</v>
      </c>
      <c r="K145" s="57">
        <v>6300</v>
      </c>
      <c r="L145" s="87">
        <v>1818.0582824920004</v>
      </c>
      <c r="M145" s="87">
        <v>3794.2619724172582</v>
      </c>
      <c r="N145" s="57">
        <v>1068.8625</v>
      </c>
      <c r="O145" s="57">
        <v>1214.1638311735226</v>
      </c>
      <c r="P145" s="57">
        <v>1327.9916903460405</v>
      </c>
      <c r="Q145" s="88">
        <f>IFERROR(IF(tblPiNAnalysis[[#This Row],[SAMV]]="", "", MROUND(tblPiNAnalysis[[#This Row],[SAMV]]/tblPiNAnalysis[[#This Row],[Población]], 0.05)), "")</f>
        <v>0.9</v>
      </c>
      <c r="R145" s="89">
        <f>IFERROR(IF(tblPiNAnalysis[[#This Row],[NUT]]="", "", MROUND(tblPiNAnalysis[[#This Row],[NUT]]/tblPiNAnalysis[[#This Row],[Población]], 0.05)), "")</f>
        <v>0.05</v>
      </c>
      <c r="S145" s="89">
        <f>IFERROR(IF(tblPiNAnalysis[[#This Row],[SAL]]="", "", MROUND(tblPiNAnalysis[[#This Row],[SAL]]/tblPiNAnalysis[[#This Row],[Población]], 0.05)), "")</f>
        <v>0.4</v>
      </c>
      <c r="T145" s="89">
        <f>IFERROR(IF(tblPiNAnalysis[[#This Row],[EDU]]="", "", MROUND(tblPiNAnalysis[[#This Row],[EDU]]/tblPiNAnalysis[[#This Row],[Población]], 0.05)), "")</f>
        <v>0.1</v>
      </c>
      <c r="U145" s="89">
        <f>IFERROR(IF(tblPiNAnalysis[[#This Row],[PRO]]="", "", MROUND(tblPiNAnalysis[[#This Row],[PRO]]/tblPiNAnalysis[[#This Row],[Población]], 0.05)), "")</f>
        <v>0.25</v>
      </c>
      <c r="V145" s="90">
        <f>IFERROR(IF(tblPiNAnalysis[[#This Row],[ASH]]="", "", MROUND(tblPiNAnalysis[[#This Row],[ASH]]/tblPiNAnalysis[[#This Row],[Población]], 0.05)), "")</f>
        <v>0.05</v>
      </c>
      <c r="W145" s="89">
        <f>IFERROR(MROUND(tblPiNAnalysis[[#This Row],[NNA]]/tblPiNAnalysis[[#This Row],[Población]], 0.05), "")</f>
        <v>0.1</v>
      </c>
      <c r="X145" s="89">
        <f>IFERROR(MROUND(tblPiNAnalysis[[#This Row],[VBG]]/tblPiNAnalysis[[#This Row],[Población]], 0.05), "")</f>
        <v>0.1</v>
      </c>
      <c r="Y145" s="91">
        <f>IFERROR(LARGE(tblPiNAnalysis[[#This Row],[SAMV]:[ASH]], 1), "")</f>
        <v>13950</v>
      </c>
      <c r="Z145" s="92" t="str" cm="1">
        <f t="array" ref="Z145">IF(tblPiNAnalysis[[#This Row],[PiN más alto]]="", "", _xlfn.TEXTJOIN(CHAR(10), TRUE, IF(tblPiNAnalysis[[#This Row],[PiN más alto]]=tblPiNAnalysis[[#This Row],[SAMV]:[ASH]], tblPiNAnalysis[[#Headers],[SAMV]:[ASH]], "")))</f>
        <v>SAMV</v>
      </c>
      <c r="AA145" s="93">
        <f>IF(tblPiNAnalysis[[#This Row],[PiN más alto]]="", "", tblPiNAnalysis[[#This Row],[PiN más alto]]/tblPiNAnalysis[[#This Row],[Población]])</f>
        <v>0.88095989895800442</v>
      </c>
      <c r="AB145" s="94" t="str">
        <f>IF(SUM(tblPiNAnalysis[[#This Row],[SAMV]:[ASH]])=0, "",IF(COUNTIF(tblPiNAnalysis[[#This Row],[SAMV]:[ASH]],"=0")+COUNTIF(tblPiNAnalysis[[#This Row],[SAMV]:[ASH]],"")&gt;=zero_pin_thresh, "Flagged", ""))</f>
        <v/>
      </c>
      <c r="AC145" s="95" t="str">
        <f>IFERROR(IF(tblPiNAnalysis[[#This Row],[PiN más alto]]="", "", IF(tblPiNAnalysis[[#This Row],[% PiN Sectores más altos]]&gt;=flag_pin_perc, "Flagged", "")), "")</f>
        <v/>
      </c>
      <c r="AD145" s="96" t="str" cm="1">
        <f t="array" ref="AD145">IF(tblPiNAnalysis[[#This Row],[PiN más alto]]=0, "",  IF(OR(COUNTIF(tblPiNAnalysis[[#This Row],[Sectores más altos]],tblSubSectorPopulation[Sector])), "Flagged", ""))</f>
        <v/>
      </c>
      <c r="AE145" s="16" cm="1">
        <f t="array" ref="AE14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6300</v>
      </c>
      <c r="AF145" s="97" t="str" cm="1">
        <f t="array" ref="AF145">IF(tblPiNAnalysis[[#This Row],[2º PiN más alto]]="", "", _xlfn.TEXTJOIN(CHAR(10), TRUE, IF(tblPiNAnalysis[[#This Row],[2º PiN más alto]]=tblPiNAnalysis[[#This Row],[SAMV]:[ASH]], tblPiNAnalysis[[#Headers],[SAMV]:[ASH]], "")))</f>
        <v>SAL</v>
      </c>
      <c r="AG145" s="12">
        <f>IFERROR(tblPiNAnalysis[[#This Row],[2º PiN más alto]]/tblPiNAnalysis[[#This Row],[Población]], "")</f>
        <v>0.39785285759393746</v>
      </c>
      <c r="AH145" s="16">
        <f>IFERROR(tblPiNAnalysis[[#This Row],[PiN más alto]]-tblPiNAnalysis[[#This Row],[2º PiN más alto]], "")</f>
        <v>7650</v>
      </c>
      <c r="AI145" s="14">
        <f>IFERROR(((tblPiNAnalysis[[#This Row],[PiN más alto]]-tblPiNAnalysis[[#This Row],[2º PiN más alto]])/tblPiNAnalysis[[#This Row],[2º PiN más alto]]),"")</f>
        <v>1.2142857142857142</v>
      </c>
      <c r="AJ145" s="14" t="str" cm="1">
        <f t="array" ref="AJ14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45" s="98" cm="1">
        <f t="array" ref="AK14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3794.2619724172582</v>
      </c>
      <c r="AL145" s="53" t="str" cm="1">
        <f t="array" ref="AL145">IF(tblPiNAnalysis[[#This Row],[3º PiN más alto]]="", "", _xlfn.TEXTJOIN(CHAR(10), TRUE, IF(tblPiNAnalysis[[#This Row],[3º PiN más alto]]=tblPiNAnalysis[[#This Row],[SAMV]:[ASH]], tblPiNAnalysis[[#Headers],[SAMV]:[ASH]], "")))</f>
        <v>PRO</v>
      </c>
      <c r="AM145" s="53">
        <f>IFERROR(tblPiNAnalysis[[#This Row],[3º PiN más alto]]/tblPiNAnalysis[[#This Row],[Población]], "")</f>
        <v>0.23961237590257392</v>
      </c>
      <c r="AN145" s="15">
        <f>IFERROR(tblPiNAnalysis[[#This Row],[PiN más alto]]-tblPiNAnalysis[[#This Row],[3º PiN más alto]],"")</f>
        <v>10155.738027582742</v>
      </c>
      <c r="AO145" s="14">
        <f>IFERROR(tblPiNAnalysis[[#This Row],[Diferencia de PiN entre el más alto y el 3º más alto]]/tblPiNAnalysis[[#This Row],[3º PiN más alto]], "")</f>
        <v>2.6766043308055236</v>
      </c>
      <c r="AP145" s="96" t="str" cm="1">
        <f t="array" ref="AP14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45" s="84" cm="1">
        <f t="array" ref="AQ145">IFERROR(IF(tblPiNAnalysis[[#This Row],[ID]]="", "", INDEX(tblPiNHistorical[[SAMV]:[ASH]], MATCH(tblPiNAnalysis[[#This Row],[ID]],tblPiNHistorical[ID], 0),MATCH(_xlfn._xlws.FILTER(tblPiNAnalysis[[#Headers],[SAMV]:[ASH]], tblPiNAnalysis[[#This Row],[PiN más alto]]=tblPiNAnalysis[[#This Row],[SAMV]:[ASH]]), tblPiNHistorical[[#Headers],[SAMV]:[ASH]], 0))), "")</f>
        <v>1.6</v>
      </c>
      <c r="AR145" s="99" t="str" cm="1">
        <f t="array" ref="AR14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45" s="74" cm="1">
        <f t="array" ref="AS145">IFERROR(IF(tblPiNAnalysis[[#This Row],[ID]]="", "", INDEX(tblPiNHistorical[[SAMV]:[ASH]], MATCH(tblPiNAnalysis[[#This Row],[ID]],tblPiNHistorical[ID], 0),MATCH(_xlfn._xlws.FILTER(tblPiNAnalysis[[#Headers],[SAMV]:[ASH]], tblPiNAnalysis[[#This Row],[2º PiN más alto]]=tblPiNAnalysis[[#This Row],[SAMV]:[ASH]]), tblPiNHistorical[[#Headers],[SAMV]:[ASH]], 0))), "")</f>
        <v>3.3</v>
      </c>
      <c r="AT145" s="100" t="str" cm="1">
        <f t="array" ref="AT14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45" s="219">
        <f>INDEX(tblSeverityAnalysis[Severidad final], MATCH(tblPiNAnalysis[[#This Row],[ID]],tblSeverityAnalysis[ID], 0))</f>
        <v>3</v>
      </c>
      <c r="AV145" s="220">
        <f>IF(tblPiNAnalysis[[#This Row],[Severidad]]&gt;2,tblPiNAnalysis[[#This Row],[PiN más alto]],)</f>
        <v>13950</v>
      </c>
      <c r="AW145" s="54"/>
      <c r="AX145" s="55"/>
      <c r="AY145" s="56">
        <f>COUNTIFS(tblPiNAnalysis[[#This Row],[Número de PiN ausentes/cero superior al umbral - Calidad de los datos]:[Marcador manual]],"Flagged")</f>
        <v>4</v>
      </c>
      <c r="AZ145" s="34" t="str">
        <f>IF(tblPiNAnalysis[[#This Row],[Número de marcadores]]&gt;0, "Flagged", "")</f>
        <v>Flagged</v>
      </c>
      <c r="BA145" s="92">
        <f>tblPiNAnalysis[[#This Row],[PiN preliminar]]</f>
        <v>13950</v>
      </c>
      <c r="BB145" s="97"/>
      <c r="BC145" s="70">
        <f>IFERROR(IF(tblPiNAnalysis[[#This Row],[Severidad]]=3,tblPiNAnalysis[[#This Row],[PiN final]]*Umbrales!$D$33,tblPiNAnalysis[[#This Row],[PiN final]]*Umbrales!$D$34),)</f>
        <v>6975</v>
      </c>
      <c r="BD145" s="70">
        <f>IFERROR(IF(tblPiNAnalysis[[#This Row],[Severidad]]&gt;3,tblPiNAnalysis[[#This Row],[PiN final]]*Umbrales!$D$34,),)</f>
        <v>0</v>
      </c>
    </row>
    <row r="146" spans="1:56">
      <c r="A146" s="101" t="str">
        <f>IFERROR(_xlfn.CONCAT(IF(tblPiNAnalysis[[#This Row],[Grupo]]="", "",tblPiNAnalysis[[#This Row],[Grupo]] ),  _xlfn.IFS(tblPiNAnalysis[[#This Row],[Admin2PCODE]]&lt;&gt;"", tblPiNAnalysis[[#This Row],[Admin2PCODE]], tblPiNAnalysis[[#This Row],[Admin1PCODE]]&lt;&gt;"", tblPiNAnalysis[[#This Row],[Admin1PCODE]])),"")</f>
        <v>VenezolanosVE1110</v>
      </c>
      <c r="B146" s="105" t="s">
        <v>316</v>
      </c>
      <c r="C146" s="104" t="s">
        <v>317</v>
      </c>
      <c r="D146" s="119" t="s">
        <v>334</v>
      </c>
      <c r="E146" s="104" t="s">
        <v>335</v>
      </c>
      <c r="F146" s="358"/>
      <c r="G146" s="357">
        <v>29908</v>
      </c>
      <c r="H146" s="103" t="s">
        <v>102</v>
      </c>
      <c r="I146" s="60">
        <v>4601</v>
      </c>
      <c r="J146" s="134">
        <v>2085.6017894958804</v>
      </c>
      <c r="K146" s="57">
        <v>10916.42</v>
      </c>
      <c r="L146" s="87">
        <v>1798.3335056182759</v>
      </c>
      <c r="M146" s="87">
        <v>7157.7431738336463</v>
      </c>
      <c r="N146" s="57">
        <v>13458.6</v>
      </c>
      <c r="O146" s="57">
        <v>2290.4778156267666</v>
      </c>
      <c r="P146" s="57">
        <v>2505.210110841776</v>
      </c>
      <c r="Q146" s="88">
        <f>IFERROR(IF(tblPiNAnalysis[[#This Row],[SAMV]]="", "", MROUND(tblPiNAnalysis[[#This Row],[SAMV]]/tblPiNAnalysis[[#This Row],[Población]], 0.05)), "")</f>
        <v>0.15000000000000002</v>
      </c>
      <c r="R146" s="89">
        <f>IFERROR(IF(tblPiNAnalysis[[#This Row],[NUT]]="", "", MROUND(tblPiNAnalysis[[#This Row],[NUT]]/tblPiNAnalysis[[#This Row],[Población]], 0.05)), "")</f>
        <v>0.05</v>
      </c>
      <c r="S146" s="89">
        <f>IFERROR(IF(tblPiNAnalysis[[#This Row],[SAL]]="", "", MROUND(tblPiNAnalysis[[#This Row],[SAL]]/tblPiNAnalysis[[#This Row],[Población]], 0.05)), "")</f>
        <v>0.35000000000000003</v>
      </c>
      <c r="T146" s="89">
        <f>IFERROR(IF(tblPiNAnalysis[[#This Row],[EDU]]="", "", MROUND(tblPiNAnalysis[[#This Row],[EDU]]/tblPiNAnalysis[[#This Row],[Población]], 0.05)), "")</f>
        <v>0.05</v>
      </c>
      <c r="U146" s="89">
        <f>IFERROR(IF(tblPiNAnalysis[[#This Row],[PRO]]="", "", MROUND(tblPiNAnalysis[[#This Row],[PRO]]/tblPiNAnalysis[[#This Row],[Población]], 0.05)), "")</f>
        <v>0.25</v>
      </c>
      <c r="V146" s="90">
        <f>IFERROR(IF(tblPiNAnalysis[[#This Row],[ASH]]="", "", MROUND(tblPiNAnalysis[[#This Row],[ASH]]/tblPiNAnalysis[[#This Row],[Población]], 0.05)), "")</f>
        <v>0.45</v>
      </c>
      <c r="W146" s="89">
        <f>IFERROR(MROUND(tblPiNAnalysis[[#This Row],[NNA]]/tblPiNAnalysis[[#This Row],[Población]], 0.05), "")</f>
        <v>0.1</v>
      </c>
      <c r="X146" s="89">
        <f>IFERROR(MROUND(tblPiNAnalysis[[#This Row],[VBG]]/tblPiNAnalysis[[#This Row],[Población]], 0.05), "")</f>
        <v>0.1</v>
      </c>
      <c r="Y146" s="91">
        <f>IFERROR(LARGE(tblPiNAnalysis[[#This Row],[SAMV]:[ASH]], 1), "")</f>
        <v>13458.6</v>
      </c>
      <c r="Z146" s="92" t="str" cm="1">
        <f t="array" ref="Z146">IF(tblPiNAnalysis[[#This Row],[PiN más alto]]="", "", _xlfn.TEXTJOIN(CHAR(10), TRUE, IF(tblPiNAnalysis[[#This Row],[PiN más alto]]=tblPiNAnalysis[[#This Row],[SAMV]:[ASH]], tblPiNAnalysis[[#Headers],[SAMV]:[ASH]], "")))</f>
        <v>ASH</v>
      </c>
      <c r="AA146" s="93">
        <f>IF(tblPiNAnalysis[[#This Row],[PiN más alto]]="", "", tblPiNAnalysis[[#This Row],[PiN más alto]]/tblPiNAnalysis[[#This Row],[Población]])</f>
        <v>0.45</v>
      </c>
      <c r="AB146" s="94" t="str">
        <f>IF(SUM(tblPiNAnalysis[[#This Row],[SAMV]:[ASH]])=0, "",IF(COUNTIF(tblPiNAnalysis[[#This Row],[SAMV]:[ASH]],"=0")+COUNTIF(tblPiNAnalysis[[#This Row],[SAMV]:[ASH]],"")&gt;=zero_pin_thresh, "Flagged", ""))</f>
        <v/>
      </c>
      <c r="AC146" s="95" t="str">
        <f>IFERROR(IF(tblPiNAnalysis[[#This Row],[PiN más alto]]="", "", IF(tblPiNAnalysis[[#This Row],[% PiN Sectores más altos]]&gt;=flag_pin_perc, "Flagged", "")), "")</f>
        <v/>
      </c>
      <c r="AD146" s="96" t="str" cm="1">
        <f t="array" ref="AD146">IF(tblPiNAnalysis[[#This Row],[PiN más alto]]=0, "",  IF(OR(COUNTIF(tblPiNAnalysis[[#This Row],[Sectores más altos]],tblSubSectorPopulation[Sector])), "Flagged", ""))</f>
        <v/>
      </c>
      <c r="AE146" s="16" cm="1">
        <f t="array" ref="AE14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10916.42</v>
      </c>
      <c r="AF146" s="97" t="str" cm="1">
        <f t="array" ref="AF146">IF(tblPiNAnalysis[[#This Row],[2º PiN más alto]]="", "", _xlfn.TEXTJOIN(CHAR(10), TRUE, IF(tblPiNAnalysis[[#This Row],[2º PiN más alto]]=tblPiNAnalysis[[#This Row],[SAMV]:[ASH]], tblPiNAnalysis[[#Headers],[SAMV]:[ASH]], "")))</f>
        <v>SAL</v>
      </c>
      <c r="AG146" s="12">
        <f>IFERROR(tblPiNAnalysis[[#This Row],[2º PiN más alto]]/tblPiNAnalysis[[#This Row],[Población]], "")</f>
        <v>0.36499999999999999</v>
      </c>
      <c r="AH146" s="16">
        <f>IFERROR(tblPiNAnalysis[[#This Row],[PiN más alto]]-tblPiNAnalysis[[#This Row],[2º PiN más alto]], "")</f>
        <v>2542.1800000000003</v>
      </c>
      <c r="AI146" s="14">
        <f>IFERROR(((tblPiNAnalysis[[#This Row],[PiN más alto]]-tblPiNAnalysis[[#This Row],[2º PiN más alto]])/tblPiNAnalysis[[#This Row],[2º PiN más alto]]),"")</f>
        <v>0.23287671232876714</v>
      </c>
      <c r="AJ146" s="14" t="str" cm="1">
        <f t="array" ref="AJ14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46" s="98" cm="1">
        <f t="array" ref="AK14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7157.7431738336463</v>
      </c>
      <c r="AL146" s="53" t="str" cm="1">
        <f t="array" ref="AL146">IF(tblPiNAnalysis[[#This Row],[3º PiN más alto]]="", "", _xlfn.TEXTJOIN(CHAR(10), TRUE, IF(tblPiNAnalysis[[#This Row],[3º PiN más alto]]=tblPiNAnalysis[[#This Row],[SAMV]:[ASH]], tblPiNAnalysis[[#Headers],[SAMV]:[ASH]], "")))</f>
        <v>PRO</v>
      </c>
      <c r="AM146" s="53">
        <f>IFERROR(tblPiNAnalysis[[#This Row],[3º PiN más alto]]/tblPiNAnalysis[[#This Row],[Población]], "")</f>
        <v>0.23932537026326223</v>
      </c>
      <c r="AN146" s="15">
        <f>IFERROR(tblPiNAnalysis[[#This Row],[PiN más alto]]-tblPiNAnalysis[[#This Row],[3º PiN más alto]],"")</f>
        <v>6300.856826166354</v>
      </c>
      <c r="AO146" s="14">
        <f>IFERROR(tblPiNAnalysis[[#This Row],[Diferencia de PiN entre el más alto y el 3º más alto]]/tblPiNAnalysis[[#This Row],[3º PiN más alto]], "")</f>
        <v>0.88028540185686088</v>
      </c>
      <c r="AP146" s="96" t="str" cm="1">
        <f t="array" ref="AP14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46" s="84" cm="1">
        <f t="array" ref="AQ146">IFERROR(IF(tblPiNAnalysis[[#This Row],[ID]]="", "", INDEX(tblPiNHistorical[[SAMV]:[ASH]], MATCH(tblPiNAnalysis[[#This Row],[ID]],tblPiNHistorical[ID], 0),MATCH(_xlfn._xlws.FILTER(tblPiNAnalysis[[#Headers],[SAMV]:[ASH]], tblPiNAnalysis[[#This Row],[PiN más alto]]=tblPiNAnalysis[[#This Row],[SAMV]:[ASH]]), tblPiNHistorical[[#Headers],[SAMV]:[ASH]], 0))), "")</f>
        <v>-0.4</v>
      </c>
      <c r="AR146" s="99" t="str" cm="1">
        <f t="array" ref="AR14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46" s="74" cm="1">
        <f t="array" ref="AS146">IFERROR(IF(tblPiNAnalysis[[#This Row],[ID]]="", "", INDEX(tblPiNHistorical[[SAMV]:[ASH]], MATCH(tblPiNAnalysis[[#This Row],[ID]],tblPiNHistorical[ID], 0),MATCH(_xlfn._xlws.FILTER(tblPiNAnalysis[[#Headers],[SAMV]:[ASH]], tblPiNAnalysis[[#This Row],[2º PiN más alto]]=tblPiNAnalysis[[#This Row],[SAMV]:[ASH]]), tblPiNHistorical[[#Headers],[SAMV]:[ASH]], 0))), "")</f>
        <v>1.4</v>
      </c>
      <c r="AT146" s="100" t="str" cm="1">
        <f t="array" ref="AT14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46" s="219">
        <f>INDEX(tblSeverityAnalysis[Severidad final], MATCH(tblPiNAnalysis[[#This Row],[ID]],tblSeverityAnalysis[ID], 0))</f>
        <v>4</v>
      </c>
      <c r="AV146" s="220">
        <f>IF(tblPiNAnalysis[[#This Row],[Severidad]]&gt;2,tblPiNAnalysis[[#This Row],[PiN más alto]],)</f>
        <v>13458.6</v>
      </c>
      <c r="AW146" s="54"/>
      <c r="AX146" s="55"/>
      <c r="AY146" s="56">
        <f>COUNTIFS(tblPiNAnalysis[[#This Row],[Número de PiN ausentes/cero superior al umbral - Calidad de los datos]:[Marcador manual]],"Flagged")</f>
        <v>2</v>
      </c>
      <c r="AZ146" s="34" t="str">
        <f>IF(tblPiNAnalysis[[#This Row],[Número de marcadores]]&gt;0, "Flagged", "")</f>
        <v>Flagged</v>
      </c>
      <c r="BA146" s="92">
        <f>tblPiNAnalysis[[#This Row],[PiN preliminar]]</f>
        <v>13458.6</v>
      </c>
      <c r="BB146" s="97"/>
      <c r="BC146" s="70">
        <f>IFERROR(IF(tblPiNAnalysis[[#This Row],[Severidad]]=3,tblPiNAnalysis[[#This Row],[PiN final]]*Umbrales!$D$33,tblPiNAnalysis[[#This Row],[PiN final]]*Umbrales!$D$34),)</f>
        <v>13458.6</v>
      </c>
      <c r="BD146" s="70">
        <f>IFERROR(IF(tblPiNAnalysis[[#This Row],[Severidad]]&gt;3,tblPiNAnalysis[[#This Row],[PiN final]]*Umbrales!$D$34,),)</f>
        <v>13458.6</v>
      </c>
    </row>
    <row r="147" spans="1:56">
      <c r="A147" s="101" t="str">
        <f>IFERROR(_xlfn.CONCAT(IF(tblPiNAnalysis[[#This Row],[Grupo]]="", "",tblPiNAnalysis[[#This Row],[Grupo]] ),  _xlfn.IFS(tblPiNAnalysis[[#This Row],[Admin2PCODE]]&lt;&gt;"", tblPiNAnalysis[[#This Row],[Admin2PCODE]], tblPiNAnalysis[[#This Row],[Admin1PCODE]]&lt;&gt;"", tblPiNAnalysis[[#This Row],[Admin1PCODE]])),"")</f>
        <v>VenezolanosVE0708</v>
      </c>
      <c r="B147" s="105" t="s">
        <v>180</v>
      </c>
      <c r="C147" s="104" t="s">
        <v>239</v>
      </c>
      <c r="D147" s="119" t="s">
        <v>254</v>
      </c>
      <c r="E147" s="104" t="s">
        <v>255</v>
      </c>
      <c r="F147" s="358"/>
      <c r="G147" s="357">
        <v>22248</v>
      </c>
      <c r="H147" s="103" t="s">
        <v>102</v>
      </c>
      <c r="I147" s="60">
        <v>7045</v>
      </c>
      <c r="J147" s="134">
        <v>1855.7296584467563</v>
      </c>
      <c r="K147" s="57">
        <v>8120.52</v>
      </c>
      <c r="L147" s="87">
        <v>3844.302297622447</v>
      </c>
      <c r="M147" s="87">
        <v>5330.8961390804643</v>
      </c>
      <c r="N147" s="57">
        <v>13348.8</v>
      </c>
      <c r="O147" s="57">
        <v>1705.8867645057487</v>
      </c>
      <c r="P147" s="57">
        <v>1865.8136486781621</v>
      </c>
      <c r="Q147" s="88">
        <f>IFERROR(IF(tblPiNAnalysis[[#This Row],[SAMV]]="", "", MROUND(tblPiNAnalysis[[#This Row],[SAMV]]/tblPiNAnalysis[[#This Row],[Población]], 0.05)), "")</f>
        <v>0.30000000000000004</v>
      </c>
      <c r="R147" s="89">
        <f>IFERROR(IF(tblPiNAnalysis[[#This Row],[NUT]]="", "", MROUND(tblPiNAnalysis[[#This Row],[NUT]]/tblPiNAnalysis[[#This Row],[Población]], 0.05)), "")</f>
        <v>0.1</v>
      </c>
      <c r="S147" s="89">
        <f>IFERROR(IF(tblPiNAnalysis[[#This Row],[SAL]]="", "", MROUND(tblPiNAnalysis[[#This Row],[SAL]]/tblPiNAnalysis[[#This Row],[Población]], 0.05)), "")</f>
        <v>0.35000000000000003</v>
      </c>
      <c r="T147" s="89">
        <f>IFERROR(IF(tblPiNAnalysis[[#This Row],[EDU]]="", "", MROUND(tblPiNAnalysis[[#This Row],[EDU]]/tblPiNAnalysis[[#This Row],[Población]], 0.05)), "")</f>
        <v>0.15000000000000002</v>
      </c>
      <c r="U147" s="89">
        <f>IFERROR(IF(tblPiNAnalysis[[#This Row],[PRO]]="", "", MROUND(tblPiNAnalysis[[#This Row],[PRO]]/tblPiNAnalysis[[#This Row],[Población]], 0.05)), "")</f>
        <v>0.25</v>
      </c>
      <c r="V147" s="90">
        <f>IFERROR(IF(tblPiNAnalysis[[#This Row],[ASH]]="", "", MROUND(tblPiNAnalysis[[#This Row],[ASH]]/tblPiNAnalysis[[#This Row],[Población]], 0.05)), "")</f>
        <v>0.60000000000000009</v>
      </c>
      <c r="W147" s="89">
        <f>IFERROR(MROUND(tblPiNAnalysis[[#This Row],[NNA]]/tblPiNAnalysis[[#This Row],[Población]], 0.05), "")</f>
        <v>0.1</v>
      </c>
      <c r="X147" s="89">
        <f>IFERROR(MROUND(tblPiNAnalysis[[#This Row],[VBG]]/tblPiNAnalysis[[#This Row],[Población]], 0.05), "")</f>
        <v>0.1</v>
      </c>
      <c r="Y147" s="91">
        <f>IFERROR(LARGE(tblPiNAnalysis[[#This Row],[SAMV]:[ASH]], 1), "")</f>
        <v>13348.8</v>
      </c>
      <c r="Z147" s="92" t="str" cm="1">
        <f t="array" ref="Z147">IF(tblPiNAnalysis[[#This Row],[PiN más alto]]="", "", _xlfn.TEXTJOIN(CHAR(10), TRUE, IF(tblPiNAnalysis[[#This Row],[PiN más alto]]=tblPiNAnalysis[[#This Row],[SAMV]:[ASH]], tblPiNAnalysis[[#Headers],[SAMV]:[ASH]], "")))</f>
        <v>ASH</v>
      </c>
      <c r="AA147" s="93">
        <f>IF(tblPiNAnalysis[[#This Row],[PiN más alto]]="", "", tblPiNAnalysis[[#This Row],[PiN más alto]]/tblPiNAnalysis[[#This Row],[Población]])</f>
        <v>0.6</v>
      </c>
      <c r="AB147" s="94" t="str">
        <f>IF(SUM(tblPiNAnalysis[[#This Row],[SAMV]:[ASH]])=0, "",IF(COUNTIF(tblPiNAnalysis[[#This Row],[SAMV]:[ASH]],"=0")+COUNTIF(tblPiNAnalysis[[#This Row],[SAMV]:[ASH]],"")&gt;=zero_pin_thresh, "Flagged", ""))</f>
        <v/>
      </c>
      <c r="AC147" s="95" t="str">
        <f>IFERROR(IF(tblPiNAnalysis[[#This Row],[PiN más alto]]="", "", IF(tblPiNAnalysis[[#This Row],[% PiN Sectores más altos]]&gt;=flag_pin_perc, "Flagged", "")), "")</f>
        <v/>
      </c>
      <c r="AD147" s="96" t="str" cm="1">
        <f t="array" ref="AD147">IF(tblPiNAnalysis[[#This Row],[PiN más alto]]=0, "",  IF(OR(COUNTIF(tblPiNAnalysis[[#This Row],[Sectores más altos]],tblSubSectorPopulation[Sector])), "Flagged", ""))</f>
        <v/>
      </c>
      <c r="AE147" s="16" cm="1">
        <f t="array" ref="AE14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8120.52</v>
      </c>
      <c r="AF147" s="97" t="str" cm="1">
        <f t="array" ref="AF147">IF(tblPiNAnalysis[[#This Row],[2º PiN más alto]]="", "", _xlfn.TEXTJOIN(CHAR(10), TRUE, IF(tblPiNAnalysis[[#This Row],[2º PiN más alto]]=tblPiNAnalysis[[#This Row],[SAMV]:[ASH]], tblPiNAnalysis[[#Headers],[SAMV]:[ASH]], "")))</f>
        <v>SAL</v>
      </c>
      <c r="AG147" s="12">
        <f>IFERROR(tblPiNAnalysis[[#This Row],[2º PiN más alto]]/tblPiNAnalysis[[#This Row],[Población]], "")</f>
        <v>0.36500000000000005</v>
      </c>
      <c r="AH147" s="16">
        <f>IFERROR(tblPiNAnalysis[[#This Row],[PiN más alto]]-tblPiNAnalysis[[#This Row],[2º PiN más alto]], "")</f>
        <v>5228.2799999999988</v>
      </c>
      <c r="AI147" s="14">
        <f>IFERROR(((tblPiNAnalysis[[#This Row],[PiN más alto]]-tblPiNAnalysis[[#This Row],[2º PiN más alto]])/tblPiNAnalysis[[#This Row],[2º PiN más alto]]),"")</f>
        <v>0.64383561643835596</v>
      </c>
      <c r="AJ147" s="14" t="str" cm="1">
        <f t="array" ref="AJ14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47" s="98" cm="1">
        <f t="array" ref="AK14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7045</v>
      </c>
      <c r="AL147" s="53" t="str" cm="1">
        <f t="array" ref="AL147">IF(tblPiNAnalysis[[#This Row],[3º PiN más alto]]="", "", _xlfn.TEXTJOIN(CHAR(10), TRUE, IF(tblPiNAnalysis[[#This Row],[3º PiN más alto]]=tblPiNAnalysis[[#This Row],[SAMV]:[ASH]], tblPiNAnalysis[[#Headers],[SAMV]:[ASH]], "")))</f>
        <v>SAMV</v>
      </c>
      <c r="AM147" s="53">
        <f>IFERROR(tblPiNAnalysis[[#This Row],[3º PiN más alto]]/tblPiNAnalysis[[#This Row],[Población]], "")</f>
        <v>0.31665767709457032</v>
      </c>
      <c r="AN147" s="15">
        <f>IFERROR(tblPiNAnalysis[[#This Row],[PiN más alto]]-tblPiNAnalysis[[#This Row],[3º PiN más alto]],"")</f>
        <v>6303.7999999999993</v>
      </c>
      <c r="AO147" s="14">
        <f>IFERROR(tblPiNAnalysis[[#This Row],[Diferencia de PiN entre el más alto y el 3º más alto]]/tblPiNAnalysis[[#This Row],[3º PiN más alto]], "")</f>
        <v>0.89479063165365502</v>
      </c>
      <c r="AP147" s="96" t="str" cm="1">
        <f t="array" ref="AP14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47" s="84" t="str" cm="1">
        <f t="array" ref="AQ147">IFERROR(IF(tblPiNAnalysis[[#This Row],[ID]]="", "", INDEX(tblPiNHistorical[[SAMV]:[ASH]], MATCH(tblPiNAnalysis[[#This Row],[ID]],tblPiNHistorical[ID], 0),MATCH(_xlfn._xlws.FILTER(tblPiNAnalysis[[#Headers],[SAMV]:[ASH]], tblPiNAnalysis[[#This Row],[PiN más alto]]=tblPiNAnalysis[[#This Row],[SAMV]:[ASH]]), tblPiNHistorical[[#Headers],[SAMV]:[ASH]], 0))), "")</f>
        <v>NoPIN26 13050</v>
      </c>
      <c r="AR147" s="99" t="str" cm="1">
        <f t="array" ref="AR14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47" s="74" cm="1">
        <f t="array" ref="AS147">IFERROR(IF(tblPiNAnalysis[[#This Row],[ID]]="", "", INDEX(tblPiNHistorical[[SAMV]:[ASH]], MATCH(tblPiNAnalysis[[#This Row],[ID]],tblPiNHistorical[ID], 0),MATCH(_xlfn._xlws.FILTER(tblPiNAnalysis[[#Headers],[SAMV]:[ASH]], tblPiNAnalysis[[#This Row],[2º PiN más alto]]=tblPiNAnalysis[[#This Row],[SAMV]:[ASH]]), tblPiNHistorical[[#Headers],[SAMV]:[ASH]], 0))), "")</f>
        <v>2</v>
      </c>
      <c r="AT147" s="100" t="str" cm="1">
        <f t="array" ref="AT14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47" s="219">
        <f>INDEX(tblSeverityAnalysis[Severidad final], MATCH(tblPiNAnalysis[[#This Row],[ID]],tblSeverityAnalysis[ID], 0))</f>
        <v>3</v>
      </c>
      <c r="AV147" s="220">
        <f>IF(tblPiNAnalysis[[#This Row],[Severidad]]&gt;2,tblPiNAnalysis[[#This Row],[PiN más alto]],)</f>
        <v>13348.8</v>
      </c>
      <c r="AW147" s="54"/>
      <c r="AX147" s="55"/>
      <c r="AY147" s="56">
        <f>COUNTIFS(tblPiNAnalysis[[#This Row],[Número de PiN ausentes/cero superior al umbral - Calidad de los datos]:[Marcador manual]],"Flagged")</f>
        <v>3</v>
      </c>
      <c r="AZ147" s="34" t="str">
        <f>IF(tblPiNAnalysis[[#This Row],[Número de marcadores]]&gt;0, "Flagged", "")</f>
        <v>Flagged</v>
      </c>
      <c r="BA147" s="92">
        <f>tblPiNAnalysis[[#This Row],[PiN preliminar]]</f>
        <v>13348.8</v>
      </c>
      <c r="BB147" s="97"/>
      <c r="BC147" s="70">
        <f>IFERROR(IF(tblPiNAnalysis[[#This Row],[Severidad]]=3,tblPiNAnalysis[[#This Row],[PiN final]]*Umbrales!$D$33,tblPiNAnalysis[[#This Row],[PiN final]]*Umbrales!$D$34),)</f>
        <v>6674.4</v>
      </c>
      <c r="BD147" s="70">
        <f>IFERROR(IF(tblPiNAnalysis[[#This Row],[Severidad]]&gt;3,tblPiNAnalysis[[#This Row],[PiN final]]*Umbrales!$D$34,),)</f>
        <v>0</v>
      </c>
    </row>
    <row r="148" spans="1:56">
      <c r="A148" s="101" t="str">
        <f>IFERROR(_xlfn.CONCAT(IF(tblPiNAnalysis[[#This Row],[Grupo]]="", "",tblPiNAnalysis[[#This Row],[Grupo]] ),  _xlfn.IFS(tblPiNAnalysis[[#This Row],[Admin2PCODE]]&lt;&gt;"", tblPiNAnalysis[[#This Row],[Admin2PCODE]], tblPiNAnalysis[[#This Row],[Admin1PCODE]]&lt;&gt;"", tblPiNAnalysis[[#This Row],[Admin1PCODE]])),"")</f>
        <v>VenezolanosVE1422</v>
      </c>
      <c r="B148" s="105" t="s">
        <v>411</v>
      </c>
      <c r="C148" s="104" t="s">
        <v>412</v>
      </c>
      <c r="D148" s="119" t="s">
        <v>451</v>
      </c>
      <c r="E148" s="104" t="s">
        <v>452</v>
      </c>
      <c r="F148" s="358"/>
      <c r="G148" s="357">
        <v>34796</v>
      </c>
      <c r="H148" s="103" t="s">
        <v>102</v>
      </c>
      <c r="I148" s="60">
        <v>5881</v>
      </c>
      <c r="J148" s="134">
        <v>1184.7913139759037</v>
      </c>
      <c r="K148" s="57">
        <v>13300</v>
      </c>
      <c r="L148" s="87">
        <v>2484.0380892054091</v>
      </c>
      <c r="M148" s="87">
        <v>3492.2506268212801</v>
      </c>
      <c r="N148" s="57">
        <v>2348.73</v>
      </c>
      <c r="O148" s="57">
        <v>1121.0124512096309</v>
      </c>
      <c r="P148" s="57">
        <v>1222.2877193874479</v>
      </c>
      <c r="Q148" s="88">
        <f>IFERROR(IF(tblPiNAnalysis[[#This Row],[SAMV]]="", "", MROUND(tblPiNAnalysis[[#This Row],[SAMV]]/tblPiNAnalysis[[#This Row],[Población]], 0.05)), "")</f>
        <v>0.15000000000000002</v>
      </c>
      <c r="R148" s="89">
        <f>IFERROR(IF(tblPiNAnalysis[[#This Row],[NUT]]="", "", MROUND(tblPiNAnalysis[[#This Row],[NUT]]/tblPiNAnalysis[[#This Row],[Población]], 0.05)), "")</f>
        <v>0.05</v>
      </c>
      <c r="S148" s="89">
        <f>IFERROR(IF(tblPiNAnalysis[[#This Row],[SAL]]="", "", MROUND(tblPiNAnalysis[[#This Row],[SAL]]/tblPiNAnalysis[[#This Row],[Población]], 0.05)), "")</f>
        <v>0.4</v>
      </c>
      <c r="T148" s="89">
        <f>IFERROR(IF(tblPiNAnalysis[[#This Row],[EDU]]="", "", MROUND(tblPiNAnalysis[[#This Row],[EDU]]/tblPiNAnalysis[[#This Row],[Población]], 0.05)), "")</f>
        <v>0.05</v>
      </c>
      <c r="U148" s="89">
        <f>IFERROR(IF(tblPiNAnalysis[[#This Row],[PRO]]="", "", MROUND(tblPiNAnalysis[[#This Row],[PRO]]/tblPiNAnalysis[[#This Row],[Población]], 0.05)), "")</f>
        <v>0.1</v>
      </c>
      <c r="V148" s="90">
        <f>IFERROR(IF(tblPiNAnalysis[[#This Row],[ASH]]="", "", MROUND(tblPiNAnalysis[[#This Row],[ASH]]/tblPiNAnalysis[[#This Row],[Población]], 0.05)), "")</f>
        <v>0.05</v>
      </c>
      <c r="W148" s="89">
        <f>IFERROR(MROUND(tblPiNAnalysis[[#This Row],[NNA]]/tblPiNAnalysis[[#This Row],[Población]], 0.05), "")</f>
        <v>0.05</v>
      </c>
      <c r="X148" s="89">
        <f>IFERROR(MROUND(tblPiNAnalysis[[#This Row],[VBG]]/tblPiNAnalysis[[#This Row],[Población]], 0.05), "")</f>
        <v>0.05</v>
      </c>
      <c r="Y148" s="91">
        <f>IFERROR(LARGE(tblPiNAnalysis[[#This Row],[SAMV]:[ASH]], 1), "")</f>
        <v>13300</v>
      </c>
      <c r="Z148" s="92" t="str" cm="1">
        <f t="array" ref="Z148">IF(tblPiNAnalysis[[#This Row],[PiN más alto]]="", "", _xlfn.TEXTJOIN(CHAR(10), TRUE, IF(tblPiNAnalysis[[#This Row],[PiN más alto]]=tblPiNAnalysis[[#This Row],[SAMV]:[ASH]], tblPiNAnalysis[[#Headers],[SAMV]:[ASH]], "")))</f>
        <v>SAL</v>
      </c>
      <c r="AA148" s="93">
        <f>IF(tblPiNAnalysis[[#This Row],[PiN más alto]]="", "", tblPiNAnalysis[[#This Row],[PiN más alto]]/tblPiNAnalysis[[#This Row],[Población]])</f>
        <v>0.38222784228072193</v>
      </c>
      <c r="AB148" s="94" t="str">
        <f>IF(SUM(tblPiNAnalysis[[#This Row],[SAMV]:[ASH]])=0, "",IF(COUNTIF(tblPiNAnalysis[[#This Row],[SAMV]:[ASH]],"=0")+COUNTIF(tblPiNAnalysis[[#This Row],[SAMV]:[ASH]],"")&gt;=zero_pin_thresh, "Flagged", ""))</f>
        <v/>
      </c>
      <c r="AC148" s="95" t="str">
        <f>IFERROR(IF(tblPiNAnalysis[[#This Row],[PiN más alto]]="", "", IF(tblPiNAnalysis[[#This Row],[% PiN Sectores más altos]]&gt;=flag_pin_perc, "Flagged", "")), "")</f>
        <v/>
      </c>
      <c r="AD148" s="96" t="str" cm="1">
        <f t="array" ref="AD148">IF(tblPiNAnalysis[[#This Row],[PiN más alto]]=0, "",  IF(OR(COUNTIF(tblPiNAnalysis[[#This Row],[Sectores más altos]],tblSubSectorPopulation[Sector])), "Flagged", ""))</f>
        <v/>
      </c>
      <c r="AE148" s="16" cm="1">
        <f t="array" ref="AE14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5881</v>
      </c>
      <c r="AF148" s="97" t="str" cm="1">
        <f t="array" ref="AF148">IF(tblPiNAnalysis[[#This Row],[2º PiN más alto]]="", "", _xlfn.TEXTJOIN(CHAR(10), TRUE, IF(tblPiNAnalysis[[#This Row],[2º PiN más alto]]=tblPiNAnalysis[[#This Row],[SAMV]:[ASH]], tblPiNAnalysis[[#Headers],[SAMV]:[ASH]], "")))</f>
        <v>SAMV</v>
      </c>
      <c r="AG148" s="12">
        <f>IFERROR(tblPiNAnalysis[[#This Row],[2º PiN más alto]]/tblPiNAnalysis[[#This Row],[Población]], "")</f>
        <v>0.16901367973330267</v>
      </c>
      <c r="AH148" s="16">
        <f>IFERROR(tblPiNAnalysis[[#This Row],[PiN más alto]]-tblPiNAnalysis[[#This Row],[2º PiN más alto]], "")</f>
        <v>7419</v>
      </c>
      <c r="AI148" s="14">
        <f>IFERROR(((tblPiNAnalysis[[#This Row],[PiN más alto]]-tblPiNAnalysis[[#This Row],[2º PiN más alto]])/tblPiNAnalysis[[#This Row],[2º PiN más alto]]),"")</f>
        <v>1.2615201496344159</v>
      </c>
      <c r="AJ148" s="14" t="str" cm="1">
        <f t="array" ref="AJ14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48" s="98" cm="1">
        <f t="array" ref="AK14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3492.2506268212801</v>
      </c>
      <c r="AL148" s="53" t="str" cm="1">
        <f t="array" ref="AL148">IF(tblPiNAnalysis[[#This Row],[3º PiN más alto]]="", "", _xlfn.TEXTJOIN(CHAR(10), TRUE, IF(tblPiNAnalysis[[#This Row],[3º PiN más alto]]=tblPiNAnalysis[[#This Row],[SAMV]:[ASH]], tblPiNAnalysis[[#Headers],[SAMV]:[ASH]], "")))</f>
        <v>PRO</v>
      </c>
      <c r="AM148" s="53">
        <f>IFERROR(tblPiNAnalysis[[#This Row],[3º PiN más alto]]/tblPiNAnalysis[[#This Row],[Población]], "")</f>
        <v>0.10036356554837568</v>
      </c>
      <c r="AN148" s="15">
        <f>IFERROR(tblPiNAnalysis[[#This Row],[PiN más alto]]-tblPiNAnalysis[[#This Row],[3º PiN más alto]],"")</f>
        <v>9807.7493731787199</v>
      </c>
      <c r="AO148" s="14">
        <f>IFERROR(tblPiNAnalysis[[#This Row],[Diferencia de PiN entre el más alto y el 3º más alto]]/tblPiNAnalysis[[#This Row],[3º PiN más alto]], "")</f>
        <v>2.8084322751216568</v>
      </c>
      <c r="AP148" s="96" t="str" cm="1">
        <f t="array" ref="AP14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48" s="84" cm="1">
        <f t="array" ref="AQ148">IFERROR(IF(tblPiNAnalysis[[#This Row],[ID]]="", "", INDEX(tblPiNHistorical[[SAMV]:[ASH]], MATCH(tblPiNAnalysis[[#This Row],[ID]],tblPiNHistorical[ID], 0),MATCH(_xlfn._xlws.FILTER(tblPiNAnalysis[[#Headers],[SAMV]:[ASH]], tblPiNAnalysis[[#This Row],[PiN más alto]]=tblPiNAnalysis[[#This Row],[SAMV]:[ASH]]), tblPiNHistorical[[#Headers],[SAMV]:[ASH]], 0))), "")</f>
        <v>0.1</v>
      </c>
      <c r="AR148" s="99" t="str" cm="1">
        <f t="array" ref="AR14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48" s="74" cm="1">
        <f t="array" ref="AS148">IFERROR(IF(tblPiNAnalysis[[#This Row],[ID]]="", "", INDEX(tblPiNHistorical[[SAMV]:[ASH]], MATCH(tblPiNAnalysis[[#This Row],[ID]],tblPiNHistorical[ID], 0),MATCH(_xlfn._xlws.FILTER(tblPiNAnalysis[[#Headers],[SAMV]:[ASH]], tblPiNAnalysis[[#This Row],[2º PiN más alto]]=tblPiNAnalysis[[#This Row],[SAMV]:[ASH]]), tblPiNHistorical[[#Headers],[SAMV]:[ASH]], 0))), "")</f>
        <v>-0.6</v>
      </c>
      <c r="AT148" s="100" t="str" cm="1">
        <f t="array" ref="AT14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48" s="219">
        <f>INDEX(tblSeverityAnalysis[Severidad final], MATCH(tblPiNAnalysis[[#This Row],[ID]],tblSeverityAnalysis[ID], 0))</f>
        <v>3</v>
      </c>
      <c r="AV148" s="220">
        <f>IF(tblPiNAnalysis[[#This Row],[Severidad]]&gt;2,tblPiNAnalysis[[#This Row],[PiN más alto]],)</f>
        <v>13300</v>
      </c>
      <c r="AW148" s="54"/>
      <c r="AX148" s="55"/>
      <c r="AY148" s="56">
        <f>COUNTIFS(tblPiNAnalysis[[#This Row],[Número de PiN ausentes/cero superior al umbral - Calidad de los datos]:[Marcador manual]],"Flagged")</f>
        <v>2</v>
      </c>
      <c r="AZ148" s="34" t="str">
        <f>IF(tblPiNAnalysis[[#This Row],[Número de marcadores]]&gt;0, "Flagged", "")</f>
        <v>Flagged</v>
      </c>
      <c r="BA148" s="92">
        <f>tblPiNAnalysis[[#This Row],[PiN preliminar]]</f>
        <v>13300</v>
      </c>
      <c r="BB148" s="97"/>
      <c r="BC148" s="70">
        <f>IFERROR(IF(tblPiNAnalysis[[#This Row],[Severidad]]=3,tblPiNAnalysis[[#This Row],[PiN final]]*Umbrales!$D$33,tblPiNAnalysis[[#This Row],[PiN final]]*Umbrales!$D$34),)</f>
        <v>6650</v>
      </c>
      <c r="BD148" s="70">
        <f>IFERROR(IF(tblPiNAnalysis[[#This Row],[Severidad]]&gt;3,tblPiNAnalysis[[#This Row],[PiN final]]*Umbrales!$D$34,),)</f>
        <v>0</v>
      </c>
    </row>
    <row r="149" spans="1:56">
      <c r="A149" s="101" t="str">
        <f>IFERROR(_xlfn.CONCAT(IF(tblPiNAnalysis[[#This Row],[Grupo]]="", "",tblPiNAnalysis[[#This Row],[Grupo]] ),  _xlfn.IFS(tblPiNAnalysis[[#This Row],[Admin2PCODE]]&lt;&gt;"", tblPiNAnalysis[[#This Row],[Admin2PCODE]], tblPiNAnalysis[[#This Row],[Admin1PCODE]]&lt;&gt;"", tblPiNAnalysis[[#This Row],[Admin1PCODE]])),"")</f>
        <v>VenezolanosVE1605</v>
      </c>
      <c r="B149" s="105" t="s">
        <v>491</v>
      </c>
      <c r="C149" s="104" t="s">
        <v>492</v>
      </c>
      <c r="D149" s="119" t="s">
        <v>242</v>
      </c>
      <c r="E149" s="104" t="s">
        <v>499</v>
      </c>
      <c r="F149" s="358"/>
      <c r="G149" s="357">
        <v>35245</v>
      </c>
      <c r="H149" s="103" t="s">
        <v>102</v>
      </c>
      <c r="I149" s="60">
        <v>11748</v>
      </c>
      <c r="J149" s="134">
        <v>1863.5224573282942</v>
      </c>
      <c r="K149" s="57">
        <v>12864.424999999999</v>
      </c>
      <c r="L149" s="87">
        <v>1309.4217816871515</v>
      </c>
      <c r="M149" s="87">
        <v>8445.5399153843882</v>
      </c>
      <c r="N149" s="57">
        <v>4758.0749999999998</v>
      </c>
      <c r="O149" s="57">
        <v>2702.5727729230043</v>
      </c>
      <c r="P149" s="57">
        <v>2955.9389703845359</v>
      </c>
      <c r="Q149" s="88">
        <f>IFERROR(IF(tblPiNAnalysis[[#This Row],[SAMV]]="", "", MROUND(tblPiNAnalysis[[#This Row],[SAMV]]/tblPiNAnalysis[[#This Row],[Población]], 0.05)), "")</f>
        <v>0.35000000000000003</v>
      </c>
      <c r="R149" s="89">
        <f>IFERROR(IF(tblPiNAnalysis[[#This Row],[NUT]]="", "", MROUND(tblPiNAnalysis[[#This Row],[NUT]]/tblPiNAnalysis[[#This Row],[Población]], 0.05)), "")</f>
        <v>0.05</v>
      </c>
      <c r="S149" s="89">
        <f>IFERROR(IF(tblPiNAnalysis[[#This Row],[SAL]]="", "", MROUND(tblPiNAnalysis[[#This Row],[SAL]]/tblPiNAnalysis[[#This Row],[Población]], 0.05)), "")</f>
        <v>0.35000000000000003</v>
      </c>
      <c r="T149" s="89">
        <f>IFERROR(IF(tblPiNAnalysis[[#This Row],[EDU]]="", "", MROUND(tblPiNAnalysis[[#This Row],[EDU]]/tblPiNAnalysis[[#This Row],[Población]], 0.05)), "")</f>
        <v>0.05</v>
      </c>
      <c r="U149" s="89">
        <f>IFERROR(IF(tblPiNAnalysis[[#This Row],[PRO]]="", "", MROUND(tblPiNAnalysis[[#This Row],[PRO]]/tblPiNAnalysis[[#This Row],[Población]], 0.05)), "")</f>
        <v>0.25</v>
      </c>
      <c r="V149" s="90">
        <f>IFERROR(IF(tblPiNAnalysis[[#This Row],[ASH]]="", "", MROUND(tblPiNAnalysis[[#This Row],[ASH]]/tblPiNAnalysis[[#This Row],[Población]], 0.05)), "")</f>
        <v>0.15000000000000002</v>
      </c>
      <c r="W149" s="89">
        <f>IFERROR(MROUND(tblPiNAnalysis[[#This Row],[NNA]]/tblPiNAnalysis[[#This Row],[Población]], 0.05), "")</f>
        <v>0.1</v>
      </c>
      <c r="X149" s="89">
        <f>IFERROR(MROUND(tblPiNAnalysis[[#This Row],[VBG]]/tblPiNAnalysis[[#This Row],[Población]], 0.05), "")</f>
        <v>0.1</v>
      </c>
      <c r="Y149" s="91">
        <f>IFERROR(LARGE(tblPiNAnalysis[[#This Row],[SAMV]:[ASH]], 1), "")</f>
        <v>12864.424999999999</v>
      </c>
      <c r="Z149" s="92" t="str" cm="1">
        <f t="array" ref="Z149">IF(tblPiNAnalysis[[#This Row],[PiN más alto]]="", "", _xlfn.TEXTJOIN(CHAR(10), TRUE, IF(tblPiNAnalysis[[#This Row],[PiN más alto]]=tblPiNAnalysis[[#This Row],[SAMV]:[ASH]], tblPiNAnalysis[[#Headers],[SAMV]:[ASH]], "")))</f>
        <v>SAL</v>
      </c>
      <c r="AA149" s="93">
        <f>IF(tblPiNAnalysis[[#This Row],[PiN más alto]]="", "", tblPiNAnalysis[[#This Row],[PiN más alto]]/tblPiNAnalysis[[#This Row],[Población]])</f>
        <v>0.36499999999999999</v>
      </c>
      <c r="AB149" s="94" t="str">
        <f>IF(SUM(tblPiNAnalysis[[#This Row],[SAMV]:[ASH]])=0, "",IF(COUNTIF(tblPiNAnalysis[[#This Row],[SAMV]:[ASH]],"=0")+COUNTIF(tblPiNAnalysis[[#This Row],[SAMV]:[ASH]],"")&gt;=zero_pin_thresh, "Flagged", ""))</f>
        <v/>
      </c>
      <c r="AC149" s="95" t="str">
        <f>IFERROR(IF(tblPiNAnalysis[[#This Row],[PiN más alto]]="", "", IF(tblPiNAnalysis[[#This Row],[% PiN Sectores más altos]]&gt;=flag_pin_perc, "Flagged", "")), "")</f>
        <v/>
      </c>
      <c r="AD149" s="96" t="str" cm="1">
        <f t="array" ref="AD149">IF(tblPiNAnalysis[[#This Row],[PiN más alto]]=0, "",  IF(OR(COUNTIF(tblPiNAnalysis[[#This Row],[Sectores más altos]],tblSubSectorPopulation[Sector])), "Flagged", ""))</f>
        <v/>
      </c>
      <c r="AE149" s="16" cm="1">
        <f t="array" ref="AE14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11748</v>
      </c>
      <c r="AF149" s="97" t="str" cm="1">
        <f t="array" ref="AF149">IF(tblPiNAnalysis[[#This Row],[2º PiN más alto]]="", "", _xlfn.TEXTJOIN(CHAR(10), TRUE, IF(tblPiNAnalysis[[#This Row],[2º PiN más alto]]=tblPiNAnalysis[[#This Row],[SAMV]:[ASH]], tblPiNAnalysis[[#Headers],[SAMV]:[ASH]], "")))</f>
        <v>SAMV</v>
      </c>
      <c r="AG149" s="12">
        <f>IFERROR(tblPiNAnalysis[[#This Row],[2º PiN más alto]]/tblPiNAnalysis[[#This Row],[Población]], "")</f>
        <v>0.33332387572705346</v>
      </c>
      <c r="AH149" s="16">
        <f>IFERROR(tblPiNAnalysis[[#This Row],[PiN más alto]]-tblPiNAnalysis[[#This Row],[2º PiN más alto]], "")</f>
        <v>1116.4249999999993</v>
      </c>
      <c r="AI149" s="14">
        <f>IFERROR(((tblPiNAnalysis[[#This Row],[PiN más alto]]-tblPiNAnalysis[[#This Row],[2º PiN más alto]])/tblPiNAnalysis[[#This Row],[2º PiN más alto]]),"")</f>
        <v>9.503106911814771E-2</v>
      </c>
      <c r="AJ149" s="14" t="str" cm="1">
        <f t="array" ref="AJ14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49" s="98" cm="1">
        <f t="array" ref="AK14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8445.5399153843882</v>
      </c>
      <c r="AL149" s="53" t="str" cm="1">
        <f t="array" ref="AL149">IF(tblPiNAnalysis[[#This Row],[3º PiN más alto]]="", "", _xlfn.TEXTJOIN(CHAR(10), TRUE, IF(tblPiNAnalysis[[#This Row],[3º PiN más alto]]=tblPiNAnalysis[[#This Row],[SAMV]:[ASH]], tblPiNAnalysis[[#Headers],[SAMV]:[ASH]], "")))</f>
        <v>PRO</v>
      </c>
      <c r="AM149" s="53">
        <f>IFERROR(tblPiNAnalysis[[#This Row],[3º PiN más alto]]/tblPiNAnalysis[[#This Row],[Población]], "")</f>
        <v>0.23962377402140411</v>
      </c>
      <c r="AN149" s="15">
        <f>IFERROR(tblPiNAnalysis[[#This Row],[PiN más alto]]-tblPiNAnalysis[[#This Row],[3º PiN más alto]],"")</f>
        <v>4418.885084615611</v>
      </c>
      <c r="AO149" s="14">
        <f>IFERROR(tblPiNAnalysis[[#This Row],[Diferencia de PiN entre el más alto y el 3º más alto]]/tblPiNAnalysis[[#This Row],[3º PiN más alto]], "")</f>
        <v>0.52322114736160019</v>
      </c>
      <c r="AP149" s="96" t="str" cm="1">
        <f t="array" ref="AP14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49" s="84" cm="1">
        <f t="array" ref="AQ149">IFERROR(IF(tblPiNAnalysis[[#This Row],[ID]]="", "", INDEX(tblPiNHistorical[[SAMV]:[ASH]], MATCH(tblPiNAnalysis[[#This Row],[ID]],tblPiNHistorical[ID], 0),MATCH(_xlfn._xlws.FILTER(tblPiNAnalysis[[#Headers],[SAMV]:[ASH]], tblPiNAnalysis[[#This Row],[PiN más alto]]=tblPiNAnalysis[[#This Row],[SAMV]:[ASH]]), tblPiNHistorical[[#Headers],[SAMV]:[ASH]], 0))), "")</f>
        <v>-0.2</v>
      </c>
      <c r="AR149" s="99" t="str" cm="1">
        <f t="array" ref="AR14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49" s="74" cm="1">
        <f t="array" ref="AS149">IFERROR(IF(tblPiNAnalysis[[#This Row],[ID]]="", "", INDEX(tblPiNHistorical[[SAMV]:[ASH]], MATCH(tblPiNAnalysis[[#This Row],[ID]],tblPiNHistorical[ID], 0),MATCH(_xlfn._xlws.FILTER(tblPiNAnalysis[[#Headers],[SAMV]:[ASH]], tblPiNAnalysis[[#This Row],[2º PiN más alto]]=tblPiNAnalysis[[#This Row],[SAMV]:[ASH]]), tblPiNHistorical[[#Headers],[SAMV]:[ASH]], 0))), "")</f>
        <v>-0.2</v>
      </c>
      <c r="AT149" s="100" t="str" cm="1">
        <f t="array" ref="AT14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49" s="219">
        <f>INDEX(tblSeverityAnalysis[Severidad final], MATCH(tblPiNAnalysis[[#This Row],[ID]],tblSeverityAnalysis[ID], 0))</f>
        <v>3</v>
      </c>
      <c r="AV149" s="220">
        <f>IF(tblPiNAnalysis[[#This Row],[Severidad]]&gt;2,tblPiNAnalysis[[#This Row],[PiN más alto]],)</f>
        <v>12864.424999999999</v>
      </c>
      <c r="AW149" s="54"/>
      <c r="AX149" s="55"/>
      <c r="AY149" s="56">
        <f>COUNTIFS(tblPiNAnalysis[[#This Row],[Número de PiN ausentes/cero superior al umbral - Calidad de los datos]:[Marcador manual]],"Flagged")</f>
        <v>1</v>
      </c>
      <c r="AZ149" s="34" t="str">
        <f>IF(tblPiNAnalysis[[#This Row],[Número de marcadores]]&gt;0, "Flagged", "")</f>
        <v>Flagged</v>
      </c>
      <c r="BA149" s="92">
        <f>tblPiNAnalysis[[#This Row],[PiN preliminar]]</f>
        <v>12864.424999999999</v>
      </c>
      <c r="BB149" s="97"/>
      <c r="BC149" s="70">
        <f>IFERROR(IF(tblPiNAnalysis[[#This Row],[Severidad]]=3,tblPiNAnalysis[[#This Row],[PiN final]]*Umbrales!$D$33,tblPiNAnalysis[[#This Row],[PiN final]]*Umbrales!$D$34),)</f>
        <v>6432.2124999999996</v>
      </c>
      <c r="BD149" s="70">
        <f>IFERROR(IF(tblPiNAnalysis[[#This Row],[Severidad]]&gt;3,tblPiNAnalysis[[#This Row],[PiN final]]*Umbrales!$D$34,),)</f>
        <v>0</v>
      </c>
    </row>
    <row r="150" spans="1:56">
      <c r="A150" s="101" t="str">
        <f>IFERROR(_xlfn.CONCAT(IF(tblPiNAnalysis[[#This Row],[Grupo]]="", "",tblPiNAnalysis[[#This Row],[Grupo]] ),  _xlfn.IFS(tblPiNAnalysis[[#This Row],[Admin2PCODE]]&lt;&gt;"", tblPiNAnalysis[[#This Row],[Admin2PCODE]], tblPiNAnalysis[[#This Row],[Admin1PCODE]]&lt;&gt;"", tblPiNAnalysis[[#This Row],[Admin1PCODE]])),"")</f>
        <v>VenezolanosVE1505</v>
      </c>
      <c r="B150" s="105" t="s">
        <v>276</v>
      </c>
      <c r="C150" s="104" t="s">
        <v>455</v>
      </c>
      <c r="D150" s="119" t="s">
        <v>463</v>
      </c>
      <c r="E150" s="104" t="s">
        <v>464</v>
      </c>
      <c r="F150" s="358"/>
      <c r="G150" s="357">
        <v>28135</v>
      </c>
      <c r="H150" s="103" t="s">
        <v>102</v>
      </c>
      <c r="I150" s="60">
        <v>5158</v>
      </c>
      <c r="J150" s="134">
        <v>1432.7110070311301</v>
      </c>
      <c r="K150" s="57">
        <v>11900</v>
      </c>
      <c r="L150" s="87">
        <v>1771.5963990566322</v>
      </c>
      <c r="M150" s="87">
        <v>6730.7238706762373</v>
      </c>
      <c r="N150" s="57">
        <v>12660.75</v>
      </c>
      <c r="O150" s="57">
        <v>2153.831638616396</v>
      </c>
      <c r="P150" s="57">
        <v>2355.7533547366834</v>
      </c>
      <c r="Q150" s="88">
        <f>IFERROR(IF(tblPiNAnalysis[[#This Row],[SAMV]]="", "", MROUND(tblPiNAnalysis[[#This Row],[SAMV]]/tblPiNAnalysis[[#This Row],[Población]], 0.05)), "")</f>
        <v>0.2</v>
      </c>
      <c r="R150" s="89">
        <f>IFERROR(IF(tblPiNAnalysis[[#This Row],[NUT]]="", "", MROUND(tblPiNAnalysis[[#This Row],[NUT]]/tblPiNAnalysis[[#This Row],[Población]], 0.05)), "")</f>
        <v>0.05</v>
      </c>
      <c r="S150" s="89">
        <f>IFERROR(IF(tblPiNAnalysis[[#This Row],[SAL]]="", "", MROUND(tblPiNAnalysis[[#This Row],[SAL]]/tblPiNAnalysis[[#This Row],[Población]], 0.05)), "")</f>
        <v>0.4</v>
      </c>
      <c r="T150" s="89">
        <f>IFERROR(IF(tblPiNAnalysis[[#This Row],[EDU]]="", "", MROUND(tblPiNAnalysis[[#This Row],[EDU]]/tblPiNAnalysis[[#This Row],[Población]], 0.05)), "")</f>
        <v>0.05</v>
      </c>
      <c r="U150" s="89">
        <f>IFERROR(IF(tblPiNAnalysis[[#This Row],[PRO]]="", "", MROUND(tblPiNAnalysis[[#This Row],[PRO]]/tblPiNAnalysis[[#This Row],[Población]], 0.05)), "")</f>
        <v>0.25</v>
      </c>
      <c r="V150" s="90">
        <f>IFERROR(IF(tblPiNAnalysis[[#This Row],[ASH]]="", "", MROUND(tblPiNAnalysis[[#This Row],[ASH]]/tblPiNAnalysis[[#This Row],[Población]], 0.05)), "")</f>
        <v>0.45</v>
      </c>
      <c r="W150" s="89">
        <f>IFERROR(MROUND(tblPiNAnalysis[[#This Row],[NNA]]/tblPiNAnalysis[[#This Row],[Población]], 0.05), "")</f>
        <v>0.1</v>
      </c>
      <c r="X150" s="89">
        <f>IFERROR(MROUND(tblPiNAnalysis[[#This Row],[VBG]]/tblPiNAnalysis[[#This Row],[Población]], 0.05), "")</f>
        <v>0.1</v>
      </c>
      <c r="Y150" s="91">
        <f>IFERROR(LARGE(tblPiNAnalysis[[#This Row],[SAMV]:[ASH]], 1), "")</f>
        <v>12660.75</v>
      </c>
      <c r="Z150" s="92" t="str" cm="1">
        <f t="array" ref="Z150">IF(tblPiNAnalysis[[#This Row],[PiN más alto]]="", "", _xlfn.TEXTJOIN(CHAR(10), TRUE, IF(tblPiNAnalysis[[#This Row],[PiN más alto]]=tblPiNAnalysis[[#This Row],[SAMV]:[ASH]], tblPiNAnalysis[[#Headers],[SAMV]:[ASH]], "")))</f>
        <v>ASH</v>
      </c>
      <c r="AA150" s="93">
        <f>IF(tblPiNAnalysis[[#This Row],[PiN más alto]]="", "", tblPiNAnalysis[[#This Row],[PiN más alto]]/tblPiNAnalysis[[#This Row],[Población]])</f>
        <v>0.45</v>
      </c>
      <c r="AB150" s="94" t="str">
        <f>IF(SUM(tblPiNAnalysis[[#This Row],[SAMV]:[ASH]])=0, "",IF(COUNTIF(tblPiNAnalysis[[#This Row],[SAMV]:[ASH]],"=0")+COUNTIF(tblPiNAnalysis[[#This Row],[SAMV]:[ASH]],"")&gt;=zero_pin_thresh, "Flagged", ""))</f>
        <v/>
      </c>
      <c r="AC150" s="95" t="str">
        <f>IFERROR(IF(tblPiNAnalysis[[#This Row],[PiN más alto]]="", "", IF(tblPiNAnalysis[[#This Row],[% PiN Sectores más altos]]&gt;=flag_pin_perc, "Flagged", "")), "")</f>
        <v/>
      </c>
      <c r="AD150" s="96" t="str" cm="1">
        <f t="array" ref="AD150">IF(tblPiNAnalysis[[#This Row],[PiN más alto]]=0, "",  IF(OR(COUNTIF(tblPiNAnalysis[[#This Row],[Sectores más altos]],tblSubSectorPopulation[Sector])), "Flagged", ""))</f>
        <v/>
      </c>
      <c r="AE150" s="16" cm="1">
        <f t="array" ref="AE15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11900</v>
      </c>
      <c r="AF150" s="97" t="str" cm="1">
        <f t="array" ref="AF150">IF(tblPiNAnalysis[[#This Row],[2º PiN más alto]]="", "", _xlfn.TEXTJOIN(CHAR(10), TRUE, IF(tblPiNAnalysis[[#This Row],[2º PiN más alto]]=tblPiNAnalysis[[#This Row],[SAMV]:[ASH]], tblPiNAnalysis[[#Headers],[SAMV]:[ASH]], "")))</f>
        <v>SAL</v>
      </c>
      <c r="AG150" s="12">
        <f>IFERROR(tblPiNAnalysis[[#This Row],[2º PiN más alto]]/tblPiNAnalysis[[#This Row],[Población]], "")</f>
        <v>0.42296072507552868</v>
      </c>
      <c r="AH150" s="16">
        <f>IFERROR(tblPiNAnalysis[[#This Row],[PiN más alto]]-tblPiNAnalysis[[#This Row],[2º PiN más alto]], "")</f>
        <v>760.75</v>
      </c>
      <c r="AI150" s="14">
        <f>IFERROR(((tblPiNAnalysis[[#This Row],[PiN más alto]]-tblPiNAnalysis[[#This Row],[2º PiN más alto]])/tblPiNAnalysis[[#This Row],[2º PiN más alto]]),"")</f>
        <v>6.3928571428571432E-2</v>
      </c>
      <c r="AJ150" s="14" t="str" cm="1">
        <f t="array" ref="AJ15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50" s="98" cm="1">
        <f t="array" ref="AK15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6730.7238706762373</v>
      </c>
      <c r="AL150" s="53" t="str" cm="1">
        <f t="array" ref="AL150">IF(tblPiNAnalysis[[#This Row],[3º PiN más alto]]="", "", _xlfn.TEXTJOIN(CHAR(10), TRUE, IF(tblPiNAnalysis[[#This Row],[3º PiN más alto]]=tblPiNAnalysis[[#This Row],[SAMV]:[ASH]], tblPiNAnalysis[[#Headers],[SAMV]:[ASH]], "")))</f>
        <v>PRO</v>
      </c>
      <c r="AM150" s="53">
        <f>IFERROR(tblPiNAnalysis[[#This Row],[3º PiN más alto]]/tblPiNAnalysis[[#This Row],[Población]], "")</f>
        <v>0.23922956711129331</v>
      </c>
      <c r="AN150" s="15">
        <f>IFERROR(tblPiNAnalysis[[#This Row],[PiN más alto]]-tblPiNAnalysis[[#This Row],[3º PiN más alto]],"")</f>
        <v>5930.0261293237627</v>
      </c>
      <c r="AO150" s="14">
        <f>IFERROR(tblPiNAnalysis[[#This Row],[Diferencia de PiN entre el más alto y el 3º más alto]]/tblPiNAnalysis[[#This Row],[3º PiN más alto]], "")</f>
        <v>0.88103839100562775</v>
      </c>
      <c r="AP150" s="96" t="str" cm="1">
        <f t="array" ref="AP15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50" s="84" cm="1">
        <f t="array" ref="AQ150">IFERROR(IF(tblPiNAnalysis[[#This Row],[ID]]="", "", INDEX(tblPiNHistorical[[SAMV]:[ASH]], MATCH(tblPiNAnalysis[[#This Row],[ID]],tblPiNHistorical[ID], 0),MATCH(_xlfn._xlws.FILTER(tblPiNAnalysis[[#Headers],[SAMV]:[ASH]], tblPiNAnalysis[[#This Row],[PiN más alto]]=tblPiNAnalysis[[#This Row],[SAMV]:[ASH]]), tblPiNHistorical[[#Headers],[SAMV]:[ASH]], 0))), "")</f>
        <v>0.4</v>
      </c>
      <c r="AR150" s="99" t="str" cm="1">
        <f t="array" ref="AR15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50" s="74" cm="1">
        <f t="array" ref="AS150">IFERROR(IF(tblPiNAnalysis[[#This Row],[ID]]="", "", INDEX(tblPiNHistorical[[SAMV]:[ASH]], MATCH(tblPiNAnalysis[[#This Row],[ID]],tblPiNHistorical[ID], 0),MATCH(_xlfn._xlws.FILTER(tblPiNAnalysis[[#Headers],[SAMV]:[ASH]], tblPiNAnalysis[[#This Row],[2º PiN más alto]]=tblPiNAnalysis[[#This Row],[SAMV]:[ASH]]), tblPiNHistorical[[#Headers],[SAMV]:[ASH]], 0))), "")</f>
        <v>0.3</v>
      </c>
      <c r="AT150" s="100" t="str" cm="1">
        <f t="array" ref="AT15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50" s="219">
        <f>INDEX(tblSeverityAnalysis[Severidad final], MATCH(tblPiNAnalysis[[#This Row],[ID]],tblSeverityAnalysis[ID], 0))</f>
        <v>3</v>
      </c>
      <c r="AV150" s="220">
        <f>IF(tblPiNAnalysis[[#This Row],[Severidad]]&gt;2,tblPiNAnalysis[[#This Row],[PiN más alto]],)</f>
        <v>12660.75</v>
      </c>
      <c r="AW150" s="54"/>
      <c r="AX150" s="55"/>
      <c r="AY150" s="56">
        <f>COUNTIFS(tblPiNAnalysis[[#This Row],[Número de PiN ausentes/cero superior al umbral - Calidad de los datos]:[Marcador manual]],"Flagged")</f>
        <v>1</v>
      </c>
      <c r="AZ150" s="34" t="str">
        <f>IF(tblPiNAnalysis[[#This Row],[Número de marcadores]]&gt;0, "Flagged", "")</f>
        <v>Flagged</v>
      </c>
      <c r="BA150" s="92">
        <f>tblPiNAnalysis[[#This Row],[PiN preliminar]]</f>
        <v>12660.75</v>
      </c>
      <c r="BB150" s="97"/>
      <c r="BC150" s="70">
        <f>IFERROR(IF(tblPiNAnalysis[[#This Row],[Severidad]]=3,tblPiNAnalysis[[#This Row],[PiN final]]*Umbrales!$D$33,tblPiNAnalysis[[#This Row],[PiN final]]*Umbrales!$D$34),)</f>
        <v>6330.375</v>
      </c>
      <c r="BD150" s="70">
        <f>IFERROR(IF(tblPiNAnalysis[[#This Row],[Severidad]]&gt;3,tblPiNAnalysis[[#This Row],[PiN final]]*Umbrales!$D$34,),)</f>
        <v>0</v>
      </c>
    </row>
    <row r="151" spans="1:56">
      <c r="A151" s="101" t="str">
        <f>IFERROR(_xlfn.CONCAT(IF(tblPiNAnalysis[[#This Row],[Grupo]]="", "",tblPiNAnalysis[[#This Row],[Grupo]] ),  _xlfn.IFS(tblPiNAnalysis[[#This Row],[Admin2PCODE]]&lt;&gt;"", tblPiNAnalysis[[#This Row],[Admin2PCODE]], tblPiNAnalysis[[#This Row],[Admin1PCODE]]&lt;&gt;"", tblPiNAnalysis[[#This Row],[Admin1PCODE]])),"")</f>
        <v>VenezolanosVE1516</v>
      </c>
      <c r="B151" s="105" t="s">
        <v>276</v>
      </c>
      <c r="C151" s="104" t="s">
        <v>455</v>
      </c>
      <c r="D151" s="119" t="s">
        <v>483</v>
      </c>
      <c r="E151" s="104" t="s">
        <v>484</v>
      </c>
      <c r="F151" s="358"/>
      <c r="G151" s="357">
        <v>22331</v>
      </c>
      <c r="H151" s="103" t="s">
        <v>102</v>
      </c>
      <c r="I151" s="60">
        <v>4839</v>
      </c>
      <c r="J151" s="134">
        <v>856.93726003331824</v>
      </c>
      <c r="K151" s="57">
        <v>12600</v>
      </c>
      <c r="L151" s="87">
        <v>2826.2169632002428</v>
      </c>
      <c r="M151" s="87">
        <v>5342.2354631622929</v>
      </c>
      <c r="N151" s="57">
        <v>3014.6849999999999</v>
      </c>
      <c r="O151" s="57">
        <v>1709.5153482119338</v>
      </c>
      <c r="P151" s="57">
        <v>1869.7824121068022</v>
      </c>
      <c r="Q151" s="88">
        <f>IFERROR(IF(tblPiNAnalysis[[#This Row],[SAMV]]="", "", MROUND(tblPiNAnalysis[[#This Row],[SAMV]]/tblPiNAnalysis[[#This Row],[Población]], 0.05)), "")</f>
        <v>0.2</v>
      </c>
      <c r="R151" s="89">
        <f>IFERROR(IF(tblPiNAnalysis[[#This Row],[NUT]]="", "", MROUND(tblPiNAnalysis[[#This Row],[NUT]]/tblPiNAnalysis[[#This Row],[Población]], 0.05)), "")</f>
        <v>0.05</v>
      </c>
      <c r="S151" s="89">
        <f>IFERROR(IF(tblPiNAnalysis[[#This Row],[SAL]]="", "", MROUND(tblPiNAnalysis[[#This Row],[SAL]]/tblPiNAnalysis[[#This Row],[Población]], 0.05)), "")</f>
        <v>0.55000000000000004</v>
      </c>
      <c r="T151" s="89">
        <f>IFERROR(IF(tblPiNAnalysis[[#This Row],[EDU]]="", "", MROUND(tblPiNAnalysis[[#This Row],[EDU]]/tblPiNAnalysis[[#This Row],[Población]], 0.05)), "")</f>
        <v>0.15000000000000002</v>
      </c>
      <c r="U151" s="89">
        <f>IFERROR(IF(tblPiNAnalysis[[#This Row],[PRO]]="", "", MROUND(tblPiNAnalysis[[#This Row],[PRO]]/tblPiNAnalysis[[#This Row],[Población]], 0.05)), "")</f>
        <v>0.25</v>
      </c>
      <c r="V151" s="90">
        <f>IFERROR(IF(tblPiNAnalysis[[#This Row],[ASH]]="", "", MROUND(tblPiNAnalysis[[#This Row],[ASH]]/tblPiNAnalysis[[#This Row],[Población]], 0.05)), "")</f>
        <v>0.15000000000000002</v>
      </c>
      <c r="W151" s="89">
        <f>IFERROR(MROUND(tblPiNAnalysis[[#This Row],[NNA]]/tblPiNAnalysis[[#This Row],[Población]], 0.05), "")</f>
        <v>0.1</v>
      </c>
      <c r="X151" s="89">
        <f>IFERROR(MROUND(tblPiNAnalysis[[#This Row],[VBG]]/tblPiNAnalysis[[#This Row],[Población]], 0.05), "")</f>
        <v>0.1</v>
      </c>
      <c r="Y151" s="91">
        <f>IFERROR(LARGE(tblPiNAnalysis[[#This Row],[SAMV]:[ASH]], 1), "")</f>
        <v>12600</v>
      </c>
      <c r="Z151" s="92" t="str" cm="1">
        <f t="array" ref="Z151">IF(tblPiNAnalysis[[#This Row],[PiN más alto]]="", "", _xlfn.TEXTJOIN(CHAR(10), TRUE, IF(tblPiNAnalysis[[#This Row],[PiN más alto]]=tblPiNAnalysis[[#This Row],[SAMV]:[ASH]], tblPiNAnalysis[[#Headers],[SAMV]:[ASH]], "")))</f>
        <v>SAL</v>
      </c>
      <c r="AA151" s="93">
        <f>IF(tblPiNAnalysis[[#This Row],[PiN más alto]]="", "", tblPiNAnalysis[[#This Row],[PiN más alto]]/tblPiNAnalysis[[#This Row],[Población]])</f>
        <v>0.56423805472213517</v>
      </c>
      <c r="AB151" s="94" t="str">
        <f>IF(SUM(tblPiNAnalysis[[#This Row],[SAMV]:[ASH]])=0, "",IF(COUNTIF(tblPiNAnalysis[[#This Row],[SAMV]:[ASH]],"=0")+COUNTIF(tblPiNAnalysis[[#This Row],[SAMV]:[ASH]],"")&gt;=zero_pin_thresh, "Flagged", ""))</f>
        <v/>
      </c>
      <c r="AC151" s="95" t="str">
        <f>IFERROR(IF(tblPiNAnalysis[[#This Row],[PiN más alto]]="", "", IF(tblPiNAnalysis[[#This Row],[% PiN Sectores más altos]]&gt;=flag_pin_perc, "Flagged", "")), "")</f>
        <v/>
      </c>
      <c r="AD151" s="96" t="str" cm="1">
        <f t="array" ref="AD151">IF(tblPiNAnalysis[[#This Row],[PiN más alto]]=0, "",  IF(OR(COUNTIF(tblPiNAnalysis[[#This Row],[Sectores más altos]],tblSubSectorPopulation[Sector])), "Flagged", ""))</f>
        <v/>
      </c>
      <c r="AE151" s="16" cm="1">
        <f t="array" ref="AE15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5342.2354631622929</v>
      </c>
      <c r="AF151" s="97" t="str" cm="1">
        <f t="array" ref="AF151">IF(tblPiNAnalysis[[#This Row],[2º PiN más alto]]="", "", _xlfn.TEXTJOIN(CHAR(10), TRUE, IF(tblPiNAnalysis[[#This Row],[2º PiN más alto]]=tblPiNAnalysis[[#This Row],[SAMV]:[ASH]], tblPiNAnalysis[[#Headers],[SAMV]:[ASH]], "")))</f>
        <v>PRO</v>
      </c>
      <c r="AG151" s="12">
        <f>IFERROR(tblPiNAnalysis[[#This Row],[2º PiN más alto]]/tblPiNAnalysis[[#This Row],[Población]], "")</f>
        <v>0.2392295671112934</v>
      </c>
      <c r="AH151" s="16">
        <f>IFERROR(tblPiNAnalysis[[#This Row],[PiN más alto]]-tblPiNAnalysis[[#This Row],[2º PiN más alto]], "")</f>
        <v>7257.7645368377071</v>
      </c>
      <c r="AI151" s="14">
        <f>IFERROR(((tblPiNAnalysis[[#This Row],[PiN más alto]]-tblPiNAnalysis[[#This Row],[2º PiN más alto]])/tblPiNAnalysis[[#This Row],[2º PiN más alto]]),"")</f>
        <v>1.3585632057748223</v>
      </c>
      <c r="AJ151" s="14" t="str" cm="1">
        <f t="array" ref="AJ15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51" s="98" cm="1">
        <f t="array" ref="AK15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4839</v>
      </c>
      <c r="AL151" s="53" t="str" cm="1">
        <f t="array" ref="AL151">IF(tblPiNAnalysis[[#This Row],[3º PiN más alto]]="", "", _xlfn.TEXTJOIN(CHAR(10), TRUE, IF(tblPiNAnalysis[[#This Row],[3º PiN más alto]]=tblPiNAnalysis[[#This Row],[SAMV]:[ASH]], tblPiNAnalysis[[#Headers],[SAMV]:[ASH]], "")))</f>
        <v>SAMV</v>
      </c>
      <c r="AM151" s="53">
        <f>IFERROR(tblPiNAnalysis[[#This Row],[3º PiN más alto]]/tblPiNAnalysis[[#This Row],[Población]], "")</f>
        <v>0.21669428149209619</v>
      </c>
      <c r="AN151" s="15">
        <f>IFERROR(tblPiNAnalysis[[#This Row],[PiN más alto]]-tblPiNAnalysis[[#This Row],[3º PiN más alto]],"")</f>
        <v>7761</v>
      </c>
      <c r="AO151" s="14">
        <f>IFERROR(tblPiNAnalysis[[#This Row],[Diferencia de PiN entre el más alto y el 3º más alto]]/tblPiNAnalysis[[#This Row],[3º PiN más alto]], "")</f>
        <v>1.6038437693738377</v>
      </c>
      <c r="AP151" s="96" t="str" cm="1">
        <f t="array" ref="AP15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51" s="84" cm="1">
        <f t="array" ref="AQ151">IFERROR(IF(tblPiNAnalysis[[#This Row],[ID]]="", "", INDEX(tblPiNHistorical[[SAMV]:[ASH]], MATCH(tblPiNAnalysis[[#This Row],[ID]],tblPiNHistorical[ID], 0),MATCH(_xlfn._xlws.FILTER(tblPiNAnalysis[[#Headers],[SAMV]:[ASH]], tblPiNAnalysis[[#This Row],[PiN más alto]]=tblPiNAnalysis[[#This Row],[SAMV]:[ASH]]), tblPiNHistorical[[#Headers],[SAMV]:[ASH]], 0))), "")</f>
        <v>0.4</v>
      </c>
      <c r="AR151" s="99" t="str" cm="1">
        <f t="array" ref="AR15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51" s="74" cm="1">
        <f t="array" ref="AS151">IFERROR(IF(tblPiNAnalysis[[#This Row],[ID]]="", "", INDEX(tblPiNHistorical[[SAMV]:[ASH]], MATCH(tblPiNAnalysis[[#This Row],[ID]],tblPiNHistorical[ID], 0),MATCH(_xlfn._xlws.FILTER(tblPiNAnalysis[[#Headers],[SAMV]:[ASH]], tblPiNAnalysis[[#This Row],[2º PiN más alto]]=tblPiNAnalysis[[#This Row],[SAMV]:[ASH]]), tblPiNHistorical[[#Headers],[SAMV]:[ASH]], 0))), "")</f>
        <v>-0.2</v>
      </c>
      <c r="AT151" s="100" t="str" cm="1">
        <f t="array" ref="AT15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51" s="219">
        <f>INDEX(tblSeverityAnalysis[Severidad final], MATCH(tblPiNAnalysis[[#This Row],[ID]],tblSeverityAnalysis[ID], 0))</f>
        <v>3</v>
      </c>
      <c r="AV151" s="220">
        <f>IF(tblPiNAnalysis[[#This Row],[Severidad]]&gt;2,tblPiNAnalysis[[#This Row],[PiN más alto]],)</f>
        <v>12600</v>
      </c>
      <c r="AW151" s="54"/>
      <c r="AX151" s="55"/>
      <c r="AY151" s="56">
        <f>COUNTIFS(tblPiNAnalysis[[#This Row],[Número de PiN ausentes/cero superior al umbral - Calidad de los datos]:[Marcador manual]],"Flagged")</f>
        <v>2</v>
      </c>
      <c r="AZ151" s="34" t="str">
        <f>IF(tblPiNAnalysis[[#This Row],[Número de marcadores]]&gt;0, "Flagged", "")</f>
        <v>Flagged</v>
      </c>
      <c r="BA151" s="92">
        <f>tblPiNAnalysis[[#This Row],[PiN preliminar]]</f>
        <v>12600</v>
      </c>
      <c r="BB151" s="97"/>
      <c r="BC151" s="70">
        <f>IFERROR(IF(tblPiNAnalysis[[#This Row],[Severidad]]=3,tblPiNAnalysis[[#This Row],[PiN final]]*Umbrales!$D$33,tblPiNAnalysis[[#This Row],[PiN final]]*Umbrales!$D$34),)</f>
        <v>6300</v>
      </c>
      <c r="BD151" s="70">
        <f>IFERROR(IF(tblPiNAnalysis[[#This Row],[Severidad]]&gt;3,tblPiNAnalysis[[#This Row],[PiN final]]*Umbrales!$D$34,),)</f>
        <v>0</v>
      </c>
    </row>
    <row r="152" spans="1:56">
      <c r="A152" s="101" t="str">
        <f>IFERROR(_xlfn.CONCAT(IF(tblPiNAnalysis[[#This Row],[Grupo]]="", "",tblPiNAnalysis[[#This Row],[Grupo]] ),  _xlfn.IFS(tblPiNAnalysis[[#This Row],[Admin2PCODE]]&lt;&gt;"", tblPiNAnalysis[[#This Row],[Admin2PCODE]], tblPiNAnalysis[[#This Row],[Admin1PCODE]]&lt;&gt;"", tblPiNAnalysis[[#This Row],[Admin1PCODE]])),"")</f>
        <v>VenezolanosVE1601</v>
      </c>
      <c r="B152" s="105" t="s">
        <v>491</v>
      </c>
      <c r="C152" s="104" t="s">
        <v>492</v>
      </c>
      <c r="D152" s="119" t="s">
        <v>318</v>
      </c>
      <c r="E152" s="104" t="s">
        <v>493</v>
      </c>
      <c r="F152" s="358"/>
      <c r="G152" s="357">
        <v>18632</v>
      </c>
      <c r="H152" s="103" t="s">
        <v>102</v>
      </c>
      <c r="I152" s="60">
        <v>6599</v>
      </c>
      <c r="J152" s="134">
        <v>666.48086845537387</v>
      </c>
      <c r="K152" s="57">
        <v>12600</v>
      </c>
      <c r="L152" s="87">
        <v>859.03253717400207</v>
      </c>
      <c r="M152" s="87">
        <v>3720.558464639003</v>
      </c>
      <c r="N152" s="57">
        <v>0</v>
      </c>
      <c r="O152" s="57">
        <v>1190.5787086844809</v>
      </c>
      <c r="P152" s="57">
        <v>1302.1954626236509</v>
      </c>
      <c r="Q152" s="88">
        <f>IFERROR(IF(tblPiNAnalysis[[#This Row],[SAMV]]="", "", MROUND(tblPiNAnalysis[[#This Row],[SAMV]]/tblPiNAnalysis[[#This Row],[Población]], 0.05)), "")</f>
        <v>0.35000000000000003</v>
      </c>
      <c r="R152" s="89">
        <f>IFERROR(IF(tblPiNAnalysis[[#This Row],[NUT]]="", "", MROUND(tblPiNAnalysis[[#This Row],[NUT]]/tblPiNAnalysis[[#This Row],[Población]], 0.05)), "")</f>
        <v>0.05</v>
      </c>
      <c r="S152" s="89">
        <f>IFERROR(IF(tblPiNAnalysis[[#This Row],[SAL]]="", "", MROUND(tblPiNAnalysis[[#This Row],[SAL]]/tblPiNAnalysis[[#This Row],[Población]], 0.05)), "")</f>
        <v>0.70000000000000007</v>
      </c>
      <c r="T152" s="89">
        <f>IFERROR(IF(tblPiNAnalysis[[#This Row],[EDU]]="", "", MROUND(tblPiNAnalysis[[#This Row],[EDU]]/tblPiNAnalysis[[#This Row],[Población]], 0.05)), "")</f>
        <v>0.05</v>
      </c>
      <c r="U152" s="89">
        <f>IFERROR(IF(tblPiNAnalysis[[#This Row],[PRO]]="", "", MROUND(tblPiNAnalysis[[#This Row],[PRO]]/tblPiNAnalysis[[#This Row],[Población]], 0.05)), "")</f>
        <v>0.2</v>
      </c>
      <c r="V152" s="90">
        <f>IFERROR(IF(tblPiNAnalysis[[#This Row],[ASH]]="", "", MROUND(tblPiNAnalysis[[#This Row],[ASH]]/tblPiNAnalysis[[#This Row],[Población]], 0.05)), "")</f>
        <v>0</v>
      </c>
      <c r="W152" s="89">
        <f>IFERROR(MROUND(tblPiNAnalysis[[#This Row],[NNA]]/tblPiNAnalysis[[#This Row],[Población]], 0.05), "")</f>
        <v>0.05</v>
      </c>
      <c r="X152" s="89">
        <f>IFERROR(MROUND(tblPiNAnalysis[[#This Row],[VBG]]/tblPiNAnalysis[[#This Row],[Población]], 0.05), "")</f>
        <v>0.05</v>
      </c>
      <c r="Y152" s="91">
        <f>IFERROR(LARGE(tblPiNAnalysis[[#This Row],[SAMV]:[ASH]], 1), "")</f>
        <v>12600</v>
      </c>
      <c r="Z152" s="92" t="str" cm="1">
        <f t="array" ref="Z152">IF(tblPiNAnalysis[[#This Row],[PiN más alto]]="", "", _xlfn.TEXTJOIN(CHAR(10), TRUE, IF(tblPiNAnalysis[[#This Row],[PiN más alto]]=tblPiNAnalysis[[#This Row],[SAMV]:[ASH]], tblPiNAnalysis[[#Headers],[SAMV]:[ASH]], "")))</f>
        <v>SAL</v>
      </c>
      <c r="AA152" s="93">
        <f>IF(tblPiNAnalysis[[#This Row],[PiN más alto]]="", "", tblPiNAnalysis[[#This Row],[PiN más alto]]/tblPiNAnalysis[[#This Row],[Población]])</f>
        <v>0.67625590382138256</v>
      </c>
      <c r="AB152" s="94" t="str">
        <f>IF(SUM(tblPiNAnalysis[[#This Row],[SAMV]:[ASH]])=0, "",IF(COUNTIF(tblPiNAnalysis[[#This Row],[SAMV]:[ASH]],"=0")+COUNTIF(tblPiNAnalysis[[#This Row],[SAMV]:[ASH]],"")&gt;=zero_pin_thresh, "Flagged", ""))</f>
        <v/>
      </c>
      <c r="AC152" s="95" t="str">
        <f>IFERROR(IF(tblPiNAnalysis[[#This Row],[PiN más alto]]="", "", IF(tblPiNAnalysis[[#This Row],[% PiN Sectores más altos]]&gt;=flag_pin_perc, "Flagged", "")), "")</f>
        <v/>
      </c>
      <c r="AD152" s="96" t="str" cm="1">
        <f t="array" ref="AD152">IF(tblPiNAnalysis[[#This Row],[PiN más alto]]=0, "",  IF(OR(COUNTIF(tblPiNAnalysis[[#This Row],[Sectores más altos]],tblSubSectorPopulation[Sector])), "Flagged", ""))</f>
        <v/>
      </c>
      <c r="AE152" s="16" cm="1">
        <f t="array" ref="AE15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6599</v>
      </c>
      <c r="AF152" s="97" t="str" cm="1">
        <f t="array" ref="AF152">IF(tblPiNAnalysis[[#This Row],[2º PiN más alto]]="", "", _xlfn.TEXTJOIN(CHAR(10), TRUE, IF(tblPiNAnalysis[[#This Row],[2º PiN más alto]]=tblPiNAnalysis[[#This Row],[SAMV]:[ASH]], tblPiNAnalysis[[#Headers],[SAMV]:[ASH]], "")))</f>
        <v>SAMV</v>
      </c>
      <c r="AG152" s="12">
        <f>IFERROR(tblPiNAnalysis[[#This Row],[2º PiN más alto]]/tblPiNAnalysis[[#This Row],[Población]], "")</f>
        <v>0.35417561185057966</v>
      </c>
      <c r="AH152" s="16">
        <f>IFERROR(tblPiNAnalysis[[#This Row],[PiN más alto]]-tblPiNAnalysis[[#This Row],[2º PiN más alto]], "")</f>
        <v>6001</v>
      </c>
      <c r="AI152" s="14">
        <f>IFERROR(((tblPiNAnalysis[[#This Row],[PiN más alto]]-tblPiNAnalysis[[#This Row],[2º PiN más alto]])/tblPiNAnalysis[[#This Row],[2º PiN más alto]]),"")</f>
        <v>0.90938020912259432</v>
      </c>
      <c r="AJ152" s="14" t="str" cm="1">
        <f t="array" ref="AJ15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52" s="98" cm="1">
        <f t="array" ref="AK15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3720.558464639003</v>
      </c>
      <c r="AL152" s="53" t="str" cm="1">
        <f t="array" ref="AL152">IF(tblPiNAnalysis[[#This Row],[3º PiN más alto]]="", "", _xlfn.TEXTJOIN(CHAR(10), TRUE, IF(tblPiNAnalysis[[#This Row],[3º PiN más alto]]=tblPiNAnalysis[[#This Row],[SAMV]:[ASH]], tblPiNAnalysis[[#Headers],[SAMV]:[ASH]], "")))</f>
        <v>PRO</v>
      </c>
      <c r="AM152" s="53">
        <f>IFERROR(tblPiNAnalysis[[#This Row],[3º PiN más alto]]/tblPiNAnalysis[[#This Row],[Población]], "")</f>
        <v>0.19968647835117018</v>
      </c>
      <c r="AN152" s="15">
        <f>IFERROR(tblPiNAnalysis[[#This Row],[PiN más alto]]-tblPiNAnalysis[[#This Row],[3º PiN más alto]],"")</f>
        <v>8879.4415353609966</v>
      </c>
      <c r="AO152" s="14">
        <f>IFERROR(tblPiNAnalysis[[#This Row],[Diferencia de PiN entre el más alto y el 3º más alto]]/tblPiNAnalysis[[#This Row],[3º PiN más alto]], "")</f>
        <v>2.3865883629442033</v>
      </c>
      <c r="AP152" s="96" t="str" cm="1">
        <f t="array" ref="AP15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52" s="84" cm="1">
        <f t="array" ref="AQ152">IFERROR(IF(tblPiNAnalysis[[#This Row],[ID]]="", "", INDEX(tblPiNHistorical[[SAMV]:[ASH]], MATCH(tblPiNAnalysis[[#This Row],[ID]],tblPiNHistorical[ID], 0),MATCH(_xlfn._xlws.FILTER(tblPiNAnalysis[[#Headers],[SAMV]:[ASH]], tblPiNAnalysis[[#This Row],[PiN más alto]]=tblPiNAnalysis[[#This Row],[SAMV]:[ASH]]), tblPiNHistorical[[#Headers],[SAMV]:[ASH]], 0))), "")</f>
        <v>0.6</v>
      </c>
      <c r="AR152" s="99" t="str" cm="1">
        <f t="array" ref="AR15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52" s="74" cm="1">
        <f t="array" ref="AS152">IFERROR(IF(tblPiNAnalysis[[#This Row],[ID]]="", "", INDEX(tblPiNHistorical[[SAMV]:[ASH]], MATCH(tblPiNAnalysis[[#This Row],[ID]],tblPiNHistorical[ID], 0),MATCH(_xlfn._xlws.FILTER(tblPiNAnalysis[[#Headers],[SAMV]:[ASH]], tblPiNAnalysis[[#This Row],[2º PiN más alto]]=tblPiNAnalysis[[#This Row],[SAMV]:[ASH]]), tblPiNHistorical[[#Headers],[SAMV]:[ASH]], 0))), "")</f>
        <v>0</v>
      </c>
      <c r="AT152" s="100" t="str" cm="1">
        <f t="array" ref="AT15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52" s="219">
        <f>INDEX(tblSeverityAnalysis[Severidad final], MATCH(tblPiNAnalysis[[#This Row],[ID]],tblSeverityAnalysis[ID], 0))</f>
        <v>3</v>
      </c>
      <c r="AV152" s="220">
        <f>IF(tblPiNAnalysis[[#This Row],[Severidad]]&gt;2,tblPiNAnalysis[[#This Row],[PiN más alto]],)</f>
        <v>12600</v>
      </c>
      <c r="AW152" s="54"/>
      <c r="AX152" s="55"/>
      <c r="AY152" s="56">
        <f>COUNTIFS(tblPiNAnalysis[[#This Row],[Número de PiN ausentes/cero superior al umbral - Calidad de los datos]:[Marcador manual]],"Flagged")</f>
        <v>2</v>
      </c>
      <c r="AZ152" s="34" t="str">
        <f>IF(tblPiNAnalysis[[#This Row],[Número de marcadores]]&gt;0, "Flagged", "")</f>
        <v>Flagged</v>
      </c>
      <c r="BA152" s="92">
        <f>tblPiNAnalysis[[#This Row],[PiN preliminar]]</f>
        <v>12600</v>
      </c>
      <c r="BB152" s="97"/>
      <c r="BC152" s="70">
        <f>IFERROR(IF(tblPiNAnalysis[[#This Row],[Severidad]]=3,tblPiNAnalysis[[#This Row],[PiN final]]*Umbrales!$D$33,tblPiNAnalysis[[#This Row],[PiN final]]*Umbrales!$D$34),)</f>
        <v>6300</v>
      </c>
      <c r="BD152" s="70">
        <f>IFERROR(IF(tblPiNAnalysis[[#This Row],[Severidad]]&gt;3,tblPiNAnalysis[[#This Row],[PiN final]]*Umbrales!$D$34,),)</f>
        <v>0</v>
      </c>
    </row>
    <row r="153" spans="1:56">
      <c r="A153" s="101" t="str">
        <f>IFERROR(_xlfn.CONCAT(IF(tblPiNAnalysis[[#This Row],[Grupo]]="", "",tblPiNAnalysis[[#This Row],[Grupo]] ),  _xlfn.IFS(tblPiNAnalysis[[#This Row],[Admin2PCODE]]&lt;&gt;"", tblPiNAnalysis[[#This Row],[Admin2PCODE]], tblPiNAnalysis[[#This Row],[Admin1PCODE]]&lt;&gt;"", tblPiNAnalysis[[#This Row],[Admin1PCODE]])),"")</f>
        <v>VenezolanosVE1604</v>
      </c>
      <c r="B153" s="105" t="s">
        <v>491</v>
      </c>
      <c r="C153" s="104" t="s">
        <v>492</v>
      </c>
      <c r="D153" s="119" t="s">
        <v>497</v>
      </c>
      <c r="E153" s="104" t="s">
        <v>498</v>
      </c>
      <c r="F153" s="358"/>
      <c r="G153" s="357">
        <v>34496</v>
      </c>
      <c r="H153" s="103" t="s">
        <v>102</v>
      </c>
      <c r="I153" s="60">
        <v>10823</v>
      </c>
      <c r="J153" s="134">
        <v>1338.3356306597902</v>
      </c>
      <c r="K153" s="57">
        <v>12591.04</v>
      </c>
      <c r="L153" s="87">
        <v>2134.9111339864476</v>
      </c>
      <c r="M153" s="87">
        <v>6888.3847572019658</v>
      </c>
      <c r="N153" s="57">
        <v>0</v>
      </c>
      <c r="O153" s="57">
        <v>2204.2831223046287</v>
      </c>
      <c r="P153" s="57">
        <v>2410.934665020688</v>
      </c>
      <c r="Q153" s="88">
        <f>IFERROR(IF(tblPiNAnalysis[[#This Row],[SAMV]]="", "", MROUND(tblPiNAnalysis[[#This Row],[SAMV]]/tblPiNAnalysis[[#This Row],[Población]], 0.05)), "")</f>
        <v>0.30000000000000004</v>
      </c>
      <c r="R153" s="89">
        <f>IFERROR(IF(tblPiNAnalysis[[#This Row],[NUT]]="", "", MROUND(tblPiNAnalysis[[#This Row],[NUT]]/tblPiNAnalysis[[#This Row],[Población]], 0.05)), "")</f>
        <v>0.05</v>
      </c>
      <c r="S153" s="89">
        <f>IFERROR(IF(tblPiNAnalysis[[#This Row],[SAL]]="", "", MROUND(tblPiNAnalysis[[#This Row],[SAL]]/tblPiNAnalysis[[#This Row],[Población]], 0.05)), "")</f>
        <v>0.35000000000000003</v>
      </c>
      <c r="T153" s="89">
        <f>IFERROR(IF(tblPiNAnalysis[[#This Row],[EDU]]="", "", MROUND(tblPiNAnalysis[[#This Row],[EDU]]/tblPiNAnalysis[[#This Row],[Población]], 0.05)), "")</f>
        <v>0.05</v>
      </c>
      <c r="U153" s="89">
        <f>IFERROR(IF(tblPiNAnalysis[[#This Row],[PRO]]="", "", MROUND(tblPiNAnalysis[[#This Row],[PRO]]/tblPiNAnalysis[[#This Row],[Población]], 0.05)), "")</f>
        <v>0.2</v>
      </c>
      <c r="V153" s="90">
        <f>IFERROR(IF(tblPiNAnalysis[[#This Row],[ASH]]="", "", MROUND(tblPiNAnalysis[[#This Row],[ASH]]/tblPiNAnalysis[[#This Row],[Población]], 0.05)), "")</f>
        <v>0</v>
      </c>
      <c r="W153" s="89">
        <f>IFERROR(MROUND(tblPiNAnalysis[[#This Row],[NNA]]/tblPiNAnalysis[[#This Row],[Población]], 0.05), "")</f>
        <v>0.05</v>
      </c>
      <c r="X153" s="89">
        <f>IFERROR(MROUND(tblPiNAnalysis[[#This Row],[VBG]]/tblPiNAnalysis[[#This Row],[Población]], 0.05), "")</f>
        <v>0.05</v>
      </c>
      <c r="Y153" s="91">
        <f>IFERROR(LARGE(tblPiNAnalysis[[#This Row],[SAMV]:[ASH]], 1), "")</f>
        <v>12591.04</v>
      </c>
      <c r="Z153" s="92" t="str" cm="1">
        <f t="array" ref="Z153">IF(tblPiNAnalysis[[#This Row],[PiN más alto]]="", "", _xlfn.TEXTJOIN(CHAR(10), TRUE, IF(tblPiNAnalysis[[#This Row],[PiN más alto]]=tblPiNAnalysis[[#This Row],[SAMV]:[ASH]], tblPiNAnalysis[[#Headers],[SAMV]:[ASH]], "")))</f>
        <v>SAL</v>
      </c>
      <c r="AA153" s="93">
        <f>IF(tblPiNAnalysis[[#This Row],[PiN más alto]]="", "", tblPiNAnalysis[[#This Row],[PiN más alto]]/tblPiNAnalysis[[#This Row],[Población]])</f>
        <v>0.36500000000000005</v>
      </c>
      <c r="AB153" s="94" t="str">
        <f>IF(SUM(tblPiNAnalysis[[#This Row],[SAMV]:[ASH]])=0, "",IF(COUNTIF(tblPiNAnalysis[[#This Row],[SAMV]:[ASH]],"=0")+COUNTIF(tblPiNAnalysis[[#This Row],[SAMV]:[ASH]],"")&gt;=zero_pin_thresh, "Flagged", ""))</f>
        <v/>
      </c>
      <c r="AC153" s="95" t="str">
        <f>IFERROR(IF(tblPiNAnalysis[[#This Row],[PiN más alto]]="", "", IF(tblPiNAnalysis[[#This Row],[% PiN Sectores más altos]]&gt;=flag_pin_perc, "Flagged", "")), "")</f>
        <v/>
      </c>
      <c r="AD153" s="96" t="str" cm="1">
        <f t="array" ref="AD153">IF(tblPiNAnalysis[[#This Row],[PiN más alto]]=0, "",  IF(OR(COUNTIF(tblPiNAnalysis[[#This Row],[Sectores más altos]],tblSubSectorPopulation[Sector])), "Flagged", ""))</f>
        <v/>
      </c>
      <c r="AE153" s="16" cm="1">
        <f t="array" ref="AE15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10823</v>
      </c>
      <c r="AF153" s="97" t="str" cm="1">
        <f t="array" ref="AF153">IF(tblPiNAnalysis[[#This Row],[2º PiN más alto]]="", "", _xlfn.TEXTJOIN(CHAR(10), TRUE, IF(tblPiNAnalysis[[#This Row],[2º PiN más alto]]=tblPiNAnalysis[[#This Row],[SAMV]:[ASH]], tblPiNAnalysis[[#Headers],[SAMV]:[ASH]], "")))</f>
        <v>SAMV</v>
      </c>
      <c r="AG153" s="12">
        <f>IFERROR(tblPiNAnalysis[[#This Row],[2º PiN más alto]]/tblPiNAnalysis[[#This Row],[Población]], "")</f>
        <v>0.31374652133580705</v>
      </c>
      <c r="AH153" s="16">
        <f>IFERROR(tblPiNAnalysis[[#This Row],[PiN más alto]]-tblPiNAnalysis[[#This Row],[2º PiN más alto]], "")</f>
        <v>1768.0400000000009</v>
      </c>
      <c r="AI153" s="14">
        <f>IFERROR(((tblPiNAnalysis[[#This Row],[PiN más alto]]-tblPiNAnalysis[[#This Row],[2º PiN más alto]])/tblPiNAnalysis[[#This Row],[2º PiN más alto]]),"")</f>
        <v>0.1633595121500509</v>
      </c>
      <c r="AJ153" s="14" t="str" cm="1">
        <f t="array" ref="AJ15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53" s="98" cm="1">
        <f t="array" ref="AK15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6888.3847572019658</v>
      </c>
      <c r="AL153" s="53" t="str" cm="1">
        <f t="array" ref="AL153">IF(tblPiNAnalysis[[#This Row],[3º PiN más alto]]="", "", _xlfn.TEXTJOIN(CHAR(10), TRUE, IF(tblPiNAnalysis[[#This Row],[3º PiN más alto]]=tblPiNAnalysis[[#This Row],[SAMV]:[ASH]], tblPiNAnalysis[[#Headers],[SAMV]:[ASH]], "")))</f>
        <v>PRO</v>
      </c>
      <c r="AM153" s="53">
        <f>IFERROR(tblPiNAnalysis[[#This Row],[3º PiN más alto]]/tblPiNAnalysis[[#This Row],[Población]], "")</f>
        <v>0.19968647835117015</v>
      </c>
      <c r="AN153" s="15">
        <f>IFERROR(tblPiNAnalysis[[#This Row],[PiN más alto]]-tblPiNAnalysis[[#This Row],[3º PiN más alto]],"")</f>
        <v>5702.655242798035</v>
      </c>
      <c r="AO153" s="14">
        <f>IFERROR(tblPiNAnalysis[[#This Row],[Diferencia de PiN entre el más alto y el 3º más alto]]/tblPiNAnalysis[[#This Row],[3º PiN más alto]], "")</f>
        <v>0.82786537683391981</v>
      </c>
      <c r="AP153" s="96" t="str" cm="1">
        <f t="array" ref="AP15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53" s="84" cm="1">
        <f t="array" ref="AQ153">IFERROR(IF(tblPiNAnalysis[[#This Row],[ID]]="", "", INDEX(tblPiNHistorical[[SAMV]:[ASH]], MATCH(tblPiNAnalysis[[#This Row],[ID]],tblPiNHistorical[ID], 0),MATCH(_xlfn._xlws.FILTER(tblPiNAnalysis[[#Headers],[SAMV]:[ASH]], tblPiNAnalysis[[#This Row],[PiN más alto]]=tblPiNAnalysis[[#This Row],[SAMV]:[ASH]]), tblPiNHistorical[[#Headers],[SAMV]:[ASH]], 0))), "")</f>
        <v>-0.1</v>
      </c>
      <c r="AR153" s="99" t="str" cm="1">
        <f t="array" ref="AR15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53" s="74" cm="1">
        <f t="array" ref="AS153">IFERROR(IF(tblPiNAnalysis[[#This Row],[ID]]="", "", INDEX(tblPiNHistorical[[SAMV]:[ASH]], MATCH(tblPiNAnalysis[[#This Row],[ID]],tblPiNHistorical[ID], 0),MATCH(_xlfn._xlws.FILTER(tblPiNAnalysis[[#Headers],[SAMV]:[ASH]], tblPiNAnalysis[[#This Row],[2º PiN más alto]]=tblPiNAnalysis[[#This Row],[SAMV]:[ASH]]), tblPiNHistorical[[#Headers],[SAMV]:[ASH]], 0))), "")</f>
        <v>-0.6</v>
      </c>
      <c r="AT153" s="100" t="str" cm="1">
        <f t="array" ref="AT15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53" s="219">
        <f>INDEX(tblSeverityAnalysis[Severidad final], MATCH(tblPiNAnalysis[[#This Row],[ID]],tblSeverityAnalysis[ID], 0))</f>
        <v>3</v>
      </c>
      <c r="AV153" s="220">
        <f>IF(tblPiNAnalysis[[#This Row],[Severidad]]&gt;2,tblPiNAnalysis[[#This Row],[PiN más alto]],)</f>
        <v>12591.04</v>
      </c>
      <c r="AW153" s="54"/>
      <c r="AX153" s="55"/>
      <c r="AY153" s="56">
        <f>COUNTIFS(tblPiNAnalysis[[#This Row],[Número de PiN ausentes/cero superior al umbral - Calidad de los datos]:[Marcador manual]],"Flagged")</f>
        <v>1</v>
      </c>
      <c r="AZ153" s="34" t="str">
        <f>IF(tblPiNAnalysis[[#This Row],[Número de marcadores]]&gt;0, "Flagged", "")</f>
        <v>Flagged</v>
      </c>
      <c r="BA153" s="92">
        <f>tblPiNAnalysis[[#This Row],[PiN preliminar]]</f>
        <v>12591.04</v>
      </c>
      <c r="BB153" s="97"/>
      <c r="BC153" s="70">
        <f>IFERROR(IF(tblPiNAnalysis[[#This Row],[Severidad]]=3,tblPiNAnalysis[[#This Row],[PiN final]]*Umbrales!$D$33,tblPiNAnalysis[[#This Row],[PiN final]]*Umbrales!$D$34),)</f>
        <v>6295.52</v>
      </c>
      <c r="BD153" s="70">
        <f>IFERROR(IF(tblPiNAnalysis[[#This Row],[Severidad]]&gt;3,tblPiNAnalysis[[#This Row],[PiN final]]*Umbrales!$D$34,),)</f>
        <v>0</v>
      </c>
    </row>
    <row r="154" spans="1:56">
      <c r="A154" s="101" t="str">
        <f>IFERROR(_xlfn.CONCAT(IF(tblPiNAnalysis[[#This Row],[Grupo]]="", "",tblPiNAnalysis[[#This Row],[Grupo]] ),  _xlfn.IFS(tblPiNAnalysis[[#This Row],[Admin2PCODE]]&lt;&gt;"", tblPiNAnalysis[[#This Row],[Admin2PCODE]], tblPiNAnalysis[[#This Row],[Admin1PCODE]]&lt;&gt;"", tblPiNAnalysis[[#This Row],[Admin1PCODE]])),"")</f>
        <v>VenezolanosVE1125</v>
      </c>
      <c r="B154" s="105" t="s">
        <v>316</v>
      </c>
      <c r="C154" s="104" t="s">
        <v>317</v>
      </c>
      <c r="D154" s="119" t="s">
        <v>209</v>
      </c>
      <c r="E154" s="104" t="s">
        <v>361</v>
      </c>
      <c r="F154" s="358"/>
      <c r="G154" s="357">
        <v>33967</v>
      </c>
      <c r="H154" s="103" t="s">
        <v>102</v>
      </c>
      <c r="I154" s="60">
        <v>3019</v>
      </c>
      <c r="J154" s="134">
        <v>806.86685380035101</v>
      </c>
      <c r="K154" s="57">
        <v>12397.955</v>
      </c>
      <c r="L154" s="87">
        <v>3734.0644683244968</v>
      </c>
      <c r="M154" s="87">
        <v>8129.1648517322274</v>
      </c>
      <c r="N154" s="57">
        <v>2292.7725</v>
      </c>
      <c r="O154" s="57">
        <v>2609.4619174060449</v>
      </c>
      <c r="P154" s="57">
        <v>2845.2076981062792</v>
      </c>
      <c r="Q154" s="88">
        <f>IFERROR(IF(tblPiNAnalysis[[#This Row],[SAMV]]="", "", MROUND(tblPiNAnalysis[[#This Row],[SAMV]]/tblPiNAnalysis[[#This Row],[Población]], 0.05)), "")</f>
        <v>0.1</v>
      </c>
      <c r="R154" s="89">
        <f>IFERROR(IF(tblPiNAnalysis[[#This Row],[NUT]]="", "", MROUND(tblPiNAnalysis[[#This Row],[NUT]]/tblPiNAnalysis[[#This Row],[Población]], 0.05)), "")</f>
        <v>0</v>
      </c>
      <c r="S154" s="89">
        <f>IFERROR(IF(tblPiNAnalysis[[#This Row],[SAL]]="", "", MROUND(tblPiNAnalysis[[#This Row],[SAL]]/tblPiNAnalysis[[#This Row],[Población]], 0.05)), "")</f>
        <v>0.35000000000000003</v>
      </c>
      <c r="T154" s="89">
        <f>IFERROR(IF(tblPiNAnalysis[[#This Row],[EDU]]="", "", MROUND(tblPiNAnalysis[[#This Row],[EDU]]/tblPiNAnalysis[[#This Row],[Población]], 0.05)), "")</f>
        <v>0.1</v>
      </c>
      <c r="U154" s="89">
        <f>IFERROR(IF(tblPiNAnalysis[[#This Row],[PRO]]="", "", MROUND(tblPiNAnalysis[[#This Row],[PRO]]/tblPiNAnalysis[[#This Row],[Población]], 0.05)), "")</f>
        <v>0.25</v>
      </c>
      <c r="V154" s="90">
        <f>IFERROR(IF(tblPiNAnalysis[[#This Row],[ASH]]="", "", MROUND(tblPiNAnalysis[[#This Row],[ASH]]/tblPiNAnalysis[[#This Row],[Población]], 0.05)), "")</f>
        <v>0.05</v>
      </c>
      <c r="W154" s="89">
        <f>IFERROR(MROUND(tblPiNAnalysis[[#This Row],[NNA]]/tblPiNAnalysis[[#This Row],[Población]], 0.05), "")</f>
        <v>0.1</v>
      </c>
      <c r="X154" s="89">
        <f>IFERROR(MROUND(tblPiNAnalysis[[#This Row],[VBG]]/tblPiNAnalysis[[#This Row],[Población]], 0.05), "")</f>
        <v>0.1</v>
      </c>
      <c r="Y154" s="91">
        <f>IFERROR(LARGE(tblPiNAnalysis[[#This Row],[SAMV]:[ASH]], 1), "")</f>
        <v>12397.955</v>
      </c>
      <c r="Z154" s="92" t="str" cm="1">
        <f t="array" ref="Z154">IF(tblPiNAnalysis[[#This Row],[PiN más alto]]="", "", _xlfn.TEXTJOIN(CHAR(10), TRUE, IF(tblPiNAnalysis[[#This Row],[PiN más alto]]=tblPiNAnalysis[[#This Row],[SAMV]:[ASH]], tblPiNAnalysis[[#Headers],[SAMV]:[ASH]], "")))</f>
        <v>SAL</v>
      </c>
      <c r="AA154" s="93">
        <f>IF(tblPiNAnalysis[[#This Row],[PiN más alto]]="", "", tblPiNAnalysis[[#This Row],[PiN más alto]]/tblPiNAnalysis[[#This Row],[Población]])</f>
        <v>0.36499999999999999</v>
      </c>
      <c r="AB154" s="94" t="str">
        <f>IF(SUM(tblPiNAnalysis[[#This Row],[SAMV]:[ASH]])=0, "",IF(COUNTIF(tblPiNAnalysis[[#This Row],[SAMV]:[ASH]],"=0")+COUNTIF(tblPiNAnalysis[[#This Row],[SAMV]:[ASH]],"")&gt;=zero_pin_thresh, "Flagged", ""))</f>
        <v/>
      </c>
      <c r="AC154" s="95" t="str">
        <f>IFERROR(IF(tblPiNAnalysis[[#This Row],[PiN más alto]]="", "", IF(tblPiNAnalysis[[#This Row],[% PiN Sectores más altos]]&gt;=flag_pin_perc, "Flagged", "")), "")</f>
        <v/>
      </c>
      <c r="AD154" s="96" t="str" cm="1">
        <f t="array" ref="AD154">IF(tblPiNAnalysis[[#This Row],[PiN más alto]]=0, "",  IF(OR(COUNTIF(tblPiNAnalysis[[#This Row],[Sectores más altos]],tblSubSectorPopulation[Sector])), "Flagged", ""))</f>
        <v/>
      </c>
      <c r="AE154" s="16" cm="1">
        <f t="array" ref="AE15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8129.1648517322274</v>
      </c>
      <c r="AF154" s="97" t="str" cm="1">
        <f t="array" ref="AF154">IF(tblPiNAnalysis[[#This Row],[2º PiN más alto]]="", "", _xlfn.TEXTJOIN(CHAR(10), TRUE, IF(tblPiNAnalysis[[#This Row],[2º PiN más alto]]=tblPiNAnalysis[[#This Row],[SAMV]:[ASH]], tblPiNAnalysis[[#Headers],[SAMV]:[ASH]], "")))</f>
        <v>PRO</v>
      </c>
      <c r="AG154" s="12">
        <f>IFERROR(tblPiNAnalysis[[#This Row],[2º PiN más alto]]/tblPiNAnalysis[[#This Row],[Población]], "")</f>
        <v>0.2393253702632622</v>
      </c>
      <c r="AH154" s="16">
        <f>IFERROR(tblPiNAnalysis[[#This Row],[PiN más alto]]-tblPiNAnalysis[[#This Row],[2º PiN más alto]], "")</f>
        <v>4268.7901482677726</v>
      </c>
      <c r="AI154" s="14">
        <f>IFERROR(((tblPiNAnalysis[[#This Row],[PiN más alto]]-tblPiNAnalysis[[#This Row],[2º PiN más alto]])/tblPiNAnalysis[[#This Row],[2º PiN más alto]]),"")</f>
        <v>0.5251203815061205</v>
      </c>
      <c r="AJ154" s="14" t="str" cm="1">
        <f t="array" ref="AJ15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54" s="98" cm="1">
        <f t="array" ref="AK15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3734.0644683244968</v>
      </c>
      <c r="AL154" s="53" t="str" cm="1">
        <f t="array" ref="AL154">IF(tblPiNAnalysis[[#This Row],[3º PiN más alto]]="", "", _xlfn.TEXTJOIN(CHAR(10), TRUE, IF(tblPiNAnalysis[[#This Row],[3º PiN más alto]]=tblPiNAnalysis[[#This Row],[SAMV]:[ASH]], tblPiNAnalysis[[#Headers],[SAMV]:[ASH]], "")))</f>
        <v>EDU</v>
      </c>
      <c r="AM154" s="53">
        <f>IFERROR(tblPiNAnalysis[[#This Row],[3º PiN más alto]]/tblPiNAnalysis[[#This Row],[Población]], "")</f>
        <v>0.10993212436554588</v>
      </c>
      <c r="AN154" s="15">
        <f>IFERROR(tblPiNAnalysis[[#This Row],[PiN más alto]]-tblPiNAnalysis[[#This Row],[3º PiN más alto]],"")</f>
        <v>8663.8905316755026</v>
      </c>
      <c r="AO154" s="14">
        <f>IFERROR(tblPiNAnalysis[[#This Row],[Diferencia de PiN entre el más alto y el 3º más alto]]/tblPiNAnalysis[[#This Row],[3º PiN más alto]], "")</f>
        <v>2.3202305705137052</v>
      </c>
      <c r="AP154" s="96" t="str" cm="1">
        <f t="array" ref="AP15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54" s="84" cm="1">
        <f t="array" ref="AQ154">IFERROR(IF(tblPiNAnalysis[[#This Row],[ID]]="", "", INDEX(tblPiNHistorical[[SAMV]:[ASH]], MATCH(tblPiNAnalysis[[#This Row],[ID]],tblPiNHistorical[ID], 0),MATCH(_xlfn._xlws.FILTER(tblPiNAnalysis[[#Headers],[SAMV]:[ASH]], tblPiNAnalysis[[#This Row],[PiN más alto]]=tblPiNAnalysis[[#This Row],[SAMV]:[ASH]]), tblPiNHistorical[[#Headers],[SAMV]:[ASH]], 0))), "")</f>
        <v>1</v>
      </c>
      <c r="AR154" s="99" t="str" cm="1">
        <f t="array" ref="AR15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54" s="74" cm="1">
        <f t="array" ref="AS154">IFERROR(IF(tblPiNAnalysis[[#This Row],[ID]]="", "", INDEX(tblPiNHistorical[[SAMV]:[ASH]], MATCH(tblPiNAnalysis[[#This Row],[ID]],tblPiNHistorical[ID], 0),MATCH(_xlfn._xlws.FILTER(tblPiNAnalysis[[#Headers],[SAMV]:[ASH]], tblPiNAnalysis[[#This Row],[2º PiN más alto]]=tblPiNAnalysis[[#This Row],[SAMV]:[ASH]]), tblPiNHistorical[[#Headers],[SAMV]:[ASH]], 0))), "")</f>
        <v>0.2</v>
      </c>
      <c r="AT154" s="100" t="str" cm="1">
        <f t="array" ref="AT15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54" s="219">
        <f>INDEX(tblSeverityAnalysis[Severidad final], MATCH(tblPiNAnalysis[[#This Row],[ID]],tblSeverityAnalysis[ID], 0))</f>
        <v>3</v>
      </c>
      <c r="AV154" s="220">
        <f>IF(tblPiNAnalysis[[#This Row],[Severidad]]&gt;2,tblPiNAnalysis[[#This Row],[PiN más alto]],)</f>
        <v>12397.955</v>
      </c>
      <c r="AW154" s="54"/>
      <c r="AX154" s="55"/>
      <c r="AY154" s="56">
        <f>COUNTIFS(tblPiNAnalysis[[#This Row],[Número de PiN ausentes/cero superior al umbral - Calidad de los datos]:[Marcador manual]],"Flagged")</f>
        <v>3</v>
      </c>
      <c r="AZ154" s="34" t="str">
        <f>IF(tblPiNAnalysis[[#This Row],[Número de marcadores]]&gt;0, "Flagged", "")</f>
        <v>Flagged</v>
      </c>
      <c r="BA154" s="92">
        <f>tblPiNAnalysis[[#This Row],[PiN preliminar]]</f>
        <v>12397.955</v>
      </c>
      <c r="BB154" s="97"/>
      <c r="BC154" s="70">
        <f>IFERROR(IF(tblPiNAnalysis[[#This Row],[Severidad]]=3,tblPiNAnalysis[[#This Row],[PiN final]]*Umbrales!$D$33,tblPiNAnalysis[[#This Row],[PiN final]]*Umbrales!$D$34),)</f>
        <v>6198.9775</v>
      </c>
      <c r="BD154" s="70">
        <f>IFERROR(IF(tblPiNAnalysis[[#This Row],[Severidad]]&gt;3,tblPiNAnalysis[[#This Row],[PiN final]]*Umbrales!$D$34,),)</f>
        <v>0</v>
      </c>
    </row>
    <row r="155" spans="1:56">
      <c r="A155" s="101" t="str">
        <f>IFERROR(_xlfn.CONCAT(IF(tblPiNAnalysis[[#This Row],[Grupo]]="", "",tblPiNAnalysis[[#This Row],[Grupo]] ),  _xlfn.IFS(tblPiNAnalysis[[#This Row],[Admin2PCODE]]&lt;&gt;"", tblPiNAnalysis[[#This Row],[Admin2PCODE]], tblPiNAnalysis[[#This Row],[Admin1PCODE]]&lt;&gt;"", tblPiNAnalysis[[#This Row],[Admin1PCODE]])),"")</f>
        <v>VenezolanosVE1206</v>
      </c>
      <c r="B155" s="105" t="s">
        <v>362</v>
      </c>
      <c r="C155" s="104" t="s">
        <v>363</v>
      </c>
      <c r="D155" s="119" t="s">
        <v>374</v>
      </c>
      <c r="E155" s="104" t="s">
        <v>375</v>
      </c>
      <c r="F155" s="358"/>
      <c r="G155" s="357">
        <v>33770</v>
      </c>
      <c r="H155" s="103" t="s">
        <v>102</v>
      </c>
      <c r="I155" s="60">
        <v>11256</v>
      </c>
      <c r="J155" s="134">
        <v>1890.2845536139289</v>
      </c>
      <c r="K155" s="57">
        <v>12326.05</v>
      </c>
      <c r="L155" s="87">
        <v>3419.9121158152179</v>
      </c>
      <c r="M155" s="87">
        <v>7511.3132949700503</v>
      </c>
      <c r="N155" s="57">
        <v>0</v>
      </c>
      <c r="O155" s="57">
        <v>2403.620254390416</v>
      </c>
      <c r="P155" s="57">
        <v>2628.9596532395171</v>
      </c>
      <c r="Q155" s="88">
        <f>IFERROR(IF(tblPiNAnalysis[[#This Row],[SAMV]]="", "", MROUND(tblPiNAnalysis[[#This Row],[SAMV]]/tblPiNAnalysis[[#This Row],[Población]], 0.05)), "")</f>
        <v>0.35000000000000003</v>
      </c>
      <c r="R155" s="89">
        <f>IFERROR(IF(tblPiNAnalysis[[#This Row],[NUT]]="", "", MROUND(tblPiNAnalysis[[#This Row],[NUT]]/tblPiNAnalysis[[#This Row],[Población]], 0.05)), "")</f>
        <v>0.05</v>
      </c>
      <c r="S155" s="89">
        <f>IFERROR(IF(tblPiNAnalysis[[#This Row],[SAL]]="", "", MROUND(tblPiNAnalysis[[#This Row],[SAL]]/tblPiNAnalysis[[#This Row],[Población]], 0.05)), "")</f>
        <v>0.35000000000000003</v>
      </c>
      <c r="T155" s="89">
        <f>IFERROR(IF(tblPiNAnalysis[[#This Row],[EDU]]="", "", MROUND(tblPiNAnalysis[[#This Row],[EDU]]/tblPiNAnalysis[[#This Row],[Población]], 0.05)), "")</f>
        <v>0.1</v>
      </c>
      <c r="U155" s="89">
        <f>IFERROR(IF(tblPiNAnalysis[[#This Row],[PRO]]="", "", MROUND(tblPiNAnalysis[[#This Row],[PRO]]/tblPiNAnalysis[[#This Row],[Población]], 0.05)), "")</f>
        <v>0.2</v>
      </c>
      <c r="V155" s="90">
        <f>IFERROR(IF(tblPiNAnalysis[[#This Row],[ASH]]="", "", MROUND(tblPiNAnalysis[[#This Row],[ASH]]/tblPiNAnalysis[[#This Row],[Población]], 0.05)), "")</f>
        <v>0</v>
      </c>
      <c r="W155" s="89">
        <f>IFERROR(MROUND(tblPiNAnalysis[[#This Row],[NNA]]/tblPiNAnalysis[[#This Row],[Población]], 0.05), "")</f>
        <v>0.05</v>
      </c>
      <c r="X155" s="89">
        <f>IFERROR(MROUND(tblPiNAnalysis[[#This Row],[VBG]]/tblPiNAnalysis[[#This Row],[Población]], 0.05), "")</f>
        <v>0.1</v>
      </c>
      <c r="Y155" s="91">
        <f>IFERROR(LARGE(tblPiNAnalysis[[#This Row],[SAMV]:[ASH]], 1), "")</f>
        <v>12326.05</v>
      </c>
      <c r="Z155" s="92" t="str" cm="1">
        <f t="array" ref="Z155">IF(tblPiNAnalysis[[#This Row],[PiN más alto]]="", "", _xlfn.TEXTJOIN(CHAR(10), TRUE, IF(tblPiNAnalysis[[#This Row],[PiN más alto]]=tblPiNAnalysis[[#This Row],[SAMV]:[ASH]], tblPiNAnalysis[[#Headers],[SAMV]:[ASH]], "")))</f>
        <v>SAL</v>
      </c>
      <c r="AA155" s="93">
        <f>IF(tblPiNAnalysis[[#This Row],[PiN más alto]]="", "", tblPiNAnalysis[[#This Row],[PiN más alto]]/tblPiNAnalysis[[#This Row],[Población]])</f>
        <v>0.36499999999999999</v>
      </c>
      <c r="AB155" s="94" t="str">
        <f>IF(SUM(tblPiNAnalysis[[#This Row],[SAMV]:[ASH]])=0, "",IF(COUNTIF(tblPiNAnalysis[[#This Row],[SAMV]:[ASH]],"=0")+COUNTIF(tblPiNAnalysis[[#This Row],[SAMV]:[ASH]],"")&gt;=zero_pin_thresh, "Flagged", ""))</f>
        <v/>
      </c>
      <c r="AC155" s="95" t="str">
        <f>IFERROR(IF(tblPiNAnalysis[[#This Row],[PiN más alto]]="", "", IF(tblPiNAnalysis[[#This Row],[% PiN Sectores más altos]]&gt;=flag_pin_perc, "Flagged", "")), "")</f>
        <v/>
      </c>
      <c r="AD155" s="96" t="str" cm="1">
        <f t="array" ref="AD155">IF(tblPiNAnalysis[[#This Row],[PiN más alto]]=0, "",  IF(OR(COUNTIF(tblPiNAnalysis[[#This Row],[Sectores más altos]],tblSubSectorPopulation[Sector])), "Flagged", ""))</f>
        <v/>
      </c>
      <c r="AE155" s="16" cm="1">
        <f t="array" ref="AE15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11256</v>
      </c>
      <c r="AF155" s="97" t="str" cm="1">
        <f t="array" ref="AF155">IF(tblPiNAnalysis[[#This Row],[2º PiN más alto]]="", "", _xlfn.TEXTJOIN(CHAR(10), TRUE, IF(tblPiNAnalysis[[#This Row],[2º PiN más alto]]=tblPiNAnalysis[[#This Row],[SAMV]:[ASH]], tblPiNAnalysis[[#Headers],[SAMV]:[ASH]], "")))</f>
        <v>SAMV</v>
      </c>
      <c r="AG155" s="12">
        <f>IFERROR(tblPiNAnalysis[[#This Row],[2º PiN más alto]]/tblPiNAnalysis[[#This Row],[Población]], "")</f>
        <v>0.33331359194551374</v>
      </c>
      <c r="AH155" s="16">
        <f>IFERROR(tblPiNAnalysis[[#This Row],[PiN más alto]]-tblPiNAnalysis[[#This Row],[2º PiN más alto]], "")</f>
        <v>1070.0499999999993</v>
      </c>
      <c r="AI155" s="14">
        <f>IFERROR(((tblPiNAnalysis[[#This Row],[PiN más alto]]-tblPiNAnalysis[[#This Row],[2º PiN más alto]])/tblPiNAnalysis[[#This Row],[2º PiN más alto]]),"")</f>
        <v>9.5064854299928864E-2</v>
      </c>
      <c r="AJ155" s="14" t="str" cm="1">
        <f t="array" ref="AJ15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55" s="98" cm="1">
        <f t="array" ref="AK15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7511.3132949700503</v>
      </c>
      <c r="AL155" s="53" t="str" cm="1">
        <f t="array" ref="AL155">IF(tblPiNAnalysis[[#This Row],[3º PiN más alto]]="", "", _xlfn.TEXTJOIN(CHAR(10), TRUE, IF(tblPiNAnalysis[[#This Row],[3º PiN más alto]]=tblPiNAnalysis[[#This Row],[SAMV]:[ASH]], tblPiNAnalysis[[#Headers],[SAMV]:[ASH]], "")))</f>
        <v>PRO</v>
      </c>
      <c r="AM155" s="53">
        <f>IFERROR(tblPiNAnalysis[[#This Row],[3º PiN más alto]]/tblPiNAnalysis[[#This Row],[Población]], "")</f>
        <v>0.22242562318537312</v>
      </c>
      <c r="AN155" s="15">
        <f>IFERROR(tblPiNAnalysis[[#This Row],[PiN más alto]]-tblPiNAnalysis[[#This Row],[3º PiN más alto]],"")</f>
        <v>4814.736705029949</v>
      </c>
      <c r="AO155" s="14">
        <f>IFERROR(tblPiNAnalysis[[#This Row],[Diferencia de PiN entre el más alto y el 3º más alto]]/tblPiNAnalysis[[#This Row],[3º PiN más alto]], "")</f>
        <v>0.64099798742972636</v>
      </c>
      <c r="AP155" s="96" t="str" cm="1">
        <f t="array" ref="AP15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55" s="84" cm="1">
        <f t="array" ref="AQ155">IFERROR(IF(tblPiNAnalysis[[#This Row],[ID]]="", "", INDEX(tblPiNHistorical[[SAMV]:[ASH]], MATCH(tblPiNAnalysis[[#This Row],[ID]],tblPiNHistorical[ID], 0),MATCH(_xlfn._xlws.FILTER(tblPiNAnalysis[[#Headers],[SAMV]:[ASH]], tblPiNAnalysis[[#This Row],[PiN más alto]]=tblPiNAnalysis[[#This Row],[SAMV]:[ASH]]), tblPiNHistorical[[#Headers],[SAMV]:[ASH]], 0))), "")</f>
        <v>0.7</v>
      </c>
      <c r="AR155" s="99" t="str" cm="1">
        <f t="array" ref="AR15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55" s="74" cm="1">
        <f t="array" ref="AS155">IFERROR(IF(tblPiNAnalysis[[#This Row],[ID]]="", "", INDEX(tblPiNHistorical[[SAMV]:[ASH]], MATCH(tblPiNAnalysis[[#This Row],[ID]],tblPiNHistorical[ID], 0),MATCH(_xlfn._xlws.FILTER(tblPiNAnalysis[[#Headers],[SAMV]:[ASH]], tblPiNAnalysis[[#This Row],[2º PiN más alto]]=tblPiNAnalysis[[#This Row],[SAMV]:[ASH]]), tblPiNHistorical[[#Headers],[SAMV]:[ASH]], 0))), "")</f>
        <v>1.6</v>
      </c>
      <c r="AT155" s="100" t="str" cm="1">
        <f t="array" ref="AT15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55" s="219">
        <f>INDEX(tblSeverityAnalysis[Severidad final], MATCH(tblPiNAnalysis[[#This Row],[ID]],tblSeverityAnalysis[ID], 0))</f>
        <v>3</v>
      </c>
      <c r="AV155" s="220">
        <f>IF(tblPiNAnalysis[[#This Row],[Severidad]]&gt;2,tblPiNAnalysis[[#This Row],[PiN más alto]],)</f>
        <v>12326.05</v>
      </c>
      <c r="AW155" s="54"/>
      <c r="AX155" s="55"/>
      <c r="AY155" s="56">
        <f>COUNTIFS(tblPiNAnalysis[[#This Row],[Número de PiN ausentes/cero superior al umbral - Calidad de los datos]:[Marcador manual]],"Flagged")</f>
        <v>2</v>
      </c>
      <c r="AZ155" s="34" t="str">
        <f>IF(tblPiNAnalysis[[#This Row],[Número de marcadores]]&gt;0, "Flagged", "")</f>
        <v>Flagged</v>
      </c>
      <c r="BA155" s="92">
        <f>tblPiNAnalysis[[#This Row],[PiN preliminar]]</f>
        <v>12326.05</v>
      </c>
      <c r="BB155" s="97"/>
      <c r="BC155" s="70">
        <f>IFERROR(IF(tblPiNAnalysis[[#This Row],[Severidad]]=3,tblPiNAnalysis[[#This Row],[PiN final]]*Umbrales!$D$33,tblPiNAnalysis[[#This Row],[PiN final]]*Umbrales!$D$34),)</f>
        <v>6163.0249999999996</v>
      </c>
      <c r="BD155" s="70">
        <f>IFERROR(IF(tblPiNAnalysis[[#This Row],[Severidad]]&gt;3,tblPiNAnalysis[[#This Row],[PiN final]]*Umbrales!$D$34,),)</f>
        <v>0</v>
      </c>
    </row>
    <row r="156" spans="1:56">
      <c r="A156" s="101" t="str">
        <f>IFERROR(_xlfn.CONCAT(IF(tblPiNAnalysis[[#This Row],[Grupo]]="", "",tblPiNAnalysis[[#This Row],[Grupo]] ),  _xlfn.IFS(tblPiNAnalysis[[#This Row],[Admin2PCODE]]&lt;&gt;"", tblPiNAnalysis[[#This Row],[Admin2PCODE]], tblPiNAnalysis[[#This Row],[Admin1PCODE]]&lt;&gt;"", tblPiNAnalysis[[#This Row],[Admin1PCODE]])),"")</f>
        <v>VenezolanosVE0504</v>
      </c>
      <c r="B156" s="105" t="s">
        <v>123</v>
      </c>
      <c r="C156" s="104" t="s">
        <v>179</v>
      </c>
      <c r="D156" s="119" t="s">
        <v>817</v>
      </c>
      <c r="E156" s="104" t="s">
        <v>187</v>
      </c>
      <c r="F156" s="358"/>
      <c r="G156" s="357">
        <v>33724</v>
      </c>
      <c r="H156" s="103" t="s">
        <v>102</v>
      </c>
      <c r="I156" s="60">
        <v>3968</v>
      </c>
      <c r="J156" s="134">
        <v>966.74603809951179</v>
      </c>
      <c r="K156" s="57">
        <v>12309.26</v>
      </c>
      <c r="L156" s="87">
        <v>4566.0120189277332</v>
      </c>
      <c r="M156" s="87">
        <v>6727.9229799983796</v>
      </c>
      <c r="N156" s="57">
        <v>2276.37</v>
      </c>
      <c r="O156" s="57">
        <v>2159.6632765794802</v>
      </c>
      <c r="P156" s="57">
        <v>2354.7730429994326</v>
      </c>
      <c r="Q156" s="88">
        <f>IFERROR(IF(tblPiNAnalysis[[#This Row],[SAMV]]="", "", MROUND(tblPiNAnalysis[[#This Row],[SAMV]]/tblPiNAnalysis[[#This Row],[Población]], 0.05)), "")</f>
        <v>0.1</v>
      </c>
      <c r="R156" s="89">
        <f>IFERROR(IF(tblPiNAnalysis[[#This Row],[NUT]]="", "", MROUND(tblPiNAnalysis[[#This Row],[NUT]]/tblPiNAnalysis[[#This Row],[Población]], 0.05)), "")</f>
        <v>0.05</v>
      </c>
      <c r="S156" s="89">
        <f>IFERROR(IF(tblPiNAnalysis[[#This Row],[SAL]]="", "", MROUND(tblPiNAnalysis[[#This Row],[SAL]]/tblPiNAnalysis[[#This Row],[Población]], 0.05)), "")</f>
        <v>0.35000000000000003</v>
      </c>
      <c r="T156" s="89">
        <f>IFERROR(IF(tblPiNAnalysis[[#This Row],[EDU]]="", "", MROUND(tblPiNAnalysis[[#This Row],[EDU]]/tblPiNAnalysis[[#This Row],[Población]], 0.05)), "")</f>
        <v>0.15000000000000002</v>
      </c>
      <c r="U156" s="89">
        <f>IFERROR(IF(tblPiNAnalysis[[#This Row],[PRO]]="", "", MROUND(tblPiNAnalysis[[#This Row],[PRO]]/tblPiNAnalysis[[#This Row],[Población]], 0.05)), "")</f>
        <v>0.2</v>
      </c>
      <c r="V156" s="90">
        <f>IFERROR(IF(tblPiNAnalysis[[#This Row],[ASH]]="", "", MROUND(tblPiNAnalysis[[#This Row],[ASH]]/tblPiNAnalysis[[#This Row],[Población]], 0.05)), "")</f>
        <v>0.05</v>
      </c>
      <c r="W156" s="89">
        <f>IFERROR(MROUND(tblPiNAnalysis[[#This Row],[NNA]]/tblPiNAnalysis[[#This Row],[Población]], 0.05), "")</f>
        <v>0.05</v>
      </c>
      <c r="X156" s="89">
        <f>IFERROR(MROUND(tblPiNAnalysis[[#This Row],[VBG]]/tblPiNAnalysis[[#This Row],[Población]], 0.05), "")</f>
        <v>0.05</v>
      </c>
      <c r="Y156" s="91">
        <f>IFERROR(LARGE(tblPiNAnalysis[[#This Row],[SAMV]:[ASH]], 1), "")</f>
        <v>12309.26</v>
      </c>
      <c r="Z156" s="92" t="str" cm="1">
        <f t="array" ref="Z156">IF(tblPiNAnalysis[[#This Row],[PiN más alto]]="", "", _xlfn.TEXTJOIN(CHAR(10), TRUE, IF(tblPiNAnalysis[[#This Row],[PiN más alto]]=tblPiNAnalysis[[#This Row],[SAMV]:[ASH]], tblPiNAnalysis[[#Headers],[SAMV]:[ASH]], "")))</f>
        <v>SAL</v>
      </c>
      <c r="AA156" s="93">
        <f>IF(tblPiNAnalysis[[#This Row],[PiN más alto]]="", "", tblPiNAnalysis[[#This Row],[PiN más alto]]/tblPiNAnalysis[[#This Row],[Población]])</f>
        <v>0.36499999999999999</v>
      </c>
      <c r="AB156" s="94" t="str">
        <f>IF(SUM(tblPiNAnalysis[[#This Row],[SAMV]:[ASH]])=0, "",IF(COUNTIF(tblPiNAnalysis[[#This Row],[SAMV]:[ASH]],"=0")+COUNTIF(tblPiNAnalysis[[#This Row],[SAMV]:[ASH]],"")&gt;=zero_pin_thresh, "Flagged", ""))</f>
        <v/>
      </c>
      <c r="AC156" s="95" t="str">
        <f>IFERROR(IF(tblPiNAnalysis[[#This Row],[PiN más alto]]="", "", IF(tblPiNAnalysis[[#This Row],[% PiN Sectores más altos]]&gt;=flag_pin_perc, "Flagged", "")), "")</f>
        <v/>
      </c>
      <c r="AD156" s="96" t="str" cm="1">
        <f t="array" ref="AD156">IF(tblPiNAnalysis[[#This Row],[PiN más alto]]=0, "",  IF(OR(COUNTIF(tblPiNAnalysis[[#This Row],[Sectores más altos]],tblSubSectorPopulation[Sector])), "Flagged", ""))</f>
        <v/>
      </c>
      <c r="AE156" s="16" cm="1">
        <f t="array" ref="AE15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6727.9229799983796</v>
      </c>
      <c r="AF156" s="97" t="str" cm="1">
        <f t="array" ref="AF156">IF(tblPiNAnalysis[[#This Row],[2º PiN más alto]]="", "", _xlfn.TEXTJOIN(CHAR(10), TRUE, IF(tblPiNAnalysis[[#This Row],[2º PiN más alto]]=tblPiNAnalysis[[#This Row],[SAMV]:[ASH]], tblPiNAnalysis[[#Headers],[SAMV]:[ASH]], "")))</f>
        <v>PRO</v>
      </c>
      <c r="AG156" s="12">
        <f>IFERROR(tblPiNAnalysis[[#This Row],[2º PiN más alto]]/tblPiNAnalysis[[#This Row],[Población]], "")</f>
        <v>0.19949955461980726</v>
      </c>
      <c r="AH156" s="16">
        <f>IFERROR(tblPiNAnalysis[[#This Row],[PiN más alto]]-tblPiNAnalysis[[#This Row],[2º PiN más alto]], "")</f>
        <v>5581.3370200016207</v>
      </c>
      <c r="AI156" s="14">
        <f>IFERROR(((tblPiNAnalysis[[#This Row],[PiN más alto]]-tblPiNAnalysis[[#This Row],[2º PiN más alto]])/tblPiNAnalysis[[#This Row],[2º PiN más alto]]),"")</f>
        <v>0.82957801933739805</v>
      </c>
      <c r="AJ156" s="14" t="str" cm="1">
        <f t="array" ref="AJ15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56" s="98" cm="1">
        <f t="array" ref="AK15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4566.0120189277332</v>
      </c>
      <c r="AL156" s="53" t="str" cm="1">
        <f t="array" ref="AL156">IF(tblPiNAnalysis[[#This Row],[3º PiN más alto]]="", "", _xlfn.TEXTJOIN(CHAR(10), TRUE, IF(tblPiNAnalysis[[#This Row],[3º PiN más alto]]=tblPiNAnalysis[[#This Row],[SAMV]:[ASH]], tblPiNAnalysis[[#Headers],[SAMV]:[ASH]], "")))</f>
        <v>EDU</v>
      </c>
      <c r="AM156" s="53">
        <f>IFERROR(tblPiNAnalysis[[#This Row],[3º PiN más alto]]/tblPiNAnalysis[[#This Row],[Población]], "")</f>
        <v>0.13539354818312577</v>
      </c>
      <c r="AN156" s="15">
        <f>IFERROR(tblPiNAnalysis[[#This Row],[PiN más alto]]-tblPiNAnalysis[[#This Row],[3º PiN más alto]],"")</f>
        <v>7743.2479810722671</v>
      </c>
      <c r="AO156" s="14">
        <f>IFERROR(tblPiNAnalysis[[#This Row],[Diferencia de PiN entre el más alto y el 3º más alto]]/tblPiNAnalysis[[#This Row],[3º PiN más alto]], "")</f>
        <v>1.69584485300822</v>
      </c>
      <c r="AP156" s="96" t="str" cm="1">
        <f t="array" ref="AP15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56" s="84" cm="1">
        <f t="array" ref="AQ156">IFERROR(IF(tblPiNAnalysis[[#This Row],[ID]]="", "", INDEX(tblPiNHistorical[[SAMV]:[ASH]], MATCH(tblPiNAnalysis[[#This Row],[ID]],tblPiNHistorical[ID], 0),MATCH(_xlfn._xlws.FILTER(tblPiNAnalysis[[#Headers],[SAMV]:[ASH]], tblPiNAnalysis[[#This Row],[PiN más alto]]=tblPiNAnalysis[[#This Row],[SAMV]:[ASH]]), tblPiNHistorical[[#Headers],[SAMV]:[ASH]], 0))), "")</f>
        <v>4.9000000000000004</v>
      </c>
      <c r="AR156" s="99" t="str" cm="1">
        <f t="array" ref="AR15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56" s="74" cm="1">
        <f t="array" ref="AS156">IFERROR(IF(tblPiNAnalysis[[#This Row],[ID]]="", "", INDEX(tblPiNHistorical[[SAMV]:[ASH]], MATCH(tblPiNAnalysis[[#This Row],[ID]],tblPiNHistorical[ID], 0),MATCH(_xlfn._xlws.FILTER(tblPiNAnalysis[[#Headers],[SAMV]:[ASH]], tblPiNAnalysis[[#This Row],[2º PiN más alto]]=tblPiNAnalysis[[#This Row],[SAMV]:[ASH]]), tblPiNHistorical[[#Headers],[SAMV]:[ASH]], 0))), "")</f>
        <v>1.1000000000000001</v>
      </c>
      <c r="AT156" s="100" t="str" cm="1">
        <f t="array" ref="AT15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56" s="219">
        <f>INDEX(tblSeverityAnalysis[Severidad final], MATCH(tblPiNAnalysis[[#This Row],[ID]],tblSeverityAnalysis[ID], 0))</f>
        <v>3</v>
      </c>
      <c r="AV156" s="220">
        <f>IF(tblPiNAnalysis[[#This Row],[Severidad]]&gt;2,tblPiNAnalysis[[#This Row],[PiN más alto]],)</f>
        <v>12309.26</v>
      </c>
      <c r="AW156" s="54"/>
      <c r="AX156" s="55"/>
      <c r="AY156" s="56">
        <f>COUNTIFS(tblPiNAnalysis[[#This Row],[Número de PiN ausentes/cero superior al umbral - Calidad de los datos]:[Marcador manual]],"Flagged")</f>
        <v>4</v>
      </c>
      <c r="AZ156" s="34" t="str">
        <f>IF(tblPiNAnalysis[[#This Row],[Número de marcadores]]&gt;0, "Flagged", "")</f>
        <v>Flagged</v>
      </c>
      <c r="BA156" s="92">
        <f>tblPiNAnalysis[[#This Row],[PiN preliminar]]</f>
        <v>12309.26</v>
      </c>
      <c r="BB156" s="97"/>
      <c r="BC156" s="70">
        <f>IFERROR(IF(tblPiNAnalysis[[#This Row],[Severidad]]=3,tblPiNAnalysis[[#This Row],[PiN final]]*Umbrales!$D$33,tblPiNAnalysis[[#This Row],[PiN final]]*Umbrales!$D$34),)</f>
        <v>6154.63</v>
      </c>
      <c r="BD156" s="70">
        <f>IFERROR(IF(tblPiNAnalysis[[#This Row],[Severidad]]&gt;3,tblPiNAnalysis[[#This Row],[PiN final]]*Umbrales!$D$34,),)</f>
        <v>0</v>
      </c>
    </row>
    <row r="157" spans="1:56">
      <c r="A157" s="101" t="str">
        <f>IFERROR(_xlfn.CONCAT(IF(tblPiNAnalysis[[#This Row],[Grupo]]="", "",tblPiNAnalysis[[#This Row],[Grupo]] ),  _xlfn.IFS(tblPiNAnalysis[[#This Row],[Admin2PCODE]]&lt;&gt;"", tblPiNAnalysis[[#This Row],[Admin2PCODE]], tblPiNAnalysis[[#This Row],[Admin1PCODE]]&lt;&gt;"", tblPiNAnalysis[[#This Row],[Admin1PCODE]])),"")</f>
        <v>VenezolanosVE1120</v>
      </c>
      <c r="B157" s="105" t="s">
        <v>316</v>
      </c>
      <c r="C157" s="104" t="s">
        <v>317</v>
      </c>
      <c r="D157" s="119" t="s">
        <v>352</v>
      </c>
      <c r="E157" s="104" t="s">
        <v>353</v>
      </c>
      <c r="F157" s="358"/>
      <c r="G157" s="357">
        <v>32925</v>
      </c>
      <c r="H157" s="103" t="s">
        <v>102</v>
      </c>
      <c r="I157" s="60">
        <v>4116</v>
      </c>
      <c r="J157" s="134">
        <v>1218.0103305609914</v>
      </c>
      <c r="K157" s="57">
        <v>12017.625</v>
      </c>
      <c r="L157" s="87">
        <v>6168.3385142026182</v>
      </c>
      <c r="M157" s="87">
        <v>6566.489846598256</v>
      </c>
      <c r="N157" s="57">
        <v>0</v>
      </c>
      <c r="O157" s="57">
        <v>2101.2767509114419</v>
      </c>
      <c r="P157" s="57">
        <v>2298.2714463093894</v>
      </c>
      <c r="Q157" s="88">
        <f>IFERROR(IF(tblPiNAnalysis[[#This Row],[SAMV]]="", "", MROUND(tblPiNAnalysis[[#This Row],[SAMV]]/tblPiNAnalysis[[#This Row],[Población]], 0.05)), "")</f>
        <v>0.15000000000000002</v>
      </c>
      <c r="R157" s="89">
        <f>IFERROR(IF(tblPiNAnalysis[[#This Row],[NUT]]="", "", MROUND(tblPiNAnalysis[[#This Row],[NUT]]/tblPiNAnalysis[[#This Row],[Población]], 0.05)), "")</f>
        <v>0.05</v>
      </c>
      <c r="S157" s="89">
        <f>IFERROR(IF(tblPiNAnalysis[[#This Row],[SAL]]="", "", MROUND(tblPiNAnalysis[[#This Row],[SAL]]/tblPiNAnalysis[[#This Row],[Población]], 0.05)), "")</f>
        <v>0.35000000000000003</v>
      </c>
      <c r="T157" s="89">
        <f>IFERROR(IF(tblPiNAnalysis[[#This Row],[EDU]]="", "", MROUND(tblPiNAnalysis[[#This Row],[EDU]]/tblPiNAnalysis[[#This Row],[Población]], 0.05)), "")</f>
        <v>0.2</v>
      </c>
      <c r="U157" s="89">
        <f>IFERROR(IF(tblPiNAnalysis[[#This Row],[PRO]]="", "", MROUND(tblPiNAnalysis[[#This Row],[PRO]]/tblPiNAnalysis[[#This Row],[Población]], 0.05)), "")</f>
        <v>0.2</v>
      </c>
      <c r="V157" s="90">
        <f>IFERROR(IF(tblPiNAnalysis[[#This Row],[ASH]]="", "", MROUND(tblPiNAnalysis[[#This Row],[ASH]]/tblPiNAnalysis[[#This Row],[Población]], 0.05)), "")</f>
        <v>0</v>
      </c>
      <c r="W157" s="89">
        <f>IFERROR(MROUND(tblPiNAnalysis[[#This Row],[NNA]]/tblPiNAnalysis[[#This Row],[Población]], 0.05), "")</f>
        <v>0.05</v>
      </c>
      <c r="X157" s="89">
        <f>IFERROR(MROUND(tblPiNAnalysis[[#This Row],[VBG]]/tblPiNAnalysis[[#This Row],[Población]], 0.05), "")</f>
        <v>0.05</v>
      </c>
      <c r="Y157" s="91">
        <f>IFERROR(LARGE(tblPiNAnalysis[[#This Row],[SAMV]:[ASH]], 1), "")</f>
        <v>12017.625</v>
      </c>
      <c r="Z157" s="92" t="str" cm="1">
        <f t="array" ref="Z157">IF(tblPiNAnalysis[[#This Row],[PiN más alto]]="", "", _xlfn.TEXTJOIN(CHAR(10), TRUE, IF(tblPiNAnalysis[[#This Row],[PiN más alto]]=tblPiNAnalysis[[#This Row],[SAMV]:[ASH]], tblPiNAnalysis[[#Headers],[SAMV]:[ASH]], "")))</f>
        <v>SAL</v>
      </c>
      <c r="AA157" s="93">
        <f>IF(tblPiNAnalysis[[#This Row],[PiN más alto]]="", "", tblPiNAnalysis[[#This Row],[PiN más alto]]/tblPiNAnalysis[[#This Row],[Población]])</f>
        <v>0.36499999999999999</v>
      </c>
      <c r="AB157" s="94" t="str">
        <f>IF(SUM(tblPiNAnalysis[[#This Row],[SAMV]:[ASH]])=0, "",IF(COUNTIF(tblPiNAnalysis[[#This Row],[SAMV]:[ASH]],"=0")+COUNTIF(tblPiNAnalysis[[#This Row],[SAMV]:[ASH]],"")&gt;=zero_pin_thresh, "Flagged", ""))</f>
        <v/>
      </c>
      <c r="AC157" s="95" t="str">
        <f>IFERROR(IF(tblPiNAnalysis[[#This Row],[PiN más alto]]="", "", IF(tblPiNAnalysis[[#This Row],[% PiN Sectores más altos]]&gt;=flag_pin_perc, "Flagged", "")), "")</f>
        <v/>
      </c>
      <c r="AD157" s="96" t="str" cm="1">
        <f t="array" ref="AD157">IF(tblPiNAnalysis[[#This Row],[PiN más alto]]=0, "",  IF(OR(COUNTIF(tblPiNAnalysis[[#This Row],[Sectores más altos]],tblSubSectorPopulation[Sector])), "Flagged", ""))</f>
        <v/>
      </c>
      <c r="AE157" s="16" cm="1">
        <f t="array" ref="AE15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6566.489846598256</v>
      </c>
      <c r="AF157" s="97" t="str" cm="1">
        <f t="array" ref="AF157">IF(tblPiNAnalysis[[#This Row],[2º PiN más alto]]="", "", _xlfn.TEXTJOIN(CHAR(10), TRUE, IF(tblPiNAnalysis[[#This Row],[2º PiN más alto]]=tblPiNAnalysis[[#This Row],[SAMV]:[ASH]], tblPiNAnalysis[[#Headers],[SAMV]:[ASH]], "")))</f>
        <v>PRO</v>
      </c>
      <c r="AG157" s="12">
        <f>IFERROR(tblPiNAnalysis[[#This Row],[2º PiN más alto]]/tblPiNAnalysis[[#This Row],[Población]], "")</f>
        <v>0.19943780855271848</v>
      </c>
      <c r="AH157" s="16">
        <f>IFERROR(tblPiNAnalysis[[#This Row],[PiN más alto]]-tblPiNAnalysis[[#This Row],[2º PiN más alto]], "")</f>
        <v>5451.135153401744</v>
      </c>
      <c r="AI157" s="14">
        <f>IFERROR(((tblPiNAnalysis[[#This Row],[PiN más alto]]-tblPiNAnalysis[[#This Row],[2º PiN más alto]])/tblPiNAnalysis[[#This Row],[2º PiN más alto]]),"")</f>
        <v>0.8301444578073448</v>
      </c>
      <c r="AJ157" s="14" t="str" cm="1">
        <f t="array" ref="AJ15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57" s="98" cm="1">
        <f t="array" ref="AK15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6168.3385142026182</v>
      </c>
      <c r="AL157" s="53" t="str" cm="1">
        <f t="array" ref="AL157">IF(tblPiNAnalysis[[#This Row],[3º PiN más alto]]="", "", _xlfn.TEXTJOIN(CHAR(10), TRUE, IF(tblPiNAnalysis[[#This Row],[3º PiN más alto]]=tblPiNAnalysis[[#This Row],[SAMV]:[ASH]], tblPiNAnalysis[[#Headers],[SAMV]:[ASH]], "")))</f>
        <v>EDU</v>
      </c>
      <c r="AM157" s="53">
        <f>IFERROR(tblPiNAnalysis[[#This Row],[3º PiN más alto]]/tblPiNAnalysis[[#This Row],[Población]], "")</f>
        <v>0.1873451333091152</v>
      </c>
      <c r="AN157" s="15">
        <f>IFERROR(tblPiNAnalysis[[#This Row],[PiN más alto]]-tblPiNAnalysis[[#This Row],[3º PiN más alto]],"")</f>
        <v>5849.2864857973818</v>
      </c>
      <c r="AO157" s="14">
        <f>IFERROR(tblPiNAnalysis[[#This Row],[Diferencia de PiN entre el más alto y el 3º más alto]]/tblPiNAnalysis[[#This Row],[3º PiN más alto]], "")</f>
        <v>0.9482758561854836</v>
      </c>
      <c r="AP157" s="96" t="str" cm="1">
        <f t="array" ref="AP15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57" s="84" cm="1">
        <f t="array" ref="AQ157">IFERROR(IF(tblPiNAnalysis[[#This Row],[ID]]="", "", INDEX(tblPiNHistorical[[SAMV]:[ASH]], MATCH(tblPiNAnalysis[[#This Row],[ID]],tblPiNHistorical[ID], 0),MATCH(_xlfn._xlws.FILTER(tblPiNAnalysis[[#Headers],[SAMV]:[ASH]], tblPiNAnalysis[[#This Row],[PiN más alto]]=tblPiNAnalysis[[#This Row],[SAMV]:[ASH]]), tblPiNHistorical[[#Headers],[SAMV]:[ASH]], 0))), "")</f>
        <v>0.7</v>
      </c>
      <c r="AR157" s="99" t="str" cm="1">
        <f t="array" ref="AR15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57" s="74" cm="1">
        <f t="array" ref="AS157">IFERROR(IF(tblPiNAnalysis[[#This Row],[ID]]="", "", INDEX(tblPiNHistorical[[SAMV]:[ASH]], MATCH(tblPiNAnalysis[[#This Row],[ID]],tblPiNHistorical[ID], 0),MATCH(_xlfn._xlws.FILTER(tblPiNAnalysis[[#Headers],[SAMV]:[ASH]], tblPiNAnalysis[[#This Row],[2º PiN más alto]]=tblPiNAnalysis[[#This Row],[SAMV]:[ASH]]), tblPiNHistorical[[#Headers],[SAMV]:[ASH]], 0))), "")</f>
        <v>-0.5</v>
      </c>
      <c r="AT157" s="100" t="str" cm="1">
        <f t="array" ref="AT15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57" s="219">
        <f>INDEX(tblSeverityAnalysis[Severidad final], MATCH(tblPiNAnalysis[[#This Row],[ID]],tblSeverityAnalysis[ID], 0))</f>
        <v>3</v>
      </c>
      <c r="AV157" s="220">
        <f>IF(tblPiNAnalysis[[#This Row],[Severidad]]&gt;2,tblPiNAnalysis[[#This Row],[PiN más alto]],)</f>
        <v>12017.625</v>
      </c>
      <c r="AW157" s="54"/>
      <c r="AX157" s="55"/>
      <c r="AY157" s="56">
        <f>COUNTIFS(tblPiNAnalysis[[#This Row],[Número de PiN ausentes/cero superior al umbral - Calidad de los datos]:[Marcador manual]],"Flagged")</f>
        <v>2</v>
      </c>
      <c r="AZ157" s="34" t="str">
        <f>IF(tblPiNAnalysis[[#This Row],[Número de marcadores]]&gt;0, "Flagged", "")</f>
        <v>Flagged</v>
      </c>
      <c r="BA157" s="92">
        <f>tblPiNAnalysis[[#This Row],[PiN preliminar]]</f>
        <v>12017.625</v>
      </c>
      <c r="BB157" s="97"/>
      <c r="BC157" s="70">
        <f>IFERROR(IF(tblPiNAnalysis[[#This Row],[Severidad]]=3,tblPiNAnalysis[[#This Row],[PiN final]]*Umbrales!$D$33,tblPiNAnalysis[[#This Row],[PiN final]]*Umbrales!$D$34),)</f>
        <v>6008.8125</v>
      </c>
      <c r="BD157" s="70">
        <f>IFERROR(IF(tblPiNAnalysis[[#This Row],[Severidad]]&gt;3,tblPiNAnalysis[[#This Row],[PiN final]]*Umbrales!$D$34,),)</f>
        <v>0</v>
      </c>
    </row>
    <row r="158" spans="1:56">
      <c r="A158" s="101" t="str">
        <f>IFERROR(_xlfn.CONCAT(IF(tblPiNAnalysis[[#This Row],[Grupo]]="", "",tblPiNAnalysis[[#This Row],[Grupo]] ),  _xlfn.IFS(tblPiNAnalysis[[#This Row],[Admin2PCODE]]&lt;&gt;"", tblPiNAnalysis[[#This Row],[Admin2PCODE]], tblPiNAnalysis[[#This Row],[Admin1PCODE]]&lt;&gt;"", tblPiNAnalysis[[#This Row],[Admin1PCODE]])),"")</f>
        <v>VenezolanosVE2019</v>
      </c>
      <c r="B158" s="105" t="s">
        <v>589</v>
      </c>
      <c r="C158" s="104" t="s">
        <v>590</v>
      </c>
      <c r="D158" s="119" t="s">
        <v>622</v>
      </c>
      <c r="E158" s="104" t="s">
        <v>623</v>
      </c>
      <c r="F158" s="358"/>
      <c r="G158" s="357">
        <v>32901</v>
      </c>
      <c r="H158" s="103" t="s">
        <v>102</v>
      </c>
      <c r="I158" s="60">
        <v>9400</v>
      </c>
      <c r="J158" s="134">
        <v>1249.2733867399661</v>
      </c>
      <c r="K158" s="57">
        <v>12008.865</v>
      </c>
      <c r="L158" s="87">
        <v>2659.5132413567894</v>
      </c>
      <c r="M158" s="87">
        <v>6585.9639488684161</v>
      </c>
      <c r="N158" s="57">
        <v>4441.6350000000002</v>
      </c>
      <c r="O158" s="57">
        <v>2107.5084636378933</v>
      </c>
      <c r="P158" s="57">
        <v>2305.0873821039459</v>
      </c>
      <c r="Q158" s="88">
        <f>IFERROR(IF(tblPiNAnalysis[[#This Row],[SAMV]]="", "", MROUND(tblPiNAnalysis[[#This Row],[SAMV]]/tblPiNAnalysis[[#This Row],[Población]], 0.05)), "")</f>
        <v>0.30000000000000004</v>
      </c>
      <c r="R158" s="89">
        <f>IFERROR(IF(tblPiNAnalysis[[#This Row],[NUT]]="", "", MROUND(tblPiNAnalysis[[#This Row],[NUT]]/tblPiNAnalysis[[#This Row],[Población]], 0.05)), "")</f>
        <v>0.05</v>
      </c>
      <c r="S158" s="89">
        <f>IFERROR(IF(tblPiNAnalysis[[#This Row],[SAL]]="", "", MROUND(tblPiNAnalysis[[#This Row],[SAL]]/tblPiNAnalysis[[#This Row],[Población]], 0.05)), "")</f>
        <v>0.35000000000000003</v>
      </c>
      <c r="T158" s="89">
        <f>IFERROR(IF(tblPiNAnalysis[[#This Row],[EDU]]="", "", MROUND(tblPiNAnalysis[[#This Row],[EDU]]/tblPiNAnalysis[[#This Row],[Población]], 0.05)), "")</f>
        <v>0.1</v>
      </c>
      <c r="U158" s="89">
        <f>IFERROR(IF(tblPiNAnalysis[[#This Row],[PRO]]="", "", MROUND(tblPiNAnalysis[[#This Row],[PRO]]/tblPiNAnalysis[[#This Row],[Población]], 0.05)), "")</f>
        <v>0.2</v>
      </c>
      <c r="V158" s="90">
        <f>IFERROR(IF(tblPiNAnalysis[[#This Row],[ASH]]="", "", MROUND(tblPiNAnalysis[[#This Row],[ASH]]/tblPiNAnalysis[[#This Row],[Población]], 0.05)), "")</f>
        <v>0.15000000000000002</v>
      </c>
      <c r="W158" s="89">
        <f>IFERROR(MROUND(tblPiNAnalysis[[#This Row],[NNA]]/tblPiNAnalysis[[#This Row],[Población]], 0.05), "")</f>
        <v>0.05</v>
      </c>
      <c r="X158" s="89">
        <f>IFERROR(MROUND(tblPiNAnalysis[[#This Row],[VBG]]/tblPiNAnalysis[[#This Row],[Población]], 0.05), "")</f>
        <v>0.05</v>
      </c>
      <c r="Y158" s="91">
        <f>IFERROR(LARGE(tblPiNAnalysis[[#This Row],[SAMV]:[ASH]], 1), "")</f>
        <v>12008.865</v>
      </c>
      <c r="Z158" s="92" t="str" cm="1">
        <f t="array" ref="Z158">IF(tblPiNAnalysis[[#This Row],[PiN más alto]]="", "", _xlfn.TEXTJOIN(CHAR(10), TRUE, IF(tblPiNAnalysis[[#This Row],[PiN más alto]]=tblPiNAnalysis[[#This Row],[SAMV]:[ASH]], tblPiNAnalysis[[#Headers],[SAMV]:[ASH]], "")))</f>
        <v>SAL</v>
      </c>
      <c r="AA158" s="93">
        <f>IF(tblPiNAnalysis[[#This Row],[PiN más alto]]="", "", tblPiNAnalysis[[#This Row],[PiN más alto]]/tblPiNAnalysis[[#This Row],[Población]])</f>
        <v>0.36499999999999999</v>
      </c>
      <c r="AB158" s="94" t="str">
        <f>IF(SUM(tblPiNAnalysis[[#This Row],[SAMV]:[ASH]])=0, "",IF(COUNTIF(tblPiNAnalysis[[#This Row],[SAMV]:[ASH]],"=0")+COUNTIF(tblPiNAnalysis[[#This Row],[SAMV]:[ASH]],"")&gt;=zero_pin_thresh, "Flagged", ""))</f>
        <v/>
      </c>
      <c r="AC158" s="95" t="str">
        <f>IFERROR(IF(tblPiNAnalysis[[#This Row],[PiN más alto]]="", "", IF(tblPiNAnalysis[[#This Row],[% PiN Sectores más altos]]&gt;=flag_pin_perc, "Flagged", "")), "")</f>
        <v/>
      </c>
      <c r="AD158" s="96" t="str" cm="1">
        <f t="array" ref="AD158">IF(tblPiNAnalysis[[#This Row],[PiN más alto]]=0, "",  IF(OR(COUNTIF(tblPiNAnalysis[[#This Row],[Sectores más altos]],tblSubSectorPopulation[Sector])), "Flagged", ""))</f>
        <v/>
      </c>
      <c r="AE158" s="16" cm="1">
        <f t="array" ref="AE15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9400</v>
      </c>
      <c r="AF158" s="97" t="str" cm="1">
        <f t="array" ref="AF158">IF(tblPiNAnalysis[[#This Row],[2º PiN más alto]]="", "", _xlfn.TEXTJOIN(CHAR(10), TRUE, IF(tblPiNAnalysis[[#This Row],[2º PiN más alto]]=tblPiNAnalysis[[#This Row],[SAMV]:[ASH]], tblPiNAnalysis[[#Headers],[SAMV]:[ASH]], "")))</f>
        <v>SAMV</v>
      </c>
      <c r="AG158" s="12">
        <f>IFERROR(tblPiNAnalysis[[#This Row],[2º PiN más alto]]/tblPiNAnalysis[[#This Row],[Población]], "")</f>
        <v>0.28570560165344516</v>
      </c>
      <c r="AH158" s="16">
        <f>IFERROR(tblPiNAnalysis[[#This Row],[PiN más alto]]-tblPiNAnalysis[[#This Row],[2º PiN más alto]], "")</f>
        <v>2608.8649999999998</v>
      </c>
      <c r="AI158" s="14">
        <f>IFERROR(((tblPiNAnalysis[[#This Row],[PiN más alto]]-tblPiNAnalysis[[#This Row],[2º PiN más alto]])/tblPiNAnalysis[[#This Row],[2º PiN más alto]]),"")</f>
        <v>0.27753882978723404</v>
      </c>
      <c r="AJ158" s="14" t="str" cm="1">
        <f t="array" ref="AJ15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58" s="98" cm="1">
        <f t="array" ref="AK15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6585.9639488684161</v>
      </c>
      <c r="AL158" s="53" t="str" cm="1">
        <f t="array" ref="AL158">IF(tblPiNAnalysis[[#This Row],[3º PiN más alto]]="", "", _xlfn.TEXTJOIN(CHAR(10), TRUE, IF(tblPiNAnalysis[[#This Row],[3º PiN más alto]]=tblPiNAnalysis[[#This Row],[SAMV]:[ASH]], tblPiNAnalysis[[#Headers],[SAMV]:[ASH]], "")))</f>
        <v>PRO</v>
      </c>
      <c r="AM158" s="53">
        <f>IFERROR(tblPiNAnalysis[[#This Row],[3º PiN más alto]]/tblPiNAnalysis[[#This Row],[Población]], "")</f>
        <v>0.2001751906892926</v>
      </c>
      <c r="AN158" s="15">
        <f>IFERROR(tblPiNAnalysis[[#This Row],[PiN más alto]]-tblPiNAnalysis[[#This Row],[3º PiN más alto]],"")</f>
        <v>5422.9010511315837</v>
      </c>
      <c r="AO158" s="14">
        <f>IFERROR(tblPiNAnalysis[[#This Row],[Diferencia de PiN entre el más alto y el 3º más alto]]/tblPiNAnalysis[[#This Row],[3º PiN más alto]], "")</f>
        <v>0.82340278404702372</v>
      </c>
      <c r="AP158" s="96" t="str" cm="1">
        <f t="array" ref="AP15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58" s="84" cm="1">
        <f t="array" ref="AQ158">IFERROR(IF(tblPiNAnalysis[[#This Row],[ID]]="", "", INDEX(tblPiNHistorical[[SAMV]:[ASH]], MATCH(tblPiNAnalysis[[#This Row],[ID]],tblPiNHistorical[ID], 0),MATCH(_xlfn._xlws.FILTER(tblPiNAnalysis[[#Headers],[SAMV]:[ASH]], tblPiNAnalysis[[#This Row],[PiN más alto]]=tblPiNAnalysis[[#This Row],[SAMV]:[ASH]]), tblPiNHistorical[[#Headers],[SAMV]:[ASH]], 0))), "")</f>
        <v>0.1</v>
      </c>
      <c r="AR158" s="99" t="str" cm="1">
        <f t="array" ref="AR15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58" s="74" t="str" cm="1">
        <f t="array" ref="AS158">IFERROR(IF(tblPiNAnalysis[[#This Row],[ID]]="", "", INDEX(tblPiNHistorical[[SAMV]:[ASH]], MATCH(tblPiNAnalysis[[#This Row],[ID]],tblPiNHistorical[ID], 0),MATCH(_xlfn._xlws.FILTER(tblPiNAnalysis[[#Headers],[SAMV]:[ASH]], tblPiNAnalysis[[#This Row],[2º PiN más alto]]=tblPiNAnalysis[[#This Row],[SAMV]:[ASH]]), tblPiNHistorical[[#Headers],[SAMV]:[ASH]], 0))), "")</f>
        <v>NoPIN26 4291</v>
      </c>
      <c r="AT158" s="100" t="str" cm="1">
        <f t="array" ref="AT15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58" s="219">
        <f>INDEX(tblSeverityAnalysis[Severidad final], MATCH(tblPiNAnalysis[[#This Row],[ID]],tblSeverityAnalysis[ID], 0))</f>
        <v>3</v>
      </c>
      <c r="AV158" s="220">
        <f>IF(tblPiNAnalysis[[#This Row],[Severidad]]&gt;2,tblPiNAnalysis[[#This Row],[PiN más alto]],)</f>
        <v>12008.865</v>
      </c>
      <c r="AW158" s="54"/>
      <c r="AX158" s="55"/>
      <c r="AY158" s="56">
        <f>COUNTIFS(tblPiNAnalysis[[#This Row],[Número de PiN ausentes/cero superior al umbral - Calidad de los datos]:[Marcador manual]],"Flagged")</f>
        <v>1</v>
      </c>
      <c r="AZ158" s="34" t="str">
        <f>IF(tblPiNAnalysis[[#This Row],[Número de marcadores]]&gt;0, "Flagged", "")</f>
        <v>Flagged</v>
      </c>
      <c r="BA158" s="92">
        <f>tblPiNAnalysis[[#This Row],[PiN preliminar]]</f>
        <v>12008.865</v>
      </c>
      <c r="BB158" s="97"/>
      <c r="BC158" s="70">
        <f>IFERROR(IF(tblPiNAnalysis[[#This Row],[Severidad]]=3,tblPiNAnalysis[[#This Row],[PiN final]]*Umbrales!$D$33,tblPiNAnalysis[[#This Row],[PiN final]]*Umbrales!$D$34),)</f>
        <v>6004.4324999999999</v>
      </c>
      <c r="BD158" s="70">
        <f>IFERROR(IF(tblPiNAnalysis[[#This Row],[Severidad]]&gt;3,tblPiNAnalysis[[#This Row],[PiN final]]*Umbrales!$D$34,),)</f>
        <v>0</v>
      </c>
    </row>
    <row r="159" spans="1:56">
      <c r="A159" s="101" t="str">
        <f>IFERROR(_xlfn.CONCAT(IF(tblPiNAnalysis[[#This Row],[Grupo]]="", "",tblPiNAnalysis[[#This Row],[Grupo]] ),  _xlfn.IFS(tblPiNAnalysis[[#This Row],[Admin2PCODE]]&lt;&gt;"", tblPiNAnalysis[[#This Row],[Admin2PCODE]], tblPiNAnalysis[[#This Row],[Admin1PCODE]]&lt;&gt;"", tblPiNAnalysis[[#This Row],[Admin1PCODE]])),"")</f>
        <v>VenezolanosVE1115</v>
      </c>
      <c r="B159" s="105" t="s">
        <v>316</v>
      </c>
      <c r="C159" s="104" t="s">
        <v>317</v>
      </c>
      <c r="D159" s="119" t="s">
        <v>343</v>
      </c>
      <c r="E159" s="104" t="s">
        <v>344</v>
      </c>
      <c r="F159" s="358"/>
      <c r="G159" s="357">
        <v>19740</v>
      </c>
      <c r="H159" s="103" t="s">
        <v>102</v>
      </c>
      <c r="I159" s="60">
        <v>0</v>
      </c>
      <c r="J159" s="134">
        <v>1509.786920248705</v>
      </c>
      <c r="K159" s="57">
        <v>7205.1</v>
      </c>
      <c r="L159" s="87">
        <v>1104.3965335057878</v>
      </c>
      <c r="M159" s="87">
        <v>3936.9023408306639</v>
      </c>
      <c r="N159" s="57">
        <v>11844</v>
      </c>
      <c r="O159" s="57">
        <v>1259.8087490658124</v>
      </c>
      <c r="P159" s="57">
        <v>1377.9158192907323</v>
      </c>
      <c r="Q159" s="88">
        <f>IFERROR(IF(tblPiNAnalysis[[#This Row],[SAMV]]="", "", MROUND(tblPiNAnalysis[[#This Row],[SAMV]]/tblPiNAnalysis[[#This Row],[Población]], 0.05)), "")</f>
        <v>0</v>
      </c>
      <c r="R159" s="89">
        <f>IFERROR(IF(tblPiNAnalysis[[#This Row],[NUT]]="", "", MROUND(tblPiNAnalysis[[#This Row],[NUT]]/tblPiNAnalysis[[#This Row],[Población]], 0.05)), "")</f>
        <v>0.1</v>
      </c>
      <c r="S159" s="89">
        <f>IFERROR(IF(tblPiNAnalysis[[#This Row],[SAL]]="", "", MROUND(tblPiNAnalysis[[#This Row],[SAL]]/tblPiNAnalysis[[#This Row],[Población]], 0.05)), "")</f>
        <v>0.35000000000000003</v>
      </c>
      <c r="T159" s="89">
        <f>IFERROR(IF(tblPiNAnalysis[[#This Row],[EDU]]="", "", MROUND(tblPiNAnalysis[[#This Row],[EDU]]/tblPiNAnalysis[[#This Row],[Población]], 0.05)), "")</f>
        <v>0.05</v>
      </c>
      <c r="U159" s="89">
        <f>IFERROR(IF(tblPiNAnalysis[[#This Row],[PRO]]="", "", MROUND(tblPiNAnalysis[[#This Row],[PRO]]/tblPiNAnalysis[[#This Row],[Población]], 0.05)), "")</f>
        <v>0.2</v>
      </c>
      <c r="V159" s="90">
        <f>IFERROR(IF(tblPiNAnalysis[[#This Row],[ASH]]="", "", MROUND(tblPiNAnalysis[[#This Row],[ASH]]/tblPiNAnalysis[[#This Row],[Población]], 0.05)), "")</f>
        <v>0.60000000000000009</v>
      </c>
      <c r="W159" s="89">
        <f>IFERROR(MROUND(tblPiNAnalysis[[#This Row],[NNA]]/tblPiNAnalysis[[#This Row],[Población]], 0.05), "")</f>
        <v>0.05</v>
      </c>
      <c r="X159" s="89">
        <f>IFERROR(MROUND(tblPiNAnalysis[[#This Row],[VBG]]/tblPiNAnalysis[[#This Row],[Población]], 0.05), "")</f>
        <v>0.05</v>
      </c>
      <c r="Y159" s="91">
        <f>IFERROR(LARGE(tblPiNAnalysis[[#This Row],[SAMV]:[ASH]], 1), "")</f>
        <v>11844</v>
      </c>
      <c r="Z159" s="92" t="str" cm="1">
        <f t="array" ref="Z159">IF(tblPiNAnalysis[[#This Row],[PiN más alto]]="", "", _xlfn.TEXTJOIN(CHAR(10), TRUE, IF(tblPiNAnalysis[[#This Row],[PiN más alto]]=tblPiNAnalysis[[#This Row],[SAMV]:[ASH]], tblPiNAnalysis[[#Headers],[SAMV]:[ASH]], "")))</f>
        <v>ASH</v>
      </c>
      <c r="AA159" s="93">
        <f>IF(tblPiNAnalysis[[#This Row],[PiN más alto]]="", "", tblPiNAnalysis[[#This Row],[PiN más alto]]/tblPiNAnalysis[[#This Row],[Población]])</f>
        <v>0.6</v>
      </c>
      <c r="AB159" s="94" t="str">
        <f>IF(SUM(tblPiNAnalysis[[#This Row],[SAMV]:[ASH]])=0, "",IF(COUNTIF(tblPiNAnalysis[[#This Row],[SAMV]:[ASH]],"=0")+COUNTIF(tblPiNAnalysis[[#This Row],[SAMV]:[ASH]],"")&gt;=zero_pin_thresh, "Flagged", ""))</f>
        <v/>
      </c>
      <c r="AC159" s="95" t="str">
        <f>IFERROR(IF(tblPiNAnalysis[[#This Row],[PiN más alto]]="", "", IF(tblPiNAnalysis[[#This Row],[% PiN Sectores más altos]]&gt;=flag_pin_perc, "Flagged", "")), "")</f>
        <v/>
      </c>
      <c r="AD159" s="96" t="str" cm="1">
        <f t="array" ref="AD159">IF(tblPiNAnalysis[[#This Row],[PiN más alto]]=0, "",  IF(OR(COUNTIF(tblPiNAnalysis[[#This Row],[Sectores más altos]],tblSubSectorPopulation[Sector])), "Flagged", ""))</f>
        <v/>
      </c>
      <c r="AE159" s="16" cm="1">
        <f t="array" ref="AE15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7205.1</v>
      </c>
      <c r="AF159" s="97" t="str" cm="1">
        <f t="array" ref="AF159">IF(tblPiNAnalysis[[#This Row],[2º PiN más alto]]="", "", _xlfn.TEXTJOIN(CHAR(10), TRUE, IF(tblPiNAnalysis[[#This Row],[2º PiN más alto]]=tblPiNAnalysis[[#This Row],[SAMV]:[ASH]], tblPiNAnalysis[[#Headers],[SAMV]:[ASH]], "")))</f>
        <v>SAL</v>
      </c>
      <c r="AG159" s="12">
        <f>IFERROR(tblPiNAnalysis[[#This Row],[2º PiN más alto]]/tblPiNAnalysis[[#This Row],[Población]], "")</f>
        <v>0.36499999999999999</v>
      </c>
      <c r="AH159" s="16">
        <f>IFERROR(tblPiNAnalysis[[#This Row],[PiN más alto]]-tblPiNAnalysis[[#This Row],[2º PiN más alto]], "")</f>
        <v>4638.8999999999996</v>
      </c>
      <c r="AI159" s="14">
        <f>IFERROR(((tblPiNAnalysis[[#This Row],[PiN más alto]]-tblPiNAnalysis[[#This Row],[2º PiN más alto]])/tblPiNAnalysis[[#This Row],[2º PiN más alto]]),"")</f>
        <v>0.64383561643835607</v>
      </c>
      <c r="AJ159" s="14" t="str" cm="1">
        <f t="array" ref="AJ15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59" s="98" cm="1">
        <f t="array" ref="AK15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3936.9023408306639</v>
      </c>
      <c r="AL159" s="53" t="str" cm="1">
        <f t="array" ref="AL159">IF(tblPiNAnalysis[[#This Row],[3º PiN más alto]]="", "", _xlfn.TEXTJOIN(CHAR(10), TRUE, IF(tblPiNAnalysis[[#This Row],[3º PiN más alto]]=tblPiNAnalysis[[#This Row],[SAMV]:[ASH]], tblPiNAnalysis[[#Headers],[SAMV]:[ASH]], "")))</f>
        <v>PRO</v>
      </c>
      <c r="AM159" s="53">
        <f>IFERROR(tblPiNAnalysis[[#This Row],[3º PiN más alto]]/tblPiNAnalysis[[#This Row],[Población]], "")</f>
        <v>0.19943780855271853</v>
      </c>
      <c r="AN159" s="15">
        <f>IFERROR(tblPiNAnalysis[[#This Row],[PiN más alto]]-tblPiNAnalysis[[#This Row],[3º PiN más alto]],"")</f>
        <v>7907.0976591693361</v>
      </c>
      <c r="AO159" s="14">
        <f>IFERROR(tblPiNAnalysis[[#This Row],[Diferencia de PiN entre el más alto y el 3º más alto]]/tblPiNAnalysis[[#This Row],[3º PiN más alto]], "")</f>
        <v>2.0084566429709771</v>
      </c>
      <c r="AP159" s="96" t="str" cm="1">
        <f t="array" ref="AP15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59" s="84" t="str" cm="1">
        <f t="array" ref="AQ159">IFERROR(IF(tblPiNAnalysis[[#This Row],[ID]]="", "", INDEX(tblPiNHistorical[[SAMV]:[ASH]], MATCH(tblPiNAnalysis[[#This Row],[ID]],tblPiNHistorical[ID], 0),MATCH(_xlfn._xlws.FILTER(tblPiNAnalysis[[#Headers],[SAMV]:[ASH]], tblPiNAnalysis[[#This Row],[PiN más alto]]=tblPiNAnalysis[[#This Row],[SAMV]:[ASH]]), tblPiNHistorical[[#Headers],[SAMV]:[ASH]], 0))), "")</f>
        <v>NoPIN26 9650</v>
      </c>
      <c r="AR159" s="99" t="str" cm="1">
        <f t="array" ref="AR15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59" s="74" cm="1">
        <f t="array" ref="AS159">IFERROR(IF(tblPiNAnalysis[[#This Row],[ID]]="", "", INDEX(tblPiNHistorical[[SAMV]:[ASH]], MATCH(tblPiNAnalysis[[#This Row],[ID]],tblPiNHistorical[ID], 0),MATCH(_xlfn._xlws.FILTER(tblPiNAnalysis[[#Headers],[SAMV]:[ASH]], tblPiNAnalysis[[#This Row],[2º PiN más alto]]=tblPiNAnalysis[[#This Row],[SAMV]:[ASH]]), tblPiNHistorical[[#Headers],[SAMV]:[ASH]], 0))), "")</f>
        <v>2.6</v>
      </c>
      <c r="AT159" s="100" t="str" cm="1">
        <f t="array" ref="AT15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59" s="219">
        <f>INDEX(tblSeverityAnalysis[Severidad final], MATCH(tblPiNAnalysis[[#This Row],[ID]],tblSeverityAnalysis[ID], 0))</f>
        <v>3</v>
      </c>
      <c r="AV159" s="220">
        <f>IF(tblPiNAnalysis[[#This Row],[Severidad]]&gt;2,tblPiNAnalysis[[#This Row],[PiN más alto]],)</f>
        <v>11844</v>
      </c>
      <c r="AW159" s="54"/>
      <c r="AX159" s="55"/>
      <c r="AY159" s="56">
        <f>COUNTIFS(tblPiNAnalysis[[#This Row],[Número de PiN ausentes/cero superior al umbral - Calidad de los datos]:[Marcador manual]],"Flagged")</f>
        <v>3</v>
      </c>
      <c r="AZ159" s="34" t="str">
        <f>IF(tblPiNAnalysis[[#This Row],[Número de marcadores]]&gt;0, "Flagged", "")</f>
        <v>Flagged</v>
      </c>
      <c r="BA159" s="92">
        <f>tblPiNAnalysis[[#This Row],[PiN preliminar]]</f>
        <v>11844</v>
      </c>
      <c r="BB159" s="97"/>
      <c r="BC159" s="70">
        <f>IFERROR(IF(tblPiNAnalysis[[#This Row],[Severidad]]=3,tblPiNAnalysis[[#This Row],[PiN final]]*Umbrales!$D$33,tblPiNAnalysis[[#This Row],[PiN final]]*Umbrales!$D$34),)</f>
        <v>5922</v>
      </c>
      <c r="BD159" s="70">
        <f>IFERROR(IF(tblPiNAnalysis[[#This Row],[Severidad]]&gt;3,tblPiNAnalysis[[#This Row],[PiN final]]*Umbrales!$D$34,),)</f>
        <v>0</v>
      </c>
    </row>
    <row r="160" spans="1:56">
      <c r="A160" s="101" t="str">
        <f>IFERROR(_xlfn.CONCAT(IF(tblPiNAnalysis[[#This Row],[Grupo]]="", "",tblPiNAnalysis[[#This Row],[Grupo]] ),  _xlfn.IFS(tblPiNAnalysis[[#This Row],[Admin2PCODE]]&lt;&gt;"", tblPiNAnalysis[[#This Row],[Admin2PCODE]], tblPiNAnalysis[[#This Row],[Admin1PCODE]]&lt;&gt;"", tblPiNAnalysis[[#This Row],[Admin1PCODE]])),"")</f>
        <v>VenezolanosVE1904</v>
      </c>
      <c r="B160" s="105" t="s">
        <v>203</v>
      </c>
      <c r="C160" s="104" t="s">
        <v>564</v>
      </c>
      <c r="D160" s="119" t="s">
        <v>569</v>
      </c>
      <c r="E160" s="104" t="s">
        <v>570</v>
      </c>
      <c r="F160" s="358"/>
      <c r="G160" s="357">
        <v>31809</v>
      </c>
      <c r="H160" s="103" t="s">
        <v>102</v>
      </c>
      <c r="I160" s="60">
        <v>7583</v>
      </c>
      <c r="J160" s="134">
        <v>3776.3076856644811</v>
      </c>
      <c r="K160" s="57">
        <v>11610.285</v>
      </c>
      <c r="L160" s="87">
        <v>902.69684372307597</v>
      </c>
      <c r="M160" s="87">
        <v>6345.5040643637112</v>
      </c>
      <c r="N160" s="57">
        <v>4294.2150000000001</v>
      </c>
      <c r="O160" s="57">
        <v>2030.5613005963874</v>
      </c>
      <c r="P160" s="57">
        <v>2220.9264225272987</v>
      </c>
      <c r="Q160" s="88">
        <f>IFERROR(IF(tblPiNAnalysis[[#This Row],[SAMV]]="", "", MROUND(tblPiNAnalysis[[#This Row],[SAMV]]/tblPiNAnalysis[[#This Row],[Población]], 0.05)), "")</f>
        <v>0.25</v>
      </c>
      <c r="R160" s="89">
        <f>IFERROR(IF(tblPiNAnalysis[[#This Row],[NUT]]="", "", MROUND(tblPiNAnalysis[[#This Row],[NUT]]/tblPiNAnalysis[[#This Row],[Población]], 0.05)), "")</f>
        <v>0.1</v>
      </c>
      <c r="S160" s="89">
        <f>IFERROR(IF(tblPiNAnalysis[[#This Row],[SAL]]="", "", MROUND(tblPiNAnalysis[[#This Row],[SAL]]/tblPiNAnalysis[[#This Row],[Población]], 0.05)), "")</f>
        <v>0.35000000000000003</v>
      </c>
      <c r="T160" s="89">
        <f>IFERROR(IF(tblPiNAnalysis[[#This Row],[EDU]]="", "", MROUND(tblPiNAnalysis[[#This Row],[EDU]]/tblPiNAnalysis[[#This Row],[Población]], 0.05)), "")</f>
        <v>0.05</v>
      </c>
      <c r="U160" s="89">
        <f>IFERROR(IF(tblPiNAnalysis[[#This Row],[PRO]]="", "", MROUND(tblPiNAnalysis[[#This Row],[PRO]]/tblPiNAnalysis[[#This Row],[Población]], 0.05)), "")</f>
        <v>0.2</v>
      </c>
      <c r="V160" s="90">
        <f>IFERROR(IF(tblPiNAnalysis[[#This Row],[ASH]]="", "", MROUND(tblPiNAnalysis[[#This Row],[ASH]]/tblPiNAnalysis[[#This Row],[Población]], 0.05)), "")</f>
        <v>0.15000000000000002</v>
      </c>
      <c r="W160" s="89">
        <f>IFERROR(MROUND(tblPiNAnalysis[[#This Row],[NNA]]/tblPiNAnalysis[[#This Row],[Población]], 0.05), "")</f>
        <v>0.05</v>
      </c>
      <c r="X160" s="89">
        <f>IFERROR(MROUND(tblPiNAnalysis[[#This Row],[VBG]]/tblPiNAnalysis[[#This Row],[Población]], 0.05), "")</f>
        <v>0.05</v>
      </c>
      <c r="Y160" s="91">
        <f>IFERROR(LARGE(tblPiNAnalysis[[#This Row],[SAMV]:[ASH]], 1), "")</f>
        <v>11610.285</v>
      </c>
      <c r="Z160" s="92" t="str" cm="1">
        <f t="array" ref="Z160">IF(tblPiNAnalysis[[#This Row],[PiN más alto]]="", "", _xlfn.TEXTJOIN(CHAR(10), TRUE, IF(tblPiNAnalysis[[#This Row],[PiN más alto]]=tblPiNAnalysis[[#This Row],[SAMV]:[ASH]], tblPiNAnalysis[[#Headers],[SAMV]:[ASH]], "")))</f>
        <v>SAL</v>
      </c>
      <c r="AA160" s="93">
        <f>IF(tblPiNAnalysis[[#This Row],[PiN más alto]]="", "", tblPiNAnalysis[[#This Row],[PiN más alto]]/tblPiNAnalysis[[#This Row],[Población]])</f>
        <v>0.36499999999999999</v>
      </c>
      <c r="AB160" s="94" t="str">
        <f>IF(SUM(tblPiNAnalysis[[#This Row],[SAMV]:[ASH]])=0, "",IF(COUNTIF(tblPiNAnalysis[[#This Row],[SAMV]:[ASH]],"=0")+COUNTIF(tblPiNAnalysis[[#This Row],[SAMV]:[ASH]],"")&gt;=zero_pin_thresh, "Flagged", ""))</f>
        <v/>
      </c>
      <c r="AC160" s="95" t="str">
        <f>IFERROR(IF(tblPiNAnalysis[[#This Row],[PiN más alto]]="", "", IF(tblPiNAnalysis[[#This Row],[% PiN Sectores más altos]]&gt;=flag_pin_perc, "Flagged", "")), "")</f>
        <v/>
      </c>
      <c r="AD160" s="96" t="str" cm="1">
        <f t="array" ref="AD160">IF(tblPiNAnalysis[[#This Row],[PiN más alto]]=0, "",  IF(OR(COUNTIF(tblPiNAnalysis[[#This Row],[Sectores más altos]],tblSubSectorPopulation[Sector])), "Flagged", ""))</f>
        <v/>
      </c>
      <c r="AE160" s="16" cm="1">
        <f t="array" ref="AE16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7583</v>
      </c>
      <c r="AF160" s="97" t="str" cm="1">
        <f t="array" ref="AF160">IF(tblPiNAnalysis[[#This Row],[2º PiN más alto]]="", "", _xlfn.TEXTJOIN(CHAR(10), TRUE, IF(tblPiNAnalysis[[#This Row],[2º PiN más alto]]=tblPiNAnalysis[[#This Row],[SAMV]:[ASH]], tblPiNAnalysis[[#Headers],[SAMV]:[ASH]], "")))</f>
        <v>SAMV</v>
      </c>
      <c r="AG160" s="12">
        <f>IFERROR(tblPiNAnalysis[[#This Row],[2º PiN más alto]]/tblPiNAnalysis[[#This Row],[Población]], "")</f>
        <v>0.23839165016190386</v>
      </c>
      <c r="AH160" s="16">
        <f>IFERROR(tblPiNAnalysis[[#This Row],[PiN más alto]]-tblPiNAnalysis[[#This Row],[2º PiN más alto]], "")</f>
        <v>4027.2849999999999</v>
      </c>
      <c r="AI160" s="14">
        <f>IFERROR(((tblPiNAnalysis[[#This Row],[PiN más alto]]-tblPiNAnalysis[[#This Row],[2º PiN más alto]])/tblPiNAnalysis[[#This Row],[2º PiN más alto]]),"")</f>
        <v>0.53109389423710929</v>
      </c>
      <c r="AJ160" s="14" t="str" cm="1">
        <f t="array" ref="AJ16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60" s="98" cm="1">
        <f t="array" ref="AK16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6345.5040643637112</v>
      </c>
      <c r="AL160" s="53" t="str" cm="1">
        <f t="array" ref="AL160">IF(tblPiNAnalysis[[#This Row],[3º PiN más alto]]="", "", _xlfn.TEXTJOIN(CHAR(10), TRUE, IF(tblPiNAnalysis[[#This Row],[3º PiN más alto]]=tblPiNAnalysis[[#This Row],[SAMV]:[ASH]], tblPiNAnalysis[[#Headers],[SAMV]:[ASH]], "")))</f>
        <v>PRO</v>
      </c>
      <c r="AM160" s="53">
        <f>IFERROR(tblPiNAnalysis[[#This Row],[3º PiN más alto]]/tblPiNAnalysis[[#This Row],[Población]], "")</f>
        <v>0.1994876941860389</v>
      </c>
      <c r="AN160" s="15">
        <f>IFERROR(tblPiNAnalysis[[#This Row],[PiN más alto]]-tblPiNAnalysis[[#This Row],[3º PiN más alto]],"")</f>
        <v>5264.7809356362886</v>
      </c>
      <c r="AO160" s="14">
        <f>IFERROR(tblPiNAnalysis[[#This Row],[Diferencia de PiN entre el más alto y el 3º más alto]]/tblPiNAnalysis[[#This Row],[3º PiN más alto]], "")</f>
        <v>0.82968679591637906</v>
      </c>
      <c r="AP160" s="96" t="str" cm="1">
        <f t="array" ref="AP16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60" s="84" cm="1">
        <f t="array" ref="AQ160">IFERROR(IF(tblPiNAnalysis[[#This Row],[ID]]="", "", INDEX(tblPiNHistorical[[SAMV]:[ASH]], MATCH(tblPiNAnalysis[[#This Row],[ID]],tblPiNHistorical[ID], 0),MATCH(_xlfn._xlws.FILTER(tblPiNAnalysis[[#Headers],[SAMV]:[ASH]], tblPiNAnalysis[[#This Row],[PiN más alto]]=tblPiNAnalysis[[#This Row],[SAMV]:[ASH]]), tblPiNHistorical[[#Headers],[SAMV]:[ASH]], 0))), "")</f>
        <v>8.6999999999999993</v>
      </c>
      <c r="AR160" s="99" t="str" cm="1">
        <f t="array" ref="AR16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60" s="74" cm="1">
        <f t="array" ref="AS160">IFERROR(IF(tblPiNAnalysis[[#This Row],[ID]]="", "", INDEX(tblPiNHistorical[[SAMV]:[ASH]], MATCH(tblPiNAnalysis[[#This Row],[ID]],tblPiNHistorical[ID], 0),MATCH(_xlfn._xlws.FILTER(tblPiNAnalysis[[#Headers],[SAMV]:[ASH]], tblPiNAnalysis[[#This Row],[2º PiN más alto]]=tblPiNAnalysis[[#This Row],[SAMV]:[ASH]]), tblPiNHistorical[[#Headers],[SAMV]:[ASH]], 0))), "")</f>
        <v>7.1</v>
      </c>
      <c r="AT160" s="100" t="str" cm="1">
        <f t="array" ref="AT16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60" s="219">
        <f>INDEX(tblSeverityAnalysis[Severidad final], MATCH(tblPiNAnalysis[[#This Row],[ID]],tblSeverityAnalysis[ID], 0))</f>
        <v>3</v>
      </c>
      <c r="AV160" s="220">
        <f>IF(tblPiNAnalysis[[#This Row],[Severidad]]&gt;2,tblPiNAnalysis[[#This Row],[PiN más alto]],)</f>
        <v>11610.285</v>
      </c>
      <c r="AW160" s="54"/>
      <c r="AX160" s="55"/>
      <c r="AY160" s="56">
        <f>COUNTIFS(tblPiNAnalysis[[#This Row],[Número de PiN ausentes/cero superior al umbral - Calidad de los datos]:[Marcador manual]],"Flagged")</f>
        <v>4</v>
      </c>
      <c r="AZ160" s="34" t="str">
        <f>IF(tblPiNAnalysis[[#This Row],[Número de marcadores]]&gt;0, "Flagged", "")</f>
        <v>Flagged</v>
      </c>
      <c r="BA160" s="92">
        <f>tblPiNAnalysis[[#This Row],[PiN preliminar]]</f>
        <v>11610.285</v>
      </c>
      <c r="BB160" s="97"/>
      <c r="BC160" s="70">
        <f>IFERROR(IF(tblPiNAnalysis[[#This Row],[Severidad]]=3,tblPiNAnalysis[[#This Row],[PiN final]]*Umbrales!$D$33,tblPiNAnalysis[[#This Row],[PiN final]]*Umbrales!$D$34),)</f>
        <v>5805.1424999999999</v>
      </c>
      <c r="BD160" s="70">
        <f>IFERROR(IF(tblPiNAnalysis[[#This Row],[Severidad]]&gt;3,tblPiNAnalysis[[#This Row],[PiN final]]*Umbrales!$D$34,),)</f>
        <v>0</v>
      </c>
    </row>
    <row r="161" spans="1:56">
      <c r="A161" s="101" t="str">
        <f>IFERROR(_xlfn.CONCAT(IF(tblPiNAnalysis[[#This Row],[Grupo]]="", "",tblPiNAnalysis[[#This Row],[Grupo]] ),  _xlfn.IFS(tblPiNAnalysis[[#This Row],[Admin2PCODE]]&lt;&gt;"", tblPiNAnalysis[[#This Row],[Admin2PCODE]], tblPiNAnalysis[[#This Row],[Admin1PCODE]]&lt;&gt;"", tblPiNAnalysis[[#This Row],[Admin1PCODE]])),"")</f>
        <v>VenezolanosVE0306</v>
      </c>
      <c r="B161" s="105" t="s">
        <v>119</v>
      </c>
      <c r="C161" s="104" t="s">
        <v>120</v>
      </c>
      <c r="D161" s="119" t="s">
        <v>131</v>
      </c>
      <c r="E161" s="104" t="s">
        <v>132</v>
      </c>
      <c r="F161" s="358"/>
      <c r="G161" s="357">
        <v>31591</v>
      </c>
      <c r="H161" s="103" t="s">
        <v>102</v>
      </c>
      <c r="I161" s="60">
        <v>8505</v>
      </c>
      <c r="J161" s="134">
        <v>1047.3853281418537</v>
      </c>
      <c r="K161" s="57">
        <v>11530.715</v>
      </c>
      <c r="L161" s="87">
        <v>2827.5996516653167</v>
      </c>
      <c r="M161" s="87">
        <v>6283.4335677643003</v>
      </c>
      <c r="N161" s="57">
        <v>4264.7849999999999</v>
      </c>
      <c r="O161" s="57">
        <v>2010.6987416845761</v>
      </c>
      <c r="P161" s="57">
        <v>2199.2017487175049</v>
      </c>
      <c r="Q161" s="88">
        <f>IFERROR(IF(tblPiNAnalysis[[#This Row],[SAMV]]="", "", MROUND(tblPiNAnalysis[[#This Row],[SAMV]]/tblPiNAnalysis[[#This Row],[Población]], 0.05)), "")</f>
        <v>0.25</v>
      </c>
      <c r="R161" s="89">
        <f>IFERROR(IF(tblPiNAnalysis[[#This Row],[NUT]]="", "", MROUND(tblPiNAnalysis[[#This Row],[NUT]]/tblPiNAnalysis[[#This Row],[Población]], 0.05)), "")</f>
        <v>0.05</v>
      </c>
      <c r="S161" s="89">
        <f>IFERROR(IF(tblPiNAnalysis[[#This Row],[SAL]]="", "", MROUND(tblPiNAnalysis[[#This Row],[SAL]]/tblPiNAnalysis[[#This Row],[Población]], 0.05)), "")</f>
        <v>0.35000000000000003</v>
      </c>
      <c r="T161" s="89">
        <f>IFERROR(IF(tblPiNAnalysis[[#This Row],[EDU]]="", "", MROUND(tblPiNAnalysis[[#This Row],[EDU]]/tblPiNAnalysis[[#This Row],[Población]], 0.05)), "")</f>
        <v>0.1</v>
      </c>
      <c r="U161" s="89">
        <f>IFERROR(IF(tblPiNAnalysis[[#This Row],[PRO]]="", "", MROUND(tblPiNAnalysis[[#This Row],[PRO]]/tblPiNAnalysis[[#This Row],[Población]], 0.05)), "")</f>
        <v>0.2</v>
      </c>
      <c r="V161" s="90">
        <f>IFERROR(IF(tblPiNAnalysis[[#This Row],[ASH]]="", "", MROUND(tblPiNAnalysis[[#This Row],[ASH]]/tblPiNAnalysis[[#This Row],[Población]], 0.05)), "")</f>
        <v>0.15000000000000002</v>
      </c>
      <c r="W161" s="89">
        <f>IFERROR(MROUND(tblPiNAnalysis[[#This Row],[NNA]]/tblPiNAnalysis[[#This Row],[Población]], 0.05), "")</f>
        <v>0.05</v>
      </c>
      <c r="X161" s="89">
        <f>IFERROR(MROUND(tblPiNAnalysis[[#This Row],[VBG]]/tblPiNAnalysis[[#This Row],[Población]], 0.05), "")</f>
        <v>0.05</v>
      </c>
      <c r="Y161" s="91">
        <f>IFERROR(LARGE(tblPiNAnalysis[[#This Row],[SAMV]:[ASH]], 1), "")</f>
        <v>11530.715</v>
      </c>
      <c r="Z161" s="92" t="str" cm="1">
        <f t="array" ref="Z161">IF(tblPiNAnalysis[[#This Row],[PiN más alto]]="", "", _xlfn.TEXTJOIN(CHAR(10), TRUE, IF(tblPiNAnalysis[[#This Row],[PiN más alto]]=tblPiNAnalysis[[#This Row],[SAMV]:[ASH]], tblPiNAnalysis[[#Headers],[SAMV]:[ASH]], "")))</f>
        <v>SAL</v>
      </c>
      <c r="AA161" s="93">
        <f>IF(tblPiNAnalysis[[#This Row],[PiN más alto]]="", "", tblPiNAnalysis[[#This Row],[PiN más alto]]/tblPiNAnalysis[[#This Row],[Población]])</f>
        <v>0.36499999999999999</v>
      </c>
      <c r="AB161" s="94" t="str">
        <f>IF(SUM(tblPiNAnalysis[[#This Row],[SAMV]:[ASH]])=0, "",IF(COUNTIF(tblPiNAnalysis[[#This Row],[SAMV]:[ASH]],"=0")+COUNTIF(tblPiNAnalysis[[#This Row],[SAMV]:[ASH]],"")&gt;=zero_pin_thresh, "Flagged", ""))</f>
        <v/>
      </c>
      <c r="AC161" s="95" t="str">
        <f>IFERROR(IF(tblPiNAnalysis[[#This Row],[PiN más alto]]="", "", IF(tblPiNAnalysis[[#This Row],[% PiN Sectores más altos]]&gt;=flag_pin_perc, "Flagged", "")), "")</f>
        <v/>
      </c>
      <c r="AD161" s="96" t="str" cm="1">
        <f t="array" ref="AD161">IF(tblPiNAnalysis[[#This Row],[PiN más alto]]=0, "",  IF(OR(COUNTIF(tblPiNAnalysis[[#This Row],[Sectores más altos]],tblSubSectorPopulation[Sector])), "Flagged", ""))</f>
        <v/>
      </c>
      <c r="AE161" s="16" cm="1">
        <f t="array" ref="AE16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8505</v>
      </c>
      <c r="AF161" s="97" t="str" cm="1">
        <f t="array" ref="AF161">IF(tblPiNAnalysis[[#This Row],[2º PiN más alto]]="", "", _xlfn.TEXTJOIN(CHAR(10), TRUE, IF(tblPiNAnalysis[[#This Row],[2º PiN más alto]]=tblPiNAnalysis[[#This Row],[SAMV]:[ASH]], tblPiNAnalysis[[#Headers],[SAMV]:[ASH]], "")))</f>
        <v>SAMV</v>
      </c>
      <c r="AG161" s="12">
        <f>IFERROR(tblPiNAnalysis[[#This Row],[2º PiN más alto]]/tblPiNAnalysis[[#This Row],[Población]], "")</f>
        <v>0.2692222468424551</v>
      </c>
      <c r="AH161" s="16">
        <f>IFERROR(tblPiNAnalysis[[#This Row],[PiN más alto]]-tblPiNAnalysis[[#This Row],[2º PiN más alto]], "")</f>
        <v>3025.7150000000001</v>
      </c>
      <c r="AI161" s="14">
        <f>IFERROR(((tblPiNAnalysis[[#This Row],[PiN más alto]]-tblPiNAnalysis[[#This Row],[2º PiN más alto]])/tblPiNAnalysis[[#This Row],[2º PiN más alto]]),"")</f>
        <v>0.35575720164609054</v>
      </c>
      <c r="AJ161" s="14" t="str" cm="1">
        <f t="array" ref="AJ16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61" s="98" cm="1">
        <f t="array" ref="AK16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6283.4335677643003</v>
      </c>
      <c r="AL161" s="53" t="str" cm="1">
        <f t="array" ref="AL161">IF(tblPiNAnalysis[[#This Row],[3º PiN más alto]]="", "", _xlfn.TEXTJOIN(CHAR(10), TRUE, IF(tblPiNAnalysis[[#This Row],[3º PiN más alto]]=tblPiNAnalysis[[#This Row],[SAMV]:[ASH]], tblPiNAnalysis[[#Headers],[SAMV]:[ASH]], "")))</f>
        <v>PRO</v>
      </c>
      <c r="AM161" s="53">
        <f>IFERROR(tblPiNAnalysis[[#This Row],[3º PiN más alto]]/tblPiNAnalysis[[#This Row],[Población]], "")</f>
        <v>0.19889948300985408</v>
      </c>
      <c r="AN161" s="15">
        <f>IFERROR(tblPiNAnalysis[[#This Row],[PiN más alto]]-tblPiNAnalysis[[#This Row],[3º PiN más alto]],"")</f>
        <v>5247.2814322356999</v>
      </c>
      <c r="AO161" s="14">
        <f>IFERROR(tblPiNAnalysis[[#This Row],[Diferencia de PiN entre el más alto y el 3º más alto]]/tblPiNAnalysis[[#This Row],[3º PiN más alto]], "")</f>
        <v>0.83509778143524283</v>
      </c>
      <c r="AP161" s="96" t="str" cm="1">
        <f t="array" ref="AP16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61" s="84" cm="1">
        <f t="array" ref="AQ161">IFERROR(IF(tblPiNAnalysis[[#This Row],[ID]]="", "", INDEX(tblPiNHistorical[[SAMV]:[ASH]], MATCH(tblPiNAnalysis[[#This Row],[ID]],tblPiNHistorical[ID], 0),MATCH(_xlfn._xlws.FILTER(tblPiNAnalysis[[#Headers],[SAMV]:[ASH]], tblPiNAnalysis[[#This Row],[PiN más alto]]=tblPiNAnalysis[[#This Row],[SAMV]:[ASH]]), tblPiNHistorical[[#Headers],[SAMV]:[ASH]], 0))), "")</f>
        <v>10.1</v>
      </c>
      <c r="AR161" s="99" t="str" cm="1">
        <f t="array" ref="AR16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61" s="74" cm="1">
        <f t="array" ref="AS161">IFERROR(IF(tblPiNAnalysis[[#This Row],[ID]]="", "", INDEX(tblPiNHistorical[[SAMV]:[ASH]], MATCH(tblPiNAnalysis[[#This Row],[ID]],tblPiNHistorical[ID], 0),MATCH(_xlfn._xlws.FILTER(tblPiNAnalysis[[#Headers],[SAMV]:[ASH]], tblPiNAnalysis[[#This Row],[2º PiN más alto]]=tblPiNAnalysis[[#This Row],[SAMV]:[ASH]]), tblPiNHistorical[[#Headers],[SAMV]:[ASH]], 0))), "")</f>
        <v>6</v>
      </c>
      <c r="AT161" s="100" t="str" cm="1">
        <f t="array" ref="AT16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61" s="219">
        <f>INDEX(tblSeverityAnalysis[Severidad final], MATCH(tblPiNAnalysis[[#This Row],[ID]],tblSeverityAnalysis[ID], 0))</f>
        <v>3</v>
      </c>
      <c r="AV161" s="220">
        <f>IF(tblPiNAnalysis[[#This Row],[Severidad]]&gt;2,tblPiNAnalysis[[#This Row],[PiN más alto]],)</f>
        <v>11530.715</v>
      </c>
      <c r="AW161" s="54"/>
      <c r="AX161" s="55"/>
      <c r="AY161" s="56">
        <f>COUNTIFS(tblPiNAnalysis[[#This Row],[Número de PiN ausentes/cero superior al umbral - Calidad de los datos]:[Marcador manual]],"Flagged")</f>
        <v>4</v>
      </c>
      <c r="AZ161" s="34" t="str">
        <f>IF(tblPiNAnalysis[[#This Row],[Número de marcadores]]&gt;0, "Flagged", "")</f>
        <v>Flagged</v>
      </c>
      <c r="BA161" s="92">
        <f>tblPiNAnalysis[[#This Row],[PiN preliminar]]</f>
        <v>11530.715</v>
      </c>
      <c r="BB161" s="97"/>
      <c r="BC161" s="70">
        <f>IFERROR(IF(tblPiNAnalysis[[#This Row],[Severidad]]=3,tblPiNAnalysis[[#This Row],[PiN final]]*Umbrales!$D$33,tblPiNAnalysis[[#This Row],[PiN final]]*Umbrales!$D$34),)</f>
        <v>5765.3575000000001</v>
      </c>
      <c r="BD161" s="70">
        <f>IFERROR(IF(tblPiNAnalysis[[#This Row],[Severidad]]&gt;3,tblPiNAnalysis[[#This Row],[PiN final]]*Umbrales!$D$34,),)</f>
        <v>0</v>
      </c>
    </row>
    <row r="162" spans="1:56">
      <c r="A162" s="101" t="str">
        <f>IFERROR(_xlfn.CONCAT(IF(tblPiNAnalysis[[#This Row],[Grupo]]="", "",tblPiNAnalysis[[#This Row],[Grupo]] ),  _xlfn.IFS(tblPiNAnalysis[[#This Row],[Admin2PCODE]]&lt;&gt;"", tblPiNAnalysis[[#This Row],[Admin2PCODE]], tblPiNAnalysis[[#This Row],[Admin1PCODE]]&lt;&gt;"", tblPiNAnalysis[[#This Row],[Admin1PCODE]])),"")</f>
        <v>VenezolanosVE1113</v>
      </c>
      <c r="B162" s="105" t="s">
        <v>316</v>
      </c>
      <c r="C162" s="104" t="s">
        <v>317</v>
      </c>
      <c r="D162" s="119" t="s">
        <v>340</v>
      </c>
      <c r="E162" s="104" t="s">
        <v>341</v>
      </c>
      <c r="F162" s="358"/>
      <c r="G162" s="357">
        <v>25491</v>
      </c>
      <c r="H162" s="103" t="s">
        <v>102</v>
      </c>
      <c r="I162" s="60">
        <v>3089</v>
      </c>
      <c r="J162" s="134">
        <v>1434.2983296366374</v>
      </c>
      <c r="K162" s="57">
        <v>11200</v>
      </c>
      <c r="L162" s="87">
        <v>1658.8970476193463</v>
      </c>
      <c r="M162" s="87">
        <v>6100.6430133808199</v>
      </c>
      <c r="N162" s="57">
        <v>11470.95</v>
      </c>
      <c r="O162" s="57">
        <v>1958.3064072952432</v>
      </c>
      <c r="P162" s="57">
        <v>2135.225054683287</v>
      </c>
      <c r="Q162" s="88">
        <f>IFERROR(IF(tblPiNAnalysis[[#This Row],[SAMV]]="", "", MROUND(tblPiNAnalysis[[#This Row],[SAMV]]/tblPiNAnalysis[[#This Row],[Población]], 0.05)), "")</f>
        <v>0.1</v>
      </c>
      <c r="R162" s="89">
        <f>IFERROR(IF(tblPiNAnalysis[[#This Row],[NUT]]="", "", MROUND(tblPiNAnalysis[[#This Row],[NUT]]/tblPiNAnalysis[[#This Row],[Población]], 0.05)), "")</f>
        <v>0.05</v>
      </c>
      <c r="S162" s="89">
        <f>IFERROR(IF(tblPiNAnalysis[[#This Row],[SAL]]="", "", MROUND(tblPiNAnalysis[[#This Row],[SAL]]/tblPiNAnalysis[[#This Row],[Población]], 0.05)), "")</f>
        <v>0.45</v>
      </c>
      <c r="T162" s="89">
        <f>IFERROR(IF(tblPiNAnalysis[[#This Row],[EDU]]="", "", MROUND(tblPiNAnalysis[[#This Row],[EDU]]/tblPiNAnalysis[[#This Row],[Población]], 0.05)), "")</f>
        <v>0.05</v>
      </c>
      <c r="U162" s="89">
        <f>IFERROR(IF(tblPiNAnalysis[[#This Row],[PRO]]="", "", MROUND(tblPiNAnalysis[[#This Row],[PRO]]/tblPiNAnalysis[[#This Row],[Población]], 0.05)), "")</f>
        <v>0.25</v>
      </c>
      <c r="V162" s="90">
        <f>IFERROR(IF(tblPiNAnalysis[[#This Row],[ASH]]="", "", MROUND(tblPiNAnalysis[[#This Row],[ASH]]/tblPiNAnalysis[[#This Row],[Población]], 0.05)), "")</f>
        <v>0.45</v>
      </c>
      <c r="W162" s="89">
        <f>IFERROR(MROUND(tblPiNAnalysis[[#This Row],[NNA]]/tblPiNAnalysis[[#This Row],[Población]], 0.05), "")</f>
        <v>0.1</v>
      </c>
      <c r="X162" s="89">
        <f>IFERROR(MROUND(tblPiNAnalysis[[#This Row],[VBG]]/tblPiNAnalysis[[#This Row],[Población]], 0.05), "")</f>
        <v>0.1</v>
      </c>
      <c r="Y162" s="91">
        <f>IFERROR(LARGE(tblPiNAnalysis[[#This Row],[SAMV]:[ASH]], 1), "")</f>
        <v>11470.95</v>
      </c>
      <c r="Z162" s="92" t="str" cm="1">
        <f t="array" ref="Z162">IF(tblPiNAnalysis[[#This Row],[PiN más alto]]="", "", _xlfn.TEXTJOIN(CHAR(10), TRUE, IF(tblPiNAnalysis[[#This Row],[PiN más alto]]=tblPiNAnalysis[[#This Row],[SAMV]:[ASH]], tblPiNAnalysis[[#Headers],[SAMV]:[ASH]], "")))</f>
        <v>ASH</v>
      </c>
      <c r="AA162" s="93">
        <f>IF(tblPiNAnalysis[[#This Row],[PiN más alto]]="", "", tblPiNAnalysis[[#This Row],[PiN más alto]]/tblPiNAnalysis[[#This Row],[Población]])</f>
        <v>0.45</v>
      </c>
      <c r="AB162" s="94" t="str">
        <f>IF(SUM(tblPiNAnalysis[[#This Row],[SAMV]:[ASH]])=0, "",IF(COUNTIF(tblPiNAnalysis[[#This Row],[SAMV]:[ASH]],"=0")+COUNTIF(tblPiNAnalysis[[#This Row],[SAMV]:[ASH]],"")&gt;=zero_pin_thresh, "Flagged", ""))</f>
        <v/>
      </c>
      <c r="AC162" s="95" t="str">
        <f>IFERROR(IF(tblPiNAnalysis[[#This Row],[PiN más alto]]="", "", IF(tblPiNAnalysis[[#This Row],[% PiN Sectores más altos]]&gt;=flag_pin_perc, "Flagged", "")), "")</f>
        <v/>
      </c>
      <c r="AD162" s="96" t="str" cm="1">
        <f t="array" ref="AD162">IF(tblPiNAnalysis[[#This Row],[PiN más alto]]=0, "",  IF(OR(COUNTIF(tblPiNAnalysis[[#This Row],[Sectores más altos]],tblSubSectorPopulation[Sector])), "Flagged", ""))</f>
        <v/>
      </c>
      <c r="AE162" s="16" cm="1">
        <f t="array" ref="AE16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11200</v>
      </c>
      <c r="AF162" s="97" t="str" cm="1">
        <f t="array" ref="AF162">IF(tblPiNAnalysis[[#This Row],[2º PiN más alto]]="", "", _xlfn.TEXTJOIN(CHAR(10), TRUE, IF(tblPiNAnalysis[[#This Row],[2º PiN más alto]]=tblPiNAnalysis[[#This Row],[SAMV]:[ASH]], tblPiNAnalysis[[#Headers],[SAMV]:[ASH]], "")))</f>
        <v>SAL</v>
      </c>
      <c r="AG162" s="12">
        <f>IFERROR(tblPiNAnalysis[[#This Row],[2º PiN más alto]]/tblPiNAnalysis[[#This Row],[Población]], "")</f>
        <v>0.4393707583068534</v>
      </c>
      <c r="AH162" s="16">
        <f>IFERROR(tblPiNAnalysis[[#This Row],[PiN más alto]]-tblPiNAnalysis[[#This Row],[2º PiN más alto]], "")</f>
        <v>270.95000000000073</v>
      </c>
      <c r="AI162" s="14">
        <f>IFERROR(((tblPiNAnalysis[[#This Row],[PiN más alto]]-tblPiNAnalysis[[#This Row],[2º PiN más alto]])/tblPiNAnalysis[[#This Row],[2º PiN más alto]]),"")</f>
        <v>2.4191964285714351E-2</v>
      </c>
      <c r="AJ162" s="14" t="str" cm="1">
        <f t="array" ref="AJ16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62" s="98" cm="1">
        <f t="array" ref="AK16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6100.6430133808199</v>
      </c>
      <c r="AL162" s="53" t="str" cm="1">
        <f t="array" ref="AL162">IF(tblPiNAnalysis[[#This Row],[3º PiN más alto]]="", "", _xlfn.TEXTJOIN(CHAR(10), TRUE, IF(tblPiNAnalysis[[#This Row],[3º PiN más alto]]=tblPiNAnalysis[[#This Row],[SAMV]:[ASH]], tblPiNAnalysis[[#Headers],[SAMV]:[ASH]], "")))</f>
        <v>PRO</v>
      </c>
      <c r="AM162" s="53">
        <f>IFERROR(tblPiNAnalysis[[#This Row],[3º PiN más alto]]/tblPiNAnalysis[[#This Row],[Población]], "")</f>
        <v>0.23932537026326231</v>
      </c>
      <c r="AN162" s="15">
        <f>IFERROR(tblPiNAnalysis[[#This Row],[PiN más alto]]-tblPiNAnalysis[[#This Row],[3º PiN más alto]],"")</f>
        <v>5370.3069866191809</v>
      </c>
      <c r="AO162" s="14">
        <f>IFERROR(tblPiNAnalysis[[#This Row],[Diferencia de PiN entre el más alto y el 3º más alto]]/tblPiNAnalysis[[#This Row],[3º PiN más alto]], "")</f>
        <v>0.88028540185686011</v>
      </c>
      <c r="AP162" s="96" t="str" cm="1">
        <f t="array" ref="AP16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62" s="84" t="str" cm="1">
        <f t="array" ref="AQ162">IFERROR(IF(tblPiNAnalysis[[#This Row],[ID]]="", "", INDEX(tblPiNHistorical[[SAMV]:[ASH]], MATCH(tblPiNAnalysis[[#This Row],[ID]],tblPiNHistorical[ID], 0),MATCH(_xlfn._xlws.FILTER(tblPiNAnalysis[[#Headers],[SAMV]:[ASH]], tblPiNAnalysis[[#This Row],[PiN más alto]]=tblPiNAnalysis[[#This Row],[SAMV]:[ASH]]), tblPiNHistorical[[#Headers],[SAMV]:[ASH]], 0))), "")</f>
        <v>NoPIN26 4984</v>
      </c>
      <c r="AR162" s="99" t="str" cm="1">
        <f t="array" ref="AR16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62" s="74" cm="1">
        <f t="array" ref="AS162">IFERROR(IF(tblPiNAnalysis[[#This Row],[ID]]="", "", INDEX(tblPiNHistorical[[SAMV]:[ASH]], MATCH(tblPiNAnalysis[[#This Row],[ID]],tblPiNHistorical[ID], 0),MATCH(_xlfn._xlws.FILTER(tblPiNAnalysis[[#Headers],[SAMV]:[ASH]], tblPiNAnalysis[[#This Row],[2º PiN más alto]]=tblPiNAnalysis[[#This Row],[SAMV]:[ASH]]), tblPiNHistorical[[#Headers],[SAMV]:[ASH]], 0))), "")</f>
        <v>1.1000000000000001</v>
      </c>
      <c r="AT162" s="100" t="str" cm="1">
        <f t="array" ref="AT16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62" s="219">
        <f>INDEX(tblSeverityAnalysis[Severidad final], MATCH(tblPiNAnalysis[[#This Row],[ID]],tblSeverityAnalysis[ID], 0))</f>
        <v>4</v>
      </c>
      <c r="AV162" s="220">
        <f>IF(tblPiNAnalysis[[#This Row],[Severidad]]&gt;2,tblPiNAnalysis[[#This Row],[PiN más alto]],)</f>
        <v>11470.95</v>
      </c>
      <c r="AW162" s="54"/>
      <c r="AX162" s="55"/>
      <c r="AY162" s="56">
        <f>COUNTIFS(tblPiNAnalysis[[#This Row],[Número de PiN ausentes/cero superior al umbral - Calidad de los datos]:[Marcador manual]],"Flagged")</f>
        <v>2</v>
      </c>
      <c r="AZ162" s="34" t="str">
        <f>IF(tblPiNAnalysis[[#This Row],[Número de marcadores]]&gt;0, "Flagged", "")</f>
        <v>Flagged</v>
      </c>
      <c r="BA162" s="92">
        <f>tblPiNAnalysis[[#This Row],[PiN preliminar]]</f>
        <v>11470.95</v>
      </c>
      <c r="BB162" s="97"/>
      <c r="BC162" s="70">
        <f>IFERROR(IF(tblPiNAnalysis[[#This Row],[Severidad]]=3,tblPiNAnalysis[[#This Row],[PiN final]]*Umbrales!$D$33,tblPiNAnalysis[[#This Row],[PiN final]]*Umbrales!$D$34),)</f>
        <v>11470.95</v>
      </c>
      <c r="BD162" s="70">
        <f>IFERROR(IF(tblPiNAnalysis[[#This Row],[Severidad]]&gt;3,tblPiNAnalysis[[#This Row],[PiN final]]*Umbrales!$D$34,),)</f>
        <v>11470.95</v>
      </c>
    </row>
    <row r="163" spans="1:56">
      <c r="A163" s="101" t="str">
        <f>IFERROR(_xlfn.CONCAT(IF(tblPiNAnalysis[[#This Row],[Grupo]]="", "",tblPiNAnalysis[[#This Row],[Grupo]] ),  _xlfn.IFS(tblPiNAnalysis[[#This Row],[Admin2PCODE]]&lt;&gt;"", tblPiNAnalysis[[#This Row],[Admin2PCODE]], tblPiNAnalysis[[#This Row],[Admin1PCODE]]&lt;&gt;"", tblPiNAnalysis[[#This Row],[Admin1PCODE]])),"")</f>
        <v>VenezolanosVE2117</v>
      </c>
      <c r="B163" s="105" t="s">
        <v>642</v>
      </c>
      <c r="C163" s="104" t="s">
        <v>643</v>
      </c>
      <c r="D163" s="119" t="s">
        <v>203</v>
      </c>
      <c r="E163" s="104" t="s">
        <v>673</v>
      </c>
      <c r="F163" s="358"/>
      <c r="G163" s="357">
        <v>31412</v>
      </c>
      <c r="H163" s="103" t="s">
        <v>102</v>
      </c>
      <c r="I163" s="60">
        <v>2443</v>
      </c>
      <c r="J163" s="134">
        <v>1032.2732347856095</v>
      </c>
      <c r="K163" s="57">
        <v>11465.38</v>
      </c>
      <c r="L163" s="87">
        <v>2214.0888526971544</v>
      </c>
      <c r="M163" s="87">
        <v>3799.6634013068465</v>
      </c>
      <c r="N163" s="57">
        <v>2120.31</v>
      </c>
      <c r="O163" s="57">
        <v>1219.6919518194977</v>
      </c>
      <c r="P163" s="57">
        <v>1329.8821904573963</v>
      </c>
      <c r="Q163" s="88">
        <f>IFERROR(IF(tblPiNAnalysis[[#This Row],[SAMV]]="", "", MROUND(tblPiNAnalysis[[#This Row],[SAMV]]/tblPiNAnalysis[[#This Row],[Población]], 0.05)), "")</f>
        <v>0.1</v>
      </c>
      <c r="R163" s="89">
        <f>IFERROR(IF(tblPiNAnalysis[[#This Row],[NUT]]="", "", MROUND(tblPiNAnalysis[[#This Row],[NUT]]/tblPiNAnalysis[[#This Row],[Población]], 0.05)), "")</f>
        <v>0.05</v>
      </c>
      <c r="S163" s="89">
        <f>IFERROR(IF(tblPiNAnalysis[[#This Row],[SAL]]="", "", MROUND(tblPiNAnalysis[[#This Row],[SAL]]/tblPiNAnalysis[[#This Row],[Población]], 0.05)), "")</f>
        <v>0.35000000000000003</v>
      </c>
      <c r="T163" s="89">
        <f>IFERROR(IF(tblPiNAnalysis[[#This Row],[EDU]]="", "", MROUND(tblPiNAnalysis[[#This Row],[EDU]]/tblPiNAnalysis[[#This Row],[Población]], 0.05)), "")</f>
        <v>0.05</v>
      </c>
      <c r="U163" s="89">
        <f>IFERROR(IF(tblPiNAnalysis[[#This Row],[PRO]]="", "", MROUND(tblPiNAnalysis[[#This Row],[PRO]]/tblPiNAnalysis[[#This Row],[Población]], 0.05)), "")</f>
        <v>0.1</v>
      </c>
      <c r="V163" s="90">
        <f>IFERROR(IF(tblPiNAnalysis[[#This Row],[ASH]]="", "", MROUND(tblPiNAnalysis[[#This Row],[ASH]]/tblPiNAnalysis[[#This Row],[Población]], 0.05)), "")</f>
        <v>0.05</v>
      </c>
      <c r="W163" s="89">
        <f>IFERROR(MROUND(tblPiNAnalysis[[#This Row],[NNA]]/tblPiNAnalysis[[#This Row],[Población]], 0.05), "")</f>
        <v>0.05</v>
      </c>
      <c r="X163" s="89">
        <f>IFERROR(MROUND(tblPiNAnalysis[[#This Row],[VBG]]/tblPiNAnalysis[[#This Row],[Población]], 0.05), "")</f>
        <v>0.05</v>
      </c>
      <c r="Y163" s="91">
        <f>IFERROR(LARGE(tblPiNAnalysis[[#This Row],[SAMV]:[ASH]], 1), "")</f>
        <v>11465.38</v>
      </c>
      <c r="Z163" s="92" t="str" cm="1">
        <f t="array" ref="Z163">IF(tblPiNAnalysis[[#This Row],[PiN más alto]]="", "", _xlfn.TEXTJOIN(CHAR(10), TRUE, IF(tblPiNAnalysis[[#This Row],[PiN más alto]]=tblPiNAnalysis[[#This Row],[SAMV]:[ASH]], tblPiNAnalysis[[#Headers],[SAMV]:[ASH]], "")))</f>
        <v>SAL</v>
      </c>
      <c r="AA163" s="93">
        <f>IF(tblPiNAnalysis[[#This Row],[PiN más alto]]="", "", tblPiNAnalysis[[#This Row],[PiN más alto]]/tblPiNAnalysis[[#This Row],[Población]])</f>
        <v>0.36499999999999999</v>
      </c>
      <c r="AB163" s="94" t="str">
        <f>IF(SUM(tblPiNAnalysis[[#This Row],[SAMV]:[ASH]])=0, "",IF(COUNTIF(tblPiNAnalysis[[#This Row],[SAMV]:[ASH]],"=0")+COUNTIF(tblPiNAnalysis[[#This Row],[SAMV]:[ASH]],"")&gt;=zero_pin_thresh, "Flagged", ""))</f>
        <v/>
      </c>
      <c r="AC163" s="95" t="str">
        <f>IFERROR(IF(tblPiNAnalysis[[#This Row],[PiN más alto]]="", "", IF(tblPiNAnalysis[[#This Row],[% PiN Sectores más altos]]&gt;=flag_pin_perc, "Flagged", "")), "")</f>
        <v/>
      </c>
      <c r="AD163" s="96" t="str" cm="1">
        <f t="array" ref="AD163">IF(tblPiNAnalysis[[#This Row],[PiN más alto]]=0, "",  IF(OR(COUNTIF(tblPiNAnalysis[[#This Row],[Sectores más altos]],tblSubSectorPopulation[Sector])), "Flagged", ""))</f>
        <v/>
      </c>
      <c r="AE163" s="16" cm="1">
        <f t="array" ref="AE16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3799.6634013068465</v>
      </c>
      <c r="AF163" s="97" t="str" cm="1">
        <f t="array" ref="AF163">IF(tblPiNAnalysis[[#This Row],[2º PiN más alto]]="", "", _xlfn.TEXTJOIN(CHAR(10), TRUE, IF(tblPiNAnalysis[[#This Row],[2º PiN más alto]]=tblPiNAnalysis[[#This Row],[SAMV]:[ASH]], tblPiNAnalysis[[#Headers],[SAMV]:[ASH]], "")))</f>
        <v>PRO</v>
      </c>
      <c r="AG163" s="12">
        <f>IFERROR(tblPiNAnalysis[[#This Row],[2º PiN más alto]]/tblPiNAnalysis[[#This Row],[Población]], "")</f>
        <v>0.12096216099919924</v>
      </c>
      <c r="AH163" s="16">
        <f>IFERROR(tblPiNAnalysis[[#This Row],[PiN más alto]]-tblPiNAnalysis[[#This Row],[2º PiN más alto]], "")</f>
        <v>7665.7165986931523</v>
      </c>
      <c r="AI163" s="14">
        <f>IFERROR(((tblPiNAnalysis[[#This Row],[PiN más alto]]-tblPiNAnalysis[[#This Row],[2º PiN más alto]])/tblPiNAnalysis[[#This Row],[2º PiN más alto]]),"")</f>
        <v>2.0174725466620611</v>
      </c>
      <c r="AJ163" s="14" t="str" cm="1">
        <f t="array" ref="AJ16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63" s="98" cm="1">
        <f t="array" ref="AK16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2443</v>
      </c>
      <c r="AL163" s="53" t="str" cm="1">
        <f t="array" ref="AL163">IF(tblPiNAnalysis[[#This Row],[3º PiN más alto]]="", "", _xlfn.TEXTJOIN(CHAR(10), TRUE, IF(tblPiNAnalysis[[#This Row],[3º PiN más alto]]=tblPiNAnalysis[[#This Row],[SAMV]:[ASH]], tblPiNAnalysis[[#Headers],[SAMV]:[ASH]], "")))</f>
        <v>SAMV</v>
      </c>
      <c r="AM163" s="53">
        <f>IFERROR(tblPiNAnalysis[[#This Row],[3º PiN más alto]]/tblPiNAnalysis[[#This Row],[Población]], "")</f>
        <v>7.777282567171781E-2</v>
      </c>
      <c r="AN163" s="15">
        <f>IFERROR(tblPiNAnalysis[[#This Row],[PiN más alto]]-tblPiNAnalysis[[#This Row],[3º PiN más alto]],"")</f>
        <v>9022.3799999999992</v>
      </c>
      <c r="AO163" s="14">
        <f>IFERROR(tblPiNAnalysis[[#This Row],[Diferencia de PiN entre el más alto y el 3º más alto]]/tblPiNAnalysis[[#This Row],[3º PiN más alto]], "")</f>
        <v>3.6931559557920588</v>
      </c>
      <c r="AP163" s="96" t="str" cm="1">
        <f t="array" ref="AP16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63" s="84" cm="1">
        <f t="array" ref="AQ163">IFERROR(IF(tblPiNAnalysis[[#This Row],[ID]]="", "", INDEX(tblPiNHistorical[[SAMV]:[ASH]], MATCH(tblPiNAnalysis[[#This Row],[ID]],tblPiNHistorical[ID], 0),MATCH(_xlfn._xlws.FILTER(tblPiNAnalysis[[#Headers],[SAMV]:[ASH]], tblPiNAnalysis[[#This Row],[PiN más alto]]=tblPiNAnalysis[[#This Row],[SAMV]:[ASH]]), tblPiNHistorical[[#Headers],[SAMV]:[ASH]], 0))), "")</f>
        <v>0.8</v>
      </c>
      <c r="AR163" s="99" t="str" cm="1">
        <f t="array" ref="AR16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63" s="74" cm="1">
        <f t="array" ref="AS163">IFERROR(IF(tblPiNAnalysis[[#This Row],[ID]]="", "", INDEX(tblPiNHistorical[[SAMV]:[ASH]], MATCH(tblPiNAnalysis[[#This Row],[ID]],tblPiNHistorical[ID], 0),MATCH(_xlfn._xlws.FILTER(tblPiNAnalysis[[#Headers],[SAMV]:[ASH]], tblPiNAnalysis[[#This Row],[2º PiN más alto]]=tblPiNAnalysis[[#This Row],[SAMV]:[ASH]]), tblPiNHistorical[[#Headers],[SAMV]:[ASH]], 0))), "")</f>
        <v>-0.9</v>
      </c>
      <c r="AT163" s="100" t="str" cm="1">
        <f t="array" ref="AT16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63" s="219">
        <f>INDEX(tblSeverityAnalysis[Severidad final], MATCH(tblPiNAnalysis[[#This Row],[ID]],tblSeverityAnalysis[ID], 0))</f>
        <v>3</v>
      </c>
      <c r="AV163" s="220">
        <f>IF(tblPiNAnalysis[[#This Row],[Severidad]]&gt;2,tblPiNAnalysis[[#This Row],[PiN más alto]],)</f>
        <v>11465.38</v>
      </c>
      <c r="AW163" s="54"/>
      <c r="AX163" s="55"/>
      <c r="AY163" s="56">
        <f>COUNTIFS(tblPiNAnalysis[[#This Row],[Número de PiN ausentes/cero superior al umbral - Calidad de los datos]:[Marcador manual]],"Flagged")</f>
        <v>2</v>
      </c>
      <c r="AZ163" s="34" t="str">
        <f>IF(tblPiNAnalysis[[#This Row],[Número de marcadores]]&gt;0, "Flagged", "")</f>
        <v>Flagged</v>
      </c>
      <c r="BA163" s="92">
        <f>tblPiNAnalysis[[#This Row],[PiN preliminar]]</f>
        <v>11465.38</v>
      </c>
      <c r="BB163" s="97"/>
      <c r="BC163" s="70">
        <f>IFERROR(IF(tblPiNAnalysis[[#This Row],[Severidad]]=3,tblPiNAnalysis[[#This Row],[PiN final]]*Umbrales!$D$33,tblPiNAnalysis[[#This Row],[PiN final]]*Umbrales!$D$34),)</f>
        <v>5732.69</v>
      </c>
      <c r="BD163" s="70">
        <f>IFERROR(IF(tblPiNAnalysis[[#This Row],[Severidad]]&gt;3,tblPiNAnalysis[[#This Row],[PiN final]]*Umbrales!$D$34,),)</f>
        <v>0</v>
      </c>
    </row>
    <row r="164" spans="1:56">
      <c r="A164" s="101" t="str">
        <f>IFERROR(_xlfn.CONCAT(IF(tblPiNAnalysis[[#This Row],[Grupo]]="", "",tblPiNAnalysis[[#This Row],[Grupo]] ),  _xlfn.IFS(tblPiNAnalysis[[#This Row],[Admin2PCODE]]&lt;&gt;"", tblPiNAnalysis[[#This Row],[Admin2PCODE]], tblPiNAnalysis[[#This Row],[Admin1PCODE]]&lt;&gt;"", tblPiNAnalysis[[#This Row],[Admin1PCODE]])),"")</f>
        <v>VenezolanosVE2105</v>
      </c>
      <c r="B164" s="105" t="s">
        <v>642</v>
      </c>
      <c r="C164" s="104" t="s">
        <v>643</v>
      </c>
      <c r="D164" s="119" t="s">
        <v>650</v>
      </c>
      <c r="E164" s="104" t="s">
        <v>651</v>
      </c>
      <c r="F164" s="358"/>
      <c r="G164" s="357">
        <v>27976</v>
      </c>
      <c r="H164" s="103" t="s">
        <v>102</v>
      </c>
      <c r="I164" s="60">
        <v>2564</v>
      </c>
      <c r="J164" s="134">
        <v>961.64863789458286</v>
      </c>
      <c r="K164" s="57">
        <v>11400</v>
      </c>
      <c r="L164" s="87">
        <v>2688.4705912453178</v>
      </c>
      <c r="M164" s="87">
        <v>6768.0748322271966</v>
      </c>
      <c r="N164" s="57">
        <v>0</v>
      </c>
      <c r="O164" s="57">
        <v>2165.7839463127029</v>
      </c>
      <c r="P164" s="57">
        <v>2368.8261912795188</v>
      </c>
      <c r="Q164" s="88">
        <f>IFERROR(IF(tblPiNAnalysis[[#This Row],[SAMV]]="", "", MROUND(tblPiNAnalysis[[#This Row],[SAMV]]/tblPiNAnalysis[[#This Row],[Población]], 0.05)), "")</f>
        <v>0.1</v>
      </c>
      <c r="R164" s="89">
        <f>IFERROR(IF(tblPiNAnalysis[[#This Row],[NUT]]="", "", MROUND(tblPiNAnalysis[[#This Row],[NUT]]/tblPiNAnalysis[[#This Row],[Población]], 0.05)), "")</f>
        <v>0.05</v>
      </c>
      <c r="S164" s="89">
        <f>IFERROR(IF(tblPiNAnalysis[[#This Row],[SAL]]="", "", MROUND(tblPiNAnalysis[[#This Row],[SAL]]/tblPiNAnalysis[[#This Row],[Población]], 0.05)), "")</f>
        <v>0.4</v>
      </c>
      <c r="T164" s="89">
        <f>IFERROR(IF(tblPiNAnalysis[[#This Row],[EDU]]="", "", MROUND(tblPiNAnalysis[[#This Row],[EDU]]/tblPiNAnalysis[[#This Row],[Población]], 0.05)), "")</f>
        <v>0.1</v>
      </c>
      <c r="U164" s="89">
        <f>IFERROR(IF(tblPiNAnalysis[[#This Row],[PRO]]="", "", MROUND(tblPiNAnalysis[[#This Row],[PRO]]/tblPiNAnalysis[[#This Row],[Población]], 0.05)), "")</f>
        <v>0.25</v>
      </c>
      <c r="V164" s="90">
        <f>IFERROR(IF(tblPiNAnalysis[[#This Row],[ASH]]="", "", MROUND(tblPiNAnalysis[[#This Row],[ASH]]/tblPiNAnalysis[[#This Row],[Población]], 0.05)), "")</f>
        <v>0</v>
      </c>
      <c r="W164" s="89">
        <f>IFERROR(MROUND(tblPiNAnalysis[[#This Row],[NNA]]/tblPiNAnalysis[[#This Row],[Población]], 0.05), "")</f>
        <v>0.1</v>
      </c>
      <c r="X164" s="89">
        <f>IFERROR(MROUND(tblPiNAnalysis[[#This Row],[VBG]]/tblPiNAnalysis[[#This Row],[Población]], 0.05), "")</f>
        <v>0.1</v>
      </c>
      <c r="Y164" s="91">
        <f>IFERROR(LARGE(tblPiNAnalysis[[#This Row],[SAMV]:[ASH]], 1), "")</f>
        <v>11400</v>
      </c>
      <c r="Z164" s="92" t="str" cm="1">
        <f t="array" ref="Z164">IF(tblPiNAnalysis[[#This Row],[PiN más alto]]="", "", _xlfn.TEXTJOIN(CHAR(10), TRUE, IF(tblPiNAnalysis[[#This Row],[PiN más alto]]=tblPiNAnalysis[[#This Row],[SAMV]:[ASH]], tblPiNAnalysis[[#Headers],[SAMV]:[ASH]], "")))</f>
        <v>SAL</v>
      </c>
      <c r="AA164" s="93">
        <f>IF(tblPiNAnalysis[[#This Row],[PiN más alto]]="", "", tblPiNAnalysis[[#This Row],[PiN más alto]]/tblPiNAnalysis[[#This Row],[Población]])</f>
        <v>0.40749213611667146</v>
      </c>
      <c r="AB164" s="94" t="str">
        <f>IF(SUM(tblPiNAnalysis[[#This Row],[SAMV]:[ASH]])=0, "",IF(COUNTIF(tblPiNAnalysis[[#This Row],[SAMV]:[ASH]],"=0")+COUNTIF(tblPiNAnalysis[[#This Row],[SAMV]:[ASH]],"")&gt;=zero_pin_thresh, "Flagged", ""))</f>
        <v/>
      </c>
      <c r="AC164" s="95" t="str">
        <f>IFERROR(IF(tblPiNAnalysis[[#This Row],[PiN más alto]]="", "", IF(tblPiNAnalysis[[#This Row],[% PiN Sectores más altos]]&gt;=flag_pin_perc, "Flagged", "")), "")</f>
        <v/>
      </c>
      <c r="AD164" s="96" t="str" cm="1">
        <f t="array" ref="AD164">IF(tblPiNAnalysis[[#This Row],[PiN más alto]]=0, "",  IF(OR(COUNTIF(tblPiNAnalysis[[#This Row],[Sectores más altos]],tblSubSectorPopulation[Sector])), "Flagged", ""))</f>
        <v/>
      </c>
      <c r="AE164" s="16" cm="1">
        <f t="array" ref="AE16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6768.0748322271966</v>
      </c>
      <c r="AF164" s="97" t="str" cm="1">
        <f t="array" ref="AF164">IF(tblPiNAnalysis[[#This Row],[2º PiN más alto]]="", "", _xlfn.TEXTJOIN(CHAR(10), TRUE, IF(tblPiNAnalysis[[#This Row],[2º PiN más alto]]=tblPiNAnalysis[[#This Row],[SAMV]:[ASH]], tblPiNAnalysis[[#Headers],[SAMV]:[ASH]], "")))</f>
        <v>PRO</v>
      </c>
      <c r="AG164" s="12">
        <f>IFERROR(tblPiNAnalysis[[#This Row],[2º PiN más alto]]/tblPiNAnalysis[[#This Row],[Población]], "")</f>
        <v>0.2419243219983985</v>
      </c>
      <c r="AH164" s="16">
        <f>IFERROR(tblPiNAnalysis[[#This Row],[PiN más alto]]-tblPiNAnalysis[[#This Row],[2º PiN más alto]], "")</f>
        <v>4631.9251677728034</v>
      </c>
      <c r="AI164" s="14">
        <f>IFERROR(((tblPiNAnalysis[[#This Row],[PiN más alto]]-tblPiNAnalysis[[#This Row],[2º PiN más alto]])/tblPiNAnalysis[[#This Row],[2º PiN más alto]]),"")</f>
        <v>0.68437853933251469</v>
      </c>
      <c r="AJ164" s="14" t="str" cm="1">
        <f t="array" ref="AJ16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64" s="98" cm="1">
        <f t="array" ref="AK16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2688.4705912453178</v>
      </c>
      <c r="AL164" s="53" t="str" cm="1">
        <f t="array" ref="AL164">IF(tblPiNAnalysis[[#This Row],[3º PiN más alto]]="", "", _xlfn.TEXTJOIN(CHAR(10), TRUE, IF(tblPiNAnalysis[[#This Row],[3º PiN más alto]]=tblPiNAnalysis[[#This Row],[SAMV]:[ASH]], tblPiNAnalysis[[#Headers],[SAMV]:[ASH]], "")))</f>
        <v>EDU</v>
      </c>
      <c r="AM164" s="53">
        <f>IFERROR(tblPiNAnalysis[[#This Row],[3º PiN más alto]]/tblPiNAnalysis[[#This Row],[Población]], "")</f>
        <v>9.6099177553807466E-2</v>
      </c>
      <c r="AN164" s="15">
        <f>IFERROR(tblPiNAnalysis[[#This Row],[PiN más alto]]-tblPiNAnalysis[[#This Row],[3º PiN más alto]],"")</f>
        <v>8711.5294087546827</v>
      </c>
      <c r="AO164" s="14">
        <f>IFERROR(tblPiNAnalysis[[#This Row],[Diferencia de PiN entre el más alto y el 3º más alto]]/tblPiNAnalysis[[#This Row],[3º PiN más alto]], "")</f>
        <v>3.2403290692941682</v>
      </c>
      <c r="AP164" s="96" t="str" cm="1">
        <f t="array" ref="AP16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64" s="84" cm="1">
        <f t="array" ref="AQ164">IFERROR(IF(tblPiNAnalysis[[#This Row],[ID]]="", "", INDEX(tblPiNHistorical[[SAMV]:[ASH]], MATCH(tblPiNAnalysis[[#This Row],[ID]],tblPiNHistorical[ID], 0),MATCH(_xlfn._xlws.FILTER(tblPiNAnalysis[[#Headers],[SAMV]:[ASH]], tblPiNAnalysis[[#This Row],[PiN más alto]]=tblPiNAnalysis[[#This Row],[SAMV]:[ASH]]), tblPiNHistorical[[#Headers],[SAMV]:[ASH]], 0))), "")</f>
        <v>-0.3</v>
      </c>
      <c r="AR164" s="99" t="str" cm="1">
        <f t="array" ref="AR16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64" s="74" cm="1">
        <f t="array" ref="AS164">IFERROR(IF(tblPiNAnalysis[[#This Row],[ID]]="", "", INDEX(tblPiNHistorical[[SAMV]:[ASH]], MATCH(tblPiNAnalysis[[#This Row],[ID]],tblPiNHistorical[ID], 0),MATCH(_xlfn._xlws.FILTER(tblPiNAnalysis[[#Headers],[SAMV]:[ASH]], tblPiNAnalysis[[#This Row],[2º PiN más alto]]=tblPiNAnalysis[[#This Row],[SAMV]:[ASH]]), tblPiNHistorical[[#Headers],[SAMV]:[ASH]], 0))), "")</f>
        <v>-0.9</v>
      </c>
      <c r="AT164" s="100" t="str" cm="1">
        <f t="array" ref="AT16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64" s="219">
        <f>INDEX(tblSeverityAnalysis[Severidad final], MATCH(tblPiNAnalysis[[#This Row],[ID]],tblSeverityAnalysis[ID], 0))</f>
        <v>3</v>
      </c>
      <c r="AV164" s="220">
        <f>IF(tblPiNAnalysis[[#This Row],[Severidad]]&gt;2,tblPiNAnalysis[[#This Row],[PiN más alto]],)</f>
        <v>11400</v>
      </c>
      <c r="AW164" s="54"/>
      <c r="AX164" s="55"/>
      <c r="AY164" s="56">
        <f>COUNTIFS(tblPiNAnalysis[[#This Row],[Número de PiN ausentes/cero superior al umbral - Calidad de los datos]:[Marcador manual]],"Flagged")</f>
        <v>2</v>
      </c>
      <c r="AZ164" s="34" t="str">
        <f>IF(tblPiNAnalysis[[#This Row],[Número de marcadores]]&gt;0, "Flagged", "")</f>
        <v>Flagged</v>
      </c>
      <c r="BA164" s="92">
        <f>tblPiNAnalysis[[#This Row],[PiN preliminar]]</f>
        <v>11400</v>
      </c>
      <c r="BB164" s="97"/>
      <c r="BC164" s="70">
        <f>IFERROR(IF(tblPiNAnalysis[[#This Row],[Severidad]]=3,tblPiNAnalysis[[#This Row],[PiN final]]*Umbrales!$D$33,tblPiNAnalysis[[#This Row],[PiN final]]*Umbrales!$D$34),)</f>
        <v>5700</v>
      </c>
      <c r="BD164" s="70">
        <f>IFERROR(IF(tblPiNAnalysis[[#This Row],[Severidad]]&gt;3,tblPiNAnalysis[[#This Row],[PiN final]]*Umbrales!$D$34,),)</f>
        <v>0</v>
      </c>
    </row>
    <row r="165" spans="1:56">
      <c r="A165" s="101" t="str">
        <f>IFERROR(_xlfn.CONCAT(IF(tblPiNAnalysis[[#This Row],[Grupo]]="", "",tblPiNAnalysis[[#This Row],[Grupo]] ),  _xlfn.IFS(tblPiNAnalysis[[#This Row],[Admin2PCODE]]&lt;&gt;"", tblPiNAnalysis[[#This Row],[Admin2PCODE]], tblPiNAnalysis[[#This Row],[Admin1PCODE]]&lt;&gt;"", tblPiNAnalysis[[#This Row],[Admin1PCODE]])),"")</f>
        <v>VenezolanosVE0307</v>
      </c>
      <c r="B165" s="105" t="s">
        <v>119</v>
      </c>
      <c r="C165" s="104" t="s">
        <v>120</v>
      </c>
      <c r="D165" s="119" t="s">
        <v>133</v>
      </c>
      <c r="E165" s="104" t="s">
        <v>134</v>
      </c>
      <c r="F165" s="358"/>
      <c r="G165" s="357">
        <v>30697</v>
      </c>
      <c r="H165" s="103" t="s">
        <v>102</v>
      </c>
      <c r="I165" s="60">
        <v>6806</v>
      </c>
      <c r="J165" s="134">
        <v>993.16323685153839</v>
      </c>
      <c r="K165" s="57">
        <v>11204.405000000001</v>
      </c>
      <c r="L165" s="87">
        <v>2070.5044288934132</v>
      </c>
      <c r="M165" s="87">
        <v>6105.6174299534896</v>
      </c>
      <c r="N165" s="57">
        <v>0</v>
      </c>
      <c r="O165" s="57">
        <v>1953.7975775851169</v>
      </c>
      <c r="P165" s="57">
        <v>2136.9661004837212</v>
      </c>
      <c r="Q165" s="88">
        <f>IFERROR(IF(tblPiNAnalysis[[#This Row],[SAMV]]="", "", MROUND(tblPiNAnalysis[[#This Row],[SAMV]]/tblPiNAnalysis[[#This Row],[Población]], 0.05)), "")</f>
        <v>0.2</v>
      </c>
      <c r="R165" s="89">
        <f>IFERROR(IF(tblPiNAnalysis[[#This Row],[NUT]]="", "", MROUND(tblPiNAnalysis[[#This Row],[NUT]]/tblPiNAnalysis[[#This Row],[Población]], 0.05)), "")</f>
        <v>0.05</v>
      </c>
      <c r="S165" s="89">
        <f>IFERROR(IF(tblPiNAnalysis[[#This Row],[SAL]]="", "", MROUND(tblPiNAnalysis[[#This Row],[SAL]]/tblPiNAnalysis[[#This Row],[Población]], 0.05)), "")</f>
        <v>0.35000000000000003</v>
      </c>
      <c r="T165" s="89">
        <f>IFERROR(IF(tblPiNAnalysis[[#This Row],[EDU]]="", "", MROUND(tblPiNAnalysis[[#This Row],[EDU]]/tblPiNAnalysis[[#This Row],[Población]], 0.05)), "")</f>
        <v>0.05</v>
      </c>
      <c r="U165" s="89">
        <f>IFERROR(IF(tblPiNAnalysis[[#This Row],[PRO]]="", "", MROUND(tblPiNAnalysis[[#This Row],[PRO]]/tblPiNAnalysis[[#This Row],[Población]], 0.05)), "")</f>
        <v>0.2</v>
      </c>
      <c r="V165" s="90">
        <f>IFERROR(IF(tblPiNAnalysis[[#This Row],[ASH]]="", "", MROUND(tblPiNAnalysis[[#This Row],[ASH]]/tblPiNAnalysis[[#This Row],[Población]], 0.05)), "")</f>
        <v>0</v>
      </c>
      <c r="W165" s="89">
        <f>IFERROR(MROUND(tblPiNAnalysis[[#This Row],[NNA]]/tblPiNAnalysis[[#This Row],[Población]], 0.05), "")</f>
        <v>0.05</v>
      </c>
      <c r="X165" s="89">
        <f>IFERROR(MROUND(tblPiNAnalysis[[#This Row],[VBG]]/tblPiNAnalysis[[#This Row],[Población]], 0.05), "")</f>
        <v>0.05</v>
      </c>
      <c r="Y165" s="91">
        <f>IFERROR(LARGE(tblPiNAnalysis[[#This Row],[SAMV]:[ASH]], 1), "")</f>
        <v>11204.405000000001</v>
      </c>
      <c r="Z165" s="92" t="str" cm="1">
        <f t="array" ref="Z165">IF(tblPiNAnalysis[[#This Row],[PiN más alto]]="", "", _xlfn.TEXTJOIN(CHAR(10), TRUE, IF(tblPiNAnalysis[[#This Row],[PiN más alto]]=tblPiNAnalysis[[#This Row],[SAMV]:[ASH]], tblPiNAnalysis[[#Headers],[SAMV]:[ASH]], "")))</f>
        <v>SAL</v>
      </c>
      <c r="AA165" s="93">
        <f>IF(tblPiNAnalysis[[#This Row],[PiN más alto]]="", "", tblPiNAnalysis[[#This Row],[PiN más alto]]/tblPiNAnalysis[[#This Row],[Población]])</f>
        <v>0.36500000000000005</v>
      </c>
      <c r="AB165" s="94" t="str">
        <f>IF(SUM(tblPiNAnalysis[[#This Row],[SAMV]:[ASH]])=0, "",IF(COUNTIF(tblPiNAnalysis[[#This Row],[SAMV]:[ASH]],"=0")+COUNTIF(tblPiNAnalysis[[#This Row],[SAMV]:[ASH]],"")&gt;=zero_pin_thresh, "Flagged", ""))</f>
        <v/>
      </c>
      <c r="AC165" s="95" t="str">
        <f>IFERROR(IF(tblPiNAnalysis[[#This Row],[PiN más alto]]="", "", IF(tblPiNAnalysis[[#This Row],[% PiN Sectores más altos]]&gt;=flag_pin_perc, "Flagged", "")), "")</f>
        <v/>
      </c>
      <c r="AD165" s="96" t="str" cm="1">
        <f t="array" ref="AD165">IF(tblPiNAnalysis[[#This Row],[PiN más alto]]=0, "",  IF(OR(COUNTIF(tblPiNAnalysis[[#This Row],[Sectores más altos]],tblSubSectorPopulation[Sector])), "Flagged", ""))</f>
        <v/>
      </c>
      <c r="AE165" s="16" cm="1">
        <f t="array" ref="AE16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6806</v>
      </c>
      <c r="AF165" s="97" t="str" cm="1">
        <f t="array" ref="AF165">IF(tblPiNAnalysis[[#This Row],[2º PiN más alto]]="", "", _xlfn.TEXTJOIN(CHAR(10), TRUE, IF(tblPiNAnalysis[[#This Row],[2º PiN más alto]]=tblPiNAnalysis[[#This Row],[SAMV]:[ASH]], tblPiNAnalysis[[#Headers],[SAMV]:[ASH]], "")))</f>
        <v>SAMV</v>
      </c>
      <c r="AG165" s="12">
        <f>IFERROR(tblPiNAnalysis[[#This Row],[2º PiN más alto]]/tblPiNAnalysis[[#This Row],[Población]], "")</f>
        <v>0.22171547708245104</v>
      </c>
      <c r="AH165" s="16">
        <f>IFERROR(tblPiNAnalysis[[#This Row],[PiN más alto]]-tblPiNAnalysis[[#This Row],[2º PiN más alto]], "")</f>
        <v>4398.4050000000007</v>
      </c>
      <c r="AI165" s="14">
        <f>IFERROR(((tblPiNAnalysis[[#This Row],[PiN más alto]]-tblPiNAnalysis[[#This Row],[2º PiN más alto]])/tblPiNAnalysis[[#This Row],[2º PiN más alto]]),"")</f>
        <v>0.64625404055245383</v>
      </c>
      <c r="AJ165" s="14" t="str" cm="1">
        <f t="array" ref="AJ16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65" s="98" cm="1">
        <f t="array" ref="AK16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6105.6174299534896</v>
      </c>
      <c r="AL165" s="53" t="str" cm="1">
        <f t="array" ref="AL165">IF(tblPiNAnalysis[[#This Row],[3º PiN más alto]]="", "", _xlfn.TEXTJOIN(CHAR(10), TRUE, IF(tblPiNAnalysis[[#This Row],[3º PiN más alto]]=tblPiNAnalysis[[#This Row],[SAMV]:[ASH]], tblPiNAnalysis[[#Headers],[SAMV]:[ASH]], "")))</f>
        <v>PRO</v>
      </c>
      <c r="AM165" s="53">
        <f>IFERROR(tblPiNAnalysis[[#This Row],[3º PiN más alto]]/tblPiNAnalysis[[#This Row],[Población]], "")</f>
        <v>0.19889948300985405</v>
      </c>
      <c r="AN165" s="15">
        <f>IFERROR(tblPiNAnalysis[[#This Row],[PiN más alto]]-tblPiNAnalysis[[#This Row],[3º PiN más alto]],"")</f>
        <v>5098.7875700465111</v>
      </c>
      <c r="AO165" s="14">
        <f>IFERROR(tblPiNAnalysis[[#This Row],[Diferencia de PiN entre el más alto y el 3º más alto]]/tblPiNAnalysis[[#This Row],[3º PiN más alto]], "")</f>
        <v>0.83509778143524327</v>
      </c>
      <c r="AP165" s="96" t="str" cm="1">
        <f t="array" ref="AP16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65" s="84" cm="1">
        <f t="array" ref="AQ165">IFERROR(IF(tblPiNAnalysis[[#This Row],[ID]]="", "", INDEX(tblPiNHistorical[[SAMV]:[ASH]], MATCH(tblPiNAnalysis[[#This Row],[ID]],tblPiNHistorical[ID], 0),MATCH(_xlfn._xlws.FILTER(tblPiNAnalysis[[#Headers],[SAMV]:[ASH]], tblPiNAnalysis[[#This Row],[PiN más alto]]=tblPiNAnalysis[[#This Row],[SAMV]:[ASH]]), tblPiNHistorical[[#Headers],[SAMV]:[ASH]], 0))), "")</f>
        <v>16.100000000000001</v>
      </c>
      <c r="AR165" s="99" t="str" cm="1">
        <f t="array" ref="AR16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65" s="74" cm="1">
        <f t="array" ref="AS165">IFERROR(IF(tblPiNAnalysis[[#This Row],[ID]]="", "", INDEX(tblPiNHistorical[[SAMV]:[ASH]], MATCH(tblPiNAnalysis[[#This Row],[ID]],tblPiNHistorical[ID], 0),MATCH(_xlfn._xlws.FILTER(tblPiNAnalysis[[#Headers],[SAMV]:[ASH]], tblPiNAnalysis[[#This Row],[2º PiN más alto]]=tblPiNAnalysis[[#This Row],[SAMV]:[ASH]]), tblPiNHistorical[[#Headers],[SAMV]:[ASH]], 0))), "")</f>
        <v>11.4</v>
      </c>
      <c r="AT165" s="100" t="str" cm="1">
        <f t="array" ref="AT16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65" s="219">
        <f>INDEX(tblSeverityAnalysis[Severidad final], MATCH(tblPiNAnalysis[[#This Row],[ID]],tblSeverityAnalysis[ID], 0))</f>
        <v>3</v>
      </c>
      <c r="AV165" s="220">
        <f>IF(tblPiNAnalysis[[#This Row],[Severidad]]&gt;2,tblPiNAnalysis[[#This Row],[PiN más alto]],)</f>
        <v>11204.405000000001</v>
      </c>
      <c r="AW165" s="54"/>
      <c r="AX165" s="55"/>
      <c r="AY165" s="56">
        <f>COUNTIFS(tblPiNAnalysis[[#This Row],[Número de PiN ausentes/cero superior al umbral - Calidad de los datos]:[Marcador manual]],"Flagged")</f>
        <v>4</v>
      </c>
      <c r="AZ165" s="34" t="str">
        <f>IF(tblPiNAnalysis[[#This Row],[Número de marcadores]]&gt;0, "Flagged", "")</f>
        <v>Flagged</v>
      </c>
      <c r="BA165" s="92">
        <f>tblPiNAnalysis[[#This Row],[PiN preliminar]]</f>
        <v>11204.405000000001</v>
      </c>
      <c r="BB165" s="97"/>
      <c r="BC165" s="70">
        <f>IFERROR(IF(tblPiNAnalysis[[#This Row],[Severidad]]=3,tblPiNAnalysis[[#This Row],[PiN final]]*Umbrales!$D$33,tblPiNAnalysis[[#This Row],[PiN final]]*Umbrales!$D$34),)</f>
        <v>5602.2025000000003</v>
      </c>
      <c r="BD165" s="70">
        <f>IFERROR(IF(tblPiNAnalysis[[#This Row],[Severidad]]&gt;3,tblPiNAnalysis[[#This Row],[PiN final]]*Umbrales!$D$34,),)</f>
        <v>0</v>
      </c>
    </row>
    <row r="166" spans="1:56">
      <c r="A166" s="101" t="str">
        <f>IFERROR(_xlfn.CONCAT(IF(tblPiNAnalysis[[#This Row],[Grupo]]="", "",tblPiNAnalysis[[#This Row],[Grupo]] ),  _xlfn.IFS(tblPiNAnalysis[[#This Row],[Admin2PCODE]]&lt;&gt;"", tblPiNAnalysis[[#This Row],[Admin2PCODE]], tblPiNAnalysis[[#This Row],[Admin1PCODE]]&lt;&gt;"", tblPiNAnalysis[[#This Row],[Admin1PCODE]])),"")</f>
        <v>VenezolanosVE0309</v>
      </c>
      <c r="B166" s="105" t="s">
        <v>119</v>
      </c>
      <c r="C166" s="104" t="s">
        <v>120</v>
      </c>
      <c r="D166" s="119" t="s">
        <v>137</v>
      </c>
      <c r="E166" s="104" t="s">
        <v>138</v>
      </c>
      <c r="F166" s="358"/>
      <c r="G166" s="357">
        <v>13778</v>
      </c>
      <c r="H166" s="103" t="s">
        <v>102</v>
      </c>
      <c r="I166" s="60">
        <v>4082</v>
      </c>
      <c r="J166" s="134">
        <v>641.18154432629694</v>
      </c>
      <c r="K166" s="57">
        <v>11200</v>
      </c>
      <c r="L166" s="87">
        <v>1591.1768315739082</v>
      </c>
      <c r="M166" s="87">
        <v>1644.2622461458618</v>
      </c>
      <c r="N166" s="57">
        <v>6200.1</v>
      </c>
      <c r="O166" s="57">
        <v>526.16391876667569</v>
      </c>
      <c r="P166" s="57">
        <v>575.49178615105154</v>
      </c>
      <c r="Q166" s="88">
        <f>IFERROR(IF(tblPiNAnalysis[[#This Row],[SAMV]]="", "", MROUND(tblPiNAnalysis[[#This Row],[SAMV]]/tblPiNAnalysis[[#This Row],[Población]], 0.05)), "")</f>
        <v>0.30000000000000004</v>
      </c>
      <c r="R166" s="89">
        <f>IFERROR(IF(tblPiNAnalysis[[#This Row],[NUT]]="", "", MROUND(tblPiNAnalysis[[#This Row],[NUT]]/tblPiNAnalysis[[#This Row],[Población]], 0.05)), "")</f>
        <v>0.05</v>
      </c>
      <c r="S166" s="89">
        <f>IFERROR(IF(tblPiNAnalysis[[#This Row],[SAL]]="", "", MROUND(tblPiNAnalysis[[#This Row],[SAL]]/tblPiNAnalysis[[#This Row],[Población]], 0.05)), "")</f>
        <v>0.8</v>
      </c>
      <c r="T166" s="89">
        <f>IFERROR(IF(tblPiNAnalysis[[#This Row],[EDU]]="", "", MROUND(tblPiNAnalysis[[#This Row],[EDU]]/tblPiNAnalysis[[#This Row],[Población]], 0.05)), "")</f>
        <v>0.1</v>
      </c>
      <c r="U166" s="89">
        <f>IFERROR(IF(tblPiNAnalysis[[#This Row],[PRO]]="", "", MROUND(tblPiNAnalysis[[#This Row],[PRO]]/tblPiNAnalysis[[#This Row],[Población]], 0.05)), "")</f>
        <v>0.1</v>
      </c>
      <c r="V166" s="90">
        <f>IFERROR(IF(tblPiNAnalysis[[#This Row],[ASH]]="", "", MROUND(tblPiNAnalysis[[#This Row],[ASH]]/tblPiNAnalysis[[#This Row],[Población]], 0.05)), "")</f>
        <v>0.45</v>
      </c>
      <c r="W166" s="89">
        <f>IFERROR(MROUND(tblPiNAnalysis[[#This Row],[NNA]]/tblPiNAnalysis[[#This Row],[Población]], 0.05), "")</f>
        <v>0.05</v>
      </c>
      <c r="X166" s="89">
        <f>IFERROR(MROUND(tblPiNAnalysis[[#This Row],[VBG]]/tblPiNAnalysis[[#This Row],[Población]], 0.05), "")</f>
        <v>0.05</v>
      </c>
      <c r="Y166" s="91">
        <f>IFERROR(LARGE(tblPiNAnalysis[[#This Row],[SAMV]:[ASH]], 1), "")</f>
        <v>11200</v>
      </c>
      <c r="Z166" s="92" t="str" cm="1">
        <f t="array" ref="Z166">IF(tblPiNAnalysis[[#This Row],[PiN más alto]]="", "", _xlfn.TEXTJOIN(CHAR(10), TRUE, IF(tblPiNAnalysis[[#This Row],[PiN más alto]]=tblPiNAnalysis[[#This Row],[SAMV]:[ASH]], tblPiNAnalysis[[#Headers],[SAMV]:[ASH]], "")))</f>
        <v>SAL</v>
      </c>
      <c r="AA166" s="93">
        <f>IF(tblPiNAnalysis[[#This Row],[PiN más alto]]="", "", tblPiNAnalysis[[#This Row],[PiN más alto]]/tblPiNAnalysis[[#This Row],[Población]])</f>
        <v>0.81289011467556971</v>
      </c>
      <c r="AB166" s="94" t="str">
        <f>IF(SUM(tblPiNAnalysis[[#This Row],[SAMV]:[ASH]])=0, "",IF(COUNTIF(tblPiNAnalysis[[#This Row],[SAMV]:[ASH]],"=0")+COUNTIF(tblPiNAnalysis[[#This Row],[SAMV]:[ASH]],"")&gt;=zero_pin_thresh, "Flagged", ""))</f>
        <v/>
      </c>
      <c r="AC166" s="95" t="str">
        <f>IFERROR(IF(tblPiNAnalysis[[#This Row],[PiN más alto]]="", "", IF(tblPiNAnalysis[[#This Row],[% PiN Sectores más altos]]&gt;=flag_pin_perc, "Flagged", "")), "")</f>
        <v/>
      </c>
      <c r="AD166" s="96" t="str" cm="1">
        <f t="array" ref="AD166">IF(tblPiNAnalysis[[#This Row],[PiN más alto]]=0, "",  IF(OR(COUNTIF(tblPiNAnalysis[[#This Row],[Sectores más altos]],tblSubSectorPopulation[Sector])), "Flagged", ""))</f>
        <v/>
      </c>
      <c r="AE166" s="16" cm="1">
        <f t="array" ref="AE16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6200.1</v>
      </c>
      <c r="AF166" s="97" t="str" cm="1">
        <f t="array" ref="AF166">IF(tblPiNAnalysis[[#This Row],[2º PiN más alto]]="", "", _xlfn.TEXTJOIN(CHAR(10), TRUE, IF(tblPiNAnalysis[[#This Row],[2º PiN más alto]]=tblPiNAnalysis[[#This Row],[SAMV]:[ASH]], tblPiNAnalysis[[#Headers],[SAMV]:[ASH]], "")))</f>
        <v>ASH</v>
      </c>
      <c r="AG166" s="12">
        <f>IFERROR(tblPiNAnalysis[[#This Row],[2º PiN más alto]]/tblPiNAnalysis[[#This Row],[Población]], "")</f>
        <v>0.45</v>
      </c>
      <c r="AH166" s="16">
        <f>IFERROR(tblPiNAnalysis[[#This Row],[PiN más alto]]-tblPiNAnalysis[[#This Row],[2º PiN más alto]], "")</f>
        <v>4999.8999999999996</v>
      </c>
      <c r="AI166" s="14">
        <f>IFERROR(((tblPiNAnalysis[[#This Row],[PiN más alto]]-tblPiNAnalysis[[#This Row],[2º PiN más alto]])/tblPiNAnalysis[[#This Row],[2º PiN más alto]]),"")</f>
        <v>0.80642247705682157</v>
      </c>
      <c r="AJ166" s="14" t="str" cm="1">
        <f t="array" ref="AJ16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66" s="98" cm="1">
        <f t="array" ref="AK16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4082</v>
      </c>
      <c r="AL166" s="53" t="str" cm="1">
        <f t="array" ref="AL166">IF(tblPiNAnalysis[[#This Row],[3º PiN más alto]]="", "", _xlfn.TEXTJOIN(CHAR(10), TRUE, IF(tblPiNAnalysis[[#This Row],[3º PiN más alto]]=tblPiNAnalysis[[#This Row],[SAMV]:[ASH]], tblPiNAnalysis[[#Headers],[SAMV]:[ASH]], "")))</f>
        <v>SAMV</v>
      </c>
      <c r="AM166" s="53">
        <f>IFERROR(tblPiNAnalysis[[#This Row],[3º PiN más alto]]/tblPiNAnalysis[[#This Row],[Población]], "")</f>
        <v>0.29626941500943532</v>
      </c>
      <c r="AN166" s="15">
        <f>IFERROR(tblPiNAnalysis[[#This Row],[PiN más alto]]-tblPiNAnalysis[[#This Row],[3º PiN más alto]],"")</f>
        <v>7118</v>
      </c>
      <c r="AO166" s="14">
        <f>IFERROR(tblPiNAnalysis[[#This Row],[Diferencia de PiN entre el más alto y el 3º más alto]]/tblPiNAnalysis[[#This Row],[3º PiN más alto]], "")</f>
        <v>1.7437530622243997</v>
      </c>
      <c r="AP166" s="96" t="str" cm="1">
        <f t="array" ref="AP16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66" s="84" cm="1">
        <f t="array" ref="AQ166">IFERROR(IF(tblPiNAnalysis[[#This Row],[ID]]="", "", INDEX(tblPiNHistorical[[SAMV]:[ASH]], MATCH(tblPiNAnalysis[[#This Row],[ID]],tblPiNHistorical[ID], 0),MATCH(_xlfn._xlws.FILTER(tblPiNAnalysis[[#Headers],[SAMV]:[ASH]], tblPiNAnalysis[[#This Row],[PiN más alto]]=tblPiNAnalysis[[#This Row],[SAMV]:[ASH]]), tblPiNHistorical[[#Headers],[SAMV]:[ASH]], 0))), "")</f>
        <v>21</v>
      </c>
      <c r="AR166" s="99" t="str" cm="1">
        <f t="array" ref="AR16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66" s="74" cm="1">
        <f t="array" ref="AS166">IFERROR(IF(tblPiNAnalysis[[#This Row],[ID]]="", "", INDEX(tblPiNHistorical[[SAMV]:[ASH]], MATCH(tblPiNAnalysis[[#This Row],[ID]],tblPiNHistorical[ID], 0),MATCH(_xlfn._xlws.FILTER(tblPiNAnalysis[[#Headers],[SAMV]:[ASH]], tblPiNAnalysis[[#This Row],[2º PiN más alto]]=tblPiNAnalysis[[#This Row],[SAMV]:[ASH]]), tblPiNHistorical[[#Headers],[SAMV]:[ASH]], 0))), "")</f>
        <v>46.2</v>
      </c>
      <c r="AT166" s="100" t="str" cm="1">
        <f t="array" ref="AT16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66" s="219">
        <f>INDEX(tblSeverityAnalysis[Severidad final], MATCH(tblPiNAnalysis[[#This Row],[ID]],tblSeverityAnalysis[ID], 0))</f>
        <v>3</v>
      </c>
      <c r="AV166" s="220">
        <f>IF(tblPiNAnalysis[[#This Row],[Severidad]]&gt;2,tblPiNAnalysis[[#This Row],[PiN más alto]],)</f>
        <v>11200</v>
      </c>
      <c r="AW166" s="54"/>
      <c r="AX166" s="55"/>
      <c r="AY166" s="56">
        <f>COUNTIFS(tblPiNAnalysis[[#This Row],[Número de PiN ausentes/cero superior al umbral - Calidad de los datos]:[Marcador manual]],"Flagged")</f>
        <v>4</v>
      </c>
      <c r="AZ166" s="34" t="str">
        <f>IF(tblPiNAnalysis[[#This Row],[Número de marcadores]]&gt;0, "Flagged", "")</f>
        <v>Flagged</v>
      </c>
      <c r="BA166" s="92">
        <f>tblPiNAnalysis[[#This Row],[PiN preliminar]]</f>
        <v>11200</v>
      </c>
      <c r="BB166" s="97"/>
      <c r="BC166" s="70">
        <f>IFERROR(IF(tblPiNAnalysis[[#This Row],[Severidad]]=3,tblPiNAnalysis[[#This Row],[PiN final]]*Umbrales!$D$33,tblPiNAnalysis[[#This Row],[PiN final]]*Umbrales!$D$34),)</f>
        <v>5600</v>
      </c>
      <c r="BD166" s="70">
        <f>IFERROR(IF(tblPiNAnalysis[[#This Row],[Severidad]]&gt;3,tblPiNAnalysis[[#This Row],[PiN final]]*Umbrales!$D$34,),)</f>
        <v>0</v>
      </c>
    </row>
    <row r="167" spans="1:56">
      <c r="A167" s="101" t="str">
        <f>IFERROR(_xlfn.CONCAT(IF(tblPiNAnalysis[[#This Row],[Grupo]]="", "",tblPiNAnalysis[[#This Row],[Grupo]] ),  _xlfn.IFS(tblPiNAnalysis[[#This Row],[Admin2PCODE]]&lt;&gt;"", tblPiNAnalysis[[#This Row],[Admin2PCODE]], tblPiNAnalysis[[#This Row],[Admin1PCODE]]&lt;&gt;"", tblPiNAnalysis[[#This Row],[Admin1PCODE]])),"")</f>
        <v>VenezolanosVE0509</v>
      </c>
      <c r="B167" s="105" t="s">
        <v>123</v>
      </c>
      <c r="C167" s="104" t="s">
        <v>179</v>
      </c>
      <c r="D167" s="119" t="s">
        <v>195</v>
      </c>
      <c r="E167" s="104" t="s">
        <v>196</v>
      </c>
      <c r="F167" s="358"/>
      <c r="G167" s="357">
        <v>26118</v>
      </c>
      <c r="H167" s="103" t="s">
        <v>102</v>
      </c>
      <c r="I167" s="60">
        <v>9711</v>
      </c>
      <c r="J167" s="134">
        <v>859.46539019577131</v>
      </c>
      <c r="K167" s="57">
        <v>11100</v>
      </c>
      <c r="L167" s="87">
        <v>2510.9409208820671</v>
      </c>
      <c r="M167" s="87">
        <v>5210.5293675601251</v>
      </c>
      <c r="N167" s="57">
        <v>0</v>
      </c>
      <c r="O167" s="57">
        <v>1667.3693976192399</v>
      </c>
      <c r="P167" s="57">
        <v>1823.6852786460433</v>
      </c>
      <c r="Q167" s="88">
        <f>IFERROR(IF(tblPiNAnalysis[[#This Row],[SAMV]]="", "", MROUND(tblPiNAnalysis[[#This Row],[SAMV]]/tblPiNAnalysis[[#This Row],[Población]], 0.05)), "")</f>
        <v>0.35000000000000003</v>
      </c>
      <c r="R167" s="89">
        <f>IFERROR(IF(tblPiNAnalysis[[#This Row],[NUT]]="", "", MROUND(tblPiNAnalysis[[#This Row],[NUT]]/tblPiNAnalysis[[#This Row],[Población]], 0.05)), "")</f>
        <v>0.05</v>
      </c>
      <c r="S167" s="89">
        <f>IFERROR(IF(tblPiNAnalysis[[#This Row],[SAL]]="", "", MROUND(tblPiNAnalysis[[#This Row],[SAL]]/tblPiNAnalysis[[#This Row],[Población]], 0.05)), "")</f>
        <v>0.4</v>
      </c>
      <c r="T167" s="89">
        <f>IFERROR(IF(tblPiNAnalysis[[#This Row],[EDU]]="", "", MROUND(tblPiNAnalysis[[#This Row],[EDU]]/tblPiNAnalysis[[#This Row],[Población]], 0.05)), "")</f>
        <v>0.1</v>
      </c>
      <c r="U167" s="89">
        <f>IFERROR(IF(tblPiNAnalysis[[#This Row],[PRO]]="", "", MROUND(tblPiNAnalysis[[#This Row],[PRO]]/tblPiNAnalysis[[#This Row],[Población]], 0.05)), "")</f>
        <v>0.2</v>
      </c>
      <c r="V167" s="90">
        <f>IFERROR(IF(tblPiNAnalysis[[#This Row],[ASH]]="", "", MROUND(tblPiNAnalysis[[#This Row],[ASH]]/tblPiNAnalysis[[#This Row],[Población]], 0.05)), "")</f>
        <v>0</v>
      </c>
      <c r="W167" s="89">
        <f>IFERROR(MROUND(tblPiNAnalysis[[#This Row],[NNA]]/tblPiNAnalysis[[#This Row],[Población]], 0.05), "")</f>
        <v>0.05</v>
      </c>
      <c r="X167" s="89">
        <f>IFERROR(MROUND(tblPiNAnalysis[[#This Row],[VBG]]/tblPiNAnalysis[[#This Row],[Población]], 0.05), "")</f>
        <v>0.05</v>
      </c>
      <c r="Y167" s="91">
        <f>IFERROR(LARGE(tblPiNAnalysis[[#This Row],[SAMV]:[ASH]], 1), "")</f>
        <v>11100</v>
      </c>
      <c r="Z167" s="92" t="str" cm="1">
        <f t="array" ref="Z167">IF(tblPiNAnalysis[[#This Row],[PiN más alto]]="", "", _xlfn.TEXTJOIN(CHAR(10), TRUE, IF(tblPiNAnalysis[[#This Row],[PiN más alto]]=tblPiNAnalysis[[#This Row],[SAMV]:[ASH]], tblPiNAnalysis[[#Headers],[SAMV]:[ASH]], "")))</f>
        <v>SAL</v>
      </c>
      <c r="AA167" s="93">
        <f>IF(tblPiNAnalysis[[#This Row],[PiN más alto]]="", "", tblPiNAnalysis[[#This Row],[PiN más alto]]/tblPiNAnalysis[[#This Row],[Población]])</f>
        <v>0.42499425683436709</v>
      </c>
      <c r="AB167" s="94" t="str">
        <f>IF(SUM(tblPiNAnalysis[[#This Row],[SAMV]:[ASH]])=0, "",IF(COUNTIF(tblPiNAnalysis[[#This Row],[SAMV]:[ASH]],"=0")+COUNTIF(tblPiNAnalysis[[#This Row],[SAMV]:[ASH]],"")&gt;=zero_pin_thresh, "Flagged", ""))</f>
        <v/>
      </c>
      <c r="AC167" s="95" t="str">
        <f>IFERROR(IF(tblPiNAnalysis[[#This Row],[PiN más alto]]="", "", IF(tblPiNAnalysis[[#This Row],[% PiN Sectores más altos]]&gt;=flag_pin_perc, "Flagged", "")), "")</f>
        <v/>
      </c>
      <c r="AD167" s="96" t="str" cm="1">
        <f t="array" ref="AD167">IF(tblPiNAnalysis[[#This Row],[PiN más alto]]=0, "",  IF(OR(COUNTIF(tblPiNAnalysis[[#This Row],[Sectores más altos]],tblSubSectorPopulation[Sector])), "Flagged", ""))</f>
        <v/>
      </c>
      <c r="AE167" s="16" cm="1">
        <f t="array" ref="AE16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9711</v>
      </c>
      <c r="AF167" s="97" t="str" cm="1">
        <f t="array" ref="AF167">IF(tblPiNAnalysis[[#This Row],[2º PiN más alto]]="", "", _xlfn.TEXTJOIN(CHAR(10), TRUE, IF(tblPiNAnalysis[[#This Row],[2º PiN más alto]]=tblPiNAnalysis[[#This Row],[SAMV]:[ASH]], tblPiNAnalysis[[#Headers],[SAMV]:[ASH]], "")))</f>
        <v>SAMV</v>
      </c>
      <c r="AG167" s="12">
        <f>IFERROR(tblPiNAnalysis[[#This Row],[2º PiN más alto]]/tblPiNAnalysis[[#This Row],[Población]], "")</f>
        <v>0.37181254307374223</v>
      </c>
      <c r="AH167" s="16">
        <f>IFERROR(tblPiNAnalysis[[#This Row],[PiN más alto]]-tblPiNAnalysis[[#This Row],[2º PiN más alto]], "")</f>
        <v>1389</v>
      </c>
      <c r="AI167" s="14">
        <f>IFERROR(((tblPiNAnalysis[[#This Row],[PiN más alto]]-tblPiNAnalysis[[#This Row],[2º PiN más alto]])/tblPiNAnalysis[[#This Row],[2º PiN más alto]]),"")</f>
        <v>0.14303367315415508</v>
      </c>
      <c r="AJ167" s="14" t="str" cm="1">
        <f t="array" ref="AJ16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67" s="98" cm="1">
        <f t="array" ref="AK16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5210.5293675601251</v>
      </c>
      <c r="AL167" s="53" t="str" cm="1">
        <f t="array" ref="AL167">IF(tblPiNAnalysis[[#This Row],[3º PiN más alto]]="", "", _xlfn.TEXTJOIN(CHAR(10), TRUE, IF(tblPiNAnalysis[[#This Row],[3º PiN más alto]]=tblPiNAnalysis[[#This Row],[SAMV]:[ASH]], tblPiNAnalysis[[#Headers],[SAMV]:[ASH]], "")))</f>
        <v>PRO</v>
      </c>
      <c r="AM167" s="53">
        <f>IFERROR(tblPiNAnalysis[[#This Row],[3º PiN más alto]]/tblPiNAnalysis[[#This Row],[Población]], "")</f>
        <v>0.19949955461980723</v>
      </c>
      <c r="AN167" s="15">
        <f>IFERROR(tblPiNAnalysis[[#This Row],[PiN más alto]]-tblPiNAnalysis[[#This Row],[3º PiN más alto]],"")</f>
        <v>5889.4706324398749</v>
      </c>
      <c r="AO167" s="14">
        <f>IFERROR(tblPiNAnalysis[[#This Row],[Diferencia de PiN entre el más alto y el 3º más alto]]/tblPiNAnalysis[[#This Row],[3º PiN más alto]], "")</f>
        <v>1.130301782599427</v>
      </c>
      <c r="AP167" s="96" t="str" cm="1">
        <f t="array" ref="AP16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67" s="84" cm="1">
        <f t="array" ref="AQ167">IFERROR(IF(tblPiNAnalysis[[#This Row],[ID]]="", "", INDEX(tblPiNHistorical[[SAMV]:[ASH]], MATCH(tblPiNAnalysis[[#This Row],[ID]],tblPiNHistorical[ID], 0),MATCH(_xlfn._xlws.FILTER(tblPiNAnalysis[[#Headers],[SAMV]:[ASH]], tblPiNAnalysis[[#This Row],[PiN más alto]]=tblPiNAnalysis[[#This Row],[SAMV]:[ASH]]), tblPiNHistorical[[#Headers],[SAMV]:[ASH]], 0))), "")</f>
        <v>6</v>
      </c>
      <c r="AR167" s="99" t="str" cm="1">
        <f t="array" ref="AR16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67" s="74" cm="1">
        <f t="array" ref="AS167">IFERROR(IF(tblPiNAnalysis[[#This Row],[ID]]="", "", INDEX(tblPiNHistorical[[SAMV]:[ASH]], MATCH(tblPiNAnalysis[[#This Row],[ID]],tblPiNHistorical[ID], 0),MATCH(_xlfn._xlws.FILTER(tblPiNAnalysis[[#Headers],[SAMV]:[ASH]], tblPiNAnalysis[[#This Row],[2º PiN más alto]]=tblPiNAnalysis[[#This Row],[SAMV]:[ASH]]), tblPiNHistorical[[#Headers],[SAMV]:[ASH]], 0))), "")</f>
        <v>2.9</v>
      </c>
      <c r="AT167" s="100" t="str" cm="1">
        <f t="array" ref="AT16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67" s="219">
        <f>INDEX(tblSeverityAnalysis[Severidad final], MATCH(tblPiNAnalysis[[#This Row],[ID]],tblSeverityAnalysis[ID], 0))</f>
        <v>3</v>
      </c>
      <c r="AV167" s="220">
        <f>IF(tblPiNAnalysis[[#This Row],[Severidad]]&gt;2,tblPiNAnalysis[[#This Row],[PiN más alto]],)</f>
        <v>11100</v>
      </c>
      <c r="AW167" s="54"/>
      <c r="AX167" s="55"/>
      <c r="AY167" s="56">
        <f>COUNTIFS(tblPiNAnalysis[[#This Row],[Número de PiN ausentes/cero superior al umbral - Calidad de los datos]:[Marcador manual]],"Flagged")</f>
        <v>3</v>
      </c>
      <c r="AZ167" s="34" t="str">
        <f>IF(tblPiNAnalysis[[#This Row],[Número de marcadores]]&gt;0, "Flagged", "")</f>
        <v>Flagged</v>
      </c>
      <c r="BA167" s="92">
        <f>tblPiNAnalysis[[#This Row],[PiN preliminar]]</f>
        <v>11100</v>
      </c>
      <c r="BB167" s="97"/>
      <c r="BC167" s="70">
        <f>IFERROR(IF(tblPiNAnalysis[[#This Row],[Severidad]]=3,tblPiNAnalysis[[#This Row],[PiN final]]*Umbrales!$D$33,tblPiNAnalysis[[#This Row],[PiN final]]*Umbrales!$D$34),)</f>
        <v>5550</v>
      </c>
      <c r="BD167" s="70">
        <f>IFERROR(IF(tblPiNAnalysis[[#This Row],[Severidad]]&gt;3,tblPiNAnalysis[[#This Row],[PiN final]]*Umbrales!$D$34,),)</f>
        <v>0</v>
      </c>
    </row>
    <row r="168" spans="1:56">
      <c r="A168" s="101" t="str">
        <f>IFERROR(_xlfn.CONCAT(IF(tblPiNAnalysis[[#This Row],[Grupo]]="", "",tblPiNAnalysis[[#This Row],[Grupo]] ),  _xlfn.IFS(tblPiNAnalysis[[#This Row],[Admin2PCODE]]&lt;&gt;"", tblPiNAnalysis[[#This Row],[Admin2PCODE]], tblPiNAnalysis[[#This Row],[Admin1PCODE]]&lt;&gt;"", tblPiNAnalysis[[#This Row],[Admin1PCODE]])),"")</f>
        <v>VenezolanosVE2015</v>
      </c>
      <c r="B168" s="105" t="s">
        <v>589</v>
      </c>
      <c r="C168" s="104" t="s">
        <v>590</v>
      </c>
      <c r="D168" s="119" t="s">
        <v>141</v>
      </c>
      <c r="E168" s="104" t="s">
        <v>616</v>
      </c>
      <c r="F168" s="358"/>
      <c r="G168" s="357">
        <v>28167</v>
      </c>
      <c r="H168" s="103" t="s">
        <v>102</v>
      </c>
      <c r="I168" s="60">
        <v>10833</v>
      </c>
      <c r="J168" s="134">
        <v>834.42130302973101</v>
      </c>
      <c r="K168" s="57">
        <v>10280.955</v>
      </c>
      <c r="L168" s="87">
        <v>3814.8835926432689</v>
      </c>
      <c r="M168" s="87">
        <v>5638.3345961453051</v>
      </c>
      <c r="N168" s="57">
        <v>0</v>
      </c>
      <c r="O168" s="57">
        <v>1809.905405362643</v>
      </c>
      <c r="P168" s="57">
        <v>1973.4171086508568</v>
      </c>
      <c r="Q168" s="88">
        <f>IFERROR(IF(tblPiNAnalysis[[#This Row],[SAMV]]="", "", MROUND(tblPiNAnalysis[[#This Row],[SAMV]]/tblPiNAnalysis[[#This Row],[Población]], 0.05)), "")</f>
        <v>0.4</v>
      </c>
      <c r="R168" s="89">
        <f>IFERROR(IF(tblPiNAnalysis[[#This Row],[NUT]]="", "", MROUND(tblPiNAnalysis[[#This Row],[NUT]]/tblPiNAnalysis[[#This Row],[Población]], 0.05)), "")</f>
        <v>0.05</v>
      </c>
      <c r="S168" s="89">
        <f>IFERROR(IF(tblPiNAnalysis[[#This Row],[SAL]]="", "", MROUND(tblPiNAnalysis[[#This Row],[SAL]]/tblPiNAnalysis[[#This Row],[Población]], 0.05)), "")</f>
        <v>0.35000000000000003</v>
      </c>
      <c r="T168" s="89">
        <f>IFERROR(IF(tblPiNAnalysis[[#This Row],[EDU]]="", "", MROUND(tblPiNAnalysis[[#This Row],[EDU]]/tblPiNAnalysis[[#This Row],[Población]], 0.05)), "")</f>
        <v>0.15000000000000002</v>
      </c>
      <c r="U168" s="89">
        <f>IFERROR(IF(tblPiNAnalysis[[#This Row],[PRO]]="", "", MROUND(tblPiNAnalysis[[#This Row],[PRO]]/tblPiNAnalysis[[#This Row],[Población]], 0.05)), "")</f>
        <v>0.2</v>
      </c>
      <c r="V168" s="90">
        <f>IFERROR(IF(tblPiNAnalysis[[#This Row],[ASH]]="", "", MROUND(tblPiNAnalysis[[#This Row],[ASH]]/tblPiNAnalysis[[#This Row],[Población]], 0.05)), "")</f>
        <v>0</v>
      </c>
      <c r="W168" s="89">
        <f>IFERROR(MROUND(tblPiNAnalysis[[#This Row],[NNA]]/tblPiNAnalysis[[#This Row],[Población]], 0.05), "")</f>
        <v>0.05</v>
      </c>
      <c r="X168" s="89">
        <f>IFERROR(MROUND(tblPiNAnalysis[[#This Row],[VBG]]/tblPiNAnalysis[[#This Row],[Población]], 0.05), "")</f>
        <v>0.05</v>
      </c>
      <c r="Y168" s="91">
        <f>IFERROR(LARGE(tblPiNAnalysis[[#This Row],[SAMV]:[ASH]], 1), "")</f>
        <v>10833</v>
      </c>
      <c r="Z168" s="92" t="str" cm="1">
        <f t="array" ref="Z168">IF(tblPiNAnalysis[[#This Row],[PiN más alto]]="", "", _xlfn.TEXTJOIN(CHAR(10), TRUE, IF(tblPiNAnalysis[[#This Row],[PiN más alto]]=tblPiNAnalysis[[#This Row],[SAMV]:[ASH]], tblPiNAnalysis[[#Headers],[SAMV]:[ASH]], "")))</f>
        <v>SAMV</v>
      </c>
      <c r="AA168" s="93">
        <f>IF(tblPiNAnalysis[[#This Row],[PiN más alto]]="", "", tblPiNAnalysis[[#This Row],[PiN más alto]]/tblPiNAnalysis[[#This Row],[Población]])</f>
        <v>0.38459899882841625</v>
      </c>
      <c r="AB168" s="94" t="str">
        <f>IF(SUM(tblPiNAnalysis[[#This Row],[SAMV]:[ASH]])=0, "",IF(COUNTIF(tblPiNAnalysis[[#This Row],[SAMV]:[ASH]],"=0")+COUNTIF(tblPiNAnalysis[[#This Row],[SAMV]:[ASH]],"")&gt;=zero_pin_thresh, "Flagged", ""))</f>
        <v/>
      </c>
      <c r="AC168" s="95" t="str">
        <f>IFERROR(IF(tblPiNAnalysis[[#This Row],[PiN más alto]]="", "", IF(tblPiNAnalysis[[#This Row],[% PiN Sectores más altos]]&gt;=flag_pin_perc, "Flagged", "")), "")</f>
        <v/>
      </c>
      <c r="AD168" s="96" t="str" cm="1">
        <f t="array" ref="AD168">IF(tblPiNAnalysis[[#This Row],[PiN más alto]]=0, "",  IF(OR(COUNTIF(tblPiNAnalysis[[#This Row],[Sectores más altos]],tblSubSectorPopulation[Sector])), "Flagged", ""))</f>
        <v/>
      </c>
      <c r="AE168" s="16" cm="1">
        <f t="array" ref="AE16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10280.955</v>
      </c>
      <c r="AF168" s="97" t="str" cm="1">
        <f t="array" ref="AF168">IF(tblPiNAnalysis[[#This Row],[2º PiN más alto]]="", "", _xlfn.TEXTJOIN(CHAR(10), TRUE, IF(tblPiNAnalysis[[#This Row],[2º PiN más alto]]=tblPiNAnalysis[[#This Row],[SAMV]:[ASH]], tblPiNAnalysis[[#Headers],[SAMV]:[ASH]], "")))</f>
        <v>SAL</v>
      </c>
      <c r="AG168" s="12">
        <f>IFERROR(tblPiNAnalysis[[#This Row],[2º PiN más alto]]/tblPiNAnalysis[[#This Row],[Población]], "")</f>
        <v>0.36499999999999999</v>
      </c>
      <c r="AH168" s="16">
        <f>IFERROR(tblPiNAnalysis[[#This Row],[PiN más alto]]-tblPiNAnalysis[[#This Row],[2º PiN más alto]], "")</f>
        <v>552.04500000000007</v>
      </c>
      <c r="AI168" s="14">
        <f>IFERROR(((tblPiNAnalysis[[#This Row],[PiN más alto]]-tblPiNAnalysis[[#This Row],[2º PiN más alto]])/tblPiNAnalysis[[#This Row],[2º PiN más alto]]),"")</f>
        <v>5.3695887201140366E-2</v>
      </c>
      <c r="AJ168" s="14" t="str" cm="1">
        <f t="array" ref="AJ16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68" s="98" cm="1">
        <f t="array" ref="AK16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5638.3345961453051</v>
      </c>
      <c r="AL168" s="53" t="str" cm="1">
        <f t="array" ref="AL168">IF(tblPiNAnalysis[[#This Row],[3º PiN más alto]]="", "", _xlfn.TEXTJOIN(CHAR(10), TRUE, IF(tblPiNAnalysis[[#This Row],[3º PiN más alto]]=tblPiNAnalysis[[#This Row],[SAMV]:[ASH]], tblPiNAnalysis[[#Headers],[SAMV]:[ASH]], "")))</f>
        <v>PRO</v>
      </c>
      <c r="AM168" s="53">
        <f>IFERROR(tblPiNAnalysis[[#This Row],[3º PiN más alto]]/tblPiNAnalysis[[#This Row],[Población]], "")</f>
        <v>0.20017519068929263</v>
      </c>
      <c r="AN168" s="15">
        <f>IFERROR(tblPiNAnalysis[[#This Row],[PiN más alto]]-tblPiNAnalysis[[#This Row],[3º PiN más alto]],"")</f>
        <v>5194.6654038546949</v>
      </c>
      <c r="AO168" s="14">
        <f>IFERROR(tblPiNAnalysis[[#This Row],[Diferencia de PiN entre el más alto y el 3º más alto]]/tblPiNAnalysis[[#This Row],[3º PiN más alto]], "")</f>
        <v>0.92131201426145792</v>
      </c>
      <c r="AP168" s="96" t="str" cm="1">
        <f t="array" ref="AP16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68" s="84" cm="1">
        <f t="array" ref="AQ168">IFERROR(IF(tblPiNAnalysis[[#This Row],[ID]]="", "", INDEX(tblPiNHistorical[[SAMV]:[ASH]], MATCH(tblPiNAnalysis[[#This Row],[ID]],tblPiNHistorical[ID], 0),MATCH(_xlfn._xlws.FILTER(tblPiNAnalysis[[#Headers],[SAMV]:[ASH]], tblPiNAnalysis[[#This Row],[PiN más alto]]=tblPiNAnalysis[[#This Row],[SAMV]:[ASH]]), tblPiNHistorical[[#Headers],[SAMV]:[ASH]], 0))), "")</f>
        <v>-0.2</v>
      </c>
      <c r="AR168" s="99" t="str" cm="1">
        <f t="array" ref="AR16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68" s="74" cm="1">
        <f t="array" ref="AS168">IFERROR(IF(tblPiNAnalysis[[#This Row],[ID]]="", "", INDEX(tblPiNHistorical[[SAMV]:[ASH]], MATCH(tblPiNAnalysis[[#This Row],[ID]],tblPiNHistorical[ID], 0),MATCH(_xlfn._xlws.FILTER(tblPiNAnalysis[[#Headers],[SAMV]:[ASH]], tblPiNAnalysis[[#This Row],[2º PiN más alto]]=tblPiNAnalysis[[#This Row],[SAMV]:[ASH]]), tblPiNHistorical[[#Headers],[SAMV]:[ASH]], 0))), "")</f>
        <v>0.6</v>
      </c>
      <c r="AT168" s="100" t="str" cm="1">
        <f t="array" ref="AT16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68" s="219">
        <f>INDEX(tblSeverityAnalysis[Severidad final], MATCH(tblPiNAnalysis[[#This Row],[ID]],tblSeverityAnalysis[ID], 0))</f>
        <v>3</v>
      </c>
      <c r="AV168" s="220">
        <f>IF(tblPiNAnalysis[[#This Row],[Severidad]]&gt;2,tblPiNAnalysis[[#This Row],[PiN más alto]],)</f>
        <v>10833</v>
      </c>
      <c r="AW168" s="54"/>
      <c r="AX168" s="55"/>
      <c r="AY168" s="56">
        <f>COUNTIFS(tblPiNAnalysis[[#This Row],[Número de PiN ausentes/cero superior al umbral - Calidad de los datos]:[Marcador manual]],"Flagged")</f>
        <v>1</v>
      </c>
      <c r="AZ168" s="34" t="str">
        <f>IF(tblPiNAnalysis[[#This Row],[Número de marcadores]]&gt;0, "Flagged", "")</f>
        <v>Flagged</v>
      </c>
      <c r="BA168" s="92">
        <f>tblPiNAnalysis[[#This Row],[PiN preliminar]]</f>
        <v>10833</v>
      </c>
      <c r="BB168" s="97"/>
      <c r="BC168" s="70">
        <f>IFERROR(IF(tblPiNAnalysis[[#This Row],[Severidad]]=3,tblPiNAnalysis[[#This Row],[PiN final]]*Umbrales!$D$33,tblPiNAnalysis[[#This Row],[PiN final]]*Umbrales!$D$34),)</f>
        <v>5416.5</v>
      </c>
      <c r="BD168" s="70">
        <f>IFERROR(IF(tblPiNAnalysis[[#This Row],[Severidad]]&gt;3,tblPiNAnalysis[[#This Row],[PiN final]]*Umbrales!$D$34,),)</f>
        <v>0</v>
      </c>
    </row>
    <row r="169" spans="1:56">
      <c r="A169" s="101" t="str">
        <f>IFERROR(_xlfn.CONCAT(IF(tblPiNAnalysis[[#This Row],[Grupo]]="", "",tblPiNAnalysis[[#This Row],[Grupo]] ),  _xlfn.IFS(tblPiNAnalysis[[#This Row],[Admin2PCODE]]&lt;&gt;"", tblPiNAnalysis[[#This Row],[Admin2PCODE]], tblPiNAnalysis[[#This Row],[Admin1PCODE]]&lt;&gt;"", tblPiNAnalysis[[#This Row],[Admin1PCODE]])),"")</f>
        <v>VenezolanosVE1103</v>
      </c>
      <c r="B169" s="105" t="s">
        <v>316</v>
      </c>
      <c r="C169" s="104" t="s">
        <v>317</v>
      </c>
      <c r="D169" s="119" t="s">
        <v>321</v>
      </c>
      <c r="E169" s="104" t="s">
        <v>322</v>
      </c>
      <c r="F169" s="358"/>
      <c r="G169" s="357">
        <v>23419</v>
      </c>
      <c r="H169" s="103" t="s">
        <v>102</v>
      </c>
      <c r="I169" s="60">
        <v>5074</v>
      </c>
      <c r="J169" s="134">
        <v>1100.3675741232016</v>
      </c>
      <c r="K169" s="57">
        <v>8547.9349999999995</v>
      </c>
      <c r="L169" s="87">
        <v>2099.4869681318678</v>
      </c>
      <c r="M169" s="87">
        <v>4670.634038496115</v>
      </c>
      <c r="N169" s="57">
        <v>10538.550000000001</v>
      </c>
      <c r="O169" s="57">
        <v>1494.6028923187569</v>
      </c>
      <c r="P169" s="57">
        <v>1634.7219134736401</v>
      </c>
      <c r="Q169" s="88">
        <f>IFERROR(IF(tblPiNAnalysis[[#This Row],[SAMV]]="", "", MROUND(tblPiNAnalysis[[#This Row],[SAMV]]/tblPiNAnalysis[[#This Row],[Población]], 0.05)), "")</f>
        <v>0.2</v>
      </c>
      <c r="R169" s="89">
        <f>IFERROR(IF(tblPiNAnalysis[[#This Row],[NUT]]="", "", MROUND(tblPiNAnalysis[[#This Row],[NUT]]/tblPiNAnalysis[[#This Row],[Población]], 0.05)), "")</f>
        <v>0.05</v>
      </c>
      <c r="S169" s="89">
        <f>IFERROR(IF(tblPiNAnalysis[[#This Row],[SAL]]="", "", MROUND(tblPiNAnalysis[[#This Row],[SAL]]/tblPiNAnalysis[[#This Row],[Población]], 0.05)), "")</f>
        <v>0.35000000000000003</v>
      </c>
      <c r="T169" s="89">
        <f>IFERROR(IF(tblPiNAnalysis[[#This Row],[EDU]]="", "", MROUND(tblPiNAnalysis[[#This Row],[EDU]]/tblPiNAnalysis[[#This Row],[Población]], 0.05)), "")</f>
        <v>0.1</v>
      </c>
      <c r="U169" s="89">
        <f>IFERROR(IF(tblPiNAnalysis[[#This Row],[PRO]]="", "", MROUND(tblPiNAnalysis[[#This Row],[PRO]]/tblPiNAnalysis[[#This Row],[Población]], 0.05)), "")</f>
        <v>0.2</v>
      </c>
      <c r="V169" s="90">
        <f>IFERROR(IF(tblPiNAnalysis[[#This Row],[ASH]]="", "", MROUND(tblPiNAnalysis[[#This Row],[ASH]]/tblPiNAnalysis[[#This Row],[Población]], 0.05)), "")</f>
        <v>0.45</v>
      </c>
      <c r="W169" s="89">
        <f>IFERROR(MROUND(tblPiNAnalysis[[#This Row],[NNA]]/tblPiNAnalysis[[#This Row],[Población]], 0.05), "")</f>
        <v>0.05</v>
      </c>
      <c r="X169" s="89">
        <f>IFERROR(MROUND(tblPiNAnalysis[[#This Row],[VBG]]/tblPiNAnalysis[[#This Row],[Población]], 0.05), "")</f>
        <v>0.05</v>
      </c>
      <c r="Y169" s="91">
        <f>IFERROR(LARGE(tblPiNAnalysis[[#This Row],[SAMV]:[ASH]], 1), "")</f>
        <v>10538.550000000001</v>
      </c>
      <c r="Z169" s="92" t="str" cm="1">
        <f t="array" ref="Z169">IF(tblPiNAnalysis[[#This Row],[PiN más alto]]="", "", _xlfn.TEXTJOIN(CHAR(10), TRUE, IF(tblPiNAnalysis[[#This Row],[PiN más alto]]=tblPiNAnalysis[[#This Row],[SAMV]:[ASH]], tblPiNAnalysis[[#Headers],[SAMV]:[ASH]], "")))</f>
        <v>ASH</v>
      </c>
      <c r="AA169" s="93">
        <f>IF(tblPiNAnalysis[[#This Row],[PiN más alto]]="", "", tblPiNAnalysis[[#This Row],[PiN más alto]]/tblPiNAnalysis[[#This Row],[Población]])</f>
        <v>0.45000000000000007</v>
      </c>
      <c r="AB169" s="94" t="str">
        <f>IF(SUM(tblPiNAnalysis[[#This Row],[SAMV]:[ASH]])=0, "",IF(COUNTIF(tblPiNAnalysis[[#This Row],[SAMV]:[ASH]],"=0")+COUNTIF(tblPiNAnalysis[[#This Row],[SAMV]:[ASH]],"")&gt;=zero_pin_thresh, "Flagged", ""))</f>
        <v/>
      </c>
      <c r="AC169" s="95" t="str">
        <f>IFERROR(IF(tblPiNAnalysis[[#This Row],[PiN más alto]]="", "", IF(tblPiNAnalysis[[#This Row],[% PiN Sectores más altos]]&gt;=flag_pin_perc, "Flagged", "")), "")</f>
        <v/>
      </c>
      <c r="AD169" s="96" t="str" cm="1">
        <f t="array" ref="AD169">IF(tblPiNAnalysis[[#This Row],[PiN más alto]]=0, "",  IF(OR(COUNTIF(tblPiNAnalysis[[#This Row],[Sectores más altos]],tblSubSectorPopulation[Sector])), "Flagged", ""))</f>
        <v/>
      </c>
      <c r="AE169" s="16" cm="1">
        <f t="array" ref="AE16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8547.9349999999995</v>
      </c>
      <c r="AF169" s="97" t="str" cm="1">
        <f t="array" ref="AF169">IF(tblPiNAnalysis[[#This Row],[2º PiN más alto]]="", "", _xlfn.TEXTJOIN(CHAR(10), TRUE, IF(tblPiNAnalysis[[#This Row],[2º PiN más alto]]=tblPiNAnalysis[[#This Row],[SAMV]:[ASH]], tblPiNAnalysis[[#Headers],[SAMV]:[ASH]], "")))</f>
        <v>SAL</v>
      </c>
      <c r="AG169" s="12">
        <f>IFERROR(tblPiNAnalysis[[#This Row],[2º PiN más alto]]/tblPiNAnalysis[[#This Row],[Población]], "")</f>
        <v>0.36499999999999999</v>
      </c>
      <c r="AH169" s="16">
        <f>IFERROR(tblPiNAnalysis[[#This Row],[PiN más alto]]-tblPiNAnalysis[[#This Row],[2º PiN más alto]], "")</f>
        <v>1990.6150000000016</v>
      </c>
      <c r="AI169" s="14">
        <f>IFERROR(((tblPiNAnalysis[[#This Row],[PiN más alto]]-tblPiNAnalysis[[#This Row],[2º PiN más alto]])/tblPiNAnalysis[[#This Row],[2º PiN más alto]]),"")</f>
        <v>0.23287671232876733</v>
      </c>
      <c r="AJ169" s="14" t="str" cm="1">
        <f t="array" ref="AJ16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69" s="98" cm="1">
        <f t="array" ref="AK16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5074</v>
      </c>
      <c r="AL169" s="53" t="str" cm="1">
        <f t="array" ref="AL169">IF(tblPiNAnalysis[[#This Row],[3º PiN más alto]]="", "", _xlfn.TEXTJOIN(CHAR(10), TRUE, IF(tblPiNAnalysis[[#This Row],[3º PiN más alto]]=tblPiNAnalysis[[#This Row],[SAMV]:[ASH]], tblPiNAnalysis[[#Headers],[SAMV]:[ASH]], "")))</f>
        <v>SAMV</v>
      </c>
      <c r="AM169" s="53">
        <f>IFERROR(tblPiNAnalysis[[#This Row],[3º PiN más alto]]/tblPiNAnalysis[[#This Row],[Población]], "")</f>
        <v>0.21666168495665913</v>
      </c>
      <c r="AN169" s="15">
        <f>IFERROR(tblPiNAnalysis[[#This Row],[PiN más alto]]-tblPiNAnalysis[[#This Row],[3º PiN más alto]],"")</f>
        <v>5464.5500000000011</v>
      </c>
      <c r="AO169" s="14">
        <f>IFERROR(tblPiNAnalysis[[#This Row],[Diferencia de PiN entre el más alto y el 3º más alto]]/tblPiNAnalysis[[#This Row],[3º PiN más alto]], "")</f>
        <v>1.0769708316909739</v>
      </c>
      <c r="AP169" s="96" t="str" cm="1">
        <f t="array" ref="AP16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69" s="84" t="str" cm="1">
        <f t="array" ref="AQ169">IFERROR(IF(tblPiNAnalysis[[#This Row],[ID]]="", "", INDEX(tblPiNHistorical[[SAMV]:[ASH]], MATCH(tblPiNAnalysis[[#This Row],[ID]],tblPiNHistorical[ID], 0),MATCH(_xlfn._xlws.FILTER(tblPiNAnalysis[[#Headers],[SAMV]:[ASH]], tblPiNAnalysis[[#This Row],[PiN más alto]]=tblPiNAnalysis[[#This Row],[SAMV]:[ASH]]), tblPiNHistorical[[#Headers],[SAMV]:[ASH]], 0))), "")</f>
        <v>New26 3569.1975</v>
      </c>
      <c r="AR169" s="99" t="str" cm="1">
        <f t="array" ref="AR16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69" s="74" cm="1">
        <f t="array" ref="AS169">IFERROR(IF(tblPiNAnalysis[[#This Row],[ID]]="", "", INDEX(tblPiNHistorical[[SAMV]:[ASH]], MATCH(tblPiNAnalysis[[#This Row],[ID]],tblPiNHistorical[ID], 0),MATCH(_xlfn._xlws.FILTER(tblPiNAnalysis[[#Headers],[SAMV]:[ASH]], tblPiNAnalysis[[#This Row],[2º PiN más alto]]=tblPiNAnalysis[[#This Row],[SAMV]:[ASH]]), tblPiNHistorical[[#Headers],[SAMV]:[ASH]], 0))), "")</f>
        <v>2.2000000000000002</v>
      </c>
      <c r="AT169" s="100" t="str" cm="1">
        <f t="array" ref="AT16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69" s="219">
        <f>INDEX(tblSeverityAnalysis[Severidad final], MATCH(tblPiNAnalysis[[#This Row],[ID]],tblSeverityAnalysis[ID], 0))</f>
        <v>3</v>
      </c>
      <c r="AV169" s="220">
        <f>IF(tblPiNAnalysis[[#This Row],[Severidad]]&gt;2,tblPiNAnalysis[[#This Row],[PiN más alto]],)</f>
        <v>10538.550000000001</v>
      </c>
      <c r="AW169" s="54"/>
      <c r="AX169" s="55"/>
      <c r="AY169" s="56">
        <f>COUNTIFS(tblPiNAnalysis[[#This Row],[Número de PiN ausentes/cero superior al umbral - Calidad de los datos]:[Marcador manual]],"Flagged")</f>
        <v>2</v>
      </c>
      <c r="AZ169" s="34" t="str">
        <f>IF(tblPiNAnalysis[[#This Row],[Número de marcadores]]&gt;0, "Flagged", "")</f>
        <v>Flagged</v>
      </c>
      <c r="BA169" s="92">
        <f>tblPiNAnalysis[[#This Row],[PiN preliminar]]</f>
        <v>10538.550000000001</v>
      </c>
      <c r="BB169" s="97"/>
      <c r="BC169" s="70">
        <f>IFERROR(IF(tblPiNAnalysis[[#This Row],[Severidad]]=3,tblPiNAnalysis[[#This Row],[PiN final]]*Umbrales!$D$33,tblPiNAnalysis[[#This Row],[PiN final]]*Umbrales!$D$34),)</f>
        <v>5269.2750000000005</v>
      </c>
      <c r="BD169" s="70">
        <f>IFERROR(IF(tblPiNAnalysis[[#This Row],[Severidad]]&gt;3,tblPiNAnalysis[[#This Row],[PiN final]]*Umbrales!$D$34,),)</f>
        <v>0</v>
      </c>
    </row>
    <row r="170" spans="1:56">
      <c r="A170" s="101" t="str">
        <f>IFERROR(_xlfn.CONCAT(IF(tblPiNAnalysis[[#This Row],[Grupo]]="", "",tblPiNAnalysis[[#This Row],[Grupo]] ),  _xlfn.IFS(tblPiNAnalysis[[#This Row],[Admin2PCODE]]&lt;&gt;"", tblPiNAnalysis[[#This Row],[Admin2PCODE]], tblPiNAnalysis[[#This Row],[Admin1PCODE]]&lt;&gt;"", tblPiNAnalysis[[#This Row],[Admin1PCODE]])),"")</f>
        <v>VenezolanosVE1502</v>
      </c>
      <c r="B170" s="105" t="s">
        <v>276</v>
      </c>
      <c r="C170" s="104" t="s">
        <v>455</v>
      </c>
      <c r="D170" s="119" t="s">
        <v>415</v>
      </c>
      <c r="E170" s="104" t="s">
        <v>458</v>
      </c>
      <c r="F170" s="358"/>
      <c r="G170" s="357">
        <v>21447</v>
      </c>
      <c r="H170" s="103" t="s">
        <v>102</v>
      </c>
      <c r="I170" s="60">
        <v>4874</v>
      </c>
      <c r="J170" s="134">
        <v>1001.1743397731281</v>
      </c>
      <c r="K170" s="57">
        <v>10500</v>
      </c>
      <c r="L170" s="87">
        <v>801.64078710332751</v>
      </c>
      <c r="M170" s="87">
        <v>4275.6304381965929</v>
      </c>
      <c r="N170" s="57">
        <v>2895.3449999999998</v>
      </c>
      <c r="O170" s="57">
        <v>1368.2017402229098</v>
      </c>
      <c r="P170" s="57">
        <v>1496.4706533688075</v>
      </c>
      <c r="Q170" s="88">
        <f>IFERROR(IF(tblPiNAnalysis[[#This Row],[SAMV]]="", "", MROUND(tblPiNAnalysis[[#This Row],[SAMV]]/tblPiNAnalysis[[#This Row],[Población]], 0.05)), "")</f>
        <v>0.25</v>
      </c>
      <c r="R170" s="89">
        <f>IFERROR(IF(tblPiNAnalysis[[#This Row],[NUT]]="", "", MROUND(tblPiNAnalysis[[#This Row],[NUT]]/tblPiNAnalysis[[#This Row],[Población]], 0.05)), "")</f>
        <v>0.05</v>
      </c>
      <c r="S170" s="89">
        <f>IFERROR(IF(tblPiNAnalysis[[#This Row],[SAL]]="", "", MROUND(tblPiNAnalysis[[#This Row],[SAL]]/tblPiNAnalysis[[#This Row],[Población]], 0.05)), "")</f>
        <v>0.5</v>
      </c>
      <c r="T170" s="89">
        <f>IFERROR(IF(tblPiNAnalysis[[#This Row],[EDU]]="", "", MROUND(tblPiNAnalysis[[#This Row],[EDU]]/tblPiNAnalysis[[#This Row],[Población]], 0.05)), "")</f>
        <v>0.05</v>
      </c>
      <c r="U170" s="89">
        <f>IFERROR(IF(tblPiNAnalysis[[#This Row],[PRO]]="", "", MROUND(tblPiNAnalysis[[#This Row],[PRO]]/tblPiNAnalysis[[#This Row],[Población]], 0.05)), "")</f>
        <v>0.2</v>
      </c>
      <c r="V170" s="90">
        <f>IFERROR(IF(tblPiNAnalysis[[#This Row],[ASH]]="", "", MROUND(tblPiNAnalysis[[#This Row],[ASH]]/tblPiNAnalysis[[#This Row],[Población]], 0.05)), "")</f>
        <v>0.15000000000000002</v>
      </c>
      <c r="W170" s="89">
        <f>IFERROR(MROUND(tblPiNAnalysis[[#This Row],[NNA]]/tblPiNAnalysis[[#This Row],[Población]], 0.05), "")</f>
        <v>0.05</v>
      </c>
      <c r="X170" s="89">
        <f>IFERROR(MROUND(tblPiNAnalysis[[#This Row],[VBG]]/tblPiNAnalysis[[#This Row],[Población]], 0.05), "")</f>
        <v>0.05</v>
      </c>
      <c r="Y170" s="91">
        <f>IFERROR(LARGE(tblPiNAnalysis[[#This Row],[SAMV]:[ASH]], 1), "")</f>
        <v>10500</v>
      </c>
      <c r="Z170" s="92" t="str" cm="1">
        <f t="array" ref="Z170">IF(tblPiNAnalysis[[#This Row],[PiN más alto]]="", "", _xlfn.TEXTJOIN(CHAR(10), TRUE, IF(tblPiNAnalysis[[#This Row],[PiN más alto]]=tblPiNAnalysis[[#This Row],[SAMV]:[ASH]], tblPiNAnalysis[[#Headers],[SAMV]:[ASH]], "")))</f>
        <v>SAL</v>
      </c>
      <c r="AA170" s="93">
        <f>IF(tblPiNAnalysis[[#This Row],[PiN más alto]]="", "", tblPiNAnalysis[[#This Row],[PiN más alto]]/tblPiNAnalysis[[#This Row],[Población]])</f>
        <v>0.48957896209260038</v>
      </c>
      <c r="AB170" s="94" t="str">
        <f>IF(SUM(tblPiNAnalysis[[#This Row],[SAMV]:[ASH]])=0, "",IF(COUNTIF(tblPiNAnalysis[[#This Row],[SAMV]:[ASH]],"=0")+COUNTIF(tblPiNAnalysis[[#This Row],[SAMV]:[ASH]],"")&gt;=zero_pin_thresh, "Flagged", ""))</f>
        <v/>
      </c>
      <c r="AC170" s="95" t="str">
        <f>IFERROR(IF(tblPiNAnalysis[[#This Row],[PiN más alto]]="", "", IF(tblPiNAnalysis[[#This Row],[% PiN Sectores más altos]]&gt;=flag_pin_perc, "Flagged", "")), "")</f>
        <v/>
      </c>
      <c r="AD170" s="96" t="str" cm="1">
        <f t="array" ref="AD170">IF(tblPiNAnalysis[[#This Row],[PiN más alto]]=0, "",  IF(OR(COUNTIF(tblPiNAnalysis[[#This Row],[Sectores más altos]],tblSubSectorPopulation[Sector])), "Flagged", ""))</f>
        <v/>
      </c>
      <c r="AE170" s="16" cm="1">
        <f t="array" ref="AE17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4874</v>
      </c>
      <c r="AF170" s="97" t="str" cm="1">
        <f t="array" ref="AF170">IF(tblPiNAnalysis[[#This Row],[2º PiN más alto]]="", "", _xlfn.TEXTJOIN(CHAR(10), TRUE, IF(tblPiNAnalysis[[#This Row],[2º PiN más alto]]=tblPiNAnalysis[[#This Row],[SAMV]:[ASH]], tblPiNAnalysis[[#Headers],[SAMV]:[ASH]], "")))</f>
        <v>SAMV</v>
      </c>
      <c r="AG170" s="12">
        <f>IFERROR(tblPiNAnalysis[[#This Row],[2º PiN más alto]]/tblPiNAnalysis[[#This Row],[Población]], "")</f>
        <v>0.22725789154660325</v>
      </c>
      <c r="AH170" s="16">
        <f>IFERROR(tblPiNAnalysis[[#This Row],[PiN más alto]]-tblPiNAnalysis[[#This Row],[2º PiN más alto]], "")</f>
        <v>5626</v>
      </c>
      <c r="AI170" s="14">
        <f>IFERROR(((tblPiNAnalysis[[#This Row],[PiN más alto]]-tblPiNAnalysis[[#This Row],[2º PiN más alto]])/tblPiNAnalysis[[#This Row],[2º PiN más alto]]),"")</f>
        <v>1.1542880590890439</v>
      </c>
      <c r="AJ170" s="14" t="str" cm="1">
        <f t="array" ref="AJ17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70" s="98" cm="1">
        <f t="array" ref="AK17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4275.6304381965929</v>
      </c>
      <c r="AL170" s="53" t="str" cm="1">
        <f t="array" ref="AL170">IF(tblPiNAnalysis[[#This Row],[3º PiN más alto]]="", "", _xlfn.TEXTJOIN(CHAR(10), TRUE, IF(tblPiNAnalysis[[#This Row],[3º PiN más alto]]=tblPiNAnalysis[[#This Row],[SAMV]:[ASH]], tblPiNAnalysis[[#Headers],[SAMV]:[ASH]], "")))</f>
        <v>PRO</v>
      </c>
      <c r="AM170" s="53">
        <f>IFERROR(tblPiNAnalysis[[#This Row],[3º PiN más alto]]/tblPiNAnalysis[[#This Row],[Población]], "")</f>
        <v>0.19935797259274457</v>
      </c>
      <c r="AN170" s="15">
        <f>IFERROR(tblPiNAnalysis[[#This Row],[PiN más alto]]-tblPiNAnalysis[[#This Row],[3º PiN más alto]],"")</f>
        <v>6224.3695618034071</v>
      </c>
      <c r="AO170" s="14">
        <f>IFERROR(tblPiNAnalysis[[#This Row],[Diferencia de PiN entre el más alto y el 3º más alto]]/tblPiNAnalysis[[#This Row],[3º PiN más alto]], "")</f>
        <v>1.455778194999652</v>
      </c>
      <c r="AP170" s="96" t="str" cm="1">
        <f t="array" ref="AP17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70" s="84" cm="1">
        <f t="array" ref="AQ170">IFERROR(IF(tblPiNAnalysis[[#This Row],[ID]]="", "", INDEX(tblPiNHistorical[[SAMV]:[ASH]], MATCH(tblPiNAnalysis[[#This Row],[ID]],tblPiNHistorical[ID], 0),MATCH(_xlfn._xlws.FILTER(tblPiNAnalysis[[#Headers],[SAMV]:[ASH]], tblPiNAnalysis[[#This Row],[PiN más alto]]=tblPiNAnalysis[[#This Row],[SAMV]:[ASH]]), tblPiNHistorical[[#Headers],[SAMV]:[ASH]], 0))), "")</f>
        <v>0.8</v>
      </c>
      <c r="AR170" s="99" t="str" cm="1">
        <f t="array" ref="AR17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70" s="74" cm="1">
        <f t="array" ref="AS170">IFERROR(IF(tblPiNAnalysis[[#This Row],[ID]]="", "", INDEX(tblPiNHistorical[[SAMV]:[ASH]], MATCH(tblPiNAnalysis[[#This Row],[ID]],tblPiNHistorical[ID], 0),MATCH(_xlfn._xlws.FILTER(tblPiNAnalysis[[#Headers],[SAMV]:[ASH]], tblPiNAnalysis[[#This Row],[2º PiN más alto]]=tblPiNAnalysis[[#This Row],[SAMV]:[ASH]]), tblPiNHistorical[[#Headers],[SAMV]:[ASH]], 0))), "")</f>
        <v>1.4</v>
      </c>
      <c r="AT170" s="100" t="str" cm="1">
        <f t="array" ref="AT17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70" s="219">
        <f>INDEX(tblSeverityAnalysis[Severidad final], MATCH(tblPiNAnalysis[[#This Row],[ID]],tblSeverityAnalysis[ID], 0))</f>
        <v>3</v>
      </c>
      <c r="AV170" s="220">
        <f>IF(tblPiNAnalysis[[#This Row],[Severidad]]&gt;2,tblPiNAnalysis[[#This Row],[PiN más alto]],)</f>
        <v>10500</v>
      </c>
      <c r="AW170" s="54"/>
      <c r="AX170" s="55"/>
      <c r="AY170" s="56">
        <f>COUNTIFS(tblPiNAnalysis[[#This Row],[Número de PiN ausentes/cero superior al umbral - Calidad de los datos]:[Marcador manual]],"Flagged")</f>
        <v>3</v>
      </c>
      <c r="AZ170" s="34" t="str">
        <f>IF(tblPiNAnalysis[[#This Row],[Número de marcadores]]&gt;0, "Flagged", "")</f>
        <v>Flagged</v>
      </c>
      <c r="BA170" s="92">
        <f>tblPiNAnalysis[[#This Row],[PiN preliminar]]</f>
        <v>10500</v>
      </c>
      <c r="BB170" s="97"/>
      <c r="BC170" s="70">
        <f>IFERROR(IF(tblPiNAnalysis[[#This Row],[Severidad]]=3,tblPiNAnalysis[[#This Row],[PiN final]]*Umbrales!$D$33,tblPiNAnalysis[[#This Row],[PiN final]]*Umbrales!$D$34),)</f>
        <v>5250</v>
      </c>
      <c r="BD170" s="70">
        <f>IFERROR(IF(tblPiNAnalysis[[#This Row],[Severidad]]&gt;3,tblPiNAnalysis[[#This Row],[PiN final]]*Umbrales!$D$34,),)</f>
        <v>0</v>
      </c>
    </row>
    <row r="171" spans="1:56">
      <c r="A171" s="101" t="str">
        <f>IFERROR(_xlfn.CONCAT(IF(tblPiNAnalysis[[#This Row],[Grupo]]="", "",tblPiNAnalysis[[#This Row],[Grupo]] ),  _xlfn.IFS(tblPiNAnalysis[[#This Row],[Admin2PCODE]]&lt;&gt;"", tblPiNAnalysis[[#This Row],[Admin2PCODE]], tblPiNAnalysis[[#This Row],[Admin1PCODE]]&lt;&gt;"", tblPiNAnalysis[[#This Row],[Admin1PCODE]])),"")</f>
        <v>VenezolanosVE1610</v>
      </c>
      <c r="B171" s="105" t="s">
        <v>491</v>
      </c>
      <c r="C171" s="104" t="s">
        <v>492</v>
      </c>
      <c r="D171" s="119" t="s">
        <v>505</v>
      </c>
      <c r="E171" s="104" t="s">
        <v>506</v>
      </c>
      <c r="F171" s="358"/>
      <c r="G171" s="357">
        <v>28594</v>
      </c>
      <c r="H171" s="103" t="s">
        <v>102</v>
      </c>
      <c r="I171" s="60">
        <v>8737</v>
      </c>
      <c r="J171" s="134">
        <v>898.68985601416614</v>
      </c>
      <c r="K171" s="57">
        <v>10436.81</v>
      </c>
      <c r="L171" s="87">
        <v>2770.1186547035877</v>
      </c>
      <c r="M171" s="87">
        <v>5709.8351619733603</v>
      </c>
      <c r="N171" s="57">
        <v>0</v>
      </c>
      <c r="O171" s="57">
        <v>1827.1472518314754</v>
      </c>
      <c r="P171" s="57">
        <v>1998.4423066906759</v>
      </c>
      <c r="Q171" s="88">
        <f>IFERROR(IF(tblPiNAnalysis[[#This Row],[SAMV]]="", "", MROUND(tblPiNAnalysis[[#This Row],[SAMV]]/tblPiNAnalysis[[#This Row],[Población]], 0.05)), "")</f>
        <v>0.30000000000000004</v>
      </c>
      <c r="R171" s="89">
        <f>IFERROR(IF(tblPiNAnalysis[[#This Row],[NUT]]="", "", MROUND(tblPiNAnalysis[[#This Row],[NUT]]/tblPiNAnalysis[[#This Row],[Población]], 0.05)), "")</f>
        <v>0.05</v>
      </c>
      <c r="S171" s="89">
        <f>IFERROR(IF(tblPiNAnalysis[[#This Row],[SAL]]="", "", MROUND(tblPiNAnalysis[[#This Row],[SAL]]/tblPiNAnalysis[[#This Row],[Población]], 0.05)), "")</f>
        <v>0.35000000000000003</v>
      </c>
      <c r="T171" s="89">
        <f>IFERROR(IF(tblPiNAnalysis[[#This Row],[EDU]]="", "", MROUND(tblPiNAnalysis[[#This Row],[EDU]]/tblPiNAnalysis[[#This Row],[Población]], 0.05)), "")</f>
        <v>0.1</v>
      </c>
      <c r="U171" s="89">
        <f>IFERROR(IF(tblPiNAnalysis[[#This Row],[PRO]]="", "", MROUND(tblPiNAnalysis[[#This Row],[PRO]]/tblPiNAnalysis[[#This Row],[Población]], 0.05)), "")</f>
        <v>0.2</v>
      </c>
      <c r="V171" s="90">
        <f>IFERROR(IF(tblPiNAnalysis[[#This Row],[ASH]]="", "", MROUND(tblPiNAnalysis[[#This Row],[ASH]]/tblPiNAnalysis[[#This Row],[Población]], 0.05)), "")</f>
        <v>0</v>
      </c>
      <c r="W171" s="89">
        <f>IFERROR(MROUND(tblPiNAnalysis[[#This Row],[NNA]]/tblPiNAnalysis[[#This Row],[Población]], 0.05), "")</f>
        <v>0.05</v>
      </c>
      <c r="X171" s="89">
        <f>IFERROR(MROUND(tblPiNAnalysis[[#This Row],[VBG]]/tblPiNAnalysis[[#This Row],[Población]], 0.05), "")</f>
        <v>0.05</v>
      </c>
      <c r="Y171" s="91">
        <f>IFERROR(LARGE(tblPiNAnalysis[[#This Row],[SAMV]:[ASH]], 1), "")</f>
        <v>10436.81</v>
      </c>
      <c r="Z171" s="92" t="str" cm="1">
        <f t="array" ref="Z171">IF(tblPiNAnalysis[[#This Row],[PiN más alto]]="", "", _xlfn.TEXTJOIN(CHAR(10), TRUE, IF(tblPiNAnalysis[[#This Row],[PiN más alto]]=tblPiNAnalysis[[#This Row],[SAMV]:[ASH]], tblPiNAnalysis[[#Headers],[SAMV]:[ASH]], "")))</f>
        <v>SAL</v>
      </c>
      <c r="AA171" s="93">
        <f>IF(tblPiNAnalysis[[#This Row],[PiN más alto]]="", "", tblPiNAnalysis[[#This Row],[PiN más alto]]/tblPiNAnalysis[[#This Row],[Población]])</f>
        <v>0.36499999999999999</v>
      </c>
      <c r="AB171" s="94" t="str">
        <f>IF(SUM(tblPiNAnalysis[[#This Row],[SAMV]:[ASH]])=0, "",IF(COUNTIF(tblPiNAnalysis[[#This Row],[SAMV]:[ASH]],"=0")+COUNTIF(tblPiNAnalysis[[#This Row],[SAMV]:[ASH]],"")&gt;=zero_pin_thresh, "Flagged", ""))</f>
        <v/>
      </c>
      <c r="AC171" s="95" t="str">
        <f>IFERROR(IF(tblPiNAnalysis[[#This Row],[PiN más alto]]="", "", IF(tblPiNAnalysis[[#This Row],[% PiN Sectores más altos]]&gt;=flag_pin_perc, "Flagged", "")), "")</f>
        <v/>
      </c>
      <c r="AD171" s="96" t="str" cm="1">
        <f t="array" ref="AD171">IF(tblPiNAnalysis[[#This Row],[PiN más alto]]=0, "",  IF(OR(COUNTIF(tblPiNAnalysis[[#This Row],[Sectores más altos]],tblSubSectorPopulation[Sector])), "Flagged", ""))</f>
        <v/>
      </c>
      <c r="AE171" s="16" cm="1">
        <f t="array" ref="AE17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8737</v>
      </c>
      <c r="AF171" s="97" t="str" cm="1">
        <f t="array" ref="AF171">IF(tblPiNAnalysis[[#This Row],[2º PiN más alto]]="", "", _xlfn.TEXTJOIN(CHAR(10), TRUE, IF(tblPiNAnalysis[[#This Row],[2º PiN más alto]]=tblPiNAnalysis[[#This Row],[SAMV]:[ASH]], tblPiNAnalysis[[#Headers],[SAMV]:[ASH]], "")))</f>
        <v>SAMV</v>
      </c>
      <c r="AG171" s="12">
        <f>IFERROR(tblPiNAnalysis[[#This Row],[2º PiN más alto]]/tblPiNAnalysis[[#This Row],[Población]], "")</f>
        <v>0.30555361264600966</v>
      </c>
      <c r="AH171" s="16">
        <f>IFERROR(tblPiNAnalysis[[#This Row],[PiN más alto]]-tblPiNAnalysis[[#This Row],[2º PiN más alto]], "")</f>
        <v>1699.8099999999995</v>
      </c>
      <c r="AI171" s="14">
        <f>IFERROR(((tblPiNAnalysis[[#This Row],[PiN más alto]]-tblPiNAnalysis[[#This Row],[2º PiN más alto]])/tblPiNAnalysis[[#This Row],[2º PiN más alto]]),"")</f>
        <v>0.19455305024607983</v>
      </c>
      <c r="AJ171" s="14" t="str" cm="1">
        <f t="array" ref="AJ17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71" s="98" cm="1">
        <f t="array" ref="AK17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5709.8351619733603</v>
      </c>
      <c r="AL171" s="53" t="str" cm="1">
        <f t="array" ref="AL171">IF(tblPiNAnalysis[[#This Row],[3º PiN más alto]]="", "", _xlfn.TEXTJOIN(CHAR(10), TRUE, IF(tblPiNAnalysis[[#This Row],[3º PiN más alto]]=tblPiNAnalysis[[#This Row],[SAMV]:[ASH]], tblPiNAnalysis[[#Headers],[SAMV]:[ASH]], "")))</f>
        <v>PRO</v>
      </c>
      <c r="AM171" s="53">
        <f>IFERROR(tblPiNAnalysis[[#This Row],[3º PiN más alto]]/tblPiNAnalysis[[#This Row],[Población]], "")</f>
        <v>0.19968647835117018</v>
      </c>
      <c r="AN171" s="15">
        <f>IFERROR(tblPiNAnalysis[[#This Row],[PiN más alto]]-tblPiNAnalysis[[#This Row],[3º PiN más alto]],"")</f>
        <v>4726.9748380266392</v>
      </c>
      <c r="AO171" s="14">
        <f>IFERROR(tblPiNAnalysis[[#This Row],[Diferencia de PiN entre el más alto y el 3º más alto]]/tblPiNAnalysis[[#This Row],[3º PiN más alto]], "")</f>
        <v>0.82786537683391936</v>
      </c>
      <c r="AP171" s="96" t="str" cm="1">
        <f t="array" ref="AP17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71" s="84" cm="1">
        <f t="array" ref="AQ171">IFERROR(IF(tblPiNAnalysis[[#This Row],[ID]]="", "", INDEX(tblPiNHistorical[[SAMV]:[ASH]], MATCH(tblPiNAnalysis[[#This Row],[ID]],tblPiNHistorical[ID], 0),MATCH(_xlfn._xlws.FILTER(tblPiNAnalysis[[#Headers],[SAMV]:[ASH]], tblPiNAnalysis[[#This Row],[PiN más alto]]=tblPiNAnalysis[[#This Row],[SAMV]:[ASH]]), tblPiNHistorical[[#Headers],[SAMV]:[ASH]], 0))), "")</f>
        <v>0</v>
      </c>
      <c r="AR171" s="99" t="str" cm="1">
        <f t="array" ref="AR17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71" s="74" cm="1">
        <f t="array" ref="AS171">IFERROR(IF(tblPiNAnalysis[[#This Row],[ID]]="", "", INDEX(tblPiNHistorical[[SAMV]:[ASH]], MATCH(tblPiNAnalysis[[#This Row],[ID]],tblPiNHistorical[ID], 0),MATCH(_xlfn._xlws.FILTER(tblPiNAnalysis[[#Headers],[SAMV]:[ASH]], tblPiNAnalysis[[#This Row],[2º PiN más alto]]=tblPiNAnalysis[[#This Row],[SAMV]:[ASH]]), tblPiNHistorical[[#Headers],[SAMV]:[ASH]], 0))), "")</f>
        <v>-0.5</v>
      </c>
      <c r="AT171" s="100" t="str" cm="1">
        <f t="array" ref="AT17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71" s="219">
        <f>INDEX(tblSeverityAnalysis[Severidad final], MATCH(tblPiNAnalysis[[#This Row],[ID]],tblSeverityAnalysis[ID], 0))</f>
        <v>3</v>
      </c>
      <c r="AV171" s="220">
        <f>IF(tblPiNAnalysis[[#This Row],[Severidad]]&gt;2,tblPiNAnalysis[[#This Row],[PiN más alto]],)</f>
        <v>10436.81</v>
      </c>
      <c r="AW171" s="54"/>
      <c r="AX171" s="55"/>
      <c r="AY171" s="56">
        <f>COUNTIFS(tblPiNAnalysis[[#This Row],[Número de PiN ausentes/cero superior al umbral - Calidad de los datos]:[Marcador manual]],"Flagged")</f>
        <v>1</v>
      </c>
      <c r="AZ171" s="34" t="str">
        <f>IF(tblPiNAnalysis[[#This Row],[Número de marcadores]]&gt;0, "Flagged", "")</f>
        <v>Flagged</v>
      </c>
      <c r="BA171" s="92">
        <f>tblPiNAnalysis[[#This Row],[PiN preliminar]]</f>
        <v>10436.81</v>
      </c>
      <c r="BB171" s="97"/>
      <c r="BC171" s="70">
        <f>IFERROR(IF(tblPiNAnalysis[[#This Row],[Severidad]]=3,tblPiNAnalysis[[#This Row],[PiN final]]*Umbrales!$D$33,tblPiNAnalysis[[#This Row],[PiN final]]*Umbrales!$D$34),)</f>
        <v>5218.4049999999997</v>
      </c>
      <c r="BD171" s="70">
        <f>IFERROR(IF(tblPiNAnalysis[[#This Row],[Severidad]]&gt;3,tblPiNAnalysis[[#This Row],[PiN final]]*Umbrales!$D$34,),)</f>
        <v>0</v>
      </c>
    </row>
    <row r="172" spans="1:56">
      <c r="A172" s="101" t="str">
        <f>IFERROR(_xlfn.CONCAT(IF(tblPiNAnalysis[[#This Row],[Grupo]]="", "",tblPiNAnalysis[[#This Row],[Grupo]] ),  _xlfn.IFS(tblPiNAnalysis[[#This Row],[Admin2PCODE]]&lt;&gt;"", tblPiNAnalysis[[#This Row],[Admin2PCODE]], tblPiNAnalysis[[#This Row],[Admin1PCODE]]&lt;&gt;"", tblPiNAnalysis[[#This Row],[Admin1PCODE]])),"")</f>
        <v>VenezolanosVE2106</v>
      </c>
      <c r="B172" s="105" t="s">
        <v>642</v>
      </c>
      <c r="C172" s="104" t="s">
        <v>643</v>
      </c>
      <c r="D172" s="119" t="s">
        <v>652</v>
      </c>
      <c r="E172" s="104" t="s">
        <v>653</v>
      </c>
      <c r="F172" s="358"/>
      <c r="G172" s="357">
        <v>27739</v>
      </c>
      <c r="H172" s="103" t="s">
        <v>102</v>
      </c>
      <c r="I172" s="60">
        <v>3536</v>
      </c>
      <c r="J172" s="134">
        <v>898.455174473238</v>
      </c>
      <c r="K172" s="57">
        <v>10124.735000000001</v>
      </c>
      <c r="L172" s="87">
        <v>3330.8621270632366</v>
      </c>
      <c r="M172" s="87">
        <v>6710.7387679135736</v>
      </c>
      <c r="N172" s="57">
        <v>0</v>
      </c>
      <c r="O172" s="57">
        <v>2154.1471445002571</v>
      </c>
      <c r="P172" s="57">
        <v>2348.7585687697506</v>
      </c>
      <c r="Q172" s="88">
        <f>IFERROR(IF(tblPiNAnalysis[[#This Row],[SAMV]]="", "", MROUND(tblPiNAnalysis[[#This Row],[SAMV]]/tblPiNAnalysis[[#This Row],[Población]], 0.05)), "")</f>
        <v>0.15000000000000002</v>
      </c>
      <c r="R172" s="89">
        <f>IFERROR(IF(tblPiNAnalysis[[#This Row],[NUT]]="", "", MROUND(tblPiNAnalysis[[#This Row],[NUT]]/tblPiNAnalysis[[#This Row],[Población]], 0.05)), "")</f>
        <v>0.05</v>
      </c>
      <c r="S172" s="89">
        <f>IFERROR(IF(tblPiNAnalysis[[#This Row],[SAL]]="", "", MROUND(tblPiNAnalysis[[#This Row],[SAL]]/tblPiNAnalysis[[#This Row],[Población]], 0.05)), "")</f>
        <v>0.35000000000000003</v>
      </c>
      <c r="T172" s="89">
        <f>IFERROR(IF(tblPiNAnalysis[[#This Row],[EDU]]="", "", MROUND(tblPiNAnalysis[[#This Row],[EDU]]/tblPiNAnalysis[[#This Row],[Población]], 0.05)), "")</f>
        <v>0.1</v>
      </c>
      <c r="U172" s="89">
        <f>IFERROR(IF(tblPiNAnalysis[[#This Row],[PRO]]="", "", MROUND(tblPiNAnalysis[[#This Row],[PRO]]/tblPiNAnalysis[[#This Row],[Población]], 0.05)), "")</f>
        <v>0.25</v>
      </c>
      <c r="V172" s="90">
        <f>IFERROR(IF(tblPiNAnalysis[[#This Row],[ASH]]="", "", MROUND(tblPiNAnalysis[[#This Row],[ASH]]/tblPiNAnalysis[[#This Row],[Población]], 0.05)), "")</f>
        <v>0</v>
      </c>
      <c r="W172" s="89">
        <f>IFERROR(MROUND(tblPiNAnalysis[[#This Row],[NNA]]/tblPiNAnalysis[[#This Row],[Población]], 0.05), "")</f>
        <v>0.1</v>
      </c>
      <c r="X172" s="89">
        <f>IFERROR(MROUND(tblPiNAnalysis[[#This Row],[VBG]]/tblPiNAnalysis[[#This Row],[Población]], 0.05), "")</f>
        <v>0.1</v>
      </c>
      <c r="Y172" s="91">
        <f>IFERROR(LARGE(tblPiNAnalysis[[#This Row],[SAMV]:[ASH]], 1), "")</f>
        <v>10124.735000000001</v>
      </c>
      <c r="Z172" s="92" t="str" cm="1">
        <f t="array" ref="Z172">IF(tblPiNAnalysis[[#This Row],[PiN más alto]]="", "", _xlfn.TEXTJOIN(CHAR(10), TRUE, IF(tblPiNAnalysis[[#This Row],[PiN más alto]]=tblPiNAnalysis[[#This Row],[SAMV]:[ASH]], tblPiNAnalysis[[#Headers],[SAMV]:[ASH]], "")))</f>
        <v>SAL</v>
      </c>
      <c r="AA172" s="93">
        <f>IF(tblPiNAnalysis[[#This Row],[PiN más alto]]="", "", tblPiNAnalysis[[#This Row],[PiN más alto]]/tblPiNAnalysis[[#This Row],[Población]])</f>
        <v>0.36500000000000005</v>
      </c>
      <c r="AB172" s="94" t="str">
        <f>IF(SUM(tblPiNAnalysis[[#This Row],[SAMV]:[ASH]])=0, "",IF(COUNTIF(tblPiNAnalysis[[#This Row],[SAMV]:[ASH]],"=0")+COUNTIF(tblPiNAnalysis[[#This Row],[SAMV]:[ASH]],"")&gt;=zero_pin_thresh, "Flagged", ""))</f>
        <v/>
      </c>
      <c r="AC172" s="95" t="str">
        <f>IFERROR(IF(tblPiNAnalysis[[#This Row],[PiN más alto]]="", "", IF(tblPiNAnalysis[[#This Row],[% PiN Sectores más altos]]&gt;=flag_pin_perc, "Flagged", "")), "")</f>
        <v/>
      </c>
      <c r="AD172" s="96" t="str" cm="1">
        <f t="array" ref="AD172">IF(tblPiNAnalysis[[#This Row],[PiN más alto]]=0, "",  IF(OR(COUNTIF(tblPiNAnalysis[[#This Row],[Sectores más altos]],tblSubSectorPopulation[Sector])), "Flagged", ""))</f>
        <v/>
      </c>
      <c r="AE172" s="16" cm="1">
        <f t="array" ref="AE17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6710.7387679135736</v>
      </c>
      <c r="AF172" s="97" t="str" cm="1">
        <f t="array" ref="AF172">IF(tblPiNAnalysis[[#This Row],[2º PiN más alto]]="", "", _xlfn.TEXTJOIN(CHAR(10), TRUE, IF(tblPiNAnalysis[[#This Row],[2º PiN más alto]]=tblPiNAnalysis[[#This Row],[SAMV]:[ASH]], tblPiNAnalysis[[#Headers],[SAMV]:[ASH]], "")))</f>
        <v>PRO</v>
      </c>
      <c r="AG172" s="12">
        <f>IFERROR(tblPiNAnalysis[[#This Row],[2º PiN más alto]]/tblPiNAnalysis[[#This Row],[Población]], "")</f>
        <v>0.24192432199839842</v>
      </c>
      <c r="AH172" s="16">
        <f>IFERROR(tblPiNAnalysis[[#This Row],[PiN más alto]]-tblPiNAnalysis[[#This Row],[2º PiN más alto]], "")</f>
        <v>3413.996232086427</v>
      </c>
      <c r="AI172" s="14">
        <f>IFERROR(((tblPiNAnalysis[[#This Row],[PiN más alto]]-tblPiNAnalysis[[#This Row],[2º PiN más alto]])/tblPiNAnalysis[[#This Row],[2º PiN más alto]]),"")</f>
        <v>0.50873627333103111</v>
      </c>
      <c r="AJ172" s="14" t="str" cm="1">
        <f t="array" ref="AJ17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72" s="98" cm="1">
        <f t="array" ref="AK17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3536</v>
      </c>
      <c r="AL172" s="53" t="str" cm="1">
        <f t="array" ref="AL172">IF(tblPiNAnalysis[[#This Row],[3º PiN más alto]]="", "", _xlfn.TEXTJOIN(CHAR(10), TRUE, IF(tblPiNAnalysis[[#This Row],[3º PiN más alto]]=tblPiNAnalysis[[#This Row],[SAMV]:[ASH]], tblPiNAnalysis[[#Headers],[SAMV]:[ASH]], "")))</f>
        <v>SAMV</v>
      </c>
      <c r="AM172" s="53">
        <f>IFERROR(tblPiNAnalysis[[#This Row],[3º PiN más alto]]/tblPiNAnalysis[[#This Row],[Población]], "")</f>
        <v>0.12747395363928044</v>
      </c>
      <c r="AN172" s="15">
        <f>IFERROR(tblPiNAnalysis[[#This Row],[PiN más alto]]-tblPiNAnalysis[[#This Row],[3º PiN más alto]],"")</f>
        <v>6588.7350000000006</v>
      </c>
      <c r="AO172" s="14">
        <f>IFERROR(tblPiNAnalysis[[#This Row],[Diferencia de PiN entre el más alto y el 3º más alto]]/tblPiNAnalysis[[#This Row],[3º PiN más alto]], "")</f>
        <v>1.8633300339366516</v>
      </c>
      <c r="AP172" s="96" t="str" cm="1">
        <f t="array" ref="AP17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72" s="84" cm="1">
        <f t="array" ref="AQ172">IFERROR(IF(tblPiNAnalysis[[#This Row],[ID]]="", "", INDEX(tblPiNHistorical[[SAMV]:[ASH]], MATCH(tblPiNAnalysis[[#This Row],[ID]],tblPiNHistorical[ID], 0),MATCH(_xlfn._xlws.FILTER(tblPiNAnalysis[[#Headers],[SAMV]:[ASH]], tblPiNAnalysis[[#This Row],[PiN más alto]]=tblPiNAnalysis[[#This Row],[SAMV]:[ASH]]), tblPiNHistorical[[#Headers],[SAMV]:[ASH]], 0))), "")</f>
        <v>0.1</v>
      </c>
      <c r="AR172" s="99" t="str" cm="1">
        <f t="array" ref="AR17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72" s="74" cm="1">
        <f t="array" ref="AS172">IFERROR(IF(tblPiNAnalysis[[#This Row],[ID]]="", "", INDEX(tblPiNHistorical[[SAMV]:[ASH]], MATCH(tblPiNAnalysis[[#This Row],[ID]],tblPiNHistorical[ID], 0),MATCH(_xlfn._xlws.FILTER(tblPiNAnalysis[[#Headers],[SAMV]:[ASH]], tblPiNAnalysis[[#This Row],[2º PiN más alto]]=tblPiNAnalysis[[#This Row],[SAMV]:[ASH]]), tblPiNHistorical[[#Headers],[SAMV]:[ASH]], 0))), "")</f>
        <v>-0.8</v>
      </c>
      <c r="AT172" s="100" t="str" cm="1">
        <f t="array" ref="AT17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72" s="219">
        <f>INDEX(tblSeverityAnalysis[Severidad final], MATCH(tblPiNAnalysis[[#This Row],[ID]],tblSeverityAnalysis[ID], 0))</f>
        <v>3</v>
      </c>
      <c r="AV172" s="220">
        <f>IF(tblPiNAnalysis[[#This Row],[Severidad]]&gt;2,tblPiNAnalysis[[#This Row],[PiN más alto]],)</f>
        <v>10124.735000000001</v>
      </c>
      <c r="AW172" s="54"/>
      <c r="AX172" s="55"/>
      <c r="AY172" s="56">
        <f>COUNTIFS(tblPiNAnalysis[[#This Row],[Número de PiN ausentes/cero superior al umbral - Calidad de los datos]:[Marcador manual]],"Flagged")</f>
        <v>2</v>
      </c>
      <c r="AZ172" s="34" t="str">
        <f>IF(tblPiNAnalysis[[#This Row],[Número de marcadores]]&gt;0, "Flagged", "")</f>
        <v>Flagged</v>
      </c>
      <c r="BA172" s="92">
        <f>tblPiNAnalysis[[#This Row],[PiN preliminar]]</f>
        <v>10124.735000000001</v>
      </c>
      <c r="BB172" s="97"/>
      <c r="BC172" s="70">
        <f>IFERROR(IF(tblPiNAnalysis[[#This Row],[Severidad]]=3,tblPiNAnalysis[[#This Row],[PiN final]]*Umbrales!$D$33,tblPiNAnalysis[[#This Row],[PiN final]]*Umbrales!$D$34),)</f>
        <v>5062.3675000000003</v>
      </c>
      <c r="BD172" s="70">
        <f>IFERROR(IF(tblPiNAnalysis[[#This Row],[Severidad]]&gt;3,tblPiNAnalysis[[#This Row],[PiN final]]*Umbrales!$D$34,),)</f>
        <v>0</v>
      </c>
    </row>
    <row r="173" spans="1:56">
      <c r="A173" s="101" t="str">
        <f>IFERROR(_xlfn.CONCAT(IF(tblPiNAnalysis[[#This Row],[Grupo]]="", "",tblPiNAnalysis[[#This Row],[Grupo]] ),  _xlfn.IFS(tblPiNAnalysis[[#This Row],[Admin2PCODE]]&lt;&gt;"", tblPiNAnalysis[[#This Row],[Admin2PCODE]], tblPiNAnalysis[[#This Row],[Admin1PCODE]]&lt;&gt;"", tblPiNAnalysis[[#This Row],[Admin1PCODE]])),"")</f>
        <v>VenezolanosVE2213</v>
      </c>
      <c r="B173" s="105" t="s">
        <v>678</v>
      </c>
      <c r="C173" s="104" t="s">
        <v>679</v>
      </c>
      <c r="D173" s="119" t="s">
        <v>701</v>
      </c>
      <c r="E173" s="104" t="s">
        <v>702</v>
      </c>
      <c r="F173" s="358"/>
      <c r="G173" s="357">
        <v>22462</v>
      </c>
      <c r="H173" s="103" t="s">
        <v>102</v>
      </c>
      <c r="I173" s="60">
        <v>3816</v>
      </c>
      <c r="J173" s="134">
        <v>1776.5089459650733</v>
      </c>
      <c r="K173" s="57">
        <v>8198.6299999999992</v>
      </c>
      <c r="L173" s="87">
        <v>1709.8437548794254</v>
      </c>
      <c r="M173" s="87">
        <v>5358.1518444516068</v>
      </c>
      <c r="N173" s="57">
        <v>10107.9</v>
      </c>
      <c r="O173" s="57">
        <v>1714.6085902245143</v>
      </c>
      <c r="P173" s="57">
        <v>1875.3531455580624</v>
      </c>
      <c r="Q173" s="88">
        <f>IFERROR(IF(tblPiNAnalysis[[#This Row],[SAMV]]="", "", MROUND(tblPiNAnalysis[[#This Row],[SAMV]]/tblPiNAnalysis[[#This Row],[Población]], 0.05)), "")</f>
        <v>0.15000000000000002</v>
      </c>
      <c r="R173" s="89">
        <f>IFERROR(IF(tblPiNAnalysis[[#This Row],[NUT]]="", "", MROUND(tblPiNAnalysis[[#This Row],[NUT]]/tblPiNAnalysis[[#This Row],[Población]], 0.05)), "")</f>
        <v>0.1</v>
      </c>
      <c r="S173" s="89">
        <f>IFERROR(IF(tblPiNAnalysis[[#This Row],[SAL]]="", "", MROUND(tblPiNAnalysis[[#This Row],[SAL]]/tblPiNAnalysis[[#This Row],[Población]], 0.05)), "")</f>
        <v>0.35000000000000003</v>
      </c>
      <c r="T173" s="89">
        <f>IFERROR(IF(tblPiNAnalysis[[#This Row],[EDU]]="", "", MROUND(tblPiNAnalysis[[#This Row],[EDU]]/tblPiNAnalysis[[#This Row],[Población]], 0.05)), "")</f>
        <v>0.1</v>
      </c>
      <c r="U173" s="89">
        <f>IFERROR(IF(tblPiNAnalysis[[#This Row],[PRO]]="", "", MROUND(tblPiNAnalysis[[#This Row],[PRO]]/tblPiNAnalysis[[#This Row],[Población]], 0.05)), "")</f>
        <v>0.25</v>
      </c>
      <c r="V173" s="90">
        <f>IFERROR(IF(tblPiNAnalysis[[#This Row],[ASH]]="", "", MROUND(tblPiNAnalysis[[#This Row],[ASH]]/tblPiNAnalysis[[#This Row],[Población]], 0.05)), "")</f>
        <v>0.45</v>
      </c>
      <c r="W173" s="89">
        <f>IFERROR(MROUND(tblPiNAnalysis[[#This Row],[NNA]]/tblPiNAnalysis[[#This Row],[Población]], 0.05), "")</f>
        <v>0.1</v>
      </c>
      <c r="X173" s="89">
        <f>IFERROR(MROUND(tblPiNAnalysis[[#This Row],[VBG]]/tblPiNAnalysis[[#This Row],[Población]], 0.05), "")</f>
        <v>0.1</v>
      </c>
      <c r="Y173" s="91">
        <f>IFERROR(LARGE(tblPiNAnalysis[[#This Row],[SAMV]:[ASH]], 1), "")</f>
        <v>10107.9</v>
      </c>
      <c r="Z173" s="92" t="str" cm="1">
        <f t="array" ref="Z173">IF(tblPiNAnalysis[[#This Row],[PiN más alto]]="", "", _xlfn.TEXTJOIN(CHAR(10), TRUE, IF(tblPiNAnalysis[[#This Row],[PiN más alto]]=tblPiNAnalysis[[#This Row],[SAMV]:[ASH]], tblPiNAnalysis[[#Headers],[SAMV]:[ASH]], "")))</f>
        <v>ASH</v>
      </c>
      <c r="AA173" s="93">
        <f>IF(tblPiNAnalysis[[#This Row],[PiN más alto]]="", "", tblPiNAnalysis[[#This Row],[PiN más alto]]/tblPiNAnalysis[[#This Row],[Población]])</f>
        <v>0.45</v>
      </c>
      <c r="AB173" s="94" t="str">
        <f>IF(SUM(tblPiNAnalysis[[#This Row],[SAMV]:[ASH]])=0, "",IF(COUNTIF(tblPiNAnalysis[[#This Row],[SAMV]:[ASH]],"=0")+COUNTIF(tblPiNAnalysis[[#This Row],[SAMV]:[ASH]],"")&gt;=zero_pin_thresh, "Flagged", ""))</f>
        <v/>
      </c>
      <c r="AC173" s="95" t="str">
        <f>IFERROR(IF(tblPiNAnalysis[[#This Row],[PiN más alto]]="", "", IF(tblPiNAnalysis[[#This Row],[% PiN Sectores más altos]]&gt;=flag_pin_perc, "Flagged", "")), "")</f>
        <v/>
      </c>
      <c r="AD173" s="96" t="str" cm="1">
        <f t="array" ref="AD173">IF(tblPiNAnalysis[[#This Row],[PiN más alto]]=0, "",  IF(OR(COUNTIF(tblPiNAnalysis[[#This Row],[Sectores más altos]],tblSubSectorPopulation[Sector])), "Flagged", ""))</f>
        <v/>
      </c>
      <c r="AE173" s="16" cm="1">
        <f t="array" ref="AE17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8198.6299999999992</v>
      </c>
      <c r="AF173" s="97" t="str" cm="1">
        <f t="array" ref="AF173">IF(tblPiNAnalysis[[#This Row],[2º PiN más alto]]="", "", _xlfn.TEXTJOIN(CHAR(10), TRUE, IF(tblPiNAnalysis[[#This Row],[2º PiN más alto]]=tblPiNAnalysis[[#This Row],[SAMV]:[ASH]], tblPiNAnalysis[[#Headers],[SAMV]:[ASH]], "")))</f>
        <v>SAL</v>
      </c>
      <c r="AG173" s="12">
        <f>IFERROR(tblPiNAnalysis[[#This Row],[2º PiN más alto]]/tblPiNAnalysis[[#This Row],[Población]], "")</f>
        <v>0.36499999999999999</v>
      </c>
      <c r="AH173" s="16">
        <f>IFERROR(tblPiNAnalysis[[#This Row],[PiN más alto]]-tblPiNAnalysis[[#This Row],[2º PiN más alto]], "")</f>
        <v>1909.2700000000004</v>
      </c>
      <c r="AI173" s="14">
        <f>IFERROR(((tblPiNAnalysis[[#This Row],[PiN más alto]]-tblPiNAnalysis[[#This Row],[2º PiN más alto]])/tblPiNAnalysis[[#This Row],[2º PiN más alto]]),"")</f>
        <v>0.23287671232876719</v>
      </c>
      <c r="AJ173" s="14" t="str" cm="1">
        <f t="array" ref="AJ17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73" s="98" cm="1">
        <f t="array" ref="AK17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5358.1518444516068</v>
      </c>
      <c r="AL173" s="53" t="str" cm="1">
        <f t="array" ref="AL173">IF(tblPiNAnalysis[[#This Row],[3º PiN más alto]]="", "", _xlfn.TEXTJOIN(CHAR(10), TRUE, IF(tblPiNAnalysis[[#This Row],[3º PiN más alto]]=tblPiNAnalysis[[#This Row],[SAMV]:[ASH]], tblPiNAnalysis[[#Headers],[SAMV]:[ASH]], "")))</f>
        <v>PRO</v>
      </c>
      <c r="AM173" s="53">
        <f>IFERROR(tblPiNAnalysis[[#This Row],[3º PiN más alto]]/tblPiNAnalysis[[#This Row],[Población]], "")</f>
        <v>0.2385429545210403</v>
      </c>
      <c r="AN173" s="15">
        <f>IFERROR(tblPiNAnalysis[[#This Row],[PiN más alto]]-tblPiNAnalysis[[#This Row],[3º PiN más alto]],"")</f>
        <v>4749.7481555483928</v>
      </c>
      <c r="AO173" s="14">
        <f>IFERROR(tblPiNAnalysis[[#This Row],[Diferencia de PiN entre el más alto y el 3º más alto]]/tblPiNAnalysis[[#This Row],[3º PiN más alto]], "")</f>
        <v>0.8864526973916913</v>
      </c>
      <c r="AP173" s="96" t="str" cm="1">
        <f t="array" ref="AP17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73" s="84" t="str" cm="1">
        <f t="array" ref="AQ173">IFERROR(IF(tblPiNAnalysis[[#This Row],[ID]]="", "", INDEX(tblPiNHistorical[[SAMV]:[ASH]], MATCH(tblPiNAnalysis[[#This Row],[ID]],tblPiNHistorical[ID], 0),MATCH(_xlfn._xlws.FILTER(tblPiNAnalysis[[#Headers],[SAMV]:[ASH]], tblPiNAnalysis[[#This Row],[PiN más alto]]=tblPiNAnalysis[[#This Row],[SAMV]:[ASH]]), tblPiNHistorical[[#Headers],[SAMV]:[ASH]], 0))), "")</f>
        <v/>
      </c>
      <c r="AR173" s="99" t="str" cm="1">
        <f t="array" ref="AR17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73" s="74" cm="1">
        <f t="array" ref="AS173">IFERROR(IF(tblPiNAnalysis[[#This Row],[ID]]="", "", INDEX(tblPiNHistorical[[SAMV]:[ASH]], MATCH(tblPiNAnalysis[[#This Row],[ID]],tblPiNHistorical[ID], 0),MATCH(_xlfn._xlws.FILTER(tblPiNAnalysis[[#Headers],[SAMV]:[ASH]], tblPiNAnalysis[[#This Row],[2º PiN más alto]]=tblPiNAnalysis[[#This Row],[SAMV]:[ASH]]), tblPiNHistorical[[#Headers],[SAMV]:[ASH]], 0))), "")</f>
        <v>-0.3</v>
      </c>
      <c r="AT173" s="100" t="str" cm="1">
        <f t="array" ref="AT17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73" s="219">
        <f>INDEX(tblSeverityAnalysis[Severidad final], MATCH(tblPiNAnalysis[[#This Row],[ID]],tblSeverityAnalysis[ID], 0))</f>
        <v>3</v>
      </c>
      <c r="AV173" s="220">
        <f>IF(tblPiNAnalysis[[#This Row],[Severidad]]&gt;2,tblPiNAnalysis[[#This Row],[PiN más alto]],)</f>
        <v>10107.9</v>
      </c>
      <c r="AW173" s="54"/>
      <c r="AX173" s="55"/>
      <c r="AY173" s="56">
        <f>COUNTIFS(tblPiNAnalysis[[#This Row],[Número de PiN ausentes/cero superior al umbral - Calidad de los datos]:[Marcador manual]],"Flagged")</f>
        <v>1</v>
      </c>
      <c r="AZ173" s="34" t="str">
        <f>IF(tblPiNAnalysis[[#This Row],[Número de marcadores]]&gt;0, "Flagged", "")</f>
        <v>Flagged</v>
      </c>
      <c r="BA173" s="92">
        <f>tblPiNAnalysis[[#This Row],[PiN preliminar]]</f>
        <v>10107.9</v>
      </c>
      <c r="BB173" s="97"/>
      <c r="BC173" s="70">
        <f>IFERROR(IF(tblPiNAnalysis[[#This Row],[Severidad]]=3,tblPiNAnalysis[[#This Row],[PiN final]]*Umbrales!$D$33,tblPiNAnalysis[[#This Row],[PiN final]]*Umbrales!$D$34),)</f>
        <v>5053.95</v>
      </c>
      <c r="BD173" s="70">
        <f>IFERROR(IF(tblPiNAnalysis[[#This Row],[Severidad]]&gt;3,tblPiNAnalysis[[#This Row],[PiN final]]*Umbrales!$D$34,),)</f>
        <v>0</v>
      </c>
    </row>
    <row r="174" spans="1:56">
      <c r="A174" s="101" t="str">
        <f>IFERROR(_xlfn.CONCAT(IF(tblPiNAnalysis[[#This Row],[Grupo]]="", "",tblPiNAnalysis[[#This Row],[Grupo]] ),  _xlfn.IFS(tblPiNAnalysis[[#This Row],[Admin2PCODE]]&lt;&gt;"", tblPiNAnalysis[[#This Row],[Admin2PCODE]], tblPiNAnalysis[[#This Row],[Admin1PCODE]]&lt;&gt;"", tblPiNAnalysis[[#This Row],[Admin1PCODE]])),"")</f>
        <v>VenezolanosVE1612</v>
      </c>
      <c r="B174" s="105" t="s">
        <v>491</v>
      </c>
      <c r="C174" s="104" t="s">
        <v>492</v>
      </c>
      <c r="D174" s="119" t="s">
        <v>509</v>
      </c>
      <c r="E174" s="104" t="s">
        <v>510</v>
      </c>
      <c r="F174" s="358"/>
      <c r="G174" s="357">
        <v>24788</v>
      </c>
      <c r="H174" s="103" t="s">
        <v>102</v>
      </c>
      <c r="I174" s="60">
        <v>10099</v>
      </c>
      <c r="J174" s="134">
        <v>1264.1302403729683</v>
      </c>
      <c r="K174" s="57">
        <v>9820</v>
      </c>
      <c r="L174" s="87">
        <v>3127.6448794487815</v>
      </c>
      <c r="M174" s="87">
        <v>4949.8284253688062</v>
      </c>
      <c r="N174" s="57">
        <v>0</v>
      </c>
      <c r="O174" s="57">
        <v>1583.945096118018</v>
      </c>
      <c r="P174" s="57">
        <v>1732.4399488790818</v>
      </c>
      <c r="Q174" s="88">
        <f>IFERROR(IF(tblPiNAnalysis[[#This Row],[SAMV]]="", "", MROUND(tblPiNAnalysis[[#This Row],[SAMV]]/tblPiNAnalysis[[#This Row],[Población]], 0.05)), "")</f>
        <v>0.4</v>
      </c>
      <c r="R174" s="89">
        <f>IFERROR(IF(tblPiNAnalysis[[#This Row],[NUT]]="", "", MROUND(tblPiNAnalysis[[#This Row],[NUT]]/tblPiNAnalysis[[#This Row],[Población]], 0.05)), "")</f>
        <v>0.05</v>
      </c>
      <c r="S174" s="89">
        <f>IFERROR(IF(tblPiNAnalysis[[#This Row],[SAL]]="", "", MROUND(tblPiNAnalysis[[#This Row],[SAL]]/tblPiNAnalysis[[#This Row],[Población]], 0.05)), "")</f>
        <v>0.4</v>
      </c>
      <c r="T174" s="89">
        <f>IFERROR(IF(tblPiNAnalysis[[#This Row],[EDU]]="", "", MROUND(tblPiNAnalysis[[#This Row],[EDU]]/tblPiNAnalysis[[#This Row],[Población]], 0.05)), "")</f>
        <v>0.15000000000000002</v>
      </c>
      <c r="U174" s="89">
        <f>IFERROR(IF(tblPiNAnalysis[[#This Row],[PRO]]="", "", MROUND(tblPiNAnalysis[[#This Row],[PRO]]/tblPiNAnalysis[[#This Row],[Población]], 0.05)), "")</f>
        <v>0.2</v>
      </c>
      <c r="V174" s="90">
        <f>IFERROR(IF(tblPiNAnalysis[[#This Row],[ASH]]="", "", MROUND(tblPiNAnalysis[[#This Row],[ASH]]/tblPiNAnalysis[[#This Row],[Población]], 0.05)), "")</f>
        <v>0</v>
      </c>
      <c r="W174" s="89">
        <f>IFERROR(MROUND(tblPiNAnalysis[[#This Row],[NNA]]/tblPiNAnalysis[[#This Row],[Población]], 0.05), "")</f>
        <v>0.05</v>
      </c>
      <c r="X174" s="89">
        <f>IFERROR(MROUND(tblPiNAnalysis[[#This Row],[VBG]]/tblPiNAnalysis[[#This Row],[Población]], 0.05), "")</f>
        <v>0.05</v>
      </c>
      <c r="Y174" s="91">
        <f>IFERROR(LARGE(tblPiNAnalysis[[#This Row],[SAMV]:[ASH]], 1), "")</f>
        <v>10099</v>
      </c>
      <c r="Z174" s="92" t="str" cm="1">
        <f t="array" ref="Z174">IF(tblPiNAnalysis[[#This Row],[PiN más alto]]="", "", _xlfn.TEXTJOIN(CHAR(10), TRUE, IF(tblPiNAnalysis[[#This Row],[PiN más alto]]=tblPiNAnalysis[[#This Row],[SAMV]:[ASH]], tblPiNAnalysis[[#Headers],[SAMV]:[ASH]], "")))</f>
        <v>SAMV</v>
      </c>
      <c r="AA174" s="93">
        <f>IF(tblPiNAnalysis[[#This Row],[PiN más alto]]="", "", tblPiNAnalysis[[#This Row],[PiN más alto]]/tblPiNAnalysis[[#This Row],[Población]])</f>
        <v>0.40741487816685495</v>
      </c>
      <c r="AB174" s="94" t="str">
        <f>IF(SUM(tblPiNAnalysis[[#This Row],[SAMV]:[ASH]])=0, "",IF(COUNTIF(tblPiNAnalysis[[#This Row],[SAMV]:[ASH]],"=0")+COUNTIF(tblPiNAnalysis[[#This Row],[SAMV]:[ASH]],"")&gt;=zero_pin_thresh, "Flagged", ""))</f>
        <v/>
      </c>
      <c r="AC174" s="95" t="str">
        <f>IFERROR(IF(tblPiNAnalysis[[#This Row],[PiN más alto]]="", "", IF(tblPiNAnalysis[[#This Row],[% PiN Sectores más altos]]&gt;=flag_pin_perc, "Flagged", "")), "")</f>
        <v/>
      </c>
      <c r="AD174" s="96" t="str" cm="1">
        <f t="array" ref="AD174">IF(tblPiNAnalysis[[#This Row],[PiN más alto]]=0, "",  IF(OR(COUNTIF(tblPiNAnalysis[[#This Row],[Sectores más altos]],tblSubSectorPopulation[Sector])), "Flagged", ""))</f>
        <v/>
      </c>
      <c r="AE174" s="16" cm="1">
        <f t="array" ref="AE17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9820</v>
      </c>
      <c r="AF174" s="97" t="str" cm="1">
        <f t="array" ref="AF174">IF(tblPiNAnalysis[[#This Row],[2º PiN más alto]]="", "", _xlfn.TEXTJOIN(CHAR(10), TRUE, IF(tblPiNAnalysis[[#This Row],[2º PiN más alto]]=tblPiNAnalysis[[#This Row],[SAMV]:[ASH]], tblPiNAnalysis[[#Headers],[SAMV]:[ASH]], "")))</f>
        <v>SAL</v>
      </c>
      <c r="AG174" s="12">
        <f>IFERROR(tblPiNAnalysis[[#This Row],[2º PiN más alto]]/tblPiNAnalysis[[#This Row],[Población]], "")</f>
        <v>0.39615943198321768</v>
      </c>
      <c r="AH174" s="16">
        <f>IFERROR(tblPiNAnalysis[[#This Row],[PiN más alto]]-tblPiNAnalysis[[#This Row],[2º PiN más alto]], "")</f>
        <v>279</v>
      </c>
      <c r="AI174" s="14">
        <f>IFERROR(((tblPiNAnalysis[[#This Row],[PiN más alto]]-tblPiNAnalysis[[#This Row],[2º PiN más alto]])/tblPiNAnalysis[[#This Row],[2º PiN más alto]]),"")</f>
        <v>2.8411405295315682E-2</v>
      </c>
      <c r="AJ174" s="14" t="str" cm="1">
        <f t="array" ref="AJ17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74" s="98" cm="1">
        <f t="array" ref="AK17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4949.8284253688062</v>
      </c>
      <c r="AL174" s="53" t="str" cm="1">
        <f t="array" ref="AL174">IF(tblPiNAnalysis[[#This Row],[3º PiN más alto]]="", "", _xlfn.TEXTJOIN(CHAR(10), TRUE, IF(tblPiNAnalysis[[#This Row],[3º PiN más alto]]=tblPiNAnalysis[[#This Row],[SAMV]:[ASH]], tblPiNAnalysis[[#Headers],[SAMV]:[ASH]], "")))</f>
        <v>PRO</v>
      </c>
      <c r="AM174" s="53">
        <f>IFERROR(tblPiNAnalysis[[#This Row],[3º PiN más alto]]/tblPiNAnalysis[[#This Row],[Población]], "")</f>
        <v>0.19968647835117018</v>
      </c>
      <c r="AN174" s="15">
        <f>IFERROR(tblPiNAnalysis[[#This Row],[PiN más alto]]-tblPiNAnalysis[[#This Row],[3º PiN más alto]],"")</f>
        <v>5149.1715746311938</v>
      </c>
      <c r="AO174" s="14">
        <f>IFERROR(tblPiNAnalysis[[#This Row],[Diferencia de PiN entre el más alto y el 3º más alto]]/tblPiNAnalysis[[#This Row],[3º PiN más alto]], "")</f>
        <v>1.0402727392005582</v>
      </c>
      <c r="AP174" s="96" t="str" cm="1">
        <f t="array" ref="AP17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74" s="84" cm="1">
        <f t="array" ref="AQ174">IFERROR(IF(tblPiNAnalysis[[#This Row],[ID]]="", "", INDEX(tblPiNHistorical[[SAMV]:[ASH]], MATCH(tblPiNAnalysis[[#This Row],[ID]],tblPiNHistorical[ID], 0),MATCH(_xlfn._xlws.FILTER(tblPiNAnalysis[[#Headers],[SAMV]:[ASH]], tblPiNAnalysis[[#This Row],[PiN más alto]]=tblPiNAnalysis[[#This Row],[SAMV]:[ASH]]), tblPiNHistorical[[#Headers],[SAMV]:[ASH]], 0))), "")</f>
        <v>0.9</v>
      </c>
      <c r="AR174" s="99" t="str" cm="1">
        <f t="array" ref="AR17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74" s="74" cm="1">
        <f t="array" ref="AS174">IFERROR(IF(tblPiNAnalysis[[#This Row],[ID]]="", "", INDEX(tblPiNHistorical[[SAMV]:[ASH]], MATCH(tblPiNAnalysis[[#This Row],[ID]],tblPiNHistorical[ID], 0),MATCH(_xlfn._xlws.FILTER(tblPiNAnalysis[[#Headers],[SAMV]:[ASH]], tblPiNAnalysis[[#This Row],[2º PiN más alto]]=tblPiNAnalysis[[#This Row],[SAMV]:[ASH]]), tblPiNHistorical[[#Headers],[SAMV]:[ASH]], 0))), "")</f>
        <v>0.1</v>
      </c>
      <c r="AT174" s="100" t="str" cm="1">
        <f t="array" ref="AT17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74" s="219">
        <f>INDEX(tblSeverityAnalysis[Severidad final], MATCH(tblPiNAnalysis[[#This Row],[ID]],tblSeverityAnalysis[ID], 0))</f>
        <v>3</v>
      </c>
      <c r="AV174" s="220">
        <f>IF(tblPiNAnalysis[[#This Row],[Severidad]]&gt;2,tblPiNAnalysis[[#This Row],[PiN más alto]],)</f>
        <v>10099</v>
      </c>
      <c r="AW174" s="54"/>
      <c r="AX174" s="55"/>
      <c r="AY174" s="56">
        <f>COUNTIFS(tblPiNAnalysis[[#This Row],[Número de PiN ausentes/cero superior al umbral - Calidad de los datos]:[Marcador manual]],"Flagged")</f>
        <v>1</v>
      </c>
      <c r="AZ174" s="34" t="str">
        <f>IF(tblPiNAnalysis[[#This Row],[Número de marcadores]]&gt;0, "Flagged", "")</f>
        <v>Flagged</v>
      </c>
      <c r="BA174" s="92">
        <f>tblPiNAnalysis[[#This Row],[PiN preliminar]]</f>
        <v>10099</v>
      </c>
      <c r="BB174" s="97"/>
      <c r="BC174" s="70">
        <f>IFERROR(IF(tblPiNAnalysis[[#This Row],[Severidad]]=3,tblPiNAnalysis[[#This Row],[PiN final]]*Umbrales!$D$33,tblPiNAnalysis[[#This Row],[PiN final]]*Umbrales!$D$34),)</f>
        <v>5049.5</v>
      </c>
      <c r="BD174" s="70">
        <f>IFERROR(IF(tblPiNAnalysis[[#This Row],[Severidad]]&gt;3,tblPiNAnalysis[[#This Row],[PiN final]]*Umbrales!$D$34,),)</f>
        <v>0</v>
      </c>
    </row>
    <row r="175" spans="1:56">
      <c r="A175" s="101" t="str">
        <f>IFERROR(_xlfn.CONCAT(IF(tblPiNAnalysis[[#This Row],[Grupo]]="", "",tblPiNAnalysis[[#This Row],[Grupo]] ),  _xlfn.IFS(tblPiNAnalysis[[#This Row],[Admin2PCODE]]&lt;&gt;"", tblPiNAnalysis[[#This Row],[Admin2PCODE]], tblPiNAnalysis[[#This Row],[Admin1PCODE]]&lt;&gt;"", tblPiNAnalysis[[#This Row],[Admin1PCODE]])),"")</f>
        <v>VenezolanosVE1602</v>
      </c>
      <c r="B175" s="105" t="s">
        <v>491</v>
      </c>
      <c r="C175" s="104" t="s">
        <v>492</v>
      </c>
      <c r="D175" s="119" t="s">
        <v>494</v>
      </c>
      <c r="E175" s="104" t="s">
        <v>495</v>
      </c>
      <c r="F175" s="358"/>
      <c r="G175" s="357">
        <v>12116</v>
      </c>
      <c r="H175" s="103" t="s">
        <v>102</v>
      </c>
      <c r="I175" s="60">
        <v>3365</v>
      </c>
      <c r="J175" s="134">
        <v>903.27898301169591</v>
      </c>
      <c r="K175" s="57">
        <v>10000</v>
      </c>
      <c r="L175" s="87">
        <v>246.88168184300008</v>
      </c>
      <c r="M175" s="87">
        <v>2419.4013717027783</v>
      </c>
      <c r="N175" s="57">
        <v>0</v>
      </c>
      <c r="O175" s="57">
        <v>774.20843894488905</v>
      </c>
      <c r="P175" s="57">
        <v>846.79048009597227</v>
      </c>
      <c r="Q175" s="88">
        <f>IFERROR(IF(tblPiNAnalysis[[#This Row],[SAMV]]="", "", MROUND(tblPiNAnalysis[[#This Row],[SAMV]]/tblPiNAnalysis[[#This Row],[Población]], 0.05)), "")</f>
        <v>0.30000000000000004</v>
      </c>
      <c r="R175" s="89">
        <f>IFERROR(IF(tblPiNAnalysis[[#This Row],[NUT]]="", "", MROUND(tblPiNAnalysis[[#This Row],[NUT]]/tblPiNAnalysis[[#This Row],[Población]], 0.05)), "")</f>
        <v>0.05</v>
      </c>
      <c r="S175" s="89">
        <f>IFERROR(IF(tblPiNAnalysis[[#This Row],[SAL]]="", "", MROUND(tblPiNAnalysis[[#This Row],[SAL]]/tblPiNAnalysis[[#This Row],[Población]], 0.05)), "")</f>
        <v>0.85000000000000009</v>
      </c>
      <c r="T175" s="89">
        <f>IFERROR(IF(tblPiNAnalysis[[#This Row],[EDU]]="", "", MROUND(tblPiNAnalysis[[#This Row],[EDU]]/tblPiNAnalysis[[#This Row],[Población]], 0.05)), "")</f>
        <v>0</v>
      </c>
      <c r="U175" s="89">
        <f>IFERROR(IF(tblPiNAnalysis[[#This Row],[PRO]]="", "", MROUND(tblPiNAnalysis[[#This Row],[PRO]]/tblPiNAnalysis[[#This Row],[Población]], 0.05)), "")</f>
        <v>0.2</v>
      </c>
      <c r="V175" s="90">
        <f>IFERROR(IF(tblPiNAnalysis[[#This Row],[ASH]]="", "", MROUND(tblPiNAnalysis[[#This Row],[ASH]]/tblPiNAnalysis[[#This Row],[Población]], 0.05)), "")</f>
        <v>0</v>
      </c>
      <c r="W175" s="89">
        <f>IFERROR(MROUND(tblPiNAnalysis[[#This Row],[NNA]]/tblPiNAnalysis[[#This Row],[Población]], 0.05), "")</f>
        <v>0.05</v>
      </c>
      <c r="X175" s="89">
        <f>IFERROR(MROUND(tblPiNAnalysis[[#This Row],[VBG]]/tblPiNAnalysis[[#This Row],[Población]], 0.05), "")</f>
        <v>0.05</v>
      </c>
      <c r="Y175" s="91">
        <f>IFERROR(LARGE(tblPiNAnalysis[[#This Row],[SAMV]:[ASH]], 1), "")</f>
        <v>10000</v>
      </c>
      <c r="Z175" s="92" t="str" cm="1">
        <f t="array" ref="Z175">IF(tblPiNAnalysis[[#This Row],[PiN más alto]]="", "", _xlfn.TEXTJOIN(CHAR(10), TRUE, IF(tblPiNAnalysis[[#This Row],[PiN más alto]]=tblPiNAnalysis[[#This Row],[SAMV]:[ASH]], tblPiNAnalysis[[#Headers],[SAMV]:[ASH]], "")))</f>
        <v>SAL</v>
      </c>
      <c r="AA175" s="93">
        <f>IF(tblPiNAnalysis[[#This Row],[PiN más alto]]="", "", tblPiNAnalysis[[#This Row],[PiN más alto]]/tblPiNAnalysis[[#This Row],[Población]])</f>
        <v>0.8253549026081215</v>
      </c>
      <c r="AB175" s="94" t="str">
        <f>IF(SUM(tblPiNAnalysis[[#This Row],[SAMV]:[ASH]])=0, "",IF(COUNTIF(tblPiNAnalysis[[#This Row],[SAMV]:[ASH]],"=0")+COUNTIF(tblPiNAnalysis[[#This Row],[SAMV]:[ASH]],"")&gt;=zero_pin_thresh, "Flagged", ""))</f>
        <v/>
      </c>
      <c r="AC175" s="95" t="str">
        <f>IFERROR(IF(tblPiNAnalysis[[#This Row],[PiN más alto]]="", "", IF(tblPiNAnalysis[[#This Row],[% PiN Sectores más altos]]&gt;=flag_pin_perc, "Flagged", "")), "")</f>
        <v/>
      </c>
      <c r="AD175" s="96" t="str" cm="1">
        <f t="array" ref="AD175">IF(tblPiNAnalysis[[#This Row],[PiN más alto]]=0, "",  IF(OR(COUNTIF(tblPiNAnalysis[[#This Row],[Sectores más altos]],tblSubSectorPopulation[Sector])), "Flagged", ""))</f>
        <v/>
      </c>
      <c r="AE175" s="16" cm="1">
        <f t="array" ref="AE17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3365</v>
      </c>
      <c r="AF175" s="97" t="str" cm="1">
        <f t="array" ref="AF175">IF(tblPiNAnalysis[[#This Row],[2º PiN más alto]]="", "", _xlfn.TEXTJOIN(CHAR(10), TRUE, IF(tblPiNAnalysis[[#This Row],[2º PiN más alto]]=tblPiNAnalysis[[#This Row],[SAMV]:[ASH]], tblPiNAnalysis[[#Headers],[SAMV]:[ASH]], "")))</f>
        <v>SAMV</v>
      </c>
      <c r="AG175" s="12">
        <f>IFERROR(tblPiNAnalysis[[#This Row],[2º PiN más alto]]/tblPiNAnalysis[[#This Row],[Población]], "")</f>
        <v>0.27773192472763286</v>
      </c>
      <c r="AH175" s="16">
        <f>IFERROR(tblPiNAnalysis[[#This Row],[PiN más alto]]-tblPiNAnalysis[[#This Row],[2º PiN más alto]], "")</f>
        <v>6635</v>
      </c>
      <c r="AI175" s="14">
        <f>IFERROR(((tblPiNAnalysis[[#This Row],[PiN más alto]]-tblPiNAnalysis[[#This Row],[2º PiN más alto]])/tblPiNAnalysis[[#This Row],[2º PiN más alto]]),"")</f>
        <v>1.9717682020802378</v>
      </c>
      <c r="AJ175" s="14" t="str" cm="1">
        <f t="array" ref="AJ17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75" s="98" cm="1">
        <f t="array" ref="AK17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2419.4013717027783</v>
      </c>
      <c r="AL175" s="53" t="str" cm="1">
        <f t="array" ref="AL175">IF(tblPiNAnalysis[[#This Row],[3º PiN más alto]]="", "", _xlfn.TEXTJOIN(CHAR(10), TRUE, IF(tblPiNAnalysis[[#This Row],[3º PiN más alto]]=tblPiNAnalysis[[#This Row],[SAMV]:[ASH]], tblPiNAnalysis[[#Headers],[SAMV]:[ASH]], "")))</f>
        <v>PRO</v>
      </c>
      <c r="AM175" s="53">
        <f>IFERROR(tblPiNAnalysis[[#This Row],[3º PiN más alto]]/tblPiNAnalysis[[#This Row],[Población]], "")</f>
        <v>0.1996864783511702</v>
      </c>
      <c r="AN175" s="15">
        <f>IFERROR(tblPiNAnalysis[[#This Row],[PiN más alto]]-tblPiNAnalysis[[#This Row],[3º PiN más alto]],"")</f>
        <v>7580.5986282972217</v>
      </c>
      <c r="AO175" s="14">
        <f>IFERROR(tblPiNAnalysis[[#This Row],[Diferencia de PiN entre el más alto y el 3º más alto]]/tblPiNAnalysis[[#This Row],[3º PiN más alto]], "")</f>
        <v>3.1332538358288131</v>
      </c>
      <c r="AP175" s="96" t="str" cm="1">
        <f t="array" ref="AP17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75" s="84" cm="1">
        <f t="array" ref="AQ175">IFERROR(IF(tblPiNAnalysis[[#This Row],[ID]]="", "", INDEX(tblPiNHistorical[[SAMV]:[ASH]], MATCH(tblPiNAnalysis[[#This Row],[ID]],tblPiNHistorical[ID], 0),MATCH(_xlfn._xlws.FILTER(tblPiNAnalysis[[#Headers],[SAMV]:[ASH]], tblPiNAnalysis[[#This Row],[PiN más alto]]=tblPiNAnalysis[[#This Row],[SAMV]:[ASH]]), tblPiNHistorical[[#Headers],[SAMV]:[ASH]], 0))), "")</f>
        <v>1.4</v>
      </c>
      <c r="AR175" s="99" t="str" cm="1">
        <f t="array" ref="AR17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75" s="74" t="str" cm="1">
        <f t="array" ref="AS175">IFERROR(IF(tblPiNAnalysis[[#This Row],[ID]]="", "", INDEX(tblPiNHistorical[[SAMV]:[ASH]], MATCH(tblPiNAnalysis[[#This Row],[ID]],tblPiNHistorical[ID], 0),MATCH(_xlfn._xlws.FILTER(tblPiNAnalysis[[#Headers],[SAMV]:[ASH]], tblPiNAnalysis[[#This Row],[2º PiN más alto]]=tblPiNAnalysis[[#This Row],[SAMV]:[ASH]]), tblPiNHistorical[[#Headers],[SAMV]:[ASH]], 0))), "")</f>
        <v>NoPIN26 1760</v>
      </c>
      <c r="AT175" s="100" t="str" cm="1">
        <f t="array" ref="AT17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75" s="219">
        <f>INDEX(tblSeverityAnalysis[Severidad final], MATCH(tblPiNAnalysis[[#This Row],[ID]],tblSeverityAnalysis[ID], 0))</f>
        <v>3</v>
      </c>
      <c r="AV175" s="220">
        <f>IF(tblPiNAnalysis[[#This Row],[Severidad]]&gt;2,tblPiNAnalysis[[#This Row],[PiN más alto]],)</f>
        <v>10000</v>
      </c>
      <c r="AW175" s="54"/>
      <c r="AX175" s="55"/>
      <c r="AY175" s="56">
        <f>COUNTIFS(tblPiNAnalysis[[#This Row],[Número de PiN ausentes/cero superior al umbral - Calidad de los datos]:[Marcador manual]],"Flagged")</f>
        <v>3</v>
      </c>
      <c r="AZ175" s="34" t="str">
        <f>IF(tblPiNAnalysis[[#This Row],[Número de marcadores]]&gt;0, "Flagged", "")</f>
        <v>Flagged</v>
      </c>
      <c r="BA175" s="92">
        <f>tblPiNAnalysis[[#This Row],[PiN preliminar]]</f>
        <v>10000</v>
      </c>
      <c r="BB175" s="97"/>
      <c r="BC175" s="70">
        <f>IFERROR(IF(tblPiNAnalysis[[#This Row],[Severidad]]=3,tblPiNAnalysis[[#This Row],[PiN final]]*Umbrales!$D$33,tblPiNAnalysis[[#This Row],[PiN final]]*Umbrales!$D$34),)</f>
        <v>5000</v>
      </c>
      <c r="BD175" s="70">
        <f>IFERROR(IF(tblPiNAnalysis[[#This Row],[Severidad]]&gt;3,tblPiNAnalysis[[#This Row],[PiN final]]*Umbrales!$D$34,),)</f>
        <v>0</v>
      </c>
    </row>
    <row r="176" spans="1:56">
      <c r="A176" s="101" t="str">
        <f>IFERROR(_xlfn.CONCAT(IF(tblPiNAnalysis[[#This Row],[Grupo]]="", "",tblPiNAnalysis[[#This Row],[Grupo]] ),  _xlfn.IFS(tblPiNAnalysis[[#This Row],[Admin2PCODE]]&lt;&gt;"", tblPiNAnalysis[[#This Row],[Admin2PCODE]], tblPiNAnalysis[[#This Row],[Admin1PCODE]]&lt;&gt;"", tblPiNAnalysis[[#This Row],[Admin1PCODE]])),"")</f>
        <v>VenezolanosVE1201</v>
      </c>
      <c r="B176" s="105" t="s">
        <v>362</v>
      </c>
      <c r="C176" s="104" t="s">
        <v>363</v>
      </c>
      <c r="D176" s="119" t="s">
        <v>364</v>
      </c>
      <c r="E176" s="104" t="s">
        <v>365</v>
      </c>
      <c r="F176" s="358"/>
      <c r="G176" s="357">
        <v>24937</v>
      </c>
      <c r="H176" s="103" t="s">
        <v>102</v>
      </c>
      <c r="I176" s="60">
        <v>8312</v>
      </c>
      <c r="J176" s="134">
        <v>1375.8079489869829</v>
      </c>
      <c r="K176" s="57">
        <v>9900</v>
      </c>
      <c r="L176" s="87">
        <v>1825.0416204597836</v>
      </c>
      <c r="M176" s="87">
        <v>4622.189804478041</v>
      </c>
      <c r="N176" s="57">
        <v>0</v>
      </c>
      <c r="O176" s="57">
        <v>1483.7229272374511</v>
      </c>
      <c r="P176" s="57">
        <v>1617.7664315673142</v>
      </c>
      <c r="Q176" s="88">
        <f>IFERROR(IF(tblPiNAnalysis[[#This Row],[SAMV]]="", "", MROUND(tblPiNAnalysis[[#This Row],[SAMV]]/tblPiNAnalysis[[#This Row],[Población]], 0.05)), "")</f>
        <v>0.35000000000000003</v>
      </c>
      <c r="R176" s="89">
        <f>IFERROR(IF(tblPiNAnalysis[[#This Row],[NUT]]="", "", MROUND(tblPiNAnalysis[[#This Row],[NUT]]/tblPiNAnalysis[[#This Row],[Población]], 0.05)), "")</f>
        <v>0.05</v>
      </c>
      <c r="S176" s="89">
        <f>IFERROR(IF(tblPiNAnalysis[[#This Row],[SAL]]="", "", MROUND(tblPiNAnalysis[[#This Row],[SAL]]/tblPiNAnalysis[[#This Row],[Población]], 0.05)), "")</f>
        <v>0.4</v>
      </c>
      <c r="T176" s="89">
        <f>IFERROR(IF(tblPiNAnalysis[[#This Row],[EDU]]="", "", MROUND(tblPiNAnalysis[[#This Row],[EDU]]/tblPiNAnalysis[[#This Row],[Población]], 0.05)), "")</f>
        <v>0.05</v>
      </c>
      <c r="U176" s="89">
        <f>IFERROR(IF(tblPiNAnalysis[[#This Row],[PRO]]="", "", MROUND(tblPiNAnalysis[[#This Row],[PRO]]/tblPiNAnalysis[[#This Row],[Población]], 0.05)), "")</f>
        <v>0.2</v>
      </c>
      <c r="V176" s="90">
        <f>IFERROR(IF(tblPiNAnalysis[[#This Row],[ASH]]="", "", MROUND(tblPiNAnalysis[[#This Row],[ASH]]/tblPiNAnalysis[[#This Row],[Población]], 0.05)), "")</f>
        <v>0</v>
      </c>
      <c r="W176" s="89">
        <f>IFERROR(MROUND(tblPiNAnalysis[[#This Row],[NNA]]/tblPiNAnalysis[[#This Row],[Población]], 0.05), "")</f>
        <v>0.05</v>
      </c>
      <c r="X176" s="89">
        <f>IFERROR(MROUND(tblPiNAnalysis[[#This Row],[VBG]]/tblPiNAnalysis[[#This Row],[Población]], 0.05), "")</f>
        <v>0.05</v>
      </c>
      <c r="Y176" s="91">
        <f>IFERROR(LARGE(tblPiNAnalysis[[#This Row],[SAMV]:[ASH]], 1), "")</f>
        <v>9900</v>
      </c>
      <c r="Z176" s="92" t="str" cm="1">
        <f t="array" ref="Z176">IF(tblPiNAnalysis[[#This Row],[PiN más alto]]="", "", _xlfn.TEXTJOIN(CHAR(10), TRUE, IF(tblPiNAnalysis[[#This Row],[PiN más alto]]=tblPiNAnalysis[[#This Row],[SAMV]:[ASH]], tblPiNAnalysis[[#Headers],[SAMV]:[ASH]], "")))</f>
        <v>SAL</v>
      </c>
      <c r="AA176" s="93">
        <f>IF(tblPiNAnalysis[[#This Row],[PiN más alto]]="", "", tblPiNAnalysis[[#This Row],[PiN más alto]]/tblPiNAnalysis[[#This Row],[Población]])</f>
        <v>0.39700044111160121</v>
      </c>
      <c r="AB176" s="94" t="str">
        <f>IF(SUM(tblPiNAnalysis[[#This Row],[SAMV]:[ASH]])=0, "",IF(COUNTIF(tblPiNAnalysis[[#This Row],[SAMV]:[ASH]],"=0")+COUNTIF(tblPiNAnalysis[[#This Row],[SAMV]:[ASH]],"")&gt;=zero_pin_thresh, "Flagged", ""))</f>
        <v/>
      </c>
      <c r="AC176" s="95" t="str">
        <f>IFERROR(IF(tblPiNAnalysis[[#This Row],[PiN más alto]]="", "", IF(tblPiNAnalysis[[#This Row],[% PiN Sectores más altos]]&gt;=flag_pin_perc, "Flagged", "")), "")</f>
        <v/>
      </c>
      <c r="AD176" s="96" t="str" cm="1">
        <f t="array" ref="AD176">IF(tblPiNAnalysis[[#This Row],[PiN más alto]]=0, "",  IF(OR(COUNTIF(tblPiNAnalysis[[#This Row],[Sectores más altos]],tblSubSectorPopulation[Sector])), "Flagged", ""))</f>
        <v/>
      </c>
      <c r="AE176" s="16" cm="1">
        <f t="array" ref="AE17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8312</v>
      </c>
      <c r="AF176" s="97" t="str" cm="1">
        <f t="array" ref="AF176">IF(tblPiNAnalysis[[#This Row],[2º PiN más alto]]="", "", _xlfn.TEXTJOIN(CHAR(10), TRUE, IF(tblPiNAnalysis[[#This Row],[2º PiN más alto]]=tblPiNAnalysis[[#This Row],[SAMV]:[ASH]], tblPiNAnalysis[[#Headers],[SAMV]:[ASH]], "")))</f>
        <v>SAMV</v>
      </c>
      <c r="AG176" s="12">
        <f>IFERROR(tblPiNAnalysis[[#This Row],[2º PiN más alto]]/tblPiNAnalysis[[#This Row],[Población]], "")</f>
        <v>0.33331996631511407</v>
      </c>
      <c r="AH176" s="16">
        <f>IFERROR(tblPiNAnalysis[[#This Row],[PiN más alto]]-tblPiNAnalysis[[#This Row],[2º PiN más alto]], "")</f>
        <v>1588</v>
      </c>
      <c r="AI176" s="14">
        <f>IFERROR(((tblPiNAnalysis[[#This Row],[PiN más alto]]-tblPiNAnalysis[[#This Row],[2º PiN más alto]])/tblPiNAnalysis[[#This Row],[2º PiN más alto]]),"")</f>
        <v>0.19104908565928777</v>
      </c>
      <c r="AJ176" s="14" t="str" cm="1">
        <f t="array" ref="AJ17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76" s="98" cm="1">
        <f t="array" ref="AK17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4622.189804478041</v>
      </c>
      <c r="AL176" s="53" t="str" cm="1">
        <f t="array" ref="AL176">IF(tblPiNAnalysis[[#This Row],[3º PiN más alto]]="", "", _xlfn.TEXTJOIN(CHAR(10), TRUE, IF(tblPiNAnalysis[[#This Row],[3º PiN más alto]]=tblPiNAnalysis[[#This Row],[SAMV]:[ASH]], tblPiNAnalysis[[#Headers],[SAMV]:[ASH]], "")))</f>
        <v>PRO</v>
      </c>
      <c r="AM176" s="53">
        <f>IFERROR(tblPiNAnalysis[[#This Row],[3º PiN más alto]]/tblPiNAnalysis[[#This Row],[Población]], "")</f>
        <v>0.18535468598781094</v>
      </c>
      <c r="AN176" s="15">
        <f>IFERROR(tblPiNAnalysis[[#This Row],[PiN más alto]]-tblPiNAnalysis[[#This Row],[3º PiN más alto]],"")</f>
        <v>5277.810195521959</v>
      </c>
      <c r="AO176" s="14">
        <f>IFERROR(tblPiNAnalysis[[#This Row],[Diferencia de PiN entre el más alto y el 3º más alto]]/tblPiNAnalysis[[#This Row],[3º PiN más alto]], "")</f>
        <v>1.1418419447874564</v>
      </c>
      <c r="AP176" s="96" t="str" cm="1">
        <f t="array" ref="AP17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76" s="84" cm="1">
        <f t="array" ref="AQ176">IFERROR(IF(tblPiNAnalysis[[#This Row],[ID]]="", "", INDEX(tblPiNHistorical[[SAMV]:[ASH]], MATCH(tblPiNAnalysis[[#This Row],[ID]],tblPiNHistorical[ID], 0),MATCH(_xlfn._xlws.FILTER(tblPiNAnalysis[[#Headers],[SAMV]:[ASH]], tblPiNAnalysis[[#This Row],[PiN más alto]]=tblPiNAnalysis[[#This Row],[SAMV]:[ASH]]), tblPiNHistorical[[#Headers],[SAMV]:[ASH]], 0))), "")</f>
        <v>1.7</v>
      </c>
      <c r="AR176" s="99" t="str" cm="1">
        <f t="array" ref="AR17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76" s="74" cm="1">
        <f t="array" ref="AS176">IFERROR(IF(tblPiNAnalysis[[#This Row],[ID]]="", "", INDEX(tblPiNHistorical[[SAMV]:[ASH]], MATCH(tblPiNAnalysis[[#This Row],[ID]],tblPiNHistorical[ID], 0),MATCH(_xlfn._xlws.FILTER(tblPiNAnalysis[[#Headers],[SAMV]:[ASH]], tblPiNAnalysis[[#This Row],[2º PiN más alto]]=tblPiNAnalysis[[#This Row],[SAMV]:[ASH]]), tblPiNHistorical[[#Headers],[SAMV]:[ASH]], 0))), "")</f>
        <v>2.6</v>
      </c>
      <c r="AT176" s="100" t="str" cm="1">
        <f t="array" ref="AT17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76" s="219">
        <f>INDEX(tblSeverityAnalysis[Severidad final], MATCH(tblPiNAnalysis[[#This Row],[ID]],tblSeverityAnalysis[ID], 0))</f>
        <v>3</v>
      </c>
      <c r="AV176" s="220">
        <f>IF(tblPiNAnalysis[[#This Row],[Severidad]]&gt;2,tblPiNAnalysis[[#This Row],[PiN más alto]],)</f>
        <v>9900</v>
      </c>
      <c r="AW176" s="54"/>
      <c r="AX176" s="55"/>
      <c r="AY176" s="56">
        <f>COUNTIFS(tblPiNAnalysis[[#This Row],[Número de PiN ausentes/cero superior al umbral - Calidad de los datos]:[Marcador manual]],"Flagged")</f>
        <v>3</v>
      </c>
      <c r="AZ176" s="34" t="str">
        <f>IF(tblPiNAnalysis[[#This Row],[Número de marcadores]]&gt;0, "Flagged", "")</f>
        <v>Flagged</v>
      </c>
      <c r="BA176" s="92">
        <f>tblPiNAnalysis[[#This Row],[PiN preliminar]]</f>
        <v>9900</v>
      </c>
      <c r="BB176" s="97"/>
      <c r="BC176" s="70">
        <f>IFERROR(IF(tblPiNAnalysis[[#This Row],[Severidad]]=3,tblPiNAnalysis[[#This Row],[PiN final]]*Umbrales!$D$33,tblPiNAnalysis[[#This Row],[PiN final]]*Umbrales!$D$34),)</f>
        <v>4950</v>
      </c>
      <c r="BD176" s="70">
        <f>IFERROR(IF(tblPiNAnalysis[[#This Row],[Severidad]]&gt;3,tblPiNAnalysis[[#This Row],[PiN final]]*Umbrales!$D$34,),)</f>
        <v>0</v>
      </c>
    </row>
    <row r="177" spans="1:56">
      <c r="A177" s="101" t="str">
        <f>IFERROR(_xlfn.CONCAT(IF(tblPiNAnalysis[[#This Row],[Grupo]]="", "",tblPiNAnalysis[[#This Row],[Grupo]] ),  _xlfn.IFS(tblPiNAnalysis[[#This Row],[Admin2PCODE]]&lt;&gt;"", tblPiNAnalysis[[#This Row],[Admin2PCODE]], tblPiNAnalysis[[#This Row],[Admin1PCODE]]&lt;&gt;"", tblPiNAnalysis[[#This Row],[Admin1PCODE]])),"")</f>
        <v>VenezolanosVE1709</v>
      </c>
      <c r="B177" s="105" t="s">
        <v>513</v>
      </c>
      <c r="C177" s="104" t="s">
        <v>514</v>
      </c>
      <c r="D177" s="119" t="s">
        <v>818</v>
      </c>
      <c r="E177" s="104" t="s">
        <v>531</v>
      </c>
      <c r="F177" s="358"/>
      <c r="G177" s="357">
        <v>27023</v>
      </c>
      <c r="H177" s="103" t="s">
        <v>102</v>
      </c>
      <c r="I177" s="60">
        <v>450</v>
      </c>
      <c r="J177" s="134">
        <v>1000.7781082326004</v>
      </c>
      <c r="K177" s="57">
        <v>9863.3950000000004</v>
      </c>
      <c r="L177" s="87">
        <v>1166.3467736388704</v>
      </c>
      <c r="M177" s="87">
        <v>1085.1151968958382</v>
      </c>
      <c r="N177" s="57">
        <v>3648.105</v>
      </c>
      <c r="O177" s="57">
        <v>347.23686300666822</v>
      </c>
      <c r="P177" s="57">
        <v>379.79031891354339</v>
      </c>
      <c r="Q177" s="88">
        <f>IFERROR(IF(tblPiNAnalysis[[#This Row],[SAMV]]="", "", MROUND(tblPiNAnalysis[[#This Row],[SAMV]]/tblPiNAnalysis[[#This Row],[Población]], 0.05)), "")</f>
        <v>0</v>
      </c>
      <c r="R177" s="89">
        <f>IFERROR(IF(tblPiNAnalysis[[#This Row],[NUT]]="", "", MROUND(tblPiNAnalysis[[#This Row],[NUT]]/tblPiNAnalysis[[#This Row],[Población]], 0.05)), "")</f>
        <v>0.05</v>
      </c>
      <c r="S177" s="89">
        <f>IFERROR(IF(tblPiNAnalysis[[#This Row],[SAL]]="", "", MROUND(tblPiNAnalysis[[#This Row],[SAL]]/tblPiNAnalysis[[#This Row],[Población]], 0.05)), "")</f>
        <v>0.35000000000000003</v>
      </c>
      <c r="T177" s="89">
        <f>IFERROR(IF(tblPiNAnalysis[[#This Row],[EDU]]="", "", MROUND(tblPiNAnalysis[[#This Row],[EDU]]/tblPiNAnalysis[[#This Row],[Población]], 0.05)), "")</f>
        <v>0.05</v>
      </c>
      <c r="U177" s="89">
        <f>IFERROR(IF(tblPiNAnalysis[[#This Row],[PRO]]="", "", MROUND(tblPiNAnalysis[[#This Row],[PRO]]/tblPiNAnalysis[[#This Row],[Población]], 0.05)), "")</f>
        <v>0.05</v>
      </c>
      <c r="V177" s="90">
        <f>IFERROR(IF(tblPiNAnalysis[[#This Row],[ASH]]="", "", MROUND(tblPiNAnalysis[[#This Row],[ASH]]/tblPiNAnalysis[[#This Row],[Población]], 0.05)), "")</f>
        <v>0.15000000000000002</v>
      </c>
      <c r="W177" s="89">
        <f>IFERROR(MROUND(tblPiNAnalysis[[#This Row],[NNA]]/tblPiNAnalysis[[#This Row],[Población]], 0.05), "")</f>
        <v>0</v>
      </c>
      <c r="X177" s="89">
        <f>IFERROR(MROUND(tblPiNAnalysis[[#This Row],[VBG]]/tblPiNAnalysis[[#This Row],[Población]], 0.05), "")</f>
        <v>0</v>
      </c>
      <c r="Y177" s="91">
        <f>IFERROR(LARGE(tblPiNAnalysis[[#This Row],[SAMV]:[ASH]], 1), "")</f>
        <v>9863.3950000000004</v>
      </c>
      <c r="Z177" s="92" t="str" cm="1">
        <f t="array" ref="Z177">IF(tblPiNAnalysis[[#This Row],[PiN más alto]]="", "", _xlfn.TEXTJOIN(CHAR(10), TRUE, IF(tblPiNAnalysis[[#This Row],[PiN más alto]]=tblPiNAnalysis[[#This Row],[SAMV]:[ASH]], tblPiNAnalysis[[#Headers],[SAMV]:[ASH]], "")))</f>
        <v>SAL</v>
      </c>
      <c r="AA177" s="93">
        <f>IF(tblPiNAnalysis[[#This Row],[PiN más alto]]="", "", tblPiNAnalysis[[#This Row],[PiN más alto]]/tblPiNAnalysis[[#This Row],[Población]])</f>
        <v>0.36499999999999999</v>
      </c>
      <c r="AB177" s="94" t="str">
        <f>IF(SUM(tblPiNAnalysis[[#This Row],[SAMV]:[ASH]])=0, "",IF(COUNTIF(tblPiNAnalysis[[#This Row],[SAMV]:[ASH]],"=0")+COUNTIF(tblPiNAnalysis[[#This Row],[SAMV]:[ASH]],"")&gt;=zero_pin_thresh, "Flagged", ""))</f>
        <v/>
      </c>
      <c r="AC177" s="95" t="str">
        <f>IFERROR(IF(tblPiNAnalysis[[#This Row],[PiN más alto]]="", "", IF(tblPiNAnalysis[[#This Row],[% PiN Sectores más altos]]&gt;=flag_pin_perc, "Flagged", "")), "")</f>
        <v/>
      </c>
      <c r="AD177" s="96" t="str" cm="1">
        <f t="array" ref="AD177">IF(tblPiNAnalysis[[#This Row],[PiN más alto]]=0, "",  IF(OR(COUNTIF(tblPiNAnalysis[[#This Row],[Sectores más altos]],tblSubSectorPopulation[Sector])), "Flagged", ""))</f>
        <v/>
      </c>
      <c r="AE177" s="16" cm="1">
        <f t="array" ref="AE17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3648.105</v>
      </c>
      <c r="AF177" s="97" t="str" cm="1">
        <f t="array" ref="AF177">IF(tblPiNAnalysis[[#This Row],[2º PiN más alto]]="", "", _xlfn.TEXTJOIN(CHAR(10), TRUE, IF(tblPiNAnalysis[[#This Row],[2º PiN más alto]]=tblPiNAnalysis[[#This Row],[SAMV]:[ASH]], tblPiNAnalysis[[#Headers],[SAMV]:[ASH]], "")))</f>
        <v>ASH</v>
      </c>
      <c r="AG177" s="12">
        <f>IFERROR(tblPiNAnalysis[[#This Row],[2º PiN más alto]]/tblPiNAnalysis[[#This Row],[Población]], "")</f>
        <v>0.13500000000000001</v>
      </c>
      <c r="AH177" s="16">
        <f>IFERROR(tblPiNAnalysis[[#This Row],[PiN más alto]]-tblPiNAnalysis[[#This Row],[2º PiN más alto]], "")</f>
        <v>6215.2900000000009</v>
      </c>
      <c r="AI177" s="14">
        <f>IFERROR(((tblPiNAnalysis[[#This Row],[PiN más alto]]-tblPiNAnalysis[[#This Row],[2º PiN más alto]])/tblPiNAnalysis[[#This Row],[2º PiN más alto]]),"")</f>
        <v>1.7037037037037039</v>
      </c>
      <c r="AJ177" s="14" t="str" cm="1">
        <f t="array" ref="AJ17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77" s="98" cm="1">
        <f t="array" ref="AK17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1166.3467736388704</v>
      </c>
      <c r="AL177" s="53" t="str" cm="1">
        <f t="array" ref="AL177">IF(tblPiNAnalysis[[#This Row],[3º PiN más alto]]="", "", _xlfn.TEXTJOIN(CHAR(10), TRUE, IF(tblPiNAnalysis[[#This Row],[3º PiN más alto]]=tblPiNAnalysis[[#This Row],[SAMV]:[ASH]], tblPiNAnalysis[[#Headers],[SAMV]:[ASH]], "")))</f>
        <v>EDU</v>
      </c>
      <c r="AM177" s="53">
        <f>IFERROR(tblPiNAnalysis[[#This Row],[3º PiN más alto]]/tblPiNAnalysis[[#This Row],[Población]], "")</f>
        <v>4.3161261652624447E-2</v>
      </c>
      <c r="AN177" s="15">
        <f>IFERROR(tblPiNAnalysis[[#This Row],[PiN más alto]]-tblPiNAnalysis[[#This Row],[3º PiN más alto]],"")</f>
        <v>8697.0482263611302</v>
      </c>
      <c r="AO177" s="14">
        <f>IFERROR(tblPiNAnalysis[[#This Row],[Diferencia de PiN entre el más alto y el 3º más alto]]/tblPiNAnalysis[[#This Row],[3º PiN más alto]], "")</f>
        <v>7.456657336331733</v>
      </c>
      <c r="AP177" s="96" t="str" cm="1">
        <f t="array" ref="AP17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77" s="84" cm="1">
        <f t="array" ref="AQ177">IFERROR(IF(tblPiNAnalysis[[#This Row],[ID]]="", "", INDEX(tblPiNHistorical[[SAMV]:[ASH]], MATCH(tblPiNAnalysis[[#This Row],[ID]],tblPiNHistorical[ID], 0),MATCH(_xlfn._xlws.FILTER(tblPiNAnalysis[[#Headers],[SAMV]:[ASH]], tblPiNAnalysis[[#This Row],[PiN más alto]]=tblPiNAnalysis[[#This Row],[SAMV]:[ASH]]), tblPiNHistorical[[#Headers],[SAMV]:[ASH]], 0))), "")</f>
        <v>-0.6</v>
      </c>
      <c r="AR177" s="99" t="str" cm="1">
        <f t="array" ref="AR17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77" s="74" t="str" cm="1">
        <f t="array" ref="AS177">IFERROR(IF(tblPiNAnalysis[[#This Row],[ID]]="", "", INDEX(tblPiNHistorical[[SAMV]:[ASH]], MATCH(tblPiNAnalysis[[#This Row],[ID]],tblPiNHistorical[ID], 0),MATCH(_xlfn._xlws.FILTER(tblPiNAnalysis[[#Headers],[SAMV]:[ASH]], tblPiNAnalysis[[#This Row],[2º PiN más alto]]=tblPiNAnalysis[[#This Row],[SAMV]:[ASH]]), tblPiNHistorical[[#Headers],[SAMV]:[ASH]], 0))), "")</f>
        <v>New26 4737.6</v>
      </c>
      <c r="AT177" s="100" t="str" cm="1">
        <f t="array" ref="AT17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77" s="219">
        <f>INDEX(tblSeverityAnalysis[Severidad final], MATCH(tblPiNAnalysis[[#This Row],[ID]],tblSeverityAnalysis[ID], 0))</f>
        <v>3</v>
      </c>
      <c r="AV177" s="220">
        <f>IF(tblPiNAnalysis[[#This Row],[Severidad]]&gt;2,tblPiNAnalysis[[#This Row],[PiN más alto]],)</f>
        <v>9863.3950000000004</v>
      </c>
      <c r="AW177" s="54"/>
      <c r="AX177" s="55"/>
      <c r="AY177" s="56">
        <f>COUNTIFS(tblPiNAnalysis[[#This Row],[Número de PiN ausentes/cero superior al umbral - Calidad de los datos]:[Marcador manual]],"Flagged")</f>
        <v>2</v>
      </c>
      <c r="AZ177" s="34" t="str">
        <f>IF(tblPiNAnalysis[[#This Row],[Número de marcadores]]&gt;0, "Flagged", "")</f>
        <v>Flagged</v>
      </c>
      <c r="BA177" s="92">
        <f>tblPiNAnalysis[[#This Row],[PiN preliminar]]</f>
        <v>9863.3950000000004</v>
      </c>
      <c r="BB177" s="97"/>
      <c r="BC177" s="70">
        <f>IFERROR(IF(tblPiNAnalysis[[#This Row],[Severidad]]=3,tblPiNAnalysis[[#This Row],[PiN final]]*Umbrales!$D$33,tblPiNAnalysis[[#This Row],[PiN final]]*Umbrales!$D$34),)</f>
        <v>4931.6975000000002</v>
      </c>
      <c r="BD177" s="70">
        <f>IFERROR(IF(tblPiNAnalysis[[#This Row],[Severidad]]&gt;3,tblPiNAnalysis[[#This Row],[PiN final]]*Umbrales!$D$34,),)</f>
        <v>0</v>
      </c>
    </row>
    <row r="178" spans="1:56">
      <c r="A178" s="101" t="str">
        <f>IFERROR(_xlfn.CONCAT(IF(tblPiNAnalysis[[#This Row],[Grupo]]="", "",tblPiNAnalysis[[#This Row],[Grupo]] ),  _xlfn.IFS(tblPiNAnalysis[[#This Row],[Admin2PCODE]]&lt;&gt;"", tblPiNAnalysis[[#This Row],[Admin2PCODE]], tblPiNAnalysis[[#This Row],[Admin1PCODE]]&lt;&gt;"", tblPiNAnalysis[[#This Row],[Admin1PCODE]])),"")</f>
        <v>VenezolanosVE0612</v>
      </c>
      <c r="B178" s="105" t="s">
        <v>215</v>
      </c>
      <c r="C178" s="104" t="s">
        <v>216</v>
      </c>
      <c r="D178" s="119" t="s">
        <v>237</v>
      </c>
      <c r="E178" s="104" t="s">
        <v>238</v>
      </c>
      <c r="F178" s="358"/>
      <c r="G178" s="357">
        <v>16503</v>
      </c>
      <c r="H178" s="103" t="s">
        <v>102</v>
      </c>
      <c r="I178" s="60">
        <v>2477</v>
      </c>
      <c r="J178" s="134">
        <v>651.86717274777004</v>
      </c>
      <c r="K178" s="57">
        <v>9800</v>
      </c>
      <c r="L178" s="87">
        <v>234.60195846867936</v>
      </c>
      <c r="M178" s="87">
        <v>2370.0830649586369</v>
      </c>
      <c r="N178" s="57">
        <v>0</v>
      </c>
      <c r="O178" s="57">
        <v>758.42658078676368</v>
      </c>
      <c r="P178" s="57">
        <v>829.52907273552273</v>
      </c>
      <c r="Q178" s="88">
        <f>IFERROR(IF(tblPiNAnalysis[[#This Row],[SAMV]]="", "", MROUND(tblPiNAnalysis[[#This Row],[SAMV]]/tblPiNAnalysis[[#This Row],[Población]], 0.05)), "")</f>
        <v>0.15000000000000002</v>
      </c>
      <c r="R178" s="89">
        <f>IFERROR(IF(tblPiNAnalysis[[#This Row],[NUT]]="", "", MROUND(tblPiNAnalysis[[#This Row],[NUT]]/tblPiNAnalysis[[#This Row],[Población]], 0.05)), "")</f>
        <v>0.05</v>
      </c>
      <c r="S178" s="89">
        <f>IFERROR(IF(tblPiNAnalysis[[#This Row],[SAL]]="", "", MROUND(tblPiNAnalysis[[#This Row],[SAL]]/tblPiNAnalysis[[#This Row],[Población]], 0.05)), "")</f>
        <v>0.60000000000000009</v>
      </c>
      <c r="T178" s="89">
        <f>IFERROR(IF(tblPiNAnalysis[[#This Row],[EDU]]="", "", MROUND(tblPiNAnalysis[[#This Row],[EDU]]/tblPiNAnalysis[[#This Row],[Población]], 0.05)), "")</f>
        <v>0</v>
      </c>
      <c r="U178" s="89">
        <f>IFERROR(IF(tblPiNAnalysis[[#This Row],[PRO]]="", "", MROUND(tblPiNAnalysis[[#This Row],[PRO]]/tblPiNAnalysis[[#This Row],[Población]], 0.05)), "")</f>
        <v>0.15000000000000002</v>
      </c>
      <c r="V178" s="90">
        <f>IFERROR(IF(tblPiNAnalysis[[#This Row],[ASH]]="", "", MROUND(tblPiNAnalysis[[#This Row],[ASH]]/tblPiNAnalysis[[#This Row],[Población]], 0.05)), "")</f>
        <v>0</v>
      </c>
      <c r="W178" s="89">
        <f>IFERROR(MROUND(tblPiNAnalysis[[#This Row],[NNA]]/tblPiNAnalysis[[#This Row],[Población]], 0.05), "")</f>
        <v>0.05</v>
      </c>
      <c r="X178" s="89">
        <f>IFERROR(MROUND(tblPiNAnalysis[[#This Row],[VBG]]/tblPiNAnalysis[[#This Row],[Población]], 0.05), "")</f>
        <v>0.05</v>
      </c>
      <c r="Y178" s="91">
        <f>IFERROR(LARGE(tblPiNAnalysis[[#This Row],[SAMV]:[ASH]], 1), "")</f>
        <v>9800</v>
      </c>
      <c r="Z178" s="92" t="str" cm="1">
        <f t="array" ref="Z178">IF(tblPiNAnalysis[[#This Row],[PiN más alto]]="", "", _xlfn.TEXTJOIN(CHAR(10), TRUE, IF(tblPiNAnalysis[[#This Row],[PiN más alto]]=tblPiNAnalysis[[#This Row],[SAMV]:[ASH]], tblPiNAnalysis[[#Headers],[SAMV]:[ASH]], "")))</f>
        <v>SAL</v>
      </c>
      <c r="AA178" s="93">
        <f>IF(tblPiNAnalysis[[#This Row],[PiN más alto]]="", "", tblPiNAnalysis[[#This Row],[PiN más alto]]/tblPiNAnalysis[[#This Row],[Población]])</f>
        <v>0.59383142458946858</v>
      </c>
      <c r="AB178" s="94" t="str">
        <f>IF(SUM(tblPiNAnalysis[[#This Row],[SAMV]:[ASH]])=0, "",IF(COUNTIF(tblPiNAnalysis[[#This Row],[SAMV]:[ASH]],"=0")+COUNTIF(tblPiNAnalysis[[#This Row],[SAMV]:[ASH]],"")&gt;=zero_pin_thresh, "Flagged", ""))</f>
        <v/>
      </c>
      <c r="AC178" s="95" t="str">
        <f>IFERROR(IF(tblPiNAnalysis[[#This Row],[PiN más alto]]="", "", IF(tblPiNAnalysis[[#This Row],[% PiN Sectores más altos]]&gt;=flag_pin_perc, "Flagged", "")), "")</f>
        <v/>
      </c>
      <c r="AD178" s="96" t="str" cm="1">
        <f t="array" ref="AD178">IF(tblPiNAnalysis[[#This Row],[PiN más alto]]=0, "",  IF(OR(COUNTIF(tblPiNAnalysis[[#This Row],[Sectores más altos]],tblSubSectorPopulation[Sector])), "Flagged", ""))</f>
        <v/>
      </c>
      <c r="AE178" s="16" cm="1">
        <f t="array" ref="AE17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2477</v>
      </c>
      <c r="AF178" s="97" t="str" cm="1">
        <f t="array" ref="AF178">IF(tblPiNAnalysis[[#This Row],[2º PiN más alto]]="", "", _xlfn.TEXTJOIN(CHAR(10), TRUE, IF(tblPiNAnalysis[[#This Row],[2º PiN más alto]]=tblPiNAnalysis[[#This Row],[SAMV]:[ASH]], tblPiNAnalysis[[#Headers],[SAMV]:[ASH]], "")))</f>
        <v>SAMV</v>
      </c>
      <c r="AG178" s="12">
        <f>IFERROR(tblPiNAnalysis[[#This Row],[2º PiN más alto]]/tblPiNAnalysis[[#This Row],[Población]], "")</f>
        <v>0.15009392231715446</v>
      </c>
      <c r="AH178" s="16">
        <f>IFERROR(tblPiNAnalysis[[#This Row],[PiN más alto]]-tblPiNAnalysis[[#This Row],[2º PiN más alto]], "")</f>
        <v>7323</v>
      </c>
      <c r="AI178" s="14">
        <f>IFERROR(((tblPiNAnalysis[[#This Row],[PiN más alto]]-tblPiNAnalysis[[#This Row],[2º PiN más alto]])/tblPiNAnalysis[[#This Row],[2º PiN más alto]]),"")</f>
        <v>2.9563988696003229</v>
      </c>
      <c r="AJ178" s="14" t="str" cm="1">
        <f t="array" ref="AJ17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78" s="98" cm="1">
        <f t="array" ref="AK17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2370.0830649586369</v>
      </c>
      <c r="AL178" s="53" t="str" cm="1">
        <f t="array" ref="AL178">IF(tblPiNAnalysis[[#This Row],[3º PiN más alto]]="", "", _xlfn.TEXTJOIN(CHAR(10), TRUE, IF(tblPiNAnalysis[[#This Row],[3º PiN más alto]]=tblPiNAnalysis[[#This Row],[SAMV]:[ASH]], tblPiNAnalysis[[#Headers],[SAMV]:[ASH]], "")))</f>
        <v>PRO</v>
      </c>
      <c r="AM178" s="53">
        <f>IFERROR(tblPiNAnalysis[[#This Row],[3º PiN más alto]]/tblPiNAnalysis[[#This Row],[Población]], "")</f>
        <v>0.1436152860060981</v>
      </c>
      <c r="AN178" s="15">
        <f>IFERROR(tblPiNAnalysis[[#This Row],[PiN más alto]]-tblPiNAnalysis[[#This Row],[3º PiN más alto]],"")</f>
        <v>7429.9169350413631</v>
      </c>
      <c r="AO178" s="14">
        <f>IFERROR(tblPiNAnalysis[[#This Row],[Diferencia de PiN entre el más alto y el 3º más alto]]/tblPiNAnalysis[[#This Row],[3º PiN más alto]], "")</f>
        <v>3.1348761758149735</v>
      </c>
      <c r="AP178" s="96" t="str" cm="1">
        <f t="array" ref="AP17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78" s="84" cm="1">
        <f t="array" ref="AQ178">IFERROR(IF(tblPiNAnalysis[[#This Row],[ID]]="", "", INDEX(tblPiNHistorical[[SAMV]:[ASH]], MATCH(tblPiNAnalysis[[#This Row],[ID]],tblPiNHistorical[ID], 0),MATCH(_xlfn._xlws.FILTER(tblPiNAnalysis[[#Headers],[SAMV]:[ASH]], tblPiNAnalysis[[#This Row],[PiN más alto]]=tblPiNAnalysis[[#This Row],[SAMV]:[ASH]]), tblPiNHistorical[[#Headers],[SAMV]:[ASH]], 0))), "")</f>
        <v>3.1</v>
      </c>
      <c r="AR178" s="99" t="str" cm="1">
        <f t="array" ref="AR17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78" s="74" cm="1">
        <f t="array" ref="AS178">IFERROR(IF(tblPiNAnalysis[[#This Row],[ID]]="", "", INDEX(tblPiNHistorical[[SAMV]:[ASH]], MATCH(tblPiNAnalysis[[#This Row],[ID]],tblPiNHistorical[ID], 0),MATCH(_xlfn._xlws.FILTER(tblPiNAnalysis[[#Headers],[SAMV]:[ASH]], tblPiNAnalysis[[#This Row],[2º PiN más alto]]=tblPiNAnalysis[[#This Row],[SAMV]:[ASH]]), tblPiNHistorical[[#Headers],[SAMV]:[ASH]], 0))), "")</f>
        <v>12</v>
      </c>
      <c r="AT178" s="100" t="str" cm="1">
        <f t="array" ref="AT17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78" s="219">
        <f>INDEX(tblSeverityAnalysis[Severidad final], MATCH(tblPiNAnalysis[[#This Row],[ID]],tblSeverityAnalysis[ID], 0))</f>
        <v>3</v>
      </c>
      <c r="AV178" s="220">
        <f>IF(tblPiNAnalysis[[#This Row],[Severidad]]&gt;2,tblPiNAnalysis[[#This Row],[PiN más alto]],)</f>
        <v>9800</v>
      </c>
      <c r="AW178" s="54"/>
      <c r="AX178" s="55"/>
      <c r="AY178" s="56">
        <f>COUNTIFS(tblPiNAnalysis[[#This Row],[Número de PiN ausentes/cero superior al umbral - Calidad de los datos]:[Marcador manual]],"Flagged")</f>
        <v>4</v>
      </c>
      <c r="AZ178" s="34" t="str">
        <f>IF(tblPiNAnalysis[[#This Row],[Número de marcadores]]&gt;0, "Flagged", "")</f>
        <v>Flagged</v>
      </c>
      <c r="BA178" s="92">
        <f>tblPiNAnalysis[[#This Row],[PiN preliminar]]</f>
        <v>9800</v>
      </c>
      <c r="BB178" s="97"/>
      <c r="BC178" s="70">
        <f>IFERROR(IF(tblPiNAnalysis[[#This Row],[Severidad]]=3,tblPiNAnalysis[[#This Row],[PiN final]]*Umbrales!$D$33,tblPiNAnalysis[[#This Row],[PiN final]]*Umbrales!$D$34),)</f>
        <v>4900</v>
      </c>
      <c r="BD178" s="70">
        <f>IFERROR(IF(tblPiNAnalysis[[#This Row],[Severidad]]&gt;3,tblPiNAnalysis[[#This Row],[PiN final]]*Umbrales!$D$34,),)</f>
        <v>0</v>
      </c>
    </row>
    <row r="179" spans="1:56">
      <c r="A179" s="101" t="str">
        <f>IFERROR(_xlfn.CONCAT(IF(tblPiNAnalysis[[#This Row],[Grupo]]="", "",tblPiNAnalysis[[#This Row],[Grupo]] ),  _xlfn.IFS(tblPiNAnalysis[[#This Row],[Admin2PCODE]]&lt;&gt;"", tblPiNAnalysis[[#This Row],[Admin2PCODE]], tblPiNAnalysis[[#This Row],[Admin1PCODE]]&lt;&gt;"", tblPiNAnalysis[[#This Row],[Admin1PCODE]])),"")</f>
        <v>VenezolanosVE1907</v>
      </c>
      <c r="B179" s="105" t="s">
        <v>203</v>
      </c>
      <c r="C179" s="104" t="s">
        <v>564</v>
      </c>
      <c r="D179" s="119" t="s">
        <v>574</v>
      </c>
      <c r="E179" s="104" t="s">
        <v>575</v>
      </c>
      <c r="F179" s="358"/>
      <c r="G179" s="357">
        <v>21381</v>
      </c>
      <c r="H179" s="103" t="s">
        <v>102</v>
      </c>
      <c r="I179" s="60">
        <v>4276</v>
      </c>
      <c r="J179" s="134">
        <v>3126.436574519882</v>
      </c>
      <c r="K179" s="57">
        <v>7804.0649999999996</v>
      </c>
      <c r="L179" s="87">
        <v>340.2867341397673</v>
      </c>
      <c r="M179" s="87">
        <v>5118.2956672700366</v>
      </c>
      <c r="N179" s="57">
        <v>9621.4500000000007</v>
      </c>
      <c r="O179" s="57">
        <v>1642.972909193682</v>
      </c>
      <c r="P179" s="57">
        <v>1791.4034835445127</v>
      </c>
      <c r="Q179" s="88">
        <f>IFERROR(IF(tblPiNAnalysis[[#This Row],[SAMV]]="", "", MROUND(tblPiNAnalysis[[#This Row],[SAMV]]/tblPiNAnalysis[[#This Row],[Población]], 0.05)), "")</f>
        <v>0.2</v>
      </c>
      <c r="R179" s="89">
        <f>IFERROR(IF(tblPiNAnalysis[[#This Row],[NUT]]="", "", MROUND(tblPiNAnalysis[[#This Row],[NUT]]/tblPiNAnalysis[[#This Row],[Población]], 0.05)), "")</f>
        <v>0.15000000000000002</v>
      </c>
      <c r="S179" s="89">
        <f>IFERROR(IF(tblPiNAnalysis[[#This Row],[SAL]]="", "", MROUND(tblPiNAnalysis[[#This Row],[SAL]]/tblPiNAnalysis[[#This Row],[Población]], 0.05)), "")</f>
        <v>0.35000000000000003</v>
      </c>
      <c r="T179" s="89">
        <f>IFERROR(IF(tblPiNAnalysis[[#This Row],[EDU]]="", "", MROUND(tblPiNAnalysis[[#This Row],[EDU]]/tblPiNAnalysis[[#This Row],[Población]], 0.05)), "")</f>
        <v>0</v>
      </c>
      <c r="U179" s="89">
        <f>IFERROR(IF(tblPiNAnalysis[[#This Row],[PRO]]="", "", MROUND(tblPiNAnalysis[[#This Row],[PRO]]/tblPiNAnalysis[[#This Row],[Población]], 0.05)), "")</f>
        <v>0.25</v>
      </c>
      <c r="V179" s="90">
        <f>IFERROR(IF(tblPiNAnalysis[[#This Row],[ASH]]="", "", MROUND(tblPiNAnalysis[[#This Row],[ASH]]/tblPiNAnalysis[[#This Row],[Población]], 0.05)), "")</f>
        <v>0.45</v>
      </c>
      <c r="W179" s="89">
        <f>IFERROR(MROUND(tblPiNAnalysis[[#This Row],[NNA]]/tblPiNAnalysis[[#This Row],[Población]], 0.05), "")</f>
        <v>0.1</v>
      </c>
      <c r="X179" s="89">
        <f>IFERROR(MROUND(tblPiNAnalysis[[#This Row],[VBG]]/tblPiNAnalysis[[#This Row],[Población]], 0.05), "")</f>
        <v>0.1</v>
      </c>
      <c r="Y179" s="91">
        <f>IFERROR(LARGE(tblPiNAnalysis[[#This Row],[SAMV]:[ASH]], 1), "")</f>
        <v>9621.4500000000007</v>
      </c>
      <c r="Z179" s="92" t="str" cm="1">
        <f t="array" ref="Z179">IF(tblPiNAnalysis[[#This Row],[PiN más alto]]="", "", _xlfn.TEXTJOIN(CHAR(10), TRUE, IF(tblPiNAnalysis[[#This Row],[PiN más alto]]=tblPiNAnalysis[[#This Row],[SAMV]:[ASH]], tblPiNAnalysis[[#Headers],[SAMV]:[ASH]], "")))</f>
        <v>ASH</v>
      </c>
      <c r="AA179" s="93">
        <f>IF(tblPiNAnalysis[[#This Row],[PiN más alto]]="", "", tblPiNAnalysis[[#This Row],[PiN más alto]]/tblPiNAnalysis[[#This Row],[Población]])</f>
        <v>0.45</v>
      </c>
      <c r="AB179" s="94" t="str">
        <f>IF(SUM(tblPiNAnalysis[[#This Row],[SAMV]:[ASH]])=0, "",IF(COUNTIF(tblPiNAnalysis[[#This Row],[SAMV]:[ASH]],"=0")+COUNTIF(tblPiNAnalysis[[#This Row],[SAMV]:[ASH]],"")&gt;=zero_pin_thresh, "Flagged", ""))</f>
        <v/>
      </c>
      <c r="AC179" s="95" t="str">
        <f>IFERROR(IF(tblPiNAnalysis[[#This Row],[PiN más alto]]="", "", IF(tblPiNAnalysis[[#This Row],[% PiN Sectores más altos]]&gt;=flag_pin_perc, "Flagged", "")), "")</f>
        <v/>
      </c>
      <c r="AD179" s="96" t="str" cm="1">
        <f t="array" ref="AD179">IF(tblPiNAnalysis[[#This Row],[PiN más alto]]=0, "",  IF(OR(COUNTIF(tblPiNAnalysis[[#This Row],[Sectores más altos]],tblSubSectorPopulation[Sector])), "Flagged", ""))</f>
        <v/>
      </c>
      <c r="AE179" s="16" cm="1">
        <f t="array" ref="AE17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7804.0649999999996</v>
      </c>
      <c r="AF179" s="97" t="str" cm="1">
        <f t="array" ref="AF179">IF(tblPiNAnalysis[[#This Row],[2º PiN más alto]]="", "", _xlfn.TEXTJOIN(CHAR(10), TRUE, IF(tblPiNAnalysis[[#This Row],[2º PiN más alto]]=tblPiNAnalysis[[#This Row],[SAMV]:[ASH]], tblPiNAnalysis[[#Headers],[SAMV]:[ASH]], "")))</f>
        <v>SAL</v>
      </c>
      <c r="AG179" s="12">
        <f>IFERROR(tblPiNAnalysis[[#This Row],[2º PiN más alto]]/tblPiNAnalysis[[#This Row],[Población]], "")</f>
        <v>0.36499999999999999</v>
      </c>
      <c r="AH179" s="16">
        <f>IFERROR(tblPiNAnalysis[[#This Row],[PiN más alto]]-tblPiNAnalysis[[#This Row],[2º PiN más alto]], "")</f>
        <v>1817.3850000000011</v>
      </c>
      <c r="AI179" s="14">
        <f>IFERROR(((tblPiNAnalysis[[#This Row],[PiN más alto]]-tblPiNAnalysis[[#This Row],[2º PiN más alto]])/tblPiNAnalysis[[#This Row],[2º PiN más alto]]),"")</f>
        <v>0.23287671232876728</v>
      </c>
      <c r="AJ179" s="14" t="str" cm="1">
        <f t="array" ref="AJ17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79" s="98" cm="1">
        <f t="array" ref="AK17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5118.2956672700366</v>
      </c>
      <c r="AL179" s="53" t="str" cm="1">
        <f t="array" ref="AL179">IF(tblPiNAnalysis[[#This Row],[3º PiN más alto]]="", "", _xlfn.TEXTJOIN(CHAR(10), TRUE, IF(tblPiNAnalysis[[#This Row],[3º PiN más alto]]=tblPiNAnalysis[[#This Row],[SAMV]:[ASH]], tblPiNAnalysis[[#Headers],[SAMV]:[ASH]], "")))</f>
        <v>PRO</v>
      </c>
      <c r="AM179" s="53">
        <f>IFERROR(tblPiNAnalysis[[#This Row],[3º PiN más alto]]/tblPiNAnalysis[[#This Row],[Población]], "")</f>
        <v>0.23938523302324666</v>
      </c>
      <c r="AN179" s="15">
        <f>IFERROR(tblPiNAnalysis[[#This Row],[PiN más alto]]-tblPiNAnalysis[[#This Row],[3º PiN más alto]],"")</f>
        <v>4503.1543327299642</v>
      </c>
      <c r="AO179" s="14">
        <f>IFERROR(tblPiNAnalysis[[#This Row],[Diferencia de PiN entre el más alto y el 3º más alto]]/tblPiNAnalysis[[#This Row],[3º PiN más alto]], "")</f>
        <v>0.87981520128395152</v>
      </c>
      <c r="AP179" s="96" t="str" cm="1">
        <f t="array" ref="AP17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79" s="84" t="str" cm="1">
        <f t="array" ref="AQ179">IFERROR(IF(tblPiNAnalysis[[#This Row],[ID]]="", "", INDEX(tblPiNHistorical[[SAMV]:[ASH]], MATCH(tblPiNAnalysis[[#This Row],[ID]],tblPiNHistorical[ID], 0),MATCH(_xlfn._xlws.FILTER(tblPiNAnalysis[[#Headers],[SAMV]:[ASH]], tblPiNAnalysis[[#This Row],[PiN más alto]]=tblPiNAnalysis[[#This Row],[SAMV]:[ASH]]), tblPiNHistorical[[#Headers],[SAMV]:[ASH]], 0))), "")</f>
        <v/>
      </c>
      <c r="AR179" s="99" t="str" cm="1">
        <f t="array" ref="AR17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79" s="74" cm="1">
        <f t="array" ref="AS179">IFERROR(IF(tblPiNAnalysis[[#This Row],[ID]]="", "", INDEX(tblPiNHistorical[[SAMV]:[ASH]], MATCH(tblPiNAnalysis[[#This Row],[ID]],tblPiNHistorical[ID], 0),MATCH(_xlfn._xlws.FILTER(tblPiNAnalysis[[#Headers],[SAMV]:[ASH]], tblPiNAnalysis[[#This Row],[2º PiN más alto]]=tblPiNAnalysis[[#This Row],[SAMV]:[ASH]]), tblPiNHistorical[[#Headers],[SAMV]:[ASH]], 0))), "")</f>
        <v>8.9</v>
      </c>
      <c r="AT179" s="100" t="str" cm="1">
        <f t="array" ref="AT17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79" s="219">
        <f>INDEX(tblSeverityAnalysis[Severidad final], MATCH(tblPiNAnalysis[[#This Row],[ID]],tblSeverityAnalysis[ID], 0))</f>
        <v>3</v>
      </c>
      <c r="AV179" s="220">
        <f>IF(tblPiNAnalysis[[#This Row],[Severidad]]&gt;2,tblPiNAnalysis[[#This Row],[PiN más alto]],)</f>
        <v>9621.4500000000007</v>
      </c>
      <c r="AW179" s="54"/>
      <c r="AX179" s="55"/>
      <c r="AY179" s="56">
        <f>COUNTIFS(tblPiNAnalysis[[#This Row],[Número de PiN ausentes/cero superior al umbral - Calidad de los datos]:[Marcador manual]],"Flagged")</f>
        <v>2</v>
      </c>
      <c r="AZ179" s="34" t="str">
        <f>IF(tblPiNAnalysis[[#This Row],[Número de marcadores]]&gt;0, "Flagged", "")</f>
        <v>Flagged</v>
      </c>
      <c r="BA179" s="92">
        <f>tblPiNAnalysis[[#This Row],[PiN preliminar]]</f>
        <v>9621.4500000000007</v>
      </c>
      <c r="BB179" s="97"/>
      <c r="BC179" s="70">
        <f>IFERROR(IF(tblPiNAnalysis[[#This Row],[Severidad]]=3,tblPiNAnalysis[[#This Row],[PiN final]]*Umbrales!$D$33,tblPiNAnalysis[[#This Row],[PiN final]]*Umbrales!$D$34),)</f>
        <v>4810.7250000000004</v>
      </c>
      <c r="BD179" s="70">
        <f>IFERROR(IF(tblPiNAnalysis[[#This Row],[Severidad]]&gt;3,tblPiNAnalysis[[#This Row],[PiN final]]*Umbrales!$D$34,),)</f>
        <v>0</v>
      </c>
    </row>
    <row r="180" spans="1:56">
      <c r="A180" s="101" t="str">
        <f>IFERROR(_xlfn.CONCAT(IF(tblPiNAnalysis[[#This Row],[Grupo]]="", "",tblPiNAnalysis[[#This Row],[Grupo]] ),  _xlfn.IFS(tblPiNAnalysis[[#This Row],[Admin2PCODE]]&lt;&gt;"", tblPiNAnalysis[[#This Row],[Admin2PCODE]], tblPiNAnalysis[[#This Row],[Admin1PCODE]]&lt;&gt;"", tblPiNAnalysis[[#This Row],[Admin1PCODE]])),"")</f>
        <v>VenezolanosVE1123</v>
      </c>
      <c r="B180" s="105" t="s">
        <v>316</v>
      </c>
      <c r="C180" s="104" t="s">
        <v>317</v>
      </c>
      <c r="D180" s="119" t="s">
        <v>357</v>
      </c>
      <c r="E180" s="104" t="s">
        <v>358</v>
      </c>
      <c r="F180" s="358"/>
      <c r="G180" s="357">
        <v>16013</v>
      </c>
      <c r="H180" s="103" t="s">
        <v>102</v>
      </c>
      <c r="I180" s="60">
        <v>2669</v>
      </c>
      <c r="J180" s="134">
        <v>623.97613362068967</v>
      </c>
      <c r="K180" s="57">
        <v>8400</v>
      </c>
      <c r="L180" s="87">
        <v>526.55138078333516</v>
      </c>
      <c r="M180" s="87">
        <v>3832.3171540256176</v>
      </c>
      <c r="N180" s="57">
        <v>9607.7999999999993</v>
      </c>
      <c r="O180" s="57">
        <v>1230.1738064422234</v>
      </c>
      <c r="P180" s="57">
        <v>1341.3110039089661</v>
      </c>
      <c r="Q180" s="88">
        <f>IFERROR(IF(tblPiNAnalysis[[#This Row],[SAMV]]="", "", MROUND(tblPiNAnalysis[[#This Row],[SAMV]]/tblPiNAnalysis[[#This Row],[Población]], 0.05)), "")</f>
        <v>0.15000000000000002</v>
      </c>
      <c r="R180" s="89">
        <f>IFERROR(IF(tblPiNAnalysis[[#This Row],[NUT]]="", "", MROUND(tblPiNAnalysis[[#This Row],[NUT]]/tblPiNAnalysis[[#This Row],[Población]], 0.05)), "")</f>
        <v>0.05</v>
      </c>
      <c r="S180" s="89">
        <f>IFERROR(IF(tblPiNAnalysis[[#This Row],[SAL]]="", "", MROUND(tblPiNAnalysis[[#This Row],[SAL]]/tblPiNAnalysis[[#This Row],[Población]], 0.05)), "")</f>
        <v>0.5</v>
      </c>
      <c r="T180" s="89">
        <f>IFERROR(IF(tblPiNAnalysis[[#This Row],[EDU]]="", "", MROUND(tblPiNAnalysis[[#This Row],[EDU]]/tblPiNAnalysis[[#This Row],[Población]], 0.05)), "")</f>
        <v>0.05</v>
      </c>
      <c r="U180" s="89">
        <f>IFERROR(IF(tblPiNAnalysis[[#This Row],[PRO]]="", "", MROUND(tblPiNAnalysis[[#This Row],[PRO]]/tblPiNAnalysis[[#This Row],[Población]], 0.05)), "")</f>
        <v>0.25</v>
      </c>
      <c r="V180" s="90">
        <f>IFERROR(IF(tblPiNAnalysis[[#This Row],[ASH]]="", "", MROUND(tblPiNAnalysis[[#This Row],[ASH]]/tblPiNAnalysis[[#This Row],[Población]], 0.05)), "")</f>
        <v>0.60000000000000009</v>
      </c>
      <c r="W180" s="89">
        <f>IFERROR(MROUND(tblPiNAnalysis[[#This Row],[NNA]]/tblPiNAnalysis[[#This Row],[Población]], 0.05), "")</f>
        <v>0.1</v>
      </c>
      <c r="X180" s="89">
        <f>IFERROR(MROUND(tblPiNAnalysis[[#This Row],[VBG]]/tblPiNAnalysis[[#This Row],[Población]], 0.05), "")</f>
        <v>0.1</v>
      </c>
      <c r="Y180" s="91">
        <f>IFERROR(LARGE(tblPiNAnalysis[[#This Row],[SAMV]:[ASH]], 1), "")</f>
        <v>9607.7999999999993</v>
      </c>
      <c r="Z180" s="92" t="str" cm="1">
        <f t="array" ref="Z180">IF(tblPiNAnalysis[[#This Row],[PiN más alto]]="", "", _xlfn.TEXTJOIN(CHAR(10), TRUE, IF(tblPiNAnalysis[[#This Row],[PiN más alto]]=tblPiNAnalysis[[#This Row],[SAMV]:[ASH]], tblPiNAnalysis[[#Headers],[SAMV]:[ASH]], "")))</f>
        <v>ASH</v>
      </c>
      <c r="AA180" s="93">
        <f>IF(tblPiNAnalysis[[#This Row],[PiN más alto]]="", "", tblPiNAnalysis[[#This Row],[PiN más alto]]/tblPiNAnalysis[[#This Row],[Población]])</f>
        <v>0.6</v>
      </c>
      <c r="AB180" s="94" t="str">
        <f>IF(SUM(tblPiNAnalysis[[#This Row],[SAMV]:[ASH]])=0, "",IF(COUNTIF(tblPiNAnalysis[[#This Row],[SAMV]:[ASH]],"=0")+COUNTIF(tblPiNAnalysis[[#This Row],[SAMV]:[ASH]],"")&gt;=zero_pin_thresh, "Flagged", ""))</f>
        <v/>
      </c>
      <c r="AC180" s="95" t="str">
        <f>IFERROR(IF(tblPiNAnalysis[[#This Row],[PiN más alto]]="", "", IF(tblPiNAnalysis[[#This Row],[% PiN Sectores más altos]]&gt;=flag_pin_perc, "Flagged", "")), "")</f>
        <v/>
      </c>
      <c r="AD180" s="96" t="str" cm="1">
        <f t="array" ref="AD180">IF(tblPiNAnalysis[[#This Row],[PiN más alto]]=0, "",  IF(OR(COUNTIF(tblPiNAnalysis[[#This Row],[Sectores más altos]],tblSubSectorPopulation[Sector])), "Flagged", ""))</f>
        <v/>
      </c>
      <c r="AE180" s="16" cm="1">
        <f t="array" ref="AE18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8400</v>
      </c>
      <c r="AF180" s="97" t="str" cm="1">
        <f t="array" ref="AF180">IF(tblPiNAnalysis[[#This Row],[2º PiN más alto]]="", "", _xlfn.TEXTJOIN(CHAR(10), TRUE, IF(tblPiNAnalysis[[#This Row],[2º PiN más alto]]=tblPiNAnalysis[[#This Row],[SAMV]:[ASH]], tblPiNAnalysis[[#Headers],[SAMV]:[ASH]], "")))</f>
        <v>SAL</v>
      </c>
      <c r="AG180" s="12">
        <f>IFERROR(tblPiNAnalysis[[#This Row],[2º PiN más alto]]/tblPiNAnalysis[[#This Row],[Población]], "")</f>
        <v>0.524573783800662</v>
      </c>
      <c r="AH180" s="16">
        <f>IFERROR(tblPiNAnalysis[[#This Row],[PiN más alto]]-tblPiNAnalysis[[#This Row],[2º PiN más alto]], "")</f>
        <v>1207.7999999999993</v>
      </c>
      <c r="AI180" s="14">
        <f>IFERROR(((tblPiNAnalysis[[#This Row],[PiN más alto]]-tblPiNAnalysis[[#This Row],[2º PiN más alto]])/tblPiNAnalysis[[#This Row],[2º PiN más alto]]),"")</f>
        <v>0.14378571428571421</v>
      </c>
      <c r="AJ180" s="14" t="str" cm="1">
        <f t="array" ref="AJ18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80" s="98" cm="1">
        <f t="array" ref="AK18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3832.3171540256176</v>
      </c>
      <c r="AL180" s="53" t="str" cm="1">
        <f t="array" ref="AL180">IF(tblPiNAnalysis[[#This Row],[3º PiN más alto]]="", "", _xlfn.TEXTJOIN(CHAR(10), TRUE, IF(tblPiNAnalysis[[#This Row],[3º PiN más alto]]=tblPiNAnalysis[[#This Row],[SAMV]:[ASH]], tblPiNAnalysis[[#Headers],[SAMV]:[ASH]], "")))</f>
        <v>PRO</v>
      </c>
      <c r="AM180" s="53">
        <f>IFERROR(tblPiNAnalysis[[#This Row],[3º PiN más alto]]/tblPiNAnalysis[[#This Row],[Población]], "")</f>
        <v>0.2393253702632622</v>
      </c>
      <c r="AN180" s="15">
        <f>IFERROR(tblPiNAnalysis[[#This Row],[PiN más alto]]-tblPiNAnalysis[[#This Row],[3º PiN más alto]],"")</f>
        <v>5775.4828459743821</v>
      </c>
      <c r="AO180" s="14">
        <f>IFERROR(tblPiNAnalysis[[#This Row],[Diferencia de PiN entre el más alto y el 3º más alto]]/tblPiNAnalysis[[#This Row],[3º PiN más alto]], "")</f>
        <v>1.5070472024758146</v>
      </c>
      <c r="AP180" s="96" t="str" cm="1">
        <f t="array" ref="AP18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80" s="84" t="str" cm="1">
        <f t="array" ref="AQ180">IFERROR(IF(tblPiNAnalysis[[#This Row],[ID]]="", "", INDEX(tblPiNHistorical[[SAMV]:[ASH]], MATCH(tblPiNAnalysis[[#This Row],[ID]],tblPiNHistorical[ID], 0),MATCH(_xlfn._xlws.FILTER(tblPiNAnalysis[[#Headers],[SAMV]:[ASH]], tblPiNAnalysis[[#This Row],[PiN más alto]]=tblPiNAnalysis[[#This Row],[SAMV]:[ASH]]), tblPiNHistorical[[#Headers],[SAMV]:[ASH]], 0))), "")</f>
        <v>NoPIN26 9396</v>
      </c>
      <c r="AR180" s="99" t="str" cm="1">
        <f t="array" ref="AR18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80" s="74" cm="1">
        <f t="array" ref="AS180">IFERROR(IF(tblPiNAnalysis[[#This Row],[ID]]="", "", INDEX(tblPiNHistorical[[SAMV]:[ASH]], MATCH(tblPiNAnalysis[[#This Row],[ID]],tblPiNHistorical[ID], 0),MATCH(_xlfn._xlws.FILTER(tblPiNAnalysis[[#Headers],[SAMV]:[ASH]], tblPiNAnalysis[[#This Row],[2º PiN más alto]]=tblPiNAnalysis[[#This Row],[SAMV]:[ASH]]), tblPiNHistorical[[#Headers],[SAMV]:[ASH]], 0))), "")</f>
        <v>3.3</v>
      </c>
      <c r="AT180" s="100" t="str" cm="1">
        <f t="array" ref="AT18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80" s="219">
        <f>INDEX(tblSeverityAnalysis[Severidad final], MATCH(tblPiNAnalysis[[#This Row],[ID]],tblSeverityAnalysis[ID], 0))</f>
        <v>3</v>
      </c>
      <c r="AV180" s="220">
        <f>IF(tblPiNAnalysis[[#This Row],[Severidad]]&gt;2,tblPiNAnalysis[[#This Row],[PiN más alto]],)</f>
        <v>9607.7999999999993</v>
      </c>
      <c r="AW180" s="54"/>
      <c r="AX180" s="55"/>
      <c r="AY180" s="56">
        <f>COUNTIFS(tblPiNAnalysis[[#This Row],[Número de PiN ausentes/cero superior al umbral - Calidad de los datos]:[Marcador manual]],"Flagged")</f>
        <v>2</v>
      </c>
      <c r="AZ180" s="34" t="str">
        <f>IF(tblPiNAnalysis[[#This Row],[Número de marcadores]]&gt;0, "Flagged", "")</f>
        <v>Flagged</v>
      </c>
      <c r="BA180" s="92">
        <f>tblPiNAnalysis[[#This Row],[PiN preliminar]]</f>
        <v>9607.7999999999993</v>
      </c>
      <c r="BB180" s="97"/>
      <c r="BC180" s="70">
        <f>IFERROR(IF(tblPiNAnalysis[[#This Row],[Severidad]]=3,tblPiNAnalysis[[#This Row],[PiN final]]*Umbrales!$D$33,tblPiNAnalysis[[#This Row],[PiN final]]*Umbrales!$D$34),)</f>
        <v>4803.8999999999996</v>
      </c>
      <c r="BD180" s="70">
        <f>IFERROR(IF(tblPiNAnalysis[[#This Row],[Severidad]]&gt;3,tblPiNAnalysis[[#This Row],[PiN final]]*Umbrales!$D$34,),)</f>
        <v>0</v>
      </c>
    </row>
    <row r="181" spans="1:56">
      <c r="A181" s="101" t="str">
        <f>IFERROR(_xlfn.CONCAT(IF(tblPiNAnalysis[[#This Row],[Grupo]]="", "",tblPiNAnalysis[[#This Row],[Grupo]] ),  _xlfn.IFS(tblPiNAnalysis[[#This Row],[Admin2PCODE]]&lt;&gt;"", tblPiNAnalysis[[#This Row],[Admin2PCODE]], tblPiNAnalysis[[#This Row],[Admin1PCODE]]&lt;&gt;"", tblPiNAnalysis[[#This Row],[Admin1PCODE]])),"")</f>
        <v>VenezolanosVE2206</v>
      </c>
      <c r="B181" s="105" t="s">
        <v>678</v>
      </c>
      <c r="C181" s="104" t="s">
        <v>679</v>
      </c>
      <c r="D181" s="119" t="s">
        <v>688</v>
      </c>
      <c r="E181" s="104" t="s">
        <v>689</v>
      </c>
      <c r="F181" s="358"/>
      <c r="G181" s="357">
        <v>20113</v>
      </c>
      <c r="H181" s="103" t="s">
        <v>102</v>
      </c>
      <c r="I181" s="60">
        <v>7822</v>
      </c>
      <c r="J181" s="134">
        <v>1011.0992329205294</v>
      </c>
      <c r="K181" s="57">
        <v>9600</v>
      </c>
      <c r="L181" s="87">
        <v>1116.9085374350739</v>
      </c>
      <c r="M181" s="87">
        <v>3998.1787035680691</v>
      </c>
      <c r="N181" s="57">
        <v>0</v>
      </c>
      <c r="O181" s="57">
        <v>1279.4171851417823</v>
      </c>
      <c r="P181" s="57">
        <v>1399.3625462488242</v>
      </c>
      <c r="Q181" s="88">
        <f>IFERROR(IF(tblPiNAnalysis[[#This Row],[SAMV]]="", "", MROUND(tblPiNAnalysis[[#This Row],[SAMV]]/tblPiNAnalysis[[#This Row],[Población]], 0.05)), "")</f>
        <v>0.4</v>
      </c>
      <c r="R181" s="89">
        <f>IFERROR(IF(tblPiNAnalysis[[#This Row],[NUT]]="", "", MROUND(tblPiNAnalysis[[#This Row],[NUT]]/tblPiNAnalysis[[#This Row],[Población]], 0.05)), "")</f>
        <v>0.05</v>
      </c>
      <c r="S181" s="89">
        <f>IFERROR(IF(tblPiNAnalysis[[#This Row],[SAL]]="", "", MROUND(tblPiNAnalysis[[#This Row],[SAL]]/tblPiNAnalysis[[#This Row],[Población]], 0.05)), "")</f>
        <v>0.5</v>
      </c>
      <c r="T181" s="89">
        <f>IFERROR(IF(tblPiNAnalysis[[#This Row],[EDU]]="", "", MROUND(tblPiNAnalysis[[#This Row],[EDU]]/tblPiNAnalysis[[#This Row],[Población]], 0.05)), "")</f>
        <v>0.05</v>
      </c>
      <c r="U181" s="89">
        <f>IFERROR(IF(tblPiNAnalysis[[#This Row],[PRO]]="", "", MROUND(tblPiNAnalysis[[#This Row],[PRO]]/tblPiNAnalysis[[#This Row],[Población]], 0.05)), "")</f>
        <v>0.2</v>
      </c>
      <c r="V181" s="90">
        <f>IFERROR(IF(tblPiNAnalysis[[#This Row],[ASH]]="", "", MROUND(tblPiNAnalysis[[#This Row],[ASH]]/tblPiNAnalysis[[#This Row],[Población]], 0.05)), "")</f>
        <v>0</v>
      </c>
      <c r="W181" s="89">
        <f>IFERROR(MROUND(tblPiNAnalysis[[#This Row],[NNA]]/tblPiNAnalysis[[#This Row],[Población]], 0.05), "")</f>
        <v>0.05</v>
      </c>
      <c r="X181" s="89">
        <f>IFERROR(MROUND(tblPiNAnalysis[[#This Row],[VBG]]/tblPiNAnalysis[[#This Row],[Población]], 0.05), "")</f>
        <v>0.05</v>
      </c>
      <c r="Y181" s="91">
        <f>IFERROR(LARGE(tblPiNAnalysis[[#This Row],[SAMV]:[ASH]], 1), "")</f>
        <v>9600</v>
      </c>
      <c r="Z181" s="92" t="str" cm="1">
        <f t="array" ref="Z181">IF(tblPiNAnalysis[[#This Row],[PiN más alto]]="", "", _xlfn.TEXTJOIN(CHAR(10), TRUE, IF(tblPiNAnalysis[[#This Row],[PiN más alto]]=tblPiNAnalysis[[#This Row],[SAMV]:[ASH]], tblPiNAnalysis[[#Headers],[SAMV]:[ASH]], "")))</f>
        <v>SAL</v>
      </c>
      <c r="AA181" s="93">
        <f>IF(tblPiNAnalysis[[#This Row],[PiN más alto]]="", "", tblPiNAnalysis[[#This Row],[PiN más alto]]/tblPiNAnalysis[[#This Row],[Población]])</f>
        <v>0.47730323671257396</v>
      </c>
      <c r="AB181" s="94" t="str">
        <f>IF(SUM(tblPiNAnalysis[[#This Row],[SAMV]:[ASH]])=0, "",IF(COUNTIF(tblPiNAnalysis[[#This Row],[SAMV]:[ASH]],"=0")+COUNTIF(tblPiNAnalysis[[#This Row],[SAMV]:[ASH]],"")&gt;=zero_pin_thresh, "Flagged", ""))</f>
        <v/>
      </c>
      <c r="AC181" s="95" t="str">
        <f>IFERROR(IF(tblPiNAnalysis[[#This Row],[PiN más alto]]="", "", IF(tblPiNAnalysis[[#This Row],[% PiN Sectores más altos]]&gt;=flag_pin_perc, "Flagged", "")), "")</f>
        <v/>
      </c>
      <c r="AD181" s="96" t="str" cm="1">
        <f t="array" ref="AD181">IF(tblPiNAnalysis[[#This Row],[PiN más alto]]=0, "",  IF(OR(COUNTIF(tblPiNAnalysis[[#This Row],[Sectores más altos]],tblSubSectorPopulation[Sector])), "Flagged", ""))</f>
        <v/>
      </c>
      <c r="AE181" s="16" cm="1">
        <f t="array" ref="AE18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7822</v>
      </c>
      <c r="AF181" s="97" t="str" cm="1">
        <f t="array" ref="AF181">IF(tblPiNAnalysis[[#This Row],[2º PiN más alto]]="", "", _xlfn.TEXTJOIN(CHAR(10), TRUE, IF(tblPiNAnalysis[[#This Row],[2º PiN más alto]]=tblPiNAnalysis[[#This Row],[SAMV]:[ASH]], tblPiNAnalysis[[#Headers],[SAMV]:[ASH]], "")))</f>
        <v>SAMV</v>
      </c>
      <c r="AG181" s="12">
        <f>IFERROR(tblPiNAnalysis[[#This Row],[2º PiN más alto]]/tblPiNAnalysis[[#This Row],[Población]], "")</f>
        <v>0.38890269974643266</v>
      </c>
      <c r="AH181" s="16">
        <f>IFERROR(tblPiNAnalysis[[#This Row],[PiN más alto]]-tblPiNAnalysis[[#This Row],[2º PiN más alto]], "")</f>
        <v>1778</v>
      </c>
      <c r="AI181" s="14">
        <f>IFERROR(((tblPiNAnalysis[[#This Row],[PiN más alto]]-tblPiNAnalysis[[#This Row],[2º PiN más alto]])/tblPiNAnalysis[[#This Row],[2º PiN más alto]]),"")</f>
        <v>0.22730759396573766</v>
      </c>
      <c r="AJ181" s="14" t="str" cm="1">
        <f t="array" ref="AJ18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81" s="98" cm="1">
        <f t="array" ref="AK18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3998.1787035680691</v>
      </c>
      <c r="AL181" s="53" t="str" cm="1">
        <f t="array" ref="AL181">IF(tblPiNAnalysis[[#This Row],[3º PiN más alto]]="", "", _xlfn.TEXTJOIN(CHAR(10), TRUE, IF(tblPiNAnalysis[[#This Row],[3º PiN más alto]]=tblPiNAnalysis[[#This Row],[SAMV]:[ASH]], tblPiNAnalysis[[#Headers],[SAMV]:[ASH]], "")))</f>
        <v>PRO</v>
      </c>
      <c r="AM181" s="53">
        <f>IFERROR(tblPiNAnalysis[[#This Row],[3º PiN más alto]]/tblPiNAnalysis[[#This Row],[Población]], "")</f>
        <v>0.19878579543420022</v>
      </c>
      <c r="AN181" s="15">
        <f>IFERROR(tblPiNAnalysis[[#This Row],[PiN más alto]]-tblPiNAnalysis[[#This Row],[3º PiN más alto]],"")</f>
        <v>5601.8212964319309</v>
      </c>
      <c r="AO181" s="14">
        <f>IFERROR(tblPiNAnalysis[[#This Row],[Diferencia de PiN entre el más alto y el 3º más alto]]/tblPiNAnalysis[[#This Row],[3º PiN más alto]], "")</f>
        <v>1.4010932756539205</v>
      </c>
      <c r="AP181" s="96" t="str" cm="1">
        <f t="array" ref="AP18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81" s="84" cm="1">
        <f t="array" ref="AQ181">IFERROR(IF(tblPiNAnalysis[[#This Row],[ID]]="", "", INDEX(tblPiNHistorical[[SAMV]:[ASH]], MATCH(tblPiNAnalysis[[#This Row],[ID]],tblPiNHistorical[ID], 0),MATCH(_xlfn._xlws.FILTER(tblPiNAnalysis[[#Headers],[SAMV]:[ASH]], tblPiNAnalysis[[#This Row],[PiN más alto]]=tblPiNAnalysis[[#This Row],[SAMV]:[ASH]]), tblPiNHistorical[[#Headers],[SAMV]:[ASH]], 0))), "")</f>
        <v>1.4</v>
      </c>
      <c r="AR181" s="99" t="str" cm="1">
        <f t="array" ref="AR18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81" s="74" cm="1">
        <f t="array" ref="AS181">IFERROR(IF(tblPiNAnalysis[[#This Row],[ID]]="", "", INDEX(tblPiNHistorical[[SAMV]:[ASH]], MATCH(tblPiNAnalysis[[#This Row],[ID]],tblPiNHistorical[ID], 0),MATCH(_xlfn._xlws.FILTER(tblPiNAnalysis[[#Headers],[SAMV]:[ASH]], tblPiNAnalysis[[#This Row],[2º PiN más alto]]=tblPiNAnalysis[[#This Row],[SAMV]:[ASH]]), tblPiNHistorical[[#Headers],[SAMV]:[ASH]], 0))), "")</f>
        <v>-0.7</v>
      </c>
      <c r="AT181" s="100" t="str" cm="1">
        <f t="array" ref="AT18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81" s="219">
        <f>INDEX(tblSeverityAnalysis[Severidad final], MATCH(tblPiNAnalysis[[#This Row],[ID]],tblSeverityAnalysis[ID], 0))</f>
        <v>3</v>
      </c>
      <c r="AV181" s="220">
        <f>IF(tblPiNAnalysis[[#This Row],[Severidad]]&gt;2,tblPiNAnalysis[[#This Row],[PiN más alto]],)</f>
        <v>9600</v>
      </c>
      <c r="AW181" s="54"/>
      <c r="AX181" s="55"/>
      <c r="AY181" s="56">
        <f>COUNTIFS(tblPiNAnalysis[[#This Row],[Número de PiN ausentes/cero superior al umbral - Calidad de los datos]:[Marcador manual]],"Flagged")</f>
        <v>2</v>
      </c>
      <c r="AZ181" s="34" t="str">
        <f>IF(tblPiNAnalysis[[#This Row],[Número de marcadores]]&gt;0, "Flagged", "")</f>
        <v>Flagged</v>
      </c>
      <c r="BA181" s="92">
        <f>tblPiNAnalysis[[#This Row],[PiN preliminar]]</f>
        <v>9600</v>
      </c>
      <c r="BB181" s="97"/>
      <c r="BC181" s="70">
        <f>IFERROR(IF(tblPiNAnalysis[[#This Row],[Severidad]]=3,tblPiNAnalysis[[#This Row],[PiN final]]*Umbrales!$D$33,tblPiNAnalysis[[#This Row],[PiN final]]*Umbrales!$D$34),)</f>
        <v>4800</v>
      </c>
      <c r="BD181" s="70">
        <f>IFERROR(IF(tblPiNAnalysis[[#This Row],[Severidad]]&gt;3,tblPiNAnalysis[[#This Row],[PiN final]]*Umbrales!$D$34,),)</f>
        <v>0</v>
      </c>
    </row>
    <row r="182" spans="1:56">
      <c r="A182" s="101" t="str">
        <f>IFERROR(_xlfn.CONCAT(IF(tblPiNAnalysis[[#This Row],[Grupo]]="", "",tblPiNAnalysis[[#This Row],[Grupo]] ),  _xlfn.IFS(tblPiNAnalysis[[#This Row],[Admin2PCODE]]&lt;&gt;"", tblPiNAnalysis[[#This Row],[Admin2PCODE]], tblPiNAnalysis[[#This Row],[Admin1PCODE]]&lt;&gt;"", tblPiNAnalysis[[#This Row],[Admin1PCODE]])),"")</f>
        <v>VenezolanosVE1901</v>
      </c>
      <c r="B182" s="105" t="s">
        <v>203</v>
      </c>
      <c r="C182" s="104" t="s">
        <v>564</v>
      </c>
      <c r="D182" s="119" t="s">
        <v>237</v>
      </c>
      <c r="E182" s="104" t="s">
        <v>565</v>
      </c>
      <c r="F182" s="358"/>
      <c r="G182" s="357">
        <v>26228</v>
      </c>
      <c r="H182" s="103" t="s">
        <v>102</v>
      </c>
      <c r="I182" s="60">
        <v>3995</v>
      </c>
      <c r="J182" s="134">
        <v>1256.7226782629036</v>
      </c>
      <c r="K182" s="57">
        <v>9573.2199999999993</v>
      </c>
      <c r="L182" s="87">
        <v>1499.9332107983814</v>
      </c>
      <c r="M182" s="87">
        <v>5232.1632431114303</v>
      </c>
      <c r="N182" s="57">
        <v>3540.78</v>
      </c>
      <c r="O182" s="57">
        <v>1674.2922377956579</v>
      </c>
      <c r="P182" s="57">
        <v>1831.2571350890003</v>
      </c>
      <c r="Q182" s="88">
        <f>IFERROR(IF(tblPiNAnalysis[[#This Row],[SAMV]]="", "", MROUND(tblPiNAnalysis[[#This Row],[SAMV]]/tblPiNAnalysis[[#This Row],[Población]], 0.05)), "")</f>
        <v>0.15000000000000002</v>
      </c>
      <c r="R182" s="89">
        <f>IFERROR(IF(tblPiNAnalysis[[#This Row],[NUT]]="", "", MROUND(tblPiNAnalysis[[#This Row],[NUT]]/tblPiNAnalysis[[#This Row],[Población]], 0.05)), "")</f>
        <v>0.05</v>
      </c>
      <c r="S182" s="89">
        <f>IFERROR(IF(tblPiNAnalysis[[#This Row],[SAL]]="", "", MROUND(tblPiNAnalysis[[#This Row],[SAL]]/tblPiNAnalysis[[#This Row],[Población]], 0.05)), "")</f>
        <v>0.35000000000000003</v>
      </c>
      <c r="T182" s="89">
        <f>IFERROR(IF(tblPiNAnalysis[[#This Row],[EDU]]="", "", MROUND(tblPiNAnalysis[[#This Row],[EDU]]/tblPiNAnalysis[[#This Row],[Población]], 0.05)), "")</f>
        <v>0.05</v>
      </c>
      <c r="U182" s="89">
        <f>IFERROR(IF(tblPiNAnalysis[[#This Row],[PRO]]="", "", MROUND(tblPiNAnalysis[[#This Row],[PRO]]/tblPiNAnalysis[[#This Row],[Población]], 0.05)), "")</f>
        <v>0.2</v>
      </c>
      <c r="V182" s="90">
        <f>IFERROR(IF(tblPiNAnalysis[[#This Row],[ASH]]="", "", MROUND(tblPiNAnalysis[[#This Row],[ASH]]/tblPiNAnalysis[[#This Row],[Población]], 0.05)), "")</f>
        <v>0.15000000000000002</v>
      </c>
      <c r="W182" s="89">
        <f>IFERROR(MROUND(tblPiNAnalysis[[#This Row],[NNA]]/tblPiNAnalysis[[#This Row],[Población]], 0.05), "")</f>
        <v>0.05</v>
      </c>
      <c r="X182" s="89">
        <f>IFERROR(MROUND(tblPiNAnalysis[[#This Row],[VBG]]/tblPiNAnalysis[[#This Row],[Población]], 0.05), "")</f>
        <v>0.05</v>
      </c>
      <c r="Y182" s="91">
        <f>IFERROR(LARGE(tblPiNAnalysis[[#This Row],[SAMV]:[ASH]], 1), "")</f>
        <v>9573.2199999999993</v>
      </c>
      <c r="Z182" s="92" t="str" cm="1">
        <f t="array" ref="Z182">IF(tblPiNAnalysis[[#This Row],[PiN más alto]]="", "", _xlfn.TEXTJOIN(CHAR(10), TRUE, IF(tblPiNAnalysis[[#This Row],[PiN más alto]]=tblPiNAnalysis[[#This Row],[SAMV]:[ASH]], tblPiNAnalysis[[#Headers],[SAMV]:[ASH]], "")))</f>
        <v>SAL</v>
      </c>
      <c r="AA182" s="93">
        <f>IF(tblPiNAnalysis[[#This Row],[PiN más alto]]="", "", tblPiNAnalysis[[#This Row],[PiN más alto]]/tblPiNAnalysis[[#This Row],[Población]])</f>
        <v>0.36499999999999999</v>
      </c>
      <c r="AB182" s="94" t="str">
        <f>IF(SUM(tblPiNAnalysis[[#This Row],[SAMV]:[ASH]])=0, "",IF(COUNTIF(tblPiNAnalysis[[#This Row],[SAMV]:[ASH]],"=0")+COUNTIF(tblPiNAnalysis[[#This Row],[SAMV]:[ASH]],"")&gt;=zero_pin_thresh, "Flagged", ""))</f>
        <v/>
      </c>
      <c r="AC182" s="95" t="str">
        <f>IFERROR(IF(tblPiNAnalysis[[#This Row],[PiN más alto]]="", "", IF(tblPiNAnalysis[[#This Row],[% PiN Sectores más altos]]&gt;=flag_pin_perc, "Flagged", "")), "")</f>
        <v/>
      </c>
      <c r="AD182" s="96" t="str" cm="1">
        <f t="array" ref="AD182">IF(tblPiNAnalysis[[#This Row],[PiN más alto]]=0, "",  IF(OR(COUNTIF(tblPiNAnalysis[[#This Row],[Sectores más altos]],tblSubSectorPopulation[Sector])), "Flagged", ""))</f>
        <v/>
      </c>
      <c r="AE182" s="16" cm="1">
        <f t="array" ref="AE18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5232.1632431114303</v>
      </c>
      <c r="AF182" s="97" t="str" cm="1">
        <f t="array" ref="AF182">IF(tblPiNAnalysis[[#This Row],[2º PiN más alto]]="", "", _xlfn.TEXTJOIN(CHAR(10), TRUE, IF(tblPiNAnalysis[[#This Row],[2º PiN más alto]]=tblPiNAnalysis[[#This Row],[SAMV]:[ASH]], tblPiNAnalysis[[#Headers],[SAMV]:[ASH]], "")))</f>
        <v>PRO</v>
      </c>
      <c r="AG182" s="12">
        <f>IFERROR(tblPiNAnalysis[[#This Row],[2º PiN más alto]]/tblPiNAnalysis[[#This Row],[Población]], "")</f>
        <v>0.19948769418603898</v>
      </c>
      <c r="AH182" s="16">
        <f>IFERROR(tblPiNAnalysis[[#This Row],[PiN más alto]]-tblPiNAnalysis[[#This Row],[2º PiN más alto]], "")</f>
        <v>4341.056756888569</v>
      </c>
      <c r="AI182" s="14">
        <f>IFERROR(((tblPiNAnalysis[[#This Row],[PiN más alto]]-tblPiNAnalysis[[#This Row],[2º PiN más alto]])/tblPiNAnalysis[[#This Row],[2º PiN más alto]]),"")</f>
        <v>0.82968679591637828</v>
      </c>
      <c r="AJ182" s="14" t="str" cm="1">
        <f t="array" ref="AJ18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82" s="98" cm="1">
        <f t="array" ref="AK18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3995</v>
      </c>
      <c r="AL182" s="53" t="str" cm="1">
        <f t="array" ref="AL182">IF(tblPiNAnalysis[[#This Row],[3º PiN más alto]]="", "", _xlfn.TEXTJOIN(CHAR(10), TRUE, IF(tblPiNAnalysis[[#This Row],[3º PiN más alto]]=tblPiNAnalysis[[#This Row],[SAMV]:[ASH]], tblPiNAnalysis[[#Headers],[SAMV]:[ASH]], "")))</f>
        <v>SAMV</v>
      </c>
      <c r="AM182" s="53">
        <f>IFERROR(tblPiNAnalysis[[#This Row],[3º PiN más alto]]/tblPiNAnalysis[[#This Row],[Población]], "")</f>
        <v>0.15231813329266433</v>
      </c>
      <c r="AN182" s="15">
        <f>IFERROR(tblPiNAnalysis[[#This Row],[PiN más alto]]-tblPiNAnalysis[[#This Row],[3º PiN más alto]],"")</f>
        <v>5578.2199999999993</v>
      </c>
      <c r="AO182" s="14">
        <f>IFERROR(tblPiNAnalysis[[#This Row],[Diferencia de PiN entre el más alto y el 3º más alto]]/tblPiNAnalysis[[#This Row],[3º PiN más alto]], "")</f>
        <v>1.3963003754693366</v>
      </c>
      <c r="AP182" s="96" t="str" cm="1">
        <f t="array" ref="AP18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82" s="84" cm="1">
        <f t="array" ref="AQ182">IFERROR(IF(tblPiNAnalysis[[#This Row],[ID]]="", "", INDEX(tblPiNHistorical[[SAMV]:[ASH]], MATCH(tblPiNAnalysis[[#This Row],[ID]],tblPiNHistorical[ID], 0),MATCH(_xlfn._xlws.FILTER(tblPiNAnalysis[[#Headers],[SAMV]:[ASH]], tblPiNAnalysis[[#This Row],[PiN más alto]]=tblPiNAnalysis[[#This Row],[SAMV]:[ASH]]), tblPiNHistorical[[#Headers],[SAMV]:[ASH]], 0))), "")</f>
        <v>7</v>
      </c>
      <c r="AR182" s="99" t="str" cm="1">
        <f t="array" ref="AR18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82" s="74" cm="1">
        <f t="array" ref="AS182">IFERROR(IF(tblPiNAnalysis[[#This Row],[ID]]="", "", INDEX(tblPiNHistorical[[SAMV]:[ASH]], MATCH(tblPiNAnalysis[[#This Row],[ID]],tblPiNHistorical[ID], 0),MATCH(_xlfn._xlws.FILTER(tblPiNAnalysis[[#Headers],[SAMV]:[ASH]], tblPiNAnalysis[[#This Row],[2º PiN más alto]]=tblPiNAnalysis[[#This Row],[SAMV]:[ASH]]), tblPiNHistorical[[#Headers],[SAMV]:[ASH]], 0))), "")</f>
        <v>1.8</v>
      </c>
      <c r="AT182" s="100" t="str" cm="1">
        <f t="array" ref="AT18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82" s="219">
        <f>INDEX(tblSeverityAnalysis[Severidad final], MATCH(tblPiNAnalysis[[#This Row],[ID]],tblSeverityAnalysis[ID], 0))</f>
        <v>3</v>
      </c>
      <c r="AV182" s="220">
        <f>IF(tblPiNAnalysis[[#This Row],[Severidad]]&gt;2,tblPiNAnalysis[[#This Row],[PiN más alto]],)</f>
        <v>9573.2199999999993</v>
      </c>
      <c r="AW182" s="54"/>
      <c r="AX182" s="55"/>
      <c r="AY182" s="56">
        <f>COUNTIFS(tblPiNAnalysis[[#This Row],[Número de PiN ausentes/cero superior al umbral - Calidad de los datos]:[Marcador manual]],"Flagged")</f>
        <v>4</v>
      </c>
      <c r="AZ182" s="34" t="str">
        <f>IF(tblPiNAnalysis[[#This Row],[Número de marcadores]]&gt;0, "Flagged", "")</f>
        <v>Flagged</v>
      </c>
      <c r="BA182" s="92">
        <f>tblPiNAnalysis[[#This Row],[PiN preliminar]]</f>
        <v>9573.2199999999993</v>
      </c>
      <c r="BB182" s="97"/>
      <c r="BC182" s="70">
        <f>IFERROR(IF(tblPiNAnalysis[[#This Row],[Severidad]]=3,tblPiNAnalysis[[#This Row],[PiN final]]*Umbrales!$D$33,tblPiNAnalysis[[#This Row],[PiN final]]*Umbrales!$D$34),)</f>
        <v>4786.6099999999997</v>
      </c>
      <c r="BD182" s="70">
        <f>IFERROR(IF(tblPiNAnalysis[[#This Row],[Severidad]]&gt;3,tblPiNAnalysis[[#This Row],[PiN final]]*Umbrales!$D$34,),)</f>
        <v>0</v>
      </c>
    </row>
    <row r="183" spans="1:56">
      <c r="A183" s="101" t="str">
        <f>IFERROR(_xlfn.CONCAT(IF(tblPiNAnalysis[[#This Row],[Grupo]]="", "",tblPiNAnalysis[[#This Row],[Grupo]] ),  _xlfn.IFS(tblPiNAnalysis[[#This Row],[Admin2PCODE]]&lt;&gt;"", tblPiNAnalysis[[#This Row],[Admin2PCODE]], tblPiNAnalysis[[#This Row],[Admin1PCODE]]&lt;&gt;"", tblPiNAnalysis[[#This Row],[Admin1PCODE]])),"")</f>
        <v>VenezolanosVE1806</v>
      </c>
      <c r="B183" s="105" t="s">
        <v>536</v>
      </c>
      <c r="C183" s="104" t="s">
        <v>537</v>
      </c>
      <c r="D183" s="119" t="s">
        <v>819</v>
      </c>
      <c r="E183" s="104" t="s">
        <v>549</v>
      </c>
      <c r="F183" s="358"/>
      <c r="G183" s="357">
        <v>24287</v>
      </c>
      <c r="H183" s="103" t="s">
        <v>102</v>
      </c>
      <c r="I183" s="60">
        <v>9445</v>
      </c>
      <c r="J183" s="134">
        <v>1096.4043039980627</v>
      </c>
      <c r="K183" s="57">
        <v>8864.7549999999992</v>
      </c>
      <c r="L183" s="87">
        <v>4128.5936195182403</v>
      </c>
      <c r="M183" s="87">
        <v>3840.3959148130007</v>
      </c>
      <c r="N183" s="57">
        <v>0</v>
      </c>
      <c r="O183" s="57">
        <v>1228.9266927401602</v>
      </c>
      <c r="P183" s="57">
        <v>1344.1385701845502</v>
      </c>
      <c r="Q183" s="88">
        <f>IFERROR(IF(tblPiNAnalysis[[#This Row],[SAMV]]="", "", MROUND(tblPiNAnalysis[[#This Row],[SAMV]]/tblPiNAnalysis[[#This Row],[Población]], 0.05)), "")</f>
        <v>0.4</v>
      </c>
      <c r="R183" s="89">
        <f>IFERROR(IF(tblPiNAnalysis[[#This Row],[NUT]]="", "", MROUND(tblPiNAnalysis[[#This Row],[NUT]]/tblPiNAnalysis[[#This Row],[Población]], 0.05)), "")</f>
        <v>0.05</v>
      </c>
      <c r="S183" s="89">
        <f>IFERROR(IF(tblPiNAnalysis[[#This Row],[SAL]]="", "", MROUND(tblPiNAnalysis[[#This Row],[SAL]]/tblPiNAnalysis[[#This Row],[Población]], 0.05)), "")</f>
        <v>0.35000000000000003</v>
      </c>
      <c r="T183" s="89">
        <f>IFERROR(IF(tblPiNAnalysis[[#This Row],[EDU]]="", "", MROUND(tblPiNAnalysis[[#This Row],[EDU]]/tblPiNAnalysis[[#This Row],[Población]], 0.05)), "")</f>
        <v>0.15000000000000002</v>
      </c>
      <c r="U183" s="89">
        <f>IFERROR(IF(tblPiNAnalysis[[#This Row],[PRO]]="", "", MROUND(tblPiNAnalysis[[#This Row],[PRO]]/tblPiNAnalysis[[#This Row],[Población]], 0.05)), "")</f>
        <v>0.15000000000000002</v>
      </c>
      <c r="V183" s="90">
        <f>IFERROR(IF(tblPiNAnalysis[[#This Row],[ASH]]="", "", MROUND(tblPiNAnalysis[[#This Row],[ASH]]/tblPiNAnalysis[[#This Row],[Población]], 0.05)), "")</f>
        <v>0</v>
      </c>
      <c r="W183" s="89">
        <f>IFERROR(MROUND(tblPiNAnalysis[[#This Row],[NNA]]/tblPiNAnalysis[[#This Row],[Población]], 0.05), "")</f>
        <v>0.05</v>
      </c>
      <c r="X183" s="89">
        <f>IFERROR(MROUND(tblPiNAnalysis[[#This Row],[VBG]]/tblPiNAnalysis[[#This Row],[Población]], 0.05), "")</f>
        <v>0.05</v>
      </c>
      <c r="Y183" s="91">
        <f>IFERROR(LARGE(tblPiNAnalysis[[#This Row],[SAMV]:[ASH]], 1), "")</f>
        <v>9445</v>
      </c>
      <c r="Z183" s="92" t="str" cm="1">
        <f t="array" ref="Z183">IF(tblPiNAnalysis[[#This Row],[PiN más alto]]="", "", _xlfn.TEXTJOIN(CHAR(10), TRUE, IF(tblPiNAnalysis[[#This Row],[PiN más alto]]=tblPiNAnalysis[[#This Row],[SAMV]:[ASH]], tblPiNAnalysis[[#Headers],[SAMV]:[ASH]], "")))</f>
        <v>SAMV</v>
      </c>
      <c r="AA183" s="93">
        <f>IF(tblPiNAnalysis[[#This Row],[PiN más alto]]="", "", tblPiNAnalysis[[#This Row],[PiN más alto]]/tblPiNAnalysis[[#This Row],[Población]])</f>
        <v>0.38889117634948739</v>
      </c>
      <c r="AB183" s="94" t="str">
        <f>IF(SUM(tblPiNAnalysis[[#This Row],[SAMV]:[ASH]])=0, "",IF(COUNTIF(tblPiNAnalysis[[#This Row],[SAMV]:[ASH]],"=0")+COUNTIF(tblPiNAnalysis[[#This Row],[SAMV]:[ASH]],"")&gt;=zero_pin_thresh, "Flagged", ""))</f>
        <v/>
      </c>
      <c r="AC183" s="95" t="str">
        <f>IFERROR(IF(tblPiNAnalysis[[#This Row],[PiN más alto]]="", "", IF(tblPiNAnalysis[[#This Row],[% PiN Sectores más altos]]&gt;=flag_pin_perc, "Flagged", "")), "")</f>
        <v/>
      </c>
      <c r="AD183" s="96" t="str" cm="1">
        <f t="array" ref="AD183">IF(tblPiNAnalysis[[#This Row],[PiN más alto]]=0, "",  IF(OR(COUNTIF(tblPiNAnalysis[[#This Row],[Sectores más altos]],tblSubSectorPopulation[Sector])), "Flagged", ""))</f>
        <v/>
      </c>
      <c r="AE183" s="16" cm="1">
        <f t="array" ref="AE18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8864.7549999999992</v>
      </c>
      <c r="AF183" s="97" t="str" cm="1">
        <f t="array" ref="AF183">IF(tblPiNAnalysis[[#This Row],[2º PiN más alto]]="", "", _xlfn.TEXTJOIN(CHAR(10), TRUE, IF(tblPiNAnalysis[[#This Row],[2º PiN más alto]]=tblPiNAnalysis[[#This Row],[SAMV]:[ASH]], tblPiNAnalysis[[#Headers],[SAMV]:[ASH]], "")))</f>
        <v>SAL</v>
      </c>
      <c r="AG183" s="12">
        <f>IFERROR(tblPiNAnalysis[[#This Row],[2º PiN más alto]]/tblPiNAnalysis[[#This Row],[Población]], "")</f>
        <v>0.36499999999999999</v>
      </c>
      <c r="AH183" s="16">
        <f>IFERROR(tblPiNAnalysis[[#This Row],[PiN más alto]]-tblPiNAnalysis[[#This Row],[2º PiN más alto]], "")</f>
        <v>580.2450000000008</v>
      </c>
      <c r="AI183" s="14">
        <f>IFERROR(((tblPiNAnalysis[[#This Row],[PiN más alto]]-tblPiNAnalysis[[#This Row],[2º PiN más alto]])/tblPiNAnalysis[[#This Row],[2º PiN más alto]]),"")</f>
        <v>6.5455277669828532E-2</v>
      </c>
      <c r="AJ183" s="14" t="str" cm="1">
        <f t="array" ref="AJ18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83" s="98" cm="1">
        <f t="array" ref="AK18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4128.5936195182403</v>
      </c>
      <c r="AL183" s="53" t="str" cm="1">
        <f t="array" ref="AL183">IF(tblPiNAnalysis[[#This Row],[3º PiN más alto]]="", "", _xlfn.TEXTJOIN(CHAR(10), TRUE, IF(tblPiNAnalysis[[#This Row],[3º PiN más alto]]=tblPiNAnalysis[[#This Row],[SAMV]:[ASH]], tblPiNAnalysis[[#Headers],[SAMV]:[ASH]], "")))</f>
        <v>EDU</v>
      </c>
      <c r="AM183" s="53">
        <f>IFERROR(tblPiNAnalysis[[#This Row],[3º PiN más alto]]/tblPiNAnalysis[[#This Row],[Población]], "")</f>
        <v>0.1699919141729419</v>
      </c>
      <c r="AN183" s="15">
        <f>IFERROR(tblPiNAnalysis[[#This Row],[PiN más alto]]-tblPiNAnalysis[[#This Row],[3º PiN más alto]],"")</f>
        <v>5316.4063804817597</v>
      </c>
      <c r="AO183" s="14">
        <f>IFERROR(tblPiNAnalysis[[#This Row],[Diferencia de PiN entre el más alto y el 3º más alto]]/tblPiNAnalysis[[#This Row],[3º PiN más alto]], "")</f>
        <v>1.2877039666360099</v>
      </c>
      <c r="AP183" s="96" t="str" cm="1">
        <f t="array" ref="AP18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83" s="84" cm="1">
        <f t="array" ref="AQ183">IFERROR(IF(tblPiNAnalysis[[#This Row],[ID]]="", "", INDEX(tblPiNHistorical[[SAMV]:[ASH]], MATCH(tblPiNAnalysis[[#This Row],[ID]],tblPiNHistorical[ID], 0),MATCH(_xlfn._xlws.FILTER(tblPiNAnalysis[[#Headers],[SAMV]:[ASH]], tblPiNAnalysis[[#This Row],[PiN más alto]]=tblPiNAnalysis[[#This Row],[SAMV]:[ASH]]), tblPiNHistorical[[#Headers],[SAMV]:[ASH]], 0))), "")</f>
        <v>-0.6</v>
      </c>
      <c r="AR183" s="99" t="str" cm="1">
        <f t="array" ref="AR18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83" s="74" cm="1">
        <f t="array" ref="AS183">IFERROR(IF(tblPiNAnalysis[[#This Row],[ID]]="", "", INDEX(tblPiNHistorical[[SAMV]:[ASH]], MATCH(tblPiNAnalysis[[#This Row],[ID]],tblPiNHistorical[ID], 0),MATCH(_xlfn._xlws.FILTER(tblPiNAnalysis[[#Headers],[SAMV]:[ASH]], tblPiNAnalysis[[#This Row],[2º PiN más alto]]=tblPiNAnalysis[[#This Row],[SAMV]:[ASH]]), tblPiNHistorical[[#Headers],[SAMV]:[ASH]], 0))), "")</f>
        <v>-0.5</v>
      </c>
      <c r="AT183" s="100" t="str" cm="1">
        <f t="array" ref="AT18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83" s="219">
        <f>INDEX(tblSeverityAnalysis[Severidad final], MATCH(tblPiNAnalysis[[#This Row],[ID]],tblSeverityAnalysis[ID], 0))</f>
        <v>3</v>
      </c>
      <c r="AV183" s="220">
        <f>IF(tblPiNAnalysis[[#This Row],[Severidad]]&gt;2,tblPiNAnalysis[[#This Row],[PiN más alto]],)</f>
        <v>9445</v>
      </c>
      <c r="AW183" s="54"/>
      <c r="AX183" s="55"/>
      <c r="AY183" s="56">
        <f>COUNTIFS(tblPiNAnalysis[[#This Row],[Número de PiN ausentes/cero superior al umbral - Calidad de los datos]:[Marcador manual]],"Flagged")</f>
        <v>1</v>
      </c>
      <c r="AZ183" s="34" t="str">
        <f>IF(tblPiNAnalysis[[#This Row],[Número de marcadores]]&gt;0, "Flagged", "")</f>
        <v>Flagged</v>
      </c>
      <c r="BA183" s="92">
        <f>tblPiNAnalysis[[#This Row],[PiN preliminar]]</f>
        <v>9445</v>
      </c>
      <c r="BB183" s="97"/>
      <c r="BC183" s="70">
        <f>IFERROR(IF(tblPiNAnalysis[[#This Row],[Severidad]]=3,tblPiNAnalysis[[#This Row],[PiN final]]*Umbrales!$D$33,tblPiNAnalysis[[#This Row],[PiN final]]*Umbrales!$D$34),)</f>
        <v>4722.5</v>
      </c>
      <c r="BD183" s="70">
        <f>IFERROR(IF(tblPiNAnalysis[[#This Row],[Severidad]]&gt;3,tblPiNAnalysis[[#This Row],[PiN final]]*Umbrales!$D$34,),)</f>
        <v>0</v>
      </c>
    </row>
    <row r="184" spans="1:56">
      <c r="A184" s="101" t="str">
        <f>IFERROR(_xlfn.CONCAT(IF(tblPiNAnalysis[[#This Row],[Grupo]]="", "",tblPiNAnalysis[[#This Row],[Grupo]] ),  _xlfn.IFS(tblPiNAnalysis[[#This Row],[Admin2PCODE]]&lt;&gt;"", tblPiNAnalysis[[#This Row],[Admin2PCODE]], tblPiNAnalysis[[#This Row],[Admin1PCODE]]&lt;&gt;"", tblPiNAnalysis[[#This Row],[Admin1PCODE]])),"")</f>
        <v>VenezolanosVE0201</v>
      </c>
      <c r="B184" s="101" t="s">
        <v>103</v>
      </c>
      <c r="C184" s="104" t="s">
        <v>104</v>
      </c>
      <c r="D184" s="129" t="s">
        <v>105</v>
      </c>
      <c r="E184" s="130" t="s">
        <v>106</v>
      </c>
      <c r="F184" s="356"/>
      <c r="G184" s="357">
        <v>12973</v>
      </c>
      <c r="H184" s="103" t="s">
        <v>102</v>
      </c>
      <c r="I184" s="60">
        <v>3964</v>
      </c>
      <c r="J184" s="134">
        <v>982.13525880133534</v>
      </c>
      <c r="K184" s="57">
        <v>9100</v>
      </c>
      <c r="L184" s="57">
        <v>1347.7145588794669</v>
      </c>
      <c r="M184" s="57">
        <v>2586.5263587700383</v>
      </c>
      <c r="N184" s="57">
        <v>7783.7999999999993</v>
      </c>
      <c r="O184" s="57">
        <v>827.68843480641226</v>
      </c>
      <c r="P184" s="57">
        <v>905.28422556951341</v>
      </c>
      <c r="Q184" s="61">
        <f>IFERROR(IF(tblPiNAnalysis[[#This Row],[SAMV]]="", "", MROUND(tblPiNAnalysis[[#This Row],[SAMV]]/tblPiNAnalysis[[#This Row],[Población]], 0.05)), "")</f>
        <v>0.30000000000000004</v>
      </c>
      <c r="R184" s="62">
        <f>IFERROR(IF(tblPiNAnalysis[[#This Row],[NUT]]="", "", MROUND(tblPiNAnalysis[[#This Row],[NUT]]/tblPiNAnalysis[[#This Row],[Población]], 0.05)), "")</f>
        <v>0.1</v>
      </c>
      <c r="S184" s="62">
        <f>IFERROR(IF(tblPiNAnalysis[[#This Row],[SAL]]="", "", MROUND(tblPiNAnalysis[[#This Row],[SAL]]/tblPiNAnalysis[[#This Row],[Población]], 0.05)), "")</f>
        <v>0.70000000000000007</v>
      </c>
      <c r="T184" s="62">
        <f>IFERROR(IF(tblPiNAnalysis[[#This Row],[EDU]]="", "", MROUND(tblPiNAnalysis[[#This Row],[EDU]]/tblPiNAnalysis[[#This Row],[Población]], 0.05)), "")</f>
        <v>0.1</v>
      </c>
      <c r="U184" s="62">
        <f>IFERROR(IF(tblPiNAnalysis[[#This Row],[PRO]]="", "", MROUND(tblPiNAnalysis[[#This Row],[PRO]]/tblPiNAnalysis[[#This Row],[Población]], 0.05)), "")</f>
        <v>0.2</v>
      </c>
      <c r="V184" s="63">
        <f>IFERROR(IF(tblPiNAnalysis[[#This Row],[ASH]]="", "", MROUND(tblPiNAnalysis[[#This Row],[ASH]]/tblPiNAnalysis[[#This Row],[Población]], 0.05)), "")</f>
        <v>0.60000000000000009</v>
      </c>
      <c r="W184" s="62">
        <f>IFERROR(MROUND(tblPiNAnalysis[[#This Row],[NNA]]/tblPiNAnalysis[[#This Row],[Población]], 0.05), "")</f>
        <v>0.05</v>
      </c>
      <c r="X184" s="62">
        <f>IFERROR(MROUND(tblPiNAnalysis[[#This Row],[VBG]]/tblPiNAnalysis[[#This Row],[Población]], 0.05), "")</f>
        <v>0.05</v>
      </c>
      <c r="Y184" s="64">
        <f>IFERROR(LARGE(tblPiNAnalysis[[#This Row],[SAMV]:[ASH]], 1), "")</f>
        <v>9100</v>
      </c>
      <c r="Z184" s="65" t="str" cm="1">
        <f t="array" ref="Z184">IF(tblPiNAnalysis[[#This Row],[PiN más alto]]="", "", _xlfn.TEXTJOIN(CHAR(10), TRUE, IF(tblPiNAnalysis[[#This Row],[PiN más alto]]=tblPiNAnalysis[[#This Row],[SAMV]:[ASH]], tblPiNAnalysis[[#Headers],[SAMV]:[ASH]], "")))</f>
        <v>SAL</v>
      </c>
      <c r="AA184" s="66">
        <f>IF(tblPiNAnalysis[[#This Row],[PiN más alto]]="", "", tblPiNAnalysis[[#This Row],[PiN más alto]]/tblPiNAnalysis[[#This Row],[Población]])</f>
        <v>0.70145687196485007</v>
      </c>
      <c r="AB184" s="67" t="str">
        <f>IF(SUM(tblPiNAnalysis[[#This Row],[SAMV]:[ASH]])=0, "",IF(COUNTIF(tblPiNAnalysis[[#This Row],[SAMV]:[ASH]],"=0")+COUNTIF(tblPiNAnalysis[[#This Row],[SAMV]:[ASH]],"")&gt;=zero_pin_thresh, "Flagged", ""))</f>
        <v/>
      </c>
      <c r="AC184" s="66" t="str">
        <f>IFERROR(IF(tblPiNAnalysis[[#This Row],[PiN más alto]]="", "", IF(tblPiNAnalysis[[#This Row],[% PiN Sectores más altos]]&gt;=flag_pin_perc, "Flagged", "")), "")</f>
        <v/>
      </c>
      <c r="AD184" s="68" t="str" cm="1">
        <f t="array" ref="AD184">IF(tblPiNAnalysis[[#This Row],[PiN más alto]]=0, "",  IF(OR(COUNTIF(tblPiNAnalysis[[#This Row],[Sectores más altos]],tblSubSectorPopulation[Sector])), "Flagged", ""))</f>
        <v/>
      </c>
      <c r="AE184" s="69" cm="1">
        <f t="array" ref="AE18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7783.7999999999993</v>
      </c>
      <c r="AF184" s="70" t="str" cm="1">
        <f t="array" ref="AF184">IF(tblPiNAnalysis[[#This Row],[2º PiN más alto]]="", "", _xlfn.TEXTJOIN(CHAR(10), TRUE, IF(tblPiNAnalysis[[#This Row],[2º PiN más alto]]=tblPiNAnalysis[[#This Row],[SAMV]:[ASH]], tblPiNAnalysis[[#Headers],[SAMV]:[ASH]], "")))</f>
        <v>ASH</v>
      </c>
      <c r="AG184" s="13">
        <f>IFERROR(tblPiNAnalysis[[#This Row],[2º PiN más alto]]/tblPiNAnalysis[[#This Row],[Población]], "")</f>
        <v>0.6</v>
      </c>
      <c r="AH184" s="16">
        <f>IFERROR(tblPiNAnalysis[[#This Row],[PiN más alto]]-tblPiNAnalysis[[#This Row],[2º PiN más alto]], "")</f>
        <v>1316.2000000000007</v>
      </c>
      <c r="AI184" s="14">
        <f>IFERROR(((tblPiNAnalysis[[#This Row],[PiN más alto]]-tblPiNAnalysis[[#This Row],[2º PiN más alto]])/tblPiNAnalysis[[#This Row],[2º PiN más alto]]),"")</f>
        <v>0.16909478660808355</v>
      </c>
      <c r="AJ184" s="71" t="str" cm="1">
        <f t="array" ref="AJ18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84" s="72" cm="1">
        <f t="array" ref="AK18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3964</v>
      </c>
      <c r="AL184" s="73" t="str" cm="1">
        <f t="array" ref="AL184">IF(tblPiNAnalysis[[#This Row],[3º PiN más alto]]="", "", _xlfn.TEXTJOIN(CHAR(10), TRUE, IF(tblPiNAnalysis[[#This Row],[3º PiN más alto]]=tblPiNAnalysis[[#This Row],[SAMV]:[ASH]], tblPiNAnalysis[[#Headers],[SAMV]:[ASH]], "")))</f>
        <v>SAMV</v>
      </c>
      <c r="AM184" s="53">
        <f>IFERROR(tblPiNAnalysis[[#This Row],[3º PiN más alto]]/tblPiNAnalysis[[#This Row],[Población]], "")</f>
        <v>0.30555769675479844</v>
      </c>
      <c r="AN184" s="15">
        <f>IFERROR(tblPiNAnalysis[[#This Row],[PiN más alto]]-tblPiNAnalysis[[#This Row],[3º PiN más alto]],"")</f>
        <v>5136</v>
      </c>
      <c r="AO184" s="14">
        <f>IFERROR(tblPiNAnalysis[[#This Row],[Diferencia de PiN entre el más alto y el 3º más alto]]/tblPiNAnalysis[[#This Row],[3º PiN más alto]], "")</f>
        <v>1.2956609485368316</v>
      </c>
      <c r="AP184" s="68" t="str" cm="1">
        <f t="array" ref="AP18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84" s="84" cm="1">
        <f t="array" ref="AQ184">IFERROR(IF(tblPiNAnalysis[[#This Row],[ID]]="", "", INDEX(tblPiNHistorical[[SAMV]:[ASH]], MATCH(tblPiNAnalysis[[#This Row],[ID]],tblPiNHistorical[ID], 0),MATCH(_xlfn._xlws.FILTER(tblPiNAnalysis[[#Headers],[SAMV]:[ASH]], tblPiNAnalysis[[#This Row],[PiN más alto]]=tblPiNAnalysis[[#This Row],[SAMV]:[ASH]]), tblPiNHistorical[[#Headers],[SAMV]:[ASH]], 0))), "")</f>
        <v>163.9</v>
      </c>
      <c r="AR184" s="74" t="str" cm="1">
        <f t="array" ref="AR18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84" s="74" cm="1">
        <f t="array" ref="AS184">IFERROR(IF(tblPiNAnalysis[[#This Row],[ID]]="", "", INDEX(tblPiNHistorical[[SAMV]:[ASH]], MATCH(tblPiNAnalysis[[#This Row],[ID]],tblPiNHistorical[ID], 0),MATCH(_xlfn._xlws.FILTER(tblPiNAnalysis[[#Headers],[SAMV]:[ASH]], tblPiNAnalysis[[#This Row],[2º PiN más alto]]=tblPiNAnalysis[[#This Row],[SAMV]:[ASH]]), tblPiNHistorical[[#Headers],[SAMV]:[ASH]], 0))), "")</f>
        <v>30.8</v>
      </c>
      <c r="AT184" s="75" t="str" cm="1">
        <f t="array" ref="AT18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84" s="219">
        <f>INDEX(tblSeverityAnalysis[Severidad final], MATCH(tblPiNAnalysis[[#This Row],[ID]],tblSeverityAnalysis[ID], 0))</f>
        <v>3</v>
      </c>
      <c r="AV184" s="220">
        <f>IF(tblPiNAnalysis[[#This Row],[Severidad]]&gt;2,tblPiNAnalysis[[#This Row],[PiN más alto]],)</f>
        <v>9100</v>
      </c>
      <c r="AW184" s="54"/>
      <c r="AX184" s="55"/>
      <c r="AY184" s="56">
        <f>COUNTIFS(tblPiNAnalysis[[#This Row],[Número de PiN ausentes/cero superior al umbral - Calidad de los datos]:[Marcador manual]],"Flagged")</f>
        <v>3</v>
      </c>
      <c r="AZ184" s="428" t="str">
        <f>IF(tblPiNAnalysis[[#This Row],[Número de marcadores]]&gt;0, "Flagged", "")</f>
        <v>Flagged</v>
      </c>
      <c r="BA184" s="65">
        <f>tblPiNAnalysis[[#This Row],[PiN preliminar]]</f>
        <v>9100</v>
      </c>
      <c r="BB184" s="70"/>
      <c r="BC184" s="70">
        <f>IFERROR(IF(tblPiNAnalysis[[#This Row],[Severidad]]=3,tblPiNAnalysis[[#This Row],[PiN final]]*Umbrales!$D$33,tblPiNAnalysis[[#This Row],[PiN final]]*Umbrales!$D$34),)</f>
        <v>4550</v>
      </c>
      <c r="BD184" s="70">
        <f>IFERROR(IF(tblPiNAnalysis[[#This Row],[Severidad]]&gt;3,tblPiNAnalysis[[#This Row],[PiN final]]*Umbrales!$D$34,),)</f>
        <v>0</v>
      </c>
    </row>
    <row r="185" spans="1:56">
      <c r="A185" s="101" t="str">
        <f>IFERROR(_xlfn.CONCAT(IF(tblPiNAnalysis[[#This Row],[Grupo]]="", "",tblPiNAnalysis[[#This Row],[Grupo]] ),  _xlfn.IFS(tblPiNAnalysis[[#This Row],[Admin2PCODE]]&lt;&gt;"", tblPiNAnalysis[[#This Row],[Admin2PCODE]], tblPiNAnalysis[[#This Row],[Admin1PCODE]]&lt;&gt;"", tblPiNAnalysis[[#This Row],[Admin1PCODE]])),"")</f>
        <v>VenezolanosVE1101</v>
      </c>
      <c r="B185" s="105" t="s">
        <v>316</v>
      </c>
      <c r="C185" s="104" t="s">
        <v>317</v>
      </c>
      <c r="D185" s="119" t="s">
        <v>318</v>
      </c>
      <c r="E185" s="104" t="s">
        <v>319</v>
      </c>
      <c r="F185" s="358"/>
      <c r="G185" s="357">
        <v>19478</v>
      </c>
      <c r="H185" s="103" t="s">
        <v>102</v>
      </c>
      <c r="I185" s="60">
        <v>5681</v>
      </c>
      <c r="J185" s="134">
        <v>946.55745059070625</v>
      </c>
      <c r="K185" s="57">
        <v>9100</v>
      </c>
      <c r="L185" s="87">
        <v>1729.9533770724106</v>
      </c>
      <c r="M185" s="87">
        <v>3884.6496349898516</v>
      </c>
      <c r="N185" s="57">
        <v>2629.53</v>
      </c>
      <c r="O185" s="57">
        <v>1243.0878831967525</v>
      </c>
      <c r="P185" s="57">
        <v>1359.6273722464477</v>
      </c>
      <c r="Q185" s="88">
        <f>IFERROR(IF(tblPiNAnalysis[[#This Row],[SAMV]]="", "", MROUND(tblPiNAnalysis[[#This Row],[SAMV]]/tblPiNAnalysis[[#This Row],[Población]], 0.05)), "")</f>
        <v>0.30000000000000004</v>
      </c>
      <c r="R185" s="89">
        <f>IFERROR(IF(tblPiNAnalysis[[#This Row],[NUT]]="", "", MROUND(tblPiNAnalysis[[#This Row],[NUT]]/tblPiNAnalysis[[#This Row],[Población]], 0.05)), "")</f>
        <v>0.05</v>
      </c>
      <c r="S185" s="89">
        <f>IFERROR(IF(tblPiNAnalysis[[#This Row],[SAL]]="", "", MROUND(tblPiNAnalysis[[#This Row],[SAL]]/tblPiNAnalysis[[#This Row],[Población]], 0.05)), "")</f>
        <v>0.45</v>
      </c>
      <c r="T185" s="89">
        <f>IFERROR(IF(tblPiNAnalysis[[#This Row],[EDU]]="", "", MROUND(tblPiNAnalysis[[#This Row],[EDU]]/tblPiNAnalysis[[#This Row],[Población]], 0.05)), "")</f>
        <v>0.1</v>
      </c>
      <c r="U185" s="89">
        <f>IFERROR(IF(tblPiNAnalysis[[#This Row],[PRO]]="", "", MROUND(tblPiNAnalysis[[#This Row],[PRO]]/tblPiNAnalysis[[#This Row],[Población]], 0.05)), "")</f>
        <v>0.2</v>
      </c>
      <c r="V185" s="90">
        <f>IFERROR(IF(tblPiNAnalysis[[#This Row],[ASH]]="", "", MROUND(tblPiNAnalysis[[#This Row],[ASH]]/tblPiNAnalysis[[#This Row],[Población]], 0.05)), "")</f>
        <v>0.15000000000000002</v>
      </c>
      <c r="W185" s="89">
        <f>IFERROR(MROUND(tblPiNAnalysis[[#This Row],[NNA]]/tblPiNAnalysis[[#This Row],[Población]], 0.05), "")</f>
        <v>0.05</v>
      </c>
      <c r="X185" s="89">
        <f>IFERROR(MROUND(tblPiNAnalysis[[#This Row],[VBG]]/tblPiNAnalysis[[#This Row],[Población]], 0.05), "")</f>
        <v>0.05</v>
      </c>
      <c r="Y185" s="91">
        <f>IFERROR(LARGE(tblPiNAnalysis[[#This Row],[SAMV]:[ASH]], 1), "")</f>
        <v>9100</v>
      </c>
      <c r="Z185" s="92" t="str" cm="1">
        <f t="array" ref="Z185">IF(tblPiNAnalysis[[#This Row],[PiN más alto]]="", "", _xlfn.TEXTJOIN(CHAR(10), TRUE, IF(tblPiNAnalysis[[#This Row],[PiN más alto]]=tblPiNAnalysis[[#This Row],[SAMV]:[ASH]], tblPiNAnalysis[[#Headers],[SAMV]:[ASH]], "")))</f>
        <v>SAL</v>
      </c>
      <c r="AA185" s="93">
        <f>IF(tblPiNAnalysis[[#This Row],[PiN más alto]]="", "", tblPiNAnalysis[[#This Row],[PiN más alto]]/tblPiNAnalysis[[#This Row],[Población]])</f>
        <v>0.46719375705924632</v>
      </c>
      <c r="AB185" s="94" t="str">
        <f>IF(SUM(tblPiNAnalysis[[#This Row],[SAMV]:[ASH]])=0, "",IF(COUNTIF(tblPiNAnalysis[[#This Row],[SAMV]:[ASH]],"=0")+COUNTIF(tblPiNAnalysis[[#This Row],[SAMV]:[ASH]],"")&gt;=zero_pin_thresh, "Flagged", ""))</f>
        <v/>
      </c>
      <c r="AC185" s="95" t="str">
        <f>IFERROR(IF(tblPiNAnalysis[[#This Row],[PiN más alto]]="", "", IF(tblPiNAnalysis[[#This Row],[% PiN Sectores más altos]]&gt;=flag_pin_perc, "Flagged", "")), "")</f>
        <v/>
      </c>
      <c r="AD185" s="96" t="str" cm="1">
        <f t="array" ref="AD185">IF(tblPiNAnalysis[[#This Row],[PiN más alto]]=0, "",  IF(OR(COUNTIF(tblPiNAnalysis[[#This Row],[Sectores más altos]],tblSubSectorPopulation[Sector])), "Flagged", ""))</f>
        <v/>
      </c>
      <c r="AE185" s="16" cm="1">
        <f t="array" ref="AE18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5681</v>
      </c>
      <c r="AF185" s="97" t="str" cm="1">
        <f t="array" ref="AF185">IF(tblPiNAnalysis[[#This Row],[2º PiN más alto]]="", "", _xlfn.TEXTJOIN(CHAR(10), TRUE, IF(tblPiNAnalysis[[#This Row],[2º PiN más alto]]=tblPiNAnalysis[[#This Row],[SAMV]:[ASH]], tblPiNAnalysis[[#Headers],[SAMV]:[ASH]], "")))</f>
        <v>SAMV</v>
      </c>
      <c r="AG185" s="12">
        <f>IFERROR(tblPiNAnalysis[[#This Row],[2º PiN más alto]]/tblPiNAnalysis[[#This Row],[Población]], "")</f>
        <v>0.29166238833555808</v>
      </c>
      <c r="AH185" s="16">
        <f>IFERROR(tblPiNAnalysis[[#This Row],[PiN más alto]]-tblPiNAnalysis[[#This Row],[2º PiN más alto]], "")</f>
        <v>3419</v>
      </c>
      <c r="AI185" s="14">
        <f>IFERROR(((tblPiNAnalysis[[#This Row],[PiN más alto]]-tblPiNAnalysis[[#This Row],[2º PiN más alto]])/tblPiNAnalysis[[#This Row],[2º PiN más alto]]),"")</f>
        <v>0.60183066361556059</v>
      </c>
      <c r="AJ185" s="14" t="str" cm="1">
        <f t="array" ref="AJ18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85" s="98" cm="1">
        <f t="array" ref="AK18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3884.6496349898516</v>
      </c>
      <c r="AL185" s="53" t="str" cm="1">
        <f t="array" ref="AL185">IF(tblPiNAnalysis[[#This Row],[3º PiN más alto]]="", "", _xlfn.TEXTJOIN(CHAR(10), TRUE, IF(tblPiNAnalysis[[#This Row],[3º PiN más alto]]=tblPiNAnalysis[[#This Row],[SAMV]:[ASH]], tblPiNAnalysis[[#Headers],[SAMV]:[ASH]], "")))</f>
        <v>PRO</v>
      </c>
      <c r="AM185" s="53">
        <f>IFERROR(tblPiNAnalysis[[#This Row],[3º PiN más alto]]/tblPiNAnalysis[[#This Row],[Población]], "")</f>
        <v>0.19943780855271853</v>
      </c>
      <c r="AN185" s="15">
        <f>IFERROR(tblPiNAnalysis[[#This Row],[PiN más alto]]-tblPiNAnalysis[[#This Row],[3º PiN más alto]],"")</f>
        <v>5215.3503650101484</v>
      </c>
      <c r="AO185" s="14">
        <f>IFERROR(tblPiNAnalysis[[#This Row],[Diferencia de PiN entre el más alto y el 3º más alto]]/tblPiNAnalysis[[#This Row],[3º PiN más alto]], "")</f>
        <v>1.3425536032990972</v>
      </c>
      <c r="AP185" s="96" t="str" cm="1">
        <f t="array" ref="AP18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85" s="84" cm="1">
        <f t="array" ref="AQ185">IFERROR(IF(tblPiNAnalysis[[#This Row],[ID]]="", "", INDEX(tblPiNHistorical[[SAMV]:[ASH]], MATCH(tblPiNAnalysis[[#This Row],[ID]],tblPiNHistorical[ID], 0),MATCH(_xlfn._xlws.FILTER(tblPiNAnalysis[[#Headers],[SAMV]:[ASH]], tblPiNAnalysis[[#This Row],[PiN más alto]]=tblPiNAnalysis[[#This Row],[SAMV]:[ASH]]), tblPiNHistorical[[#Headers],[SAMV]:[ASH]], 0))), "")</f>
        <v>1.4</v>
      </c>
      <c r="AR185" s="99" t="str" cm="1">
        <f t="array" ref="AR18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85" s="74" cm="1">
        <f t="array" ref="AS185">IFERROR(IF(tblPiNAnalysis[[#This Row],[ID]]="", "", INDEX(tblPiNHistorical[[SAMV]:[ASH]], MATCH(tblPiNAnalysis[[#This Row],[ID]],tblPiNHistorical[ID], 0),MATCH(_xlfn._xlws.FILTER(tblPiNAnalysis[[#Headers],[SAMV]:[ASH]], tblPiNAnalysis[[#This Row],[2º PiN más alto]]=tblPiNAnalysis[[#This Row],[SAMV]:[ASH]]), tblPiNHistorical[[#Headers],[SAMV]:[ASH]], 0))), "")</f>
        <v>-0.1</v>
      </c>
      <c r="AT185" s="100" t="str" cm="1">
        <f t="array" ref="AT18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85" s="219">
        <f>INDEX(tblSeverityAnalysis[Severidad final], MATCH(tblPiNAnalysis[[#This Row],[ID]],tblSeverityAnalysis[ID], 0))</f>
        <v>3</v>
      </c>
      <c r="AV185" s="220">
        <f>IF(tblPiNAnalysis[[#This Row],[Severidad]]&gt;2,tblPiNAnalysis[[#This Row],[PiN más alto]],)</f>
        <v>9100</v>
      </c>
      <c r="AW185" s="54"/>
      <c r="AX185" s="55"/>
      <c r="AY185" s="56">
        <f>COUNTIFS(tblPiNAnalysis[[#This Row],[Número de PiN ausentes/cero superior al umbral - Calidad de los datos]:[Marcador manual]],"Flagged")</f>
        <v>3</v>
      </c>
      <c r="AZ185" s="34" t="str">
        <f>IF(tblPiNAnalysis[[#This Row],[Número de marcadores]]&gt;0, "Flagged", "")</f>
        <v>Flagged</v>
      </c>
      <c r="BA185" s="92">
        <f>tblPiNAnalysis[[#This Row],[PiN preliminar]]</f>
        <v>9100</v>
      </c>
      <c r="BB185" s="97"/>
      <c r="BC185" s="70">
        <f>IFERROR(IF(tblPiNAnalysis[[#This Row],[Severidad]]=3,tblPiNAnalysis[[#This Row],[PiN final]]*Umbrales!$D$33,tblPiNAnalysis[[#This Row],[PiN final]]*Umbrales!$D$34),)</f>
        <v>4550</v>
      </c>
      <c r="BD185" s="70">
        <f>IFERROR(IF(tblPiNAnalysis[[#This Row],[Severidad]]&gt;3,tblPiNAnalysis[[#This Row],[PiN final]]*Umbrales!$D$34,),)</f>
        <v>0</v>
      </c>
    </row>
    <row r="186" spans="1:56">
      <c r="A186" s="101" t="str">
        <f>IFERROR(_xlfn.CONCAT(IF(tblPiNAnalysis[[#This Row],[Grupo]]="", "",tblPiNAnalysis[[#This Row],[Grupo]] ),  _xlfn.IFS(tblPiNAnalysis[[#This Row],[Admin2PCODE]]&lt;&gt;"", tblPiNAnalysis[[#This Row],[Admin2PCODE]], tblPiNAnalysis[[#This Row],[Admin1PCODE]]&lt;&gt;"", tblPiNAnalysis[[#This Row],[Admin1PCODE]])),"")</f>
        <v>VenezolanosVE1611</v>
      </c>
      <c r="B186" s="105" t="s">
        <v>491</v>
      </c>
      <c r="C186" s="104" t="s">
        <v>492</v>
      </c>
      <c r="D186" s="119" t="s">
        <v>507</v>
      </c>
      <c r="E186" s="104" t="s">
        <v>508</v>
      </c>
      <c r="F186" s="358"/>
      <c r="G186" s="357">
        <v>10027</v>
      </c>
      <c r="H186" s="103" t="s">
        <v>102</v>
      </c>
      <c r="I186" s="60">
        <v>2005</v>
      </c>
      <c r="J186" s="134">
        <v>352.89594895911921</v>
      </c>
      <c r="K186" s="57">
        <v>8800</v>
      </c>
      <c r="L186" s="87">
        <v>682.39534427035653</v>
      </c>
      <c r="M186" s="87">
        <v>2402.70758211262</v>
      </c>
      <c r="N186" s="57">
        <v>0</v>
      </c>
      <c r="O186" s="57">
        <v>768.8664262760384</v>
      </c>
      <c r="P186" s="57">
        <v>840.94765373941698</v>
      </c>
      <c r="Q186" s="88">
        <f>IFERROR(IF(tblPiNAnalysis[[#This Row],[SAMV]]="", "", MROUND(tblPiNAnalysis[[#This Row],[SAMV]]/tblPiNAnalysis[[#This Row],[Población]], 0.05)), "")</f>
        <v>0.2</v>
      </c>
      <c r="R186" s="89">
        <f>IFERROR(IF(tblPiNAnalysis[[#This Row],[NUT]]="", "", MROUND(tblPiNAnalysis[[#This Row],[NUT]]/tblPiNAnalysis[[#This Row],[Población]], 0.05)), "")</f>
        <v>0.05</v>
      </c>
      <c r="S186" s="89">
        <f>IFERROR(IF(tblPiNAnalysis[[#This Row],[SAL]]="", "", MROUND(tblPiNAnalysis[[#This Row],[SAL]]/tblPiNAnalysis[[#This Row],[Población]], 0.05)), "")</f>
        <v>0.9</v>
      </c>
      <c r="T186" s="89">
        <f>IFERROR(IF(tblPiNAnalysis[[#This Row],[EDU]]="", "", MROUND(tblPiNAnalysis[[#This Row],[EDU]]/tblPiNAnalysis[[#This Row],[Población]], 0.05)), "")</f>
        <v>0.05</v>
      </c>
      <c r="U186" s="89">
        <f>IFERROR(IF(tblPiNAnalysis[[#This Row],[PRO]]="", "", MROUND(tblPiNAnalysis[[#This Row],[PRO]]/tblPiNAnalysis[[#This Row],[Población]], 0.05)), "")</f>
        <v>0.25</v>
      </c>
      <c r="V186" s="90">
        <f>IFERROR(IF(tblPiNAnalysis[[#This Row],[ASH]]="", "", MROUND(tblPiNAnalysis[[#This Row],[ASH]]/tblPiNAnalysis[[#This Row],[Población]], 0.05)), "")</f>
        <v>0</v>
      </c>
      <c r="W186" s="89">
        <f>IFERROR(MROUND(tblPiNAnalysis[[#This Row],[NNA]]/tblPiNAnalysis[[#This Row],[Población]], 0.05), "")</f>
        <v>0.1</v>
      </c>
      <c r="X186" s="89">
        <f>IFERROR(MROUND(tblPiNAnalysis[[#This Row],[VBG]]/tblPiNAnalysis[[#This Row],[Población]], 0.05), "")</f>
        <v>0.1</v>
      </c>
      <c r="Y186" s="91">
        <f>IFERROR(LARGE(tblPiNAnalysis[[#This Row],[SAMV]:[ASH]], 1), "")</f>
        <v>8800</v>
      </c>
      <c r="Z186" s="92" t="str" cm="1">
        <f t="array" ref="Z186">IF(tblPiNAnalysis[[#This Row],[PiN más alto]]="", "", _xlfn.TEXTJOIN(CHAR(10), TRUE, IF(tblPiNAnalysis[[#This Row],[PiN más alto]]=tblPiNAnalysis[[#This Row],[SAMV]:[ASH]], tblPiNAnalysis[[#Headers],[SAMV]:[ASH]], "")))</f>
        <v>SAL</v>
      </c>
      <c r="AA186" s="93">
        <f>IF(tblPiNAnalysis[[#This Row],[PiN más alto]]="", "", tblPiNAnalysis[[#This Row],[PiN más alto]]/tblPiNAnalysis[[#This Row],[Población]])</f>
        <v>0.87763039792560082</v>
      </c>
      <c r="AB186" s="94" t="str">
        <f>IF(SUM(tblPiNAnalysis[[#This Row],[SAMV]:[ASH]])=0, "",IF(COUNTIF(tblPiNAnalysis[[#This Row],[SAMV]:[ASH]],"=0")+COUNTIF(tblPiNAnalysis[[#This Row],[SAMV]:[ASH]],"")&gt;=zero_pin_thresh, "Flagged", ""))</f>
        <v/>
      </c>
      <c r="AC186" s="95" t="str">
        <f>IFERROR(IF(tblPiNAnalysis[[#This Row],[PiN más alto]]="", "", IF(tblPiNAnalysis[[#This Row],[% PiN Sectores más altos]]&gt;=flag_pin_perc, "Flagged", "")), "")</f>
        <v/>
      </c>
      <c r="AD186" s="96" t="str" cm="1">
        <f t="array" ref="AD186">IF(tblPiNAnalysis[[#This Row],[PiN más alto]]=0, "",  IF(OR(COUNTIF(tblPiNAnalysis[[#This Row],[Sectores más altos]],tblSubSectorPopulation[Sector])), "Flagged", ""))</f>
        <v/>
      </c>
      <c r="AE186" s="16" cm="1">
        <f t="array" ref="AE18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2402.70758211262</v>
      </c>
      <c r="AF186" s="97" t="str" cm="1">
        <f t="array" ref="AF186">IF(tblPiNAnalysis[[#This Row],[2º PiN más alto]]="", "", _xlfn.TEXTJOIN(CHAR(10), TRUE, IF(tblPiNAnalysis[[#This Row],[2º PiN más alto]]=tblPiNAnalysis[[#This Row],[SAMV]:[ASH]], tblPiNAnalysis[[#Headers],[SAMV]:[ASH]], "")))</f>
        <v>PRO</v>
      </c>
      <c r="AG186" s="12">
        <f>IFERROR(tblPiNAnalysis[[#This Row],[2º PiN más alto]]/tblPiNAnalysis[[#This Row],[Población]], "")</f>
        <v>0.2396237740214042</v>
      </c>
      <c r="AH186" s="16">
        <f>IFERROR(tblPiNAnalysis[[#This Row],[PiN más alto]]-tblPiNAnalysis[[#This Row],[2º PiN más alto]], "")</f>
        <v>6397.29241788738</v>
      </c>
      <c r="AI186" s="14">
        <f>IFERROR(((tblPiNAnalysis[[#This Row],[PiN más alto]]-tblPiNAnalysis[[#This Row],[2º PiN más alto]])/tblPiNAnalysis[[#This Row],[2º PiN más alto]]),"")</f>
        <v>2.6625347443497289</v>
      </c>
      <c r="AJ186" s="14" t="str" cm="1">
        <f t="array" ref="AJ18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86" s="98" cm="1">
        <f t="array" ref="AK18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2005</v>
      </c>
      <c r="AL186" s="53" t="str" cm="1">
        <f t="array" ref="AL186">IF(tblPiNAnalysis[[#This Row],[3º PiN más alto]]="", "", _xlfn.TEXTJOIN(CHAR(10), TRUE, IF(tblPiNAnalysis[[#This Row],[3º PiN más alto]]=tblPiNAnalysis[[#This Row],[SAMV]:[ASH]], tblPiNAnalysis[[#Headers],[SAMV]:[ASH]], "")))</f>
        <v>SAMV</v>
      </c>
      <c r="AM186" s="53">
        <f>IFERROR(tblPiNAnalysis[[#This Row],[3º PiN más alto]]/tblPiNAnalysis[[#This Row],[Población]], "")</f>
        <v>0.19996010770918521</v>
      </c>
      <c r="AN186" s="15">
        <f>IFERROR(tblPiNAnalysis[[#This Row],[PiN más alto]]-tblPiNAnalysis[[#This Row],[3º PiN más alto]],"")</f>
        <v>6795</v>
      </c>
      <c r="AO186" s="14">
        <f>IFERROR(tblPiNAnalysis[[#This Row],[Diferencia de PiN entre el más alto y el 3º más alto]]/tblPiNAnalysis[[#This Row],[3º PiN más alto]], "")</f>
        <v>3.3890274314214466</v>
      </c>
      <c r="AP186" s="96" t="str" cm="1">
        <f t="array" ref="AP18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86" s="84" cm="1">
        <f t="array" ref="AQ186">IFERROR(IF(tblPiNAnalysis[[#This Row],[ID]]="", "", INDEX(tblPiNHistorical[[SAMV]:[ASH]], MATCH(tblPiNAnalysis[[#This Row],[ID]],tblPiNHistorical[ID], 0),MATCH(_xlfn._xlws.FILTER(tblPiNAnalysis[[#Headers],[SAMV]:[ASH]], tblPiNAnalysis[[#This Row],[PiN más alto]]=tblPiNAnalysis[[#This Row],[SAMV]:[ASH]]), tblPiNHistorical[[#Headers],[SAMV]:[ASH]], 0))), "")</f>
        <v>1.7</v>
      </c>
      <c r="AR186" s="99" t="str" cm="1">
        <f t="array" ref="AR18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86" s="74" cm="1">
        <f t="array" ref="AS186">IFERROR(IF(tblPiNAnalysis[[#This Row],[ID]]="", "", INDEX(tblPiNHistorical[[SAMV]:[ASH]], MATCH(tblPiNAnalysis[[#This Row],[ID]],tblPiNHistorical[ID], 0),MATCH(_xlfn._xlws.FILTER(tblPiNAnalysis[[#Headers],[SAMV]:[ASH]], tblPiNAnalysis[[#This Row],[2º PiN más alto]]=tblPiNAnalysis[[#This Row],[SAMV]:[ASH]]), tblPiNHistorical[[#Headers],[SAMV]:[ASH]], 0))), "")</f>
        <v>-0.5</v>
      </c>
      <c r="AT186" s="100" t="str" cm="1">
        <f t="array" ref="AT18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86" s="219">
        <f>INDEX(tblSeverityAnalysis[Severidad final], MATCH(tblPiNAnalysis[[#This Row],[ID]],tblSeverityAnalysis[ID], 0))</f>
        <v>3</v>
      </c>
      <c r="AV186" s="220">
        <f>IF(tblPiNAnalysis[[#This Row],[Severidad]]&gt;2,tblPiNAnalysis[[#This Row],[PiN más alto]],)</f>
        <v>8800</v>
      </c>
      <c r="AW186" s="54"/>
      <c r="AX186" s="55"/>
      <c r="AY186" s="56">
        <f>COUNTIFS(tblPiNAnalysis[[#This Row],[Número de PiN ausentes/cero superior al umbral - Calidad de los datos]:[Marcador manual]],"Flagged")</f>
        <v>3</v>
      </c>
      <c r="AZ186" s="34" t="str">
        <f>IF(tblPiNAnalysis[[#This Row],[Número de marcadores]]&gt;0, "Flagged", "")</f>
        <v>Flagged</v>
      </c>
      <c r="BA186" s="92">
        <f>tblPiNAnalysis[[#This Row],[PiN preliminar]]</f>
        <v>8800</v>
      </c>
      <c r="BB186" s="97"/>
      <c r="BC186" s="70">
        <f>IFERROR(IF(tblPiNAnalysis[[#This Row],[Severidad]]=3,tblPiNAnalysis[[#This Row],[PiN final]]*Umbrales!$D$33,tblPiNAnalysis[[#This Row],[PiN final]]*Umbrales!$D$34),)</f>
        <v>4400</v>
      </c>
      <c r="BD186" s="70">
        <f>IFERROR(IF(tblPiNAnalysis[[#This Row],[Severidad]]&gt;3,tblPiNAnalysis[[#This Row],[PiN final]]*Umbrales!$D$34,),)</f>
        <v>0</v>
      </c>
    </row>
    <row r="187" spans="1:56">
      <c r="A187" s="101" t="str">
        <f>IFERROR(_xlfn.CONCAT(IF(tblPiNAnalysis[[#This Row],[Grupo]]="", "",tblPiNAnalysis[[#This Row],[Grupo]] ),  _xlfn.IFS(tblPiNAnalysis[[#This Row],[Admin2PCODE]]&lt;&gt;"", tblPiNAnalysis[[#This Row],[Admin2PCODE]], tblPiNAnalysis[[#This Row],[Admin1PCODE]]&lt;&gt;"", tblPiNAnalysis[[#This Row],[Admin1PCODE]])),"")</f>
        <v>VenezolanosVE1107</v>
      </c>
      <c r="B187" s="105" t="s">
        <v>316</v>
      </c>
      <c r="C187" s="104" t="s">
        <v>317</v>
      </c>
      <c r="D187" s="119" t="s">
        <v>329</v>
      </c>
      <c r="E187" s="104" t="s">
        <v>330</v>
      </c>
      <c r="F187" s="358"/>
      <c r="G187" s="357">
        <v>23921</v>
      </c>
      <c r="H187" s="103" t="s">
        <v>102</v>
      </c>
      <c r="I187" s="60">
        <v>8353</v>
      </c>
      <c r="J187" s="134">
        <v>1212.5576831221138</v>
      </c>
      <c r="K187" s="57">
        <v>8731.1650000000009</v>
      </c>
      <c r="L187" s="87">
        <v>1269.8432502383553</v>
      </c>
      <c r="M187" s="87">
        <v>4770.75181838958</v>
      </c>
      <c r="N187" s="57">
        <v>0</v>
      </c>
      <c r="O187" s="57">
        <v>1531.4113337030553</v>
      </c>
      <c r="P187" s="57">
        <v>1669.7631364363529</v>
      </c>
      <c r="Q187" s="88">
        <f>IFERROR(IF(tblPiNAnalysis[[#This Row],[SAMV]]="", "", MROUND(tblPiNAnalysis[[#This Row],[SAMV]]/tblPiNAnalysis[[#This Row],[Población]], 0.05)), "")</f>
        <v>0.35000000000000003</v>
      </c>
      <c r="R187" s="89">
        <f>IFERROR(IF(tblPiNAnalysis[[#This Row],[NUT]]="", "", MROUND(tblPiNAnalysis[[#This Row],[NUT]]/tblPiNAnalysis[[#This Row],[Población]], 0.05)), "")</f>
        <v>0.05</v>
      </c>
      <c r="S187" s="89">
        <f>IFERROR(IF(tblPiNAnalysis[[#This Row],[SAL]]="", "", MROUND(tblPiNAnalysis[[#This Row],[SAL]]/tblPiNAnalysis[[#This Row],[Población]], 0.05)), "")</f>
        <v>0.35000000000000003</v>
      </c>
      <c r="T187" s="89">
        <f>IFERROR(IF(tblPiNAnalysis[[#This Row],[EDU]]="", "", MROUND(tblPiNAnalysis[[#This Row],[EDU]]/tblPiNAnalysis[[#This Row],[Población]], 0.05)), "")</f>
        <v>0.05</v>
      </c>
      <c r="U187" s="89">
        <f>IFERROR(IF(tblPiNAnalysis[[#This Row],[PRO]]="", "", MROUND(tblPiNAnalysis[[#This Row],[PRO]]/tblPiNAnalysis[[#This Row],[Población]], 0.05)), "")</f>
        <v>0.2</v>
      </c>
      <c r="V187" s="90">
        <f>IFERROR(IF(tblPiNAnalysis[[#This Row],[ASH]]="", "", MROUND(tblPiNAnalysis[[#This Row],[ASH]]/tblPiNAnalysis[[#This Row],[Población]], 0.05)), "")</f>
        <v>0</v>
      </c>
      <c r="W187" s="89">
        <f>IFERROR(MROUND(tblPiNAnalysis[[#This Row],[NNA]]/tblPiNAnalysis[[#This Row],[Población]], 0.05), "")</f>
        <v>0.05</v>
      </c>
      <c r="X187" s="89">
        <f>IFERROR(MROUND(tblPiNAnalysis[[#This Row],[VBG]]/tblPiNAnalysis[[#This Row],[Población]], 0.05), "")</f>
        <v>0.05</v>
      </c>
      <c r="Y187" s="91">
        <f>IFERROR(LARGE(tblPiNAnalysis[[#This Row],[SAMV]:[ASH]], 1), "")</f>
        <v>8731.1650000000009</v>
      </c>
      <c r="Z187" s="92" t="str" cm="1">
        <f t="array" ref="Z187">IF(tblPiNAnalysis[[#This Row],[PiN más alto]]="", "", _xlfn.TEXTJOIN(CHAR(10), TRUE, IF(tblPiNAnalysis[[#This Row],[PiN más alto]]=tblPiNAnalysis[[#This Row],[SAMV]:[ASH]], tblPiNAnalysis[[#Headers],[SAMV]:[ASH]], "")))</f>
        <v>SAL</v>
      </c>
      <c r="AA187" s="93">
        <f>IF(tblPiNAnalysis[[#This Row],[PiN más alto]]="", "", tblPiNAnalysis[[#This Row],[PiN más alto]]/tblPiNAnalysis[[#This Row],[Población]])</f>
        <v>0.36500000000000005</v>
      </c>
      <c r="AB187" s="94" t="str">
        <f>IF(SUM(tblPiNAnalysis[[#This Row],[SAMV]:[ASH]])=0, "",IF(COUNTIF(tblPiNAnalysis[[#This Row],[SAMV]:[ASH]],"=0")+COUNTIF(tblPiNAnalysis[[#This Row],[SAMV]:[ASH]],"")&gt;=zero_pin_thresh, "Flagged", ""))</f>
        <v/>
      </c>
      <c r="AC187" s="95" t="str">
        <f>IFERROR(IF(tblPiNAnalysis[[#This Row],[PiN más alto]]="", "", IF(tblPiNAnalysis[[#This Row],[% PiN Sectores más altos]]&gt;=flag_pin_perc, "Flagged", "")), "")</f>
        <v/>
      </c>
      <c r="AD187" s="96" t="str" cm="1">
        <f t="array" ref="AD187">IF(tblPiNAnalysis[[#This Row],[PiN más alto]]=0, "",  IF(OR(COUNTIF(tblPiNAnalysis[[#This Row],[Sectores más altos]],tblSubSectorPopulation[Sector])), "Flagged", ""))</f>
        <v/>
      </c>
      <c r="AE187" s="16" cm="1">
        <f t="array" ref="AE18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8353</v>
      </c>
      <c r="AF187" s="97" t="str" cm="1">
        <f t="array" ref="AF187">IF(tblPiNAnalysis[[#This Row],[2º PiN más alto]]="", "", _xlfn.TEXTJOIN(CHAR(10), TRUE, IF(tblPiNAnalysis[[#This Row],[2º PiN más alto]]=tblPiNAnalysis[[#This Row],[SAMV]:[ASH]], tblPiNAnalysis[[#Headers],[SAMV]:[ASH]], "")))</f>
        <v>SAMV</v>
      </c>
      <c r="AG187" s="12">
        <f>IFERROR(tblPiNAnalysis[[#This Row],[2º PiN más alto]]/tblPiNAnalysis[[#This Row],[Población]], "")</f>
        <v>0.34919108732912502</v>
      </c>
      <c r="AH187" s="16">
        <f>IFERROR(tblPiNAnalysis[[#This Row],[PiN más alto]]-tblPiNAnalysis[[#This Row],[2º PiN más alto]], "")</f>
        <v>378.16500000000087</v>
      </c>
      <c r="AI187" s="14">
        <f>IFERROR(((tblPiNAnalysis[[#This Row],[PiN más alto]]-tblPiNAnalysis[[#This Row],[2º PiN más alto]])/tblPiNAnalysis[[#This Row],[2º PiN más alto]]),"")</f>
        <v>4.5272955824254862E-2</v>
      </c>
      <c r="AJ187" s="14" t="str" cm="1">
        <f t="array" ref="AJ18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87" s="98" cm="1">
        <f t="array" ref="AK18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4770.75181838958</v>
      </c>
      <c r="AL187" s="53" t="str" cm="1">
        <f t="array" ref="AL187">IF(tblPiNAnalysis[[#This Row],[3º PiN más alto]]="", "", _xlfn.TEXTJOIN(CHAR(10), TRUE, IF(tblPiNAnalysis[[#This Row],[3º PiN más alto]]=tblPiNAnalysis[[#This Row],[SAMV]:[ASH]], tblPiNAnalysis[[#Headers],[SAMV]:[ASH]], "")))</f>
        <v>PRO</v>
      </c>
      <c r="AM187" s="53">
        <f>IFERROR(tblPiNAnalysis[[#This Row],[3º PiN más alto]]/tblPiNAnalysis[[#This Row],[Población]], "")</f>
        <v>0.19943780855271853</v>
      </c>
      <c r="AN187" s="15">
        <f>IFERROR(tblPiNAnalysis[[#This Row],[PiN más alto]]-tblPiNAnalysis[[#This Row],[3º PiN más alto]],"")</f>
        <v>3960.4131816104209</v>
      </c>
      <c r="AO187" s="14">
        <f>IFERROR(tblPiNAnalysis[[#This Row],[Diferencia de PiN entre el más alto y el 3º más alto]]/tblPiNAnalysis[[#This Row],[3º PiN más alto]], "")</f>
        <v>0.83014445780734458</v>
      </c>
      <c r="AP187" s="96" t="str" cm="1">
        <f t="array" ref="AP18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87" s="84" cm="1">
        <f t="array" ref="AQ187">IFERROR(IF(tblPiNAnalysis[[#This Row],[ID]]="", "", INDEX(tblPiNHistorical[[SAMV]:[ASH]], MATCH(tblPiNAnalysis[[#This Row],[ID]],tblPiNHistorical[ID], 0),MATCH(_xlfn._xlws.FILTER(tblPiNAnalysis[[#Headers],[SAMV]:[ASH]], tblPiNAnalysis[[#This Row],[PiN más alto]]=tblPiNAnalysis[[#This Row],[SAMV]:[ASH]]), tblPiNHistorical[[#Headers],[SAMV]:[ASH]], 0))), "")</f>
        <v>1.5</v>
      </c>
      <c r="AR187" s="99" t="str" cm="1">
        <f t="array" ref="AR18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87" s="74" cm="1">
        <f t="array" ref="AS187">IFERROR(IF(tblPiNAnalysis[[#This Row],[ID]]="", "", INDEX(tblPiNHistorical[[SAMV]:[ASH]], MATCH(tblPiNAnalysis[[#This Row],[ID]],tblPiNHistorical[ID], 0),MATCH(_xlfn._xlws.FILTER(tblPiNAnalysis[[#Headers],[SAMV]:[ASH]], tblPiNAnalysis[[#This Row],[2º PiN más alto]]=tblPiNAnalysis[[#This Row],[SAMV]:[ASH]]), tblPiNHistorical[[#Headers],[SAMV]:[ASH]], 0))), "")</f>
        <v>-0.6</v>
      </c>
      <c r="AT187" s="100" t="str" cm="1">
        <f t="array" ref="AT18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87" s="219">
        <f>INDEX(tblSeverityAnalysis[Severidad final], MATCH(tblPiNAnalysis[[#This Row],[ID]],tblSeverityAnalysis[ID], 0))</f>
        <v>3</v>
      </c>
      <c r="AV187" s="220">
        <f>IF(tblPiNAnalysis[[#This Row],[Severidad]]&gt;2,tblPiNAnalysis[[#This Row],[PiN más alto]],)</f>
        <v>8731.1650000000009</v>
      </c>
      <c r="AW187" s="54"/>
      <c r="AX187" s="55"/>
      <c r="AY187" s="56">
        <f>COUNTIFS(tblPiNAnalysis[[#This Row],[Número de PiN ausentes/cero superior al umbral - Calidad de los datos]:[Marcador manual]],"Flagged")</f>
        <v>2</v>
      </c>
      <c r="AZ187" s="34" t="str">
        <f>IF(tblPiNAnalysis[[#This Row],[Número de marcadores]]&gt;0, "Flagged", "")</f>
        <v>Flagged</v>
      </c>
      <c r="BA187" s="92">
        <f>tblPiNAnalysis[[#This Row],[PiN preliminar]]</f>
        <v>8731.1650000000009</v>
      </c>
      <c r="BB187" s="97"/>
      <c r="BC187" s="70">
        <f>IFERROR(IF(tblPiNAnalysis[[#This Row],[Severidad]]=3,tblPiNAnalysis[[#This Row],[PiN final]]*Umbrales!$D$33,tblPiNAnalysis[[#This Row],[PiN final]]*Umbrales!$D$34),)</f>
        <v>4365.5825000000004</v>
      </c>
      <c r="BD187" s="70">
        <f>IFERROR(IF(tblPiNAnalysis[[#This Row],[Severidad]]&gt;3,tblPiNAnalysis[[#This Row],[PiN final]]*Umbrales!$D$34,),)</f>
        <v>0</v>
      </c>
    </row>
    <row r="188" spans="1:56">
      <c r="A188" s="101" t="str">
        <f>IFERROR(_xlfn.CONCAT(IF(tblPiNAnalysis[[#This Row],[Grupo]]="", "",tblPiNAnalysis[[#This Row],[Grupo]] ),  _xlfn.IFS(tblPiNAnalysis[[#This Row],[Admin2PCODE]]&lt;&gt;"", tblPiNAnalysis[[#This Row],[Admin2PCODE]], tblPiNAnalysis[[#This Row],[Admin1PCODE]]&lt;&gt;"", tblPiNAnalysis[[#This Row],[Admin1PCODE]])),"")</f>
        <v>VenezolanosVE2212</v>
      </c>
      <c r="B188" s="105" t="s">
        <v>678</v>
      </c>
      <c r="C188" s="104" t="s">
        <v>679</v>
      </c>
      <c r="D188" s="119" t="s">
        <v>203</v>
      </c>
      <c r="E188" s="104" t="s">
        <v>700</v>
      </c>
      <c r="F188" s="358"/>
      <c r="G188" s="357">
        <v>19418</v>
      </c>
      <c r="H188" s="103" t="s">
        <v>102</v>
      </c>
      <c r="I188" s="60">
        <v>3236</v>
      </c>
      <c r="J188" s="134">
        <v>719.34171979746759</v>
      </c>
      <c r="K188" s="57">
        <v>8600</v>
      </c>
      <c r="L188" s="87">
        <v>1718.854180887447</v>
      </c>
      <c r="M188" s="87">
        <v>3860.0225757413</v>
      </c>
      <c r="N188" s="57">
        <v>0</v>
      </c>
      <c r="O188" s="57">
        <v>1239.0672468129574</v>
      </c>
      <c r="P188" s="57">
        <v>1351.0079015094548</v>
      </c>
      <c r="Q188" s="88">
        <f>IFERROR(IF(tblPiNAnalysis[[#This Row],[SAMV]]="", "", MROUND(tblPiNAnalysis[[#This Row],[SAMV]]/tblPiNAnalysis[[#This Row],[Población]], 0.05)), "")</f>
        <v>0.15000000000000002</v>
      </c>
      <c r="R188" s="89">
        <f>IFERROR(IF(tblPiNAnalysis[[#This Row],[NUT]]="", "", MROUND(tblPiNAnalysis[[#This Row],[NUT]]/tblPiNAnalysis[[#This Row],[Población]], 0.05)), "")</f>
        <v>0.05</v>
      </c>
      <c r="S188" s="89">
        <f>IFERROR(IF(tblPiNAnalysis[[#This Row],[SAL]]="", "", MROUND(tblPiNAnalysis[[#This Row],[SAL]]/tblPiNAnalysis[[#This Row],[Población]], 0.05)), "")</f>
        <v>0.45</v>
      </c>
      <c r="T188" s="89">
        <f>IFERROR(IF(tblPiNAnalysis[[#This Row],[EDU]]="", "", MROUND(tblPiNAnalysis[[#This Row],[EDU]]/tblPiNAnalysis[[#This Row],[Población]], 0.05)), "")</f>
        <v>0.1</v>
      </c>
      <c r="U188" s="89">
        <f>IFERROR(IF(tblPiNAnalysis[[#This Row],[PRO]]="", "", MROUND(tblPiNAnalysis[[#This Row],[PRO]]/tblPiNAnalysis[[#This Row],[Población]], 0.05)), "")</f>
        <v>0.2</v>
      </c>
      <c r="V188" s="90">
        <f>IFERROR(IF(tblPiNAnalysis[[#This Row],[ASH]]="", "", MROUND(tblPiNAnalysis[[#This Row],[ASH]]/tblPiNAnalysis[[#This Row],[Población]], 0.05)), "")</f>
        <v>0</v>
      </c>
      <c r="W188" s="89">
        <f>IFERROR(MROUND(tblPiNAnalysis[[#This Row],[NNA]]/tblPiNAnalysis[[#This Row],[Población]], 0.05), "")</f>
        <v>0.05</v>
      </c>
      <c r="X188" s="89">
        <f>IFERROR(MROUND(tblPiNAnalysis[[#This Row],[VBG]]/tblPiNAnalysis[[#This Row],[Población]], 0.05), "")</f>
        <v>0.05</v>
      </c>
      <c r="Y188" s="91">
        <f>IFERROR(LARGE(tblPiNAnalysis[[#This Row],[SAMV]:[ASH]], 1), "")</f>
        <v>8600</v>
      </c>
      <c r="Z188" s="92" t="str" cm="1">
        <f t="array" ref="Z188">IF(tblPiNAnalysis[[#This Row],[PiN más alto]]="", "", _xlfn.TEXTJOIN(CHAR(10), TRUE, IF(tblPiNAnalysis[[#This Row],[PiN más alto]]=tblPiNAnalysis[[#This Row],[SAMV]:[ASH]], tblPiNAnalysis[[#Headers],[SAMV]:[ASH]], "")))</f>
        <v>SAL</v>
      </c>
      <c r="AA188" s="93">
        <f>IF(tblPiNAnalysis[[#This Row],[PiN más alto]]="", "", tblPiNAnalysis[[#This Row],[PiN más alto]]/tblPiNAnalysis[[#This Row],[Población]])</f>
        <v>0.44288804202286536</v>
      </c>
      <c r="AB188" s="94" t="str">
        <f>IF(SUM(tblPiNAnalysis[[#This Row],[SAMV]:[ASH]])=0, "",IF(COUNTIF(tblPiNAnalysis[[#This Row],[SAMV]:[ASH]],"=0")+COUNTIF(tblPiNAnalysis[[#This Row],[SAMV]:[ASH]],"")&gt;=zero_pin_thresh, "Flagged", ""))</f>
        <v/>
      </c>
      <c r="AC188" s="95" t="str">
        <f>IFERROR(IF(tblPiNAnalysis[[#This Row],[PiN más alto]]="", "", IF(tblPiNAnalysis[[#This Row],[% PiN Sectores más altos]]&gt;=flag_pin_perc, "Flagged", "")), "")</f>
        <v/>
      </c>
      <c r="AD188" s="96" t="str" cm="1">
        <f t="array" ref="AD188">IF(tblPiNAnalysis[[#This Row],[PiN más alto]]=0, "",  IF(OR(COUNTIF(tblPiNAnalysis[[#This Row],[Sectores más altos]],tblSubSectorPopulation[Sector])), "Flagged", ""))</f>
        <v/>
      </c>
      <c r="AE188" s="16" cm="1">
        <f t="array" ref="AE18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3860.0225757413</v>
      </c>
      <c r="AF188" s="97" t="str" cm="1">
        <f t="array" ref="AF188">IF(tblPiNAnalysis[[#This Row],[2º PiN más alto]]="", "", _xlfn.TEXTJOIN(CHAR(10), TRUE, IF(tblPiNAnalysis[[#This Row],[2º PiN más alto]]=tblPiNAnalysis[[#This Row],[SAMV]:[ASH]], tblPiNAnalysis[[#Headers],[SAMV]:[ASH]], "")))</f>
        <v>PRO</v>
      </c>
      <c r="AG188" s="12">
        <f>IFERROR(tblPiNAnalysis[[#This Row],[2º PiN más alto]]/tblPiNAnalysis[[#This Row],[Población]], "")</f>
        <v>0.19878579543420022</v>
      </c>
      <c r="AH188" s="16">
        <f>IFERROR(tblPiNAnalysis[[#This Row],[PiN más alto]]-tblPiNAnalysis[[#This Row],[2º PiN más alto]], "")</f>
        <v>4739.9774242587</v>
      </c>
      <c r="AI188" s="14">
        <f>IFERROR(((tblPiNAnalysis[[#This Row],[PiN más alto]]-tblPiNAnalysis[[#This Row],[2º PiN más alto]])/tblPiNAnalysis[[#This Row],[2º PiN más alto]]),"")</f>
        <v>1.2279662440441579</v>
      </c>
      <c r="AJ188" s="14" t="str" cm="1">
        <f t="array" ref="AJ18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88" s="98" cm="1">
        <f t="array" ref="AK18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3236</v>
      </c>
      <c r="AL188" s="53" t="str" cm="1">
        <f t="array" ref="AL188">IF(tblPiNAnalysis[[#This Row],[3º PiN más alto]]="", "", _xlfn.TEXTJOIN(CHAR(10), TRUE, IF(tblPiNAnalysis[[#This Row],[3º PiN más alto]]=tblPiNAnalysis[[#This Row],[SAMV]:[ASH]], tblPiNAnalysis[[#Headers],[SAMV]:[ASH]], "")))</f>
        <v>SAMV</v>
      </c>
      <c r="AM188" s="53">
        <f>IFERROR(tblPiNAnalysis[[#This Row],[3º PiN más alto]]/tblPiNAnalysis[[#This Row],[Población]], "")</f>
        <v>0.16664950046348748</v>
      </c>
      <c r="AN188" s="15">
        <f>IFERROR(tblPiNAnalysis[[#This Row],[PiN más alto]]-tblPiNAnalysis[[#This Row],[3º PiN más alto]],"")</f>
        <v>5364</v>
      </c>
      <c r="AO188" s="14">
        <f>IFERROR(tblPiNAnalysis[[#This Row],[Diferencia de PiN entre el más alto y el 3º más alto]]/tblPiNAnalysis[[#This Row],[3º PiN más alto]], "")</f>
        <v>1.657601977750309</v>
      </c>
      <c r="AP188" s="96" t="str" cm="1">
        <f t="array" ref="AP18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88" s="84" cm="1">
        <f t="array" ref="AQ188">IFERROR(IF(tblPiNAnalysis[[#This Row],[ID]]="", "", INDEX(tblPiNHistorical[[SAMV]:[ASH]], MATCH(tblPiNAnalysis[[#This Row],[ID]],tblPiNHistorical[ID], 0),MATCH(_xlfn._xlws.FILTER(tblPiNAnalysis[[#Headers],[SAMV]:[ASH]], tblPiNAnalysis[[#This Row],[PiN más alto]]=tblPiNAnalysis[[#This Row],[SAMV]:[ASH]]), tblPiNHistorical[[#Headers],[SAMV]:[ASH]], 0))), "")</f>
        <v>-0.6</v>
      </c>
      <c r="AR188" s="99" t="str" cm="1">
        <f t="array" ref="AR18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88" s="74" cm="1">
        <f t="array" ref="AS188">IFERROR(IF(tblPiNAnalysis[[#This Row],[ID]]="", "", INDEX(tblPiNHistorical[[SAMV]:[ASH]], MATCH(tblPiNAnalysis[[#This Row],[ID]],tblPiNHistorical[ID], 0),MATCH(_xlfn._xlws.FILTER(tblPiNAnalysis[[#Headers],[SAMV]:[ASH]], tblPiNAnalysis[[#This Row],[2º PiN más alto]]=tblPiNAnalysis[[#This Row],[SAMV]:[ASH]]), tblPiNHistorical[[#Headers],[SAMV]:[ASH]], 0))), "")</f>
        <v>-0.9</v>
      </c>
      <c r="AT188" s="100" t="str" cm="1">
        <f t="array" ref="AT18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88" s="219">
        <f>INDEX(tblSeverityAnalysis[Severidad final], MATCH(tblPiNAnalysis[[#This Row],[ID]],tblSeverityAnalysis[ID], 0))</f>
        <v>3</v>
      </c>
      <c r="AV188" s="220">
        <f>IF(tblPiNAnalysis[[#This Row],[Severidad]]&gt;2,tblPiNAnalysis[[#This Row],[PiN más alto]],)</f>
        <v>8600</v>
      </c>
      <c r="AW188" s="54"/>
      <c r="AX188" s="55"/>
      <c r="AY188" s="56">
        <f>COUNTIFS(tblPiNAnalysis[[#This Row],[Número de PiN ausentes/cero superior al umbral - Calidad de los datos]:[Marcador manual]],"Flagged")</f>
        <v>2</v>
      </c>
      <c r="AZ188" s="34" t="str">
        <f>IF(tblPiNAnalysis[[#This Row],[Número de marcadores]]&gt;0, "Flagged", "")</f>
        <v>Flagged</v>
      </c>
      <c r="BA188" s="92">
        <f>tblPiNAnalysis[[#This Row],[PiN preliminar]]</f>
        <v>8600</v>
      </c>
      <c r="BB188" s="97"/>
      <c r="BC188" s="70">
        <f>IFERROR(IF(tblPiNAnalysis[[#This Row],[Severidad]]=3,tblPiNAnalysis[[#This Row],[PiN final]]*Umbrales!$D$33,tblPiNAnalysis[[#This Row],[PiN final]]*Umbrales!$D$34),)</f>
        <v>4300</v>
      </c>
      <c r="BD188" s="70">
        <f>IFERROR(IF(tblPiNAnalysis[[#This Row],[Severidad]]&gt;3,tblPiNAnalysis[[#This Row],[PiN final]]*Umbrales!$D$34,),)</f>
        <v>0</v>
      </c>
    </row>
    <row r="189" spans="1:56">
      <c r="A189" s="101" t="str">
        <f>IFERROR(_xlfn.CONCAT(IF(tblPiNAnalysis[[#This Row],[Grupo]]="", "",tblPiNAnalysis[[#This Row],[Grupo]] ),  _xlfn.IFS(tblPiNAnalysis[[#This Row],[Admin2PCODE]]&lt;&gt;"", tblPiNAnalysis[[#This Row],[Admin2PCODE]], tblPiNAnalysis[[#This Row],[Admin1PCODE]]&lt;&gt;"", tblPiNAnalysis[[#This Row],[Admin1PCODE]])),"")</f>
        <v>VenezolanosVE0515</v>
      </c>
      <c r="B189" s="105" t="s">
        <v>123</v>
      </c>
      <c r="C189" s="104" t="s">
        <v>179</v>
      </c>
      <c r="D189" s="119" t="s">
        <v>207</v>
      </c>
      <c r="E189" s="104" t="s">
        <v>208</v>
      </c>
      <c r="F189" s="358"/>
      <c r="G189" s="357">
        <v>21747</v>
      </c>
      <c r="H189" s="103" t="s">
        <v>102</v>
      </c>
      <c r="I189" s="60">
        <v>5695</v>
      </c>
      <c r="J189" s="134">
        <v>688.18447739880594</v>
      </c>
      <c r="K189" s="57">
        <v>8400</v>
      </c>
      <c r="L189" s="87">
        <v>1785.1604140213531</v>
      </c>
      <c r="M189" s="87">
        <v>4338.5168143169494</v>
      </c>
      <c r="N189" s="57">
        <v>0</v>
      </c>
      <c r="O189" s="57">
        <v>1392.6638973957408</v>
      </c>
      <c r="P189" s="57">
        <v>1518.4808850109323</v>
      </c>
      <c r="Q189" s="88">
        <f>IFERROR(IF(tblPiNAnalysis[[#This Row],[SAMV]]="", "", MROUND(tblPiNAnalysis[[#This Row],[SAMV]]/tblPiNAnalysis[[#This Row],[Población]], 0.05)), "")</f>
        <v>0.25</v>
      </c>
      <c r="R189" s="89">
        <f>IFERROR(IF(tblPiNAnalysis[[#This Row],[NUT]]="", "", MROUND(tblPiNAnalysis[[#This Row],[NUT]]/tblPiNAnalysis[[#This Row],[Población]], 0.05)), "")</f>
        <v>0.05</v>
      </c>
      <c r="S189" s="89">
        <f>IFERROR(IF(tblPiNAnalysis[[#This Row],[SAL]]="", "", MROUND(tblPiNAnalysis[[#This Row],[SAL]]/tblPiNAnalysis[[#This Row],[Población]], 0.05)), "")</f>
        <v>0.4</v>
      </c>
      <c r="T189" s="89">
        <f>IFERROR(IF(tblPiNAnalysis[[#This Row],[EDU]]="", "", MROUND(tblPiNAnalysis[[#This Row],[EDU]]/tblPiNAnalysis[[#This Row],[Población]], 0.05)), "")</f>
        <v>0.1</v>
      </c>
      <c r="U189" s="89">
        <f>IFERROR(IF(tblPiNAnalysis[[#This Row],[PRO]]="", "", MROUND(tblPiNAnalysis[[#This Row],[PRO]]/tblPiNAnalysis[[#This Row],[Población]], 0.05)), "")</f>
        <v>0.2</v>
      </c>
      <c r="V189" s="90">
        <f>IFERROR(IF(tblPiNAnalysis[[#This Row],[ASH]]="", "", MROUND(tblPiNAnalysis[[#This Row],[ASH]]/tblPiNAnalysis[[#This Row],[Población]], 0.05)), "")</f>
        <v>0</v>
      </c>
      <c r="W189" s="89">
        <f>IFERROR(MROUND(tblPiNAnalysis[[#This Row],[NNA]]/tblPiNAnalysis[[#This Row],[Población]], 0.05), "")</f>
        <v>0.05</v>
      </c>
      <c r="X189" s="89">
        <f>IFERROR(MROUND(tblPiNAnalysis[[#This Row],[VBG]]/tblPiNAnalysis[[#This Row],[Población]], 0.05), "")</f>
        <v>0.05</v>
      </c>
      <c r="Y189" s="91">
        <f>IFERROR(LARGE(tblPiNAnalysis[[#This Row],[SAMV]:[ASH]], 1), "")</f>
        <v>8400</v>
      </c>
      <c r="Z189" s="92" t="str" cm="1">
        <f t="array" ref="Z189">IF(tblPiNAnalysis[[#This Row],[PiN más alto]]="", "", _xlfn.TEXTJOIN(CHAR(10), TRUE, IF(tblPiNAnalysis[[#This Row],[PiN más alto]]=tblPiNAnalysis[[#This Row],[SAMV]:[ASH]], tblPiNAnalysis[[#Headers],[SAMV]:[ASH]], "")))</f>
        <v>SAL</v>
      </c>
      <c r="AA189" s="93">
        <f>IF(tblPiNAnalysis[[#This Row],[PiN más alto]]="", "", tblPiNAnalysis[[#This Row],[PiN más alto]]/tblPiNAnalysis[[#This Row],[Población]])</f>
        <v>0.38626017381707822</v>
      </c>
      <c r="AB189" s="94" t="str">
        <f>IF(SUM(tblPiNAnalysis[[#This Row],[SAMV]:[ASH]])=0, "",IF(COUNTIF(tblPiNAnalysis[[#This Row],[SAMV]:[ASH]],"=0")+COUNTIF(tblPiNAnalysis[[#This Row],[SAMV]:[ASH]],"")&gt;=zero_pin_thresh, "Flagged", ""))</f>
        <v/>
      </c>
      <c r="AC189" s="95" t="str">
        <f>IFERROR(IF(tblPiNAnalysis[[#This Row],[PiN más alto]]="", "", IF(tblPiNAnalysis[[#This Row],[% PiN Sectores más altos]]&gt;=flag_pin_perc, "Flagged", "")), "")</f>
        <v/>
      </c>
      <c r="AD189" s="96" t="str" cm="1">
        <f t="array" ref="AD189">IF(tblPiNAnalysis[[#This Row],[PiN más alto]]=0, "",  IF(OR(COUNTIF(tblPiNAnalysis[[#This Row],[Sectores más altos]],tblSubSectorPopulation[Sector])), "Flagged", ""))</f>
        <v/>
      </c>
      <c r="AE189" s="16" cm="1">
        <f t="array" ref="AE18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5695</v>
      </c>
      <c r="AF189" s="97" t="str" cm="1">
        <f t="array" ref="AF189">IF(tblPiNAnalysis[[#This Row],[2º PiN más alto]]="", "", _xlfn.TEXTJOIN(CHAR(10), TRUE, IF(tblPiNAnalysis[[#This Row],[2º PiN más alto]]=tblPiNAnalysis[[#This Row],[SAMV]:[ASH]], tblPiNAnalysis[[#Headers],[SAMV]:[ASH]], "")))</f>
        <v>SAMV</v>
      </c>
      <c r="AG189" s="12">
        <f>IFERROR(tblPiNAnalysis[[#This Row],[2º PiN más alto]]/tblPiNAnalysis[[#This Row],[Población]], "")</f>
        <v>0.26187520117717389</v>
      </c>
      <c r="AH189" s="16">
        <f>IFERROR(tblPiNAnalysis[[#This Row],[PiN más alto]]-tblPiNAnalysis[[#This Row],[2º PiN más alto]], "")</f>
        <v>2705</v>
      </c>
      <c r="AI189" s="14">
        <f>IFERROR(((tblPiNAnalysis[[#This Row],[PiN más alto]]-tblPiNAnalysis[[#This Row],[2º PiN más alto]])/tblPiNAnalysis[[#This Row],[2º PiN más alto]]),"")</f>
        <v>0.47497805092186129</v>
      </c>
      <c r="AJ189" s="14" t="str" cm="1">
        <f t="array" ref="AJ18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89" s="98" cm="1">
        <f t="array" ref="AK18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4338.5168143169494</v>
      </c>
      <c r="AL189" s="53" t="str" cm="1">
        <f t="array" ref="AL189">IF(tblPiNAnalysis[[#This Row],[3º PiN más alto]]="", "", _xlfn.TEXTJOIN(CHAR(10), TRUE, IF(tblPiNAnalysis[[#This Row],[3º PiN más alto]]=tblPiNAnalysis[[#This Row],[SAMV]:[ASH]], tblPiNAnalysis[[#Headers],[SAMV]:[ASH]], "")))</f>
        <v>PRO</v>
      </c>
      <c r="AM189" s="53">
        <f>IFERROR(tblPiNAnalysis[[#This Row],[3º PiN más alto]]/tblPiNAnalysis[[#This Row],[Población]], "")</f>
        <v>0.19949955461980731</v>
      </c>
      <c r="AN189" s="15">
        <f>IFERROR(tblPiNAnalysis[[#This Row],[PiN más alto]]-tblPiNAnalysis[[#This Row],[3º PiN más alto]],"")</f>
        <v>4061.4831856830506</v>
      </c>
      <c r="AO189" s="14">
        <f>IFERROR(tblPiNAnalysis[[#This Row],[Diferencia de PiN entre el más alto y el 3º más alto]]/tblPiNAnalysis[[#This Row],[3º PiN más alto]], "")</f>
        <v>0.93614554455114751</v>
      </c>
      <c r="AP189" s="96" t="str" cm="1">
        <f t="array" ref="AP18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89" s="84" cm="1">
        <f t="array" ref="AQ189">IFERROR(IF(tblPiNAnalysis[[#This Row],[ID]]="", "", INDEX(tblPiNHistorical[[SAMV]:[ASH]], MATCH(tblPiNAnalysis[[#This Row],[ID]],tblPiNHistorical[ID], 0),MATCH(_xlfn._xlws.FILTER(tblPiNAnalysis[[#Headers],[SAMV]:[ASH]], tblPiNAnalysis[[#This Row],[PiN más alto]]=tblPiNAnalysis[[#This Row],[SAMV]:[ASH]]), tblPiNHistorical[[#Headers],[SAMV]:[ASH]], 0))), "")</f>
        <v>6.9</v>
      </c>
      <c r="AR189" s="99" t="str" cm="1">
        <f t="array" ref="AR18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89" s="74" cm="1">
        <f t="array" ref="AS189">IFERROR(IF(tblPiNAnalysis[[#This Row],[ID]]="", "", INDEX(tblPiNHistorical[[SAMV]:[ASH]], MATCH(tblPiNAnalysis[[#This Row],[ID]],tblPiNHistorical[ID], 0),MATCH(_xlfn._xlws.FILTER(tblPiNAnalysis[[#Headers],[SAMV]:[ASH]], tblPiNAnalysis[[#This Row],[2º PiN más alto]]=tblPiNAnalysis[[#This Row],[SAMV]:[ASH]]), tblPiNHistorical[[#Headers],[SAMV]:[ASH]], 0))), "")</f>
        <v>10.7</v>
      </c>
      <c r="AT189" s="100" t="str" cm="1">
        <f t="array" ref="AT18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89" s="219">
        <f>INDEX(tblSeverityAnalysis[Severidad final], MATCH(tblPiNAnalysis[[#This Row],[ID]],tblSeverityAnalysis[ID], 0))</f>
        <v>3</v>
      </c>
      <c r="AV189" s="220">
        <f>IF(tblPiNAnalysis[[#This Row],[Severidad]]&gt;2,tblPiNAnalysis[[#This Row],[PiN más alto]],)</f>
        <v>8400</v>
      </c>
      <c r="AW189" s="54"/>
      <c r="AX189" s="55"/>
      <c r="AY189" s="56">
        <f>COUNTIFS(tblPiNAnalysis[[#This Row],[Número de PiN ausentes/cero superior al umbral - Calidad de los datos]:[Marcador manual]],"Flagged")</f>
        <v>4</v>
      </c>
      <c r="AZ189" s="34" t="str">
        <f>IF(tblPiNAnalysis[[#This Row],[Número de marcadores]]&gt;0, "Flagged", "")</f>
        <v>Flagged</v>
      </c>
      <c r="BA189" s="92">
        <f>tblPiNAnalysis[[#This Row],[PiN preliminar]]</f>
        <v>8400</v>
      </c>
      <c r="BB189" s="97"/>
      <c r="BC189" s="70">
        <f>IFERROR(IF(tblPiNAnalysis[[#This Row],[Severidad]]=3,tblPiNAnalysis[[#This Row],[PiN final]]*Umbrales!$D$33,tblPiNAnalysis[[#This Row],[PiN final]]*Umbrales!$D$34),)</f>
        <v>4200</v>
      </c>
      <c r="BD189" s="70">
        <f>IFERROR(IF(tblPiNAnalysis[[#This Row],[Severidad]]&gt;3,tblPiNAnalysis[[#This Row],[PiN final]]*Umbrales!$D$34,),)</f>
        <v>0</v>
      </c>
    </row>
    <row r="190" spans="1:56">
      <c r="A190" s="101" t="str">
        <f>IFERROR(_xlfn.CONCAT(IF(tblPiNAnalysis[[#This Row],[Grupo]]="", "",tblPiNAnalysis[[#This Row],[Grupo]] ),  _xlfn.IFS(tblPiNAnalysis[[#This Row],[Admin2PCODE]]&lt;&gt;"", tblPiNAnalysis[[#This Row],[Admin2PCODE]], tblPiNAnalysis[[#This Row],[Admin1PCODE]]&lt;&gt;"", tblPiNAnalysis[[#This Row],[Admin1PCODE]])),"")</f>
        <v>VenezolanosVE1118</v>
      </c>
      <c r="B190" s="105" t="s">
        <v>316</v>
      </c>
      <c r="C190" s="104" t="s">
        <v>317</v>
      </c>
      <c r="D190" s="119" t="s">
        <v>147</v>
      </c>
      <c r="E190" s="104" t="s">
        <v>349</v>
      </c>
      <c r="F190" s="358"/>
      <c r="G190" s="357">
        <v>10869</v>
      </c>
      <c r="H190" s="103" t="s">
        <v>102</v>
      </c>
      <c r="I190" s="60">
        <v>1418</v>
      </c>
      <c r="J190" s="134">
        <v>916.92668144987113</v>
      </c>
      <c r="K190" s="57">
        <v>8400</v>
      </c>
      <c r="L190" s="87">
        <v>932.3776863418052</v>
      </c>
      <c r="M190" s="87">
        <v>2167.6895411594974</v>
      </c>
      <c r="N190" s="57">
        <v>6521.4</v>
      </c>
      <c r="O190" s="57">
        <v>693.66065317103926</v>
      </c>
      <c r="P190" s="57">
        <v>758.69133940582401</v>
      </c>
      <c r="Q190" s="88">
        <f>IFERROR(IF(tblPiNAnalysis[[#This Row],[SAMV]]="", "", MROUND(tblPiNAnalysis[[#This Row],[SAMV]]/tblPiNAnalysis[[#This Row],[Población]], 0.05)), "")</f>
        <v>0.15000000000000002</v>
      </c>
      <c r="R190" s="89">
        <f>IFERROR(IF(tblPiNAnalysis[[#This Row],[NUT]]="", "", MROUND(tblPiNAnalysis[[#This Row],[NUT]]/tblPiNAnalysis[[#This Row],[Población]], 0.05)), "")</f>
        <v>0.1</v>
      </c>
      <c r="S190" s="89">
        <f>IFERROR(IF(tblPiNAnalysis[[#This Row],[SAL]]="", "", MROUND(tblPiNAnalysis[[#This Row],[SAL]]/tblPiNAnalysis[[#This Row],[Población]], 0.05)), "")</f>
        <v>0.75</v>
      </c>
      <c r="T190" s="89">
        <f>IFERROR(IF(tblPiNAnalysis[[#This Row],[EDU]]="", "", MROUND(tblPiNAnalysis[[#This Row],[EDU]]/tblPiNAnalysis[[#This Row],[Población]], 0.05)), "")</f>
        <v>0.1</v>
      </c>
      <c r="U190" s="89">
        <f>IFERROR(IF(tblPiNAnalysis[[#This Row],[PRO]]="", "", MROUND(tblPiNAnalysis[[#This Row],[PRO]]/tblPiNAnalysis[[#This Row],[Población]], 0.05)), "")</f>
        <v>0.2</v>
      </c>
      <c r="V190" s="90">
        <f>IFERROR(IF(tblPiNAnalysis[[#This Row],[ASH]]="", "", MROUND(tblPiNAnalysis[[#This Row],[ASH]]/tblPiNAnalysis[[#This Row],[Población]], 0.05)), "")</f>
        <v>0.60000000000000009</v>
      </c>
      <c r="W190" s="89">
        <f>IFERROR(MROUND(tblPiNAnalysis[[#This Row],[NNA]]/tblPiNAnalysis[[#This Row],[Población]], 0.05), "")</f>
        <v>0.05</v>
      </c>
      <c r="X190" s="89">
        <f>IFERROR(MROUND(tblPiNAnalysis[[#This Row],[VBG]]/tblPiNAnalysis[[#This Row],[Población]], 0.05), "")</f>
        <v>0.05</v>
      </c>
      <c r="Y190" s="91">
        <f>IFERROR(LARGE(tblPiNAnalysis[[#This Row],[SAMV]:[ASH]], 1), "")</f>
        <v>8400</v>
      </c>
      <c r="Z190" s="92" t="str" cm="1">
        <f t="array" ref="Z190">IF(tblPiNAnalysis[[#This Row],[PiN más alto]]="", "", _xlfn.TEXTJOIN(CHAR(10), TRUE, IF(tblPiNAnalysis[[#This Row],[PiN más alto]]=tblPiNAnalysis[[#This Row],[SAMV]:[ASH]], tblPiNAnalysis[[#Headers],[SAMV]:[ASH]], "")))</f>
        <v>SAL</v>
      </c>
      <c r="AA190" s="93">
        <f>IF(tblPiNAnalysis[[#This Row],[PiN más alto]]="", "", tblPiNAnalysis[[#This Row],[PiN más alto]]/tblPiNAnalysis[[#This Row],[Población]])</f>
        <v>0.77284018768975982</v>
      </c>
      <c r="AB190" s="94" t="str">
        <f>IF(SUM(tblPiNAnalysis[[#This Row],[SAMV]:[ASH]])=0, "",IF(COUNTIF(tblPiNAnalysis[[#This Row],[SAMV]:[ASH]],"=0")+COUNTIF(tblPiNAnalysis[[#This Row],[SAMV]:[ASH]],"")&gt;=zero_pin_thresh, "Flagged", ""))</f>
        <v/>
      </c>
      <c r="AC190" s="95" t="str">
        <f>IFERROR(IF(tblPiNAnalysis[[#This Row],[PiN más alto]]="", "", IF(tblPiNAnalysis[[#This Row],[% PiN Sectores más altos]]&gt;=flag_pin_perc, "Flagged", "")), "")</f>
        <v/>
      </c>
      <c r="AD190" s="96" t="str" cm="1">
        <f t="array" ref="AD190">IF(tblPiNAnalysis[[#This Row],[PiN más alto]]=0, "",  IF(OR(COUNTIF(tblPiNAnalysis[[#This Row],[Sectores más altos]],tblSubSectorPopulation[Sector])), "Flagged", ""))</f>
        <v/>
      </c>
      <c r="AE190" s="16" cm="1">
        <f t="array" ref="AE19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6521.4</v>
      </c>
      <c r="AF190" s="97" t="str" cm="1">
        <f t="array" ref="AF190">IF(tblPiNAnalysis[[#This Row],[2º PiN más alto]]="", "", _xlfn.TEXTJOIN(CHAR(10), TRUE, IF(tblPiNAnalysis[[#This Row],[2º PiN más alto]]=tblPiNAnalysis[[#This Row],[SAMV]:[ASH]], tblPiNAnalysis[[#Headers],[SAMV]:[ASH]], "")))</f>
        <v>ASH</v>
      </c>
      <c r="AG190" s="12">
        <f>IFERROR(tblPiNAnalysis[[#This Row],[2º PiN más alto]]/tblPiNAnalysis[[#This Row],[Población]], "")</f>
        <v>0.6</v>
      </c>
      <c r="AH190" s="16">
        <f>IFERROR(tblPiNAnalysis[[#This Row],[PiN más alto]]-tblPiNAnalysis[[#This Row],[2º PiN más alto]], "")</f>
        <v>1878.6000000000004</v>
      </c>
      <c r="AI190" s="14">
        <f>IFERROR(((tblPiNAnalysis[[#This Row],[PiN más alto]]-tblPiNAnalysis[[#This Row],[2º PiN más alto]])/tblPiNAnalysis[[#This Row],[2º PiN más alto]]),"")</f>
        <v>0.28806697948293319</v>
      </c>
      <c r="AJ190" s="14" t="str" cm="1">
        <f t="array" ref="AJ19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90" s="98" cm="1">
        <f t="array" ref="AK19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2167.6895411594974</v>
      </c>
      <c r="AL190" s="53" t="str" cm="1">
        <f t="array" ref="AL190">IF(tblPiNAnalysis[[#This Row],[3º PiN más alto]]="", "", _xlfn.TEXTJOIN(CHAR(10), TRUE, IF(tblPiNAnalysis[[#This Row],[3º PiN más alto]]=tblPiNAnalysis[[#This Row],[SAMV]:[ASH]], tblPiNAnalysis[[#Headers],[SAMV]:[ASH]], "")))</f>
        <v>PRO</v>
      </c>
      <c r="AM190" s="53">
        <f>IFERROR(tblPiNAnalysis[[#This Row],[3º PiN más alto]]/tblPiNAnalysis[[#This Row],[Población]], "")</f>
        <v>0.1994378085527185</v>
      </c>
      <c r="AN190" s="15">
        <f>IFERROR(tblPiNAnalysis[[#This Row],[PiN más alto]]-tblPiNAnalysis[[#This Row],[3º PiN más alto]],"")</f>
        <v>6232.3104588405022</v>
      </c>
      <c r="AO190" s="14">
        <f>IFERROR(tblPiNAnalysis[[#This Row],[Diferencia de PiN entre el más alto y el 3º más alto]]/tblPiNAnalysis[[#This Row],[3º PiN más alto]], "")</f>
        <v>2.8750936610169915</v>
      </c>
      <c r="AP190" s="96" t="str" cm="1">
        <f t="array" ref="AP19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90" s="84" cm="1">
        <f t="array" ref="AQ190">IFERROR(IF(tblPiNAnalysis[[#This Row],[ID]]="", "", INDEX(tblPiNHistorical[[SAMV]:[ASH]], MATCH(tblPiNAnalysis[[#This Row],[ID]],tblPiNHistorical[ID], 0),MATCH(_xlfn._xlws.FILTER(tblPiNAnalysis[[#Headers],[SAMV]:[ASH]], tblPiNAnalysis[[#This Row],[PiN más alto]]=tblPiNAnalysis[[#This Row],[SAMV]:[ASH]]), tblPiNHistorical[[#Headers],[SAMV]:[ASH]], 0))), "")</f>
        <v>1.9</v>
      </c>
      <c r="AR190" s="99" t="str" cm="1">
        <f t="array" ref="AR19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90" s="74" cm="1">
        <f t="array" ref="AS190">IFERROR(IF(tblPiNAnalysis[[#This Row],[ID]]="", "", INDEX(tblPiNHistorical[[SAMV]:[ASH]], MATCH(tblPiNAnalysis[[#This Row],[ID]],tblPiNHistorical[ID], 0),MATCH(_xlfn._xlws.FILTER(tblPiNAnalysis[[#Headers],[SAMV]:[ASH]], tblPiNAnalysis[[#This Row],[2º PiN más alto]]=tblPiNAnalysis[[#This Row],[SAMV]:[ASH]]), tblPiNHistorical[[#Headers],[SAMV]:[ASH]], 0))), "")</f>
        <v>2.4</v>
      </c>
      <c r="AT190" s="100" t="str" cm="1">
        <f t="array" ref="AT19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90" s="219">
        <f>INDEX(tblSeverityAnalysis[Severidad final], MATCH(tblPiNAnalysis[[#This Row],[ID]],tblSeverityAnalysis[ID], 0))</f>
        <v>3</v>
      </c>
      <c r="AV190" s="220">
        <f>IF(tblPiNAnalysis[[#This Row],[Severidad]]&gt;2,tblPiNAnalysis[[#This Row],[PiN más alto]],)</f>
        <v>8400</v>
      </c>
      <c r="AW190" s="54"/>
      <c r="AX190" s="55"/>
      <c r="AY190" s="56">
        <f>COUNTIFS(tblPiNAnalysis[[#This Row],[Número de PiN ausentes/cero superior al umbral - Calidad de los datos]:[Marcador manual]],"Flagged")</f>
        <v>3</v>
      </c>
      <c r="AZ190" s="34" t="str">
        <f>IF(tblPiNAnalysis[[#This Row],[Número de marcadores]]&gt;0, "Flagged", "")</f>
        <v>Flagged</v>
      </c>
      <c r="BA190" s="92">
        <f>tblPiNAnalysis[[#This Row],[PiN preliminar]]</f>
        <v>8400</v>
      </c>
      <c r="BB190" s="97"/>
      <c r="BC190" s="70">
        <f>IFERROR(IF(tblPiNAnalysis[[#This Row],[Severidad]]=3,tblPiNAnalysis[[#This Row],[PiN final]]*Umbrales!$D$33,tblPiNAnalysis[[#This Row],[PiN final]]*Umbrales!$D$34),)</f>
        <v>4200</v>
      </c>
      <c r="BD190" s="70">
        <f>IFERROR(IF(tblPiNAnalysis[[#This Row],[Severidad]]&gt;3,tblPiNAnalysis[[#This Row],[PiN final]]*Umbrales!$D$34,),)</f>
        <v>0</v>
      </c>
    </row>
    <row r="191" spans="1:56">
      <c r="A191" s="101" t="str">
        <f>IFERROR(_xlfn.CONCAT(IF(tblPiNAnalysis[[#This Row],[Grupo]]="", "",tblPiNAnalysis[[#This Row],[Grupo]] ),  _xlfn.IFS(tblPiNAnalysis[[#This Row],[Admin2PCODE]]&lt;&gt;"", tblPiNAnalysis[[#This Row],[Admin2PCODE]], tblPiNAnalysis[[#This Row],[Admin1PCODE]]&lt;&gt;"", tblPiNAnalysis[[#This Row],[Admin1PCODE]])),"")</f>
        <v>VenezolanosVE2016</v>
      </c>
      <c r="B191" s="105" t="s">
        <v>589</v>
      </c>
      <c r="C191" s="104" t="s">
        <v>590</v>
      </c>
      <c r="D191" s="119" t="s">
        <v>100</v>
      </c>
      <c r="E191" s="104" t="s">
        <v>617</v>
      </c>
      <c r="F191" s="358"/>
      <c r="G191" s="357">
        <v>22976</v>
      </c>
      <c r="H191" s="103" t="s">
        <v>102</v>
      </c>
      <c r="I191" s="60">
        <v>6063</v>
      </c>
      <c r="J191" s="134">
        <v>2444.3455748165311</v>
      </c>
      <c r="K191" s="57">
        <v>8386.24</v>
      </c>
      <c r="L191" s="87">
        <v>2433.6208823545603</v>
      </c>
      <c r="M191" s="87">
        <v>4599.2251812771865</v>
      </c>
      <c r="N191" s="57">
        <v>0</v>
      </c>
      <c r="O191" s="57">
        <v>1471.7520580086998</v>
      </c>
      <c r="P191" s="57">
        <v>1609.7288134470152</v>
      </c>
      <c r="Q191" s="88">
        <f>IFERROR(IF(tblPiNAnalysis[[#This Row],[SAMV]]="", "", MROUND(tblPiNAnalysis[[#This Row],[SAMV]]/tblPiNAnalysis[[#This Row],[Población]], 0.05)), "")</f>
        <v>0.25</v>
      </c>
      <c r="R191" s="89">
        <f>IFERROR(IF(tblPiNAnalysis[[#This Row],[NUT]]="", "", MROUND(tblPiNAnalysis[[#This Row],[NUT]]/tblPiNAnalysis[[#This Row],[Población]], 0.05)), "")</f>
        <v>0.1</v>
      </c>
      <c r="S191" s="89">
        <f>IFERROR(IF(tblPiNAnalysis[[#This Row],[SAL]]="", "", MROUND(tblPiNAnalysis[[#This Row],[SAL]]/tblPiNAnalysis[[#This Row],[Población]], 0.05)), "")</f>
        <v>0.35000000000000003</v>
      </c>
      <c r="T191" s="89">
        <f>IFERROR(IF(tblPiNAnalysis[[#This Row],[EDU]]="", "", MROUND(tblPiNAnalysis[[#This Row],[EDU]]/tblPiNAnalysis[[#This Row],[Población]], 0.05)), "")</f>
        <v>0.1</v>
      </c>
      <c r="U191" s="89">
        <f>IFERROR(IF(tblPiNAnalysis[[#This Row],[PRO]]="", "", MROUND(tblPiNAnalysis[[#This Row],[PRO]]/tblPiNAnalysis[[#This Row],[Población]], 0.05)), "")</f>
        <v>0.2</v>
      </c>
      <c r="V191" s="90">
        <f>IFERROR(IF(tblPiNAnalysis[[#This Row],[ASH]]="", "", MROUND(tblPiNAnalysis[[#This Row],[ASH]]/tblPiNAnalysis[[#This Row],[Población]], 0.05)), "")</f>
        <v>0</v>
      </c>
      <c r="W191" s="89">
        <f>IFERROR(MROUND(tblPiNAnalysis[[#This Row],[NNA]]/tblPiNAnalysis[[#This Row],[Población]], 0.05), "")</f>
        <v>0.05</v>
      </c>
      <c r="X191" s="89">
        <f>IFERROR(MROUND(tblPiNAnalysis[[#This Row],[VBG]]/tblPiNAnalysis[[#This Row],[Población]], 0.05), "")</f>
        <v>0.05</v>
      </c>
      <c r="Y191" s="91">
        <f>IFERROR(LARGE(tblPiNAnalysis[[#This Row],[SAMV]:[ASH]], 1), "")</f>
        <v>8386.24</v>
      </c>
      <c r="Z191" s="92" t="str" cm="1">
        <f t="array" ref="Z191">IF(tblPiNAnalysis[[#This Row],[PiN más alto]]="", "", _xlfn.TEXTJOIN(CHAR(10), TRUE, IF(tblPiNAnalysis[[#This Row],[PiN más alto]]=tblPiNAnalysis[[#This Row],[SAMV]:[ASH]], tblPiNAnalysis[[#Headers],[SAMV]:[ASH]], "")))</f>
        <v>SAL</v>
      </c>
      <c r="AA191" s="93">
        <f>IF(tblPiNAnalysis[[#This Row],[PiN más alto]]="", "", tblPiNAnalysis[[#This Row],[PiN más alto]]/tblPiNAnalysis[[#This Row],[Población]])</f>
        <v>0.36499999999999999</v>
      </c>
      <c r="AB191" s="94" t="str">
        <f>IF(SUM(tblPiNAnalysis[[#This Row],[SAMV]:[ASH]])=0, "",IF(COUNTIF(tblPiNAnalysis[[#This Row],[SAMV]:[ASH]],"=0")+COUNTIF(tblPiNAnalysis[[#This Row],[SAMV]:[ASH]],"")&gt;=zero_pin_thresh, "Flagged", ""))</f>
        <v/>
      </c>
      <c r="AC191" s="95" t="str">
        <f>IFERROR(IF(tblPiNAnalysis[[#This Row],[PiN más alto]]="", "", IF(tblPiNAnalysis[[#This Row],[% PiN Sectores más altos]]&gt;=flag_pin_perc, "Flagged", "")), "")</f>
        <v/>
      </c>
      <c r="AD191" s="96" t="str" cm="1">
        <f t="array" ref="AD191">IF(tblPiNAnalysis[[#This Row],[PiN más alto]]=0, "",  IF(OR(COUNTIF(tblPiNAnalysis[[#This Row],[Sectores más altos]],tblSubSectorPopulation[Sector])), "Flagged", ""))</f>
        <v/>
      </c>
      <c r="AE191" s="16" cm="1">
        <f t="array" ref="AE19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6063</v>
      </c>
      <c r="AF191" s="97" t="str" cm="1">
        <f t="array" ref="AF191">IF(tblPiNAnalysis[[#This Row],[2º PiN más alto]]="", "", _xlfn.TEXTJOIN(CHAR(10), TRUE, IF(tblPiNAnalysis[[#This Row],[2º PiN más alto]]=tblPiNAnalysis[[#This Row],[SAMV]:[ASH]], tblPiNAnalysis[[#Headers],[SAMV]:[ASH]], "")))</f>
        <v>SAMV</v>
      </c>
      <c r="AG191" s="12">
        <f>IFERROR(tblPiNAnalysis[[#This Row],[2º PiN más alto]]/tblPiNAnalysis[[#This Row],[Población]], "")</f>
        <v>0.26388405292479111</v>
      </c>
      <c r="AH191" s="16">
        <f>IFERROR(tblPiNAnalysis[[#This Row],[PiN más alto]]-tblPiNAnalysis[[#This Row],[2º PiN más alto]], "")</f>
        <v>2323.2399999999998</v>
      </c>
      <c r="AI191" s="14">
        <f>IFERROR(((tblPiNAnalysis[[#This Row],[PiN más alto]]-tblPiNAnalysis[[#This Row],[2º PiN más alto]])/tblPiNAnalysis[[#This Row],[2º PiN más alto]]),"")</f>
        <v>0.38318324261916542</v>
      </c>
      <c r="AJ191" s="14" t="str" cm="1">
        <f t="array" ref="AJ19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91" s="98" cm="1">
        <f t="array" ref="AK19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4599.2251812771865</v>
      </c>
      <c r="AL191" s="53" t="str" cm="1">
        <f t="array" ref="AL191">IF(tblPiNAnalysis[[#This Row],[3º PiN más alto]]="", "", _xlfn.TEXTJOIN(CHAR(10), TRUE, IF(tblPiNAnalysis[[#This Row],[3º PiN más alto]]=tblPiNAnalysis[[#This Row],[SAMV]:[ASH]], tblPiNAnalysis[[#Headers],[SAMV]:[ASH]], "")))</f>
        <v>PRO</v>
      </c>
      <c r="AM191" s="53">
        <f>IFERROR(tblPiNAnalysis[[#This Row],[3º PiN más alto]]/tblPiNAnalysis[[#This Row],[Población]], "")</f>
        <v>0.2001751906892926</v>
      </c>
      <c r="AN191" s="15">
        <f>IFERROR(tblPiNAnalysis[[#This Row],[PiN más alto]]-tblPiNAnalysis[[#This Row],[3º PiN más alto]],"")</f>
        <v>3787.0148187228133</v>
      </c>
      <c r="AO191" s="14">
        <f>IFERROR(tblPiNAnalysis[[#This Row],[Diferencia de PiN entre el más alto y el 3º más alto]]/tblPiNAnalysis[[#This Row],[3º PiN más alto]], "")</f>
        <v>0.82340278404702383</v>
      </c>
      <c r="AP191" s="96" t="str" cm="1">
        <f t="array" ref="AP19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91" s="84" cm="1">
        <f t="array" ref="AQ191">IFERROR(IF(tblPiNAnalysis[[#This Row],[ID]]="", "", INDEX(tblPiNHistorical[[SAMV]:[ASH]], MATCH(tblPiNAnalysis[[#This Row],[ID]],tblPiNHistorical[ID], 0),MATCH(_xlfn._xlws.FILTER(tblPiNAnalysis[[#Headers],[SAMV]:[ASH]], tblPiNAnalysis[[#This Row],[PiN más alto]]=tblPiNAnalysis[[#This Row],[SAMV]:[ASH]]), tblPiNHistorical[[#Headers],[SAMV]:[ASH]], 0))), "")</f>
        <v>0.3</v>
      </c>
      <c r="AR191" s="99" t="str" cm="1">
        <f t="array" ref="AR19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91" s="74" cm="1">
        <f t="array" ref="AS191">IFERROR(IF(tblPiNAnalysis[[#This Row],[ID]]="", "", INDEX(tblPiNHistorical[[SAMV]:[ASH]], MATCH(tblPiNAnalysis[[#This Row],[ID]],tblPiNHistorical[ID], 0),MATCH(_xlfn._xlws.FILTER(tblPiNAnalysis[[#Headers],[SAMV]:[ASH]], tblPiNAnalysis[[#This Row],[2º PiN más alto]]=tblPiNAnalysis[[#This Row],[SAMV]:[ASH]]), tblPiNHistorical[[#Headers],[SAMV]:[ASH]], 0))), "")</f>
        <v>0.4</v>
      </c>
      <c r="AT191" s="100" t="str" cm="1">
        <f t="array" ref="AT19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91" s="219">
        <f>INDEX(tblSeverityAnalysis[Severidad final], MATCH(tblPiNAnalysis[[#This Row],[ID]],tblSeverityAnalysis[ID], 0))</f>
        <v>3</v>
      </c>
      <c r="AV191" s="220">
        <f>IF(tblPiNAnalysis[[#This Row],[Severidad]]&gt;2,tblPiNAnalysis[[#This Row],[PiN más alto]],)</f>
        <v>8386.24</v>
      </c>
      <c r="AW191" s="54"/>
      <c r="AX191" s="55"/>
      <c r="AY191" s="56">
        <f>COUNTIFS(tblPiNAnalysis[[#This Row],[Número de PiN ausentes/cero superior al umbral - Calidad de los datos]:[Marcador manual]],"Flagged")</f>
        <v>2</v>
      </c>
      <c r="AZ191" s="34" t="str">
        <f>IF(tblPiNAnalysis[[#This Row],[Número de marcadores]]&gt;0, "Flagged", "")</f>
        <v>Flagged</v>
      </c>
      <c r="BA191" s="92">
        <f>tblPiNAnalysis[[#This Row],[PiN preliminar]]</f>
        <v>8386.24</v>
      </c>
      <c r="BB191" s="97"/>
      <c r="BC191" s="70">
        <f>IFERROR(IF(tblPiNAnalysis[[#This Row],[Severidad]]=3,tblPiNAnalysis[[#This Row],[PiN final]]*Umbrales!$D$33,tblPiNAnalysis[[#This Row],[PiN final]]*Umbrales!$D$34),)</f>
        <v>4193.12</v>
      </c>
      <c r="BD191" s="70">
        <f>IFERROR(IF(tblPiNAnalysis[[#This Row],[Severidad]]&gt;3,tblPiNAnalysis[[#This Row],[PiN final]]*Umbrales!$D$34,),)</f>
        <v>0</v>
      </c>
    </row>
    <row r="192" spans="1:56">
      <c r="A192" s="101" t="str">
        <f>IFERROR(_xlfn.CONCAT(IF(tblPiNAnalysis[[#This Row],[Grupo]]="", "",tblPiNAnalysis[[#This Row],[Grupo]] ),  _xlfn.IFS(tblPiNAnalysis[[#This Row],[Admin2PCODE]]&lt;&gt;"", tblPiNAnalysis[[#This Row],[Admin2PCODE]], tblPiNAnalysis[[#This Row],[Admin1PCODE]]&lt;&gt;"", tblPiNAnalysis[[#This Row],[Admin1PCODE]])),"")</f>
        <v>VenezolanosVE1910</v>
      </c>
      <c r="B192" s="105" t="s">
        <v>203</v>
      </c>
      <c r="C192" s="104" t="s">
        <v>564</v>
      </c>
      <c r="D192" s="119" t="s">
        <v>528</v>
      </c>
      <c r="E192" s="104" t="s">
        <v>579</v>
      </c>
      <c r="F192" s="358"/>
      <c r="G192" s="357">
        <v>22838</v>
      </c>
      <c r="H192" s="103" t="s">
        <v>102</v>
      </c>
      <c r="I192" s="60">
        <v>5057</v>
      </c>
      <c r="J192" s="134">
        <v>2066.5821854677597</v>
      </c>
      <c r="K192" s="57">
        <v>8335.8700000000008</v>
      </c>
      <c r="L192" s="87">
        <v>557.68394852382698</v>
      </c>
      <c r="M192" s="87">
        <v>4555.8999598207565</v>
      </c>
      <c r="N192" s="57">
        <v>0</v>
      </c>
      <c r="O192" s="57">
        <v>1457.887987142642</v>
      </c>
      <c r="P192" s="57">
        <v>1594.5649859372645</v>
      </c>
      <c r="Q192" s="88">
        <f>IFERROR(IF(tblPiNAnalysis[[#This Row],[SAMV]]="", "", MROUND(tblPiNAnalysis[[#This Row],[SAMV]]/tblPiNAnalysis[[#This Row],[Población]], 0.05)), "")</f>
        <v>0.2</v>
      </c>
      <c r="R192" s="89">
        <f>IFERROR(IF(tblPiNAnalysis[[#This Row],[NUT]]="", "", MROUND(tblPiNAnalysis[[#This Row],[NUT]]/tblPiNAnalysis[[#This Row],[Población]], 0.05)), "")</f>
        <v>0.1</v>
      </c>
      <c r="S192" s="89">
        <f>IFERROR(IF(tblPiNAnalysis[[#This Row],[SAL]]="", "", MROUND(tblPiNAnalysis[[#This Row],[SAL]]/tblPiNAnalysis[[#This Row],[Población]], 0.05)), "")</f>
        <v>0.35000000000000003</v>
      </c>
      <c r="T192" s="89">
        <f>IFERROR(IF(tblPiNAnalysis[[#This Row],[EDU]]="", "", MROUND(tblPiNAnalysis[[#This Row],[EDU]]/tblPiNAnalysis[[#This Row],[Población]], 0.05)), "")</f>
        <v>0</v>
      </c>
      <c r="U192" s="89">
        <f>IFERROR(IF(tblPiNAnalysis[[#This Row],[PRO]]="", "", MROUND(tblPiNAnalysis[[#This Row],[PRO]]/tblPiNAnalysis[[#This Row],[Población]], 0.05)), "")</f>
        <v>0.2</v>
      </c>
      <c r="V192" s="90">
        <f>IFERROR(IF(tblPiNAnalysis[[#This Row],[ASH]]="", "", MROUND(tblPiNAnalysis[[#This Row],[ASH]]/tblPiNAnalysis[[#This Row],[Población]], 0.05)), "")</f>
        <v>0</v>
      </c>
      <c r="W192" s="89">
        <f>IFERROR(MROUND(tblPiNAnalysis[[#This Row],[NNA]]/tblPiNAnalysis[[#This Row],[Población]], 0.05), "")</f>
        <v>0.05</v>
      </c>
      <c r="X192" s="89">
        <f>IFERROR(MROUND(tblPiNAnalysis[[#This Row],[VBG]]/tblPiNAnalysis[[#This Row],[Población]], 0.05), "")</f>
        <v>0.05</v>
      </c>
      <c r="Y192" s="91">
        <f>IFERROR(LARGE(tblPiNAnalysis[[#This Row],[SAMV]:[ASH]], 1), "")</f>
        <v>8335.8700000000008</v>
      </c>
      <c r="Z192" s="92" t="str" cm="1">
        <f t="array" ref="Z192">IF(tblPiNAnalysis[[#This Row],[PiN más alto]]="", "", _xlfn.TEXTJOIN(CHAR(10), TRUE, IF(tblPiNAnalysis[[#This Row],[PiN más alto]]=tblPiNAnalysis[[#This Row],[SAMV]:[ASH]], tblPiNAnalysis[[#Headers],[SAMV]:[ASH]], "")))</f>
        <v>SAL</v>
      </c>
      <c r="AA192" s="93">
        <f>IF(tblPiNAnalysis[[#This Row],[PiN más alto]]="", "", tblPiNAnalysis[[#This Row],[PiN más alto]]/tblPiNAnalysis[[#This Row],[Población]])</f>
        <v>0.36500000000000005</v>
      </c>
      <c r="AB192" s="94" t="str">
        <f>IF(SUM(tblPiNAnalysis[[#This Row],[SAMV]:[ASH]])=0, "",IF(COUNTIF(tblPiNAnalysis[[#This Row],[SAMV]:[ASH]],"=0")+COUNTIF(tblPiNAnalysis[[#This Row],[SAMV]:[ASH]],"")&gt;=zero_pin_thresh, "Flagged", ""))</f>
        <v/>
      </c>
      <c r="AC192" s="95" t="str">
        <f>IFERROR(IF(tblPiNAnalysis[[#This Row],[PiN más alto]]="", "", IF(tblPiNAnalysis[[#This Row],[% PiN Sectores más altos]]&gt;=flag_pin_perc, "Flagged", "")), "")</f>
        <v/>
      </c>
      <c r="AD192" s="96" t="str" cm="1">
        <f t="array" ref="AD192">IF(tblPiNAnalysis[[#This Row],[PiN más alto]]=0, "",  IF(OR(COUNTIF(tblPiNAnalysis[[#This Row],[Sectores más altos]],tblSubSectorPopulation[Sector])), "Flagged", ""))</f>
        <v/>
      </c>
      <c r="AE192" s="16" cm="1">
        <f t="array" ref="AE19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5057</v>
      </c>
      <c r="AF192" s="97" t="str" cm="1">
        <f t="array" ref="AF192">IF(tblPiNAnalysis[[#This Row],[2º PiN más alto]]="", "", _xlfn.TEXTJOIN(CHAR(10), TRUE, IF(tblPiNAnalysis[[#This Row],[2º PiN más alto]]=tblPiNAnalysis[[#This Row],[SAMV]:[ASH]], tblPiNAnalysis[[#Headers],[SAMV]:[ASH]], "")))</f>
        <v>SAMV</v>
      </c>
      <c r="AG192" s="12">
        <f>IFERROR(tblPiNAnalysis[[#This Row],[2º PiN más alto]]/tblPiNAnalysis[[#This Row],[Población]], "")</f>
        <v>0.22142919695244767</v>
      </c>
      <c r="AH192" s="16">
        <f>IFERROR(tblPiNAnalysis[[#This Row],[PiN más alto]]-tblPiNAnalysis[[#This Row],[2º PiN más alto]], "")</f>
        <v>3278.8700000000008</v>
      </c>
      <c r="AI192" s="14">
        <f>IFERROR(((tblPiNAnalysis[[#This Row],[PiN más alto]]-tblPiNAnalysis[[#This Row],[2º PiN más alto]])/tblPiNAnalysis[[#This Row],[2º PiN más alto]]),"")</f>
        <v>0.64838244018192626</v>
      </c>
      <c r="AJ192" s="14" t="str" cm="1">
        <f t="array" ref="AJ19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92" s="98" cm="1">
        <f t="array" ref="AK19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4555.8999598207565</v>
      </c>
      <c r="AL192" s="53" t="str" cm="1">
        <f t="array" ref="AL192">IF(tblPiNAnalysis[[#This Row],[3º PiN más alto]]="", "", _xlfn.TEXTJOIN(CHAR(10), TRUE, IF(tblPiNAnalysis[[#This Row],[3º PiN más alto]]=tblPiNAnalysis[[#This Row],[SAMV]:[ASH]], tblPiNAnalysis[[#Headers],[SAMV]:[ASH]], "")))</f>
        <v>PRO</v>
      </c>
      <c r="AM192" s="53">
        <f>IFERROR(tblPiNAnalysis[[#This Row],[3º PiN más alto]]/tblPiNAnalysis[[#This Row],[Población]], "")</f>
        <v>0.1994876941860389</v>
      </c>
      <c r="AN192" s="15">
        <f>IFERROR(tblPiNAnalysis[[#This Row],[PiN más alto]]-tblPiNAnalysis[[#This Row],[3º PiN más alto]],"")</f>
        <v>3779.9700401792443</v>
      </c>
      <c r="AO192" s="14">
        <f>IFERROR(tblPiNAnalysis[[#This Row],[Diferencia de PiN entre el más alto y el 3º más alto]]/tblPiNAnalysis[[#This Row],[3º PiN más alto]], "")</f>
        <v>0.82968679591637917</v>
      </c>
      <c r="AP192" s="96" t="str" cm="1">
        <f t="array" ref="AP19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92" s="84" cm="1">
        <f t="array" ref="AQ192">IFERROR(IF(tblPiNAnalysis[[#This Row],[ID]]="", "", INDEX(tblPiNHistorical[[SAMV]:[ASH]], MATCH(tblPiNAnalysis[[#This Row],[ID]],tblPiNHistorical[ID], 0),MATCH(_xlfn._xlws.FILTER(tblPiNAnalysis[[#Headers],[SAMV]:[ASH]], tblPiNAnalysis[[#This Row],[PiN más alto]]=tblPiNAnalysis[[#This Row],[SAMV]:[ASH]]), tblPiNHistorical[[#Headers],[SAMV]:[ASH]], 0))), "")</f>
        <v>0.9</v>
      </c>
      <c r="AR192" s="99" t="str" cm="1">
        <f t="array" ref="AR19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92" s="74" cm="1">
        <f t="array" ref="AS192">IFERROR(IF(tblPiNAnalysis[[#This Row],[ID]]="", "", INDEX(tblPiNHistorical[[SAMV]:[ASH]], MATCH(tblPiNAnalysis[[#This Row],[ID]],tblPiNHistorical[ID], 0),MATCH(_xlfn._xlws.FILTER(tblPiNAnalysis[[#Headers],[SAMV]:[ASH]], tblPiNAnalysis[[#This Row],[2º PiN más alto]]=tblPiNAnalysis[[#This Row],[SAMV]:[ASH]]), tblPiNHistorical[[#Headers],[SAMV]:[ASH]], 0))), "")</f>
        <v>0.4</v>
      </c>
      <c r="AT192" s="100" t="str" cm="1">
        <f t="array" ref="AT19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92" s="219">
        <f>INDEX(tblSeverityAnalysis[Severidad final], MATCH(tblPiNAnalysis[[#This Row],[ID]],tblSeverityAnalysis[ID], 0))</f>
        <v>3</v>
      </c>
      <c r="AV192" s="220">
        <f>IF(tblPiNAnalysis[[#This Row],[Severidad]]&gt;2,tblPiNAnalysis[[#This Row],[PiN más alto]],)</f>
        <v>8335.8700000000008</v>
      </c>
      <c r="AW192" s="54"/>
      <c r="AX192" s="55"/>
      <c r="AY192" s="56">
        <f>COUNTIFS(tblPiNAnalysis[[#This Row],[Número de PiN ausentes/cero superior al umbral - Calidad de los datos]:[Marcador manual]],"Flagged")</f>
        <v>2</v>
      </c>
      <c r="AZ192" s="34" t="str">
        <f>IF(tblPiNAnalysis[[#This Row],[Número de marcadores]]&gt;0, "Flagged", "")</f>
        <v>Flagged</v>
      </c>
      <c r="BA192" s="92">
        <f>tblPiNAnalysis[[#This Row],[PiN preliminar]]</f>
        <v>8335.8700000000008</v>
      </c>
      <c r="BB192" s="97"/>
      <c r="BC192" s="70">
        <f>IFERROR(IF(tblPiNAnalysis[[#This Row],[Severidad]]=3,tblPiNAnalysis[[#This Row],[PiN final]]*Umbrales!$D$33,tblPiNAnalysis[[#This Row],[PiN final]]*Umbrales!$D$34),)</f>
        <v>4167.9350000000004</v>
      </c>
      <c r="BD192" s="70">
        <f>IFERROR(IF(tblPiNAnalysis[[#This Row],[Severidad]]&gt;3,tblPiNAnalysis[[#This Row],[PiN final]]*Umbrales!$D$34,),)</f>
        <v>0</v>
      </c>
    </row>
    <row r="193" spans="1:56">
      <c r="A193" s="101" t="str">
        <f>IFERROR(_xlfn.CONCAT(IF(tblPiNAnalysis[[#This Row],[Grupo]]="", "",tblPiNAnalysis[[#This Row],[Grupo]] ),  _xlfn.IFS(tblPiNAnalysis[[#This Row],[Admin2PCODE]]&lt;&gt;"", tblPiNAnalysis[[#This Row],[Admin2PCODE]], tblPiNAnalysis[[#This Row],[Admin1PCODE]]&lt;&gt;"", tblPiNAnalysis[[#This Row],[Admin1PCODE]])),"")</f>
        <v>VenezolanosVE2115</v>
      </c>
      <c r="B193" s="105" t="s">
        <v>642</v>
      </c>
      <c r="C193" s="104" t="s">
        <v>643</v>
      </c>
      <c r="D193" s="119" t="s">
        <v>669</v>
      </c>
      <c r="E193" s="104" t="s">
        <v>670</v>
      </c>
      <c r="F193" s="358"/>
      <c r="G193" s="357">
        <v>22649</v>
      </c>
      <c r="H193" s="103" t="s">
        <v>102</v>
      </c>
      <c r="I193" s="60">
        <v>3303</v>
      </c>
      <c r="J193" s="134">
        <v>741.48890425405136</v>
      </c>
      <c r="K193" s="57">
        <v>8266.8850000000002</v>
      </c>
      <c r="L193" s="87">
        <v>2372.8880785709603</v>
      </c>
      <c r="M193" s="87">
        <v>4566.1199741181063</v>
      </c>
      <c r="N193" s="57">
        <v>0</v>
      </c>
      <c r="O193" s="57">
        <v>1461.1583917177941</v>
      </c>
      <c r="P193" s="57">
        <v>1598.1419909413371</v>
      </c>
      <c r="Q193" s="88">
        <f>IFERROR(IF(tblPiNAnalysis[[#This Row],[SAMV]]="", "", MROUND(tblPiNAnalysis[[#This Row],[SAMV]]/tblPiNAnalysis[[#This Row],[Población]], 0.05)), "")</f>
        <v>0.15000000000000002</v>
      </c>
      <c r="R193" s="89">
        <f>IFERROR(IF(tblPiNAnalysis[[#This Row],[NUT]]="", "", MROUND(tblPiNAnalysis[[#This Row],[NUT]]/tblPiNAnalysis[[#This Row],[Población]], 0.05)), "")</f>
        <v>0.05</v>
      </c>
      <c r="S193" s="89">
        <f>IFERROR(IF(tblPiNAnalysis[[#This Row],[SAL]]="", "", MROUND(tblPiNAnalysis[[#This Row],[SAL]]/tblPiNAnalysis[[#This Row],[Población]], 0.05)), "")</f>
        <v>0.35000000000000003</v>
      </c>
      <c r="T193" s="89">
        <f>IFERROR(IF(tblPiNAnalysis[[#This Row],[EDU]]="", "", MROUND(tblPiNAnalysis[[#This Row],[EDU]]/tblPiNAnalysis[[#This Row],[Población]], 0.05)), "")</f>
        <v>0.1</v>
      </c>
      <c r="U193" s="89">
        <f>IFERROR(IF(tblPiNAnalysis[[#This Row],[PRO]]="", "", MROUND(tblPiNAnalysis[[#This Row],[PRO]]/tblPiNAnalysis[[#This Row],[Población]], 0.05)), "")</f>
        <v>0.2</v>
      </c>
      <c r="V193" s="90">
        <f>IFERROR(IF(tblPiNAnalysis[[#This Row],[ASH]]="", "", MROUND(tblPiNAnalysis[[#This Row],[ASH]]/tblPiNAnalysis[[#This Row],[Población]], 0.05)), "")</f>
        <v>0</v>
      </c>
      <c r="W193" s="89">
        <f>IFERROR(MROUND(tblPiNAnalysis[[#This Row],[NNA]]/tblPiNAnalysis[[#This Row],[Población]], 0.05), "")</f>
        <v>0.05</v>
      </c>
      <c r="X193" s="89">
        <f>IFERROR(MROUND(tblPiNAnalysis[[#This Row],[VBG]]/tblPiNAnalysis[[#This Row],[Población]], 0.05), "")</f>
        <v>0.05</v>
      </c>
      <c r="Y193" s="91">
        <f>IFERROR(LARGE(tblPiNAnalysis[[#This Row],[SAMV]:[ASH]], 1), "")</f>
        <v>8266.8850000000002</v>
      </c>
      <c r="Z193" s="92" t="str" cm="1">
        <f t="array" ref="Z193">IF(tblPiNAnalysis[[#This Row],[PiN más alto]]="", "", _xlfn.TEXTJOIN(CHAR(10), TRUE, IF(tblPiNAnalysis[[#This Row],[PiN más alto]]=tblPiNAnalysis[[#This Row],[SAMV]:[ASH]], tblPiNAnalysis[[#Headers],[SAMV]:[ASH]], "")))</f>
        <v>SAL</v>
      </c>
      <c r="AA193" s="93">
        <f>IF(tblPiNAnalysis[[#This Row],[PiN más alto]]="", "", tblPiNAnalysis[[#This Row],[PiN más alto]]/tblPiNAnalysis[[#This Row],[Población]])</f>
        <v>0.36499999999999999</v>
      </c>
      <c r="AB193" s="94" t="str">
        <f>IF(SUM(tblPiNAnalysis[[#This Row],[SAMV]:[ASH]])=0, "",IF(COUNTIF(tblPiNAnalysis[[#This Row],[SAMV]:[ASH]],"=0")+COUNTIF(tblPiNAnalysis[[#This Row],[SAMV]:[ASH]],"")&gt;=zero_pin_thresh, "Flagged", ""))</f>
        <v/>
      </c>
      <c r="AC193" s="95" t="str">
        <f>IFERROR(IF(tblPiNAnalysis[[#This Row],[PiN más alto]]="", "", IF(tblPiNAnalysis[[#This Row],[% PiN Sectores más altos]]&gt;=flag_pin_perc, "Flagged", "")), "")</f>
        <v/>
      </c>
      <c r="AD193" s="96" t="str" cm="1">
        <f t="array" ref="AD193">IF(tblPiNAnalysis[[#This Row],[PiN más alto]]=0, "",  IF(OR(COUNTIF(tblPiNAnalysis[[#This Row],[Sectores más altos]],tblSubSectorPopulation[Sector])), "Flagged", ""))</f>
        <v/>
      </c>
      <c r="AE193" s="16" cm="1">
        <f t="array" ref="AE19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4566.1199741181063</v>
      </c>
      <c r="AF193" s="97" t="str" cm="1">
        <f t="array" ref="AF193">IF(tblPiNAnalysis[[#This Row],[2º PiN más alto]]="", "", _xlfn.TEXTJOIN(CHAR(10), TRUE, IF(tblPiNAnalysis[[#This Row],[2º PiN más alto]]=tblPiNAnalysis[[#This Row],[SAMV]:[ASH]], tblPiNAnalysis[[#Headers],[SAMV]:[ASH]], "")))</f>
        <v>PRO</v>
      </c>
      <c r="AG193" s="12">
        <f>IFERROR(tblPiNAnalysis[[#This Row],[2º PiN más alto]]/tblPiNAnalysis[[#This Row],[Población]], "")</f>
        <v>0.20160360166533209</v>
      </c>
      <c r="AH193" s="16">
        <f>IFERROR(tblPiNAnalysis[[#This Row],[PiN más alto]]-tblPiNAnalysis[[#This Row],[2º PiN más alto]], "")</f>
        <v>3700.765025881894</v>
      </c>
      <c r="AI193" s="14">
        <f>IFERROR(((tblPiNAnalysis[[#This Row],[PiN más alto]]-tblPiNAnalysis[[#This Row],[2º PiN más alto]])/tblPiNAnalysis[[#This Row],[2º PiN más alto]]),"")</f>
        <v>0.81048352799723666</v>
      </c>
      <c r="AJ193" s="14" t="str" cm="1">
        <f t="array" ref="AJ19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93" s="98" cm="1">
        <f t="array" ref="AK19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3303</v>
      </c>
      <c r="AL193" s="53" t="str" cm="1">
        <f t="array" ref="AL193">IF(tblPiNAnalysis[[#This Row],[3º PiN más alto]]="", "", _xlfn.TEXTJOIN(CHAR(10), TRUE, IF(tblPiNAnalysis[[#This Row],[3º PiN más alto]]=tblPiNAnalysis[[#This Row],[SAMV]:[ASH]], tblPiNAnalysis[[#Headers],[SAMV]:[ASH]], "")))</f>
        <v>SAMV</v>
      </c>
      <c r="AM193" s="53">
        <f>IFERROR(tblPiNAnalysis[[#This Row],[3º PiN más alto]]/tblPiNAnalysis[[#This Row],[Población]], "")</f>
        <v>0.14583425316791029</v>
      </c>
      <c r="AN193" s="15">
        <f>IFERROR(tblPiNAnalysis[[#This Row],[PiN más alto]]-tblPiNAnalysis[[#This Row],[3º PiN más alto]],"")</f>
        <v>4963.8850000000002</v>
      </c>
      <c r="AO193" s="14">
        <f>IFERROR(tblPiNAnalysis[[#This Row],[Diferencia de PiN entre el más alto y el 3º más alto]]/tblPiNAnalysis[[#This Row],[3º PiN más alto]], "")</f>
        <v>1.5028413563427188</v>
      </c>
      <c r="AP193" s="96" t="str" cm="1">
        <f t="array" ref="AP19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93" s="84" cm="1">
        <f t="array" ref="AQ193">IFERROR(IF(tblPiNAnalysis[[#This Row],[ID]]="", "", INDEX(tblPiNHistorical[[SAMV]:[ASH]], MATCH(tblPiNAnalysis[[#This Row],[ID]],tblPiNHistorical[ID], 0),MATCH(_xlfn._xlws.FILTER(tblPiNAnalysis[[#Headers],[SAMV]:[ASH]], tblPiNAnalysis[[#This Row],[PiN más alto]]=tblPiNAnalysis[[#This Row],[SAMV]:[ASH]]), tblPiNHistorical[[#Headers],[SAMV]:[ASH]], 0))), "")</f>
        <v>0.3</v>
      </c>
      <c r="AR193" s="99" t="str" cm="1">
        <f t="array" ref="AR19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93" s="74" cm="1">
        <f t="array" ref="AS193">IFERROR(IF(tblPiNAnalysis[[#This Row],[ID]]="", "", INDEX(tblPiNHistorical[[SAMV]:[ASH]], MATCH(tblPiNAnalysis[[#This Row],[ID]],tblPiNHistorical[ID], 0),MATCH(_xlfn._xlws.FILTER(tblPiNAnalysis[[#Headers],[SAMV]:[ASH]], tblPiNAnalysis[[#This Row],[2º PiN más alto]]=tblPiNAnalysis[[#This Row],[SAMV]:[ASH]]), tblPiNHistorical[[#Headers],[SAMV]:[ASH]], 0))), "")</f>
        <v>-0.7</v>
      </c>
      <c r="AT193" s="100" t="str" cm="1">
        <f t="array" ref="AT19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93" s="219">
        <f>INDEX(tblSeverityAnalysis[Severidad final], MATCH(tblPiNAnalysis[[#This Row],[ID]],tblSeverityAnalysis[ID], 0))</f>
        <v>3</v>
      </c>
      <c r="AV193" s="220">
        <f>IF(tblPiNAnalysis[[#This Row],[Severidad]]&gt;2,tblPiNAnalysis[[#This Row],[PiN más alto]],)</f>
        <v>8266.8850000000002</v>
      </c>
      <c r="AW193" s="54"/>
      <c r="AX193" s="55"/>
      <c r="AY193" s="56">
        <f>COUNTIFS(tblPiNAnalysis[[#This Row],[Número de PiN ausentes/cero superior al umbral - Calidad de los datos]:[Marcador manual]],"Flagged")</f>
        <v>2</v>
      </c>
      <c r="AZ193" s="34" t="str">
        <f>IF(tblPiNAnalysis[[#This Row],[Número de marcadores]]&gt;0, "Flagged", "")</f>
        <v>Flagged</v>
      </c>
      <c r="BA193" s="92">
        <f>tblPiNAnalysis[[#This Row],[PiN preliminar]]</f>
        <v>8266.8850000000002</v>
      </c>
      <c r="BB193" s="97"/>
      <c r="BC193" s="70">
        <f>IFERROR(IF(tblPiNAnalysis[[#This Row],[Severidad]]=3,tblPiNAnalysis[[#This Row],[PiN final]]*Umbrales!$D$33,tblPiNAnalysis[[#This Row],[PiN final]]*Umbrales!$D$34),)</f>
        <v>4133.4425000000001</v>
      </c>
      <c r="BD193" s="70">
        <f>IFERROR(IF(tblPiNAnalysis[[#This Row],[Severidad]]&gt;3,tblPiNAnalysis[[#This Row],[PiN final]]*Umbrales!$D$34,),)</f>
        <v>0</v>
      </c>
    </row>
    <row r="194" spans="1:56">
      <c r="A194" s="101" t="str">
        <f>IFERROR(_xlfn.CONCAT(IF(tblPiNAnalysis[[#This Row],[Grupo]]="", "",tblPiNAnalysis[[#This Row],[Grupo]] ),  _xlfn.IFS(tblPiNAnalysis[[#This Row],[Admin2PCODE]]&lt;&gt;"", tblPiNAnalysis[[#This Row],[Admin2PCODE]], tblPiNAnalysis[[#This Row],[Admin1PCODE]]&lt;&gt;"", tblPiNAnalysis[[#This Row],[Admin1PCODE]])),"")</f>
        <v>VenezolanosVE1906</v>
      </c>
      <c r="B194" s="105" t="s">
        <v>203</v>
      </c>
      <c r="C194" s="104" t="s">
        <v>564</v>
      </c>
      <c r="D194" s="119" t="s">
        <v>180</v>
      </c>
      <c r="E194" s="104" t="s">
        <v>573</v>
      </c>
      <c r="F194" s="358"/>
      <c r="G194" s="357">
        <v>22365</v>
      </c>
      <c r="H194" s="103" t="s">
        <v>102</v>
      </c>
      <c r="I194" s="60">
        <v>3313</v>
      </c>
      <c r="J194" s="134">
        <v>834.19808545334001</v>
      </c>
      <c r="K194" s="57">
        <v>8163.2250000000004</v>
      </c>
      <c r="L194" s="87">
        <v>1008.1076222661311</v>
      </c>
      <c r="M194" s="87">
        <v>4461.5422804707596</v>
      </c>
      <c r="N194" s="57">
        <v>0</v>
      </c>
      <c r="O194" s="57">
        <v>1427.6935297506429</v>
      </c>
      <c r="P194" s="57">
        <v>1561.5397981647659</v>
      </c>
      <c r="Q194" s="88">
        <f>IFERROR(IF(tblPiNAnalysis[[#This Row],[SAMV]]="", "", MROUND(tblPiNAnalysis[[#This Row],[SAMV]]/tblPiNAnalysis[[#This Row],[Población]], 0.05)), "")</f>
        <v>0.15000000000000002</v>
      </c>
      <c r="R194" s="89">
        <f>IFERROR(IF(tblPiNAnalysis[[#This Row],[NUT]]="", "", MROUND(tblPiNAnalysis[[#This Row],[NUT]]/tblPiNAnalysis[[#This Row],[Población]], 0.05)), "")</f>
        <v>0.05</v>
      </c>
      <c r="S194" s="89">
        <f>IFERROR(IF(tblPiNAnalysis[[#This Row],[SAL]]="", "", MROUND(tblPiNAnalysis[[#This Row],[SAL]]/tblPiNAnalysis[[#This Row],[Población]], 0.05)), "")</f>
        <v>0.35000000000000003</v>
      </c>
      <c r="T194" s="89">
        <f>IFERROR(IF(tblPiNAnalysis[[#This Row],[EDU]]="", "", MROUND(tblPiNAnalysis[[#This Row],[EDU]]/tblPiNAnalysis[[#This Row],[Población]], 0.05)), "")</f>
        <v>0.05</v>
      </c>
      <c r="U194" s="89">
        <f>IFERROR(IF(tblPiNAnalysis[[#This Row],[PRO]]="", "", MROUND(tblPiNAnalysis[[#This Row],[PRO]]/tblPiNAnalysis[[#This Row],[Población]], 0.05)), "")</f>
        <v>0.2</v>
      </c>
      <c r="V194" s="90">
        <f>IFERROR(IF(tblPiNAnalysis[[#This Row],[ASH]]="", "", MROUND(tblPiNAnalysis[[#This Row],[ASH]]/tblPiNAnalysis[[#This Row],[Población]], 0.05)), "")</f>
        <v>0</v>
      </c>
      <c r="W194" s="89">
        <f>IFERROR(MROUND(tblPiNAnalysis[[#This Row],[NNA]]/tblPiNAnalysis[[#This Row],[Población]], 0.05), "")</f>
        <v>0.05</v>
      </c>
      <c r="X194" s="89">
        <f>IFERROR(MROUND(tblPiNAnalysis[[#This Row],[VBG]]/tblPiNAnalysis[[#This Row],[Población]], 0.05), "")</f>
        <v>0.05</v>
      </c>
      <c r="Y194" s="91">
        <f>IFERROR(LARGE(tblPiNAnalysis[[#This Row],[SAMV]:[ASH]], 1), "")</f>
        <v>8163.2250000000004</v>
      </c>
      <c r="Z194" s="92" t="str" cm="1">
        <f t="array" ref="Z194">IF(tblPiNAnalysis[[#This Row],[PiN más alto]]="", "", _xlfn.TEXTJOIN(CHAR(10), TRUE, IF(tblPiNAnalysis[[#This Row],[PiN más alto]]=tblPiNAnalysis[[#This Row],[SAMV]:[ASH]], tblPiNAnalysis[[#Headers],[SAMV]:[ASH]], "")))</f>
        <v>SAL</v>
      </c>
      <c r="AA194" s="93">
        <f>IF(tblPiNAnalysis[[#This Row],[PiN más alto]]="", "", tblPiNAnalysis[[#This Row],[PiN más alto]]/tblPiNAnalysis[[#This Row],[Población]])</f>
        <v>0.36499999999999999</v>
      </c>
      <c r="AB194" s="94" t="str">
        <f>IF(SUM(tblPiNAnalysis[[#This Row],[SAMV]:[ASH]])=0, "",IF(COUNTIF(tblPiNAnalysis[[#This Row],[SAMV]:[ASH]],"=0")+COUNTIF(tblPiNAnalysis[[#This Row],[SAMV]:[ASH]],"")&gt;=zero_pin_thresh, "Flagged", ""))</f>
        <v/>
      </c>
      <c r="AC194" s="95" t="str">
        <f>IFERROR(IF(tblPiNAnalysis[[#This Row],[PiN más alto]]="", "", IF(tblPiNAnalysis[[#This Row],[% PiN Sectores más altos]]&gt;=flag_pin_perc, "Flagged", "")), "")</f>
        <v/>
      </c>
      <c r="AD194" s="96" t="str" cm="1">
        <f t="array" ref="AD194">IF(tblPiNAnalysis[[#This Row],[PiN más alto]]=0, "",  IF(OR(COUNTIF(tblPiNAnalysis[[#This Row],[Sectores más altos]],tblSubSectorPopulation[Sector])), "Flagged", ""))</f>
        <v/>
      </c>
      <c r="AE194" s="16" cm="1">
        <f t="array" ref="AE19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4461.5422804707596</v>
      </c>
      <c r="AF194" s="97" t="str" cm="1">
        <f t="array" ref="AF194">IF(tblPiNAnalysis[[#This Row],[2º PiN más alto]]="", "", _xlfn.TEXTJOIN(CHAR(10), TRUE, IF(tblPiNAnalysis[[#This Row],[2º PiN más alto]]=tblPiNAnalysis[[#This Row],[SAMV]:[ASH]], tblPiNAnalysis[[#Headers],[SAMV]:[ASH]], "")))</f>
        <v>PRO</v>
      </c>
      <c r="AG194" s="12">
        <f>IFERROR(tblPiNAnalysis[[#This Row],[2º PiN más alto]]/tblPiNAnalysis[[#This Row],[Población]], "")</f>
        <v>0.19948769418603887</v>
      </c>
      <c r="AH194" s="16">
        <f>IFERROR(tblPiNAnalysis[[#This Row],[PiN más alto]]-tblPiNAnalysis[[#This Row],[2º PiN más alto]], "")</f>
        <v>3701.6827195292408</v>
      </c>
      <c r="AI194" s="14">
        <f>IFERROR(((tblPiNAnalysis[[#This Row],[PiN más alto]]-tblPiNAnalysis[[#This Row],[2º PiN más alto]])/tblPiNAnalysis[[#This Row],[2º PiN más alto]]),"")</f>
        <v>0.82968679591637939</v>
      </c>
      <c r="AJ194" s="14" t="str" cm="1">
        <f t="array" ref="AJ19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94" s="98" cm="1">
        <f t="array" ref="AK19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3313</v>
      </c>
      <c r="AL194" s="53" t="str" cm="1">
        <f t="array" ref="AL194">IF(tblPiNAnalysis[[#This Row],[3º PiN más alto]]="", "", _xlfn.TEXTJOIN(CHAR(10), TRUE, IF(tblPiNAnalysis[[#This Row],[3º PiN más alto]]=tblPiNAnalysis[[#This Row],[SAMV]:[ASH]], tblPiNAnalysis[[#Headers],[SAMV]:[ASH]], "")))</f>
        <v>SAMV</v>
      </c>
      <c r="AM194" s="53">
        <f>IFERROR(tblPiNAnalysis[[#This Row],[3º PiN más alto]]/tblPiNAnalysis[[#This Row],[Población]], "")</f>
        <v>0.14813324390789179</v>
      </c>
      <c r="AN194" s="15">
        <f>IFERROR(tblPiNAnalysis[[#This Row],[PiN más alto]]-tblPiNAnalysis[[#This Row],[3º PiN más alto]],"")</f>
        <v>4850.2250000000004</v>
      </c>
      <c r="AO194" s="14">
        <f>IFERROR(tblPiNAnalysis[[#This Row],[Diferencia de PiN entre el más alto y el 3º más alto]]/tblPiNAnalysis[[#This Row],[3º PiN más alto]], "")</f>
        <v>1.4639978871113795</v>
      </c>
      <c r="AP194" s="96" t="str" cm="1">
        <f t="array" ref="AP19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94" s="84" cm="1">
        <f t="array" ref="AQ194">IFERROR(IF(tblPiNAnalysis[[#This Row],[ID]]="", "", INDEX(tblPiNHistorical[[SAMV]:[ASH]], MATCH(tblPiNAnalysis[[#This Row],[ID]],tblPiNHistorical[ID], 0),MATCH(_xlfn._xlws.FILTER(tblPiNAnalysis[[#Headers],[SAMV]:[ASH]], tblPiNAnalysis[[#This Row],[PiN más alto]]=tblPiNAnalysis[[#This Row],[SAMV]:[ASH]]), tblPiNHistorical[[#Headers],[SAMV]:[ASH]], 0))), "")</f>
        <v>0.1</v>
      </c>
      <c r="AR194" s="99" t="str" cm="1">
        <f t="array" ref="AR19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94" s="74" cm="1">
        <f t="array" ref="AS194">IFERROR(IF(tblPiNAnalysis[[#This Row],[ID]]="", "", INDEX(tblPiNHistorical[[SAMV]:[ASH]], MATCH(tblPiNAnalysis[[#This Row],[ID]],tblPiNHistorical[ID], 0),MATCH(_xlfn._xlws.FILTER(tblPiNAnalysis[[#Headers],[SAMV]:[ASH]], tblPiNAnalysis[[#This Row],[2º PiN más alto]]=tblPiNAnalysis[[#This Row],[SAMV]:[ASH]]), tblPiNHistorical[[#Headers],[SAMV]:[ASH]], 0))), "")</f>
        <v>-0.7</v>
      </c>
      <c r="AT194" s="100" t="str" cm="1">
        <f t="array" ref="AT19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94" s="219">
        <f>INDEX(tblSeverityAnalysis[Severidad final], MATCH(tblPiNAnalysis[[#This Row],[ID]],tblSeverityAnalysis[ID], 0))</f>
        <v>3</v>
      </c>
      <c r="AV194" s="220">
        <f>IF(tblPiNAnalysis[[#This Row],[Severidad]]&gt;2,tblPiNAnalysis[[#This Row],[PiN más alto]],)</f>
        <v>8163.2250000000004</v>
      </c>
      <c r="AW194" s="54"/>
      <c r="AX194" s="55"/>
      <c r="AY194" s="56">
        <f>COUNTIFS(tblPiNAnalysis[[#This Row],[Número de PiN ausentes/cero superior al umbral - Calidad de los datos]:[Marcador manual]],"Flagged")</f>
        <v>2</v>
      </c>
      <c r="AZ194" s="34" t="str">
        <f>IF(tblPiNAnalysis[[#This Row],[Número de marcadores]]&gt;0, "Flagged", "")</f>
        <v>Flagged</v>
      </c>
      <c r="BA194" s="92">
        <f>tblPiNAnalysis[[#This Row],[PiN preliminar]]</f>
        <v>8163.2250000000004</v>
      </c>
      <c r="BB194" s="97"/>
      <c r="BC194" s="70">
        <f>IFERROR(IF(tblPiNAnalysis[[#This Row],[Severidad]]=3,tblPiNAnalysis[[#This Row],[PiN final]]*Umbrales!$D$33,tblPiNAnalysis[[#This Row],[PiN final]]*Umbrales!$D$34),)</f>
        <v>4081.6125000000002</v>
      </c>
      <c r="BD194" s="70">
        <f>IFERROR(IF(tblPiNAnalysis[[#This Row],[Severidad]]&gt;3,tblPiNAnalysis[[#This Row],[PiN final]]*Umbrales!$D$34,),)</f>
        <v>0</v>
      </c>
    </row>
    <row r="195" spans="1:56">
      <c r="A195" s="101" t="str">
        <f>IFERROR(_xlfn.CONCAT(IF(tblPiNAnalysis[[#This Row],[Grupo]]="", "",tblPiNAnalysis[[#This Row],[Grupo]] ),  _xlfn.IFS(tblPiNAnalysis[[#This Row],[Admin2PCODE]]&lt;&gt;"", tblPiNAnalysis[[#This Row],[Admin2PCODE]], tblPiNAnalysis[[#This Row],[Admin1PCODE]]&lt;&gt;"", tblPiNAnalysis[[#This Row],[Admin1PCODE]])),"")</f>
        <v>VenezolanosVE0907</v>
      </c>
      <c r="B195" s="105" t="s">
        <v>290</v>
      </c>
      <c r="C195" s="104" t="s">
        <v>291</v>
      </c>
      <c r="D195" s="119" t="s">
        <v>175</v>
      </c>
      <c r="E195" s="104" t="s">
        <v>302</v>
      </c>
      <c r="F195" s="358"/>
      <c r="G195" s="357">
        <v>18712</v>
      </c>
      <c r="H195" s="103" t="s">
        <v>102</v>
      </c>
      <c r="I195" s="60">
        <v>6238</v>
      </c>
      <c r="J195" s="134">
        <v>778.64504700271868</v>
      </c>
      <c r="K195" s="57">
        <v>7700</v>
      </c>
      <c r="L195" s="87">
        <v>871.52670008632879</v>
      </c>
      <c r="M195" s="87">
        <v>8025.2714933742463</v>
      </c>
      <c r="N195" s="57">
        <v>0</v>
      </c>
      <c r="O195" s="57">
        <v>2576.1121493731334</v>
      </c>
      <c r="P195" s="57">
        <v>2808.8450226809864</v>
      </c>
      <c r="Q195" s="88">
        <f>IFERROR(IF(tblPiNAnalysis[[#This Row],[SAMV]]="", "", MROUND(tblPiNAnalysis[[#This Row],[SAMV]]/tblPiNAnalysis[[#This Row],[Población]], 0.05)), "")</f>
        <v>0.35000000000000003</v>
      </c>
      <c r="R195" s="89">
        <f>IFERROR(IF(tblPiNAnalysis[[#This Row],[NUT]]="", "", MROUND(tblPiNAnalysis[[#This Row],[NUT]]/tblPiNAnalysis[[#This Row],[Población]], 0.05)), "")</f>
        <v>0.05</v>
      </c>
      <c r="S195" s="89">
        <f>IFERROR(IF(tblPiNAnalysis[[#This Row],[SAL]]="", "", MROUND(tblPiNAnalysis[[#This Row],[SAL]]/tblPiNAnalysis[[#This Row],[Población]], 0.05)), "")</f>
        <v>0.4</v>
      </c>
      <c r="T195" s="89">
        <f>IFERROR(IF(tblPiNAnalysis[[#This Row],[EDU]]="", "", MROUND(tblPiNAnalysis[[#This Row],[EDU]]/tblPiNAnalysis[[#This Row],[Población]], 0.05)), "")</f>
        <v>0.05</v>
      </c>
      <c r="U195" s="89">
        <f>IFERROR(IF(tblPiNAnalysis[[#This Row],[PRO]]="", "", MROUND(tblPiNAnalysis[[#This Row],[PRO]]/tblPiNAnalysis[[#This Row],[Población]], 0.05)), "")</f>
        <v>0.45</v>
      </c>
      <c r="V195" s="90">
        <f>IFERROR(IF(tblPiNAnalysis[[#This Row],[ASH]]="", "", MROUND(tblPiNAnalysis[[#This Row],[ASH]]/tblPiNAnalysis[[#This Row],[Población]], 0.05)), "")</f>
        <v>0</v>
      </c>
      <c r="W195" s="89">
        <f>IFERROR(MROUND(tblPiNAnalysis[[#This Row],[NNA]]/tblPiNAnalysis[[#This Row],[Población]], 0.05), "")</f>
        <v>0.15000000000000002</v>
      </c>
      <c r="X195" s="89">
        <f>IFERROR(MROUND(tblPiNAnalysis[[#This Row],[VBG]]/tblPiNAnalysis[[#This Row],[Población]], 0.05), "")</f>
        <v>0.15000000000000002</v>
      </c>
      <c r="Y195" s="91">
        <f>IFERROR(LARGE(tblPiNAnalysis[[#This Row],[SAMV]:[ASH]], 1), "")</f>
        <v>8025.2714933742463</v>
      </c>
      <c r="Z195" s="92" t="str" cm="1">
        <f t="array" ref="Z195">IF(tblPiNAnalysis[[#This Row],[PiN más alto]]="", "", _xlfn.TEXTJOIN(CHAR(10), TRUE, IF(tblPiNAnalysis[[#This Row],[PiN más alto]]=tblPiNAnalysis[[#This Row],[SAMV]:[ASH]], tblPiNAnalysis[[#Headers],[SAMV]:[ASH]], "")))</f>
        <v>PRO</v>
      </c>
      <c r="AA195" s="93">
        <f>IF(tblPiNAnalysis[[#This Row],[PiN más alto]]="", "", tblPiNAnalysis[[#This Row],[PiN más alto]]/tblPiNAnalysis[[#This Row],[Población]])</f>
        <v>0.4288836839126895</v>
      </c>
      <c r="AB195" s="94" t="str">
        <f>IF(SUM(tblPiNAnalysis[[#This Row],[SAMV]:[ASH]])=0, "",IF(COUNTIF(tblPiNAnalysis[[#This Row],[SAMV]:[ASH]],"=0")+COUNTIF(tblPiNAnalysis[[#This Row],[SAMV]:[ASH]],"")&gt;=zero_pin_thresh, "Flagged", ""))</f>
        <v/>
      </c>
      <c r="AC195" s="95" t="str">
        <f>IFERROR(IF(tblPiNAnalysis[[#This Row],[PiN más alto]]="", "", IF(tblPiNAnalysis[[#This Row],[% PiN Sectores más altos]]&gt;=flag_pin_perc, "Flagged", "")), "")</f>
        <v/>
      </c>
      <c r="AD195" s="96" t="str" cm="1">
        <f t="array" ref="AD195">IF(tblPiNAnalysis[[#This Row],[PiN más alto]]=0, "",  IF(OR(COUNTIF(tblPiNAnalysis[[#This Row],[Sectores más altos]],tblSubSectorPopulation[Sector])), "Flagged", ""))</f>
        <v/>
      </c>
      <c r="AE195" s="16" cm="1">
        <f t="array" ref="AE19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7700</v>
      </c>
      <c r="AF195" s="97" t="str" cm="1">
        <f t="array" ref="AF195">IF(tblPiNAnalysis[[#This Row],[2º PiN más alto]]="", "", _xlfn.TEXTJOIN(CHAR(10), TRUE, IF(tblPiNAnalysis[[#This Row],[2º PiN más alto]]=tblPiNAnalysis[[#This Row],[SAMV]:[ASH]], tblPiNAnalysis[[#Headers],[SAMV]:[ASH]], "")))</f>
        <v>SAL</v>
      </c>
      <c r="AG195" s="12">
        <f>IFERROR(tblPiNAnalysis[[#This Row],[2º PiN más alto]]/tblPiNAnalysis[[#This Row],[Población]], "")</f>
        <v>0.41150064129970071</v>
      </c>
      <c r="AH195" s="16">
        <f>IFERROR(tblPiNAnalysis[[#This Row],[PiN más alto]]-tblPiNAnalysis[[#This Row],[2º PiN más alto]], "")</f>
        <v>325.27149337424635</v>
      </c>
      <c r="AI195" s="14">
        <f>IFERROR(((tblPiNAnalysis[[#This Row],[PiN más alto]]-tblPiNAnalysis[[#This Row],[2º PiN más alto]])/tblPiNAnalysis[[#This Row],[2º PiN más alto]]),"")</f>
        <v>4.2243051087564459E-2</v>
      </c>
      <c r="AJ195" s="14" t="str" cm="1">
        <f t="array" ref="AJ19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95" s="98" cm="1">
        <f t="array" ref="AK19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6238</v>
      </c>
      <c r="AL195" s="53" t="str" cm="1">
        <f t="array" ref="AL195">IF(tblPiNAnalysis[[#This Row],[3º PiN más alto]]="", "", _xlfn.TEXTJOIN(CHAR(10), TRUE, IF(tblPiNAnalysis[[#This Row],[3º PiN más alto]]=tblPiNAnalysis[[#This Row],[SAMV]:[ASH]], tblPiNAnalysis[[#Headers],[SAMV]:[ASH]], "")))</f>
        <v>SAMV</v>
      </c>
      <c r="AM195" s="53">
        <f>IFERROR(tblPiNAnalysis[[#This Row],[3º PiN más alto]]/tblPiNAnalysis[[#This Row],[Población]], "")</f>
        <v>0.33336896109448483</v>
      </c>
      <c r="AN195" s="15">
        <f>IFERROR(tblPiNAnalysis[[#This Row],[PiN más alto]]-tblPiNAnalysis[[#This Row],[3º PiN más alto]],"")</f>
        <v>1787.2714933742463</v>
      </c>
      <c r="AO195" s="14">
        <f>IFERROR(tblPiNAnalysis[[#This Row],[Diferencia de PiN entre el más alto y el 3º más alto]]/tblPiNAnalysis[[#This Row],[3º PiN más alto]], "")</f>
        <v>0.28651354494617609</v>
      </c>
      <c r="AP195" s="96" t="str" cm="1">
        <f t="array" ref="AP19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
      </c>
      <c r="AQ195" s="84" cm="1">
        <f t="array" ref="AQ195">IFERROR(IF(tblPiNAnalysis[[#This Row],[ID]]="", "", INDEX(tblPiNHistorical[[SAMV]:[ASH]], MATCH(tblPiNAnalysis[[#This Row],[ID]],tblPiNHistorical[ID], 0),MATCH(_xlfn._xlws.FILTER(tblPiNAnalysis[[#Headers],[SAMV]:[ASH]], tblPiNAnalysis[[#This Row],[PiN más alto]]=tblPiNAnalysis[[#This Row],[SAMV]:[ASH]]), tblPiNHistorical[[#Headers],[SAMV]:[ASH]], 0))), "")</f>
        <v>0.3</v>
      </c>
      <c r="AR195" s="99" t="str" cm="1">
        <f t="array" ref="AR19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95" s="74" cm="1">
        <f t="array" ref="AS195">IFERROR(IF(tblPiNAnalysis[[#This Row],[ID]]="", "", INDEX(tblPiNHistorical[[SAMV]:[ASH]], MATCH(tblPiNAnalysis[[#This Row],[ID]],tblPiNHistorical[ID], 0),MATCH(_xlfn._xlws.FILTER(tblPiNAnalysis[[#Headers],[SAMV]:[ASH]], tblPiNAnalysis[[#This Row],[2º PiN más alto]]=tblPiNAnalysis[[#This Row],[SAMV]:[ASH]]), tblPiNHistorical[[#Headers],[SAMV]:[ASH]], 0))), "")</f>
        <v>3.6</v>
      </c>
      <c r="AT195" s="100" t="str" cm="1">
        <f t="array" ref="AT19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95" s="219">
        <f>INDEX(tblSeverityAnalysis[Severidad final], MATCH(tblPiNAnalysis[[#This Row],[ID]],tblSeverityAnalysis[ID], 0))</f>
        <v>3</v>
      </c>
      <c r="AV195" s="220">
        <f>IF(tblPiNAnalysis[[#This Row],[Severidad]]&gt;2,tblPiNAnalysis[[#This Row],[PiN más alto]],)</f>
        <v>8025.2714933742463</v>
      </c>
      <c r="AW195" s="54"/>
      <c r="AX195" s="55"/>
      <c r="AY195" s="56">
        <f>COUNTIFS(tblPiNAnalysis[[#This Row],[Número de PiN ausentes/cero superior al umbral - Calidad de los datos]:[Marcador manual]],"Flagged")</f>
        <v>1</v>
      </c>
      <c r="AZ195" s="34" t="str">
        <f>IF(tblPiNAnalysis[[#This Row],[Número de marcadores]]&gt;0, "Flagged", "")</f>
        <v>Flagged</v>
      </c>
      <c r="BA195" s="92">
        <f>tblPiNAnalysis[[#This Row],[PiN preliminar]]</f>
        <v>8025.2714933742463</v>
      </c>
      <c r="BB195" s="97"/>
      <c r="BC195" s="70">
        <f>IFERROR(IF(tblPiNAnalysis[[#This Row],[Severidad]]=3,tblPiNAnalysis[[#This Row],[PiN final]]*Umbrales!$D$33,tblPiNAnalysis[[#This Row],[PiN final]]*Umbrales!$D$34),)</f>
        <v>4012.6357466871232</v>
      </c>
      <c r="BD195" s="70">
        <f>IFERROR(IF(tblPiNAnalysis[[#This Row],[Severidad]]&gt;3,tblPiNAnalysis[[#This Row],[PiN final]]*Umbrales!$D$34,),)</f>
        <v>0</v>
      </c>
    </row>
    <row r="196" spans="1:56">
      <c r="A196" s="101" t="str">
        <f>IFERROR(_xlfn.CONCAT(IF(tblPiNAnalysis[[#This Row],[Grupo]]="", "",tblPiNAnalysis[[#This Row],[Grupo]] ),  _xlfn.IFS(tblPiNAnalysis[[#This Row],[Admin2PCODE]]&lt;&gt;"", tblPiNAnalysis[[#This Row],[Admin2PCODE]], tblPiNAnalysis[[#This Row],[Admin1PCODE]]&lt;&gt;"", tblPiNAnalysis[[#This Row],[Admin1PCODE]])),"")</f>
        <v>VenezolanosVE1202</v>
      </c>
      <c r="B196" s="105" t="s">
        <v>362</v>
      </c>
      <c r="C196" s="104" t="s">
        <v>363</v>
      </c>
      <c r="D196" s="119" t="s">
        <v>366</v>
      </c>
      <c r="E196" s="104" t="s">
        <v>367</v>
      </c>
      <c r="F196" s="358"/>
      <c r="G196" s="357">
        <v>13263</v>
      </c>
      <c r="H196" s="103" t="s">
        <v>102</v>
      </c>
      <c r="I196" s="60">
        <v>5053</v>
      </c>
      <c r="J196" s="134">
        <v>678.01838861406759</v>
      </c>
      <c r="K196" s="57">
        <v>6300</v>
      </c>
      <c r="L196" s="87">
        <v>976.78145024549997</v>
      </c>
      <c r="M196" s="87">
        <v>2458.3592002563364</v>
      </c>
      <c r="N196" s="57">
        <v>7957.7999999999993</v>
      </c>
      <c r="O196" s="57">
        <v>786.67494408202765</v>
      </c>
      <c r="P196" s="57">
        <v>860.42572008971774</v>
      </c>
      <c r="Q196" s="88">
        <f>IFERROR(IF(tblPiNAnalysis[[#This Row],[SAMV]]="", "", MROUND(tblPiNAnalysis[[#This Row],[SAMV]]/tblPiNAnalysis[[#This Row],[Población]], 0.05)), "")</f>
        <v>0.4</v>
      </c>
      <c r="R196" s="89">
        <f>IFERROR(IF(tblPiNAnalysis[[#This Row],[NUT]]="", "", MROUND(tblPiNAnalysis[[#This Row],[NUT]]/tblPiNAnalysis[[#This Row],[Población]], 0.05)), "")</f>
        <v>0.05</v>
      </c>
      <c r="S196" s="89">
        <f>IFERROR(IF(tblPiNAnalysis[[#This Row],[SAL]]="", "", MROUND(tblPiNAnalysis[[#This Row],[SAL]]/tblPiNAnalysis[[#This Row],[Población]], 0.05)), "")</f>
        <v>0.5</v>
      </c>
      <c r="T196" s="89">
        <f>IFERROR(IF(tblPiNAnalysis[[#This Row],[EDU]]="", "", MROUND(tblPiNAnalysis[[#This Row],[EDU]]/tblPiNAnalysis[[#This Row],[Población]], 0.05)), "")</f>
        <v>0.05</v>
      </c>
      <c r="U196" s="89">
        <f>IFERROR(IF(tblPiNAnalysis[[#This Row],[PRO]]="", "", MROUND(tblPiNAnalysis[[#This Row],[PRO]]/tblPiNAnalysis[[#This Row],[Población]], 0.05)), "")</f>
        <v>0.2</v>
      </c>
      <c r="V196" s="90">
        <f>IFERROR(IF(tblPiNAnalysis[[#This Row],[ASH]]="", "", MROUND(tblPiNAnalysis[[#This Row],[ASH]]/tblPiNAnalysis[[#This Row],[Población]], 0.05)), "")</f>
        <v>0.60000000000000009</v>
      </c>
      <c r="W196" s="89">
        <f>IFERROR(MROUND(tblPiNAnalysis[[#This Row],[NNA]]/tblPiNAnalysis[[#This Row],[Población]], 0.05), "")</f>
        <v>0.05</v>
      </c>
      <c r="X196" s="89">
        <f>IFERROR(MROUND(tblPiNAnalysis[[#This Row],[VBG]]/tblPiNAnalysis[[#This Row],[Población]], 0.05), "")</f>
        <v>0.05</v>
      </c>
      <c r="Y196" s="91">
        <f>IFERROR(LARGE(tblPiNAnalysis[[#This Row],[SAMV]:[ASH]], 1), "")</f>
        <v>7957.7999999999993</v>
      </c>
      <c r="Z196" s="92" t="str" cm="1">
        <f t="array" ref="Z196">IF(tblPiNAnalysis[[#This Row],[PiN más alto]]="", "", _xlfn.TEXTJOIN(CHAR(10), TRUE, IF(tblPiNAnalysis[[#This Row],[PiN más alto]]=tblPiNAnalysis[[#This Row],[SAMV]:[ASH]], tblPiNAnalysis[[#Headers],[SAMV]:[ASH]], "")))</f>
        <v>ASH</v>
      </c>
      <c r="AA196" s="93">
        <f>IF(tblPiNAnalysis[[#This Row],[PiN más alto]]="", "", tblPiNAnalysis[[#This Row],[PiN más alto]]/tblPiNAnalysis[[#This Row],[Población]])</f>
        <v>0.6</v>
      </c>
      <c r="AB196" s="94" t="str">
        <f>IF(SUM(tblPiNAnalysis[[#This Row],[SAMV]:[ASH]])=0, "",IF(COUNTIF(tblPiNAnalysis[[#This Row],[SAMV]:[ASH]],"=0")+COUNTIF(tblPiNAnalysis[[#This Row],[SAMV]:[ASH]],"")&gt;=zero_pin_thresh, "Flagged", ""))</f>
        <v/>
      </c>
      <c r="AC196" s="95" t="str">
        <f>IFERROR(IF(tblPiNAnalysis[[#This Row],[PiN más alto]]="", "", IF(tblPiNAnalysis[[#This Row],[% PiN Sectores más altos]]&gt;=flag_pin_perc, "Flagged", "")), "")</f>
        <v/>
      </c>
      <c r="AD196" s="96" t="str" cm="1">
        <f t="array" ref="AD196">IF(tblPiNAnalysis[[#This Row],[PiN más alto]]=0, "",  IF(OR(COUNTIF(tblPiNAnalysis[[#This Row],[Sectores más altos]],tblSubSectorPopulation[Sector])), "Flagged", ""))</f>
        <v/>
      </c>
      <c r="AE196" s="16" cm="1">
        <f t="array" ref="AE19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6300</v>
      </c>
      <c r="AF196" s="97" t="str" cm="1">
        <f t="array" ref="AF196">IF(tblPiNAnalysis[[#This Row],[2º PiN más alto]]="", "", _xlfn.TEXTJOIN(CHAR(10), TRUE, IF(tblPiNAnalysis[[#This Row],[2º PiN más alto]]=tblPiNAnalysis[[#This Row],[SAMV]:[ASH]], tblPiNAnalysis[[#Headers],[SAMV]:[ASH]], "")))</f>
        <v>SAL</v>
      </c>
      <c r="AG196" s="12">
        <f>IFERROR(tblPiNAnalysis[[#This Row],[2º PiN más alto]]/tblPiNAnalysis[[#This Row],[Población]], "")</f>
        <v>0.47500565482922413</v>
      </c>
      <c r="AH196" s="16">
        <f>IFERROR(tblPiNAnalysis[[#This Row],[PiN más alto]]-tblPiNAnalysis[[#This Row],[2º PiN más alto]], "")</f>
        <v>1657.7999999999993</v>
      </c>
      <c r="AI196" s="14">
        <f>IFERROR(((tblPiNAnalysis[[#This Row],[PiN más alto]]-tblPiNAnalysis[[#This Row],[2º PiN más alto]])/tblPiNAnalysis[[#This Row],[2º PiN más alto]]),"")</f>
        <v>0.26314285714285701</v>
      </c>
      <c r="AJ196" s="14" t="str" cm="1">
        <f t="array" ref="AJ19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96" s="98" cm="1">
        <f t="array" ref="AK19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5053</v>
      </c>
      <c r="AL196" s="53" t="str" cm="1">
        <f t="array" ref="AL196">IF(tblPiNAnalysis[[#This Row],[3º PiN más alto]]="", "", _xlfn.TEXTJOIN(CHAR(10), TRUE, IF(tblPiNAnalysis[[#This Row],[3º PiN más alto]]=tblPiNAnalysis[[#This Row],[SAMV]:[ASH]], tblPiNAnalysis[[#Headers],[SAMV]:[ASH]], "")))</f>
        <v>SAMV</v>
      </c>
      <c r="AM196" s="53">
        <f>IFERROR(tblPiNAnalysis[[#This Row],[3º PiN más alto]]/tblPiNAnalysis[[#This Row],[Población]], "")</f>
        <v>0.3809846942622333</v>
      </c>
      <c r="AN196" s="15">
        <f>IFERROR(tblPiNAnalysis[[#This Row],[PiN más alto]]-tblPiNAnalysis[[#This Row],[3º PiN más alto]],"")</f>
        <v>2904.7999999999993</v>
      </c>
      <c r="AO196" s="14">
        <f>IFERROR(tblPiNAnalysis[[#This Row],[Diferencia de PiN entre el más alto y el 3º más alto]]/tblPiNAnalysis[[#This Row],[3º PiN más alto]], "")</f>
        <v>0.57486641599050059</v>
      </c>
      <c r="AP196" s="96" t="str" cm="1">
        <f t="array" ref="AP19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96" s="84" t="str" cm="1">
        <f t="array" ref="AQ196">IFERROR(IF(tblPiNAnalysis[[#This Row],[ID]]="", "", INDEX(tblPiNHistorical[[SAMV]:[ASH]], MATCH(tblPiNAnalysis[[#This Row],[ID]],tblPiNHistorical[ID], 0),MATCH(_xlfn._xlws.FILTER(tblPiNAnalysis[[#Headers],[SAMV]:[ASH]], tblPiNAnalysis[[#This Row],[PiN más alto]]=tblPiNAnalysis[[#This Row],[SAMV]:[ASH]]), tblPiNHistorical[[#Headers],[SAMV]:[ASH]], 0))), "")</f>
        <v>New26 16896.6</v>
      </c>
      <c r="AR196" s="99" t="str" cm="1">
        <f t="array" ref="AR19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96" s="74" cm="1">
        <f t="array" ref="AS196">IFERROR(IF(tblPiNAnalysis[[#This Row],[ID]]="", "", INDEX(tblPiNHistorical[[SAMV]:[ASH]], MATCH(tblPiNAnalysis[[#This Row],[ID]],tblPiNHistorical[ID], 0),MATCH(_xlfn._xlws.FILTER(tblPiNAnalysis[[#Headers],[SAMV]:[ASH]], tblPiNAnalysis[[#This Row],[2º PiN más alto]]=tblPiNAnalysis[[#This Row],[SAMV]:[ASH]]), tblPiNHistorical[[#Headers],[SAMV]:[ASH]], 0))), "")</f>
        <v>2</v>
      </c>
      <c r="AT196" s="100" t="str" cm="1">
        <f t="array" ref="AT19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96" s="219">
        <f>INDEX(tblSeverityAnalysis[Severidad final], MATCH(tblPiNAnalysis[[#This Row],[ID]],tblSeverityAnalysis[ID], 0))</f>
        <v>3</v>
      </c>
      <c r="AV196" s="220">
        <f>IF(tblPiNAnalysis[[#This Row],[Severidad]]&gt;2,tblPiNAnalysis[[#This Row],[PiN más alto]],)</f>
        <v>7957.7999999999993</v>
      </c>
      <c r="AW196" s="54"/>
      <c r="AX196" s="55"/>
      <c r="AY196" s="56">
        <f>COUNTIFS(tblPiNAnalysis[[#This Row],[Número de PiN ausentes/cero superior al umbral - Calidad de los datos]:[Marcador manual]],"Flagged")</f>
        <v>2</v>
      </c>
      <c r="AZ196" s="34" t="str">
        <f>IF(tblPiNAnalysis[[#This Row],[Número de marcadores]]&gt;0, "Flagged", "")</f>
        <v>Flagged</v>
      </c>
      <c r="BA196" s="92">
        <f>tblPiNAnalysis[[#This Row],[PiN preliminar]]</f>
        <v>7957.7999999999993</v>
      </c>
      <c r="BB196" s="97"/>
      <c r="BC196" s="70">
        <f>IFERROR(IF(tblPiNAnalysis[[#This Row],[Severidad]]=3,tblPiNAnalysis[[#This Row],[PiN final]]*Umbrales!$D$33,tblPiNAnalysis[[#This Row],[PiN final]]*Umbrales!$D$34),)</f>
        <v>3978.8999999999996</v>
      </c>
      <c r="BD196" s="70">
        <f>IFERROR(IF(tblPiNAnalysis[[#This Row],[Severidad]]&gt;3,tblPiNAnalysis[[#This Row],[PiN final]]*Umbrales!$D$34,),)</f>
        <v>0</v>
      </c>
    </row>
    <row r="197" spans="1:56">
      <c r="A197" s="101" t="str">
        <f>IFERROR(_xlfn.CONCAT(IF(tblPiNAnalysis[[#This Row],[Grupo]]="", "",tblPiNAnalysis[[#This Row],[Grupo]] ),  _xlfn.IFS(tblPiNAnalysis[[#This Row],[Admin2PCODE]]&lt;&gt;"", tblPiNAnalysis[[#This Row],[Admin2PCODE]], tblPiNAnalysis[[#This Row],[Admin1PCODE]]&lt;&gt;"", tblPiNAnalysis[[#This Row],[Admin1PCODE]])),"")</f>
        <v>VenezolanosVE1203</v>
      </c>
      <c r="B197" s="105" t="s">
        <v>362</v>
      </c>
      <c r="C197" s="104" t="s">
        <v>363</v>
      </c>
      <c r="D197" s="119" t="s">
        <v>368</v>
      </c>
      <c r="E197" s="104" t="s">
        <v>369</v>
      </c>
      <c r="F197" s="358"/>
      <c r="G197" s="357">
        <v>17475</v>
      </c>
      <c r="H197" s="103" t="s">
        <v>102</v>
      </c>
      <c r="I197" s="60">
        <v>3102</v>
      </c>
      <c r="J197" s="134">
        <v>1020.2898625197403</v>
      </c>
      <c r="K197" s="57">
        <v>7700</v>
      </c>
      <c r="L197" s="87">
        <v>1352.440333635805</v>
      </c>
      <c r="M197" s="87">
        <v>1943.4438825821976</v>
      </c>
      <c r="N197" s="57">
        <v>7863.75</v>
      </c>
      <c r="O197" s="57">
        <v>621.9020424263033</v>
      </c>
      <c r="P197" s="57">
        <v>680.20535890376914</v>
      </c>
      <c r="Q197" s="88">
        <f>IFERROR(IF(tblPiNAnalysis[[#This Row],[SAMV]]="", "", MROUND(tblPiNAnalysis[[#This Row],[SAMV]]/tblPiNAnalysis[[#This Row],[Población]], 0.05)), "")</f>
        <v>0.2</v>
      </c>
      <c r="R197" s="89">
        <f>IFERROR(IF(tblPiNAnalysis[[#This Row],[NUT]]="", "", MROUND(tblPiNAnalysis[[#This Row],[NUT]]/tblPiNAnalysis[[#This Row],[Población]], 0.05)), "")</f>
        <v>0.05</v>
      </c>
      <c r="S197" s="89">
        <f>IFERROR(IF(tblPiNAnalysis[[#This Row],[SAL]]="", "", MROUND(tblPiNAnalysis[[#This Row],[SAL]]/tblPiNAnalysis[[#This Row],[Población]], 0.05)), "")</f>
        <v>0.45</v>
      </c>
      <c r="T197" s="89">
        <f>IFERROR(IF(tblPiNAnalysis[[#This Row],[EDU]]="", "", MROUND(tblPiNAnalysis[[#This Row],[EDU]]/tblPiNAnalysis[[#This Row],[Población]], 0.05)), "")</f>
        <v>0.1</v>
      </c>
      <c r="U197" s="89">
        <f>IFERROR(IF(tblPiNAnalysis[[#This Row],[PRO]]="", "", MROUND(tblPiNAnalysis[[#This Row],[PRO]]/tblPiNAnalysis[[#This Row],[Población]], 0.05)), "")</f>
        <v>0.1</v>
      </c>
      <c r="V197" s="90">
        <f>IFERROR(IF(tblPiNAnalysis[[#This Row],[ASH]]="", "", MROUND(tblPiNAnalysis[[#This Row],[ASH]]/tblPiNAnalysis[[#This Row],[Población]], 0.05)), "")</f>
        <v>0.45</v>
      </c>
      <c r="W197" s="89">
        <f>IFERROR(MROUND(tblPiNAnalysis[[#This Row],[NNA]]/tblPiNAnalysis[[#This Row],[Población]], 0.05), "")</f>
        <v>0.05</v>
      </c>
      <c r="X197" s="89">
        <f>IFERROR(MROUND(tblPiNAnalysis[[#This Row],[VBG]]/tblPiNAnalysis[[#This Row],[Población]], 0.05), "")</f>
        <v>0.05</v>
      </c>
      <c r="Y197" s="91">
        <f>IFERROR(LARGE(tblPiNAnalysis[[#This Row],[SAMV]:[ASH]], 1), "")</f>
        <v>7863.75</v>
      </c>
      <c r="Z197" s="92" t="str" cm="1">
        <f t="array" ref="Z197">IF(tblPiNAnalysis[[#This Row],[PiN más alto]]="", "", _xlfn.TEXTJOIN(CHAR(10), TRUE, IF(tblPiNAnalysis[[#This Row],[PiN más alto]]=tblPiNAnalysis[[#This Row],[SAMV]:[ASH]], tblPiNAnalysis[[#Headers],[SAMV]:[ASH]], "")))</f>
        <v>ASH</v>
      </c>
      <c r="AA197" s="93">
        <f>IF(tblPiNAnalysis[[#This Row],[PiN más alto]]="", "", tblPiNAnalysis[[#This Row],[PiN más alto]]/tblPiNAnalysis[[#This Row],[Población]])</f>
        <v>0.45</v>
      </c>
      <c r="AB197" s="94" t="str">
        <f>IF(SUM(tblPiNAnalysis[[#This Row],[SAMV]:[ASH]])=0, "",IF(COUNTIF(tblPiNAnalysis[[#This Row],[SAMV]:[ASH]],"=0")+COUNTIF(tblPiNAnalysis[[#This Row],[SAMV]:[ASH]],"")&gt;=zero_pin_thresh, "Flagged", ""))</f>
        <v/>
      </c>
      <c r="AC197" s="95" t="str">
        <f>IFERROR(IF(tblPiNAnalysis[[#This Row],[PiN más alto]]="", "", IF(tblPiNAnalysis[[#This Row],[% PiN Sectores más altos]]&gt;=flag_pin_perc, "Flagged", "")), "")</f>
        <v/>
      </c>
      <c r="AD197" s="96" t="str" cm="1">
        <f t="array" ref="AD197">IF(tblPiNAnalysis[[#This Row],[PiN más alto]]=0, "",  IF(OR(COUNTIF(tblPiNAnalysis[[#This Row],[Sectores más altos]],tblSubSectorPopulation[Sector])), "Flagged", ""))</f>
        <v/>
      </c>
      <c r="AE197" s="16" cm="1">
        <f t="array" ref="AE19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7700</v>
      </c>
      <c r="AF197" s="97" t="str" cm="1">
        <f t="array" ref="AF197">IF(tblPiNAnalysis[[#This Row],[2º PiN más alto]]="", "", _xlfn.TEXTJOIN(CHAR(10), TRUE, IF(tblPiNAnalysis[[#This Row],[2º PiN más alto]]=tblPiNAnalysis[[#This Row],[SAMV]:[ASH]], tblPiNAnalysis[[#Headers],[SAMV]:[ASH]], "")))</f>
        <v>SAL</v>
      </c>
      <c r="AG197" s="12">
        <f>IFERROR(tblPiNAnalysis[[#This Row],[2º PiN más alto]]/tblPiNAnalysis[[#This Row],[Población]], "")</f>
        <v>0.44062947067238911</v>
      </c>
      <c r="AH197" s="16">
        <f>IFERROR(tblPiNAnalysis[[#This Row],[PiN más alto]]-tblPiNAnalysis[[#This Row],[2º PiN más alto]], "")</f>
        <v>163.75</v>
      </c>
      <c r="AI197" s="14">
        <f>IFERROR(((tblPiNAnalysis[[#This Row],[PiN más alto]]-tblPiNAnalysis[[#This Row],[2º PiN más alto]])/tblPiNAnalysis[[#This Row],[2º PiN más alto]]),"")</f>
        <v>2.1266233766233766E-2</v>
      </c>
      <c r="AJ197" s="14" t="str" cm="1">
        <f t="array" ref="AJ19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197" s="98" cm="1">
        <f t="array" ref="AK19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3102</v>
      </c>
      <c r="AL197" s="53" t="str" cm="1">
        <f t="array" ref="AL197">IF(tblPiNAnalysis[[#This Row],[3º PiN más alto]]="", "", _xlfn.TEXTJOIN(CHAR(10), TRUE, IF(tblPiNAnalysis[[#This Row],[3º PiN más alto]]=tblPiNAnalysis[[#This Row],[SAMV]:[ASH]], tblPiNAnalysis[[#Headers],[SAMV]:[ASH]], "")))</f>
        <v>SAMV</v>
      </c>
      <c r="AM197" s="53">
        <f>IFERROR(tblPiNAnalysis[[#This Row],[3º PiN más alto]]/tblPiNAnalysis[[#This Row],[Población]], "")</f>
        <v>0.1775107296137339</v>
      </c>
      <c r="AN197" s="15">
        <f>IFERROR(tblPiNAnalysis[[#This Row],[PiN más alto]]-tblPiNAnalysis[[#This Row],[3º PiN más alto]],"")</f>
        <v>4761.75</v>
      </c>
      <c r="AO197" s="14">
        <f>IFERROR(tblPiNAnalysis[[#This Row],[Diferencia de PiN entre el más alto y el 3º más alto]]/tblPiNAnalysis[[#This Row],[3º PiN más alto]], "")</f>
        <v>1.5350580270793037</v>
      </c>
      <c r="AP197" s="96" t="str" cm="1">
        <f t="array" ref="AP19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97" s="84" t="str" cm="1">
        <f t="array" ref="AQ197">IFERROR(IF(tblPiNAnalysis[[#This Row],[ID]]="", "", INDEX(tblPiNHistorical[[SAMV]:[ASH]], MATCH(tblPiNAnalysis[[#This Row],[ID]],tblPiNHistorical[ID], 0),MATCH(_xlfn._xlws.FILTER(tblPiNAnalysis[[#Headers],[SAMV]:[ASH]], tblPiNAnalysis[[#This Row],[PiN más alto]]=tblPiNAnalysis[[#This Row],[SAMV]:[ASH]]), tblPiNHistorical[[#Headers],[SAMV]:[ASH]], 0))), "")</f>
        <v>New26 2979.585</v>
      </c>
      <c r="AR197" s="99" t="str" cm="1">
        <f t="array" ref="AR19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197" s="74" cm="1">
        <f t="array" ref="AS197">IFERROR(IF(tblPiNAnalysis[[#This Row],[ID]]="", "", INDEX(tblPiNHistorical[[SAMV]:[ASH]], MATCH(tblPiNAnalysis[[#This Row],[ID]],tblPiNHistorical[ID], 0),MATCH(_xlfn._xlws.FILTER(tblPiNAnalysis[[#Headers],[SAMV]:[ASH]], tblPiNAnalysis[[#This Row],[2º PiN más alto]]=tblPiNAnalysis[[#This Row],[SAMV]:[ASH]]), tblPiNHistorical[[#Headers],[SAMV]:[ASH]], 0))), "")</f>
        <v>2.6</v>
      </c>
      <c r="AT197" s="100" t="str" cm="1">
        <f t="array" ref="AT19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97" s="219">
        <f>INDEX(tblSeverityAnalysis[Severidad final], MATCH(tblPiNAnalysis[[#This Row],[ID]],tblSeverityAnalysis[ID], 0))</f>
        <v>3</v>
      </c>
      <c r="AV197" s="220">
        <f>IF(tblPiNAnalysis[[#This Row],[Severidad]]&gt;2,tblPiNAnalysis[[#This Row],[PiN más alto]],)</f>
        <v>7863.75</v>
      </c>
      <c r="AW197" s="54"/>
      <c r="AX197" s="55"/>
      <c r="AY197" s="56">
        <f>COUNTIFS(tblPiNAnalysis[[#This Row],[Número de PiN ausentes/cero superior al umbral - Calidad de los datos]:[Marcador manual]],"Flagged")</f>
        <v>2</v>
      </c>
      <c r="AZ197" s="34" t="str">
        <f>IF(tblPiNAnalysis[[#This Row],[Número de marcadores]]&gt;0, "Flagged", "")</f>
        <v>Flagged</v>
      </c>
      <c r="BA197" s="92">
        <f>tblPiNAnalysis[[#This Row],[PiN preliminar]]</f>
        <v>7863.75</v>
      </c>
      <c r="BB197" s="97"/>
      <c r="BC197" s="70">
        <f>IFERROR(IF(tblPiNAnalysis[[#This Row],[Severidad]]=3,tblPiNAnalysis[[#This Row],[PiN final]]*Umbrales!$D$33,tblPiNAnalysis[[#This Row],[PiN final]]*Umbrales!$D$34),)</f>
        <v>3931.875</v>
      </c>
      <c r="BD197" s="70">
        <f>IFERROR(IF(tblPiNAnalysis[[#This Row],[Severidad]]&gt;3,tblPiNAnalysis[[#This Row],[PiN final]]*Umbrales!$D$34,),)</f>
        <v>0</v>
      </c>
    </row>
    <row r="198" spans="1:56">
      <c r="A198" s="101" t="str">
        <f>IFERROR(_xlfn.CONCAT(IF(tblPiNAnalysis[[#This Row],[Grupo]]="", "",tblPiNAnalysis[[#This Row],[Grupo]] ),  _xlfn.IFS(tblPiNAnalysis[[#This Row],[Admin2PCODE]]&lt;&gt;"", tblPiNAnalysis[[#This Row],[Admin2PCODE]], tblPiNAnalysis[[#This Row],[Admin1PCODE]]&lt;&gt;"", tblPiNAnalysis[[#This Row],[Admin1PCODE]])),"")</f>
        <v>VenezolanosVE1613</v>
      </c>
      <c r="B198" s="105" t="s">
        <v>491</v>
      </c>
      <c r="C198" s="104" t="s">
        <v>492</v>
      </c>
      <c r="D198" s="119" t="s">
        <v>511</v>
      </c>
      <c r="E198" s="104" t="s">
        <v>512</v>
      </c>
      <c r="F198" s="358"/>
      <c r="G198" s="357">
        <v>9836</v>
      </c>
      <c r="H198" s="103" t="s">
        <v>102</v>
      </c>
      <c r="I198" s="60">
        <v>3279</v>
      </c>
      <c r="J198" s="134">
        <v>750.37548371693617</v>
      </c>
      <c r="K198" s="57">
        <v>7720</v>
      </c>
      <c r="L198" s="87">
        <v>1234.5802627612934</v>
      </c>
      <c r="M198" s="87">
        <v>1178.4697206372657</v>
      </c>
      <c r="N198" s="57">
        <v>0</v>
      </c>
      <c r="O198" s="57">
        <v>377.11031060392509</v>
      </c>
      <c r="P198" s="57">
        <v>412.46440222304295</v>
      </c>
      <c r="Q198" s="88">
        <f>IFERROR(IF(tblPiNAnalysis[[#This Row],[SAMV]]="", "", MROUND(tblPiNAnalysis[[#This Row],[SAMV]]/tblPiNAnalysis[[#This Row],[Población]], 0.05)), "")</f>
        <v>0.35000000000000003</v>
      </c>
      <c r="R198" s="89">
        <f>IFERROR(IF(tblPiNAnalysis[[#This Row],[NUT]]="", "", MROUND(tblPiNAnalysis[[#This Row],[NUT]]/tblPiNAnalysis[[#This Row],[Población]], 0.05)), "")</f>
        <v>0.1</v>
      </c>
      <c r="S198" s="89">
        <f>IFERROR(IF(tblPiNAnalysis[[#This Row],[SAL]]="", "", MROUND(tblPiNAnalysis[[#This Row],[SAL]]/tblPiNAnalysis[[#This Row],[Población]], 0.05)), "")</f>
        <v>0.8</v>
      </c>
      <c r="T198" s="89">
        <f>IFERROR(IF(tblPiNAnalysis[[#This Row],[EDU]]="", "", MROUND(tblPiNAnalysis[[#This Row],[EDU]]/tblPiNAnalysis[[#This Row],[Población]], 0.05)), "")</f>
        <v>0.15000000000000002</v>
      </c>
      <c r="U198" s="89">
        <f>IFERROR(IF(tblPiNAnalysis[[#This Row],[PRO]]="", "", MROUND(tblPiNAnalysis[[#This Row],[PRO]]/tblPiNAnalysis[[#This Row],[Población]], 0.05)), "")</f>
        <v>0.1</v>
      </c>
      <c r="V198" s="90">
        <f>IFERROR(IF(tblPiNAnalysis[[#This Row],[ASH]]="", "", MROUND(tblPiNAnalysis[[#This Row],[ASH]]/tblPiNAnalysis[[#This Row],[Población]], 0.05)), "")</f>
        <v>0</v>
      </c>
      <c r="W198" s="89">
        <f>IFERROR(MROUND(tblPiNAnalysis[[#This Row],[NNA]]/tblPiNAnalysis[[#This Row],[Población]], 0.05), "")</f>
        <v>0.05</v>
      </c>
      <c r="X198" s="89">
        <f>IFERROR(MROUND(tblPiNAnalysis[[#This Row],[VBG]]/tblPiNAnalysis[[#This Row],[Población]], 0.05), "")</f>
        <v>0.05</v>
      </c>
      <c r="Y198" s="91">
        <f>IFERROR(LARGE(tblPiNAnalysis[[#This Row],[SAMV]:[ASH]], 1), "")</f>
        <v>7720</v>
      </c>
      <c r="Z198" s="92" t="str" cm="1">
        <f t="array" ref="Z198">IF(tblPiNAnalysis[[#This Row],[PiN más alto]]="", "", _xlfn.TEXTJOIN(CHAR(10), TRUE, IF(tblPiNAnalysis[[#This Row],[PiN más alto]]=tblPiNAnalysis[[#This Row],[SAMV]:[ASH]], tblPiNAnalysis[[#Headers],[SAMV]:[ASH]], "")))</f>
        <v>SAL</v>
      </c>
      <c r="AA198" s="93">
        <f>IF(tblPiNAnalysis[[#This Row],[PiN más alto]]="", "", tblPiNAnalysis[[#This Row],[PiN más alto]]/tblPiNAnalysis[[#This Row],[Población]])</f>
        <v>0.78487189914599431</v>
      </c>
      <c r="AB198" s="94" t="str">
        <f>IF(SUM(tblPiNAnalysis[[#This Row],[SAMV]:[ASH]])=0, "",IF(COUNTIF(tblPiNAnalysis[[#This Row],[SAMV]:[ASH]],"=0")+COUNTIF(tblPiNAnalysis[[#This Row],[SAMV]:[ASH]],"")&gt;=zero_pin_thresh, "Flagged", ""))</f>
        <v/>
      </c>
      <c r="AC198" s="95" t="str">
        <f>IFERROR(IF(tblPiNAnalysis[[#This Row],[PiN más alto]]="", "", IF(tblPiNAnalysis[[#This Row],[% PiN Sectores más altos]]&gt;=flag_pin_perc, "Flagged", "")), "")</f>
        <v/>
      </c>
      <c r="AD198" s="96" t="str" cm="1">
        <f t="array" ref="AD198">IF(tblPiNAnalysis[[#This Row],[PiN más alto]]=0, "",  IF(OR(COUNTIF(tblPiNAnalysis[[#This Row],[Sectores más altos]],tblSubSectorPopulation[Sector])), "Flagged", ""))</f>
        <v/>
      </c>
      <c r="AE198" s="16" cm="1">
        <f t="array" ref="AE19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3279</v>
      </c>
      <c r="AF198" s="97" t="str" cm="1">
        <f t="array" ref="AF198">IF(tblPiNAnalysis[[#This Row],[2º PiN más alto]]="", "", _xlfn.TEXTJOIN(CHAR(10), TRUE, IF(tblPiNAnalysis[[#This Row],[2º PiN más alto]]=tblPiNAnalysis[[#This Row],[SAMV]:[ASH]], tblPiNAnalysis[[#Headers],[SAMV]:[ASH]], "")))</f>
        <v>SAMV</v>
      </c>
      <c r="AG198" s="12">
        <f>IFERROR(tblPiNAnalysis[[#This Row],[2º PiN más alto]]/tblPiNAnalysis[[#This Row],[Población]], "")</f>
        <v>0.33336722244814965</v>
      </c>
      <c r="AH198" s="16">
        <f>IFERROR(tblPiNAnalysis[[#This Row],[PiN más alto]]-tblPiNAnalysis[[#This Row],[2º PiN más alto]], "")</f>
        <v>4441</v>
      </c>
      <c r="AI198" s="14">
        <f>IFERROR(((tblPiNAnalysis[[#This Row],[PiN más alto]]-tblPiNAnalysis[[#This Row],[2º PiN más alto]])/tblPiNAnalysis[[#This Row],[2º PiN más alto]]),"")</f>
        <v>1.3543763342482464</v>
      </c>
      <c r="AJ198" s="14" t="str" cm="1">
        <f t="array" ref="AJ19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98" s="98" cm="1">
        <f t="array" ref="AK19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1234.5802627612934</v>
      </c>
      <c r="AL198" s="53" t="str" cm="1">
        <f t="array" ref="AL198">IF(tblPiNAnalysis[[#This Row],[3º PiN más alto]]="", "", _xlfn.TEXTJOIN(CHAR(10), TRUE, IF(tblPiNAnalysis[[#This Row],[3º PiN más alto]]=tblPiNAnalysis[[#This Row],[SAMV]:[ASH]], tblPiNAnalysis[[#Headers],[SAMV]:[ASH]], "")))</f>
        <v>EDU</v>
      </c>
      <c r="AM198" s="53">
        <f>IFERROR(tblPiNAnalysis[[#This Row],[3º PiN más alto]]/tblPiNAnalysis[[#This Row],[Población]], "")</f>
        <v>0.12551649682404364</v>
      </c>
      <c r="AN198" s="15">
        <f>IFERROR(tblPiNAnalysis[[#This Row],[PiN más alto]]-tblPiNAnalysis[[#This Row],[3º PiN más alto]],"")</f>
        <v>6485.4197372387061</v>
      </c>
      <c r="AO198" s="14">
        <f>IFERROR(tblPiNAnalysis[[#This Row],[Diferencia de PiN entre el más alto y el 3º más alto]]/tblPiNAnalysis[[#This Row],[3º PiN más alto]], "")</f>
        <v>5.2531373883567944</v>
      </c>
      <c r="AP198" s="96" t="str" cm="1">
        <f t="array" ref="AP19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98" s="84" cm="1">
        <f t="array" ref="AQ198">IFERROR(IF(tblPiNAnalysis[[#This Row],[ID]]="", "", INDEX(tblPiNHistorical[[SAMV]:[ASH]], MATCH(tblPiNAnalysis[[#This Row],[ID]],tblPiNHistorical[ID], 0),MATCH(_xlfn._xlws.FILTER(tblPiNAnalysis[[#Headers],[SAMV]:[ASH]], tblPiNAnalysis[[#This Row],[PiN más alto]]=tblPiNAnalysis[[#This Row],[SAMV]:[ASH]]), tblPiNHistorical[[#Headers],[SAMV]:[ASH]], 0))), "")</f>
        <v>1</v>
      </c>
      <c r="AR198" s="99" t="str" cm="1">
        <f t="array" ref="AR19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98" s="74" cm="1">
        <f t="array" ref="AS198">IFERROR(IF(tblPiNAnalysis[[#This Row],[ID]]="", "", INDEX(tblPiNHistorical[[SAMV]:[ASH]], MATCH(tblPiNAnalysis[[#This Row],[ID]],tblPiNHistorical[ID], 0),MATCH(_xlfn._xlws.FILTER(tblPiNAnalysis[[#Headers],[SAMV]:[ASH]], tblPiNAnalysis[[#This Row],[2º PiN más alto]]=tblPiNAnalysis[[#This Row],[SAMV]:[ASH]]), tblPiNHistorical[[#Headers],[SAMV]:[ASH]], 0))), "")</f>
        <v>0.1</v>
      </c>
      <c r="AT198" s="100" t="str" cm="1">
        <f t="array" ref="AT19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198" s="219">
        <f>INDEX(tblSeverityAnalysis[Severidad final], MATCH(tblPiNAnalysis[[#This Row],[ID]],tblSeverityAnalysis[ID], 0))</f>
        <v>3</v>
      </c>
      <c r="AV198" s="220">
        <f>IF(tblPiNAnalysis[[#This Row],[Severidad]]&gt;2,tblPiNAnalysis[[#This Row],[PiN más alto]],)</f>
        <v>7720</v>
      </c>
      <c r="AW198" s="54"/>
      <c r="AX198" s="55"/>
      <c r="AY198" s="56">
        <f>COUNTIFS(tblPiNAnalysis[[#This Row],[Número de PiN ausentes/cero superior al umbral - Calidad de los datos]:[Marcador manual]],"Flagged")</f>
        <v>3</v>
      </c>
      <c r="AZ198" s="34" t="str">
        <f>IF(tblPiNAnalysis[[#This Row],[Número de marcadores]]&gt;0, "Flagged", "")</f>
        <v>Flagged</v>
      </c>
      <c r="BA198" s="92">
        <f>tblPiNAnalysis[[#This Row],[PiN preliminar]]</f>
        <v>7720</v>
      </c>
      <c r="BB198" s="97"/>
      <c r="BC198" s="70">
        <f>IFERROR(IF(tblPiNAnalysis[[#This Row],[Severidad]]=3,tblPiNAnalysis[[#This Row],[PiN final]]*Umbrales!$D$33,tblPiNAnalysis[[#This Row],[PiN final]]*Umbrales!$D$34),)</f>
        <v>3860</v>
      </c>
      <c r="BD198" s="70">
        <f>IFERROR(IF(tblPiNAnalysis[[#This Row],[Severidad]]&gt;3,tblPiNAnalysis[[#This Row],[PiN final]]*Umbrales!$D$34,),)</f>
        <v>0</v>
      </c>
    </row>
    <row r="199" spans="1:56">
      <c r="A199" s="101" t="str">
        <f>IFERROR(_xlfn.CONCAT(IF(tblPiNAnalysis[[#This Row],[Grupo]]="", "",tblPiNAnalysis[[#This Row],[Grupo]] ),  _xlfn.IFS(tblPiNAnalysis[[#This Row],[Admin2PCODE]]&lt;&gt;"", tblPiNAnalysis[[#This Row],[Admin2PCODE]], tblPiNAnalysis[[#This Row],[Admin1PCODE]]&lt;&gt;"", tblPiNAnalysis[[#This Row],[Admin1PCODE]])),"")</f>
        <v>VenezolanosVE0202</v>
      </c>
      <c r="B199" s="101" t="s">
        <v>103</v>
      </c>
      <c r="C199" s="104" t="s">
        <v>104</v>
      </c>
      <c r="D199" s="129" t="s">
        <v>107</v>
      </c>
      <c r="E199" s="104" t="s">
        <v>108</v>
      </c>
      <c r="F199" s="358"/>
      <c r="G199" s="357">
        <v>9377</v>
      </c>
      <c r="H199" s="103" t="s">
        <v>102</v>
      </c>
      <c r="I199" s="60">
        <v>1563</v>
      </c>
      <c r="J199" s="134">
        <v>509.86292503653624</v>
      </c>
      <c r="K199" s="57">
        <v>7700</v>
      </c>
      <c r="L199" s="57">
        <v>726.38710305892255</v>
      </c>
      <c r="M199" s="57">
        <v>2243.4771602115143</v>
      </c>
      <c r="N199" s="57">
        <v>5626.2</v>
      </c>
      <c r="O199" s="57">
        <v>717.91269126768452</v>
      </c>
      <c r="P199" s="57">
        <v>785.21700607403011</v>
      </c>
      <c r="Q199" s="61">
        <f>IFERROR(IF(tblPiNAnalysis[[#This Row],[SAMV]]="", "", MROUND(tblPiNAnalysis[[#This Row],[SAMV]]/tblPiNAnalysis[[#This Row],[Población]], 0.05)), "")</f>
        <v>0.15000000000000002</v>
      </c>
      <c r="R199" s="62">
        <f>IFERROR(IF(tblPiNAnalysis[[#This Row],[NUT]]="", "", MROUND(tblPiNAnalysis[[#This Row],[NUT]]/tblPiNAnalysis[[#This Row],[Población]], 0.05)), "")</f>
        <v>0.05</v>
      </c>
      <c r="S199" s="62">
        <f>IFERROR(IF(tblPiNAnalysis[[#This Row],[SAL]]="", "", MROUND(tblPiNAnalysis[[#This Row],[SAL]]/tblPiNAnalysis[[#This Row],[Población]], 0.05)), "")</f>
        <v>0.8</v>
      </c>
      <c r="T199" s="62">
        <f>IFERROR(IF(tblPiNAnalysis[[#This Row],[EDU]]="", "", MROUND(tblPiNAnalysis[[#This Row],[EDU]]/tblPiNAnalysis[[#This Row],[Población]], 0.05)), "")</f>
        <v>0.1</v>
      </c>
      <c r="U199" s="62">
        <f>IFERROR(IF(tblPiNAnalysis[[#This Row],[PRO]]="", "", MROUND(tblPiNAnalysis[[#This Row],[PRO]]/tblPiNAnalysis[[#This Row],[Población]], 0.05)), "")</f>
        <v>0.25</v>
      </c>
      <c r="V199" s="63">
        <f>IFERROR(IF(tblPiNAnalysis[[#This Row],[ASH]]="", "", MROUND(tblPiNAnalysis[[#This Row],[ASH]]/tblPiNAnalysis[[#This Row],[Población]], 0.05)), "")</f>
        <v>0.60000000000000009</v>
      </c>
      <c r="W199" s="62">
        <f>IFERROR(MROUND(tblPiNAnalysis[[#This Row],[NNA]]/tblPiNAnalysis[[#This Row],[Población]], 0.05), "")</f>
        <v>0.1</v>
      </c>
      <c r="X199" s="62">
        <f>IFERROR(MROUND(tblPiNAnalysis[[#This Row],[VBG]]/tblPiNAnalysis[[#This Row],[Población]], 0.05), "")</f>
        <v>0.1</v>
      </c>
      <c r="Y199" s="64">
        <f>IFERROR(LARGE(tblPiNAnalysis[[#This Row],[SAMV]:[ASH]], 1), "")</f>
        <v>7700</v>
      </c>
      <c r="Z199" s="65" t="str" cm="1">
        <f t="array" ref="Z199">IF(tblPiNAnalysis[[#This Row],[PiN más alto]]="", "", _xlfn.TEXTJOIN(CHAR(10), TRUE, IF(tblPiNAnalysis[[#This Row],[PiN más alto]]=tblPiNAnalysis[[#This Row],[SAMV]:[ASH]], tblPiNAnalysis[[#Headers],[SAMV]:[ASH]], "")))</f>
        <v>SAL</v>
      </c>
      <c r="AA199" s="66">
        <f>IF(tblPiNAnalysis[[#This Row],[PiN más alto]]="", "", tblPiNAnalysis[[#This Row],[PiN más alto]]/tblPiNAnalysis[[#This Row],[Población]])</f>
        <v>0.82115815292737548</v>
      </c>
      <c r="AB199" s="67" t="str">
        <f>IF(SUM(tblPiNAnalysis[[#This Row],[SAMV]:[ASH]])=0, "",IF(COUNTIF(tblPiNAnalysis[[#This Row],[SAMV]:[ASH]],"=0")+COUNTIF(tblPiNAnalysis[[#This Row],[SAMV]:[ASH]],"")&gt;=zero_pin_thresh, "Flagged", ""))</f>
        <v/>
      </c>
      <c r="AC199" s="66" t="str">
        <f>IFERROR(IF(tblPiNAnalysis[[#This Row],[PiN más alto]]="", "", IF(tblPiNAnalysis[[#This Row],[% PiN Sectores más altos]]&gt;=flag_pin_perc, "Flagged", "")), "")</f>
        <v/>
      </c>
      <c r="AD199" s="68" t="str" cm="1">
        <f t="array" ref="AD199">IF(tblPiNAnalysis[[#This Row],[PiN más alto]]=0, "",  IF(OR(COUNTIF(tblPiNAnalysis[[#This Row],[Sectores más altos]],tblSubSectorPopulation[Sector])), "Flagged", ""))</f>
        <v/>
      </c>
      <c r="AE199" s="69" cm="1">
        <f t="array" ref="AE19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5626.2</v>
      </c>
      <c r="AF199" s="70" t="str" cm="1">
        <f t="array" ref="AF199">IF(tblPiNAnalysis[[#This Row],[2º PiN más alto]]="", "", _xlfn.TEXTJOIN(CHAR(10), TRUE, IF(tblPiNAnalysis[[#This Row],[2º PiN más alto]]=tblPiNAnalysis[[#This Row],[SAMV]:[ASH]], tblPiNAnalysis[[#Headers],[SAMV]:[ASH]], "")))</f>
        <v>ASH</v>
      </c>
      <c r="AG199" s="13">
        <f>IFERROR(tblPiNAnalysis[[#This Row],[2º PiN más alto]]/tblPiNAnalysis[[#This Row],[Población]], "")</f>
        <v>0.6</v>
      </c>
      <c r="AH199" s="16">
        <f>IFERROR(tblPiNAnalysis[[#This Row],[PiN más alto]]-tblPiNAnalysis[[#This Row],[2º PiN más alto]], "")</f>
        <v>2073.8000000000002</v>
      </c>
      <c r="AI199" s="14">
        <f>IFERROR(((tblPiNAnalysis[[#This Row],[PiN más alto]]-tblPiNAnalysis[[#This Row],[2º PiN más alto]])/tblPiNAnalysis[[#This Row],[2º PiN más alto]]),"")</f>
        <v>0.36859692154562584</v>
      </c>
      <c r="AJ199" s="71" t="str" cm="1">
        <f t="array" ref="AJ19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199" s="72" cm="1">
        <f t="array" ref="AK19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2243.4771602115143</v>
      </c>
      <c r="AL199" s="73" t="str" cm="1">
        <f t="array" ref="AL199">IF(tblPiNAnalysis[[#This Row],[3º PiN más alto]]="", "", _xlfn.TEXTJOIN(CHAR(10), TRUE, IF(tblPiNAnalysis[[#This Row],[3º PiN más alto]]=tblPiNAnalysis[[#This Row],[SAMV]:[ASH]], tblPiNAnalysis[[#Headers],[SAMV]:[ASH]], "")))</f>
        <v>PRO</v>
      </c>
      <c r="AM199" s="53">
        <f>IFERROR(tblPiNAnalysis[[#This Row],[3º PiN más alto]]/tblPiNAnalysis[[#This Row],[Población]], "")</f>
        <v>0.23925318974208321</v>
      </c>
      <c r="AN199" s="15">
        <f>IFERROR(tblPiNAnalysis[[#This Row],[PiN más alto]]-tblPiNAnalysis[[#This Row],[3º PiN más alto]],"")</f>
        <v>5456.5228397884857</v>
      </c>
      <c r="AO199" s="14">
        <f>IFERROR(tblPiNAnalysis[[#This Row],[Diferencia de PiN entre el más alto y el 3º más alto]]/tblPiNAnalysis[[#This Row],[3º PiN más alto]], "")</f>
        <v>2.4321722264710046</v>
      </c>
      <c r="AP199" s="68" t="str" cm="1">
        <f t="array" ref="AP19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199" s="84" cm="1">
        <f t="array" ref="AQ199">IFERROR(IF(tblPiNAnalysis[[#This Row],[ID]]="", "", INDEX(tblPiNHistorical[[SAMV]:[ASH]], MATCH(tblPiNAnalysis[[#This Row],[ID]],tblPiNHistorical[ID], 0),MATCH(_xlfn._xlws.FILTER(tblPiNAnalysis[[#Headers],[SAMV]:[ASH]], tblPiNAnalysis[[#This Row],[PiN más alto]]=tblPiNAnalysis[[#This Row],[SAMV]:[ASH]]), tblPiNHistorical[[#Headers],[SAMV]:[ASH]], 0))), "")</f>
        <v>128.80000000000001</v>
      </c>
      <c r="AR199" s="74" t="str" cm="1">
        <f t="array" ref="AR19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199" s="74" cm="1">
        <f t="array" ref="AS199">IFERROR(IF(tblPiNAnalysis[[#This Row],[ID]]="", "", INDEX(tblPiNHistorical[[SAMV]:[ASH]], MATCH(tblPiNAnalysis[[#This Row],[ID]],tblPiNHistorical[ID], 0),MATCH(_xlfn._xlws.FILTER(tblPiNAnalysis[[#Headers],[SAMV]:[ASH]], tblPiNAnalysis[[#This Row],[2º PiN más alto]]=tblPiNAnalysis[[#This Row],[SAMV]:[ASH]]), tblPiNHistorical[[#Headers],[SAMV]:[ASH]], 0))), "")</f>
        <v>82.3</v>
      </c>
      <c r="AT199" s="75" t="str" cm="1">
        <f t="array" ref="AT19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199" s="219">
        <f>INDEX(tblSeverityAnalysis[Severidad final], MATCH(tblPiNAnalysis[[#This Row],[ID]],tblSeverityAnalysis[ID], 0))</f>
        <v>3</v>
      </c>
      <c r="AV199" s="220">
        <f>IF(tblPiNAnalysis[[#This Row],[Severidad]]&gt;2,tblPiNAnalysis[[#This Row],[PiN más alto]],)</f>
        <v>7700</v>
      </c>
      <c r="AW199" s="54"/>
      <c r="AX199" s="55"/>
      <c r="AY199" s="56">
        <f>COUNTIFS(tblPiNAnalysis[[#This Row],[Número de PiN ausentes/cero superior al umbral - Calidad de los datos]:[Marcador manual]],"Flagged")</f>
        <v>4</v>
      </c>
      <c r="AZ199" s="428" t="str">
        <f>IF(tblPiNAnalysis[[#This Row],[Número de marcadores]]&gt;0, "Flagged", "")</f>
        <v>Flagged</v>
      </c>
      <c r="BA199" s="65">
        <f>tblPiNAnalysis[[#This Row],[PiN preliminar]]</f>
        <v>7700</v>
      </c>
      <c r="BB199" s="70"/>
      <c r="BC199" s="70">
        <f>IFERROR(IF(tblPiNAnalysis[[#This Row],[Severidad]]=3,tblPiNAnalysis[[#This Row],[PiN final]]*Umbrales!$D$33,tblPiNAnalysis[[#This Row],[PiN final]]*Umbrales!$D$34),)</f>
        <v>3850</v>
      </c>
      <c r="BD199" s="70">
        <f>IFERROR(IF(tblPiNAnalysis[[#This Row],[Severidad]]&gt;3,tblPiNAnalysis[[#This Row],[PiN final]]*Umbrales!$D$34,),)</f>
        <v>0</v>
      </c>
    </row>
    <row r="200" spans="1:56">
      <c r="A200" s="101" t="str">
        <f>IFERROR(_xlfn.CONCAT(IF(tblPiNAnalysis[[#This Row],[Grupo]]="", "",tblPiNAnalysis[[#This Row],[Grupo]] ),  _xlfn.IFS(tblPiNAnalysis[[#This Row],[Admin2PCODE]]&lt;&gt;"", tblPiNAnalysis[[#This Row],[Admin2PCODE]], tblPiNAnalysis[[#This Row],[Admin1PCODE]]&lt;&gt;"", tblPiNAnalysis[[#This Row],[Admin1PCODE]])),"")</f>
        <v>VenezolanosVE1102</v>
      </c>
      <c r="B200" s="105" t="s">
        <v>316</v>
      </c>
      <c r="C200" s="104" t="s">
        <v>317</v>
      </c>
      <c r="D200" s="119" t="s">
        <v>180</v>
      </c>
      <c r="E200" s="104" t="s">
        <v>320</v>
      </c>
      <c r="F200" s="358"/>
      <c r="G200" s="357">
        <v>8733</v>
      </c>
      <c r="H200" s="103" t="s">
        <v>102</v>
      </c>
      <c r="I200" s="60">
        <v>1456</v>
      </c>
      <c r="J200" s="134">
        <v>283.34738935940982</v>
      </c>
      <c r="K200" s="57">
        <v>7700</v>
      </c>
      <c r="L200" s="87">
        <v>597.02342153398752</v>
      </c>
      <c r="M200" s="87">
        <v>1741.690382090891</v>
      </c>
      <c r="N200" s="57">
        <v>1178.9549999999999</v>
      </c>
      <c r="O200" s="57">
        <v>557.34092226908513</v>
      </c>
      <c r="P200" s="57">
        <v>609.59163373181184</v>
      </c>
      <c r="Q200" s="88">
        <f>IFERROR(IF(tblPiNAnalysis[[#This Row],[SAMV]]="", "", MROUND(tblPiNAnalysis[[#This Row],[SAMV]]/tblPiNAnalysis[[#This Row],[Población]], 0.05)), "")</f>
        <v>0.15000000000000002</v>
      </c>
      <c r="R200" s="89">
        <f>IFERROR(IF(tblPiNAnalysis[[#This Row],[NUT]]="", "", MROUND(tblPiNAnalysis[[#This Row],[NUT]]/tblPiNAnalysis[[#This Row],[Población]], 0.05)), "")</f>
        <v>0.05</v>
      </c>
      <c r="S200" s="89">
        <f>IFERROR(IF(tblPiNAnalysis[[#This Row],[SAL]]="", "", MROUND(tblPiNAnalysis[[#This Row],[SAL]]/tblPiNAnalysis[[#This Row],[Población]], 0.05)), "")</f>
        <v>0.9</v>
      </c>
      <c r="T200" s="89">
        <f>IFERROR(IF(tblPiNAnalysis[[#This Row],[EDU]]="", "", MROUND(tblPiNAnalysis[[#This Row],[EDU]]/tblPiNAnalysis[[#This Row],[Población]], 0.05)), "")</f>
        <v>0.05</v>
      </c>
      <c r="U200" s="89">
        <f>IFERROR(IF(tblPiNAnalysis[[#This Row],[PRO]]="", "", MROUND(tblPiNAnalysis[[#This Row],[PRO]]/tblPiNAnalysis[[#This Row],[Población]], 0.05)), "")</f>
        <v>0.2</v>
      </c>
      <c r="V200" s="90">
        <f>IFERROR(IF(tblPiNAnalysis[[#This Row],[ASH]]="", "", MROUND(tblPiNAnalysis[[#This Row],[ASH]]/tblPiNAnalysis[[#This Row],[Población]], 0.05)), "")</f>
        <v>0.15000000000000002</v>
      </c>
      <c r="W200" s="89">
        <f>IFERROR(MROUND(tblPiNAnalysis[[#This Row],[NNA]]/tblPiNAnalysis[[#This Row],[Población]], 0.05), "")</f>
        <v>0.05</v>
      </c>
      <c r="X200" s="89">
        <f>IFERROR(MROUND(tblPiNAnalysis[[#This Row],[VBG]]/tblPiNAnalysis[[#This Row],[Población]], 0.05), "")</f>
        <v>0.05</v>
      </c>
      <c r="Y200" s="91">
        <f>IFERROR(LARGE(tblPiNAnalysis[[#This Row],[SAMV]:[ASH]], 1), "")</f>
        <v>7700</v>
      </c>
      <c r="Z200" s="92" t="str" cm="1">
        <f t="array" ref="Z200">IF(tblPiNAnalysis[[#This Row],[PiN más alto]]="", "", _xlfn.TEXTJOIN(CHAR(10), TRUE, IF(tblPiNAnalysis[[#This Row],[PiN más alto]]=tblPiNAnalysis[[#This Row],[SAMV]:[ASH]], tblPiNAnalysis[[#Headers],[SAMV]:[ASH]], "")))</f>
        <v>SAL</v>
      </c>
      <c r="AA200" s="93">
        <f>IF(tblPiNAnalysis[[#This Row],[PiN más alto]]="", "", tblPiNAnalysis[[#This Row],[PiN más alto]]/tblPiNAnalysis[[#This Row],[Población]])</f>
        <v>0.88171304248253746</v>
      </c>
      <c r="AB200" s="94" t="str">
        <f>IF(SUM(tblPiNAnalysis[[#This Row],[SAMV]:[ASH]])=0, "",IF(COUNTIF(tblPiNAnalysis[[#This Row],[SAMV]:[ASH]],"=0")+COUNTIF(tblPiNAnalysis[[#This Row],[SAMV]:[ASH]],"")&gt;=zero_pin_thresh, "Flagged", ""))</f>
        <v/>
      </c>
      <c r="AC200" s="95" t="str">
        <f>IFERROR(IF(tblPiNAnalysis[[#This Row],[PiN más alto]]="", "", IF(tblPiNAnalysis[[#This Row],[% PiN Sectores más altos]]&gt;=flag_pin_perc, "Flagged", "")), "")</f>
        <v/>
      </c>
      <c r="AD200" s="96" t="str" cm="1">
        <f t="array" ref="AD200">IF(tblPiNAnalysis[[#This Row],[PiN más alto]]=0, "",  IF(OR(COUNTIF(tblPiNAnalysis[[#This Row],[Sectores más altos]],tblSubSectorPopulation[Sector])), "Flagged", ""))</f>
        <v/>
      </c>
      <c r="AE200" s="16" cm="1">
        <f t="array" ref="AE20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1741.690382090891</v>
      </c>
      <c r="AF200" s="97" t="str" cm="1">
        <f t="array" ref="AF200">IF(tblPiNAnalysis[[#This Row],[2º PiN más alto]]="", "", _xlfn.TEXTJOIN(CHAR(10), TRUE, IF(tblPiNAnalysis[[#This Row],[2º PiN más alto]]=tblPiNAnalysis[[#This Row],[SAMV]:[ASH]], tblPiNAnalysis[[#Headers],[SAMV]:[ASH]], "")))</f>
        <v>PRO</v>
      </c>
      <c r="AG200" s="12">
        <f>IFERROR(tblPiNAnalysis[[#This Row],[2º PiN más alto]]/tblPiNAnalysis[[#This Row],[Población]], "")</f>
        <v>0.19943780855271853</v>
      </c>
      <c r="AH200" s="16">
        <f>IFERROR(tblPiNAnalysis[[#This Row],[PiN más alto]]-tblPiNAnalysis[[#This Row],[2º PiN más alto]], "")</f>
        <v>5958.309617909109</v>
      </c>
      <c r="AI200" s="14">
        <f>IFERROR(((tblPiNAnalysis[[#This Row],[PiN más alto]]-tblPiNAnalysis[[#This Row],[2º PiN más alto]])/tblPiNAnalysis[[#This Row],[2º PiN más alto]]),"")</f>
        <v>3.4209924330845682</v>
      </c>
      <c r="AJ200" s="14" t="str" cm="1">
        <f t="array" ref="AJ20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00" s="98" cm="1">
        <f t="array" ref="AK20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1456</v>
      </c>
      <c r="AL200" s="53" t="str" cm="1">
        <f t="array" ref="AL200">IF(tblPiNAnalysis[[#This Row],[3º PiN más alto]]="", "", _xlfn.TEXTJOIN(CHAR(10), TRUE, IF(tblPiNAnalysis[[#This Row],[3º PiN más alto]]=tblPiNAnalysis[[#This Row],[SAMV]:[ASH]], tblPiNAnalysis[[#Headers],[SAMV]:[ASH]], "")))</f>
        <v>SAMV</v>
      </c>
      <c r="AM200" s="53">
        <f>IFERROR(tblPiNAnalysis[[#This Row],[3º PiN más alto]]/tblPiNAnalysis[[#This Row],[Población]], "")</f>
        <v>0.16672392076033438</v>
      </c>
      <c r="AN200" s="15">
        <f>IFERROR(tblPiNAnalysis[[#This Row],[PiN más alto]]-tblPiNAnalysis[[#This Row],[3º PiN más alto]],"")</f>
        <v>6244</v>
      </c>
      <c r="AO200" s="14">
        <f>IFERROR(tblPiNAnalysis[[#This Row],[Diferencia de PiN entre el más alto y el 3º más alto]]/tblPiNAnalysis[[#This Row],[3º PiN más alto]], "")</f>
        <v>4.2884615384615383</v>
      </c>
      <c r="AP200" s="96" t="str" cm="1">
        <f t="array" ref="AP20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00" s="84" cm="1">
        <f t="array" ref="AQ200">IFERROR(IF(tblPiNAnalysis[[#This Row],[ID]]="", "", INDEX(tblPiNHistorical[[SAMV]:[ASH]], MATCH(tblPiNAnalysis[[#This Row],[ID]],tblPiNHistorical[ID], 0),MATCH(_xlfn._xlws.FILTER(tblPiNAnalysis[[#Headers],[SAMV]:[ASH]], tblPiNAnalysis[[#This Row],[PiN más alto]]=tblPiNAnalysis[[#This Row],[SAMV]:[ASH]]), tblPiNHistorical[[#Headers],[SAMV]:[ASH]], 0))), "")</f>
        <v>7.8</v>
      </c>
      <c r="AR200" s="99" t="str" cm="1">
        <f t="array" ref="AR20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00" s="74" cm="1">
        <f t="array" ref="AS200">IFERROR(IF(tblPiNAnalysis[[#This Row],[ID]]="", "", INDEX(tblPiNHistorical[[SAMV]:[ASH]], MATCH(tblPiNAnalysis[[#This Row],[ID]],tblPiNHistorical[ID], 0),MATCH(_xlfn._xlws.FILTER(tblPiNAnalysis[[#Headers],[SAMV]:[ASH]], tblPiNAnalysis[[#This Row],[2º PiN más alto]]=tblPiNAnalysis[[#This Row],[SAMV]:[ASH]]), tblPiNHistorical[[#Headers],[SAMV]:[ASH]], 0))), "")</f>
        <v>3.2</v>
      </c>
      <c r="AT200" s="100" t="str" cm="1">
        <f t="array" ref="AT20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00" s="219">
        <f>INDEX(tblSeverityAnalysis[Severidad final], MATCH(tblPiNAnalysis[[#This Row],[ID]],tblSeverityAnalysis[ID], 0))</f>
        <v>3</v>
      </c>
      <c r="AV200" s="220">
        <f>IF(tblPiNAnalysis[[#This Row],[Severidad]]&gt;2,tblPiNAnalysis[[#This Row],[PiN más alto]],)</f>
        <v>7700</v>
      </c>
      <c r="AW200" s="54"/>
      <c r="AX200" s="55"/>
      <c r="AY200" s="56">
        <f>COUNTIFS(tblPiNAnalysis[[#This Row],[Número de PiN ausentes/cero superior al umbral - Calidad de los datos]:[Marcador manual]],"Flagged")</f>
        <v>4</v>
      </c>
      <c r="AZ200" s="34" t="str">
        <f>IF(tblPiNAnalysis[[#This Row],[Número de marcadores]]&gt;0, "Flagged", "")</f>
        <v>Flagged</v>
      </c>
      <c r="BA200" s="92">
        <f>tblPiNAnalysis[[#This Row],[PiN preliminar]]</f>
        <v>7700</v>
      </c>
      <c r="BB200" s="97"/>
      <c r="BC200" s="70">
        <f>IFERROR(IF(tblPiNAnalysis[[#This Row],[Severidad]]=3,tblPiNAnalysis[[#This Row],[PiN final]]*Umbrales!$D$33,tblPiNAnalysis[[#This Row],[PiN final]]*Umbrales!$D$34),)</f>
        <v>3850</v>
      </c>
      <c r="BD200" s="70">
        <f>IFERROR(IF(tblPiNAnalysis[[#This Row],[Severidad]]&gt;3,tblPiNAnalysis[[#This Row],[PiN final]]*Umbrales!$D$34,),)</f>
        <v>0</v>
      </c>
    </row>
    <row r="201" spans="1:56">
      <c r="A201" s="101" t="str">
        <f>IFERROR(_xlfn.CONCAT(IF(tblPiNAnalysis[[#This Row],[Grupo]]="", "",tblPiNAnalysis[[#This Row],[Grupo]] ),  _xlfn.IFS(tblPiNAnalysis[[#This Row],[Admin2PCODE]]&lt;&gt;"", tblPiNAnalysis[[#This Row],[Admin2PCODE]], tblPiNAnalysis[[#This Row],[Admin1PCODE]]&lt;&gt;"", tblPiNAnalysis[[#This Row],[Admin1PCODE]])),"")</f>
        <v>VenezolanosVE1117</v>
      </c>
      <c r="B201" s="105" t="s">
        <v>316</v>
      </c>
      <c r="C201" s="104" t="s">
        <v>317</v>
      </c>
      <c r="D201" s="119" t="s">
        <v>347</v>
      </c>
      <c r="E201" s="104" t="s">
        <v>348</v>
      </c>
      <c r="F201" s="358"/>
      <c r="G201" s="357">
        <v>14026</v>
      </c>
      <c r="H201" s="103" t="s">
        <v>102</v>
      </c>
      <c r="I201" s="60">
        <v>2727</v>
      </c>
      <c r="J201" s="134">
        <v>540.28139075847002</v>
      </c>
      <c r="K201" s="57">
        <v>7700</v>
      </c>
      <c r="L201" s="87">
        <v>867.92845520858828</v>
      </c>
      <c r="M201" s="87">
        <v>2797.31470276043</v>
      </c>
      <c r="N201" s="57">
        <v>1893.5099999999998</v>
      </c>
      <c r="O201" s="57">
        <v>895.14070488333755</v>
      </c>
      <c r="P201" s="57">
        <v>979.06014596615046</v>
      </c>
      <c r="Q201" s="88">
        <f>IFERROR(IF(tblPiNAnalysis[[#This Row],[SAMV]]="", "", MROUND(tblPiNAnalysis[[#This Row],[SAMV]]/tblPiNAnalysis[[#This Row],[Población]], 0.05)), "")</f>
        <v>0.2</v>
      </c>
      <c r="R201" s="89">
        <f>IFERROR(IF(tblPiNAnalysis[[#This Row],[NUT]]="", "", MROUND(tblPiNAnalysis[[#This Row],[NUT]]/tblPiNAnalysis[[#This Row],[Población]], 0.05)), "")</f>
        <v>0.05</v>
      </c>
      <c r="S201" s="89">
        <f>IFERROR(IF(tblPiNAnalysis[[#This Row],[SAL]]="", "", MROUND(tblPiNAnalysis[[#This Row],[SAL]]/tblPiNAnalysis[[#This Row],[Población]], 0.05)), "")</f>
        <v>0.55000000000000004</v>
      </c>
      <c r="T201" s="89">
        <f>IFERROR(IF(tblPiNAnalysis[[#This Row],[EDU]]="", "", MROUND(tblPiNAnalysis[[#This Row],[EDU]]/tblPiNAnalysis[[#This Row],[Población]], 0.05)), "")</f>
        <v>0.05</v>
      </c>
      <c r="U201" s="89">
        <f>IFERROR(IF(tblPiNAnalysis[[#This Row],[PRO]]="", "", MROUND(tblPiNAnalysis[[#This Row],[PRO]]/tblPiNAnalysis[[#This Row],[Población]], 0.05)), "")</f>
        <v>0.2</v>
      </c>
      <c r="V201" s="90">
        <f>IFERROR(IF(tblPiNAnalysis[[#This Row],[ASH]]="", "", MROUND(tblPiNAnalysis[[#This Row],[ASH]]/tblPiNAnalysis[[#This Row],[Población]], 0.05)), "")</f>
        <v>0.15000000000000002</v>
      </c>
      <c r="W201" s="89">
        <f>IFERROR(MROUND(tblPiNAnalysis[[#This Row],[NNA]]/tblPiNAnalysis[[#This Row],[Población]], 0.05), "")</f>
        <v>0.05</v>
      </c>
      <c r="X201" s="89">
        <f>IFERROR(MROUND(tblPiNAnalysis[[#This Row],[VBG]]/tblPiNAnalysis[[#This Row],[Población]], 0.05), "")</f>
        <v>0.05</v>
      </c>
      <c r="Y201" s="91">
        <f>IFERROR(LARGE(tblPiNAnalysis[[#This Row],[SAMV]:[ASH]], 1), "")</f>
        <v>7700</v>
      </c>
      <c r="Z201" s="92" t="str" cm="1">
        <f t="array" ref="Z201">IF(tblPiNAnalysis[[#This Row],[PiN más alto]]="", "", _xlfn.TEXTJOIN(CHAR(10), TRUE, IF(tblPiNAnalysis[[#This Row],[PiN más alto]]=tblPiNAnalysis[[#This Row],[SAMV]:[ASH]], tblPiNAnalysis[[#Headers],[SAMV]:[ASH]], "")))</f>
        <v>SAL</v>
      </c>
      <c r="AA201" s="93">
        <f>IF(tblPiNAnalysis[[#This Row],[PiN más alto]]="", "", tblPiNAnalysis[[#This Row],[PiN más alto]]/tblPiNAnalysis[[#This Row],[Población]])</f>
        <v>0.54898046485099106</v>
      </c>
      <c r="AB201" s="94" t="str">
        <f>IF(SUM(tblPiNAnalysis[[#This Row],[SAMV]:[ASH]])=0, "",IF(COUNTIF(tblPiNAnalysis[[#This Row],[SAMV]:[ASH]],"=0")+COUNTIF(tblPiNAnalysis[[#This Row],[SAMV]:[ASH]],"")&gt;=zero_pin_thresh, "Flagged", ""))</f>
        <v/>
      </c>
      <c r="AC201" s="95" t="str">
        <f>IFERROR(IF(tblPiNAnalysis[[#This Row],[PiN más alto]]="", "", IF(tblPiNAnalysis[[#This Row],[% PiN Sectores más altos]]&gt;=flag_pin_perc, "Flagged", "")), "")</f>
        <v/>
      </c>
      <c r="AD201" s="96" t="str" cm="1">
        <f t="array" ref="AD201">IF(tblPiNAnalysis[[#This Row],[PiN más alto]]=0, "",  IF(OR(COUNTIF(tblPiNAnalysis[[#This Row],[Sectores más altos]],tblSubSectorPopulation[Sector])), "Flagged", ""))</f>
        <v/>
      </c>
      <c r="AE201" s="16" cm="1">
        <f t="array" ref="AE20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2797.31470276043</v>
      </c>
      <c r="AF201" s="97" t="str" cm="1">
        <f t="array" ref="AF201">IF(tblPiNAnalysis[[#This Row],[2º PiN más alto]]="", "", _xlfn.TEXTJOIN(CHAR(10), TRUE, IF(tblPiNAnalysis[[#This Row],[2º PiN más alto]]=tblPiNAnalysis[[#This Row],[SAMV]:[ASH]], tblPiNAnalysis[[#Headers],[SAMV]:[ASH]], "")))</f>
        <v>PRO</v>
      </c>
      <c r="AG201" s="12">
        <f>IFERROR(tblPiNAnalysis[[#This Row],[2º PiN más alto]]/tblPiNAnalysis[[#This Row],[Población]], "")</f>
        <v>0.19943780855271853</v>
      </c>
      <c r="AH201" s="16">
        <f>IFERROR(tblPiNAnalysis[[#This Row],[PiN más alto]]-tblPiNAnalysis[[#This Row],[2º PiN más alto]], "")</f>
        <v>4902.68529723957</v>
      </c>
      <c r="AI201" s="14">
        <f>IFERROR(((tblPiNAnalysis[[#This Row],[PiN más alto]]-tblPiNAnalysis[[#This Row],[2º PiN más alto]])/tblPiNAnalysis[[#This Row],[2º PiN más alto]]),"")</f>
        <v>1.7526398772370981</v>
      </c>
      <c r="AJ201" s="14" t="str" cm="1">
        <f t="array" ref="AJ20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01" s="98" cm="1">
        <f t="array" ref="AK20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2727</v>
      </c>
      <c r="AL201" s="53" t="str" cm="1">
        <f t="array" ref="AL201">IF(tblPiNAnalysis[[#This Row],[3º PiN más alto]]="", "", _xlfn.TEXTJOIN(CHAR(10), TRUE, IF(tblPiNAnalysis[[#This Row],[3º PiN más alto]]=tblPiNAnalysis[[#This Row],[SAMV]:[ASH]], tblPiNAnalysis[[#Headers],[SAMV]:[ASH]], "")))</f>
        <v>SAMV</v>
      </c>
      <c r="AM201" s="53">
        <f>IFERROR(tblPiNAnalysis[[#This Row],[3º PiN más alto]]/tblPiNAnalysis[[#This Row],[Población]], "")</f>
        <v>0.19442463995437045</v>
      </c>
      <c r="AN201" s="15">
        <f>IFERROR(tblPiNAnalysis[[#This Row],[PiN más alto]]-tblPiNAnalysis[[#This Row],[3º PiN más alto]],"")</f>
        <v>4973</v>
      </c>
      <c r="AO201" s="14">
        <f>IFERROR(tblPiNAnalysis[[#This Row],[Diferencia de PiN entre el más alto y el 3º más alto]]/tblPiNAnalysis[[#This Row],[3º PiN más alto]], "")</f>
        <v>1.8236156949028237</v>
      </c>
      <c r="AP201" s="96" t="str" cm="1">
        <f t="array" ref="AP20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01" s="84" cm="1">
        <f t="array" ref="AQ201">IFERROR(IF(tblPiNAnalysis[[#This Row],[ID]]="", "", INDEX(tblPiNHistorical[[SAMV]:[ASH]], MATCH(tblPiNAnalysis[[#This Row],[ID]],tblPiNHistorical[ID], 0),MATCH(_xlfn._xlws.FILTER(tblPiNAnalysis[[#Headers],[SAMV]:[ASH]], tblPiNAnalysis[[#This Row],[PiN más alto]]=tblPiNAnalysis[[#This Row],[SAMV]:[ASH]]), tblPiNHistorical[[#Headers],[SAMV]:[ASH]], 0))), "")</f>
        <v>2</v>
      </c>
      <c r="AR201" s="99" t="str" cm="1">
        <f t="array" ref="AR20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01" s="74" cm="1">
        <f t="array" ref="AS201">IFERROR(IF(tblPiNAnalysis[[#This Row],[ID]]="", "", INDEX(tblPiNHistorical[[SAMV]:[ASH]], MATCH(tblPiNAnalysis[[#This Row],[ID]],tblPiNHistorical[ID], 0),MATCH(_xlfn._xlws.FILTER(tblPiNAnalysis[[#Headers],[SAMV]:[ASH]], tblPiNAnalysis[[#This Row],[2º PiN más alto]]=tblPiNAnalysis[[#This Row],[SAMV]:[ASH]]), tblPiNHistorical[[#Headers],[SAMV]:[ASH]], 0))), "")</f>
        <v>-0.3</v>
      </c>
      <c r="AT201" s="100" t="str" cm="1">
        <f t="array" ref="AT20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01" s="219">
        <f>INDEX(tblSeverityAnalysis[Severidad final], MATCH(tblPiNAnalysis[[#This Row],[ID]],tblSeverityAnalysis[ID], 0))</f>
        <v>3</v>
      </c>
      <c r="AV201" s="220">
        <f>IF(tblPiNAnalysis[[#This Row],[Severidad]]&gt;2,tblPiNAnalysis[[#This Row],[PiN más alto]],)</f>
        <v>7700</v>
      </c>
      <c r="AW201" s="54"/>
      <c r="AX201" s="55"/>
      <c r="AY201" s="56">
        <f>COUNTIFS(tblPiNAnalysis[[#This Row],[Número de PiN ausentes/cero superior al umbral - Calidad de los datos]:[Marcador manual]],"Flagged")</f>
        <v>3</v>
      </c>
      <c r="AZ201" s="34" t="str">
        <f>IF(tblPiNAnalysis[[#This Row],[Número de marcadores]]&gt;0, "Flagged", "")</f>
        <v>Flagged</v>
      </c>
      <c r="BA201" s="92">
        <f>tblPiNAnalysis[[#This Row],[PiN preliminar]]</f>
        <v>7700</v>
      </c>
      <c r="BB201" s="97"/>
      <c r="BC201" s="70">
        <f>IFERROR(IF(tblPiNAnalysis[[#This Row],[Severidad]]=3,tblPiNAnalysis[[#This Row],[PiN final]]*Umbrales!$D$33,tblPiNAnalysis[[#This Row],[PiN final]]*Umbrales!$D$34),)</f>
        <v>3850</v>
      </c>
      <c r="BD201" s="70">
        <f>IFERROR(IF(tblPiNAnalysis[[#This Row],[Severidad]]&gt;3,tblPiNAnalysis[[#This Row],[PiN final]]*Umbrales!$D$34,),)</f>
        <v>0</v>
      </c>
    </row>
    <row r="202" spans="1:56">
      <c r="A202" s="101" t="str">
        <f>IFERROR(_xlfn.CONCAT(IF(tblPiNAnalysis[[#This Row],[Grupo]]="", "",tblPiNAnalysis[[#This Row],[Grupo]] ),  _xlfn.IFS(tblPiNAnalysis[[#This Row],[Admin2PCODE]]&lt;&gt;"", tblPiNAnalysis[[#This Row],[Admin2PCODE]], tblPiNAnalysis[[#This Row],[Admin1PCODE]]&lt;&gt;"", tblPiNAnalysis[[#This Row],[Admin1PCODE]])),"")</f>
        <v>VenezolanosVE1204</v>
      </c>
      <c r="B202" s="105" t="s">
        <v>362</v>
      </c>
      <c r="C202" s="104" t="s">
        <v>363</v>
      </c>
      <c r="D202" s="119" t="s">
        <v>820</v>
      </c>
      <c r="E202" s="104" t="s">
        <v>371</v>
      </c>
      <c r="F202" s="358"/>
      <c r="G202" s="357">
        <v>20661</v>
      </c>
      <c r="H202" s="103" t="s">
        <v>102</v>
      </c>
      <c r="I202" s="60">
        <v>0</v>
      </c>
      <c r="J202" s="134">
        <v>1127.6680384267049</v>
      </c>
      <c r="K202" s="57">
        <v>7541.2650000000003</v>
      </c>
      <c r="L202" s="87">
        <v>1499.7524248814229</v>
      </c>
      <c r="M202" s="87">
        <v>3829.6131671941616</v>
      </c>
      <c r="N202" s="57">
        <v>2789.2350000000001</v>
      </c>
      <c r="O202" s="57">
        <v>1229.3058266693261</v>
      </c>
      <c r="P202" s="57">
        <v>1340.3646085179564</v>
      </c>
      <c r="Q202" s="88">
        <f>IFERROR(IF(tblPiNAnalysis[[#This Row],[SAMV]]="", "", MROUND(tblPiNAnalysis[[#This Row],[SAMV]]/tblPiNAnalysis[[#This Row],[Población]], 0.05)), "")</f>
        <v>0</v>
      </c>
      <c r="R202" s="89">
        <f>IFERROR(IF(tblPiNAnalysis[[#This Row],[NUT]]="", "", MROUND(tblPiNAnalysis[[#This Row],[NUT]]/tblPiNAnalysis[[#This Row],[Población]], 0.05)), "")</f>
        <v>0.05</v>
      </c>
      <c r="S202" s="89">
        <f>IFERROR(IF(tblPiNAnalysis[[#This Row],[SAL]]="", "", MROUND(tblPiNAnalysis[[#This Row],[SAL]]/tblPiNAnalysis[[#This Row],[Población]], 0.05)), "")</f>
        <v>0.35000000000000003</v>
      </c>
      <c r="T202" s="89">
        <f>IFERROR(IF(tblPiNAnalysis[[#This Row],[EDU]]="", "", MROUND(tblPiNAnalysis[[#This Row],[EDU]]/tblPiNAnalysis[[#This Row],[Población]], 0.05)), "")</f>
        <v>0.05</v>
      </c>
      <c r="U202" s="89">
        <f>IFERROR(IF(tblPiNAnalysis[[#This Row],[PRO]]="", "", MROUND(tblPiNAnalysis[[#This Row],[PRO]]/tblPiNAnalysis[[#This Row],[Población]], 0.05)), "")</f>
        <v>0.2</v>
      </c>
      <c r="V202" s="90">
        <f>IFERROR(IF(tblPiNAnalysis[[#This Row],[ASH]]="", "", MROUND(tblPiNAnalysis[[#This Row],[ASH]]/tblPiNAnalysis[[#This Row],[Población]], 0.05)), "")</f>
        <v>0.15000000000000002</v>
      </c>
      <c r="W202" s="89">
        <f>IFERROR(MROUND(tblPiNAnalysis[[#This Row],[NNA]]/tblPiNAnalysis[[#This Row],[Población]], 0.05), "")</f>
        <v>0.05</v>
      </c>
      <c r="X202" s="89">
        <f>IFERROR(MROUND(tblPiNAnalysis[[#This Row],[VBG]]/tblPiNAnalysis[[#This Row],[Población]], 0.05), "")</f>
        <v>0.05</v>
      </c>
      <c r="Y202" s="91">
        <f>IFERROR(LARGE(tblPiNAnalysis[[#This Row],[SAMV]:[ASH]], 1), "")</f>
        <v>7541.2650000000003</v>
      </c>
      <c r="Z202" s="92" t="str" cm="1">
        <f t="array" ref="Z202">IF(tblPiNAnalysis[[#This Row],[PiN más alto]]="", "", _xlfn.TEXTJOIN(CHAR(10), TRUE, IF(tblPiNAnalysis[[#This Row],[PiN más alto]]=tblPiNAnalysis[[#This Row],[SAMV]:[ASH]], tblPiNAnalysis[[#Headers],[SAMV]:[ASH]], "")))</f>
        <v>SAL</v>
      </c>
      <c r="AA202" s="93">
        <f>IF(tblPiNAnalysis[[#This Row],[PiN más alto]]="", "", tblPiNAnalysis[[#This Row],[PiN más alto]]/tblPiNAnalysis[[#This Row],[Población]])</f>
        <v>0.36499999999999999</v>
      </c>
      <c r="AB202" s="94" t="str">
        <f>IF(SUM(tblPiNAnalysis[[#This Row],[SAMV]:[ASH]])=0, "",IF(COUNTIF(tblPiNAnalysis[[#This Row],[SAMV]:[ASH]],"=0")+COUNTIF(tblPiNAnalysis[[#This Row],[SAMV]:[ASH]],"")&gt;=zero_pin_thresh, "Flagged", ""))</f>
        <v/>
      </c>
      <c r="AC202" s="95" t="str">
        <f>IFERROR(IF(tblPiNAnalysis[[#This Row],[PiN más alto]]="", "", IF(tblPiNAnalysis[[#This Row],[% PiN Sectores más altos]]&gt;=flag_pin_perc, "Flagged", "")), "")</f>
        <v/>
      </c>
      <c r="AD202" s="96" t="str" cm="1">
        <f t="array" ref="AD202">IF(tblPiNAnalysis[[#This Row],[PiN más alto]]=0, "",  IF(OR(COUNTIF(tblPiNAnalysis[[#This Row],[Sectores más altos]],tblSubSectorPopulation[Sector])), "Flagged", ""))</f>
        <v/>
      </c>
      <c r="AE202" s="16" cm="1">
        <f t="array" ref="AE20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3829.6131671941616</v>
      </c>
      <c r="AF202" s="97" t="str" cm="1">
        <f t="array" ref="AF202">IF(tblPiNAnalysis[[#This Row],[2º PiN más alto]]="", "", _xlfn.TEXTJOIN(CHAR(10), TRUE, IF(tblPiNAnalysis[[#This Row],[2º PiN más alto]]=tblPiNAnalysis[[#This Row],[SAMV]:[ASH]], tblPiNAnalysis[[#Headers],[SAMV]:[ASH]], "")))</f>
        <v>PRO</v>
      </c>
      <c r="AG202" s="12">
        <f>IFERROR(tblPiNAnalysis[[#This Row],[2º PiN más alto]]/tblPiNAnalysis[[#This Row],[Población]], "")</f>
        <v>0.18535468598781094</v>
      </c>
      <c r="AH202" s="16">
        <f>IFERROR(tblPiNAnalysis[[#This Row],[PiN más alto]]-tblPiNAnalysis[[#This Row],[2º PiN más alto]], "")</f>
        <v>3711.6518328058387</v>
      </c>
      <c r="AI202" s="14">
        <f>IFERROR(((tblPiNAnalysis[[#This Row],[PiN más alto]]-tblPiNAnalysis[[#This Row],[2º PiN más alto]])/tblPiNAnalysis[[#This Row],[2º PiN más alto]]),"")</f>
        <v>0.96919758491567187</v>
      </c>
      <c r="AJ202" s="14" t="str" cm="1">
        <f t="array" ref="AJ20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02" s="98" cm="1">
        <f t="array" ref="AK20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2789.2350000000001</v>
      </c>
      <c r="AL202" s="53" t="str" cm="1">
        <f t="array" ref="AL202">IF(tblPiNAnalysis[[#This Row],[3º PiN más alto]]="", "", _xlfn.TEXTJOIN(CHAR(10), TRUE, IF(tblPiNAnalysis[[#This Row],[3º PiN más alto]]=tblPiNAnalysis[[#This Row],[SAMV]:[ASH]], tblPiNAnalysis[[#Headers],[SAMV]:[ASH]], "")))</f>
        <v>ASH</v>
      </c>
      <c r="AM202" s="53">
        <f>IFERROR(tblPiNAnalysis[[#This Row],[3º PiN más alto]]/tblPiNAnalysis[[#This Row],[Población]], "")</f>
        <v>0.13500000000000001</v>
      </c>
      <c r="AN202" s="15">
        <f>IFERROR(tblPiNAnalysis[[#This Row],[PiN más alto]]-tblPiNAnalysis[[#This Row],[3º PiN más alto]],"")</f>
        <v>4752.0300000000007</v>
      </c>
      <c r="AO202" s="14">
        <f>IFERROR(tblPiNAnalysis[[#This Row],[Diferencia de PiN entre el más alto y el 3º más alto]]/tblPiNAnalysis[[#This Row],[3º PiN más alto]], "")</f>
        <v>1.7037037037037039</v>
      </c>
      <c r="AP202" s="96" t="str" cm="1">
        <f t="array" ref="AP20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02" s="84" cm="1">
        <f t="array" ref="AQ202">IFERROR(IF(tblPiNAnalysis[[#This Row],[ID]]="", "", INDEX(tblPiNHistorical[[SAMV]:[ASH]], MATCH(tblPiNAnalysis[[#This Row],[ID]],tblPiNHistorical[ID], 0),MATCH(_xlfn._xlws.FILTER(tblPiNAnalysis[[#Headers],[SAMV]:[ASH]], tblPiNAnalysis[[#This Row],[PiN más alto]]=tblPiNAnalysis[[#This Row],[SAMV]:[ASH]]), tblPiNHistorical[[#Headers],[SAMV]:[ASH]], 0))), "")</f>
        <v>1.4</v>
      </c>
      <c r="AR202" s="99" t="str" cm="1">
        <f t="array" ref="AR20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02" s="74" cm="1">
        <f t="array" ref="AS202">IFERROR(IF(tblPiNAnalysis[[#This Row],[ID]]="", "", INDEX(tblPiNHistorical[[SAMV]:[ASH]], MATCH(tblPiNAnalysis[[#This Row],[ID]],tblPiNHistorical[ID], 0),MATCH(_xlfn._xlws.FILTER(tblPiNAnalysis[[#Headers],[SAMV]:[ASH]], tblPiNAnalysis[[#This Row],[2º PiN más alto]]=tblPiNAnalysis[[#This Row],[SAMV]:[ASH]]), tblPiNHistorical[[#Headers],[SAMV]:[ASH]], 0))), "")</f>
        <v>-0.3</v>
      </c>
      <c r="AT202" s="100" t="str" cm="1">
        <f t="array" ref="AT20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02" s="219">
        <f>INDEX(tblSeverityAnalysis[Severidad final], MATCH(tblPiNAnalysis[[#This Row],[ID]],tblSeverityAnalysis[ID], 0))</f>
        <v>3</v>
      </c>
      <c r="AV202" s="220">
        <f>IF(tblPiNAnalysis[[#This Row],[Severidad]]&gt;2,tblPiNAnalysis[[#This Row],[PiN más alto]],)</f>
        <v>7541.2650000000003</v>
      </c>
      <c r="AW202" s="54"/>
      <c r="AX202" s="55"/>
      <c r="AY202" s="56">
        <f>COUNTIFS(tblPiNAnalysis[[#This Row],[Número de PiN ausentes/cero superior al umbral - Calidad de los datos]:[Marcador manual]],"Flagged")</f>
        <v>3</v>
      </c>
      <c r="AZ202" s="34" t="str">
        <f>IF(tblPiNAnalysis[[#This Row],[Número de marcadores]]&gt;0, "Flagged", "")</f>
        <v>Flagged</v>
      </c>
      <c r="BA202" s="92">
        <f>tblPiNAnalysis[[#This Row],[PiN preliminar]]</f>
        <v>7541.2650000000003</v>
      </c>
      <c r="BB202" s="97"/>
      <c r="BC202" s="70">
        <f>IFERROR(IF(tblPiNAnalysis[[#This Row],[Severidad]]=3,tblPiNAnalysis[[#This Row],[PiN final]]*Umbrales!$D$33,tblPiNAnalysis[[#This Row],[PiN final]]*Umbrales!$D$34),)</f>
        <v>3770.6325000000002</v>
      </c>
      <c r="BD202" s="70">
        <f>IFERROR(IF(tblPiNAnalysis[[#This Row],[Severidad]]&gt;3,tblPiNAnalysis[[#This Row],[PiN final]]*Umbrales!$D$34,),)</f>
        <v>0</v>
      </c>
    </row>
    <row r="203" spans="1:56">
      <c r="A203" s="101" t="str">
        <f>IFERROR(_xlfn.CONCAT(IF(tblPiNAnalysis[[#This Row],[Grupo]]="", "",tblPiNAnalysis[[#This Row],[Grupo]] ),  _xlfn.IFS(tblPiNAnalysis[[#This Row],[Admin2PCODE]]&lt;&gt;"", tblPiNAnalysis[[#This Row],[Admin2PCODE]], tblPiNAnalysis[[#This Row],[Admin1PCODE]]&lt;&gt;"", tblPiNAnalysis[[#This Row],[Admin1PCODE]])),"")</f>
        <v>VenezolanosVE1418</v>
      </c>
      <c r="B203" s="105" t="s">
        <v>411</v>
      </c>
      <c r="C203" s="104" t="s">
        <v>412</v>
      </c>
      <c r="D203" s="119" t="s">
        <v>445</v>
      </c>
      <c r="E203" s="104" t="s">
        <v>446</v>
      </c>
      <c r="F203" s="358"/>
      <c r="G203" s="357">
        <v>20581</v>
      </c>
      <c r="H203" s="103" t="s">
        <v>102</v>
      </c>
      <c r="I203" s="60">
        <v>5038</v>
      </c>
      <c r="J203" s="134">
        <v>601.39446715371628</v>
      </c>
      <c r="K203" s="57">
        <v>7512.0649999999996</v>
      </c>
      <c r="L203" s="87">
        <v>2287.1514982759304</v>
      </c>
      <c r="M203" s="87">
        <v>3442.6375709185327</v>
      </c>
      <c r="N203" s="57">
        <v>1389.2175</v>
      </c>
      <c r="O203" s="57">
        <v>1105.0866602648489</v>
      </c>
      <c r="P203" s="57">
        <v>1204.9231498214863</v>
      </c>
      <c r="Q203" s="88">
        <f>IFERROR(IF(tblPiNAnalysis[[#This Row],[SAMV]]="", "", MROUND(tblPiNAnalysis[[#This Row],[SAMV]]/tblPiNAnalysis[[#This Row],[Población]], 0.05)), "")</f>
        <v>0.25</v>
      </c>
      <c r="R203" s="89">
        <f>IFERROR(IF(tblPiNAnalysis[[#This Row],[NUT]]="", "", MROUND(tblPiNAnalysis[[#This Row],[NUT]]/tblPiNAnalysis[[#This Row],[Población]], 0.05)), "")</f>
        <v>0.05</v>
      </c>
      <c r="S203" s="89">
        <f>IFERROR(IF(tblPiNAnalysis[[#This Row],[SAL]]="", "", MROUND(tblPiNAnalysis[[#This Row],[SAL]]/tblPiNAnalysis[[#This Row],[Población]], 0.05)), "")</f>
        <v>0.35000000000000003</v>
      </c>
      <c r="T203" s="89">
        <f>IFERROR(IF(tblPiNAnalysis[[#This Row],[EDU]]="", "", MROUND(tblPiNAnalysis[[#This Row],[EDU]]/tblPiNAnalysis[[#This Row],[Población]], 0.05)), "")</f>
        <v>0.1</v>
      </c>
      <c r="U203" s="89">
        <f>IFERROR(IF(tblPiNAnalysis[[#This Row],[PRO]]="", "", MROUND(tblPiNAnalysis[[#This Row],[PRO]]/tblPiNAnalysis[[#This Row],[Población]], 0.05)), "")</f>
        <v>0.15000000000000002</v>
      </c>
      <c r="V203" s="90">
        <f>IFERROR(IF(tblPiNAnalysis[[#This Row],[ASH]]="", "", MROUND(tblPiNAnalysis[[#This Row],[ASH]]/tblPiNAnalysis[[#This Row],[Población]], 0.05)), "")</f>
        <v>0.05</v>
      </c>
      <c r="W203" s="89">
        <f>IFERROR(MROUND(tblPiNAnalysis[[#This Row],[NNA]]/tblPiNAnalysis[[#This Row],[Población]], 0.05), "")</f>
        <v>0.05</v>
      </c>
      <c r="X203" s="89">
        <f>IFERROR(MROUND(tblPiNAnalysis[[#This Row],[VBG]]/tblPiNAnalysis[[#This Row],[Población]], 0.05), "")</f>
        <v>0.05</v>
      </c>
      <c r="Y203" s="91">
        <f>IFERROR(LARGE(tblPiNAnalysis[[#This Row],[SAMV]:[ASH]], 1), "")</f>
        <v>7512.0649999999996</v>
      </c>
      <c r="Z203" s="92" t="str" cm="1">
        <f t="array" ref="Z203">IF(tblPiNAnalysis[[#This Row],[PiN más alto]]="", "", _xlfn.TEXTJOIN(CHAR(10), TRUE, IF(tblPiNAnalysis[[#This Row],[PiN más alto]]=tblPiNAnalysis[[#This Row],[SAMV]:[ASH]], tblPiNAnalysis[[#Headers],[SAMV]:[ASH]], "")))</f>
        <v>SAL</v>
      </c>
      <c r="AA203" s="93">
        <f>IF(tblPiNAnalysis[[#This Row],[PiN más alto]]="", "", tblPiNAnalysis[[#This Row],[PiN más alto]]/tblPiNAnalysis[[#This Row],[Población]])</f>
        <v>0.36499999999999999</v>
      </c>
      <c r="AB203" s="94" t="str">
        <f>IF(SUM(tblPiNAnalysis[[#This Row],[SAMV]:[ASH]])=0, "",IF(COUNTIF(tblPiNAnalysis[[#This Row],[SAMV]:[ASH]],"=0")+COUNTIF(tblPiNAnalysis[[#This Row],[SAMV]:[ASH]],"")&gt;=zero_pin_thresh, "Flagged", ""))</f>
        <v/>
      </c>
      <c r="AC203" s="95" t="str">
        <f>IFERROR(IF(tblPiNAnalysis[[#This Row],[PiN más alto]]="", "", IF(tblPiNAnalysis[[#This Row],[% PiN Sectores más altos]]&gt;=flag_pin_perc, "Flagged", "")), "")</f>
        <v/>
      </c>
      <c r="AD203" s="96" t="str" cm="1">
        <f t="array" ref="AD203">IF(tblPiNAnalysis[[#This Row],[PiN más alto]]=0, "",  IF(OR(COUNTIF(tblPiNAnalysis[[#This Row],[Sectores más altos]],tblSubSectorPopulation[Sector])), "Flagged", ""))</f>
        <v/>
      </c>
      <c r="AE203" s="16" cm="1">
        <f t="array" ref="AE20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5038</v>
      </c>
      <c r="AF203" s="97" t="str" cm="1">
        <f t="array" ref="AF203">IF(tblPiNAnalysis[[#This Row],[2º PiN más alto]]="", "", _xlfn.TEXTJOIN(CHAR(10), TRUE, IF(tblPiNAnalysis[[#This Row],[2º PiN más alto]]=tblPiNAnalysis[[#This Row],[SAMV]:[ASH]], tblPiNAnalysis[[#Headers],[SAMV]:[ASH]], "")))</f>
        <v>SAMV</v>
      </c>
      <c r="AG203" s="12">
        <f>IFERROR(tblPiNAnalysis[[#This Row],[2º PiN más alto]]/tblPiNAnalysis[[#This Row],[Población]], "")</f>
        <v>0.24478888295029397</v>
      </c>
      <c r="AH203" s="16">
        <f>IFERROR(tblPiNAnalysis[[#This Row],[PiN más alto]]-tblPiNAnalysis[[#This Row],[2º PiN más alto]], "")</f>
        <v>2474.0649999999996</v>
      </c>
      <c r="AI203" s="14">
        <f>IFERROR(((tblPiNAnalysis[[#This Row],[PiN más alto]]-tblPiNAnalysis[[#This Row],[2º PiN más alto]])/tblPiNAnalysis[[#This Row],[2º PiN más alto]]),"")</f>
        <v>0.49108078602620081</v>
      </c>
      <c r="AJ203" s="14" t="str" cm="1">
        <f t="array" ref="AJ20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03" s="98" cm="1">
        <f t="array" ref="AK20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3442.6375709185327</v>
      </c>
      <c r="AL203" s="53" t="str" cm="1">
        <f t="array" ref="AL203">IF(tblPiNAnalysis[[#This Row],[3º PiN más alto]]="", "", _xlfn.TEXTJOIN(CHAR(10), TRUE, IF(tblPiNAnalysis[[#This Row],[3º PiN más alto]]=tblPiNAnalysis[[#This Row],[SAMV]:[ASH]], tblPiNAnalysis[[#Headers],[SAMV]:[ASH]], "")))</f>
        <v>PRO</v>
      </c>
      <c r="AM203" s="53">
        <f>IFERROR(tblPiNAnalysis[[#This Row],[3º PiN más alto]]/tblPiNAnalysis[[#This Row],[Población]], "")</f>
        <v>0.16727260924729279</v>
      </c>
      <c r="AN203" s="15">
        <f>IFERROR(tblPiNAnalysis[[#This Row],[PiN más alto]]-tblPiNAnalysis[[#This Row],[3º PiN más alto]],"")</f>
        <v>4069.4274290814669</v>
      </c>
      <c r="AO203" s="14">
        <f>IFERROR(tblPiNAnalysis[[#This Row],[Diferencia de PiN entre el más alto y el 3º más alto]]/tblPiNAnalysis[[#This Row],[3º PiN más alto]], "")</f>
        <v>1.1820667570288848</v>
      </c>
      <c r="AP203" s="96" t="str" cm="1">
        <f t="array" ref="AP20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03" s="84" cm="1">
        <f t="array" ref="AQ203">IFERROR(IF(tblPiNAnalysis[[#This Row],[ID]]="", "", INDEX(tblPiNHistorical[[SAMV]:[ASH]], MATCH(tblPiNAnalysis[[#This Row],[ID]],tblPiNHistorical[ID], 0),MATCH(_xlfn._xlws.FILTER(tblPiNAnalysis[[#Headers],[SAMV]:[ASH]], tblPiNAnalysis[[#This Row],[PiN más alto]]=tblPiNAnalysis[[#This Row],[SAMV]:[ASH]]), tblPiNHistorical[[#Headers],[SAMV]:[ASH]], 0))), "")</f>
        <v>0.9</v>
      </c>
      <c r="AR203" s="99" t="str" cm="1">
        <f t="array" ref="AR20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03" s="74" cm="1">
        <f t="array" ref="AS203">IFERROR(IF(tblPiNAnalysis[[#This Row],[ID]]="", "", INDEX(tblPiNHistorical[[SAMV]:[ASH]], MATCH(tblPiNAnalysis[[#This Row],[ID]],tblPiNHistorical[ID], 0),MATCH(_xlfn._xlws.FILTER(tblPiNAnalysis[[#Headers],[SAMV]:[ASH]], tblPiNAnalysis[[#This Row],[2º PiN más alto]]=tblPiNAnalysis[[#This Row],[SAMV]:[ASH]]), tblPiNHistorical[[#Headers],[SAMV]:[ASH]], 0))), "")</f>
        <v>1.6</v>
      </c>
      <c r="AT203" s="100" t="str" cm="1">
        <f t="array" ref="AT20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03" s="219">
        <f>INDEX(tblSeverityAnalysis[Severidad final], MATCH(tblPiNAnalysis[[#This Row],[ID]],tblSeverityAnalysis[ID], 0))</f>
        <v>3</v>
      </c>
      <c r="AV203" s="220">
        <f>IF(tblPiNAnalysis[[#This Row],[Severidad]]&gt;2,tblPiNAnalysis[[#This Row],[PiN más alto]],)</f>
        <v>7512.0649999999996</v>
      </c>
      <c r="AW203" s="54"/>
      <c r="AX203" s="55"/>
      <c r="AY203" s="56">
        <f>COUNTIFS(tblPiNAnalysis[[#This Row],[Número de PiN ausentes/cero superior al umbral - Calidad de los datos]:[Marcador manual]],"Flagged")</f>
        <v>3</v>
      </c>
      <c r="AZ203" s="34" t="str">
        <f>IF(tblPiNAnalysis[[#This Row],[Número de marcadores]]&gt;0, "Flagged", "")</f>
        <v>Flagged</v>
      </c>
      <c r="BA203" s="92">
        <f>tblPiNAnalysis[[#This Row],[PiN preliminar]]</f>
        <v>7512.0649999999996</v>
      </c>
      <c r="BB203" s="97"/>
      <c r="BC203" s="70">
        <f>IFERROR(IF(tblPiNAnalysis[[#This Row],[Severidad]]=3,tblPiNAnalysis[[#This Row],[PiN final]]*Umbrales!$D$33,tblPiNAnalysis[[#This Row],[PiN final]]*Umbrales!$D$34),)</f>
        <v>3756.0324999999998</v>
      </c>
      <c r="BD203" s="70">
        <f>IFERROR(IF(tblPiNAnalysis[[#This Row],[Severidad]]&gt;3,tblPiNAnalysis[[#This Row],[PiN final]]*Umbrales!$D$34,),)</f>
        <v>0</v>
      </c>
    </row>
    <row r="204" spans="1:56">
      <c r="A204" s="101" t="str">
        <f>IFERROR(_xlfn.CONCAT(IF(tblPiNAnalysis[[#This Row],[Grupo]]="", "",tblPiNAnalysis[[#This Row],[Grupo]] ),  _xlfn.IFS(tblPiNAnalysis[[#This Row],[Admin2PCODE]]&lt;&gt;"", tblPiNAnalysis[[#This Row],[Admin2PCODE]], tblPiNAnalysis[[#This Row],[Admin1PCODE]]&lt;&gt;"", tblPiNAnalysis[[#This Row],[Admin1PCODE]])),"")</f>
        <v>VenezolanosVE0204</v>
      </c>
      <c r="B204" s="105" t="s">
        <v>103</v>
      </c>
      <c r="C204" s="104" t="s">
        <v>104</v>
      </c>
      <c r="D204" s="119" t="s">
        <v>111</v>
      </c>
      <c r="E204" s="104" t="s">
        <v>112</v>
      </c>
      <c r="F204" s="358"/>
      <c r="G204" s="357">
        <v>8535</v>
      </c>
      <c r="H204" s="103" t="s">
        <v>102</v>
      </c>
      <c r="I204" s="60">
        <v>2024</v>
      </c>
      <c r="J204" s="134">
        <v>782.46237614377844</v>
      </c>
      <c r="K204" s="57">
        <v>7500</v>
      </c>
      <c r="L204" s="87">
        <v>2960.1249813816162</v>
      </c>
      <c r="M204" s="87">
        <v>2042.0259744486805</v>
      </c>
      <c r="N204" s="57">
        <v>1152.2249999999999</v>
      </c>
      <c r="O204" s="57">
        <v>655.49033779802642</v>
      </c>
      <c r="P204" s="57">
        <v>714.70909105703822</v>
      </c>
      <c r="Q204" s="88">
        <f>IFERROR(IF(tblPiNAnalysis[[#This Row],[SAMV]]="", "", MROUND(tblPiNAnalysis[[#This Row],[SAMV]]/tblPiNAnalysis[[#This Row],[Población]], 0.05)), "")</f>
        <v>0.25</v>
      </c>
      <c r="R204" s="89">
        <f>IFERROR(IF(tblPiNAnalysis[[#This Row],[NUT]]="", "", MROUND(tblPiNAnalysis[[#This Row],[NUT]]/tblPiNAnalysis[[#This Row],[Población]], 0.05)), "")</f>
        <v>0.1</v>
      </c>
      <c r="S204" s="89">
        <f>IFERROR(IF(tblPiNAnalysis[[#This Row],[SAL]]="", "", MROUND(tblPiNAnalysis[[#This Row],[SAL]]/tblPiNAnalysis[[#This Row],[Población]], 0.05)), "")</f>
        <v>0.9</v>
      </c>
      <c r="T204" s="89">
        <f>IFERROR(IF(tblPiNAnalysis[[#This Row],[EDU]]="", "", MROUND(tblPiNAnalysis[[#This Row],[EDU]]/tblPiNAnalysis[[#This Row],[Población]], 0.05)), "")</f>
        <v>0.35000000000000003</v>
      </c>
      <c r="U204" s="89">
        <f>IFERROR(IF(tblPiNAnalysis[[#This Row],[PRO]]="", "", MROUND(tblPiNAnalysis[[#This Row],[PRO]]/tblPiNAnalysis[[#This Row],[Población]], 0.05)), "")</f>
        <v>0.25</v>
      </c>
      <c r="V204" s="90">
        <f>IFERROR(IF(tblPiNAnalysis[[#This Row],[ASH]]="", "", MROUND(tblPiNAnalysis[[#This Row],[ASH]]/tblPiNAnalysis[[#This Row],[Población]], 0.05)), "")</f>
        <v>0.15000000000000002</v>
      </c>
      <c r="W204" s="89">
        <f>IFERROR(MROUND(tblPiNAnalysis[[#This Row],[NNA]]/tblPiNAnalysis[[#This Row],[Población]], 0.05), "")</f>
        <v>0.1</v>
      </c>
      <c r="X204" s="89">
        <f>IFERROR(MROUND(tblPiNAnalysis[[#This Row],[VBG]]/tblPiNAnalysis[[#This Row],[Población]], 0.05), "")</f>
        <v>0.1</v>
      </c>
      <c r="Y204" s="91">
        <f>IFERROR(LARGE(tblPiNAnalysis[[#This Row],[SAMV]:[ASH]], 1), "")</f>
        <v>7500</v>
      </c>
      <c r="Z204" s="92" t="str" cm="1">
        <f t="array" ref="Z204">IF(tblPiNAnalysis[[#This Row],[PiN más alto]]="", "", _xlfn.TEXTJOIN(CHAR(10), TRUE, IF(tblPiNAnalysis[[#This Row],[PiN más alto]]=tblPiNAnalysis[[#This Row],[SAMV]:[ASH]], tblPiNAnalysis[[#Headers],[SAMV]:[ASH]], "")))</f>
        <v>SAL</v>
      </c>
      <c r="AA204" s="93">
        <f>IF(tblPiNAnalysis[[#This Row],[PiN más alto]]="", "", tblPiNAnalysis[[#This Row],[PiN más alto]]/tblPiNAnalysis[[#This Row],[Población]])</f>
        <v>0.87873462214411246</v>
      </c>
      <c r="AB204" s="94" t="str">
        <f>IF(SUM(tblPiNAnalysis[[#This Row],[SAMV]:[ASH]])=0, "",IF(COUNTIF(tblPiNAnalysis[[#This Row],[SAMV]:[ASH]],"=0")+COUNTIF(tblPiNAnalysis[[#This Row],[SAMV]:[ASH]],"")&gt;=zero_pin_thresh, "Flagged", ""))</f>
        <v/>
      </c>
      <c r="AC204" s="95" t="str">
        <f>IFERROR(IF(tblPiNAnalysis[[#This Row],[PiN más alto]]="", "", IF(tblPiNAnalysis[[#This Row],[% PiN Sectores más altos]]&gt;=flag_pin_perc, "Flagged", "")), "")</f>
        <v/>
      </c>
      <c r="AD204" s="96" t="str" cm="1">
        <f t="array" ref="AD204">IF(tblPiNAnalysis[[#This Row],[PiN más alto]]=0, "",  IF(OR(COUNTIF(tblPiNAnalysis[[#This Row],[Sectores más altos]],tblSubSectorPopulation[Sector])), "Flagged", ""))</f>
        <v/>
      </c>
      <c r="AE204" s="16" cm="1">
        <f t="array" ref="AE20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2960.1249813816162</v>
      </c>
      <c r="AF204" s="97" t="str" cm="1">
        <f t="array" ref="AF204">IF(tblPiNAnalysis[[#This Row],[2º PiN más alto]]="", "", _xlfn.TEXTJOIN(CHAR(10), TRUE, IF(tblPiNAnalysis[[#This Row],[2º PiN más alto]]=tblPiNAnalysis[[#This Row],[SAMV]:[ASH]], tblPiNAnalysis[[#Headers],[SAMV]:[ASH]], "")))</f>
        <v>EDU</v>
      </c>
      <c r="AG204" s="12">
        <f>IFERROR(tblPiNAnalysis[[#This Row],[2º PiN más alto]]/tblPiNAnalysis[[#This Row],[Población]], "")</f>
        <v>0.34682190760182968</v>
      </c>
      <c r="AH204" s="16">
        <f>IFERROR(tblPiNAnalysis[[#This Row],[PiN más alto]]-tblPiNAnalysis[[#This Row],[2º PiN más alto]], "")</f>
        <v>4539.8750186183843</v>
      </c>
      <c r="AI204" s="14">
        <f>IFERROR(((tblPiNAnalysis[[#This Row],[PiN más alto]]-tblPiNAnalysis[[#This Row],[2º PiN más alto]])/tblPiNAnalysis[[#This Row],[2º PiN más alto]]),"")</f>
        <v>1.533676803233974</v>
      </c>
      <c r="AJ204" s="14" t="str" cm="1">
        <f t="array" ref="AJ20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04" s="98" cm="1">
        <f t="array" ref="AK20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2042.0259744486805</v>
      </c>
      <c r="AL204" s="53" t="str" cm="1">
        <f t="array" ref="AL204">IF(tblPiNAnalysis[[#This Row],[3º PiN más alto]]="", "", _xlfn.TEXTJOIN(CHAR(10), TRUE, IF(tblPiNAnalysis[[#This Row],[3º PiN más alto]]=tblPiNAnalysis[[#This Row],[SAMV]:[ASH]], tblPiNAnalysis[[#Headers],[SAMV]:[ASH]], "")))</f>
        <v>PRO</v>
      </c>
      <c r="AM204" s="53">
        <f>IFERROR(tblPiNAnalysis[[#This Row],[3º PiN más alto]]/tblPiNAnalysis[[#This Row],[Población]], "")</f>
        <v>0.23925318974208323</v>
      </c>
      <c r="AN204" s="15">
        <f>IFERROR(tblPiNAnalysis[[#This Row],[PiN más alto]]-tblPiNAnalysis[[#This Row],[3º PiN más alto]],"")</f>
        <v>5457.9740255513198</v>
      </c>
      <c r="AO204" s="14">
        <f>IFERROR(tblPiNAnalysis[[#This Row],[Diferencia de PiN entre el más alto y el 3º más alto]]/tblPiNAnalysis[[#This Row],[3º PiN más alto]], "")</f>
        <v>2.6728230168692635</v>
      </c>
      <c r="AP204" s="96" t="str" cm="1">
        <f t="array" ref="AP20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04" s="84" cm="1">
        <f t="array" ref="AQ204">IFERROR(IF(tblPiNAnalysis[[#This Row],[ID]]="", "", INDEX(tblPiNHistorical[[SAMV]:[ASH]], MATCH(tblPiNAnalysis[[#This Row],[ID]],tblPiNHistorical[ID], 0),MATCH(_xlfn._xlws.FILTER(tblPiNAnalysis[[#Headers],[SAMV]:[ASH]], tblPiNAnalysis[[#This Row],[PiN más alto]]=tblPiNAnalysis[[#This Row],[SAMV]:[ASH]]), tblPiNHistorical[[#Headers],[SAMV]:[ASH]], 0))), "")</f>
        <v>120.3</v>
      </c>
      <c r="AR204" s="99" t="str" cm="1">
        <f t="array" ref="AR20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04" s="74" cm="1">
        <f t="array" ref="AS204">IFERROR(IF(tblPiNAnalysis[[#This Row],[ID]]="", "", INDEX(tblPiNHistorical[[SAMV]:[ASH]], MATCH(tblPiNAnalysis[[#This Row],[ID]],tblPiNHistorical[ID], 0),MATCH(_xlfn._xlws.FILTER(tblPiNAnalysis[[#Headers],[SAMV]:[ASH]], tblPiNAnalysis[[#This Row],[2º PiN más alto]]=tblPiNAnalysis[[#This Row],[SAMV]:[ASH]]), tblPiNHistorical[[#Headers],[SAMV]:[ASH]], 0))), "")</f>
        <v>84.7</v>
      </c>
      <c r="AT204" s="100" t="str" cm="1">
        <f t="array" ref="AT20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04" s="219">
        <f>INDEX(tblSeverityAnalysis[Severidad final], MATCH(tblPiNAnalysis[[#This Row],[ID]],tblSeverityAnalysis[ID], 0))</f>
        <v>3</v>
      </c>
      <c r="AV204" s="220">
        <f>IF(tblPiNAnalysis[[#This Row],[Severidad]]&gt;2,tblPiNAnalysis[[#This Row],[PiN más alto]],)</f>
        <v>7500</v>
      </c>
      <c r="AW204" s="54"/>
      <c r="AX204" s="55"/>
      <c r="AY204" s="56">
        <f>COUNTIFS(tblPiNAnalysis[[#This Row],[Número de PiN ausentes/cero superior al umbral - Calidad de los datos]:[Marcador manual]],"Flagged")</f>
        <v>4</v>
      </c>
      <c r="AZ204" s="34" t="str">
        <f>IF(tblPiNAnalysis[[#This Row],[Número de marcadores]]&gt;0, "Flagged", "")</f>
        <v>Flagged</v>
      </c>
      <c r="BA204" s="92">
        <f>tblPiNAnalysis[[#This Row],[PiN preliminar]]</f>
        <v>7500</v>
      </c>
      <c r="BB204" s="97"/>
      <c r="BC204" s="70">
        <f>IFERROR(IF(tblPiNAnalysis[[#This Row],[Severidad]]=3,tblPiNAnalysis[[#This Row],[PiN final]]*Umbrales!$D$33,tblPiNAnalysis[[#This Row],[PiN final]]*Umbrales!$D$34),)</f>
        <v>3750</v>
      </c>
      <c r="BD204" s="70">
        <f>IFERROR(IF(tblPiNAnalysis[[#This Row],[Severidad]]&gt;3,tblPiNAnalysis[[#This Row],[PiN final]]*Umbrales!$D$34,),)</f>
        <v>0</v>
      </c>
    </row>
    <row r="205" spans="1:56">
      <c r="A205" s="101" t="str">
        <f>IFERROR(_xlfn.CONCAT(IF(tblPiNAnalysis[[#This Row],[Grupo]]="", "",tblPiNAnalysis[[#This Row],[Grupo]] ),  _xlfn.IFS(tblPiNAnalysis[[#This Row],[Admin2PCODE]]&lt;&gt;"", tblPiNAnalysis[[#This Row],[Admin2PCODE]], tblPiNAnalysis[[#This Row],[Admin1PCODE]]&lt;&gt;"", tblPiNAnalysis[[#This Row],[Admin1PCODE]])),"")</f>
        <v>VenezolanosVE2301</v>
      </c>
      <c r="B205" s="105" t="s">
        <v>705</v>
      </c>
      <c r="C205" s="104" t="s">
        <v>706</v>
      </c>
      <c r="D205" s="119" t="s">
        <v>707</v>
      </c>
      <c r="E205" s="104" t="s">
        <v>708</v>
      </c>
      <c r="F205" s="358"/>
      <c r="G205" s="357">
        <v>12198</v>
      </c>
      <c r="H205" s="103" t="s">
        <v>102</v>
      </c>
      <c r="I205" s="60">
        <v>4066</v>
      </c>
      <c r="J205" s="134">
        <v>988.64560982563501</v>
      </c>
      <c r="K205" s="57">
        <v>7500</v>
      </c>
      <c r="L205" s="87">
        <v>2203.3600343207081</v>
      </c>
      <c r="M205" s="87">
        <v>2907.3030004094485</v>
      </c>
      <c r="N205" s="57">
        <v>7318.8</v>
      </c>
      <c r="O205" s="57">
        <v>930.33696013102349</v>
      </c>
      <c r="P205" s="57">
        <v>1017.5560501433068</v>
      </c>
      <c r="Q205" s="88">
        <f>IFERROR(IF(tblPiNAnalysis[[#This Row],[SAMV]]="", "", MROUND(tblPiNAnalysis[[#This Row],[SAMV]]/tblPiNAnalysis[[#This Row],[Población]], 0.05)), "")</f>
        <v>0.35000000000000003</v>
      </c>
      <c r="R205" s="89">
        <f>IFERROR(IF(tblPiNAnalysis[[#This Row],[NUT]]="", "", MROUND(tblPiNAnalysis[[#This Row],[NUT]]/tblPiNAnalysis[[#This Row],[Población]], 0.05)), "")</f>
        <v>0.1</v>
      </c>
      <c r="S205" s="89">
        <f>IFERROR(IF(tblPiNAnalysis[[#This Row],[SAL]]="", "", MROUND(tblPiNAnalysis[[#This Row],[SAL]]/tblPiNAnalysis[[#This Row],[Población]], 0.05)), "")</f>
        <v>0.60000000000000009</v>
      </c>
      <c r="T205" s="89">
        <f>IFERROR(IF(tblPiNAnalysis[[#This Row],[EDU]]="", "", MROUND(tblPiNAnalysis[[#This Row],[EDU]]/tblPiNAnalysis[[#This Row],[Población]], 0.05)), "")</f>
        <v>0.2</v>
      </c>
      <c r="U205" s="89">
        <f>IFERROR(IF(tblPiNAnalysis[[#This Row],[PRO]]="", "", MROUND(tblPiNAnalysis[[#This Row],[PRO]]/tblPiNAnalysis[[#This Row],[Población]], 0.05)), "")</f>
        <v>0.25</v>
      </c>
      <c r="V205" s="90">
        <f>IFERROR(IF(tblPiNAnalysis[[#This Row],[ASH]]="", "", MROUND(tblPiNAnalysis[[#This Row],[ASH]]/tblPiNAnalysis[[#This Row],[Población]], 0.05)), "")</f>
        <v>0.60000000000000009</v>
      </c>
      <c r="W205" s="89">
        <f>IFERROR(MROUND(tblPiNAnalysis[[#This Row],[NNA]]/tblPiNAnalysis[[#This Row],[Población]], 0.05), "")</f>
        <v>0.1</v>
      </c>
      <c r="X205" s="89">
        <f>IFERROR(MROUND(tblPiNAnalysis[[#This Row],[VBG]]/tblPiNAnalysis[[#This Row],[Población]], 0.05), "")</f>
        <v>0.1</v>
      </c>
      <c r="Y205" s="91">
        <f>IFERROR(LARGE(tblPiNAnalysis[[#This Row],[SAMV]:[ASH]], 1), "")</f>
        <v>7500</v>
      </c>
      <c r="Z205" s="92" t="str" cm="1">
        <f t="array" ref="Z205">IF(tblPiNAnalysis[[#This Row],[PiN más alto]]="", "", _xlfn.TEXTJOIN(CHAR(10), TRUE, IF(tblPiNAnalysis[[#This Row],[PiN más alto]]=tblPiNAnalysis[[#This Row],[SAMV]:[ASH]], tblPiNAnalysis[[#Headers],[SAMV]:[ASH]], "")))</f>
        <v>SAL</v>
      </c>
      <c r="AA205" s="93">
        <f>IF(tblPiNAnalysis[[#This Row],[PiN más alto]]="", "", tblPiNAnalysis[[#This Row],[PiN más alto]]/tblPiNAnalysis[[#This Row],[Población]])</f>
        <v>0.61485489424495821</v>
      </c>
      <c r="AB205" s="94" t="str">
        <f>IF(SUM(tblPiNAnalysis[[#This Row],[SAMV]:[ASH]])=0, "",IF(COUNTIF(tblPiNAnalysis[[#This Row],[SAMV]:[ASH]],"=0")+COUNTIF(tblPiNAnalysis[[#This Row],[SAMV]:[ASH]],"")&gt;=zero_pin_thresh, "Flagged", ""))</f>
        <v/>
      </c>
      <c r="AC205" s="95" t="str">
        <f>IFERROR(IF(tblPiNAnalysis[[#This Row],[PiN más alto]]="", "", IF(tblPiNAnalysis[[#This Row],[% PiN Sectores más altos]]&gt;=flag_pin_perc, "Flagged", "")), "")</f>
        <v/>
      </c>
      <c r="AD205" s="96" t="str" cm="1">
        <f t="array" ref="AD205">IF(tblPiNAnalysis[[#This Row],[PiN más alto]]=0, "",  IF(OR(COUNTIF(tblPiNAnalysis[[#This Row],[Sectores más altos]],tblSubSectorPopulation[Sector])), "Flagged", ""))</f>
        <v/>
      </c>
      <c r="AE205" s="16" cm="1">
        <f t="array" ref="AE20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7318.8</v>
      </c>
      <c r="AF205" s="97" t="str" cm="1">
        <f t="array" ref="AF205">IF(tblPiNAnalysis[[#This Row],[2º PiN más alto]]="", "", _xlfn.TEXTJOIN(CHAR(10), TRUE, IF(tblPiNAnalysis[[#This Row],[2º PiN más alto]]=tblPiNAnalysis[[#This Row],[SAMV]:[ASH]], tblPiNAnalysis[[#Headers],[SAMV]:[ASH]], "")))</f>
        <v>ASH</v>
      </c>
      <c r="AG205" s="12">
        <f>IFERROR(tblPiNAnalysis[[#This Row],[2º PiN más alto]]/tblPiNAnalysis[[#This Row],[Población]], "")</f>
        <v>0.6</v>
      </c>
      <c r="AH205" s="16">
        <f>IFERROR(tblPiNAnalysis[[#This Row],[PiN más alto]]-tblPiNAnalysis[[#This Row],[2º PiN más alto]], "")</f>
        <v>181.19999999999982</v>
      </c>
      <c r="AI205" s="14">
        <f>IFERROR(((tblPiNAnalysis[[#This Row],[PiN más alto]]-tblPiNAnalysis[[#This Row],[2º PiN más alto]])/tblPiNAnalysis[[#This Row],[2º PiN más alto]]),"")</f>
        <v>2.4758157074930291E-2</v>
      </c>
      <c r="AJ205" s="14" t="str" cm="1">
        <f t="array" ref="AJ20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205" s="98" cm="1">
        <f t="array" ref="AK20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4066</v>
      </c>
      <c r="AL205" s="53" t="str" cm="1">
        <f t="array" ref="AL205">IF(tblPiNAnalysis[[#This Row],[3º PiN más alto]]="", "", _xlfn.TEXTJOIN(CHAR(10), TRUE, IF(tblPiNAnalysis[[#This Row],[3º PiN más alto]]=tblPiNAnalysis[[#This Row],[SAMV]:[ASH]], tblPiNAnalysis[[#Headers],[SAMV]:[ASH]], "")))</f>
        <v>SAMV</v>
      </c>
      <c r="AM205" s="53">
        <f>IFERROR(tblPiNAnalysis[[#This Row],[3º PiN más alto]]/tblPiNAnalysis[[#This Row],[Población]], "")</f>
        <v>0.33333333333333331</v>
      </c>
      <c r="AN205" s="15">
        <f>IFERROR(tblPiNAnalysis[[#This Row],[PiN más alto]]-tblPiNAnalysis[[#This Row],[3º PiN más alto]],"")</f>
        <v>3434</v>
      </c>
      <c r="AO205" s="14">
        <f>IFERROR(tblPiNAnalysis[[#This Row],[Diferencia de PiN entre el más alto y el 3º más alto]]/tblPiNAnalysis[[#This Row],[3º PiN más alto]], "")</f>
        <v>0.84456468273487462</v>
      </c>
      <c r="AP205" s="96" t="str" cm="1">
        <f t="array" ref="AP20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05" s="84" cm="1">
        <f t="array" ref="AQ205">IFERROR(IF(tblPiNAnalysis[[#This Row],[ID]]="", "", INDEX(tblPiNHistorical[[SAMV]:[ASH]], MATCH(tblPiNAnalysis[[#This Row],[ID]],tblPiNHistorical[ID], 0),MATCH(_xlfn._xlws.FILTER(tblPiNAnalysis[[#Headers],[SAMV]:[ASH]], tblPiNAnalysis[[#This Row],[PiN más alto]]=tblPiNAnalysis[[#This Row],[SAMV]:[ASH]]), tblPiNHistorical[[#Headers],[SAMV]:[ASH]], 0))), "")</f>
        <v>-0.1</v>
      </c>
      <c r="AR205" s="99" t="str" cm="1">
        <f t="array" ref="AR20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05" s="74" t="str" cm="1">
        <f t="array" ref="AS205">IFERROR(IF(tblPiNAnalysis[[#This Row],[ID]]="", "", INDEX(tblPiNHistorical[[SAMV]:[ASH]], MATCH(tblPiNAnalysis[[#This Row],[ID]],tblPiNHistorical[ID], 0),MATCH(_xlfn._xlws.FILTER(tblPiNAnalysis[[#Headers],[SAMV]:[ASH]], tblPiNAnalysis[[#This Row],[2º PiN más alto]]=tblPiNAnalysis[[#This Row],[SAMV]:[ASH]]), tblPiNHistorical[[#Headers],[SAMV]:[ASH]], 0))), "")</f>
        <v>NoPIN26 7157</v>
      </c>
      <c r="AT205" s="100" t="str" cm="1">
        <f t="array" ref="AT20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05" s="219">
        <f>INDEX(tblSeverityAnalysis[Severidad final], MATCH(tblPiNAnalysis[[#This Row],[ID]],tblSeverityAnalysis[ID], 0))</f>
        <v>3</v>
      </c>
      <c r="AV205" s="220">
        <f>IF(tblPiNAnalysis[[#This Row],[Severidad]]&gt;2,tblPiNAnalysis[[#This Row],[PiN más alto]],)</f>
        <v>7500</v>
      </c>
      <c r="AW205" s="54"/>
      <c r="AX205" s="55"/>
      <c r="AY205" s="56">
        <f>COUNTIFS(tblPiNAnalysis[[#This Row],[Número de PiN ausentes/cero superior al umbral - Calidad de los datos]:[Marcador manual]],"Flagged")</f>
        <v>1</v>
      </c>
      <c r="AZ205" s="34" t="str">
        <f>IF(tblPiNAnalysis[[#This Row],[Número de marcadores]]&gt;0, "Flagged", "")</f>
        <v>Flagged</v>
      </c>
      <c r="BA205" s="92">
        <f>tblPiNAnalysis[[#This Row],[PiN preliminar]]</f>
        <v>7500</v>
      </c>
      <c r="BB205" s="97"/>
      <c r="BC205" s="70">
        <f>IFERROR(IF(tblPiNAnalysis[[#This Row],[Severidad]]=3,tblPiNAnalysis[[#This Row],[PiN final]]*Umbrales!$D$33,tblPiNAnalysis[[#This Row],[PiN final]]*Umbrales!$D$34),)</f>
        <v>3750</v>
      </c>
      <c r="BD205" s="70">
        <f>IFERROR(IF(tblPiNAnalysis[[#This Row],[Severidad]]&gt;3,tblPiNAnalysis[[#This Row],[PiN final]]*Umbrales!$D$34,),)</f>
        <v>0</v>
      </c>
    </row>
    <row r="206" spans="1:56">
      <c r="A206" s="101" t="str">
        <f>IFERROR(_xlfn.CONCAT(IF(tblPiNAnalysis[[#This Row],[Grupo]]="", "",tblPiNAnalysis[[#This Row],[Grupo]] ),  _xlfn.IFS(tblPiNAnalysis[[#This Row],[Admin2PCODE]]&lt;&gt;"", tblPiNAnalysis[[#This Row],[Admin2PCODE]], tblPiNAnalysis[[#This Row],[Admin1PCODE]]&lt;&gt;"", tblPiNAnalysis[[#This Row],[Admin1PCODE]])),"")</f>
        <v>VenezolanosVE2112</v>
      </c>
      <c r="B206" s="105" t="s">
        <v>642</v>
      </c>
      <c r="C206" s="104" t="s">
        <v>643</v>
      </c>
      <c r="D206" s="119" t="s">
        <v>663</v>
      </c>
      <c r="E206" s="104" t="s">
        <v>664</v>
      </c>
      <c r="F206" s="358"/>
      <c r="G206" s="357">
        <v>20218</v>
      </c>
      <c r="H206" s="103" t="s">
        <v>102</v>
      </c>
      <c r="I206" s="60">
        <v>749</v>
      </c>
      <c r="J206" s="134">
        <v>642.5012691935076</v>
      </c>
      <c r="K206" s="57">
        <v>7379.57</v>
      </c>
      <c r="L206" s="87">
        <v>1976.8928440547584</v>
      </c>
      <c r="M206" s="87">
        <v>4891.2259421636199</v>
      </c>
      <c r="N206" s="57">
        <v>0</v>
      </c>
      <c r="O206" s="57">
        <v>1565.1923014923584</v>
      </c>
      <c r="P206" s="57">
        <v>1711.9290797572671</v>
      </c>
      <c r="Q206" s="88">
        <f>IFERROR(IF(tblPiNAnalysis[[#This Row],[SAMV]]="", "", MROUND(tblPiNAnalysis[[#This Row],[SAMV]]/tblPiNAnalysis[[#This Row],[Población]], 0.05)), "")</f>
        <v>0.05</v>
      </c>
      <c r="R206" s="89">
        <f>IFERROR(IF(tblPiNAnalysis[[#This Row],[NUT]]="", "", MROUND(tblPiNAnalysis[[#This Row],[NUT]]/tblPiNAnalysis[[#This Row],[Población]], 0.05)), "")</f>
        <v>0.05</v>
      </c>
      <c r="S206" s="89">
        <f>IFERROR(IF(tblPiNAnalysis[[#This Row],[SAL]]="", "", MROUND(tblPiNAnalysis[[#This Row],[SAL]]/tblPiNAnalysis[[#This Row],[Población]], 0.05)), "")</f>
        <v>0.35000000000000003</v>
      </c>
      <c r="T206" s="89">
        <f>IFERROR(IF(tblPiNAnalysis[[#This Row],[EDU]]="", "", MROUND(tblPiNAnalysis[[#This Row],[EDU]]/tblPiNAnalysis[[#This Row],[Población]], 0.05)), "")</f>
        <v>0.1</v>
      </c>
      <c r="U206" s="89">
        <f>IFERROR(IF(tblPiNAnalysis[[#This Row],[PRO]]="", "", MROUND(tblPiNAnalysis[[#This Row],[PRO]]/tblPiNAnalysis[[#This Row],[Población]], 0.05)), "")</f>
        <v>0.25</v>
      </c>
      <c r="V206" s="90">
        <f>IFERROR(IF(tblPiNAnalysis[[#This Row],[ASH]]="", "", MROUND(tblPiNAnalysis[[#This Row],[ASH]]/tblPiNAnalysis[[#This Row],[Población]], 0.05)), "")</f>
        <v>0</v>
      </c>
      <c r="W206" s="89">
        <f>IFERROR(MROUND(tblPiNAnalysis[[#This Row],[NNA]]/tblPiNAnalysis[[#This Row],[Población]], 0.05), "")</f>
        <v>0.1</v>
      </c>
      <c r="X206" s="89">
        <f>IFERROR(MROUND(tblPiNAnalysis[[#This Row],[VBG]]/tblPiNAnalysis[[#This Row],[Población]], 0.05), "")</f>
        <v>0.1</v>
      </c>
      <c r="Y206" s="91">
        <f>IFERROR(LARGE(tblPiNAnalysis[[#This Row],[SAMV]:[ASH]], 1), "")</f>
        <v>7379.57</v>
      </c>
      <c r="Z206" s="92" t="str" cm="1">
        <f t="array" ref="Z206">IF(tblPiNAnalysis[[#This Row],[PiN más alto]]="", "", _xlfn.TEXTJOIN(CHAR(10), TRUE, IF(tblPiNAnalysis[[#This Row],[PiN más alto]]=tblPiNAnalysis[[#This Row],[SAMV]:[ASH]], tblPiNAnalysis[[#Headers],[SAMV]:[ASH]], "")))</f>
        <v>SAL</v>
      </c>
      <c r="AA206" s="93">
        <f>IF(tblPiNAnalysis[[#This Row],[PiN más alto]]="", "", tblPiNAnalysis[[#This Row],[PiN más alto]]/tblPiNAnalysis[[#This Row],[Población]])</f>
        <v>0.36499999999999999</v>
      </c>
      <c r="AB206" s="94" t="str">
        <f>IF(SUM(tblPiNAnalysis[[#This Row],[SAMV]:[ASH]])=0, "",IF(COUNTIF(tblPiNAnalysis[[#This Row],[SAMV]:[ASH]],"=0")+COUNTIF(tblPiNAnalysis[[#This Row],[SAMV]:[ASH]],"")&gt;=zero_pin_thresh, "Flagged", ""))</f>
        <v/>
      </c>
      <c r="AC206" s="95" t="str">
        <f>IFERROR(IF(tblPiNAnalysis[[#This Row],[PiN más alto]]="", "", IF(tblPiNAnalysis[[#This Row],[% PiN Sectores más altos]]&gt;=flag_pin_perc, "Flagged", "")), "")</f>
        <v/>
      </c>
      <c r="AD206" s="96" t="str" cm="1">
        <f t="array" ref="AD206">IF(tblPiNAnalysis[[#This Row],[PiN más alto]]=0, "",  IF(OR(COUNTIF(tblPiNAnalysis[[#This Row],[Sectores más altos]],tblSubSectorPopulation[Sector])), "Flagged", ""))</f>
        <v/>
      </c>
      <c r="AE206" s="16" cm="1">
        <f t="array" ref="AE20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4891.2259421636199</v>
      </c>
      <c r="AF206" s="97" t="str" cm="1">
        <f t="array" ref="AF206">IF(tblPiNAnalysis[[#This Row],[2º PiN más alto]]="", "", _xlfn.TEXTJOIN(CHAR(10), TRUE, IF(tblPiNAnalysis[[#This Row],[2º PiN más alto]]=tblPiNAnalysis[[#This Row],[SAMV]:[ASH]], tblPiNAnalysis[[#Headers],[SAMV]:[ASH]], "")))</f>
        <v>PRO</v>
      </c>
      <c r="AG206" s="12">
        <f>IFERROR(tblPiNAnalysis[[#This Row],[2º PiN más alto]]/tblPiNAnalysis[[#This Row],[Población]], "")</f>
        <v>0.24192432199839844</v>
      </c>
      <c r="AH206" s="16">
        <f>IFERROR(tblPiNAnalysis[[#This Row],[PiN más alto]]-tblPiNAnalysis[[#This Row],[2º PiN más alto]], "")</f>
        <v>2488.3440578363798</v>
      </c>
      <c r="AI206" s="14">
        <f>IFERROR(((tblPiNAnalysis[[#This Row],[PiN más alto]]-tblPiNAnalysis[[#This Row],[2º PiN más alto]])/tblPiNAnalysis[[#This Row],[2º PiN más alto]]),"")</f>
        <v>0.50873627333103077</v>
      </c>
      <c r="AJ206" s="14" t="str" cm="1">
        <f t="array" ref="AJ20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06" s="98" cm="1">
        <f t="array" ref="AK20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1976.8928440547584</v>
      </c>
      <c r="AL206" s="53" t="str" cm="1">
        <f t="array" ref="AL206">IF(tblPiNAnalysis[[#This Row],[3º PiN más alto]]="", "", _xlfn.TEXTJOIN(CHAR(10), TRUE, IF(tblPiNAnalysis[[#This Row],[3º PiN más alto]]=tblPiNAnalysis[[#This Row],[SAMV]:[ASH]], tblPiNAnalysis[[#Headers],[SAMV]:[ASH]], "")))</f>
        <v>EDU</v>
      </c>
      <c r="AM206" s="53">
        <f>IFERROR(tblPiNAnalysis[[#This Row],[3º PiN más alto]]/tblPiNAnalysis[[#This Row],[Población]], "")</f>
        <v>9.7778852708218345E-2</v>
      </c>
      <c r="AN206" s="15">
        <f>IFERROR(tblPiNAnalysis[[#This Row],[PiN más alto]]-tblPiNAnalysis[[#This Row],[3º PiN más alto]],"")</f>
        <v>5402.6771559452409</v>
      </c>
      <c r="AO206" s="14">
        <f>IFERROR(tblPiNAnalysis[[#This Row],[Diferencia de PiN entre el más alto y el 3º más alto]]/tblPiNAnalysis[[#This Row],[3º PiN más alto]], "")</f>
        <v>2.732913507271308</v>
      </c>
      <c r="AP206" s="96" t="str" cm="1">
        <f t="array" ref="AP20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06" s="84" cm="1">
        <f t="array" ref="AQ206">IFERROR(IF(tblPiNAnalysis[[#This Row],[ID]]="", "", INDEX(tblPiNHistorical[[SAMV]:[ASH]], MATCH(tblPiNAnalysis[[#This Row],[ID]],tblPiNHistorical[ID], 0),MATCH(_xlfn._xlws.FILTER(tblPiNAnalysis[[#Headers],[SAMV]:[ASH]], tblPiNAnalysis[[#This Row],[PiN más alto]]=tblPiNAnalysis[[#This Row],[SAMV]:[ASH]]), tblPiNHistorical[[#Headers],[SAMV]:[ASH]], 0))), "")</f>
        <v>2.5</v>
      </c>
      <c r="AR206" s="99" t="str" cm="1">
        <f t="array" ref="AR20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06" s="74" cm="1">
        <f t="array" ref="AS206">IFERROR(IF(tblPiNAnalysis[[#This Row],[ID]]="", "", INDEX(tblPiNHistorical[[SAMV]:[ASH]], MATCH(tblPiNAnalysis[[#This Row],[ID]],tblPiNHistorical[ID], 0),MATCH(_xlfn._xlws.FILTER(tblPiNAnalysis[[#Headers],[SAMV]:[ASH]], tblPiNAnalysis[[#This Row],[2º PiN más alto]]=tblPiNAnalysis[[#This Row],[SAMV]:[ASH]]), tblPiNHistorical[[#Headers],[SAMV]:[ASH]], 0))), "")</f>
        <v>-0.8</v>
      </c>
      <c r="AT206" s="100" t="str" cm="1">
        <f t="array" ref="AT20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06" s="219">
        <f>INDEX(tblSeverityAnalysis[Severidad final], MATCH(tblPiNAnalysis[[#This Row],[ID]],tblSeverityAnalysis[ID], 0))</f>
        <v>3</v>
      </c>
      <c r="AV206" s="220">
        <f>IF(tblPiNAnalysis[[#This Row],[Severidad]]&gt;2,tblPiNAnalysis[[#This Row],[PiN más alto]],)</f>
        <v>7379.57</v>
      </c>
      <c r="AW206" s="54"/>
      <c r="AX206" s="55"/>
      <c r="AY206" s="56">
        <f>COUNTIFS(tblPiNAnalysis[[#This Row],[Número de PiN ausentes/cero superior al umbral - Calidad de los datos]:[Marcador manual]],"Flagged")</f>
        <v>3</v>
      </c>
      <c r="AZ206" s="34" t="str">
        <f>IF(tblPiNAnalysis[[#This Row],[Número de marcadores]]&gt;0, "Flagged", "")</f>
        <v>Flagged</v>
      </c>
      <c r="BA206" s="92">
        <f>tblPiNAnalysis[[#This Row],[PiN preliminar]]</f>
        <v>7379.57</v>
      </c>
      <c r="BB206" s="97"/>
      <c r="BC206" s="70">
        <f>IFERROR(IF(tblPiNAnalysis[[#This Row],[Severidad]]=3,tblPiNAnalysis[[#This Row],[PiN final]]*Umbrales!$D$33,tblPiNAnalysis[[#This Row],[PiN final]]*Umbrales!$D$34),)</f>
        <v>3689.7849999999999</v>
      </c>
      <c r="BD206" s="70">
        <f>IFERROR(IF(tblPiNAnalysis[[#This Row],[Severidad]]&gt;3,tblPiNAnalysis[[#This Row],[PiN final]]*Umbrales!$D$34,),)</f>
        <v>0</v>
      </c>
    </row>
    <row r="207" spans="1:56">
      <c r="A207" s="101" t="str">
        <f>IFERROR(_xlfn.CONCAT(IF(tblPiNAnalysis[[#This Row],[Grupo]]="", "",tblPiNAnalysis[[#This Row],[Grupo]] ),  _xlfn.IFS(tblPiNAnalysis[[#This Row],[Admin2PCODE]]&lt;&gt;"", tblPiNAnalysis[[#This Row],[Admin2PCODE]], tblPiNAnalysis[[#This Row],[Admin1PCODE]]&lt;&gt;"", tblPiNAnalysis[[#This Row],[Admin1PCODE]])),"")</f>
        <v>VenezolanosVE1812</v>
      </c>
      <c r="B207" s="105" t="s">
        <v>536</v>
      </c>
      <c r="C207" s="104" t="s">
        <v>537</v>
      </c>
      <c r="D207" s="119" t="s">
        <v>559</v>
      </c>
      <c r="E207" s="104" t="s">
        <v>560</v>
      </c>
      <c r="F207" s="358"/>
      <c r="G207" s="357">
        <v>18002</v>
      </c>
      <c r="H207" s="103" t="s">
        <v>102</v>
      </c>
      <c r="I207" s="60">
        <v>7125</v>
      </c>
      <c r="J207" s="134">
        <v>576.86059030059187</v>
      </c>
      <c r="K207" s="57">
        <v>6570.73</v>
      </c>
      <c r="L207" s="87">
        <v>607.0968860992474</v>
      </c>
      <c r="M207" s="87">
        <v>2846.5766565843305</v>
      </c>
      <c r="N207" s="57">
        <v>0</v>
      </c>
      <c r="O207" s="57">
        <v>910.90453010698582</v>
      </c>
      <c r="P207" s="57">
        <v>996.30182980451559</v>
      </c>
      <c r="Q207" s="88">
        <f>IFERROR(IF(tblPiNAnalysis[[#This Row],[SAMV]]="", "", MROUND(tblPiNAnalysis[[#This Row],[SAMV]]/tblPiNAnalysis[[#This Row],[Población]], 0.05)), "")</f>
        <v>0.4</v>
      </c>
      <c r="R207" s="89">
        <f>IFERROR(IF(tblPiNAnalysis[[#This Row],[NUT]]="", "", MROUND(tblPiNAnalysis[[#This Row],[NUT]]/tblPiNAnalysis[[#This Row],[Población]], 0.05)), "")</f>
        <v>0.05</v>
      </c>
      <c r="S207" s="89">
        <f>IFERROR(IF(tblPiNAnalysis[[#This Row],[SAL]]="", "", MROUND(tblPiNAnalysis[[#This Row],[SAL]]/tblPiNAnalysis[[#This Row],[Población]], 0.05)), "")</f>
        <v>0.35000000000000003</v>
      </c>
      <c r="T207" s="89">
        <f>IFERROR(IF(tblPiNAnalysis[[#This Row],[EDU]]="", "", MROUND(tblPiNAnalysis[[#This Row],[EDU]]/tblPiNAnalysis[[#This Row],[Población]], 0.05)), "")</f>
        <v>0.05</v>
      </c>
      <c r="U207" s="89">
        <f>IFERROR(IF(tblPiNAnalysis[[#This Row],[PRO]]="", "", MROUND(tblPiNAnalysis[[#This Row],[PRO]]/tblPiNAnalysis[[#This Row],[Población]], 0.05)), "")</f>
        <v>0.15000000000000002</v>
      </c>
      <c r="V207" s="90">
        <f>IFERROR(IF(tblPiNAnalysis[[#This Row],[ASH]]="", "", MROUND(tblPiNAnalysis[[#This Row],[ASH]]/tblPiNAnalysis[[#This Row],[Población]], 0.05)), "")</f>
        <v>0</v>
      </c>
      <c r="W207" s="89">
        <f>IFERROR(MROUND(tblPiNAnalysis[[#This Row],[NNA]]/tblPiNAnalysis[[#This Row],[Población]], 0.05), "")</f>
        <v>0.05</v>
      </c>
      <c r="X207" s="89">
        <f>IFERROR(MROUND(tblPiNAnalysis[[#This Row],[VBG]]/tblPiNAnalysis[[#This Row],[Población]], 0.05), "")</f>
        <v>0.05</v>
      </c>
      <c r="Y207" s="91">
        <f>IFERROR(LARGE(tblPiNAnalysis[[#This Row],[SAMV]:[ASH]], 1), "")</f>
        <v>7125</v>
      </c>
      <c r="Z207" s="92" t="str" cm="1">
        <f t="array" ref="Z207">IF(tblPiNAnalysis[[#This Row],[PiN más alto]]="", "", _xlfn.TEXTJOIN(CHAR(10), TRUE, IF(tblPiNAnalysis[[#This Row],[PiN más alto]]=tblPiNAnalysis[[#This Row],[SAMV]:[ASH]], tblPiNAnalysis[[#Headers],[SAMV]:[ASH]], "")))</f>
        <v>SAMV</v>
      </c>
      <c r="AA207" s="93">
        <f>IF(tblPiNAnalysis[[#This Row],[PiN más alto]]="", "", tblPiNAnalysis[[#This Row],[PiN más alto]]/tblPiNAnalysis[[#This Row],[Población]])</f>
        <v>0.3957893567381402</v>
      </c>
      <c r="AB207" s="94" t="str">
        <f>IF(SUM(tblPiNAnalysis[[#This Row],[SAMV]:[ASH]])=0, "",IF(COUNTIF(tblPiNAnalysis[[#This Row],[SAMV]:[ASH]],"=0")+COUNTIF(tblPiNAnalysis[[#This Row],[SAMV]:[ASH]],"")&gt;=zero_pin_thresh, "Flagged", ""))</f>
        <v/>
      </c>
      <c r="AC207" s="95" t="str">
        <f>IFERROR(IF(tblPiNAnalysis[[#This Row],[PiN más alto]]="", "", IF(tblPiNAnalysis[[#This Row],[% PiN Sectores más altos]]&gt;=flag_pin_perc, "Flagged", "")), "")</f>
        <v/>
      </c>
      <c r="AD207" s="96" t="str" cm="1">
        <f t="array" ref="AD207">IF(tblPiNAnalysis[[#This Row],[PiN más alto]]=0, "",  IF(OR(COUNTIF(tblPiNAnalysis[[#This Row],[Sectores más altos]],tblSubSectorPopulation[Sector])), "Flagged", ""))</f>
        <v/>
      </c>
      <c r="AE207" s="16" cm="1">
        <f t="array" ref="AE20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6570.73</v>
      </c>
      <c r="AF207" s="97" t="str" cm="1">
        <f t="array" ref="AF207">IF(tblPiNAnalysis[[#This Row],[2º PiN más alto]]="", "", _xlfn.TEXTJOIN(CHAR(10), TRUE, IF(tblPiNAnalysis[[#This Row],[2º PiN más alto]]=tblPiNAnalysis[[#This Row],[SAMV]:[ASH]], tblPiNAnalysis[[#Headers],[SAMV]:[ASH]], "")))</f>
        <v>SAL</v>
      </c>
      <c r="AG207" s="12">
        <f>IFERROR(tblPiNAnalysis[[#This Row],[2º PiN más alto]]/tblPiNAnalysis[[#This Row],[Población]], "")</f>
        <v>0.36499999999999999</v>
      </c>
      <c r="AH207" s="16">
        <f>IFERROR(tblPiNAnalysis[[#This Row],[PiN más alto]]-tblPiNAnalysis[[#This Row],[2º PiN más alto]], "")</f>
        <v>554.27000000000044</v>
      </c>
      <c r="AI207" s="14">
        <f>IFERROR(((tblPiNAnalysis[[#This Row],[PiN más alto]]-tblPiNAnalysis[[#This Row],[2º PiN más alto]])/tblPiNAnalysis[[#This Row],[2º PiN más alto]]),"")</f>
        <v>8.4354402022302002E-2</v>
      </c>
      <c r="AJ207" s="14" t="str" cm="1">
        <f t="array" ref="AJ20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207" s="98" cm="1">
        <f t="array" ref="AK20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2846.5766565843305</v>
      </c>
      <c r="AL207" s="53" t="str" cm="1">
        <f t="array" ref="AL207">IF(tblPiNAnalysis[[#This Row],[3º PiN más alto]]="", "", _xlfn.TEXTJOIN(CHAR(10), TRUE, IF(tblPiNAnalysis[[#This Row],[3º PiN más alto]]=tblPiNAnalysis[[#This Row],[SAMV]:[ASH]], tblPiNAnalysis[[#Headers],[SAMV]:[ASH]], "")))</f>
        <v>PRO</v>
      </c>
      <c r="AM207" s="53">
        <f>IFERROR(tblPiNAnalysis[[#This Row],[3º PiN más alto]]/tblPiNAnalysis[[#This Row],[Población]], "")</f>
        <v>0.15812557807934288</v>
      </c>
      <c r="AN207" s="15">
        <f>IFERROR(tblPiNAnalysis[[#This Row],[PiN más alto]]-tblPiNAnalysis[[#This Row],[3º PiN más alto]],"")</f>
        <v>4278.4233434156695</v>
      </c>
      <c r="AO207" s="14">
        <f>IFERROR(tblPiNAnalysis[[#This Row],[Diferencia de PiN entre el más alto y el 3º más alto]]/tblPiNAnalysis[[#This Row],[3º PiN más alto]], "")</f>
        <v>1.5030065442008658</v>
      </c>
      <c r="AP207" s="96" t="str" cm="1">
        <f t="array" ref="AP20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07" s="84" cm="1">
        <f t="array" ref="AQ207">IFERROR(IF(tblPiNAnalysis[[#This Row],[ID]]="", "", INDEX(tblPiNHistorical[[SAMV]:[ASH]], MATCH(tblPiNAnalysis[[#This Row],[ID]],tblPiNHistorical[ID], 0),MATCH(_xlfn._xlws.FILTER(tblPiNAnalysis[[#Headers],[SAMV]:[ASH]], tblPiNAnalysis[[#This Row],[PiN más alto]]=tblPiNAnalysis[[#This Row],[SAMV]:[ASH]]), tblPiNHistorical[[#Headers],[SAMV]:[ASH]], 0))), "")</f>
        <v>2</v>
      </c>
      <c r="AR207" s="99" t="str" cm="1">
        <f t="array" ref="AR20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07" s="74" cm="1">
        <f t="array" ref="AS207">IFERROR(IF(tblPiNAnalysis[[#This Row],[ID]]="", "", INDEX(tblPiNHistorical[[SAMV]:[ASH]], MATCH(tblPiNAnalysis[[#This Row],[ID]],tblPiNHistorical[ID], 0),MATCH(_xlfn._xlws.FILTER(tblPiNAnalysis[[#Headers],[SAMV]:[ASH]], tblPiNAnalysis[[#This Row],[2º PiN más alto]]=tblPiNAnalysis[[#This Row],[SAMV]:[ASH]]), tblPiNHistorical[[#Headers],[SAMV]:[ASH]], 0))), "")</f>
        <v>2.1</v>
      </c>
      <c r="AT207" s="100" t="str" cm="1">
        <f t="array" ref="AT20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07" s="219">
        <f>INDEX(tblSeverityAnalysis[Severidad final], MATCH(tblPiNAnalysis[[#This Row],[ID]],tblSeverityAnalysis[ID], 0))</f>
        <v>3</v>
      </c>
      <c r="AV207" s="220">
        <f>IF(tblPiNAnalysis[[#This Row],[Severidad]]&gt;2,tblPiNAnalysis[[#This Row],[PiN más alto]],)</f>
        <v>7125</v>
      </c>
      <c r="AW207" s="54"/>
      <c r="AX207" s="55"/>
      <c r="AY207" s="56">
        <f>COUNTIFS(tblPiNAnalysis[[#This Row],[Número de PiN ausentes/cero superior al umbral - Calidad de los datos]:[Marcador manual]],"Flagged")</f>
        <v>3</v>
      </c>
      <c r="AZ207" s="34" t="str">
        <f>IF(tblPiNAnalysis[[#This Row],[Número de marcadores]]&gt;0, "Flagged", "")</f>
        <v>Flagged</v>
      </c>
      <c r="BA207" s="92">
        <f>tblPiNAnalysis[[#This Row],[PiN preliminar]]</f>
        <v>7125</v>
      </c>
      <c r="BB207" s="97"/>
      <c r="BC207" s="70">
        <f>IFERROR(IF(tblPiNAnalysis[[#This Row],[Severidad]]=3,tblPiNAnalysis[[#This Row],[PiN final]]*Umbrales!$D$33,tblPiNAnalysis[[#This Row],[PiN final]]*Umbrales!$D$34),)</f>
        <v>3562.5</v>
      </c>
      <c r="BD207" s="70">
        <f>IFERROR(IF(tblPiNAnalysis[[#This Row],[Severidad]]&gt;3,tblPiNAnalysis[[#This Row],[PiN final]]*Umbrales!$D$34,),)</f>
        <v>0</v>
      </c>
    </row>
    <row r="208" spans="1:56">
      <c r="A208" s="101" t="str">
        <f>IFERROR(_xlfn.CONCAT(IF(tblPiNAnalysis[[#This Row],[Grupo]]="", "",tblPiNAnalysis[[#This Row],[Grupo]] ),  _xlfn.IFS(tblPiNAnalysis[[#This Row],[Admin2PCODE]]&lt;&gt;"", tblPiNAnalysis[[#This Row],[Admin2PCODE]], tblPiNAnalysis[[#This Row],[Admin1PCODE]]&lt;&gt;"", tblPiNAnalysis[[#This Row],[Admin1PCODE]])),"")</f>
        <v>VenezolanosVE2109</v>
      </c>
      <c r="B208" s="105" t="s">
        <v>642</v>
      </c>
      <c r="C208" s="104" t="s">
        <v>643</v>
      </c>
      <c r="D208" s="119" t="s">
        <v>658</v>
      </c>
      <c r="E208" s="104" t="s">
        <v>659</v>
      </c>
      <c r="F208" s="358"/>
      <c r="G208" s="357">
        <v>19460</v>
      </c>
      <c r="H208" s="103" t="s">
        <v>102</v>
      </c>
      <c r="I208" s="60">
        <v>1441</v>
      </c>
      <c r="J208" s="134">
        <v>694.48460611633641</v>
      </c>
      <c r="K208" s="57">
        <v>7102.9</v>
      </c>
      <c r="L208" s="87">
        <v>592.15632997733667</v>
      </c>
      <c r="M208" s="87">
        <v>4707.8473060888346</v>
      </c>
      <c r="N208" s="57">
        <v>0</v>
      </c>
      <c r="O208" s="57">
        <v>1511.2189852545159</v>
      </c>
      <c r="P208" s="57">
        <v>1647.7465571310918</v>
      </c>
      <c r="Q208" s="88">
        <f>IFERROR(IF(tblPiNAnalysis[[#This Row],[SAMV]]="", "", MROUND(tblPiNAnalysis[[#This Row],[SAMV]]/tblPiNAnalysis[[#This Row],[Población]], 0.05)), "")</f>
        <v>0.05</v>
      </c>
      <c r="R208" s="89">
        <f>IFERROR(IF(tblPiNAnalysis[[#This Row],[NUT]]="", "", MROUND(tblPiNAnalysis[[#This Row],[NUT]]/tblPiNAnalysis[[#This Row],[Población]], 0.05)), "")</f>
        <v>0.05</v>
      </c>
      <c r="S208" s="89">
        <f>IFERROR(IF(tblPiNAnalysis[[#This Row],[SAL]]="", "", MROUND(tblPiNAnalysis[[#This Row],[SAL]]/tblPiNAnalysis[[#This Row],[Población]], 0.05)), "")</f>
        <v>0.35000000000000003</v>
      </c>
      <c r="T208" s="89">
        <f>IFERROR(IF(tblPiNAnalysis[[#This Row],[EDU]]="", "", MROUND(tblPiNAnalysis[[#This Row],[EDU]]/tblPiNAnalysis[[#This Row],[Población]], 0.05)), "")</f>
        <v>0.05</v>
      </c>
      <c r="U208" s="89">
        <f>IFERROR(IF(tblPiNAnalysis[[#This Row],[PRO]]="", "", MROUND(tblPiNAnalysis[[#This Row],[PRO]]/tblPiNAnalysis[[#This Row],[Población]], 0.05)), "")</f>
        <v>0.25</v>
      </c>
      <c r="V208" s="90">
        <f>IFERROR(IF(tblPiNAnalysis[[#This Row],[ASH]]="", "", MROUND(tblPiNAnalysis[[#This Row],[ASH]]/tblPiNAnalysis[[#This Row],[Población]], 0.05)), "")</f>
        <v>0</v>
      </c>
      <c r="W208" s="89">
        <f>IFERROR(MROUND(tblPiNAnalysis[[#This Row],[NNA]]/tblPiNAnalysis[[#This Row],[Población]], 0.05), "")</f>
        <v>0.1</v>
      </c>
      <c r="X208" s="89">
        <f>IFERROR(MROUND(tblPiNAnalysis[[#This Row],[VBG]]/tblPiNAnalysis[[#This Row],[Población]], 0.05), "")</f>
        <v>0.1</v>
      </c>
      <c r="Y208" s="91">
        <f>IFERROR(LARGE(tblPiNAnalysis[[#This Row],[SAMV]:[ASH]], 1), "")</f>
        <v>7102.9</v>
      </c>
      <c r="Z208" s="92" t="str" cm="1">
        <f t="array" ref="Z208">IF(tblPiNAnalysis[[#This Row],[PiN más alto]]="", "", _xlfn.TEXTJOIN(CHAR(10), TRUE, IF(tblPiNAnalysis[[#This Row],[PiN más alto]]=tblPiNAnalysis[[#This Row],[SAMV]:[ASH]], tblPiNAnalysis[[#Headers],[SAMV]:[ASH]], "")))</f>
        <v>SAL</v>
      </c>
      <c r="AA208" s="93">
        <f>IF(tblPiNAnalysis[[#This Row],[PiN más alto]]="", "", tblPiNAnalysis[[#This Row],[PiN más alto]]/tblPiNAnalysis[[#This Row],[Población]])</f>
        <v>0.36499999999999999</v>
      </c>
      <c r="AB208" s="94" t="str">
        <f>IF(SUM(tblPiNAnalysis[[#This Row],[SAMV]:[ASH]])=0, "",IF(COUNTIF(tblPiNAnalysis[[#This Row],[SAMV]:[ASH]],"=0")+COUNTIF(tblPiNAnalysis[[#This Row],[SAMV]:[ASH]],"")&gt;=zero_pin_thresh, "Flagged", ""))</f>
        <v/>
      </c>
      <c r="AC208" s="95" t="str">
        <f>IFERROR(IF(tblPiNAnalysis[[#This Row],[PiN más alto]]="", "", IF(tblPiNAnalysis[[#This Row],[% PiN Sectores más altos]]&gt;=flag_pin_perc, "Flagged", "")), "")</f>
        <v/>
      </c>
      <c r="AD208" s="96" t="str" cm="1">
        <f t="array" ref="AD208">IF(tblPiNAnalysis[[#This Row],[PiN más alto]]=0, "",  IF(OR(COUNTIF(tblPiNAnalysis[[#This Row],[Sectores más altos]],tblSubSectorPopulation[Sector])), "Flagged", ""))</f>
        <v/>
      </c>
      <c r="AE208" s="16" cm="1">
        <f t="array" ref="AE20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4707.8473060888346</v>
      </c>
      <c r="AF208" s="97" t="str" cm="1">
        <f t="array" ref="AF208">IF(tblPiNAnalysis[[#This Row],[2º PiN más alto]]="", "", _xlfn.TEXTJOIN(CHAR(10), TRUE, IF(tblPiNAnalysis[[#This Row],[2º PiN más alto]]=tblPiNAnalysis[[#This Row],[SAMV]:[ASH]], tblPiNAnalysis[[#Headers],[SAMV]:[ASH]], "")))</f>
        <v>PRO</v>
      </c>
      <c r="AG208" s="12">
        <f>IFERROR(tblPiNAnalysis[[#This Row],[2º PiN más alto]]/tblPiNAnalysis[[#This Row],[Población]], "")</f>
        <v>0.2419243219983985</v>
      </c>
      <c r="AH208" s="16">
        <f>IFERROR(tblPiNAnalysis[[#This Row],[PiN más alto]]-tblPiNAnalysis[[#This Row],[2º PiN más alto]], "")</f>
        <v>2395.0526939111651</v>
      </c>
      <c r="AI208" s="14">
        <f>IFERROR(((tblPiNAnalysis[[#This Row],[PiN más alto]]-tblPiNAnalysis[[#This Row],[2º PiN más alto]])/tblPiNAnalysis[[#This Row],[2º PiN más alto]]),"")</f>
        <v>0.50873627333103055</v>
      </c>
      <c r="AJ208" s="14" t="str" cm="1">
        <f t="array" ref="AJ20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08" s="98" cm="1">
        <f t="array" ref="AK20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1441</v>
      </c>
      <c r="AL208" s="53" t="str" cm="1">
        <f t="array" ref="AL208">IF(tblPiNAnalysis[[#This Row],[3º PiN más alto]]="", "", _xlfn.TEXTJOIN(CHAR(10), TRUE, IF(tblPiNAnalysis[[#This Row],[3º PiN más alto]]=tblPiNAnalysis[[#This Row],[SAMV]:[ASH]], tblPiNAnalysis[[#Headers],[SAMV]:[ASH]], "")))</f>
        <v>SAMV</v>
      </c>
      <c r="AM208" s="53">
        <f>IFERROR(tblPiNAnalysis[[#This Row],[3º PiN más alto]]/tblPiNAnalysis[[#This Row],[Población]], "")</f>
        <v>7.4049331963001022E-2</v>
      </c>
      <c r="AN208" s="15">
        <f>IFERROR(tblPiNAnalysis[[#This Row],[PiN más alto]]-tblPiNAnalysis[[#This Row],[3º PiN más alto]],"")</f>
        <v>5661.9</v>
      </c>
      <c r="AO208" s="14">
        <f>IFERROR(tblPiNAnalysis[[#This Row],[Diferencia de PiN entre el más alto y el 3º más alto]]/tblPiNAnalysis[[#This Row],[3º PiN más alto]], "")</f>
        <v>3.9291464260929909</v>
      </c>
      <c r="AP208" s="96" t="str" cm="1">
        <f t="array" ref="AP20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08" s="84" cm="1">
        <f t="array" ref="AQ208">IFERROR(IF(tblPiNAnalysis[[#This Row],[ID]]="", "", INDEX(tblPiNHistorical[[SAMV]:[ASH]], MATCH(tblPiNAnalysis[[#This Row],[ID]],tblPiNHistorical[ID], 0),MATCH(_xlfn._xlws.FILTER(tblPiNAnalysis[[#Headers],[SAMV]:[ASH]], tblPiNAnalysis[[#This Row],[PiN más alto]]=tblPiNAnalysis[[#This Row],[SAMV]:[ASH]]), tblPiNHistorical[[#Headers],[SAMV]:[ASH]], 0))), "")</f>
        <v>13.1</v>
      </c>
      <c r="AR208" s="99" t="str" cm="1">
        <f t="array" ref="AR20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08" s="74" cm="1">
        <f t="array" ref="AS208">IFERROR(IF(tblPiNAnalysis[[#This Row],[ID]]="", "", INDEX(tblPiNHistorical[[SAMV]:[ASH]], MATCH(tblPiNAnalysis[[#This Row],[ID]],tblPiNHistorical[ID], 0),MATCH(_xlfn._xlws.FILTER(tblPiNAnalysis[[#Headers],[SAMV]:[ASH]], tblPiNAnalysis[[#This Row],[2º PiN más alto]]=tblPiNAnalysis[[#This Row],[SAMV]:[ASH]]), tblPiNHistorical[[#Headers],[SAMV]:[ASH]], 0))), "")</f>
        <v>4</v>
      </c>
      <c r="AT208" s="100" t="str" cm="1">
        <f t="array" ref="AT20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08" s="219">
        <f>INDEX(tblSeverityAnalysis[Severidad final], MATCH(tblPiNAnalysis[[#This Row],[ID]],tblSeverityAnalysis[ID], 0))</f>
        <v>3</v>
      </c>
      <c r="AV208" s="220">
        <f>IF(tblPiNAnalysis[[#This Row],[Severidad]]&gt;2,tblPiNAnalysis[[#This Row],[PiN más alto]],)</f>
        <v>7102.9</v>
      </c>
      <c r="AW208" s="54"/>
      <c r="AX208" s="55"/>
      <c r="AY208" s="56">
        <f>COUNTIFS(tblPiNAnalysis[[#This Row],[Número de PiN ausentes/cero superior al umbral - Calidad de los datos]:[Marcador manual]],"Flagged")</f>
        <v>4</v>
      </c>
      <c r="AZ208" s="34" t="str">
        <f>IF(tblPiNAnalysis[[#This Row],[Número de marcadores]]&gt;0, "Flagged", "")</f>
        <v>Flagged</v>
      </c>
      <c r="BA208" s="92">
        <f>tblPiNAnalysis[[#This Row],[PiN preliminar]]</f>
        <v>7102.9</v>
      </c>
      <c r="BB208" s="97"/>
      <c r="BC208" s="70">
        <f>IFERROR(IF(tblPiNAnalysis[[#This Row],[Severidad]]=3,tblPiNAnalysis[[#This Row],[PiN final]]*Umbrales!$D$33,tblPiNAnalysis[[#This Row],[PiN final]]*Umbrales!$D$34),)</f>
        <v>3551.45</v>
      </c>
      <c r="BD208" s="70">
        <f>IFERROR(IF(tblPiNAnalysis[[#This Row],[Severidad]]&gt;3,tblPiNAnalysis[[#This Row],[PiN final]]*Umbrales!$D$34,),)</f>
        <v>0</v>
      </c>
    </row>
    <row r="209" spans="1:56">
      <c r="A209" s="101" t="str">
        <f>IFERROR(_xlfn.CONCAT(IF(tblPiNAnalysis[[#This Row],[Grupo]]="", "",tblPiNAnalysis[[#This Row],[Grupo]] ),  _xlfn.IFS(tblPiNAnalysis[[#This Row],[Admin2PCODE]]&lt;&gt;"", tblPiNAnalysis[[#This Row],[Admin2PCODE]], tblPiNAnalysis[[#This Row],[Admin1PCODE]]&lt;&gt;"", tblPiNAnalysis[[#This Row],[Admin1PCODE]])),"")</f>
        <v>VenezolanosVE1213</v>
      </c>
      <c r="B209" s="105" t="s">
        <v>362</v>
      </c>
      <c r="C209" s="104" t="s">
        <v>363</v>
      </c>
      <c r="D209" s="119" t="s">
        <v>821</v>
      </c>
      <c r="E209" s="104" t="s">
        <v>388</v>
      </c>
      <c r="F209" s="358"/>
      <c r="G209" s="357">
        <v>11680</v>
      </c>
      <c r="H209" s="103" t="s">
        <v>102</v>
      </c>
      <c r="I209" s="60">
        <v>2073</v>
      </c>
      <c r="J209" s="134">
        <v>625.45348391388063</v>
      </c>
      <c r="K209" s="57">
        <v>5600</v>
      </c>
      <c r="L209" s="87">
        <v>859.20182473808234</v>
      </c>
      <c r="M209" s="87">
        <v>1298.9656394025792</v>
      </c>
      <c r="N209" s="57">
        <v>7008</v>
      </c>
      <c r="O209" s="57">
        <v>415.66900460882539</v>
      </c>
      <c r="P209" s="57">
        <v>454.63797379090266</v>
      </c>
      <c r="Q209" s="88">
        <f>IFERROR(IF(tblPiNAnalysis[[#This Row],[SAMV]]="", "", MROUND(tblPiNAnalysis[[#This Row],[SAMV]]/tblPiNAnalysis[[#This Row],[Población]], 0.05)), "")</f>
        <v>0.2</v>
      </c>
      <c r="R209" s="89">
        <f>IFERROR(IF(tblPiNAnalysis[[#This Row],[NUT]]="", "", MROUND(tblPiNAnalysis[[#This Row],[NUT]]/tblPiNAnalysis[[#This Row],[Población]], 0.05)), "")</f>
        <v>0.05</v>
      </c>
      <c r="S209" s="89">
        <f>IFERROR(IF(tblPiNAnalysis[[#This Row],[SAL]]="", "", MROUND(tblPiNAnalysis[[#This Row],[SAL]]/tblPiNAnalysis[[#This Row],[Población]], 0.05)), "")</f>
        <v>0.5</v>
      </c>
      <c r="T209" s="89">
        <f>IFERROR(IF(tblPiNAnalysis[[#This Row],[EDU]]="", "", MROUND(tblPiNAnalysis[[#This Row],[EDU]]/tblPiNAnalysis[[#This Row],[Población]], 0.05)), "")</f>
        <v>0.05</v>
      </c>
      <c r="U209" s="89">
        <f>IFERROR(IF(tblPiNAnalysis[[#This Row],[PRO]]="", "", MROUND(tblPiNAnalysis[[#This Row],[PRO]]/tblPiNAnalysis[[#This Row],[Población]], 0.05)), "")</f>
        <v>0.1</v>
      </c>
      <c r="V209" s="90">
        <f>IFERROR(IF(tblPiNAnalysis[[#This Row],[ASH]]="", "", MROUND(tblPiNAnalysis[[#This Row],[ASH]]/tblPiNAnalysis[[#This Row],[Población]], 0.05)), "")</f>
        <v>0.60000000000000009</v>
      </c>
      <c r="W209" s="89">
        <f>IFERROR(MROUND(tblPiNAnalysis[[#This Row],[NNA]]/tblPiNAnalysis[[#This Row],[Población]], 0.05), "")</f>
        <v>0.05</v>
      </c>
      <c r="X209" s="89">
        <f>IFERROR(MROUND(tblPiNAnalysis[[#This Row],[VBG]]/tblPiNAnalysis[[#This Row],[Población]], 0.05), "")</f>
        <v>0.05</v>
      </c>
      <c r="Y209" s="91">
        <f>IFERROR(LARGE(tblPiNAnalysis[[#This Row],[SAMV]:[ASH]], 1), "")</f>
        <v>7008</v>
      </c>
      <c r="Z209" s="92" t="str" cm="1">
        <f t="array" ref="Z209">IF(tblPiNAnalysis[[#This Row],[PiN más alto]]="", "", _xlfn.TEXTJOIN(CHAR(10), TRUE, IF(tblPiNAnalysis[[#This Row],[PiN más alto]]=tblPiNAnalysis[[#This Row],[SAMV]:[ASH]], tblPiNAnalysis[[#Headers],[SAMV]:[ASH]], "")))</f>
        <v>ASH</v>
      </c>
      <c r="AA209" s="93">
        <f>IF(tblPiNAnalysis[[#This Row],[PiN más alto]]="", "", tblPiNAnalysis[[#This Row],[PiN más alto]]/tblPiNAnalysis[[#This Row],[Población]])</f>
        <v>0.6</v>
      </c>
      <c r="AB209" s="94" t="str">
        <f>IF(SUM(tblPiNAnalysis[[#This Row],[SAMV]:[ASH]])=0, "",IF(COUNTIF(tblPiNAnalysis[[#This Row],[SAMV]:[ASH]],"=0")+COUNTIF(tblPiNAnalysis[[#This Row],[SAMV]:[ASH]],"")&gt;=zero_pin_thresh, "Flagged", ""))</f>
        <v/>
      </c>
      <c r="AC209" s="95" t="str">
        <f>IFERROR(IF(tblPiNAnalysis[[#This Row],[PiN más alto]]="", "", IF(tblPiNAnalysis[[#This Row],[% PiN Sectores más altos]]&gt;=flag_pin_perc, "Flagged", "")), "")</f>
        <v/>
      </c>
      <c r="AD209" s="96" t="str" cm="1">
        <f t="array" ref="AD209">IF(tblPiNAnalysis[[#This Row],[PiN más alto]]=0, "",  IF(OR(COUNTIF(tblPiNAnalysis[[#This Row],[Sectores más altos]],tblSubSectorPopulation[Sector])), "Flagged", ""))</f>
        <v/>
      </c>
      <c r="AE209" s="16" cm="1">
        <f t="array" ref="AE20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5600</v>
      </c>
      <c r="AF209" s="97" t="str" cm="1">
        <f t="array" ref="AF209">IF(tblPiNAnalysis[[#This Row],[2º PiN más alto]]="", "", _xlfn.TEXTJOIN(CHAR(10), TRUE, IF(tblPiNAnalysis[[#This Row],[2º PiN más alto]]=tblPiNAnalysis[[#This Row],[SAMV]:[ASH]], tblPiNAnalysis[[#Headers],[SAMV]:[ASH]], "")))</f>
        <v>SAL</v>
      </c>
      <c r="AG209" s="12">
        <f>IFERROR(tblPiNAnalysis[[#This Row],[2º PiN más alto]]/tblPiNAnalysis[[#This Row],[Población]], "")</f>
        <v>0.47945205479452052</v>
      </c>
      <c r="AH209" s="16">
        <f>IFERROR(tblPiNAnalysis[[#This Row],[PiN más alto]]-tblPiNAnalysis[[#This Row],[2º PiN más alto]], "")</f>
        <v>1408</v>
      </c>
      <c r="AI209" s="14">
        <f>IFERROR(((tblPiNAnalysis[[#This Row],[PiN más alto]]-tblPiNAnalysis[[#This Row],[2º PiN más alto]])/tblPiNAnalysis[[#This Row],[2º PiN más alto]]),"")</f>
        <v>0.25142857142857145</v>
      </c>
      <c r="AJ209" s="14" t="str" cm="1">
        <f t="array" ref="AJ20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209" s="98" cm="1">
        <f t="array" ref="AK20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2073</v>
      </c>
      <c r="AL209" s="53" t="str" cm="1">
        <f t="array" ref="AL209">IF(tblPiNAnalysis[[#This Row],[3º PiN más alto]]="", "", _xlfn.TEXTJOIN(CHAR(10), TRUE, IF(tblPiNAnalysis[[#This Row],[3º PiN más alto]]=tblPiNAnalysis[[#This Row],[SAMV]:[ASH]], tblPiNAnalysis[[#Headers],[SAMV]:[ASH]], "")))</f>
        <v>SAMV</v>
      </c>
      <c r="AM209" s="53">
        <f>IFERROR(tblPiNAnalysis[[#This Row],[3º PiN más alto]]/tblPiNAnalysis[[#This Row],[Población]], "")</f>
        <v>0.17748287671232876</v>
      </c>
      <c r="AN209" s="15">
        <f>IFERROR(tblPiNAnalysis[[#This Row],[PiN más alto]]-tblPiNAnalysis[[#This Row],[3º PiN más alto]],"")</f>
        <v>4935</v>
      </c>
      <c r="AO209" s="14">
        <f>IFERROR(tblPiNAnalysis[[#This Row],[Diferencia de PiN entre el más alto y el 3º más alto]]/tblPiNAnalysis[[#This Row],[3º PiN más alto]], "")</f>
        <v>2.3806078147612157</v>
      </c>
      <c r="AP209" s="96" t="str" cm="1">
        <f t="array" ref="AP20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09" s="84" t="str" cm="1">
        <f t="array" ref="AQ209">IFERROR(IF(tblPiNAnalysis[[#This Row],[ID]]="", "", INDEX(tblPiNHistorical[[SAMV]:[ASH]], MATCH(tblPiNAnalysis[[#This Row],[ID]],tblPiNHistorical[ID], 0),MATCH(_xlfn._xlws.FILTER(tblPiNAnalysis[[#Headers],[SAMV]:[ASH]], tblPiNAnalysis[[#This Row],[PiN más alto]]=tblPiNAnalysis[[#This Row],[SAMV]:[ASH]]), tblPiNHistorical[[#Headers],[SAMV]:[ASH]], 0))), "")</f>
        <v>New26 1068.8625</v>
      </c>
      <c r="AR209" s="99" t="str" cm="1">
        <f t="array" ref="AR20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09" s="74" cm="1">
        <f t="array" ref="AS209">IFERROR(IF(tblPiNAnalysis[[#This Row],[ID]]="", "", INDEX(tblPiNHistorical[[SAMV]:[ASH]], MATCH(tblPiNAnalysis[[#This Row],[ID]],tblPiNHistorical[ID], 0),MATCH(_xlfn._xlws.FILTER(tblPiNAnalysis[[#Headers],[SAMV]:[ASH]], tblPiNAnalysis[[#This Row],[2º PiN más alto]]=tblPiNAnalysis[[#This Row],[SAMV]:[ASH]]), tblPiNHistorical[[#Headers],[SAMV]:[ASH]], 0))), "")</f>
        <v>1.1000000000000001</v>
      </c>
      <c r="AT209" s="100" t="str" cm="1">
        <f t="array" ref="AT20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09" s="219">
        <f>INDEX(tblSeverityAnalysis[Severidad final], MATCH(tblPiNAnalysis[[#This Row],[ID]],tblSeverityAnalysis[ID], 0))</f>
        <v>3</v>
      </c>
      <c r="AV209" s="220">
        <f>IF(tblPiNAnalysis[[#This Row],[Severidad]]&gt;2,tblPiNAnalysis[[#This Row],[PiN más alto]],)</f>
        <v>7008</v>
      </c>
      <c r="AW209" s="54"/>
      <c r="AX209" s="55"/>
      <c r="AY209" s="56">
        <f>COUNTIFS(tblPiNAnalysis[[#This Row],[Número de PiN ausentes/cero superior al umbral - Calidad de los datos]:[Marcador manual]],"Flagged")</f>
        <v>2</v>
      </c>
      <c r="AZ209" s="34" t="str">
        <f>IF(tblPiNAnalysis[[#This Row],[Número de marcadores]]&gt;0, "Flagged", "")</f>
        <v>Flagged</v>
      </c>
      <c r="BA209" s="92">
        <f>tblPiNAnalysis[[#This Row],[PiN preliminar]]</f>
        <v>7008</v>
      </c>
      <c r="BB209" s="97"/>
      <c r="BC209" s="70">
        <f>IFERROR(IF(tblPiNAnalysis[[#This Row],[Severidad]]=3,tblPiNAnalysis[[#This Row],[PiN final]]*Umbrales!$D$33,tblPiNAnalysis[[#This Row],[PiN final]]*Umbrales!$D$34),)</f>
        <v>3504</v>
      </c>
      <c r="BD209" s="70">
        <f>IFERROR(IF(tblPiNAnalysis[[#This Row],[Severidad]]&gt;3,tblPiNAnalysis[[#This Row],[PiN final]]*Umbrales!$D$34,),)</f>
        <v>0</v>
      </c>
    </row>
    <row r="210" spans="1:56">
      <c r="A210" s="101" t="str">
        <f>IFERROR(_xlfn.CONCAT(IF(tblPiNAnalysis[[#This Row],[Grupo]]="", "",tblPiNAnalysis[[#This Row],[Grupo]] ),  _xlfn.IFS(tblPiNAnalysis[[#This Row],[Admin2PCODE]]&lt;&gt;"", tblPiNAnalysis[[#This Row],[Admin2PCODE]], tblPiNAnalysis[[#This Row],[Admin1PCODE]]&lt;&gt;"", tblPiNAnalysis[[#This Row],[Admin1PCODE]])),"")</f>
        <v>VenezolanosVE1108</v>
      </c>
      <c r="B210" s="105" t="s">
        <v>316</v>
      </c>
      <c r="C210" s="104" t="s">
        <v>317</v>
      </c>
      <c r="D210" s="119" t="s">
        <v>331</v>
      </c>
      <c r="E210" s="104" t="s">
        <v>332</v>
      </c>
      <c r="F210" s="358"/>
      <c r="G210" s="357">
        <v>10168</v>
      </c>
      <c r="H210" s="103" t="s">
        <v>102</v>
      </c>
      <c r="I210" s="60">
        <v>2034</v>
      </c>
      <c r="J210" s="134">
        <v>354.05141062751409</v>
      </c>
      <c r="K210" s="57">
        <v>7000</v>
      </c>
      <c r="L210" s="87">
        <v>967.18391296109689</v>
      </c>
      <c r="M210" s="87">
        <v>2027.8836373640422</v>
      </c>
      <c r="N210" s="57">
        <v>6100.8</v>
      </c>
      <c r="O210" s="57">
        <v>648.92276395649355</v>
      </c>
      <c r="P210" s="57">
        <v>709.75927307741472</v>
      </c>
      <c r="Q210" s="88">
        <f>IFERROR(IF(tblPiNAnalysis[[#This Row],[SAMV]]="", "", MROUND(tblPiNAnalysis[[#This Row],[SAMV]]/tblPiNAnalysis[[#This Row],[Población]], 0.05)), "")</f>
        <v>0.2</v>
      </c>
      <c r="R210" s="89">
        <f>IFERROR(IF(tblPiNAnalysis[[#This Row],[NUT]]="", "", MROUND(tblPiNAnalysis[[#This Row],[NUT]]/tblPiNAnalysis[[#This Row],[Población]], 0.05)), "")</f>
        <v>0.05</v>
      </c>
      <c r="S210" s="89">
        <f>IFERROR(IF(tblPiNAnalysis[[#This Row],[SAL]]="", "", MROUND(tblPiNAnalysis[[#This Row],[SAL]]/tblPiNAnalysis[[#This Row],[Población]], 0.05)), "")</f>
        <v>0.70000000000000007</v>
      </c>
      <c r="T210" s="89">
        <f>IFERROR(IF(tblPiNAnalysis[[#This Row],[EDU]]="", "", MROUND(tblPiNAnalysis[[#This Row],[EDU]]/tblPiNAnalysis[[#This Row],[Población]], 0.05)), "")</f>
        <v>0.1</v>
      </c>
      <c r="U210" s="89">
        <f>IFERROR(IF(tblPiNAnalysis[[#This Row],[PRO]]="", "", MROUND(tblPiNAnalysis[[#This Row],[PRO]]/tblPiNAnalysis[[#This Row],[Población]], 0.05)), "")</f>
        <v>0.2</v>
      </c>
      <c r="V210" s="90">
        <f>IFERROR(IF(tblPiNAnalysis[[#This Row],[ASH]]="", "", MROUND(tblPiNAnalysis[[#This Row],[ASH]]/tblPiNAnalysis[[#This Row],[Población]], 0.05)), "")</f>
        <v>0.60000000000000009</v>
      </c>
      <c r="W210" s="89">
        <f>IFERROR(MROUND(tblPiNAnalysis[[#This Row],[NNA]]/tblPiNAnalysis[[#This Row],[Población]], 0.05), "")</f>
        <v>0.05</v>
      </c>
      <c r="X210" s="89">
        <f>IFERROR(MROUND(tblPiNAnalysis[[#This Row],[VBG]]/tblPiNAnalysis[[#This Row],[Población]], 0.05), "")</f>
        <v>0.05</v>
      </c>
      <c r="Y210" s="91">
        <f>IFERROR(LARGE(tblPiNAnalysis[[#This Row],[SAMV]:[ASH]], 1), "")</f>
        <v>7000</v>
      </c>
      <c r="Z210" s="92" t="str" cm="1">
        <f t="array" ref="Z210">IF(tblPiNAnalysis[[#This Row],[PiN más alto]]="", "", _xlfn.TEXTJOIN(CHAR(10), TRUE, IF(tblPiNAnalysis[[#This Row],[PiN más alto]]=tblPiNAnalysis[[#This Row],[SAMV]:[ASH]], tblPiNAnalysis[[#Headers],[SAMV]:[ASH]], "")))</f>
        <v>SAL</v>
      </c>
      <c r="AA210" s="93">
        <f>IF(tblPiNAnalysis[[#This Row],[PiN más alto]]="", "", tblPiNAnalysis[[#This Row],[PiN más alto]]/tblPiNAnalysis[[#This Row],[Población]])</f>
        <v>0.68843430369787573</v>
      </c>
      <c r="AB210" s="94" t="str">
        <f>IF(SUM(tblPiNAnalysis[[#This Row],[SAMV]:[ASH]])=0, "",IF(COUNTIF(tblPiNAnalysis[[#This Row],[SAMV]:[ASH]],"=0")+COUNTIF(tblPiNAnalysis[[#This Row],[SAMV]:[ASH]],"")&gt;=zero_pin_thresh, "Flagged", ""))</f>
        <v/>
      </c>
      <c r="AC210" s="95" t="str">
        <f>IFERROR(IF(tblPiNAnalysis[[#This Row],[PiN más alto]]="", "", IF(tblPiNAnalysis[[#This Row],[% PiN Sectores más altos]]&gt;=flag_pin_perc, "Flagged", "")), "")</f>
        <v/>
      </c>
      <c r="AD210" s="96" t="str" cm="1">
        <f t="array" ref="AD210">IF(tblPiNAnalysis[[#This Row],[PiN más alto]]=0, "",  IF(OR(COUNTIF(tblPiNAnalysis[[#This Row],[Sectores más altos]],tblSubSectorPopulation[Sector])), "Flagged", ""))</f>
        <v/>
      </c>
      <c r="AE210" s="16" cm="1">
        <f t="array" ref="AE21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6100.8</v>
      </c>
      <c r="AF210" s="97" t="str" cm="1">
        <f t="array" ref="AF210">IF(tblPiNAnalysis[[#This Row],[2º PiN más alto]]="", "", _xlfn.TEXTJOIN(CHAR(10), TRUE, IF(tblPiNAnalysis[[#This Row],[2º PiN más alto]]=tblPiNAnalysis[[#This Row],[SAMV]:[ASH]], tblPiNAnalysis[[#Headers],[SAMV]:[ASH]], "")))</f>
        <v>ASH</v>
      </c>
      <c r="AG210" s="12">
        <f>IFERROR(tblPiNAnalysis[[#This Row],[2º PiN más alto]]/tblPiNAnalysis[[#This Row],[Población]], "")</f>
        <v>0.6</v>
      </c>
      <c r="AH210" s="16">
        <f>IFERROR(tblPiNAnalysis[[#This Row],[PiN más alto]]-tblPiNAnalysis[[#This Row],[2º PiN más alto]], "")</f>
        <v>899.19999999999982</v>
      </c>
      <c r="AI210" s="14">
        <f>IFERROR(((tblPiNAnalysis[[#This Row],[PiN más alto]]-tblPiNAnalysis[[#This Row],[2º PiN más alto]])/tblPiNAnalysis[[#This Row],[2º PiN más alto]]),"")</f>
        <v>0.1473905061631261</v>
      </c>
      <c r="AJ210" s="14" t="str" cm="1">
        <f t="array" ref="AJ21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210" s="98" cm="1">
        <f t="array" ref="AK21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2034</v>
      </c>
      <c r="AL210" s="53" t="str" cm="1">
        <f t="array" ref="AL210">IF(tblPiNAnalysis[[#This Row],[3º PiN más alto]]="", "", _xlfn.TEXTJOIN(CHAR(10), TRUE, IF(tblPiNAnalysis[[#This Row],[3º PiN más alto]]=tblPiNAnalysis[[#This Row],[SAMV]:[ASH]], tblPiNAnalysis[[#Headers],[SAMV]:[ASH]], "")))</f>
        <v>SAMV</v>
      </c>
      <c r="AM210" s="53">
        <f>IFERROR(tblPiNAnalysis[[#This Row],[3º PiN más alto]]/tblPiNAnalysis[[#This Row],[Población]], "")</f>
        <v>0.20003933910306845</v>
      </c>
      <c r="AN210" s="15">
        <f>IFERROR(tblPiNAnalysis[[#This Row],[PiN más alto]]-tblPiNAnalysis[[#This Row],[3º PiN más alto]],"")</f>
        <v>4966</v>
      </c>
      <c r="AO210" s="14">
        <f>IFERROR(tblPiNAnalysis[[#This Row],[Diferencia de PiN entre el más alto y el 3º más alto]]/tblPiNAnalysis[[#This Row],[3º PiN más alto]], "")</f>
        <v>2.4414945919370696</v>
      </c>
      <c r="AP210" s="96" t="str" cm="1">
        <f t="array" ref="AP21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10" s="84" cm="1">
        <f t="array" ref="AQ210">IFERROR(IF(tblPiNAnalysis[[#This Row],[ID]]="", "", INDEX(tblPiNHistorical[[SAMV]:[ASH]], MATCH(tblPiNAnalysis[[#This Row],[ID]],tblPiNHistorical[ID], 0),MATCH(_xlfn._xlws.FILTER(tblPiNAnalysis[[#Headers],[SAMV]:[ASH]], tblPiNAnalysis[[#This Row],[PiN más alto]]=tblPiNAnalysis[[#This Row],[SAMV]:[ASH]]), tblPiNHistorical[[#Headers],[SAMV]:[ASH]], 0))), "")</f>
        <v>3.4</v>
      </c>
      <c r="AR210" s="99" t="str" cm="1">
        <f t="array" ref="AR21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10" s="74" cm="1">
        <f t="array" ref="AS210">IFERROR(IF(tblPiNAnalysis[[#This Row],[ID]]="", "", INDEX(tblPiNHistorical[[SAMV]:[ASH]], MATCH(tblPiNAnalysis[[#This Row],[ID]],tblPiNHistorical[ID], 0),MATCH(_xlfn._xlws.FILTER(tblPiNAnalysis[[#Headers],[SAMV]:[ASH]], tblPiNAnalysis[[#This Row],[2º PiN más alto]]=tblPiNAnalysis[[#This Row],[SAMV]:[ASH]]), tblPiNHistorical[[#Headers],[SAMV]:[ASH]], 0))), "")</f>
        <v>2.8</v>
      </c>
      <c r="AT210" s="100" t="str" cm="1">
        <f t="array" ref="AT21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10" s="219">
        <f>INDEX(tblSeverityAnalysis[Severidad final], MATCH(tblPiNAnalysis[[#This Row],[ID]],tblSeverityAnalysis[ID], 0))</f>
        <v>3</v>
      </c>
      <c r="AV210" s="220">
        <f>IF(tblPiNAnalysis[[#This Row],[Severidad]]&gt;2,tblPiNAnalysis[[#This Row],[PiN más alto]],)</f>
        <v>7000</v>
      </c>
      <c r="AW210" s="54"/>
      <c r="AX210" s="55"/>
      <c r="AY210" s="56">
        <f>COUNTIFS(tblPiNAnalysis[[#This Row],[Número de PiN ausentes/cero superior al umbral - Calidad de los datos]:[Marcador manual]],"Flagged")</f>
        <v>3</v>
      </c>
      <c r="AZ210" s="34" t="str">
        <f>IF(tblPiNAnalysis[[#This Row],[Número de marcadores]]&gt;0, "Flagged", "")</f>
        <v>Flagged</v>
      </c>
      <c r="BA210" s="92">
        <f>tblPiNAnalysis[[#This Row],[PiN preliminar]]</f>
        <v>7000</v>
      </c>
      <c r="BB210" s="97"/>
      <c r="BC210" s="70">
        <f>IFERROR(IF(tblPiNAnalysis[[#This Row],[Severidad]]=3,tblPiNAnalysis[[#This Row],[PiN final]]*Umbrales!$D$33,tblPiNAnalysis[[#This Row],[PiN final]]*Umbrales!$D$34),)</f>
        <v>3500</v>
      </c>
      <c r="BD210" s="70">
        <f>IFERROR(IF(tblPiNAnalysis[[#This Row],[Severidad]]&gt;3,tblPiNAnalysis[[#This Row],[PiN final]]*Umbrales!$D$34,),)</f>
        <v>0</v>
      </c>
    </row>
    <row r="211" spans="1:56">
      <c r="A211" s="101" t="str">
        <f>IFERROR(_xlfn.CONCAT(IF(tblPiNAnalysis[[#This Row],[Grupo]]="", "",tblPiNAnalysis[[#This Row],[Grupo]] ),  _xlfn.IFS(tblPiNAnalysis[[#This Row],[Admin2PCODE]]&lt;&gt;"", tblPiNAnalysis[[#This Row],[Admin2PCODE]], tblPiNAnalysis[[#This Row],[Admin1PCODE]]&lt;&gt;"", tblPiNAnalysis[[#This Row],[Admin1PCODE]])),"")</f>
        <v>VenezolanosVE1124</v>
      </c>
      <c r="B211" s="105" t="s">
        <v>316</v>
      </c>
      <c r="C211" s="104" t="s">
        <v>317</v>
      </c>
      <c r="D211" s="119" t="s">
        <v>359</v>
      </c>
      <c r="E211" s="104" t="s">
        <v>360</v>
      </c>
      <c r="F211" s="358"/>
      <c r="G211" s="357">
        <v>8543</v>
      </c>
      <c r="H211" s="103" t="s">
        <v>102</v>
      </c>
      <c r="I211" s="60">
        <v>1384</v>
      </c>
      <c r="J211" s="134">
        <v>301.29848694933526</v>
      </c>
      <c r="K211" s="57">
        <v>7000</v>
      </c>
      <c r="L211" s="87">
        <v>996.43837198321842</v>
      </c>
      <c r="M211" s="87">
        <v>1703.7971984658748</v>
      </c>
      <c r="N211" s="57">
        <v>1153.3049999999998</v>
      </c>
      <c r="O211" s="57">
        <v>546.91890070754584</v>
      </c>
      <c r="P211" s="57">
        <v>596.32901946305617</v>
      </c>
      <c r="Q211" s="88">
        <f>IFERROR(IF(tblPiNAnalysis[[#This Row],[SAMV]]="", "", MROUND(tblPiNAnalysis[[#This Row],[SAMV]]/tblPiNAnalysis[[#This Row],[Población]], 0.05)), "")</f>
        <v>0.15000000000000002</v>
      </c>
      <c r="R211" s="89">
        <f>IFERROR(IF(tblPiNAnalysis[[#This Row],[NUT]]="", "", MROUND(tblPiNAnalysis[[#This Row],[NUT]]/tblPiNAnalysis[[#This Row],[Población]], 0.05)), "")</f>
        <v>0.05</v>
      </c>
      <c r="S211" s="89">
        <f>IFERROR(IF(tblPiNAnalysis[[#This Row],[SAL]]="", "", MROUND(tblPiNAnalysis[[#This Row],[SAL]]/tblPiNAnalysis[[#This Row],[Población]], 0.05)), "")</f>
        <v>0.8</v>
      </c>
      <c r="T211" s="89">
        <f>IFERROR(IF(tblPiNAnalysis[[#This Row],[EDU]]="", "", MROUND(tblPiNAnalysis[[#This Row],[EDU]]/tblPiNAnalysis[[#This Row],[Población]], 0.05)), "")</f>
        <v>0.1</v>
      </c>
      <c r="U211" s="89">
        <f>IFERROR(IF(tblPiNAnalysis[[#This Row],[PRO]]="", "", MROUND(tblPiNAnalysis[[#This Row],[PRO]]/tblPiNAnalysis[[#This Row],[Población]], 0.05)), "")</f>
        <v>0.2</v>
      </c>
      <c r="V211" s="90">
        <f>IFERROR(IF(tblPiNAnalysis[[#This Row],[ASH]]="", "", MROUND(tblPiNAnalysis[[#This Row],[ASH]]/tblPiNAnalysis[[#This Row],[Población]], 0.05)), "")</f>
        <v>0.15000000000000002</v>
      </c>
      <c r="W211" s="89">
        <f>IFERROR(MROUND(tblPiNAnalysis[[#This Row],[NNA]]/tblPiNAnalysis[[#This Row],[Población]], 0.05), "")</f>
        <v>0.05</v>
      </c>
      <c r="X211" s="89">
        <f>IFERROR(MROUND(tblPiNAnalysis[[#This Row],[VBG]]/tblPiNAnalysis[[#This Row],[Población]], 0.05), "")</f>
        <v>0.05</v>
      </c>
      <c r="Y211" s="91">
        <f>IFERROR(LARGE(tblPiNAnalysis[[#This Row],[SAMV]:[ASH]], 1), "")</f>
        <v>7000</v>
      </c>
      <c r="Z211" s="92" t="str" cm="1">
        <f t="array" ref="Z211">IF(tblPiNAnalysis[[#This Row],[PiN más alto]]="", "", _xlfn.TEXTJOIN(CHAR(10), TRUE, IF(tblPiNAnalysis[[#This Row],[PiN más alto]]=tblPiNAnalysis[[#This Row],[SAMV]:[ASH]], tblPiNAnalysis[[#Headers],[SAMV]:[ASH]], "")))</f>
        <v>SAL</v>
      </c>
      <c r="AA211" s="93">
        <f>IF(tblPiNAnalysis[[#This Row],[PiN más alto]]="", "", tblPiNAnalysis[[#This Row],[PiN más alto]]/tblPiNAnalysis[[#This Row],[Población]])</f>
        <v>0.81938429123258805</v>
      </c>
      <c r="AB211" s="94" t="str">
        <f>IF(SUM(tblPiNAnalysis[[#This Row],[SAMV]:[ASH]])=0, "",IF(COUNTIF(tblPiNAnalysis[[#This Row],[SAMV]:[ASH]],"=0")+COUNTIF(tblPiNAnalysis[[#This Row],[SAMV]:[ASH]],"")&gt;=zero_pin_thresh, "Flagged", ""))</f>
        <v/>
      </c>
      <c r="AC211" s="95" t="str">
        <f>IFERROR(IF(tblPiNAnalysis[[#This Row],[PiN más alto]]="", "", IF(tblPiNAnalysis[[#This Row],[% PiN Sectores más altos]]&gt;=flag_pin_perc, "Flagged", "")), "")</f>
        <v/>
      </c>
      <c r="AD211" s="96" t="str" cm="1">
        <f t="array" ref="AD211">IF(tblPiNAnalysis[[#This Row],[PiN más alto]]=0, "",  IF(OR(COUNTIF(tblPiNAnalysis[[#This Row],[Sectores más altos]],tblSubSectorPopulation[Sector])), "Flagged", ""))</f>
        <v/>
      </c>
      <c r="AE211" s="16" cm="1">
        <f t="array" ref="AE21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1703.7971984658748</v>
      </c>
      <c r="AF211" s="97" t="str" cm="1">
        <f t="array" ref="AF211">IF(tblPiNAnalysis[[#This Row],[2º PiN más alto]]="", "", _xlfn.TEXTJOIN(CHAR(10), TRUE, IF(tblPiNAnalysis[[#This Row],[2º PiN más alto]]=tblPiNAnalysis[[#This Row],[SAMV]:[ASH]], tblPiNAnalysis[[#Headers],[SAMV]:[ASH]], "")))</f>
        <v>PRO</v>
      </c>
      <c r="AG211" s="12">
        <f>IFERROR(tblPiNAnalysis[[#This Row],[2º PiN más alto]]/tblPiNAnalysis[[#This Row],[Población]], "")</f>
        <v>0.19943780855271856</v>
      </c>
      <c r="AH211" s="16">
        <f>IFERROR(tblPiNAnalysis[[#This Row],[PiN más alto]]-tblPiNAnalysis[[#This Row],[2º PiN más alto]], "")</f>
        <v>5296.2028015341257</v>
      </c>
      <c r="AI211" s="14">
        <f>IFERROR(((tblPiNAnalysis[[#This Row],[PiN más alto]]-tblPiNAnalysis[[#This Row],[2º PiN más alto]])/tblPiNAnalysis[[#This Row],[2º PiN más alto]]),"")</f>
        <v>3.1084701901745748</v>
      </c>
      <c r="AJ211" s="14" t="str" cm="1">
        <f t="array" ref="AJ21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11" s="98" cm="1">
        <f t="array" ref="AK21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1384</v>
      </c>
      <c r="AL211" s="53" t="str" cm="1">
        <f t="array" ref="AL211">IF(tblPiNAnalysis[[#This Row],[3º PiN más alto]]="", "", _xlfn.TEXTJOIN(CHAR(10), TRUE, IF(tblPiNAnalysis[[#This Row],[3º PiN más alto]]=tblPiNAnalysis[[#This Row],[SAMV]:[ASH]], tblPiNAnalysis[[#Headers],[SAMV]:[ASH]], "")))</f>
        <v>SAMV</v>
      </c>
      <c r="AM211" s="53">
        <f>IFERROR(tblPiNAnalysis[[#This Row],[3º PiN más alto]]/tblPiNAnalysis[[#This Row],[Población]], "")</f>
        <v>0.1620039798665574</v>
      </c>
      <c r="AN211" s="15">
        <f>IFERROR(tblPiNAnalysis[[#This Row],[PiN más alto]]-tblPiNAnalysis[[#This Row],[3º PiN más alto]],"")</f>
        <v>5616</v>
      </c>
      <c r="AO211" s="14">
        <f>IFERROR(tblPiNAnalysis[[#This Row],[Diferencia de PiN entre el más alto y el 3º más alto]]/tblPiNAnalysis[[#This Row],[3º PiN más alto]], "")</f>
        <v>4.0578034682080926</v>
      </c>
      <c r="AP211" s="96" t="str" cm="1">
        <f t="array" ref="AP21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11" s="84" cm="1">
        <f t="array" ref="AQ211">IFERROR(IF(tblPiNAnalysis[[#This Row],[ID]]="", "", INDEX(tblPiNHistorical[[SAMV]:[ASH]], MATCH(tblPiNAnalysis[[#This Row],[ID]],tblPiNHistorical[ID], 0),MATCH(_xlfn._xlws.FILTER(tblPiNAnalysis[[#Headers],[SAMV]:[ASH]], tblPiNAnalysis[[#This Row],[PiN más alto]]=tblPiNAnalysis[[#This Row],[SAMV]:[ASH]]), tblPiNHistorical[[#Headers],[SAMV]:[ASH]], 0))), "")</f>
        <v>3.9</v>
      </c>
      <c r="AR211" s="99" t="str" cm="1">
        <f t="array" ref="AR21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11" s="74" cm="1">
        <f t="array" ref="AS211">IFERROR(IF(tblPiNAnalysis[[#This Row],[ID]]="", "", INDEX(tblPiNHistorical[[SAMV]:[ASH]], MATCH(tblPiNAnalysis[[#This Row],[ID]],tblPiNHistorical[ID], 0),MATCH(_xlfn._xlws.FILTER(tblPiNAnalysis[[#Headers],[SAMV]:[ASH]], tblPiNAnalysis[[#This Row],[2º PiN más alto]]=tblPiNAnalysis[[#This Row],[SAMV]:[ASH]]), tblPiNHistorical[[#Headers],[SAMV]:[ASH]], 0))), "")</f>
        <v>0.4</v>
      </c>
      <c r="AT211" s="100" t="str" cm="1">
        <f t="array" ref="AT21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11" s="219">
        <f>INDEX(tblSeverityAnalysis[Severidad final], MATCH(tblPiNAnalysis[[#This Row],[ID]],tblSeverityAnalysis[ID], 0))</f>
        <v>3</v>
      </c>
      <c r="AV211" s="220">
        <f>IF(tblPiNAnalysis[[#This Row],[Severidad]]&gt;2,tblPiNAnalysis[[#This Row],[PiN más alto]],)</f>
        <v>7000</v>
      </c>
      <c r="AW211" s="54"/>
      <c r="AX211" s="55"/>
      <c r="AY211" s="56">
        <f>COUNTIFS(tblPiNAnalysis[[#This Row],[Número de PiN ausentes/cero superior al umbral - Calidad de los datos]:[Marcador manual]],"Flagged")</f>
        <v>3</v>
      </c>
      <c r="AZ211" s="34" t="str">
        <f>IF(tblPiNAnalysis[[#This Row],[Número de marcadores]]&gt;0, "Flagged", "")</f>
        <v>Flagged</v>
      </c>
      <c r="BA211" s="92">
        <f>tblPiNAnalysis[[#This Row],[PiN preliminar]]</f>
        <v>7000</v>
      </c>
      <c r="BB211" s="97"/>
      <c r="BC211" s="70">
        <f>IFERROR(IF(tblPiNAnalysis[[#This Row],[Severidad]]=3,tblPiNAnalysis[[#This Row],[PiN final]]*Umbrales!$D$33,tblPiNAnalysis[[#This Row],[PiN final]]*Umbrales!$D$34),)</f>
        <v>3500</v>
      </c>
      <c r="BD211" s="70">
        <f>IFERROR(IF(tblPiNAnalysis[[#This Row],[Severidad]]&gt;3,tblPiNAnalysis[[#This Row],[PiN final]]*Umbrales!$D$34,),)</f>
        <v>0</v>
      </c>
    </row>
    <row r="212" spans="1:56">
      <c r="A212" s="101" t="str">
        <f>IFERROR(_xlfn.CONCAT(IF(tblPiNAnalysis[[#This Row],[Grupo]]="", "",tblPiNAnalysis[[#This Row],[Grupo]] ),  _xlfn.IFS(tblPiNAnalysis[[#This Row],[Admin2PCODE]]&lt;&gt;"", tblPiNAnalysis[[#This Row],[Admin2PCODE]], tblPiNAnalysis[[#This Row],[Admin1PCODE]]&lt;&gt;"", tblPiNAnalysis[[#This Row],[Admin1PCODE]])),"")</f>
        <v>VenezolanosVE2022</v>
      </c>
      <c r="B212" s="105" t="s">
        <v>589</v>
      </c>
      <c r="C212" s="104" t="s">
        <v>590</v>
      </c>
      <c r="D212" s="119" t="s">
        <v>628</v>
      </c>
      <c r="E212" s="104" t="s">
        <v>629</v>
      </c>
      <c r="F212" s="358"/>
      <c r="G212" s="357">
        <v>18316</v>
      </c>
      <c r="H212" s="103" t="s">
        <v>102</v>
      </c>
      <c r="I212" s="60">
        <v>6869</v>
      </c>
      <c r="J212" s="134">
        <v>541.97979722789773</v>
      </c>
      <c r="K212" s="57">
        <v>6685.34</v>
      </c>
      <c r="L212" s="87">
        <v>1230.2589417867293</v>
      </c>
      <c r="M212" s="87">
        <v>3666.4087926650827</v>
      </c>
      <c r="N212" s="57">
        <v>0</v>
      </c>
      <c r="O212" s="57">
        <v>1173.2508136528265</v>
      </c>
      <c r="P212" s="57">
        <v>1283.243077432779</v>
      </c>
      <c r="Q212" s="88">
        <f>IFERROR(IF(tblPiNAnalysis[[#This Row],[SAMV]]="", "", MROUND(tblPiNAnalysis[[#This Row],[SAMV]]/tblPiNAnalysis[[#This Row],[Población]], 0.05)), "")</f>
        <v>0.4</v>
      </c>
      <c r="R212" s="89">
        <f>IFERROR(IF(tblPiNAnalysis[[#This Row],[NUT]]="", "", MROUND(tblPiNAnalysis[[#This Row],[NUT]]/tblPiNAnalysis[[#This Row],[Población]], 0.05)), "")</f>
        <v>0.05</v>
      </c>
      <c r="S212" s="89">
        <f>IFERROR(IF(tblPiNAnalysis[[#This Row],[SAL]]="", "", MROUND(tblPiNAnalysis[[#This Row],[SAL]]/tblPiNAnalysis[[#This Row],[Población]], 0.05)), "")</f>
        <v>0.35000000000000003</v>
      </c>
      <c r="T212" s="89">
        <f>IFERROR(IF(tblPiNAnalysis[[#This Row],[EDU]]="", "", MROUND(tblPiNAnalysis[[#This Row],[EDU]]/tblPiNAnalysis[[#This Row],[Población]], 0.05)), "")</f>
        <v>0.05</v>
      </c>
      <c r="U212" s="89">
        <f>IFERROR(IF(tblPiNAnalysis[[#This Row],[PRO]]="", "", MROUND(tblPiNAnalysis[[#This Row],[PRO]]/tblPiNAnalysis[[#This Row],[Población]], 0.05)), "")</f>
        <v>0.2</v>
      </c>
      <c r="V212" s="90">
        <f>IFERROR(IF(tblPiNAnalysis[[#This Row],[ASH]]="", "", MROUND(tblPiNAnalysis[[#This Row],[ASH]]/tblPiNAnalysis[[#This Row],[Población]], 0.05)), "")</f>
        <v>0</v>
      </c>
      <c r="W212" s="89">
        <f>IFERROR(MROUND(tblPiNAnalysis[[#This Row],[NNA]]/tblPiNAnalysis[[#This Row],[Población]], 0.05), "")</f>
        <v>0.05</v>
      </c>
      <c r="X212" s="89">
        <f>IFERROR(MROUND(tblPiNAnalysis[[#This Row],[VBG]]/tblPiNAnalysis[[#This Row],[Población]], 0.05), "")</f>
        <v>0.05</v>
      </c>
      <c r="Y212" s="91">
        <f>IFERROR(LARGE(tblPiNAnalysis[[#This Row],[SAMV]:[ASH]], 1), "")</f>
        <v>6869</v>
      </c>
      <c r="Z212" s="92" t="str" cm="1">
        <f t="array" ref="Z212">IF(tblPiNAnalysis[[#This Row],[PiN más alto]]="", "", _xlfn.TEXTJOIN(CHAR(10), TRUE, IF(tblPiNAnalysis[[#This Row],[PiN más alto]]=tblPiNAnalysis[[#This Row],[SAMV]:[ASH]], tblPiNAnalysis[[#Headers],[SAMV]:[ASH]], "")))</f>
        <v>SAMV</v>
      </c>
      <c r="AA212" s="93">
        <f>IF(tblPiNAnalysis[[#This Row],[PiN más alto]]="", "", tblPiNAnalysis[[#This Row],[PiN más alto]]/tblPiNAnalysis[[#This Row],[Población]])</f>
        <v>0.37502729853679845</v>
      </c>
      <c r="AB212" s="94" t="str">
        <f>IF(SUM(tblPiNAnalysis[[#This Row],[SAMV]:[ASH]])=0, "",IF(COUNTIF(tblPiNAnalysis[[#This Row],[SAMV]:[ASH]],"=0")+COUNTIF(tblPiNAnalysis[[#This Row],[SAMV]:[ASH]],"")&gt;=zero_pin_thresh, "Flagged", ""))</f>
        <v/>
      </c>
      <c r="AC212" s="95" t="str">
        <f>IFERROR(IF(tblPiNAnalysis[[#This Row],[PiN más alto]]="", "", IF(tblPiNAnalysis[[#This Row],[% PiN Sectores más altos]]&gt;=flag_pin_perc, "Flagged", "")), "")</f>
        <v/>
      </c>
      <c r="AD212" s="96" t="str" cm="1">
        <f t="array" ref="AD212">IF(tblPiNAnalysis[[#This Row],[PiN más alto]]=0, "",  IF(OR(COUNTIF(tblPiNAnalysis[[#This Row],[Sectores más altos]],tblSubSectorPopulation[Sector])), "Flagged", ""))</f>
        <v/>
      </c>
      <c r="AE212" s="16" cm="1">
        <f t="array" ref="AE21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6685.34</v>
      </c>
      <c r="AF212" s="97" t="str" cm="1">
        <f t="array" ref="AF212">IF(tblPiNAnalysis[[#This Row],[2º PiN más alto]]="", "", _xlfn.TEXTJOIN(CHAR(10), TRUE, IF(tblPiNAnalysis[[#This Row],[2º PiN más alto]]=tblPiNAnalysis[[#This Row],[SAMV]:[ASH]], tblPiNAnalysis[[#Headers],[SAMV]:[ASH]], "")))</f>
        <v>SAL</v>
      </c>
      <c r="AG212" s="12">
        <f>IFERROR(tblPiNAnalysis[[#This Row],[2º PiN más alto]]/tblPiNAnalysis[[#This Row],[Población]], "")</f>
        <v>0.36499999999999999</v>
      </c>
      <c r="AH212" s="16">
        <f>IFERROR(tblPiNAnalysis[[#This Row],[PiN más alto]]-tblPiNAnalysis[[#This Row],[2º PiN más alto]], "")</f>
        <v>183.65999999999985</v>
      </c>
      <c r="AI212" s="14">
        <f>IFERROR(((tblPiNAnalysis[[#This Row],[PiN más alto]]-tblPiNAnalysis[[#This Row],[2º PiN más alto]])/tblPiNAnalysis[[#This Row],[2º PiN más alto]]),"")</f>
        <v>2.7472050785749096E-2</v>
      </c>
      <c r="AJ212" s="14" t="str" cm="1">
        <f t="array" ref="AJ21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212" s="98" cm="1">
        <f t="array" ref="AK21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3666.4087926650827</v>
      </c>
      <c r="AL212" s="53" t="str" cm="1">
        <f t="array" ref="AL212">IF(tblPiNAnalysis[[#This Row],[3º PiN más alto]]="", "", _xlfn.TEXTJOIN(CHAR(10), TRUE, IF(tblPiNAnalysis[[#This Row],[3º PiN más alto]]=tblPiNAnalysis[[#This Row],[SAMV]:[ASH]], tblPiNAnalysis[[#Headers],[SAMV]:[ASH]], "")))</f>
        <v>PRO</v>
      </c>
      <c r="AM212" s="53">
        <f>IFERROR(tblPiNAnalysis[[#This Row],[3º PiN más alto]]/tblPiNAnalysis[[#This Row],[Población]], "")</f>
        <v>0.20017519068929257</v>
      </c>
      <c r="AN212" s="15">
        <f>IFERROR(tblPiNAnalysis[[#This Row],[PiN más alto]]-tblPiNAnalysis[[#This Row],[3º PiN más alto]],"")</f>
        <v>3202.5912073349173</v>
      </c>
      <c r="AO212" s="14">
        <f>IFERROR(tblPiNAnalysis[[#This Row],[Diferencia de PiN entre el más alto y el 3º más alto]]/tblPiNAnalysis[[#This Row],[3º PiN más alto]], "")</f>
        <v>0.87349539793324027</v>
      </c>
      <c r="AP212" s="96" t="str" cm="1">
        <f t="array" ref="AP21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12" s="84" cm="1">
        <f t="array" ref="AQ212">IFERROR(IF(tblPiNAnalysis[[#This Row],[ID]]="", "", INDEX(tblPiNHistorical[[SAMV]:[ASH]], MATCH(tblPiNAnalysis[[#This Row],[ID]],tblPiNHistorical[ID], 0),MATCH(_xlfn._xlws.FILTER(tblPiNAnalysis[[#Headers],[SAMV]:[ASH]], tblPiNAnalysis[[#This Row],[PiN más alto]]=tblPiNAnalysis[[#This Row],[SAMV]:[ASH]]), tblPiNHistorical[[#Headers],[SAMV]:[ASH]], 0))), "")</f>
        <v>0.8</v>
      </c>
      <c r="AR212" s="99" t="str" cm="1">
        <f t="array" ref="AR21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12" s="74" cm="1">
        <f t="array" ref="AS212">IFERROR(IF(tblPiNAnalysis[[#This Row],[ID]]="", "", INDEX(tblPiNHistorical[[SAMV]:[ASH]], MATCH(tblPiNAnalysis[[#This Row],[ID]],tblPiNHistorical[ID], 0),MATCH(_xlfn._xlws.FILTER(tblPiNAnalysis[[#Headers],[SAMV]:[ASH]], tblPiNAnalysis[[#This Row],[2º PiN más alto]]=tblPiNAnalysis[[#This Row],[SAMV]:[ASH]]), tblPiNHistorical[[#Headers],[SAMV]:[ASH]], 0))), "")</f>
        <v>0.4</v>
      </c>
      <c r="AT212" s="100" t="str" cm="1">
        <f t="array" ref="AT21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12" s="219">
        <f>INDEX(tblSeverityAnalysis[Severidad final], MATCH(tblPiNAnalysis[[#This Row],[ID]],tblSeverityAnalysis[ID], 0))</f>
        <v>3</v>
      </c>
      <c r="AV212" s="220">
        <f>IF(tblPiNAnalysis[[#This Row],[Severidad]]&gt;2,tblPiNAnalysis[[#This Row],[PiN más alto]],)</f>
        <v>6869</v>
      </c>
      <c r="AW212" s="54"/>
      <c r="AX212" s="55"/>
      <c r="AY212" s="56">
        <f>COUNTIFS(tblPiNAnalysis[[#This Row],[Número de PiN ausentes/cero superior al umbral - Calidad de los datos]:[Marcador manual]],"Flagged")</f>
        <v>1</v>
      </c>
      <c r="AZ212" s="34" t="str">
        <f>IF(tblPiNAnalysis[[#This Row],[Número de marcadores]]&gt;0, "Flagged", "")</f>
        <v>Flagged</v>
      </c>
      <c r="BA212" s="92">
        <f>tblPiNAnalysis[[#This Row],[PiN preliminar]]</f>
        <v>6869</v>
      </c>
      <c r="BB212" s="97"/>
      <c r="BC212" s="70">
        <f>IFERROR(IF(tblPiNAnalysis[[#This Row],[Severidad]]=3,tblPiNAnalysis[[#This Row],[PiN final]]*Umbrales!$D$33,tblPiNAnalysis[[#This Row],[PiN final]]*Umbrales!$D$34),)</f>
        <v>3434.5</v>
      </c>
      <c r="BD212" s="70">
        <f>IFERROR(IF(tblPiNAnalysis[[#This Row],[Severidad]]&gt;3,tblPiNAnalysis[[#This Row],[PiN final]]*Umbrales!$D$34,),)</f>
        <v>0</v>
      </c>
    </row>
    <row r="213" spans="1:56">
      <c r="A213" s="101" t="str">
        <f>IFERROR(_xlfn.CONCAT(IF(tblPiNAnalysis[[#This Row],[Grupo]]="", "",tblPiNAnalysis[[#This Row],[Grupo]] ),  _xlfn.IFS(tblPiNAnalysis[[#This Row],[Admin2PCODE]]&lt;&gt;"", tblPiNAnalysis[[#This Row],[Admin2PCODE]], tblPiNAnalysis[[#This Row],[Admin1PCODE]]&lt;&gt;"", tblPiNAnalysis[[#This Row],[Admin1PCODE]])),"")</f>
        <v>VenezolanosVE1119</v>
      </c>
      <c r="B213" s="105" t="s">
        <v>316</v>
      </c>
      <c r="C213" s="104" t="s">
        <v>317</v>
      </c>
      <c r="D213" s="119" t="s">
        <v>350</v>
      </c>
      <c r="E213" s="104" t="s">
        <v>351</v>
      </c>
      <c r="F213" s="358"/>
      <c r="G213" s="357">
        <v>11285</v>
      </c>
      <c r="H213" s="103" t="s">
        <v>102</v>
      </c>
      <c r="I213" s="60">
        <v>1504</v>
      </c>
      <c r="J213" s="134">
        <v>305.44893935630103</v>
      </c>
      <c r="K213" s="57">
        <v>4900</v>
      </c>
      <c r="L213" s="87">
        <v>835.38964084982274</v>
      </c>
      <c r="M213" s="87">
        <v>2250.6556695174286</v>
      </c>
      <c r="N213" s="57">
        <v>6771</v>
      </c>
      <c r="O213" s="57">
        <v>720.20981424557715</v>
      </c>
      <c r="P213" s="57">
        <v>787.72948433109991</v>
      </c>
      <c r="Q213" s="88">
        <f>IFERROR(IF(tblPiNAnalysis[[#This Row],[SAMV]]="", "", MROUND(tblPiNAnalysis[[#This Row],[SAMV]]/tblPiNAnalysis[[#This Row],[Población]], 0.05)), "")</f>
        <v>0.15000000000000002</v>
      </c>
      <c r="R213" s="89">
        <f>IFERROR(IF(tblPiNAnalysis[[#This Row],[NUT]]="", "", MROUND(tblPiNAnalysis[[#This Row],[NUT]]/tblPiNAnalysis[[#This Row],[Población]], 0.05)), "")</f>
        <v>0.05</v>
      </c>
      <c r="S213" s="89">
        <f>IFERROR(IF(tblPiNAnalysis[[#This Row],[SAL]]="", "", MROUND(tblPiNAnalysis[[#This Row],[SAL]]/tblPiNAnalysis[[#This Row],[Población]], 0.05)), "")</f>
        <v>0.45</v>
      </c>
      <c r="T213" s="89">
        <f>IFERROR(IF(tblPiNAnalysis[[#This Row],[EDU]]="", "", MROUND(tblPiNAnalysis[[#This Row],[EDU]]/tblPiNAnalysis[[#This Row],[Población]], 0.05)), "")</f>
        <v>0.05</v>
      </c>
      <c r="U213" s="89">
        <f>IFERROR(IF(tblPiNAnalysis[[#This Row],[PRO]]="", "", MROUND(tblPiNAnalysis[[#This Row],[PRO]]/tblPiNAnalysis[[#This Row],[Población]], 0.05)), "")</f>
        <v>0.2</v>
      </c>
      <c r="V213" s="90">
        <f>IFERROR(IF(tblPiNAnalysis[[#This Row],[ASH]]="", "", MROUND(tblPiNAnalysis[[#This Row],[ASH]]/tblPiNAnalysis[[#This Row],[Población]], 0.05)), "")</f>
        <v>0.60000000000000009</v>
      </c>
      <c r="W213" s="89">
        <f>IFERROR(MROUND(tblPiNAnalysis[[#This Row],[NNA]]/tblPiNAnalysis[[#This Row],[Población]], 0.05), "")</f>
        <v>0.05</v>
      </c>
      <c r="X213" s="89">
        <f>IFERROR(MROUND(tblPiNAnalysis[[#This Row],[VBG]]/tblPiNAnalysis[[#This Row],[Población]], 0.05), "")</f>
        <v>0.05</v>
      </c>
      <c r="Y213" s="91">
        <f>IFERROR(LARGE(tblPiNAnalysis[[#This Row],[SAMV]:[ASH]], 1), "")</f>
        <v>6771</v>
      </c>
      <c r="Z213" s="92" t="str" cm="1">
        <f t="array" ref="Z213">IF(tblPiNAnalysis[[#This Row],[PiN más alto]]="", "", _xlfn.TEXTJOIN(CHAR(10), TRUE, IF(tblPiNAnalysis[[#This Row],[PiN más alto]]=tblPiNAnalysis[[#This Row],[SAMV]:[ASH]], tblPiNAnalysis[[#Headers],[SAMV]:[ASH]], "")))</f>
        <v>ASH</v>
      </c>
      <c r="AA213" s="93">
        <f>IF(tblPiNAnalysis[[#This Row],[PiN más alto]]="", "", tblPiNAnalysis[[#This Row],[PiN más alto]]/tblPiNAnalysis[[#This Row],[Población]])</f>
        <v>0.6</v>
      </c>
      <c r="AB213" s="94" t="str">
        <f>IF(SUM(tblPiNAnalysis[[#This Row],[SAMV]:[ASH]])=0, "",IF(COUNTIF(tblPiNAnalysis[[#This Row],[SAMV]:[ASH]],"=0")+COUNTIF(tblPiNAnalysis[[#This Row],[SAMV]:[ASH]],"")&gt;=zero_pin_thresh, "Flagged", ""))</f>
        <v/>
      </c>
      <c r="AC213" s="95" t="str">
        <f>IFERROR(IF(tblPiNAnalysis[[#This Row],[PiN más alto]]="", "", IF(tblPiNAnalysis[[#This Row],[% PiN Sectores más altos]]&gt;=flag_pin_perc, "Flagged", "")), "")</f>
        <v/>
      </c>
      <c r="AD213" s="96" t="str" cm="1">
        <f t="array" ref="AD213">IF(tblPiNAnalysis[[#This Row],[PiN más alto]]=0, "",  IF(OR(COUNTIF(tblPiNAnalysis[[#This Row],[Sectores más altos]],tblSubSectorPopulation[Sector])), "Flagged", ""))</f>
        <v/>
      </c>
      <c r="AE213" s="16" cm="1">
        <f t="array" ref="AE21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4900</v>
      </c>
      <c r="AF213" s="97" t="str" cm="1">
        <f t="array" ref="AF213">IF(tblPiNAnalysis[[#This Row],[2º PiN más alto]]="", "", _xlfn.TEXTJOIN(CHAR(10), TRUE, IF(tblPiNAnalysis[[#This Row],[2º PiN más alto]]=tblPiNAnalysis[[#This Row],[SAMV]:[ASH]], tblPiNAnalysis[[#Headers],[SAMV]:[ASH]], "")))</f>
        <v>SAL</v>
      </c>
      <c r="AG213" s="12">
        <f>IFERROR(tblPiNAnalysis[[#This Row],[2º PiN más alto]]/tblPiNAnalysis[[#This Row],[Población]], "")</f>
        <v>0.43420469649977844</v>
      </c>
      <c r="AH213" s="16">
        <f>IFERROR(tblPiNAnalysis[[#This Row],[PiN más alto]]-tblPiNAnalysis[[#This Row],[2º PiN más alto]], "")</f>
        <v>1871</v>
      </c>
      <c r="AI213" s="14">
        <f>IFERROR(((tblPiNAnalysis[[#This Row],[PiN más alto]]-tblPiNAnalysis[[#This Row],[2º PiN más alto]])/tblPiNAnalysis[[#This Row],[2º PiN más alto]]),"")</f>
        <v>0.38183673469387758</v>
      </c>
      <c r="AJ213" s="14" t="str" cm="1">
        <f t="array" ref="AJ21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13" s="98" cm="1">
        <f t="array" ref="AK21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2250.6556695174286</v>
      </c>
      <c r="AL213" s="53" t="str" cm="1">
        <f t="array" ref="AL213">IF(tblPiNAnalysis[[#This Row],[3º PiN más alto]]="", "", _xlfn.TEXTJOIN(CHAR(10), TRUE, IF(tblPiNAnalysis[[#This Row],[3º PiN más alto]]=tblPiNAnalysis[[#This Row],[SAMV]:[ASH]], tblPiNAnalysis[[#Headers],[SAMV]:[ASH]], "")))</f>
        <v>PRO</v>
      </c>
      <c r="AM213" s="53">
        <f>IFERROR(tblPiNAnalysis[[#This Row],[3º PiN más alto]]/tblPiNAnalysis[[#This Row],[Población]], "")</f>
        <v>0.19943780855271853</v>
      </c>
      <c r="AN213" s="15">
        <f>IFERROR(tblPiNAnalysis[[#This Row],[PiN más alto]]-tblPiNAnalysis[[#This Row],[3º PiN más alto]],"")</f>
        <v>4520.3443304825714</v>
      </c>
      <c r="AO213" s="14">
        <f>IFERROR(tblPiNAnalysis[[#This Row],[Diferencia de PiN entre el más alto y el 3º más alto]]/tblPiNAnalysis[[#This Row],[3º PiN más alto]], "")</f>
        <v>2.0084566429709771</v>
      </c>
      <c r="AP213" s="96" t="str" cm="1">
        <f t="array" ref="AP21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13" s="84" cm="1">
        <f t="array" ref="AQ213">IFERROR(IF(tblPiNAnalysis[[#This Row],[ID]]="", "", INDEX(tblPiNHistorical[[SAMV]:[ASH]], MATCH(tblPiNAnalysis[[#This Row],[ID]],tblPiNHistorical[ID], 0),MATCH(_xlfn._xlws.FILTER(tblPiNAnalysis[[#Headers],[SAMV]:[ASH]], tblPiNAnalysis[[#This Row],[PiN más alto]]=tblPiNAnalysis[[#This Row],[SAMV]:[ASH]]), tblPiNHistorical[[#Headers],[SAMV]:[ASH]], 0))), "")</f>
        <v>2.2000000000000002</v>
      </c>
      <c r="AR213" s="99" t="str" cm="1">
        <f t="array" ref="AR21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13" s="74" cm="1">
        <f t="array" ref="AS213">IFERROR(IF(tblPiNAnalysis[[#This Row],[ID]]="", "", INDEX(tblPiNHistorical[[SAMV]:[ASH]], MATCH(tblPiNAnalysis[[#This Row],[ID]],tblPiNHistorical[ID], 0),MATCH(_xlfn._xlws.FILTER(tblPiNAnalysis[[#Headers],[SAMV]:[ASH]], tblPiNAnalysis[[#This Row],[2º PiN más alto]]=tblPiNAnalysis[[#This Row],[SAMV]:[ASH]]), tblPiNHistorical[[#Headers],[SAMV]:[ASH]], 0))), "")</f>
        <v>2.9</v>
      </c>
      <c r="AT213" s="100" t="str" cm="1">
        <f t="array" ref="AT21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13" s="219">
        <f>INDEX(tblSeverityAnalysis[Severidad final], MATCH(tblPiNAnalysis[[#This Row],[ID]],tblSeverityAnalysis[ID], 0))</f>
        <v>3</v>
      </c>
      <c r="AV213" s="220">
        <f>IF(tblPiNAnalysis[[#This Row],[Severidad]]&gt;2,tblPiNAnalysis[[#This Row],[PiN más alto]],)</f>
        <v>6771</v>
      </c>
      <c r="AW213" s="54"/>
      <c r="AX213" s="55"/>
      <c r="AY213" s="56">
        <f>COUNTIFS(tblPiNAnalysis[[#This Row],[Número de PiN ausentes/cero superior al umbral - Calidad de los datos]:[Marcador manual]],"Flagged")</f>
        <v>4</v>
      </c>
      <c r="AZ213" s="34" t="str">
        <f>IF(tblPiNAnalysis[[#This Row],[Número de marcadores]]&gt;0, "Flagged", "")</f>
        <v>Flagged</v>
      </c>
      <c r="BA213" s="92">
        <f>tblPiNAnalysis[[#This Row],[PiN preliminar]]</f>
        <v>6771</v>
      </c>
      <c r="BB213" s="97"/>
      <c r="BC213" s="70">
        <f>IFERROR(IF(tblPiNAnalysis[[#This Row],[Severidad]]=3,tblPiNAnalysis[[#This Row],[PiN final]]*Umbrales!$D$33,tblPiNAnalysis[[#This Row],[PiN final]]*Umbrales!$D$34),)</f>
        <v>3385.5</v>
      </c>
      <c r="BD213" s="70">
        <f>IFERROR(IF(tblPiNAnalysis[[#This Row],[Severidad]]&gt;3,tblPiNAnalysis[[#This Row],[PiN final]]*Umbrales!$D$34,),)</f>
        <v>0</v>
      </c>
    </row>
    <row r="214" spans="1:56">
      <c r="A214" s="101" t="str">
        <f>IFERROR(_xlfn.CONCAT(IF(tblPiNAnalysis[[#This Row],[Grupo]]="", "",tblPiNAnalysis[[#This Row],[Grupo]] ),  _xlfn.IFS(tblPiNAnalysis[[#This Row],[Admin2PCODE]]&lt;&gt;"", tblPiNAnalysis[[#This Row],[Admin2PCODE]], tblPiNAnalysis[[#This Row],[Admin1PCODE]]&lt;&gt;"", tblPiNAnalysis[[#This Row],[Admin1PCODE]])),"")</f>
        <v>VenezolanosVE2207</v>
      </c>
      <c r="B214" s="105" t="s">
        <v>678</v>
      </c>
      <c r="C214" s="104" t="s">
        <v>679</v>
      </c>
      <c r="D214" s="119" t="s">
        <v>690</v>
      </c>
      <c r="E214" s="104" t="s">
        <v>691</v>
      </c>
      <c r="F214" s="358"/>
      <c r="G214" s="357">
        <v>17586</v>
      </c>
      <c r="H214" s="103" t="s">
        <v>102</v>
      </c>
      <c r="I214" s="60">
        <v>3908</v>
      </c>
      <c r="J214" s="134">
        <v>978.79765969788377</v>
      </c>
      <c r="K214" s="57">
        <v>6418.89</v>
      </c>
      <c r="L214" s="87">
        <v>1504.7730863603952</v>
      </c>
      <c r="M214" s="87">
        <v>3495.846998505845</v>
      </c>
      <c r="N214" s="57">
        <v>0</v>
      </c>
      <c r="O214" s="57">
        <v>1122.1668865203762</v>
      </c>
      <c r="P214" s="57">
        <v>1223.5464494770456</v>
      </c>
      <c r="Q214" s="88">
        <f>IFERROR(IF(tblPiNAnalysis[[#This Row],[SAMV]]="", "", MROUND(tblPiNAnalysis[[#This Row],[SAMV]]/tblPiNAnalysis[[#This Row],[Población]], 0.05)), "")</f>
        <v>0.2</v>
      </c>
      <c r="R214" s="89">
        <f>IFERROR(IF(tblPiNAnalysis[[#This Row],[NUT]]="", "", MROUND(tblPiNAnalysis[[#This Row],[NUT]]/tblPiNAnalysis[[#This Row],[Población]], 0.05)), "")</f>
        <v>0.05</v>
      </c>
      <c r="S214" s="89">
        <f>IFERROR(IF(tblPiNAnalysis[[#This Row],[SAL]]="", "", MROUND(tblPiNAnalysis[[#This Row],[SAL]]/tblPiNAnalysis[[#This Row],[Población]], 0.05)), "")</f>
        <v>0.35000000000000003</v>
      </c>
      <c r="T214" s="89">
        <f>IFERROR(IF(tblPiNAnalysis[[#This Row],[EDU]]="", "", MROUND(tblPiNAnalysis[[#This Row],[EDU]]/tblPiNAnalysis[[#This Row],[Población]], 0.05)), "")</f>
        <v>0.1</v>
      </c>
      <c r="U214" s="89">
        <f>IFERROR(IF(tblPiNAnalysis[[#This Row],[PRO]]="", "", MROUND(tblPiNAnalysis[[#This Row],[PRO]]/tblPiNAnalysis[[#This Row],[Población]], 0.05)), "")</f>
        <v>0.2</v>
      </c>
      <c r="V214" s="90">
        <f>IFERROR(IF(tblPiNAnalysis[[#This Row],[ASH]]="", "", MROUND(tblPiNAnalysis[[#This Row],[ASH]]/tblPiNAnalysis[[#This Row],[Población]], 0.05)), "")</f>
        <v>0</v>
      </c>
      <c r="W214" s="89">
        <f>IFERROR(MROUND(tblPiNAnalysis[[#This Row],[NNA]]/tblPiNAnalysis[[#This Row],[Población]], 0.05), "")</f>
        <v>0.05</v>
      </c>
      <c r="X214" s="89">
        <f>IFERROR(MROUND(tblPiNAnalysis[[#This Row],[VBG]]/tblPiNAnalysis[[#This Row],[Población]], 0.05), "")</f>
        <v>0.05</v>
      </c>
      <c r="Y214" s="91">
        <f>IFERROR(LARGE(tblPiNAnalysis[[#This Row],[SAMV]:[ASH]], 1), "")</f>
        <v>6418.89</v>
      </c>
      <c r="Z214" s="92" t="str" cm="1">
        <f t="array" ref="Z214">IF(tblPiNAnalysis[[#This Row],[PiN más alto]]="", "", _xlfn.TEXTJOIN(CHAR(10), TRUE, IF(tblPiNAnalysis[[#This Row],[PiN más alto]]=tblPiNAnalysis[[#This Row],[SAMV]:[ASH]], tblPiNAnalysis[[#Headers],[SAMV]:[ASH]], "")))</f>
        <v>SAL</v>
      </c>
      <c r="AA214" s="93">
        <f>IF(tblPiNAnalysis[[#This Row],[PiN más alto]]="", "", tblPiNAnalysis[[#This Row],[PiN más alto]]/tblPiNAnalysis[[#This Row],[Población]])</f>
        <v>0.36499999999999999</v>
      </c>
      <c r="AB214" s="94" t="str">
        <f>IF(SUM(tblPiNAnalysis[[#This Row],[SAMV]:[ASH]])=0, "",IF(COUNTIF(tblPiNAnalysis[[#This Row],[SAMV]:[ASH]],"=0")+COUNTIF(tblPiNAnalysis[[#This Row],[SAMV]:[ASH]],"")&gt;=zero_pin_thresh, "Flagged", ""))</f>
        <v/>
      </c>
      <c r="AC214" s="95" t="str">
        <f>IFERROR(IF(tblPiNAnalysis[[#This Row],[PiN más alto]]="", "", IF(tblPiNAnalysis[[#This Row],[% PiN Sectores más altos]]&gt;=flag_pin_perc, "Flagged", "")), "")</f>
        <v/>
      </c>
      <c r="AD214" s="96" t="str" cm="1">
        <f t="array" ref="AD214">IF(tblPiNAnalysis[[#This Row],[PiN más alto]]=0, "",  IF(OR(COUNTIF(tblPiNAnalysis[[#This Row],[Sectores más altos]],tblSubSectorPopulation[Sector])), "Flagged", ""))</f>
        <v/>
      </c>
      <c r="AE214" s="16" cm="1">
        <f t="array" ref="AE21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3908</v>
      </c>
      <c r="AF214" s="97" t="str" cm="1">
        <f t="array" ref="AF214">IF(tblPiNAnalysis[[#This Row],[2º PiN más alto]]="", "", _xlfn.TEXTJOIN(CHAR(10), TRUE, IF(tblPiNAnalysis[[#This Row],[2º PiN más alto]]=tblPiNAnalysis[[#This Row],[SAMV]:[ASH]], tblPiNAnalysis[[#Headers],[SAMV]:[ASH]], "")))</f>
        <v>SAMV</v>
      </c>
      <c r="AG214" s="12">
        <f>IFERROR(tblPiNAnalysis[[#This Row],[2º PiN más alto]]/tblPiNAnalysis[[#This Row],[Población]], "")</f>
        <v>0.22222222222222221</v>
      </c>
      <c r="AH214" s="16">
        <f>IFERROR(tblPiNAnalysis[[#This Row],[PiN más alto]]-tblPiNAnalysis[[#This Row],[2º PiN más alto]], "")</f>
        <v>2510.8900000000003</v>
      </c>
      <c r="AI214" s="14">
        <f>IFERROR(((tblPiNAnalysis[[#This Row],[PiN más alto]]-tblPiNAnalysis[[#This Row],[2º PiN más alto]])/tblPiNAnalysis[[#This Row],[2º PiN más alto]]),"")</f>
        <v>0.64250000000000007</v>
      </c>
      <c r="AJ214" s="14" t="str" cm="1">
        <f t="array" ref="AJ21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14" s="98" cm="1">
        <f t="array" ref="AK21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3495.846998505845</v>
      </c>
      <c r="AL214" s="53" t="str" cm="1">
        <f t="array" ref="AL214">IF(tblPiNAnalysis[[#This Row],[3º PiN más alto]]="", "", _xlfn.TEXTJOIN(CHAR(10), TRUE, IF(tblPiNAnalysis[[#This Row],[3º PiN más alto]]=tblPiNAnalysis[[#This Row],[SAMV]:[ASH]], tblPiNAnalysis[[#Headers],[SAMV]:[ASH]], "")))</f>
        <v>PRO</v>
      </c>
      <c r="AM214" s="53">
        <f>IFERROR(tblPiNAnalysis[[#This Row],[3º PiN más alto]]/tblPiNAnalysis[[#This Row],[Población]], "")</f>
        <v>0.19878579543420022</v>
      </c>
      <c r="AN214" s="15">
        <f>IFERROR(tblPiNAnalysis[[#This Row],[PiN más alto]]-tblPiNAnalysis[[#This Row],[3º PiN más alto]],"")</f>
        <v>2923.0430014941553</v>
      </c>
      <c r="AO214" s="14">
        <f>IFERROR(tblPiNAnalysis[[#This Row],[Diferencia de PiN entre el más alto y el 3º más alto]]/tblPiNAnalysis[[#This Row],[3º PiN más alto]], "")</f>
        <v>0.83614729212791317</v>
      </c>
      <c r="AP214" s="96" t="str" cm="1">
        <f t="array" ref="AP21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14" s="84" cm="1">
        <f t="array" ref="AQ214">IFERROR(IF(tblPiNAnalysis[[#This Row],[ID]]="", "", INDEX(tblPiNHistorical[[SAMV]:[ASH]], MATCH(tblPiNAnalysis[[#This Row],[ID]],tblPiNHistorical[ID], 0),MATCH(_xlfn._xlws.FILTER(tblPiNAnalysis[[#Headers],[SAMV]:[ASH]], tblPiNAnalysis[[#This Row],[PiN más alto]]=tblPiNAnalysis[[#This Row],[SAMV]:[ASH]]), tblPiNHistorical[[#Headers],[SAMV]:[ASH]], 0))), "")</f>
        <v>-0.7</v>
      </c>
      <c r="AR214" s="99" t="str" cm="1">
        <f t="array" ref="AR21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14" s="74" t="str" cm="1">
        <f t="array" ref="AS214">IFERROR(IF(tblPiNAnalysis[[#This Row],[ID]]="", "", INDEX(tblPiNHistorical[[SAMV]:[ASH]], MATCH(tblPiNAnalysis[[#This Row],[ID]],tblPiNHistorical[ID], 0),MATCH(_xlfn._xlws.FILTER(tblPiNAnalysis[[#Headers],[SAMV]:[ASH]], tblPiNAnalysis[[#This Row],[2º PiN más alto]]=tblPiNAnalysis[[#This Row],[SAMV]:[ASH]]), tblPiNHistorical[[#Headers],[SAMV]:[ASH]], 0))), "")</f>
        <v>NoPIN26 2646</v>
      </c>
      <c r="AT214" s="100" t="str" cm="1">
        <f t="array" ref="AT21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14" s="219">
        <f>INDEX(tblSeverityAnalysis[Severidad final], MATCH(tblPiNAnalysis[[#This Row],[ID]],tblSeverityAnalysis[ID], 0))</f>
        <v>3</v>
      </c>
      <c r="AV214" s="220">
        <f>IF(tblPiNAnalysis[[#This Row],[Severidad]]&gt;2,tblPiNAnalysis[[#This Row],[PiN más alto]],)</f>
        <v>6418.89</v>
      </c>
      <c r="AW214" s="54"/>
      <c r="AX214" s="55"/>
      <c r="AY214" s="56">
        <f>COUNTIFS(tblPiNAnalysis[[#This Row],[Número de PiN ausentes/cero superior al umbral - Calidad de los datos]:[Marcador manual]],"Flagged")</f>
        <v>2</v>
      </c>
      <c r="AZ214" s="34" t="str">
        <f>IF(tblPiNAnalysis[[#This Row],[Número de marcadores]]&gt;0, "Flagged", "")</f>
        <v>Flagged</v>
      </c>
      <c r="BA214" s="92">
        <f>tblPiNAnalysis[[#This Row],[PiN preliminar]]</f>
        <v>6418.89</v>
      </c>
      <c r="BB214" s="97"/>
      <c r="BC214" s="70">
        <f>IFERROR(IF(tblPiNAnalysis[[#This Row],[Severidad]]=3,tblPiNAnalysis[[#This Row],[PiN final]]*Umbrales!$D$33,tblPiNAnalysis[[#This Row],[PiN final]]*Umbrales!$D$34),)</f>
        <v>3209.4450000000002</v>
      </c>
      <c r="BD214" s="70">
        <f>IFERROR(IF(tblPiNAnalysis[[#This Row],[Severidad]]&gt;3,tblPiNAnalysis[[#This Row],[PiN final]]*Umbrales!$D$34,),)</f>
        <v>0</v>
      </c>
    </row>
    <row r="215" spans="1:56">
      <c r="A215" s="101" t="str">
        <f>IFERROR(_xlfn.CONCAT(IF(tblPiNAnalysis[[#This Row],[Grupo]]="", "",tblPiNAnalysis[[#This Row],[Grupo]] ),  _xlfn.IFS(tblPiNAnalysis[[#This Row],[Admin2PCODE]]&lt;&gt;"", tblPiNAnalysis[[#This Row],[Admin2PCODE]], tblPiNAnalysis[[#This Row],[Admin1PCODE]]&lt;&gt;"", tblPiNAnalysis[[#This Row],[Admin1PCODE]])),"")</f>
        <v>VenezolanosVE0320</v>
      </c>
      <c r="B215" s="105" t="s">
        <v>119</v>
      </c>
      <c r="C215" s="104" t="s">
        <v>120</v>
      </c>
      <c r="D215" s="119" t="s">
        <v>822</v>
      </c>
      <c r="E215" s="104" t="s">
        <v>160</v>
      </c>
      <c r="F215" s="358"/>
      <c r="G215" s="357">
        <v>9989</v>
      </c>
      <c r="H215" s="103" t="s">
        <v>102</v>
      </c>
      <c r="I215" s="60">
        <v>0</v>
      </c>
      <c r="J215" s="134">
        <v>307.67428776412777</v>
      </c>
      <c r="K215" s="57">
        <v>3645.9850000000001</v>
      </c>
      <c r="L215" s="87">
        <v>849.29883177073134</v>
      </c>
      <c r="M215" s="87">
        <v>1192.0841614712594</v>
      </c>
      <c r="N215" s="57">
        <v>5993.4</v>
      </c>
      <c r="O215" s="57">
        <v>381.46693167080304</v>
      </c>
      <c r="P215" s="57">
        <v>417.22945651494075</v>
      </c>
      <c r="Q215" s="88">
        <f>IFERROR(IF(tblPiNAnalysis[[#This Row],[SAMV]]="", "", MROUND(tblPiNAnalysis[[#This Row],[SAMV]]/tblPiNAnalysis[[#This Row],[Población]], 0.05)), "")</f>
        <v>0</v>
      </c>
      <c r="R215" s="89">
        <f>IFERROR(IF(tblPiNAnalysis[[#This Row],[NUT]]="", "", MROUND(tblPiNAnalysis[[#This Row],[NUT]]/tblPiNAnalysis[[#This Row],[Población]], 0.05)), "")</f>
        <v>0.05</v>
      </c>
      <c r="S215" s="89">
        <f>IFERROR(IF(tblPiNAnalysis[[#This Row],[SAL]]="", "", MROUND(tblPiNAnalysis[[#This Row],[SAL]]/tblPiNAnalysis[[#This Row],[Población]], 0.05)), "")</f>
        <v>0.35000000000000003</v>
      </c>
      <c r="T215" s="89">
        <f>IFERROR(IF(tblPiNAnalysis[[#This Row],[EDU]]="", "", MROUND(tblPiNAnalysis[[#This Row],[EDU]]/tblPiNAnalysis[[#This Row],[Población]], 0.05)), "")</f>
        <v>0.1</v>
      </c>
      <c r="U215" s="89">
        <f>IFERROR(IF(tblPiNAnalysis[[#This Row],[PRO]]="", "", MROUND(tblPiNAnalysis[[#This Row],[PRO]]/tblPiNAnalysis[[#This Row],[Población]], 0.05)), "")</f>
        <v>0.1</v>
      </c>
      <c r="V215" s="90">
        <f>IFERROR(IF(tblPiNAnalysis[[#This Row],[ASH]]="", "", MROUND(tblPiNAnalysis[[#This Row],[ASH]]/tblPiNAnalysis[[#This Row],[Población]], 0.05)), "")</f>
        <v>0.60000000000000009</v>
      </c>
      <c r="W215" s="89">
        <f>IFERROR(MROUND(tblPiNAnalysis[[#This Row],[NNA]]/tblPiNAnalysis[[#This Row],[Población]], 0.05), "")</f>
        <v>0.05</v>
      </c>
      <c r="X215" s="89">
        <f>IFERROR(MROUND(tblPiNAnalysis[[#This Row],[VBG]]/tblPiNAnalysis[[#This Row],[Población]], 0.05), "")</f>
        <v>0.05</v>
      </c>
      <c r="Y215" s="91">
        <f>IFERROR(LARGE(tblPiNAnalysis[[#This Row],[SAMV]:[ASH]], 1), "")</f>
        <v>5993.4</v>
      </c>
      <c r="Z215" s="92" t="str" cm="1">
        <f t="array" ref="Z215">IF(tblPiNAnalysis[[#This Row],[PiN más alto]]="", "", _xlfn.TEXTJOIN(CHAR(10), TRUE, IF(tblPiNAnalysis[[#This Row],[PiN más alto]]=tblPiNAnalysis[[#This Row],[SAMV]:[ASH]], tblPiNAnalysis[[#Headers],[SAMV]:[ASH]], "")))</f>
        <v>ASH</v>
      </c>
      <c r="AA215" s="93">
        <f>IF(tblPiNAnalysis[[#This Row],[PiN más alto]]="", "", tblPiNAnalysis[[#This Row],[PiN más alto]]/tblPiNAnalysis[[#This Row],[Población]])</f>
        <v>0.6</v>
      </c>
      <c r="AB215" s="94" t="str">
        <f>IF(SUM(tblPiNAnalysis[[#This Row],[SAMV]:[ASH]])=0, "",IF(COUNTIF(tblPiNAnalysis[[#This Row],[SAMV]:[ASH]],"=0")+COUNTIF(tblPiNAnalysis[[#This Row],[SAMV]:[ASH]],"")&gt;=zero_pin_thresh, "Flagged", ""))</f>
        <v/>
      </c>
      <c r="AC215" s="95" t="str">
        <f>IFERROR(IF(tblPiNAnalysis[[#This Row],[PiN más alto]]="", "", IF(tblPiNAnalysis[[#This Row],[% PiN Sectores más altos]]&gt;=flag_pin_perc, "Flagged", "")), "")</f>
        <v/>
      </c>
      <c r="AD215" s="96" t="str" cm="1">
        <f t="array" ref="AD215">IF(tblPiNAnalysis[[#This Row],[PiN más alto]]=0, "",  IF(OR(COUNTIF(tblPiNAnalysis[[#This Row],[Sectores más altos]],tblSubSectorPopulation[Sector])), "Flagged", ""))</f>
        <v/>
      </c>
      <c r="AE215" s="16" cm="1">
        <f t="array" ref="AE21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3645.9850000000001</v>
      </c>
      <c r="AF215" s="97" t="str" cm="1">
        <f t="array" ref="AF215">IF(tblPiNAnalysis[[#This Row],[2º PiN más alto]]="", "", _xlfn.TEXTJOIN(CHAR(10), TRUE, IF(tblPiNAnalysis[[#This Row],[2º PiN más alto]]=tblPiNAnalysis[[#This Row],[SAMV]:[ASH]], tblPiNAnalysis[[#Headers],[SAMV]:[ASH]], "")))</f>
        <v>SAL</v>
      </c>
      <c r="AG215" s="12">
        <f>IFERROR(tblPiNAnalysis[[#This Row],[2º PiN más alto]]/tblPiNAnalysis[[#This Row],[Población]], "")</f>
        <v>0.36499999999999999</v>
      </c>
      <c r="AH215" s="16">
        <f>IFERROR(tblPiNAnalysis[[#This Row],[PiN más alto]]-tblPiNAnalysis[[#This Row],[2º PiN más alto]], "")</f>
        <v>2347.4149999999995</v>
      </c>
      <c r="AI215" s="14">
        <f>IFERROR(((tblPiNAnalysis[[#This Row],[PiN más alto]]-tblPiNAnalysis[[#This Row],[2º PiN más alto]])/tblPiNAnalysis[[#This Row],[2º PiN más alto]]),"")</f>
        <v>0.64383561643835596</v>
      </c>
      <c r="AJ215" s="14" t="str" cm="1">
        <f t="array" ref="AJ21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15" s="98" cm="1">
        <f t="array" ref="AK21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1192.0841614712594</v>
      </c>
      <c r="AL215" s="53" t="str" cm="1">
        <f t="array" ref="AL215">IF(tblPiNAnalysis[[#This Row],[3º PiN más alto]]="", "", _xlfn.TEXTJOIN(CHAR(10), TRUE, IF(tblPiNAnalysis[[#This Row],[3º PiN más alto]]=tblPiNAnalysis[[#This Row],[SAMV]:[ASH]], tblPiNAnalysis[[#Headers],[SAMV]:[ASH]], "")))</f>
        <v>PRO</v>
      </c>
      <c r="AM215" s="53">
        <f>IFERROR(tblPiNAnalysis[[#This Row],[3º PiN más alto]]/tblPiNAnalysis[[#This Row],[Población]], "")</f>
        <v>0.11933968980591245</v>
      </c>
      <c r="AN215" s="15">
        <f>IFERROR(tblPiNAnalysis[[#This Row],[PiN más alto]]-tblPiNAnalysis[[#This Row],[3º PiN más alto]],"")</f>
        <v>4801.3158385287406</v>
      </c>
      <c r="AO215" s="14">
        <f>IFERROR(tblPiNAnalysis[[#This Row],[Diferencia de PiN entre el más alto y el 3º más alto]]/tblPiNAnalysis[[#This Row],[3º PiN más alto]], "")</f>
        <v>4.0276651546171038</v>
      </c>
      <c r="AP215" s="96" t="str" cm="1">
        <f t="array" ref="AP21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15" s="84" cm="1">
        <f t="array" ref="AQ215">IFERROR(IF(tblPiNAnalysis[[#This Row],[ID]]="", "", INDEX(tblPiNHistorical[[SAMV]:[ASH]], MATCH(tblPiNAnalysis[[#This Row],[ID]],tblPiNHistorical[ID], 0),MATCH(_xlfn._xlws.FILTER(tblPiNAnalysis[[#Headers],[SAMV]:[ASH]], tblPiNAnalysis[[#This Row],[PiN más alto]]=tblPiNAnalysis[[#This Row],[SAMV]:[ASH]]), tblPiNHistorical[[#Headers],[SAMV]:[ASH]], 0))), "")</f>
        <v>13.3</v>
      </c>
      <c r="AR215" s="99" t="str" cm="1">
        <f t="array" ref="AR21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15" s="74" cm="1">
        <f t="array" ref="AS215">IFERROR(IF(tblPiNAnalysis[[#This Row],[ID]]="", "", INDEX(tblPiNHistorical[[SAMV]:[ASH]], MATCH(tblPiNAnalysis[[#This Row],[ID]],tblPiNHistorical[ID], 0),MATCH(_xlfn._xlws.FILTER(tblPiNAnalysis[[#Headers],[SAMV]:[ASH]], tblPiNAnalysis[[#This Row],[2º PiN más alto]]=tblPiNAnalysis[[#This Row],[SAMV]:[ASH]]), tblPiNHistorical[[#Headers],[SAMV]:[ASH]], 0))), "")</f>
        <v>21.2</v>
      </c>
      <c r="AT215" s="100" t="str" cm="1">
        <f t="array" ref="AT21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15" s="219">
        <f>INDEX(tblSeverityAnalysis[Severidad final], MATCH(tblPiNAnalysis[[#This Row],[ID]],tblSeverityAnalysis[ID], 0))</f>
        <v>3</v>
      </c>
      <c r="AV215" s="220">
        <f>IF(tblPiNAnalysis[[#This Row],[Severidad]]&gt;2,tblPiNAnalysis[[#This Row],[PiN más alto]],)</f>
        <v>5993.4</v>
      </c>
      <c r="AW215" s="54"/>
      <c r="AX215" s="55"/>
      <c r="AY215" s="56">
        <f>COUNTIFS(tblPiNAnalysis[[#This Row],[Número de PiN ausentes/cero superior al umbral - Calidad de los datos]:[Marcador manual]],"Flagged")</f>
        <v>4</v>
      </c>
      <c r="AZ215" s="34" t="str">
        <f>IF(tblPiNAnalysis[[#This Row],[Número de marcadores]]&gt;0, "Flagged", "")</f>
        <v>Flagged</v>
      </c>
      <c r="BA215" s="92">
        <f>tblPiNAnalysis[[#This Row],[PiN preliminar]]</f>
        <v>5993.4</v>
      </c>
      <c r="BB215" s="97"/>
      <c r="BC215" s="70">
        <f>IFERROR(IF(tblPiNAnalysis[[#This Row],[Severidad]]=3,tblPiNAnalysis[[#This Row],[PiN final]]*Umbrales!$D$33,tblPiNAnalysis[[#This Row],[PiN final]]*Umbrales!$D$34),)</f>
        <v>2996.7</v>
      </c>
      <c r="BD215" s="70">
        <f>IFERROR(IF(tblPiNAnalysis[[#This Row],[Severidad]]&gt;3,tblPiNAnalysis[[#This Row],[PiN final]]*Umbrales!$D$34,),)</f>
        <v>0</v>
      </c>
    </row>
    <row r="216" spans="1:56">
      <c r="A216" s="101" t="str">
        <f>IFERROR(_xlfn.CONCAT(IF(tblPiNAnalysis[[#This Row],[Grupo]]="", "",tblPiNAnalysis[[#This Row],[Grupo]] ),  _xlfn.IFS(tblPiNAnalysis[[#This Row],[Admin2PCODE]]&lt;&gt;"", tblPiNAnalysis[[#This Row],[Admin2PCODE]], tblPiNAnalysis[[#This Row],[Admin1PCODE]]&lt;&gt;"", tblPiNAnalysis[[#This Row],[Admin1PCODE]])),"")</f>
        <v>VenezolanosVE0317</v>
      </c>
      <c r="B216" s="105" t="s">
        <v>119</v>
      </c>
      <c r="C216" s="104" t="s">
        <v>120</v>
      </c>
      <c r="D216" s="119" t="s">
        <v>153</v>
      </c>
      <c r="E216" s="104" t="s">
        <v>154</v>
      </c>
      <c r="F216" s="358"/>
      <c r="G216" s="357">
        <v>9843</v>
      </c>
      <c r="H216" s="103" t="s">
        <v>102</v>
      </c>
      <c r="I216" s="60">
        <v>2691</v>
      </c>
      <c r="J216" s="134">
        <v>289.39969787671231</v>
      </c>
      <c r="K216" s="57">
        <v>3592.6950000000002</v>
      </c>
      <c r="L216" s="87">
        <v>1239.8085489569057</v>
      </c>
      <c r="M216" s="87">
        <v>1174.6605667595963</v>
      </c>
      <c r="N216" s="57">
        <v>5905.8</v>
      </c>
      <c r="O216" s="57">
        <v>377.06604192983042</v>
      </c>
      <c r="P216" s="57">
        <v>411.13119836585867</v>
      </c>
      <c r="Q216" s="88">
        <f>IFERROR(IF(tblPiNAnalysis[[#This Row],[SAMV]]="", "", MROUND(tblPiNAnalysis[[#This Row],[SAMV]]/tblPiNAnalysis[[#This Row],[Población]], 0.05)), "")</f>
        <v>0.25</v>
      </c>
      <c r="R216" s="89">
        <f>IFERROR(IF(tblPiNAnalysis[[#This Row],[NUT]]="", "", MROUND(tblPiNAnalysis[[#This Row],[NUT]]/tblPiNAnalysis[[#This Row],[Población]], 0.05)), "")</f>
        <v>0.05</v>
      </c>
      <c r="S216" s="89">
        <f>IFERROR(IF(tblPiNAnalysis[[#This Row],[SAL]]="", "", MROUND(tblPiNAnalysis[[#This Row],[SAL]]/tblPiNAnalysis[[#This Row],[Población]], 0.05)), "")</f>
        <v>0.35000000000000003</v>
      </c>
      <c r="T216" s="89">
        <f>IFERROR(IF(tblPiNAnalysis[[#This Row],[EDU]]="", "", MROUND(tblPiNAnalysis[[#This Row],[EDU]]/tblPiNAnalysis[[#This Row],[Población]], 0.05)), "")</f>
        <v>0.15000000000000002</v>
      </c>
      <c r="U216" s="89">
        <f>IFERROR(IF(tblPiNAnalysis[[#This Row],[PRO]]="", "", MROUND(tblPiNAnalysis[[#This Row],[PRO]]/tblPiNAnalysis[[#This Row],[Población]], 0.05)), "")</f>
        <v>0.1</v>
      </c>
      <c r="V216" s="90">
        <f>IFERROR(IF(tblPiNAnalysis[[#This Row],[ASH]]="", "", MROUND(tblPiNAnalysis[[#This Row],[ASH]]/tblPiNAnalysis[[#This Row],[Población]], 0.05)), "")</f>
        <v>0.60000000000000009</v>
      </c>
      <c r="W216" s="89">
        <f>IFERROR(MROUND(tblPiNAnalysis[[#This Row],[NNA]]/tblPiNAnalysis[[#This Row],[Población]], 0.05), "")</f>
        <v>0.05</v>
      </c>
      <c r="X216" s="89">
        <f>IFERROR(MROUND(tblPiNAnalysis[[#This Row],[VBG]]/tblPiNAnalysis[[#This Row],[Población]], 0.05), "")</f>
        <v>0.05</v>
      </c>
      <c r="Y216" s="91">
        <f>IFERROR(LARGE(tblPiNAnalysis[[#This Row],[SAMV]:[ASH]], 1), "")</f>
        <v>5905.8</v>
      </c>
      <c r="Z216" s="92" t="str" cm="1">
        <f t="array" ref="Z216">IF(tblPiNAnalysis[[#This Row],[PiN más alto]]="", "", _xlfn.TEXTJOIN(CHAR(10), TRUE, IF(tblPiNAnalysis[[#This Row],[PiN más alto]]=tblPiNAnalysis[[#This Row],[SAMV]:[ASH]], tblPiNAnalysis[[#Headers],[SAMV]:[ASH]], "")))</f>
        <v>ASH</v>
      </c>
      <c r="AA216" s="93">
        <f>IF(tblPiNAnalysis[[#This Row],[PiN más alto]]="", "", tblPiNAnalysis[[#This Row],[PiN más alto]]/tblPiNAnalysis[[#This Row],[Población]])</f>
        <v>0.6</v>
      </c>
      <c r="AB216" s="94" t="str">
        <f>IF(SUM(tblPiNAnalysis[[#This Row],[SAMV]:[ASH]])=0, "",IF(COUNTIF(tblPiNAnalysis[[#This Row],[SAMV]:[ASH]],"=0")+COUNTIF(tblPiNAnalysis[[#This Row],[SAMV]:[ASH]],"")&gt;=zero_pin_thresh, "Flagged", ""))</f>
        <v/>
      </c>
      <c r="AC216" s="95" t="str">
        <f>IFERROR(IF(tblPiNAnalysis[[#This Row],[PiN más alto]]="", "", IF(tblPiNAnalysis[[#This Row],[% PiN Sectores más altos]]&gt;=flag_pin_perc, "Flagged", "")), "")</f>
        <v/>
      </c>
      <c r="AD216" s="96" t="str" cm="1">
        <f t="array" ref="AD216">IF(tblPiNAnalysis[[#This Row],[PiN más alto]]=0, "",  IF(OR(COUNTIF(tblPiNAnalysis[[#This Row],[Sectores más altos]],tblSubSectorPopulation[Sector])), "Flagged", ""))</f>
        <v/>
      </c>
      <c r="AE216" s="16" cm="1">
        <f t="array" ref="AE21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3592.6950000000002</v>
      </c>
      <c r="AF216" s="97" t="str" cm="1">
        <f t="array" ref="AF216">IF(tblPiNAnalysis[[#This Row],[2º PiN más alto]]="", "", _xlfn.TEXTJOIN(CHAR(10), TRUE, IF(tblPiNAnalysis[[#This Row],[2º PiN más alto]]=tblPiNAnalysis[[#This Row],[SAMV]:[ASH]], tblPiNAnalysis[[#Headers],[SAMV]:[ASH]], "")))</f>
        <v>SAL</v>
      </c>
      <c r="AG216" s="12">
        <f>IFERROR(tblPiNAnalysis[[#This Row],[2º PiN más alto]]/tblPiNAnalysis[[#This Row],[Población]], "")</f>
        <v>0.36499999999999999</v>
      </c>
      <c r="AH216" s="16">
        <f>IFERROR(tblPiNAnalysis[[#This Row],[PiN más alto]]-tblPiNAnalysis[[#This Row],[2º PiN más alto]], "")</f>
        <v>2313.105</v>
      </c>
      <c r="AI216" s="14">
        <f>IFERROR(((tblPiNAnalysis[[#This Row],[PiN más alto]]-tblPiNAnalysis[[#This Row],[2º PiN más alto]])/tblPiNAnalysis[[#This Row],[2º PiN más alto]]),"")</f>
        <v>0.64383561643835618</v>
      </c>
      <c r="AJ216" s="14" t="str" cm="1">
        <f t="array" ref="AJ21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16" s="98" cm="1">
        <f t="array" ref="AK21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2691</v>
      </c>
      <c r="AL216" s="53" t="str" cm="1">
        <f t="array" ref="AL216">IF(tblPiNAnalysis[[#This Row],[3º PiN más alto]]="", "", _xlfn.TEXTJOIN(CHAR(10), TRUE, IF(tblPiNAnalysis[[#This Row],[3º PiN más alto]]=tblPiNAnalysis[[#This Row],[SAMV]:[ASH]], tblPiNAnalysis[[#Headers],[SAMV]:[ASH]], "")))</f>
        <v>SAMV</v>
      </c>
      <c r="AM216" s="53">
        <f>IFERROR(tblPiNAnalysis[[#This Row],[3º PiN más alto]]/tblPiNAnalysis[[#This Row],[Población]], "")</f>
        <v>0.27339225845778725</v>
      </c>
      <c r="AN216" s="15">
        <f>IFERROR(tblPiNAnalysis[[#This Row],[PiN más alto]]-tblPiNAnalysis[[#This Row],[3º PiN más alto]],"")</f>
        <v>3214.8</v>
      </c>
      <c r="AO216" s="14">
        <f>IFERROR(tblPiNAnalysis[[#This Row],[Diferencia de PiN entre el más alto y el 3º más alto]]/tblPiNAnalysis[[#This Row],[3º PiN más alto]], "")</f>
        <v>1.1946488294314381</v>
      </c>
      <c r="AP216" s="96" t="str" cm="1">
        <f t="array" ref="AP21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16" s="84" cm="1">
        <f t="array" ref="AQ216">IFERROR(IF(tblPiNAnalysis[[#This Row],[ID]]="", "", INDEX(tblPiNHistorical[[SAMV]:[ASH]], MATCH(tblPiNAnalysis[[#This Row],[ID]],tblPiNHistorical[ID], 0),MATCH(_xlfn._xlws.FILTER(tblPiNAnalysis[[#Headers],[SAMV]:[ASH]], tblPiNAnalysis[[#This Row],[PiN más alto]]=tblPiNAnalysis[[#This Row],[SAMV]:[ASH]]), tblPiNHistorical[[#Headers],[SAMV]:[ASH]], 0))), "")</f>
        <v>4.8</v>
      </c>
      <c r="AR216" s="99" t="str" cm="1">
        <f t="array" ref="AR21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16" s="74" cm="1">
        <f t="array" ref="AS216">IFERROR(IF(tblPiNAnalysis[[#This Row],[ID]]="", "", INDEX(tblPiNHistorical[[SAMV]:[ASH]], MATCH(tblPiNAnalysis[[#This Row],[ID]],tblPiNHistorical[ID], 0),MATCH(_xlfn._xlws.FILTER(tblPiNAnalysis[[#Headers],[SAMV]:[ASH]], tblPiNAnalysis[[#This Row],[2º PiN más alto]]=tblPiNAnalysis[[#This Row],[SAMV]:[ASH]]), tblPiNHistorical[[#Headers],[SAMV]:[ASH]], 0))), "")</f>
        <v>29.3</v>
      </c>
      <c r="AT216" s="100" t="str" cm="1">
        <f t="array" ref="AT21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16" s="219">
        <f>INDEX(tblSeverityAnalysis[Severidad final], MATCH(tblPiNAnalysis[[#This Row],[ID]],tblSeverityAnalysis[ID], 0))</f>
        <v>3</v>
      </c>
      <c r="AV216" s="220">
        <f>IF(tblPiNAnalysis[[#This Row],[Severidad]]&gt;2,tblPiNAnalysis[[#This Row],[PiN más alto]],)</f>
        <v>5905.8</v>
      </c>
      <c r="AW216" s="54"/>
      <c r="AX216" s="55"/>
      <c r="AY216" s="56">
        <f>COUNTIFS(tblPiNAnalysis[[#This Row],[Número de PiN ausentes/cero superior al umbral - Calidad de los datos]:[Marcador manual]],"Flagged")</f>
        <v>4</v>
      </c>
      <c r="AZ216" s="34" t="str">
        <f>IF(tblPiNAnalysis[[#This Row],[Número de marcadores]]&gt;0, "Flagged", "")</f>
        <v>Flagged</v>
      </c>
      <c r="BA216" s="92">
        <f>tblPiNAnalysis[[#This Row],[PiN preliminar]]</f>
        <v>5905.8</v>
      </c>
      <c r="BB216" s="97"/>
      <c r="BC216" s="70">
        <f>IFERROR(IF(tblPiNAnalysis[[#This Row],[Severidad]]=3,tblPiNAnalysis[[#This Row],[PiN final]]*Umbrales!$D$33,tblPiNAnalysis[[#This Row],[PiN final]]*Umbrales!$D$34),)</f>
        <v>2952.9</v>
      </c>
      <c r="BD216" s="70">
        <f>IFERROR(IF(tblPiNAnalysis[[#This Row],[Severidad]]&gt;3,tblPiNAnalysis[[#This Row],[PiN final]]*Umbrales!$D$34,),)</f>
        <v>0</v>
      </c>
    </row>
    <row r="217" spans="1:56">
      <c r="A217" s="101" t="str">
        <f>IFERROR(_xlfn.CONCAT(IF(tblPiNAnalysis[[#This Row],[Grupo]]="", "",tblPiNAnalysis[[#This Row],[Grupo]] ),  _xlfn.IFS(tblPiNAnalysis[[#This Row],[Admin2PCODE]]&lt;&gt;"", tblPiNAnalysis[[#This Row],[Admin2PCODE]], tblPiNAnalysis[[#This Row],[Admin1PCODE]]&lt;&gt;"", tblPiNAnalysis[[#This Row],[Admin1PCODE]])),"")</f>
        <v>VenezolanosVE2103</v>
      </c>
      <c r="B217" s="105" t="s">
        <v>642</v>
      </c>
      <c r="C217" s="104" t="s">
        <v>643</v>
      </c>
      <c r="D217" s="119" t="s">
        <v>180</v>
      </c>
      <c r="E217" s="104" t="s">
        <v>647</v>
      </c>
      <c r="F217" s="358"/>
      <c r="G217" s="357">
        <v>15635</v>
      </c>
      <c r="H217" s="103" t="s">
        <v>102</v>
      </c>
      <c r="I217" s="60">
        <v>1563</v>
      </c>
      <c r="J217" s="134">
        <v>574.09574535819434</v>
      </c>
      <c r="K217" s="57">
        <v>5706.7749999999996</v>
      </c>
      <c r="L217" s="87">
        <v>888.82925459418493</v>
      </c>
      <c r="M217" s="87">
        <v>1891.2433872224806</v>
      </c>
      <c r="N217" s="57">
        <v>1055.3625</v>
      </c>
      <c r="O217" s="57">
        <v>605.1978839111938</v>
      </c>
      <c r="P217" s="57">
        <v>661.93518552786816</v>
      </c>
      <c r="Q217" s="88">
        <f>IFERROR(IF(tblPiNAnalysis[[#This Row],[SAMV]]="", "", MROUND(tblPiNAnalysis[[#This Row],[SAMV]]/tblPiNAnalysis[[#This Row],[Población]], 0.05)), "")</f>
        <v>0.1</v>
      </c>
      <c r="R217" s="89">
        <f>IFERROR(IF(tblPiNAnalysis[[#This Row],[NUT]]="", "", MROUND(tblPiNAnalysis[[#This Row],[NUT]]/tblPiNAnalysis[[#This Row],[Población]], 0.05)), "")</f>
        <v>0.05</v>
      </c>
      <c r="S217" s="89">
        <f>IFERROR(IF(tblPiNAnalysis[[#This Row],[SAL]]="", "", MROUND(tblPiNAnalysis[[#This Row],[SAL]]/tblPiNAnalysis[[#This Row],[Población]], 0.05)), "")</f>
        <v>0.35000000000000003</v>
      </c>
      <c r="T217" s="89">
        <f>IFERROR(IF(tblPiNAnalysis[[#This Row],[EDU]]="", "", MROUND(tblPiNAnalysis[[#This Row],[EDU]]/tblPiNAnalysis[[#This Row],[Población]], 0.05)), "")</f>
        <v>0.05</v>
      </c>
      <c r="U217" s="89">
        <f>IFERROR(IF(tblPiNAnalysis[[#This Row],[PRO]]="", "", MROUND(tblPiNAnalysis[[#This Row],[PRO]]/tblPiNAnalysis[[#This Row],[Población]], 0.05)), "")</f>
        <v>0.1</v>
      </c>
      <c r="V217" s="90">
        <f>IFERROR(IF(tblPiNAnalysis[[#This Row],[ASH]]="", "", MROUND(tblPiNAnalysis[[#This Row],[ASH]]/tblPiNAnalysis[[#This Row],[Población]], 0.05)), "")</f>
        <v>0.05</v>
      </c>
      <c r="W217" s="89">
        <f>IFERROR(MROUND(tblPiNAnalysis[[#This Row],[NNA]]/tblPiNAnalysis[[#This Row],[Población]], 0.05), "")</f>
        <v>0.05</v>
      </c>
      <c r="X217" s="89">
        <f>IFERROR(MROUND(tblPiNAnalysis[[#This Row],[VBG]]/tblPiNAnalysis[[#This Row],[Población]], 0.05), "")</f>
        <v>0.05</v>
      </c>
      <c r="Y217" s="91">
        <f>IFERROR(LARGE(tblPiNAnalysis[[#This Row],[SAMV]:[ASH]], 1), "")</f>
        <v>5706.7749999999996</v>
      </c>
      <c r="Z217" s="92" t="str" cm="1">
        <f t="array" ref="Z217">IF(tblPiNAnalysis[[#This Row],[PiN más alto]]="", "", _xlfn.TEXTJOIN(CHAR(10), TRUE, IF(tblPiNAnalysis[[#This Row],[PiN más alto]]=tblPiNAnalysis[[#This Row],[SAMV]:[ASH]], tblPiNAnalysis[[#Headers],[SAMV]:[ASH]], "")))</f>
        <v>SAL</v>
      </c>
      <c r="AA217" s="93">
        <f>IF(tblPiNAnalysis[[#This Row],[PiN más alto]]="", "", tblPiNAnalysis[[#This Row],[PiN más alto]]/tblPiNAnalysis[[#This Row],[Población]])</f>
        <v>0.36499999999999999</v>
      </c>
      <c r="AB217" s="94" t="str">
        <f>IF(SUM(tblPiNAnalysis[[#This Row],[SAMV]:[ASH]])=0, "",IF(COUNTIF(tblPiNAnalysis[[#This Row],[SAMV]:[ASH]],"=0")+COUNTIF(tblPiNAnalysis[[#This Row],[SAMV]:[ASH]],"")&gt;=zero_pin_thresh, "Flagged", ""))</f>
        <v/>
      </c>
      <c r="AC217" s="95" t="str">
        <f>IFERROR(IF(tblPiNAnalysis[[#This Row],[PiN más alto]]="", "", IF(tblPiNAnalysis[[#This Row],[% PiN Sectores más altos]]&gt;=flag_pin_perc, "Flagged", "")), "")</f>
        <v/>
      </c>
      <c r="AD217" s="96" t="str" cm="1">
        <f t="array" ref="AD217">IF(tblPiNAnalysis[[#This Row],[PiN más alto]]=0, "",  IF(OR(COUNTIF(tblPiNAnalysis[[#This Row],[Sectores más altos]],tblSubSectorPopulation[Sector])), "Flagged", ""))</f>
        <v/>
      </c>
      <c r="AE217" s="16" cm="1">
        <f t="array" ref="AE21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1891.2433872224806</v>
      </c>
      <c r="AF217" s="97" t="str" cm="1">
        <f t="array" ref="AF217">IF(tblPiNAnalysis[[#This Row],[2º PiN más alto]]="", "", _xlfn.TEXTJOIN(CHAR(10), TRUE, IF(tblPiNAnalysis[[#This Row],[2º PiN más alto]]=tblPiNAnalysis[[#This Row],[SAMV]:[ASH]], tblPiNAnalysis[[#Headers],[SAMV]:[ASH]], "")))</f>
        <v>PRO</v>
      </c>
      <c r="AG217" s="12">
        <f>IFERROR(tblPiNAnalysis[[#This Row],[2º PiN más alto]]/tblPiNAnalysis[[#This Row],[Población]], "")</f>
        <v>0.12096216099919926</v>
      </c>
      <c r="AH217" s="16">
        <f>IFERROR(tblPiNAnalysis[[#This Row],[PiN más alto]]-tblPiNAnalysis[[#This Row],[2º PiN más alto]], "")</f>
        <v>3815.5316127775191</v>
      </c>
      <c r="AI217" s="14">
        <f>IFERROR(((tblPiNAnalysis[[#This Row],[PiN más alto]]-tblPiNAnalysis[[#This Row],[2º PiN más alto]])/tblPiNAnalysis[[#This Row],[2º PiN más alto]]),"")</f>
        <v>2.0174725466620602</v>
      </c>
      <c r="AJ217" s="14" t="str" cm="1">
        <f t="array" ref="AJ21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17" s="98" cm="1">
        <f t="array" ref="AK21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1563</v>
      </c>
      <c r="AL217" s="53" t="str" cm="1">
        <f t="array" ref="AL217">IF(tblPiNAnalysis[[#This Row],[3º PiN más alto]]="", "", _xlfn.TEXTJOIN(CHAR(10), TRUE, IF(tblPiNAnalysis[[#This Row],[3º PiN más alto]]=tblPiNAnalysis[[#This Row],[SAMV]:[ASH]], tblPiNAnalysis[[#Headers],[SAMV]:[ASH]], "")))</f>
        <v>SAMV</v>
      </c>
      <c r="AM217" s="53">
        <f>IFERROR(tblPiNAnalysis[[#This Row],[3º PiN más alto]]/tblPiNAnalysis[[#This Row],[Población]], "")</f>
        <v>9.9968020466901189E-2</v>
      </c>
      <c r="AN217" s="15">
        <f>IFERROR(tblPiNAnalysis[[#This Row],[PiN más alto]]-tblPiNAnalysis[[#This Row],[3º PiN más alto]],"")</f>
        <v>4143.7749999999996</v>
      </c>
      <c r="AO217" s="14">
        <f>IFERROR(tblPiNAnalysis[[#This Row],[Diferencia de PiN entre el más alto y el 3º más alto]]/tblPiNAnalysis[[#This Row],[3º PiN más alto]], "")</f>
        <v>2.6511676263595647</v>
      </c>
      <c r="AP217" s="96" t="str" cm="1">
        <f t="array" ref="AP21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17" s="84" cm="1">
        <f t="array" ref="AQ217">IFERROR(IF(tblPiNAnalysis[[#This Row],[ID]]="", "", INDEX(tblPiNHistorical[[SAMV]:[ASH]], MATCH(tblPiNAnalysis[[#This Row],[ID]],tblPiNHistorical[ID], 0),MATCH(_xlfn._xlws.FILTER(tblPiNAnalysis[[#Headers],[SAMV]:[ASH]], tblPiNAnalysis[[#This Row],[PiN más alto]]=tblPiNAnalysis[[#This Row],[SAMV]:[ASH]]), tblPiNHistorical[[#Headers],[SAMV]:[ASH]], 0))), "")</f>
        <v>1.3</v>
      </c>
      <c r="AR217" s="99" t="str" cm="1">
        <f t="array" ref="AR21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17" s="74" cm="1">
        <f t="array" ref="AS217">IFERROR(IF(tblPiNAnalysis[[#This Row],[ID]]="", "", INDEX(tblPiNHistorical[[SAMV]:[ASH]], MATCH(tblPiNAnalysis[[#This Row],[ID]],tblPiNHistorical[ID], 0),MATCH(_xlfn._xlws.FILTER(tblPiNAnalysis[[#Headers],[SAMV]:[ASH]], tblPiNAnalysis[[#This Row],[2º PiN más alto]]=tblPiNAnalysis[[#This Row],[SAMV]:[ASH]]), tblPiNHistorical[[#Headers],[SAMV]:[ASH]], 0))), "")</f>
        <v>-0.7</v>
      </c>
      <c r="AT217" s="100" t="str" cm="1">
        <f t="array" ref="AT21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17" s="219">
        <f>INDEX(tblSeverityAnalysis[Severidad final], MATCH(tblPiNAnalysis[[#This Row],[ID]],tblSeverityAnalysis[ID], 0))</f>
        <v>3</v>
      </c>
      <c r="AV217" s="220">
        <f>IF(tblPiNAnalysis[[#This Row],[Severidad]]&gt;2,tblPiNAnalysis[[#This Row],[PiN más alto]],)</f>
        <v>5706.7749999999996</v>
      </c>
      <c r="AW217" s="54"/>
      <c r="AX217" s="55"/>
      <c r="AY217" s="56">
        <f>COUNTIFS(tblPiNAnalysis[[#This Row],[Número de PiN ausentes/cero superior al umbral - Calidad de los datos]:[Marcador manual]],"Flagged")</f>
        <v>3</v>
      </c>
      <c r="AZ217" s="34" t="str">
        <f>IF(tblPiNAnalysis[[#This Row],[Número de marcadores]]&gt;0, "Flagged", "")</f>
        <v>Flagged</v>
      </c>
      <c r="BA217" s="92">
        <f>tblPiNAnalysis[[#This Row],[PiN preliminar]]</f>
        <v>5706.7749999999996</v>
      </c>
      <c r="BB217" s="97"/>
      <c r="BC217" s="70">
        <f>IFERROR(IF(tblPiNAnalysis[[#This Row],[Severidad]]=3,tblPiNAnalysis[[#This Row],[PiN final]]*Umbrales!$D$33,tblPiNAnalysis[[#This Row],[PiN final]]*Umbrales!$D$34),)</f>
        <v>2853.3874999999998</v>
      </c>
      <c r="BD217" s="70">
        <f>IFERROR(IF(tblPiNAnalysis[[#This Row],[Severidad]]&gt;3,tblPiNAnalysis[[#This Row],[PiN final]]*Umbrales!$D$34,),)</f>
        <v>0</v>
      </c>
    </row>
    <row r="218" spans="1:56">
      <c r="A218" s="101" t="str">
        <f>IFERROR(_xlfn.CONCAT(IF(tblPiNAnalysis[[#This Row],[Grupo]]="", "",tblPiNAnalysis[[#This Row],[Grupo]] ),  _xlfn.IFS(tblPiNAnalysis[[#This Row],[Admin2PCODE]]&lt;&gt;"", tblPiNAnalysis[[#This Row],[Admin2PCODE]], tblPiNAnalysis[[#This Row],[Admin1PCODE]]&lt;&gt;"", tblPiNAnalysis[[#This Row],[Admin1PCODE]])),"")</f>
        <v>VenezolanosVE1214</v>
      </c>
      <c r="B218" s="105" t="s">
        <v>362</v>
      </c>
      <c r="C218" s="104" t="s">
        <v>363</v>
      </c>
      <c r="D218" s="119" t="s">
        <v>823</v>
      </c>
      <c r="E218" s="104" t="s">
        <v>390</v>
      </c>
      <c r="F218" s="358"/>
      <c r="G218" s="357">
        <v>13464</v>
      </c>
      <c r="H218" s="103" t="s">
        <v>102</v>
      </c>
      <c r="I218" s="60">
        <v>2390</v>
      </c>
      <c r="J218" s="134">
        <v>729.7478730795533</v>
      </c>
      <c r="K218" s="57">
        <v>5600</v>
      </c>
      <c r="L218" s="87">
        <v>1238.2303048707349</v>
      </c>
      <c r="M218" s="87">
        <v>1497.3692952839319</v>
      </c>
      <c r="N218" s="57">
        <v>0</v>
      </c>
      <c r="O218" s="57">
        <v>479.15817449085819</v>
      </c>
      <c r="P218" s="57">
        <v>524.07925334937613</v>
      </c>
      <c r="Q218" s="88">
        <f>IFERROR(IF(tblPiNAnalysis[[#This Row],[SAMV]]="", "", MROUND(tblPiNAnalysis[[#This Row],[SAMV]]/tblPiNAnalysis[[#This Row],[Población]], 0.05)), "")</f>
        <v>0.2</v>
      </c>
      <c r="R218" s="89">
        <f>IFERROR(IF(tblPiNAnalysis[[#This Row],[NUT]]="", "", MROUND(tblPiNAnalysis[[#This Row],[NUT]]/tblPiNAnalysis[[#This Row],[Población]], 0.05)), "")</f>
        <v>0.05</v>
      </c>
      <c r="S218" s="89">
        <f>IFERROR(IF(tblPiNAnalysis[[#This Row],[SAL]]="", "", MROUND(tblPiNAnalysis[[#This Row],[SAL]]/tblPiNAnalysis[[#This Row],[Población]], 0.05)), "")</f>
        <v>0.4</v>
      </c>
      <c r="T218" s="89">
        <f>IFERROR(IF(tblPiNAnalysis[[#This Row],[EDU]]="", "", MROUND(tblPiNAnalysis[[#This Row],[EDU]]/tblPiNAnalysis[[#This Row],[Población]], 0.05)), "")</f>
        <v>0.1</v>
      </c>
      <c r="U218" s="89">
        <f>IFERROR(IF(tblPiNAnalysis[[#This Row],[PRO]]="", "", MROUND(tblPiNAnalysis[[#This Row],[PRO]]/tblPiNAnalysis[[#This Row],[Población]], 0.05)), "")</f>
        <v>0.1</v>
      </c>
      <c r="V218" s="90">
        <f>IFERROR(IF(tblPiNAnalysis[[#This Row],[ASH]]="", "", MROUND(tblPiNAnalysis[[#This Row],[ASH]]/tblPiNAnalysis[[#This Row],[Población]], 0.05)), "")</f>
        <v>0</v>
      </c>
      <c r="W218" s="89">
        <f>IFERROR(MROUND(tblPiNAnalysis[[#This Row],[NNA]]/tblPiNAnalysis[[#This Row],[Población]], 0.05), "")</f>
        <v>0.05</v>
      </c>
      <c r="X218" s="89">
        <f>IFERROR(MROUND(tblPiNAnalysis[[#This Row],[VBG]]/tblPiNAnalysis[[#This Row],[Población]], 0.05), "")</f>
        <v>0.05</v>
      </c>
      <c r="Y218" s="91">
        <f>IFERROR(LARGE(tblPiNAnalysis[[#This Row],[SAMV]:[ASH]], 1), "")</f>
        <v>5600</v>
      </c>
      <c r="Z218" s="92" t="str" cm="1">
        <f t="array" ref="Z218">IF(tblPiNAnalysis[[#This Row],[PiN más alto]]="", "", _xlfn.TEXTJOIN(CHAR(10), TRUE, IF(tblPiNAnalysis[[#This Row],[PiN más alto]]=tblPiNAnalysis[[#This Row],[SAMV]:[ASH]], tblPiNAnalysis[[#Headers],[SAMV]:[ASH]], "")))</f>
        <v>SAL</v>
      </c>
      <c r="AA218" s="93">
        <f>IF(tblPiNAnalysis[[#This Row],[PiN más alto]]="", "", tblPiNAnalysis[[#This Row],[PiN más alto]]/tblPiNAnalysis[[#This Row],[Población]])</f>
        <v>0.41592394533571003</v>
      </c>
      <c r="AB218" s="94" t="str">
        <f>IF(SUM(tblPiNAnalysis[[#This Row],[SAMV]:[ASH]])=0, "",IF(COUNTIF(tblPiNAnalysis[[#This Row],[SAMV]:[ASH]],"=0")+COUNTIF(tblPiNAnalysis[[#This Row],[SAMV]:[ASH]],"")&gt;=zero_pin_thresh, "Flagged", ""))</f>
        <v/>
      </c>
      <c r="AC218" s="95" t="str">
        <f>IFERROR(IF(tblPiNAnalysis[[#This Row],[PiN más alto]]="", "", IF(tblPiNAnalysis[[#This Row],[% PiN Sectores más altos]]&gt;=flag_pin_perc, "Flagged", "")), "")</f>
        <v/>
      </c>
      <c r="AD218" s="96" t="str" cm="1">
        <f t="array" ref="AD218">IF(tblPiNAnalysis[[#This Row],[PiN más alto]]=0, "",  IF(OR(COUNTIF(tblPiNAnalysis[[#This Row],[Sectores más altos]],tblSubSectorPopulation[Sector])), "Flagged", ""))</f>
        <v/>
      </c>
      <c r="AE218" s="16" cm="1">
        <f t="array" ref="AE21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2390</v>
      </c>
      <c r="AF218" s="97" t="str" cm="1">
        <f t="array" ref="AF218">IF(tblPiNAnalysis[[#This Row],[2º PiN más alto]]="", "", _xlfn.TEXTJOIN(CHAR(10), TRUE, IF(tblPiNAnalysis[[#This Row],[2º PiN más alto]]=tblPiNAnalysis[[#This Row],[SAMV]:[ASH]], tblPiNAnalysis[[#Headers],[SAMV]:[ASH]], "")))</f>
        <v>SAMV</v>
      </c>
      <c r="AG218" s="12">
        <f>IFERROR(tblPiNAnalysis[[#This Row],[2º PiN más alto]]/tblPiNAnalysis[[#This Row],[Población]], "")</f>
        <v>0.17751039809863339</v>
      </c>
      <c r="AH218" s="16">
        <f>IFERROR(tblPiNAnalysis[[#This Row],[PiN más alto]]-tblPiNAnalysis[[#This Row],[2º PiN más alto]], "")</f>
        <v>3210</v>
      </c>
      <c r="AI218" s="14">
        <f>IFERROR(((tblPiNAnalysis[[#This Row],[PiN más alto]]-tblPiNAnalysis[[#This Row],[2º PiN más alto]])/tblPiNAnalysis[[#This Row],[2º PiN más alto]]),"")</f>
        <v>1.3430962343096233</v>
      </c>
      <c r="AJ218" s="14" t="str" cm="1">
        <f t="array" ref="AJ21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18" s="98" cm="1">
        <f t="array" ref="AK21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1497.3692952839319</v>
      </c>
      <c r="AL218" s="53" t="str" cm="1">
        <f t="array" ref="AL218">IF(tblPiNAnalysis[[#This Row],[3º PiN más alto]]="", "", _xlfn.TEXTJOIN(CHAR(10), TRUE, IF(tblPiNAnalysis[[#This Row],[3º PiN más alto]]=tblPiNAnalysis[[#This Row],[SAMV]:[ASH]], tblPiNAnalysis[[#Headers],[SAMV]:[ASH]], "")))</f>
        <v>PRO</v>
      </c>
      <c r="AM218" s="53">
        <f>IFERROR(tblPiNAnalysis[[#This Row],[3º PiN más alto]]/tblPiNAnalysis[[#This Row],[Población]], "")</f>
        <v>0.11121281159268656</v>
      </c>
      <c r="AN218" s="15">
        <f>IFERROR(tblPiNAnalysis[[#This Row],[PiN más alto]]-tblPiNAnalysis[[#This Row],[3º PiN más alto]],"")</f>
        <v>4102.6307047160681</v>
      </c>
      <c r="AO218" s="14">
        <f>IFERROR(tblPiNAnalysis[[#This Row],[Diferencia de PiN entre el más alto y el 3º más alto]]/tblPiNAnalysis[[#This Row],[3º PiN más alto]], "")</f>
        <v>2.7398923683272969</v>
      </c>
      <c r="AP218" s="96" t="str" cm="1">
        <f t="array" ref="AP21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18" s="84" cm="1">
        <f t="array" ref="AQ218">IFERROR(IF(tblPiNAnalysis[[#This Row],[ID]]="", "", INDEX(tblPiNHistorical[[SAMV]:[ASH]], MATCH(tblPiNAnalysis[[#This Row],[ID]],tblPiNHistorical[ID], 0),MATCH(_xlfn._xlws.FILTER(tblPiNAnalysis[[#Headers],[SAMV]:[ASH]], tblPiNAnalysis[[#This Row],[PiN más alto]]=tblPiNAnalysis[[#This Row],[SAMV]:[ASH]]), tblPiNHistorical[[#Headers],[SAMV]:[ASH]], 0))), "")</f>
        <v>2.2000000000000002</v>
      </c>
      <c r="AR218" s="99" t="str" cm="1">
        <f t="array" ref="AR21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18" s="74" cm="1">
        <f t="array" ref="AS218">IFERROR(IF(tblPiNAnalysis[[#This Row],[ID]]="", "", INDEX(tblPiNHistorical[[SAMV]:[ASH]], MATCH(tblPiNAnalysis[[#This Row],[ID]],tblPiNHistorical[ID], 0),MATCH(_xlfn._xlws.FILTER(tblPiNAnalysis[[#Headers],[SAMV]:[ASH]], tblPiNAnalysis[[#This Row],[2º PiN más alto]]=tblPiNAnalysis[[#This Row],[SAMV]:[ASH]]), tblPiNHistorical[[#Headers],[SAMV]:[ASH]], 0))), "")</f>
        <v>1.7</v>
      </c>
      <c r="AT218" s="100" t="str" cm="1">
        <f t="array" ref="AT21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18" s="219">
        <f>INDEX(tblSeverityAnalysis[Severidad final], MATCH(tblPiNAnalysis[[#This Row],[ID]],tblSeverityAnalysis[ID], 0))</f>
        <v>3</v>
      </c>
      <c r="AV218" s="220">
        <f>IF(tblPiNAnalysis[[#This Row],[Severidad]]&gt;2,tblPiNAnalysis[[#This Row],[PiN más alto]],)</f>
        <v>5600</v>
      </c>
      <c r="AW218" s="54"/>
      <c r="AX218" s="55"/>
      <c r="AY218" s="56">
        <f>COUNTIFS(tblPiNAnalysis[[#This Row],[Número de PiN ausentes/cero superior al umbral - Calidad de los datos]:[Marcador manual]],"Flagged")</f>
        <v>4</v>
      </c>
      <c r="AZ218" s="34" t="str">
        <f>IF(tblPiNAnalysis[[#This Row],[Número de marcadores]]&gt;0, "Flagged", "")</f>
        <v>Flagged</v>
      </c>
      <c r="BA218" s="92">
        <f>tblPiNAnalysis[[#This Row],[PiN preliminar]]</f>
        <v>5600</v>
      </c>
      <c r="BB218" s="97"/>
      <c r="BC218" s="70">
        <f>IFERROR(IF(tblPiNAnalysis[[#This Row],[Severidad]]=3,tblPiNAnalysis[[#This Row],[PiN final]]*Umbrales!$D$33,tblPiNAnalysis[[#This Row],[PiN final]]*Umbrales!$D$34),)</f>
        <v>2800</v>
      </c>
      <c r="BD218" s="70">
        <f>IFERROR(IF(tblPiNAnalysis[[#This Row],[Severidad]]&gt;3,tblPiNAnalysis[[#This Row],[PiN final]]*Umbrales!$D$34,),)</f>
        <v>0</v>
      </c>
    </row>
    <row r="219" spans="1:56">
      <c r="A219" s="101" t="str">
        <f>IFERROR(_xlfn.CONCAT(IF(tblPiNAnalysis[[#This Row],[Grupo]]="", "",tblPiNAnalysis[[#This Row],[Grupo]] ),  _xlfn.IFS(tblPiNAnalysis[[#This Row],[Admin2PCODE]]&lt;&gt;"", tblPiNAnalysis[[#This Row],[Admin2PCODE]], tblPiNAnalysis[[#This Row],[Admin1PCODE]]&lt;&gt;"", tblPiNAnalysis[[#This Row],[Admin1PCODE]])),"")</f>
        <v>VenezolanosVE1711</v>
      </c>
      <c r="B219" s="105" t="s">
        <v>513</v>
      </c>
      <c r="C219" s="104" t="s">
        <v>514</v>
      </c>
      <c r="D219" s="119" t="s">
        <v>534</v>
      </c>
      <c r="E219" s="104" t="s">
        <v>535</v>
      </c>
      <c r="F219" s="358"/>
      <c r="G219" s="357">
        <v>9182</v>
      </c>
      <c r="H219" s="103" t="s">
        <v>102</v>
      </c>
      <c r="I219" s="60">
        <v>874</v>
      </c>
      <c r="J219" s="134">
        <v>283.07551045075127</v>
      </c>
      <c r="K219" s="57">
        <v>4800</v>
      </c>
      <c r="L219" s="87">
        <v>548.50316720818068</v>
      </c>
      <c r="M219" s="87">
        <v>368.70546341625953</v>
      </c>
      <c r="N219" s="57">
        <v>5509.2</v>
      </c>
      <c r="O219" s="57">
        <v>117.98574829320305</v>
      </c>
      <c r="P219" s="57">
        <v>129.04691219569082</v>
      </c>
      <c r="Q219" s="88">
        <f>IFERROR(IF(tblPiNAnalysis[[#This Row],[SAMV]]="", "", MROUND(tblPiNAnalysis[[#This Row],[SAMV]]/tblPiNAnalysis[[#This Row],[Población]], 0.05)), "")</f>
        <v>0.1</v>
      </c>
      <c r="R219" s="89">
        <f>IFERROR(IF(tblPiNAnalysis[[#This Row],[NUT]]="", "", MROUND(tblPiNAnalysis[[#This Row],[NUT]]/tblPiNAnalysis[[#This Row],[Población]], 0.05)), "")</f>
        <v>0.05</v>
      </c>
      <c r="S219" s="89">
        <f>IFERROR(IF(tblPiNAnalysis[[#This Row],[SAL]]="", "", MROUND(tblPiNAnalysis[[#This Row],[SAL]]/tblPiNAnalysis[[#This Row],[Población]], 0.05)), "")</f>
        <v>0.5</v>
      </c>
      <c r="T219" s="89">
        <f>IFERROR(IF(tblPiNAnalysis[[#This Row],[EDU]]="", "", MROUND(tblPiNAnalysis[[#This Row],[EDU]]/tblPiNAnalysis[[#This Row],[Población]], 0.05)), "")</f>
        <v>0.05</v>
      </c>
      <c r="U219" s="89">
        <f>IFERROR(IF(tblPiNAnalysis[[#This Row],[PRO]]="", "", MROUND(tblPiNAnalysis[[#This Row],[PRO]]/tblPiNAnalysis[[#This Row],[Población]], 0.05)), "")</f>
        <v>0.05</v>
      </c>
      <c r="V219" s="90">
        <f>IFERROR(IF(tblPiNAnalysis[[#This Row],[ASH]]="", "", MROUND(tblPiNAnalysis[[#This Row],[ASH]]/tblPiNAnalysis[[#This Row],[Población]], 0.05)), "")</f>
        <v>0.60000000000000009</v>
      </c>
      <c r="W219" s="89">
        <f>IFERROR(MROUND(tblPiNAnalysis[[#This Row],[NNA]]/tblPiNAnalysis[[#This Row],[Población]], 0.05), "")</f>
        <v>0</v>
      </c>
      <c r="X219" s="89">
        <f>IFERROR(MROUND(tblPiNAnalysis[[#This Row],[VBG]]/tblPiNAnalysis[[#This Row],[Población]], 0.05), "")</f>
        <v>0</v>
      </c>
      <c r="Y219" s="91">
        <f>IFERROR(LARGE(tblPiNAnalysis[[#This Row],[SAMV]:[ASH]], 1), "")</f>
        <v>5509.2</v>
      </c>
      <c r="Z219" s="92" t="str" cm="1">
        <f t="array" ref="Z219">IF(tblPiNAnalysis[[#This Row],[PiN más alto]]="", "", _xlfn.TEXTJOIN(CHAR(10), TRUE, IF(tblPiNAnalysis[[#This Row],[PiN más alto]]=tblPiNAnalysis[[#This Row],[SAMV]:[ASH]], tblPiNAnalysis[[#Headers],[SAMV]:[ASH]], "")))</f>
        <v>ASH</v>
      </c>
      <c r="AA219" s="93">
        <f>IF(tblPiNAnalysis[[#This Row],[PiN más alto]]="", "", tblPiNAnalysis[[#This Row],[PiN más alto]]/tblPiNAnalysis[[#This Row],[Población]])</f>
        <v>0.6</v>
      </c>
      <c r="AB219" s="94" t="str">
        <f>IF(SUM(tblPiNAnalysis[[#This Row],[SAMV]:[ASH]])=0, "",IF(COUNTIF(tblPiNAnalysis[[#This Row],[SAMV]:[ASH]],"=0")+COUNTIF(tblPiNAnalysis[[#This Row],[SAMV]:[ASH]],"")&gt;=zero_pin_thresh, "Flagged", ""))</f>
        <v/>
      </c>
      <c r="AC219" s="95" t="str">
        <f>IFERROR(IF(tblPiNAnalysis[[#This Row],[PiN más alto]]="", "", IF(tblPiNAnalysis[[#This Row],[% PiN Sectores más altos]]&gt;=flag_pin_perc, "Flagged", "")), "")</f>
        <v/>
      </c>
      <c r="AD219" s="96" t="str" cm="1">
        <f t="array" ref="AD219">IF(tblPiNAnalysis[[#This Row],[PiN más alto]]=0, "",  IF(OR(COUNTIF(tblPiNAnalysis[[#This Row],[Sectores más altos]],tblSubSectorPopulation[Sector])), "Flagged", ""))</f>
        <v/>
      </c>
      <c r="AE219" s="16" cm="1">
        <f t="array" ref="AE21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4800</v>
      </c>
      <c r="AF219" s="97" t="str" cm="1">
        <f t="array" ref="AF219">IF(tblPiNAnalysis[[#This Row],[2º PiN más alto]]="", "", _xlfn.TEXTJOIN(CHAR(10), TRUE, IF(tblPiNAnalysis[[#This Row],[2º PiN más alto]]=tblPiNAnalysis[[#This Row],[SAMV]:[ASH]], tblPiNAnalysis[[#Headers],[SAMV]:[ASH]], "")))</f>
        <v>SAL</v>
      </c>
      <c r="AG219" s="12">
        <f>IFERROR(tblPiNAnalysis[[#This Row],[2º PiN más alto]]/tblPiNAnalysis[[#This Row],[Población]], "")</f>
        <v>0.52276192550642564</v>
      </c>
      <c r="AH219" s="16">
        <f>IFERROR(tblPiNAnalysis[[#This Row],[PiN más alto]]-tblPiNAnalysis[[#This Row],[2º PiN más alto]], "")</f>
        <v>709.19999999999982</v>
      </c>
      <c r="AI219" s="14">
        <f>IFERROR(((tblPiNAnalysis[[#This Row],[PiN más alto]]-tblPiNAnalysis[[#This Row],[2º PiN más alto]])/tblPiNAnalysis[[#This Row],[2º PiN más alto]]),"")</f>
        <v>0.14774999999999996</v>
      </c>
      <c r="AJ219" s="14" t="str" cm="1">
        <f t="array" ref="AJ21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219" s="98" cm="1">
        <f t="array" ref="AK21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874</v>
      </c>
      <c r="AL219" s="53" t="str" cm="1">
        <f t="array" ref="AL219">IF(tblPiNAnalysis[[#This Row],[3º PiN más alto]]="", "", _xlfn.TEXTJOIN(CHAR(10), TRUE, IF(tblPiNAnalysis[[#This Row],[3º PiN más alto]]=tblPiNAnalysis[[#This Row],[SAMV]:[ASH]], tblPiNAnalysis[[#Headers],[SAMV]:[ASH]], "")))</f>
        <v>SAMV</v>
      </c>
      <c r="AM219" s="53">
        <f>IFERROR(tblPiNAnalysis[[#This Row],[3º PiN más alto]]/tblPiNAnalysis[[#This Row],[Población]], "")</f>
        <v>9.5186233935961664E-2</v>
      </c>
      <c r="AN219" s="15">
        <f>IFERROR(tblPiNAnalysis[[#This Row],[PiN más alto]]-tblPiNAnalysis[[#This Row],[3º PiN más alto]],"")</f>
        <v>4635.2</v>
      </c>
      <c r="AO219" s="14">
        <f>IFERROR(tblPiNAnalysis[[#This Row],[Diferencia de PiN entre el más alto y el 3º más alto]]/tblPiNAnalysis[[#This Row],[3º PiN más alto]], "")</f>
        <v>5.3034324942791757</v>
      </c>
      <c r="AP219" s="96" t="str" cm="1">
        <f t="array" ref="AP21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19" s="84" t="str" cm="1">
        <f t="array" ref="AQ219">IFERROR(IF(tblPiNAnalysis[[#This Row],[ID]]="", "", INDEX(tblPiNHistorical[[SAMV]:[ASH]], MATCH(tblPiNAnalysis[[#This Row],[ID]],tblPiNHistorical[ID], 0),MATCH(_xlfn._xlws.FILTER(tblPiNAnalysis[[#Headers],[SAMV]:[ASH]], tblPiNAnalysis[[#This Row],[PiN más alto]]=tblPiNAnalysis[[#This Row],[SAMV]:[ASH]]), tblPiNHistorical[[#Headers],[SAMV]:[ASH]], 0))), "")</f>
        <v>New26 770.3775</v>
      </c>
      <c r="AR219" s="99" t="str" cm="1">
        <f t="array" ref="AR21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19" s="74" cm="1">
        <f t="array" ref="AS219">IFERROR(IF(tblPiNAnalysis[[#This Row],[ID]]="", "", INDEX(tblPiNHistorical[[SAMV]:[ASH]], MATCH(tblPiNAnalysis[[#This Row],[ID]],tblPiNHistorical[ID], 0),MATCH(_xlfn._xlws.FILTER(tblPiNAnalysis[[#Headers],[SAMV]:[ASH]], tblPiNAnalysis[[#This Row],[2º PiN más alto]]=tblPiNAnalysis[[#This Row],[SAMV]:[ASH]]), tblPiNHistorical[[#Headers],[SAMV]:[ASH]], 0))), "")</f>
        <v>0.8</v>
      </c>
      <c r="AT219" s="100" t="str" cm="1">
        <f t="array" ref="AT21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19" s="219">
        <f>INDEX(tblSeverityAnalysis[Severidad final], MATCH(tblPiNAnalysis[[#This Row],[ID]],tblSeverityAnalysis[ID], 0))</f>
        <v>3</v>
      </c>
      <c r="AV219" s="220">
        <f>IF(tblPiNAnalysis[[#This Row],[Severidad]]&gt;2,tblPiNAnalysis[[#This Row],[PiN más alto]],)</f>
        <v>5509.2</v>
      </c>
      <c r="AW219" s="54"/>
      <c r="AX219" s="55"/>
      <c r="AY219" s="56">
        <f>COUNTIFS(tblPiNAnalysis[[#This Row],[Número de PiN ausentes/cero superior al umbral - Calidad de los datos]:[Marcador manual]],"Flagged")</f>
        <v>1</v>
      </c>
      <c r="AZ219" s="34" t="str">
        <f>IF(tblPiNAnalysis[[#This Row],[Número de marcadores]]&gt;0, "Flagged", "")</f>
        <v>Flagged</v>
      </c>
      <c r="BA219" s="92">
        <f>tblPiNAnalysis[[#This Row],[PiN preliminar]]</f>
        <v>5509.2</v>
      </c>
      <c r="BB219" s="97"/>
      <c r="BC219" s="70">
        <f>IFERROR(IF(tblPiNAnalysis[[#This Row],[Severidad]]=3,tblPiNAnalysis[[#This Row],[PiN final]]*Umbrales!$D$33,tblPiNAnalysis[[#This Row],[PiN final]]*Umbrales!$D$34),)</f>
        <v>2754.6</v>
      </c>
      <c r="BD219" s="70">
        <f>IFERROR(IF(tblPiNAnalysis[[#This Row],[Severidad]]&gt;3,tblPiNAnalysis[[#This Row],[PiN final]]*Umbrales!$D$34,),)</f>
        <v>0</v>
      </c>
    </row>
    <row r="220" spans="1:56">
      <c r="A220" s="101" t="str">
        <f>IFERROR(_xlfn.CONCAT(IF(tblPiNAnalysis[[#This Row],[Grupo]]="", "",tblPiNAnalysis[[#This Row],[Grupo]] ),  _xlfn.IFS(tblPiNAnalysis[[#This Row],[Admin2PCODE]]&lt;&gt;"", tblPiNAnalysis[[#This Row],[Admin2PCODE]], tblPiNAnalysis[[#This Row],[Admin1PCODE]]&lt;&gt;"", tblPiNAnalysis[[#This Row],[Admin1PCODE]])),"")</f>
        <v>VenezolanosVE1911</v>
      </c>
      <c r="B220" s="105" t="s">
        <v>203</v>
      </c>
      <c r="C220" s="104" t="s">
        <v>564</v>
      </c>
      <c r="D220" s="119" t="s">
        <v>824</v>
      </c>
      <c r="E220" s="104" t="s">
        <v>581</v>
      </c>
      <c r="F220" s="358"/>
      <c r="G220" s="357">
        <v>14627</v>
      </c>
      <c r="H220" s="103" t="s">
        <v>102</v>
      </c>
      <c r="I220" s="60">
        <v>813</v>
      </c>
      <c r="J220" s="134">
        <v>559.55234364825174</v>
      </c>
      <c r="K220" s="57">
        <v>5338.8549999999996</v>
      </c>
      <c r="L220" s="87">
        <v>1034.4343188909027</v>
      </c>
      <c r="M220" s="87">
        <v>2917.9065028591913</v>
      </c>
      <c r="N220" s="57">
        <v>0</v>
      </c>
      <c r="O220" s="57">
        <v>933.73008091494125</v>
      </c>
      <c r="P220" s="57">
        <v>1021.2672760007168</v>
      </c>
      <c r="Q220" s="88">
        <f>IFERROR(IF(tblPiNAnalysis[[#This Row],[SAMV]]="", "", MROUND(tblPiNAnalysis[[#This Row],[SAMV]]/tblPiNAnalysis[[#This Row],[Población]], 0.05)), "")</f>
        <v>0.05</v>
      </c>
      <c r="R220" s="89">
        <f>IFERROR(IF(tblPiNAnalysis[[#This Row],[NUT]]="", "", MROUND(tblPiNAnalysis[[#This Row],[NUT]]/tblPiNAnalysis[[#This Row],[Población]], 0.05)), "")</f>
        <v>0.05</v>
      </c>
      <c r="S220" s="89">
        <f>IFERROR(IF(tblPiNAnalysis[[#This Row],[SAL]]="", "", MROUND(tblPiNAnalysis[[#This Row],[SAL]]/tblPiNAnalysis[[#This Row],[Población]], 0.05)), "")</f>
        <v>0.35000000000000003</v>
      </c>
      <c r="T220" s="89">
        <f>IFERROR(IF(tblPiNAnalysis[[#This Row],[EDU]]="", "", MROUND(tblPiNAnalysis[[#This Row],[EDU]]/tblPiNAnalysis[[#This Row],[Población]], 0.05)), "")</f>
        <v>0.05</v>
      </c>
      <c r="U220" s="89">
        <f>IFERROR(IF(tblPiNAnalysis[[#This Row],[PRO]]="", "", MROUND(tblPiNAnalysis[[#This Row],[PRO]]/tblPiNAnalysis[[#This Row],[Población]], 0.05)), "")</f>
        <v>0.2</v>
      </c>
      <c r="V220" s="90">
        <f>IFERROR(IF(tblPiNAnalysis[[#This Row],[ASH]]="", "", MROUND(tblPiNAnalysis[[#This Row],[ASH]]/tblPiNAnalysis[[#This Row],[Población]], 0.05)), "")</f>
        <v>0</v>
      </c>
      <c r="W220" s="89">
        <f>IFERROR(MROUND(tblPiNAnalysis[[#This Row],[NNA]]/tblPiNAnalysis[[#This Row],[Población]], 0.05), "")</f>
        <v>0.05</v>
      </c>
      <c r="X220" s="89">
        <f>IFERROR(MROUND(tblPiNAnalysis[[#This Row],[VBG]]/tblPiNAnalysis[[#This Row],[Población]], 0.05), "")</f>
        <v>0.05</v>
      </c>
      <c r="Y220" s="91">
        <f>IFERROR(LARGE(tblPiNAnalysis[[#This Row],[SAMV]:[ASH]], 1), "")</f>
        <v>5338.8549999999996</v>
      </c>
      <c r="Z220" s="92" t="str" cm="1">
        <f t="array" ref="Z220">IF(tblPiNAnalysis[[#This Row],[PiN más alto]]="", "", _xlfn.TEXTJOIN(CHAR(10), TRUE, IF(tblPiNAnalysis[[#This Row],[PiN más alto]]=tblPiNAnalysis[[#This Row],[SAMV]:[ASH]], tblPiNAnalysis[[#Headers],[SAMV]:[ASH]], "")))</f>
        <v>SAL</v>
      </c>
      <c r="AA220" s="93">
        <f>IF(tblPiNAnalysis[[#This Row],[PiN más alto]]="", "", tblPiNAnalysis[[#This Row],[PiN más alto]]/tblPiNAnalysis[[#This Row],[Población]])</f>
        <v>0.36499999999999999</v>
      </c>
      <c r="AB220" s="94" t="str">
        <f>IF(SUM(tblPiNAnalysis[[#This Row],[SAMV]:[ASH]])=0, "",IF(COUNTIF(tblPiNAnalysis[[#This Row],[SAMV]:[ASH]],"=0")+COUNTIF(tblPiNAnalysis[[#This Row],[SAMV]:[ASH]],"")&gt;=zero_pin_thresh, "Flagged", ""))</f>
        <v/>
      </c>
      <c r="AC220" s="95" t="str">
        <f>IFERROR(IF(tblPiNAnalysis[[#This Row],[PiN más alto]]="", "", IF(tblPiNAnalysis[[#This Row],[% PiN Sectores más altos]]&gt;=flag_pin_perc, "Flagged", "")), "")</f>
        <v/>
      </c>
      <c r="AD220" s="96" t="str" cm="1">
        <f t="array" ref="AD220">IF(tblPiNAnalysis[[#This Row],[PiN más alto]]=0, "",  IF(OR(COUNTIF(tblPiNAnalysis[[#This Row],[Sectores más altos]],tblSubSectorPopulation[Sector])), "Flagged", ""))</f>
        <v/>
      </c>
      <c r="AE220" s="16" cm="1">
        <f t="array" ref="AE22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2917.9065028591913</v>
      </c>
      <c r="AF220" s="97" t="str" cm="1">
        <f t="array" ref="AF220">IF(tblPiNAnalysis[[#This Row],[2º PiN más alto]]="", "", _xlfn.TEXTJOIN(CHAR(10), TRUE, IF(tblPiNAnalysis[[#This Row],[2º PiN más alto]]=tblPiNAnalysis[[#This Row],[SAMV]:[ASH]], tblPiNAnalysis[[#Headers],[SAMV]:[ASH]], "")))</f>
        <v>PRO</v>
      </c>
      <c r="AG220" s="12">
        <f>IFERROR(tblPiNAnalysis[[#This Row],[2º PiN más alto]]/tblPiNAnalysis[[#This Row],[Población]], "")</f>
        <v>0.19948769418603893</v>
      </c>
      <c r="AH220" s="16">
        <f>IFERROR(tblPiNAnalysis[[#This Row],[PiN más alto]]-tblPiNAnalysis[[#This Row],[2º PiN más alto]], "")</f>
        <v>2420.9484971408083</v>
      </c>
      <c r="AI220" s="14">
        <f>IFERROR(((tblPiNAnalysis[[#This Row],[PiN más alto]]-tblPiNAnalysis[[#This Row],[2º PiN más alto]])/tblPiNAnalysis[[#This Row],[2º PiN más alto]]),"")</f>
        <v>0.82968679591637873</v>
      </c>
      <c r="AJ220" s="14" t="str" cm="1">
        <f t="array" ref="AJ22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20" s="98" cm="1">
        <f t="array" ref="AK22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1034.4343188909027</v>
      </c>
      <c r="AL220" s="53" t="str" cm="1">
        <f t="array" ref="AL220">IF(tblPiNAnalysis[[#This Row],[3º PiN más alto]]="", "", _xlfn.TEXTJOIN(CHAR(10), TRUE, IF(tblPiNAnalysis[[#This Row],[3º PiN más alto]]=tblPiNAnalysis[[#This Row],[SAMV]:[ASH]], tblPiNAnalysis[[#Headers],[SAMV]:[ASH]], "")))</f>
        <v>EDU</v>
      </c>
      <c r="AM220" s="53">
        <f>IFERROR(tblPiNAnalysis[[#This Row],[3º PiN más alto]]/tblPiNAnalysis[[#This Row],[Población]], "")</f>
        <v>7.0720880487516416E-2</v>
      </c>
      <c r="AN220" s="15">
        <f>IFERROR(tblPiNAnalysis[[#This Row],[PiN más alto]]-tblPiNAnalysis[[#This Row],[3º PiN más alto]],"")</f>
        <v>4304.4206811090971</v>
      </c>
      <c r="AO220" s="14">
        <f>IFERROR(tblPiNAnalysis[[#This Row],[Diferencia de PiN entre el más alto y el 3º más alto]]/tblPiNAnalysis[[#This Row],[3º PiN más alto]], "")</f>
        <v>4.1611348371776771</v>
      </c>
      <c r="AP220" s="96" t="str" cm="1">
        <f t="array" ref="AP22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20" s="84" cm="1">
        <f t="array" ref="AQ220">IFERROR(IF(tblPiNAnalysis[[#This Row],[ID]]="", "", INDEX(tblPiNHistorical[[SAMV]:[ASH]], MATCH(tblPiNAnalysis[[#This Row],[ID]],tblPiNHistorical[ID], 0),MATCH(_xlfn._xlws.FILTER(tblPiNAnalysis[[#Headers],[SAMV]:[ASH]], tblPiNAnalysis[[#This Row],[PiN más alto]]=tblPiNAnalysis[[#This Row],[SAMV]:[ASH]]), tblPiNHistorical[[#Headers],[SAMV]:[ASH]], 0))), "")</f>
        <v>11.8</v>
      </c>
      <c r="AR220" s="99" t="str" cm="1">
        <f t="array" ref="AR22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20" s="74" cm="1">
        <f t="array" ref="AS220">IFERROR(IF(tblPiNAnalysis[[#This Row],[ID]]="", "", INDEX(tblPiNHistorical[[SAMV]:[ASH]], MATCH(tblPiNAnalysis[[#This Row],[ID]],tblPiNHistorical[ID], 0),MATCH(_xlfn._xlws.FILTER(tblPiNAnalysis[[#Headers],[SAMV]:[ASH]], tblPiNAnalysis[[#This Row],[2º PiN más alto]]=tblPiNAnalysis[[#This Row],[SAMV]:[ASH]]), tblPiNHistorical[[#Headers],[SAMV]:[ASH]], 0))), "")</f>
        <v>0.5</v>
      </c>
      <c r="AT220" s="100" t="str" cm="1">
        <f t="array" ref="AT22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20" s="219">
        <f>INDEX(tblSeverityAnalysis[Severidad final], MATCH(tblPiNAnalysis[[#This Row],[ID]],tblSeverityAnalysis[ID], 0))</f>
        <v>3</v>
      </c>
      <c r="AV220" s="220">
        <f>IF(tblPiNAnalysis[[#This Row],[Severidad]]&gt;2,tblPiNAnalysis[[#This Row],[PiN más alto]],)</f>
        <v>5338.8549999999996</v>
      </c>
      <c r="AW220" s="54"/>
      <c r="AX220" s="55"/>
      <c r="AY220" s="56">
        <f>COUNTIFS(tblPiNAnalysis[[#This Row],[Número de PiN ausentes/cero superior al umbral - Calidad de los datos]:[Marcador manual]],"Flagged")</f>
        <v>3</v>
      </c>
      <c r="AZ220" s="34" t="str">
        <f>IF(tblPiNAnalysis[[#This Row],[Número de marcadores]]&gt;0, "Flagged", "")</f>
        <v>Flagged</v>
      </c>
      <c r="BA220" s="92">
        <f>tblPiNAnalysis[[#This Row],[PiN preliminar]]</f>
        <v>5338.8549999999996</v>
      </c>
      <c r="BB220" s="97"/>
      <c r="BC220" s="70">
        <f>IFERROR(IF(tblPiNAnalysis[[#This Row],[Severidad]]=3,tblPiNAnalysis[[#This Row],[PiN final]]*Umbrales!$D$33,tblPiNAnalysis[[#This Row],[PiN final]]*Umbrales!$D$34),)</f>
        <v>2669.4274999999998</v>
      </c>
      <c r="BD220" s="70">
        <f>IFERROR(IF(tblPiNAnalysis[[#This Row],[Severidad]]&gt;3,tblPiNAnalysis[[#This Row],[PiN final]]*Umbrales!$D$34,),)</f>
        <v>0</v>
      </c>
    </row>
    <row r="221" spans="1:56">
      <c r="A221" s="101" t="str">
        <f>IFERROR(_xlfn.CONCAT(IF(tblPiNAnalysis[[#This Row],[Grupo]]="", "",tblPiNAnalysis[[#This Row],[Grupo]] ),  _xlfn.IFS(tblPiNAnalysis[[#This Row],[Admin2PCODE]]&lt;&gt;"", tblPiNAnalysis[[#This Row],[Admin2PCODE]], tblPiNAnalysis[[#This Row],[Admin1PCODE]]&lt;&gt;"", tblPiNAnalysis[[#This Row],[Admin1PCODE]])),"")</f>
        <v>VenezolanosVE0518</v>
      </c>
      <c r="B221" s="105" t="s">
        <v>123</v>
      </c>
      <c r="C221" s="104" t="s">
        <v>179</v>
      </c>
      <c r="D221" s="119" t="s">
        <v>825</v>
      </c>
      <c r="E221" s="104" t="s">
        <v>214</v>
      </c>
      <c r="F221" s="358"/>
      <c r="G221" s="357">
        <v>13105</v>
      </c>
      <c r="H221" s="103" t="s">
        <v>102</v>
      </c>
      <c r="I221" s="60">
        <v>2184</v>
      </c>
      <c r="J221" s="134">
        <v>425.99653851825843</v>
      </c>
      <c r="K221" s="57">
        <v>5200</v>
      </c>
      <c r="L221" s="87">
        <v>1213.8393721090986</v>
      </c>
      <c r="M221" s="87">
        <v>2614.441663292575</v>
      </c>
      <c r="N221" s="57">
        <v>0</v>
      </c>
      <c r="O221" s="57">
        <v>839.23577391691663</v>
      </c>
      <c r="P221" s="57">
        <v>915.05458215240117</v>
      </c>
      <c r="Q221" s="88">
        <f>IFERROR(IF(tblPiNAnalysis[[#This Row],[SAMV]]="", "", MROUND(tblPiNAnalysis[[#This Row],[SAMV]]/tblPiNAnalysis[[#This Row],[Población]], 0.05)), "")</f>
        <v>0.15000000000000002</v>
      </c>
      <c r="R221" s="89">
        <f>IFERROR(IF(tblPiNAnalysis[[#This Row],[NUT]]="", "", MROUND(tblPiNAnalysis[[#This Row],[NUT]]/tblPiNAnalysis[[#This Row],[Población]], 0.05)), "")</f>
        <v>0.05</v>
      </c>
      <c r="S221" s="89">
        <f>IFERROR(IF(tblPiNAnalysis[[#This Row],[SAL]]="", "", MROUND(tblPiNAnalysis[[#This Row],[SAL]]/tblPiNAnalysis[[#This Row],[Población]], 0.05)), "")</f>
        <v>0.4</v>
      </c>
      <c r="T221" s="89">
        <f>IFERROR(IF(tblPiNAnalysis[[#This Row],[EDU]]="", "", MROUND(tblPiNAnalysis[[#This Row],[EDU]]/tblPiNAnalysis[[#This Row],[Población]], 0.05)), "")</f>
        <v>0.1</v>
      </c>
      <c r="U221" s="89">
        <f>IFERROR(IF(tblPiNAnalysis[[#This Row],[PRO]]="", "", MROUND(tblPiNAnalysis[[#This Row],[PRO]]/tblPiNAnalysis[[#This Row],[Población]], 0.05)), "")</f>
        <v>0.2</v>
      </c>
      <c r="V221" s="90">
        <f>IFERROR(IF(tblPiNAnalysis[[#This Row],[ASH]]="", "", MROUND(tblPiNAnalysis[[#This Row],[ASH]]/tblPiNAnalysis[[#This Row],[Población]], 0.05)), "")</f>
        <v>0</v>
      </c>
      <c r="W221" s="89">
        <f>IFERROR(MROUND(tblPiNAnalysis[[#This Row],[NNA]]/tblPiNAnalysis[[#This Row],[Población]], 0.05), "")</f>
        <v>0.05</v>
      </c>
      <c r="X221" s="89">
        <f>IFERROR(MROUND(tblPiNAnalysis[[#This Row],[VBG]]/tblPiNAnalysis[[#This Row],[Población]], 0.05), "")</f>
        <v>0.05</v>
      </c>
      <c r="Y221" s="91">
        <f>IFERROR(LARGE(tblPiNAnalysis[[#This Row],[SAMV]:[ASH]], 1), "")</f>
        <v>5200</v>
      </c>
      <c r="Z221" s="92" t="str" cm="1">
        <f t="array" ref="Z221">IF(tblPiNAnalysis[[#This Row],[PiN más alto]]="", "", _xlfn.TEXTJOIN(CHAR(10), TRUE, IF(tblPiNAnalysis[[#This Row],[PiN más alto]]=tblPiNAnalysis[[#This Row],[SAMV]:[ASH]], tblPiNAnalysis[[#Headers],[SAMV]:[ASH]], "")))</f>
        <v>SAL</v>
      </c>
      <c r="AA221" s="93">
        <f>IF(tblPiNAnalysis[[#This Row],[PiN más alto]]="", "", tblPiNAnalysis[[#This Row],[PiN más alto]]/tblPiNAnalysis[[#This Row],[Población]])</f>
        <v>0.39679511636779857</v>
      </c>
      <c r="AB221" s="94" t="str">
        <f>IF(SUM(tblPiNAnalysis[[#This Row],[SAMV]:[ASH]])=0, "",IF(COUNTIF(tblPiNAnalysis[[#This Row],[SAMV]:[ASH]],"=0")+COUNTIF(tblPiNAnalysis[[#This Row],[SAMV]:[ASH]],"")&gt;=zero_pin_thresh, "Flagged", ""))</f>
        <v/>
      </c>
      <c r="AC221" s="95" t="str">
        <f>IFERROR(IF(tblPiNAnalysis[[#This Row],[PiN más alto]]="", "", IF(tblPiNAnalysis[[#This Row],[% PiN Sectores más altos]]&gt;=flag_pin_perc, "Flagged", "")), "")</f>
        <v/>
      </c>
      <c r="AD221" s="96" t="str" cm="1">
        <f t="array" ref="AD221">IF(tblPiNAnalysis[[#This Row],[PiN más alto]]=0, "",  IF(OR(COUNTIF(tblPiNAnalysis[[#This Row],[Sectores más altos]],tblSubSectorPopulation[Sector])), "Flagged", ""))</f>
        <v/>
      </c>
      <c r="AE221" s="16" cm="1">
        <f t="array" ref="AE22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2614.441663292575</v>
      </c>
      <c r="AF221" s="97" t="str" cm="1">
        <f t="array" ref="AF221">IF(tblPiNAnalysis[[#This Row],[2º PiN más alto]]="", "", _xlfn.TEXTJOIN(CHAR(10), TRUE, IF(tblPiNAnalysis[[#This Row],[2º PiN más alto]]=tblPiNAnalysis[[#This Row],[SAMV]:[ASH]], tblPiNAnalysis[[#Headers],[SAMV]:[ASH]], "")))</f>
        <v>PRO</v>
      </c>
      <c r="AG221" s="12">
        <f>IFERROR(tblPiNAnalysis[[#This Row],[2º PiN más alto]]/tblPiNAnalysis[[#This Row],[Población]], "")</f>
        <v>0.19949955461980731</v>
      </c>
      <c r="AH221" s="16">
        <f>IFERROR(tblPiNAnalysis[[#This Row],[PiN más alto]]-tblPiNAnalysis[[#This Row],[2º PiN más alto]], "")</f>
        <v>2585.558336707425</v>
      </c>
      <c r="AI221" s="14">
        <f>IFERROR(((tblPiNAnalysis[[#This Row],[PiN más alto]]-tblPiNAnalysis[[#This Row],[2º PiN más alto]])/tblPiNAnalysis[[#This Row],[2º PiN más alto]]),"")</f>
        <v>0.98895239201903828</v>
      </c>
      <c r="AJ221" s="14" t="str" cm="1">
        <f t="array" ref="AJ22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21" s="98" cm="1">
        <f t="array" ref="AK22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2184</v>
      </c>
      <c r="AL221" s="53" t="str" cm="1">
        <f t="array" ref="AL221">IF(tblPiNAnalysis[[#This Row],[3º PiN más alto]]="", "", _xlfn.TEXTJOIN(CHAR(10), TRUE, IF(tblPiNAnalysis[[#This Row],[3º PiN más alto]]=tblPiNAnalysis[[#This Row],[SAMV]:[ASH]], tblPiNAnalysis[[#Headers],[SAMV]:[ASH]], "")))</f>
        <v>SAMV</v>
      </c>
      <c r="AM221" s="53">
        <f>IFERROR(tblPiNAnalysis[[#This Row],[3º PiN más alto]]/tblPiNAnalysis[[#This Row],[Población]], "")</f>
        <v>0.16665394887447538</v>
      </c>
      <c r="AN221" s="15">
        <f>IFERROR(tblPiNAnalysis[[#This Row],[PiN más alto]]-tblPiNAnalysis[[#This Row],[3º PiN más alto]],"")</f>
        <v>3016</v>
      </c>
      <c r="AO221" s="14">
        <f>IFERROR(tblPiNAnalysis[[#This Row],[Diferencia de PiN entre el más alto y el 3º más alto]]/tblPiNAnalysis[[#This Row],[3º PiN más alto]], "")</f>
        <v>1.3809523809523809</v>
      </c>
      <c r="AP221" s="96" t="str" cm="1">
        <f t="array" ref="AP22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21" s="84" cm="1">
        <f t="array" ref="AQ221">IFERROR(IF(tblPiNAnalysis[[#This Row],[ID]]="", "", INDEX(tblPiNHistorical[[SAMV]:[ASH]], MATCH(tblPiNAnalysis[[#This Row],[ID]],tblPiNHistorical[ID], 0),MATCH(_xlfn._xlws.FILTER(tblPiNAnalysis[[#Headers],[SAMV]:[ASH]], tblPiNAnalysis[[#This Row],[PiN más alto]]=tblPiNAnalysis[[#This Row],[SAMV]:[ASH]]), tblPiNHistorical[[#Headers],[SAMV]:[ASH]], 0))), "")</f>
        <v>10.5</v>
      </c>
      <c r="AR221" s="99" t="str" cm="1">
        <f t="array" ref="AR22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21" s="74" cm="1">
        <f t="array" ref="AS221">IFERROR(IF(tblPiNAnalysis[[#This Row],[ID]]="", "", INDEX(tblPiNHistorical[[SAMV]:[ASH]], MATCH(tblPiNAnalysis[[#This Row],[ID]],tblPiNHistorical[ID], 0),MATCH(_xlfn._xlws.FILTER(tblPiNAnalysis[[#Headers],[SAMV]:[ASH]], tblPiNAnalysis[[#This Row],[2º PiN más alto]]=tblPiNAnalysis[[#This Row],[SAMV]:[ASH]]), tblPiNHistorical[[#Headers],[SAMV]:[ASH]], 0))), "")</f>
        <v>2</v>
      </c>
      <c r="AT221" s="100" t="str" cm="1">
        <f t="array" ref="AT22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21" s="219">
        <f>INDEX(tblSeverityAnalysis[Severidad final], MATCH(tblPiNAnalysis[[#This Row],[ID]],tblSeverityAnalysis[ID], 0))</f>
        <v>3</v>
      </c>
      <c r="AV221" s="220">
        <f>IF(tblPiNAnalysis[[#This Row],[Severidad]]&gt;2,tblPiNAnalysis[[#This Row],[PiN más alto]],)</f>
        <v>5200</v>
      </c>
      <c r="AW221" s="54"/>
      <c r="AX221" s="55"/>
      <c r="AY221" s="56">
        <f>COUNTIFS(tblPiNAnalysis[[#This Row],[Número de PiN ausentes/cero superior al umbral - Calidad de los datos]:[Marcador manual]],"Flagged")</f>
        <v>4</v>
      </c>
      <c r="AZ221" s="34" t="str">
        <f>IF(tblPiNAnalysis[[#This Row],[Número de marcadores]]&gt;0, "Flagged", "")</f>
        <v>Flagged</v>
      </c>
      <c r="BA221" s="92">
        <f>tblPiNAnalysis[[#This Row],[PiN preliminar]]</f>
        <v>5200</v>
      </c>
      <c r="BB221" s="97"/>
      <c r="BC221" s="70">
        <f>IFERROR(IF(tblPiNAnalysis[[#This Row],[Severidad]]=3,tblPiNAnalysis[[#This Row],[PiN final]]*Umbrales!$D$33,tblPiNAnalysis[[#This Row],[PiN final]]*Umbrales!$D$34),)</f>
        <v>2600</v>
      </c>
      <c r="BD221" s="70">
        <f>IFERROR(IF(tblPiNAnalysis[[#This Row],[Severidad]]&gt;3,tblPiNAnalysis[[#This Row],[PiN final]]*Umbrales!$D$34,),)</f>
        <v>0</v>
      </c>
    </row>
    <row r="222" spans="1:56">
      <c r="A222" s="101" t="str">
        <f>IFERROR(_xlfn.CONCAT(IF(tblPiNAnalysis[[#This Row],[Grupo]]="", "",tblPiNAnalysis[[#This Row],[Grupo]] ),  _xlfn.IFS(tblPiNAnalysis[[#This Row],[Admin2PCODE]]&lt;&gt;"", tblPiNAnalysis[[#This Row],[Admin2PCODE]], tblPiNAnalysis[[#This Row],[Admin1PCODE]]&lt;&gt;"", tblPiNAnalysis[[#This Row],[Admin1PCODE]])),"")</f>
        <v>VenezolanosVE0206</v>
      </c>
      <c r="B222" s="105" t="s">
        <v>103</v>
      </c>
      <c r="C222" s="104" t="s">
        <v>104</v>
      </c>
      <c r="D222" s="119" t="s">
        <v>115</v>
      </c>
      <c r="E222" s="104" t="s">
        <v>116</v>
      </c>
      <c r="F222" s="358"/>
      <c r="G222" s="357">
        <v>7896</v>
      </c>
      <c r="H222" s="103" t="s">
        <v>102</v>
      </c>
      <c r="I222" s="60">
        <v>2632</v>
      </c>
      <c r="J222" s="134">
        <v>1275.4925719681594</v>
      </c>
      <c r="K222" s="57">
        <v>2882.04</v>
      </c>
      <c r="L222" s="87">
        <v>672.57931585203801</v>
      </c>
      <c r="M222" s="87">
        <v>1574.2859885029077</v>
      </c>
      <c r="N222" s="57">
        <v>4737.5999999999995</v>
      </c>
      <c r="O222" s="57">
        <v>505.3458023094334</v>
      </c>
      <c r="P222" s="57">
        <v>551.00009597601763</v>
      </c>
      <c r="Q222" s="88">
        <f>IFERROR(IF(tblPiNAnalysis[[#This Row],[SAMV]]="", "", MROUND(tblPiNAnalysis[[#This Row],[SAMV]]/tblPiNAnalysis[[#This Row],[Población]], 0.05)), "")</f>
        <v>0.35000000000000003</v>
      </c>
      <c r="R222" s="89">
        <f>IFERROR(IF(tblPiNAnalysis[[#This Row],[NUT]]="", "", MROUND(tblPiNAnalysis[[#This Row],[NUT]]/tblPiNAnalysis[[#This Row],[Población]], 0.05)), "")</f>
        <v>0.15000000000000002</v>
      </c>
      <c r="S222" s="89">
        <f>IFERROR(IF(tblPiNAnalysis[[#This Row],[SAL]]="", "", MROUND(tblPiNAnalysis[[#This Row],[SAL]]/tblPiNAnalysis[[#This Row],[Población]], 0.05)), "")</f>
        <v>0.35000000000000003</v>
      </c>
      <c r="T222" s="89">
        <f>IFERROR(IF(tblPiNAnalysis[[#This Row],[EDU]]="", "", MROUND(tblPiNAnalysis[[#This Row],[EDU]]/tblPiNAnalysis[[#This Row],[Población]], 0.05)), "")</f>
        <v>0.1</v>
      </c>
      <c r="U222" s="89">
        <f>IFERROR(IF(tblPiNAnalysis[[#This Row],[PRO]]="", "", MROUND(tblPiNAnalysis[[#This Row],[PRO]]/tblPiNAnalysis[[#This Row],[Población]], 0.05)), "")</f>
        <v>0.2</v>
      </c>
      <c r="V222" s="90">
        <f>IFERROR(IF(tblPiNAnalysis[[#This Row],[ASH]]="", "", MROUND(tblPiNAnalysis[[#This Row],[ASH]]/tblPiNAnalysis[[#This Row],[Población]], 0.05)), "")</f>
        <v>0.60000000000000009</v>
      </c>
      <c r="W222" s="89">
        <f>IFERROR(MROUND(tblPiNAnalysis[[#This Row],[NNA]]/tblPiNAnalysis[[#This Row],[Población]], 0.05), "")</f>
        <v>0.05</v>
      </c>
      <c r="X222" s="89">
        <f>IFERROR(MROUND(tblPiNAnalysis[[#This Row],[VBG]]/tblPiNAnalysis[[#This Row],[Población]], 0.05), "")</f>
        <v>0.05</v>
      </c>
      <c r="Y222" s="91">
        <f>IFERROR(LARGE(tblPiNAnalysis[[#This Row],[SAMV]:[ASH]], 1), "")</f>
        <v>4737.5999999999995</v>
      </c>
      <c r="Z222" s="92" t="str" cm="1">
        <f t="array" ref="Z222">IF(tblPiNAnalysis[[#This Row],[PiN más alto]]="", "", _xlfn.TEXTJOIN(CHAR(10), TRUE, IF(tblPiNAnalysis[[#This Row],[PiN más alto]]=tblPiNAnalysis[[#This Row],[SAMV]:[ASH]], tblPiNAnalysis[[#Headers],[SAMV]:[ASH]], "")))</f>
        <v>ASH</v>
      </c>
      <c r="AA222" s="93">
        <f>IF(tblPiNAnalysis[[#This Row],[PiN más alto]]="", "", tblPiNAnalysis[[#This Row],[PiN más alto]]/tblPiNAnalysis[[#This Row],[Población]])</f>
        <v>0.6</v>
      </c>
      <c r="AB222" s="94" t="str">
        <f>IF(SUM(tblPiNAnalysis[[#This Row],[SAMV]:[ASH]])=0, "",IF(COUNTIF(tblPiNAnalysis[[#This Row],[SAMV]:[ASH]],"=0")+COUNTIF(tblPiNAnalysis[[#This Row],[SAMV]:[ASH]],"")&gt;=zero_pin_thresh, "Flagged", ""))</f>
        <v/>
      </c>
      <c r="AC222" s="95" t="str">
        <f>IFERROR(IF(tblPiNAnalysis[[#This Row],[PiN más alto]]="", "", IF(tblPiNAnalysis[[#This Row],[% PiN Sectores más altos]]&gt;=flag_pin_perc, "Flagged", "")), "")</f>
        <v/>
      </c>
      <c r="AD222" s="96" t="str" cm="1">
        <f t="array" ref="AD222">IF(tblPiNAnalysis[[#This Row],[PiN más alto]]=0, "",  IF(OR(COUNTIF(tblPiNAnalysis[[#This Row],[Sectores más altos]],tblSubSectorPopulation[Sector])), "Flagged", ""))</f>
        <v/>
      </c>
      <c r="AE222" s="16" cm="1">
        <f t="array" ref="AE22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2882.04</v>
      </c>
      <c r="AF222" s="97" t="str" cm="1">
        <f t="array" ref="AF222">IF(tblPiNAnalysis[[#This Row],[2º PiN más alto]]="", "", _xlfn.TEXTJOIN(CHAR(10), TRUE, IF(tblPiNAnalysis[[#This Row],[2º PiN más alto]]=tblPiNAnalysis[[#This Row],[SAMV]:[ASH]], tblPiNAnalysis[[#Headers],[SAMV]:[ASH]], "")))</f>
        <v>SAL</v>
      </c>
      <c r="AG222" s="12">
        <f>IFERROR(tblPiNAnalysis[[#This Row],[2º PiN más alto]]/tblPiNAnalysis[[#This Row],[Población]], "")</f>
        <v>0.36499999999999999</v>
      </c>
      <c r="AH222" s="16">
        <f>IFERROR(tblPiNAnalysis[[#This Row],[PiN más alto]]-tblPiNAnalysis[[#This Row],[2º PiN más alto]], "")</f>
        <v>1855.5599999999995</v>
      </c>
      <c r="AI222" s="14">
        <f>IFERROR(((tblPiNAnalysis[[#This Row],[PiN más alto]]-tblPiNAnalysis[[#This Row],[2º PiN más alto]])/tblPiNAnalysis[[#This Row],[2º PiN más alto]]),"")</f>
        <v>0.64383561643835596</v>
      </c>
      <c r="AJ222" s="14" t="str" cm="1">
        <f t="array" ref="AJ22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22" s="98" cm="1">
        <f t="array" ref="AK22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2632</v>
      </c>
      <c r="AL222" s="53" t="str" cm="1">
        <f t="array" ref="AL222">IF(tblPiNAnalysis[[#This Row],[3º PiN más alto]]="", "", _xlfn.TEXTJOIN(CHAR(10), TRUE, IF(tblPiNAnalysis[[#This Row],[3º PiN más alto]]=tblPiNAnalysis[[#This Row],[SAMV]:[ASH]], tblPiNAnalysis[[#Headers],[SAMV]:[ASH]], "")))</f>
        <v>SAMV</v>
      </c>
      <c r="AM222" s="53">
        <f>IFERROR(tblPiNAnalysis[[#This Row],[3º PiN más alto]]/tblPiNAnalysis[[#This Row],[Población]], "")</f>
        <v>0.33333333333333331</v>
      </c>
      <c r="AN222" s="15">
        <f>IFERROR(tblPiNAnalysis[[#This Row],[PiN más alto]]-tblPiNAnalysis[[#This Row],[3º PiN más alto]],"")</f>
        <v>2105.5999999999995</v>
      </c>
      <c r="AO222" s="14">
        <f>IFERROR(tblPiNAnalysis[[#This Row],[Diferencia de PiN entre el más alto y el 3º más alto]]/tblPiNAnalysis[[#This Row],[3º PiN más alto]], "")</f>
        <v>0.79999999999999982</v>
      </c>
      <c r="AP222" s="96" t="str" cm="1">
        <f t="array" ref="AP22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22" s="84" cm="1">
        <f t="array" ref="AQ222">IFERROR(IF(tblPiNAnalysis[[#This Row],[ID]]="", "", INDEX(tblPiNHistorical[[SAMV]:[ASH]], MATCH(tblPiNAnalysis[[#This Row],[ID]],tblPiNHistorical[ID], 0),MATCH(_xlfn._xlws.FILTER(tblPiNAnalysis[[#Headers],[SAMV]:[ASH]], tblPiNAnalysis[[#This Row],[PiN más alto]]=tblPiNAnalysis[[#This Row],[SAMV]:[ASH]]), tblPiNHistorical[[#Headers],[SAMV]:[ASH]], 0))), "")</f>
        <v>66</v>
      </c>
      <c r="AR222" s="99" t="str" cm="1">
        <f t="array" ref="AR22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22" s="74" cm="1">
        <f t="array" ref="AS222">IFERROR(IF(tblPiNAnalysis[[#This Row],[ID]]="", "", INDEX(tblPiNHistorical[[SAMV]:[ASH]], MATCH(tblPiNAnalysis[[#This Row],[ID]],tblPiNHistorical[ID], 0),MATCH(_xlfn._xlws.FILTER(tblPiNAnalysis[[#Headers],[SAMV]:[ASH]], tblPiNAnalysis[[#This Row],[2º PiN más alto]]=tblPiNAnalysis[[#This Row],[SAMV]:[ASH]]), tblPiNHistorical[[#Headers],[SAMV]:[ASH]], 0))), "")</f>
        <v>77.3</v>
      </c>
      <c r="AT222" s="100" t="str" cm="1">
        <f t="array" ref="AT22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22" s="219">
        <f>INDEX(tblSeverityAnalysis[Severidad final], MATCH(tblPiNAnalysis[[#This Row],[ID]],tblSeverityAnalysis[ID], 0))</f>
        <v>4</v>
      </c>
      <c r="AV222" s="220">
        <f>IF(tblPiNAnalysis[[#This Row],[Severidad]]&gt;2,tblPiNAnalysis[[#This Row],[PiN más alto]],)</f>
        <v>4737.5999999999995</v>
      </c>
      <c r="AW222" s="54"/>
      <c r="AX222" s="55"/>
      <c r="AY222" s="56">
        <f>COUNTIFS(tblPiNAnalysis[[#This Row],[Número de PiN ausentes/cero superior al umbral - Calidad de los datos]:[Marcador manual]],"Flagged")</f>
        <v>4</v>
      </c>
      <c r="AZ222" s="34" t="str">
        <f>IF(tblPiNAnalysis[[#This Row],[Número de marcadores]]&gt;0, "Flagged", "")</f>
        <v>Flagged</v>
      </c>
      <c r="BA222" s="92">
        <f>tblPiNAnalysis[[#This Row],[PiN preliminar]]</f>
        <v>4737.5999999999995</v>
      </c>
      <c r="BB222" s="97"/>
      <c r="BC222" s="70">
        <f>IFERROR(IF(tblPiNAnalysis[[#This Row],[Severidad]]=3,tblPiNAnalysis[[#This Row],[PiN final]]*Umbrales!$D$33,tblPiNAnalysis[[#This Row],[PiN final]]*Umbrales!$D$34),)</f>
        <v>4737.5999999999995</v>
      </c>
      <c r="BD222" s="70">
        <f>IFERROR(IF(tblPiNAnalysis[[#This Row],[Severidad]]&gt;3,tblPiNAnalysis[[#This Row],[PiN final]]*Umbrales!$D$34,),)</f>
        <v>4737.5999999999995</v>
      </c>
    </row>
    <row r="223" spans="1:56">
      <c r="A223" s="101" t="str">
        <f>IFERROR(_xlfn.CONCAT(IF(tblPiNAnalysis[[#This Row],[Grupo]]="", "",tblPiNAnalysis[[#This Row],[Grupo]] ),  _xlfn.IFS(tblPiNAnalysis[[#This Row],[Admin2PCODE]]&lt;&gt;"", tblPiNAnalysis[[#This Row],[Admin2PCODE]], tblPiNAnalysis[[#This Row],[Admin1PCODE]]&lt;&gt;"", tblPiNAnalysis[[#This Row],[Admin1PCODE]])),"")</f>
        <v>VenezolanosVE1111</v>
      </c>
      <c r="B223" s="105" t="s">
        <v>316</v>
      </c>
      <c r="C223" s="104" t="s">
        <v>317</v>
      </c>
      <c r="D223" s="119" t="s">
        <v>336</v>
      </c>
      <c r="E223" s="104" t="s">
        <v>337</v>
      </c>
      <c r="F223" s="358"/>
      <c r="G223" s="357">
        <v>11484</v>
      </c>
      <c r="H223" s="103" t="s">
        <v>102</v>
      </c>
      <c r="I223" s="60">
        <v>3063</v>
      </c>
      <c r="J223" s="134">
        <v>424.67871277834007</v>
      </c>
      <c r="K223" s="57">
        <v>4191.66</v>
      </c>
      <c r="L223" s="87">
        <v>881.64855293492519</v>
      </c>
      <c r="M223" s="87">
        <v>2290.3437934194194</v>
      </c>
      <c r="N223" s="57">
        <v>0</v>
      </c>
      <c r="O223" s="57">
        <v>732.91001389421422</v>
      </c>
      <c r="P223" s="57">
        <v>801.62032769679672</v>
      </c>
      <c r="Q223" s="88">
        <f>IFERROR(IF(tblPiNAnalysis[[#This Row],[SAMV]]="", "", MROUND(tblPiNAnalysis[[#This Row],[SAMV]]/tblPiNAnalysis[[#This Row],[Población]], 0.05)), "")</f>
        <v>0.25</v>
      </c>
      <c r="R223" s="89">
        <f>IFERROR(IF(tblPiNAnalysis[[#This Row],[NUT]]="", "", MROUND(tblPiNAnalysis[[#This Row],[NUT]]/tblPiNAnalysis[[#This Row],[Población]], 0.05)), "")</f>
        <v>0.05</v>
      </c>
      <c r="S223" s="89">
        <f>IFERROR(IF(tblPiNAnalysis[[#This Row],[SAL]]="", "", MROUND(tblPiNAnalysis[[#This Row],[SAL]]/tblPiNAnalysis[[#This Row],[Población]], 0.05)), "")</f>
        <v>0.35000000000000003</v>
      </c>
      <c r="T223" s="89">
        <f>IFERROR(IF(tblPiNAnalysis[[#This Row],[EDU]]="", "", MROUND(tblPiNAnalysis[[#This Row],[EDU]]/tblPiNAnalysis[[#This Row],[Población]], 0.05)), "")</f>
        <v>0.1</v>
      </c>
      <c r="U223" s="89">
        <f>IFERROR(IF(tblPiNAnalysis[[#This Row],[PRO]]="", "", MROUND(tblPiNAnalysis[[#This Row],[PRO]]/tblPiNAnalysis[[#This Row],[Población]], 0.05)), "")</f>
        <v>0.2</v>
      </c>
      <c r="V223" s="90">
        <f>IFERROR(IF(tblPiNAnalysis[[#This Row],[ASH]]="", "", MROUND(tblPiNAnalysis[[#This Row],[ASH]]/tblPiNAnalysis[[#This Row],[Población]], 0.05)), "")</f>
        <v>0</v>
      </c>
      <c r="W223" s="89">
        <f>IFERROR(MROUND(tblPiNAnalysis[[#This Row],[NNA]]/tblPiNAnalysis[[#This Row],[Población]], 0.05), "")</f>
        <v>0.05</v>
      </c>
      <c r="X223" s="89">
        <f>IFERROR(MROUND(tblPiNAnalysis[[#This Row],[VBG]]/tblPiNAnalysis[[#This Row],[Población]], 0.05), "")</f>
        <v>0.05</v>
      </c>
      <c r="Y223" s="91">
        <f>IFERROR(LARGE(tblPiNAnalysis[[#This Row],[SAMV]:[ASH]], 1), "")</f>
        <v>4191.66</v>
      </c>
      <c r="Z223" s="92" t="str" cm="1">
        <f t="array" ref="Z223">IF(tblPiNAnalysis[[#This Row],[PiN más alto]]="", "", _xlfn.TEXTJOIN(CHAR(10), TRUE, IF(tblPiNAnalysis[[#This Row],[PiN más alto]]=tblPiNAnalysis[[#This Row],[SAMV]:[ASH]], tblPiNAnalysis[[#Headers],[SAMV]:[ASH]], "")))</f>
        <v>SAL</v>
      </c>
      <c r="AA223" s="93">
        <f>IF(tblPiNAnalysis[[#This Row],[PiN más alto]]="", "", tblPiNAnalysis[[#This Row],[PiN más alto]]/tblPiNAnalysis[[#This Row],[Población]])</f>
        <v>0.36499999999999999</v>
      </c>
      <c r="AB223" s="94" t="str">
        <f>IF(SUM(tblPiNAnalysis[[#This Row],[SAMV]:[ASH]])=0, "",IF(COUNTIF(tblPiNAnalysis[[#This Row],[SAMV]:[ASH]],"=0")+COUNTIF(tblPiNAnalysis[[#This Row],[SAMV]:[ASH]],"")&gt;=zero_pin_thresh, "Flagged", ""))</f>
        <v/>
      </c>
      <c r="AC223" s="95" t="str">
        <f>IFERROR(IF(tblPiNAnalysis[[#This Row],[PiN más alto]]="", "", IF(tblPiNAnalysis[[#This Row],[% PiN Sectores más altos]]&gt;=flag_pin_perc, "Flagged", "")), "")</f>
        <v/>
      </c>
      <c r="AD223" s="96" t="str" cm="1">
        <f t="array" ref="AD223">IF(tblPiNAnalysis[[#This Row],[PiN más alto]]=0, "",  IF(OR(COUNTIF(tblPiNAnalysis[[#This Row],[Sectores más altos]],tblSubSectorPopulation[Sector])), "Flagged", ""))</f>
        <v/>
      </c>
      <c r="AE223" s="16" cm="1">
        <f t="array" ref="AE22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3063</v>
      </c>
      <c r="AF223" s="97" t="str" cm="1">
        <f t="array" ref="AF223">IF(tblPiNAnalysis[[#This Row],[2º PiN más alto]]="", "", _xlfn.TEXTJOIN(CHAR(10), TRUE, IF(tblPiNAnalysis[[#This Row],[2º PiN más alto]]=tblPiNAnalysis[[#This Row],[SAMV]:[ASH]], tblPiNAnalysis[[#Headers],[SAMV]:[ASH]], "")))</f>
        <v>SAMV</v>
      </c>
      <c r="AG223" s="12">
        <f>IFERROR(tblPiNAnalysis[[#This Row],[2º PiN más alto]]/tblPiNAnalysis[[#This Row],[Población]], "")</f>
        <v>0.2667189132706374</v>
      </c>
      <c r="AH223" s="16">
        <f>IFERROR(tblPiNAnalysis[[#This Row],[PiN más alto]]-tblPiNAnalysis[[#This Row],[2º PiN más alto]], "")</f>
        <v>1128.6599999999999</v>
      </c>
      <c r="AI223" s="14">
        <f>IFERROR(((tblPiNAnalysis[[#This Row],[PiN más alto]]-tblPiNAnalysis[[#This Row],[2º PiN más alto]])/tblPiNAnalysis[[#This Row],[2º PiN más alto]]),"")</f>
        <v>0.36848188050930458</v>
      </c>
      <c r="AJ223" s="14" t="str" cm="1">
        <f t="array" ref="AJ22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23" s="98" cm="1">
        <f t="array" ref="AK22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2290.3437934194194</v>
      </c>
      <c r="AL223" s="53" t="str" cm="1">
        <f t="array" ref="AL223">IF(tblPiNAnalysis[[#This Row],[3º PiN más alto]]="", "", _xlfn.TEXTJOIN(CHAR(10), TRUE, IF(tblPiNAnalysis[[#This Row],[3º PiN más alto]]=tblPiNAnalysis[[#This Row],[SAMV]:[ASH]], tblPiNAnalysis[[#Headers],[SAMV]:[ASH]], "")))</f>
        <v>PRO</v>
      </c>
      <c r="AM223" s="53">
        <f>IFERROR(tblPiNAnalysis[[#This Row],[3º PiN más alto]]/tblPiNAnalysis[[#This Row],[Población]], "")</f>
        <v>0.1994378085527185</v>
      </c>
      <c r="AN223" s="15">
        <f>IFERROR(tblPiNAnalysis[[#This Row],[PiN más alto]]-tblPiNAnalysis[[#This Row],[3º PiN más alto]],"")</f>
        <v>1901.3162065805805</v>
      </c>
      <c r="AO223" s="14">
        <f>IFERROR(tblPiNAnalysis[[#This Row],[Diferencia de PiN entre el más alto y el 3º más alto]]/tblPiNAnalysis[[#This Row],[3º PiN más alto]], "")</f>
        <v>0.83014445780734447</v>
      </c>
      <c r="AP223" s="96" t="str" cm="1">
        <f t="array" ref="AP22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23" s="84" cm="1">
        <f t="array" ref="AQ223">IFERROR(IF(tblPiNAnalysis[[#This Row],[ID]]="", "", INDEX(tblPiNHistorical[[SAMV]:[ASH]], MATCH(tblPiNAnalysis[[#This Row],[ID]],tblPiNHistorical[ID], 0),MATCH(_xlfn._xlws.FILTER(tblPiNAnalysis[[#Headers],[SAMV]:[ASH]], tblPiNAnalysis[[#This Row],[PiN más alto]]=tblPiNAnalysis[[#This Row],[SAMV]:[ASH]]), tblPiNHistorical[[#Headers],[SAMV]:[ASH]], 0))), "")</f>
        <v>5.2</v>
      </c>
      <c r="AR223" s="99" t="str" cm="1">
        <f t="array" ref="AR22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23" s="74" cm="1">
        <f t="array" ref="AS223">IFERROR(IF(tblPiNAnalysis[[#This Row],[ID]]="", "", INDEX(tblPiNHistorical[[SAMV]:[ASH]], MATCH(tblPiNAnalysis[[#This Row],[ID]],tblPiNHistorical[ID], 0),MATCH(_xlfn._xlws.FILTER(tblPiNAnalysis[[#Headers],[SAMV]:[ASH]], tblPiNAnalysis[[#This Row],[2º PiN más alto]]=tblPiNAnalysis[[#This Row],[SAMV]:[ASH]]), tblPiNHistorical[[#Headers],[SAMV]:[ASH]], 0))), "")</f>
        <v>4.5</v>
      </c>
      <c r="AT223" s="100" t="str" cm="1">
        <f t="array" ref="AT22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23" s="219">
        <f>INDEX(tblSeverityAnalysis[Severidad final], MATCH(tblPiNAnalysis[[#This Row],[ID]],tblSeverityAnalysis[ID], 0))</f>
        <v>3</v>
      </c>
      <c r="AV223" s="220">
        <f>IF(tblPiNAnalysis[[#This Row],[Severidad]]&gt;2,tblPiNAnalysis[[#This Row],[PiN más alto]],)</f>
        <v>4191.66</v>
      </c>
      <c r="AW223" s="54"/>
      <c r="AX223" s="55"/>
      <c r="AY223" s="56">
        <f>COUNTIFS(tblPiNAnalysis[[#This Row],[Número de PiN ausentes/cero superior al umbral - Calidad de los datos]:[Marcador manual]],"Flagged")</f>
        <v>4</v>
      </c>
      <c r="AZ223" s="34" t="str">
        <f>IF(tblPiNAnalysis[[#This Row],[Número de marcadores]]&gt;0, "Flagged", "")</f>
        <v>Flagged</v>
      </c>
      <c r="BA223" s="92">
        <f>tblPiNAnalysis[[#This Row],[PiN preliminar]]</f>
        <v>4191.66</v>
      </c>
      <c r="BB223" s="97"/>
      <c r="BC223" s="70">
        <f>IFERROR(IF(tblPiNAnalysis[[#This Row],[Severidad]]=3,tblPiNAnalysis[[#This Row],[PiN final]]*Umbrales!$D$33,tblPiNAnalysis[[#This Row],[PiN final]]*Umbrales!$D$34),)</f>
        <v>2095.83</v>
      </c>
      <c r="BD223" s="70">
        <f>IFERROR(IF(tblPiNAnalysis[[#This Row],[Severidad]]&gt;3,tblPiNAnalysis[[#This Row],[PiN final]]*Umbrales!$D$34,),)</f>
        <v>0</v>
      </c>
    </row>
    <row r="224" spans="1:56">
      <c r="A224" s="101" t="str">
        <f>IFERROR(_xlfn.CONCAT(IF(tblPiNAnalysis[[#This Row],[Grupo]]="", "",tblPiNAnalysis[[#This Row],[Grupo]] ),  _xlfn.IFS(tblPiNAnalysis[[#This Row],[Admin2PCODE]]&lt;&gt;"", tblPiNAnalysis[[#This Row],[Admin2PCODE]], tblPiNAnalysis[[#This Row],[Admin1PCODE]]&lt;&gt;"", tblPiNAnalysis[[#This Row],[Admin1PCODE]])),"")</f>
        <v>VenezolanosVE1423</v>
      </c>
      <c r="B224" s="105" t="s">
        <v>411</v>
      </c>
      <c r="C224" s="104" t="s">
        <v>412</v>
      </c>
      <c r="D224" s="119" t="s">
        <v>453</v>
      </c>
      <c r="E224" s="104" t="s">
        <v>454</v>
      </c>
      <c r="F224" s="358"/>
      <c r="G224" s="357">
        <v>11413</v>
      </c>
      <c r="H224" s="103" t="s">
        <v>102</v>
      </c>
      <c r="I224" s="60">
        <v>3804</v>
      </c>
      <c r="J224" s="134">
        <v>360.08565603655256</v>
      </c>
      <c r="K224" s="57">
        <v>4165.7449999999999</v>
      </c>
      <c r="L224" s="87">
        <v>1296.6873932481874</v>
      </c>
      <c r="M224" s="87">
        <v>1145.4493736036115</v>
      </c>
      <c r="N224" s="57">
        <v>770.37750000000005</v>
      </c>
      <c r="O224" s="57">
        <v>366.54379955315574</v>
      </c>
      <c r="P224" s="57">
        <v>400.90728076126402</v>
      </c>
      <c r="Q224" s="88">
        <f>IFERROR(IF(tblPiNAnalysis[[#This Row],[SAMV]]="", "", MROUND(tblPiNAnalysis[[#This Row],[SAMV]]/tblPiNAnalysis[[#This Row],[Población]], 0.05)), "")</f>
        <v>0.35000000000000003</v>
      </c>
      <c r="R224" s="89">
        <f>IFERROR(IF(tblPiNAnalysis[[#This Row],[NUT]]="", "", MROUND(tblPiNAnalysis[[#This Row],[NUT]]/tblPiNAnalysis[[#This Row],[Población]], 0.05)), "")</f>
        <v>0.05</v>
      </c>
      <c r="S224" s="89">
        <f>IFERROR(IF(tblPiNAnalysis[[#This Row],[SAL]]="", "", MROUND(tblPiNAnalysis[[#This Row],[SAL]]/tblPiNAnalysis[[#This Row],[Población]], 0.05)), "")</f>
        <v>0.35000000000000003</v>
      </c>
      <c r="T224" s="89">
        <f>IFERROR(IF(tblPiNAnalysis[[#This Row],[EDU]]="", "", MROUND(tblPiNAnalysis[[#This Row],[EDU]]/tblPiNAnalysis[[#This Row],[Población]], 0.05)), "")</f>
        <v>0.1</v>
      </c>
      <c r="U224" s="89">
        <f>IFERROR(IF(tblPiNAnalysis[[#This Row],[PRO]]="", "", MROUND(tblPiNAnalysis[[#This Row],[PRO]]/tblPiNAnalysis[[#This Row],[Población]], 0.05)), "")</f>
        <v>0.1</v>
      </c>
      <c r="V224" s="90">
        <f>IFERROR(IF(tblPiNAnalysis[[#This Row],[ASH]]="", "", MROUND(tblPiNAnalysis[[#This Row],[ASH]]/tblPiNAnalysis[[#This Row],[Población]], 0.05)), "")</f>
        <v>0.05</v>
      </c>
      <c r="W224" s="89">
        <f>IFERROR(MROUND(tblPiNAnalysis[[#This Row],[NNA]]/tblPiNAnalysis[[#This Row],[Población]], 0.05), "")</f>
        <v>0.05</v>
      </c>
      <c r="X224" s="89">
        <f>IFERROR(MROUND(tblPiNAnalysis[[#This Row],[VBG]]/tblPiNAnalysis[[#This Row],[Población]], 0.05), "")</f>
        <v>0.05</v>
      </c>
      <c r="Y224" s="91">
        <f>IFERROR(LARGE(tblPiNAnalysis[[#This Row],[SAMV]:[ASH]], 1), "")</f>
        <v>4165.7449999999999</v>
      </c>
      <c r="Z224" s="92" t="str" cm="1">
        <f t="array" ref="Z224">IF(tblPiNAnalysis[[#This Row],[PiN más alto]]="", "", _xlfn.TEXTJOIN(CHAR(10), TRUE, IF(tblPiNAnalysis[[#This Row],[PiN más alto]]=tblPiNAnalysis[[#This Row],[SAMV]:[ASH]], tblPiNAnalysis[[#Headers],[SAMV]:[ASH]], "")))</f>
        <v>SAL</v>
      </c>
      <c r="AA224" s="93">
        <f>IF(tblPiNAnalysis[[#This Row],[PiN más alto]]="", "", tblPiNAnalysis[[#This Row],[PiN más alto]]/tblPiNAnalysis[[#This Row],[Población]])</f>
        <v>0.36499999999999999</v>
      </c>
      <c r="AB224" s="94" t="str">
        <f>IF(SUM(tblPiNAnalysis[[#This Row],[SAMV]:[ASH]])=0, "",IF(COUNTIF(tblPiNAnalysis[[#This Row],[SAMV]:[ASH]],"=0")+COUNTIF(tblPiNAnalysis[[#This Row],[SAMV]:[ASH]],"")&gt;=zero_pin_thresh, "Flagged", ""))</f>
        <v/>
      </c>
      <c r="AC224" s="95" t="str">
        <f>IFERROR(IF(tblPiNAnalysis[[#This Row],[PiN más alto]]="", "", IF(tblPiNAnalysis[[#This Row],[% PiN Sectores más altos]]&gt;=flag_pin_perc, "Flagged", "")), "")</f>
        <v/>
      </c>
      <c r="AD224" s="96" t="str" cm="1">
        <f t="array" ref="AD224">IF(tblPiNAnalysis[[#This Row],[PiN más alto]]=0, "",  IF(OR(COUNTIF(tblPiNAnalysis[[#This Row],[Sectores más altos]],tblSubSectorPopulation[Sector])), "Flagged", ""))</f>
        <v/>
      </c>
      <c r="AE224" s="16" cm="1">
        <f t="array" ref="AE22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3804</v>
      </c>
      <c r="AF224" s="97" t="str" cm="1">
        <f t="array" ref="AF224">IF(tblPiNAnalysis[[#This Row],[2º PiN más alto]]="", "", _xlfn.TEXTJOIN(CHAR(10), TRUE, IF(tblPiNAnalysis[[#This Row],[2º PiN más alto]]=tblPiNAnalysis[[#This Row],[SAMV]:[ASH]], tblPiNAnalysis[[#Headers],[SAMV]:[ASH]], "")))</f>
        <v>SAMV</v>
      </c>
      <c r="AG224" s="12">
        <f>IFERROR(tblPiNAnalysis[[#This Row],[2º PiN más alto]]/tblPiNAnalysis[[#This Row],[Población]], "")</f>
        <v>0.33330412687286426</v>
      </c>
      <c r="AH224" s="16">
        <f>IFERROR(tblPiNAnalysis[[#This Row],[PiN más alto]]-tblPiNAnalysis[[#This Row],[2º PiN más alto]], "")</f>
        <v>361.74499999999989</v>
      </c>
      <c r="AI224" s="14">
        <f>IFERROR(((tblPiNAnalysis[[#This Row],[PiN más alto]]-tblPiNAnalysis[[#This Row],[2º PiN más alto]])/tblPiNAnalysis[[#This Row],[2º PiN más alto]]),"")</f>
        <v>9.5095951629863271E-2</v>
      </c>
      <c r="AJ224" s="14" t="str" cm="1">
        <f t="array" ref="AJ22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224" s="98" cm="1">
        <f t="array" ref="AK22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1296.6873932481874</v>
      </c>
      <c r="AL224" s="53" t="str" cm="1">
        <f t="array" ref="AL224">IF(tblPiNAnalysis[[#This Row],[3º PiN más alto]]="", "", _xlfn.TEXTJOIN(CHAR(10), TRUE, IF(tblPiNAnalysis[[#This Row],[3º PiN más alto]]=tblPiNAnalysis[[#This Row],[SAMV]:[ASH]], tblPiNAnalysis[[#Headers],[SAMV]:[ASH]], "")))</f>
        <v>EDU</v>
      </c>
      <c r="AM224" s="53">
        <f>IFERROR(tblPiNAnalysis[[#This Row],[3º PiN más alto]]/tblPiNAnalysis[[#This Row],[Población]], "")</f>
        <v>0.11361494727487842</v>
      </c>
      <c r="AN224" s="15">
        <f>IFERROR(tblPiNAnalysis[[#This Row],[PiN más alto]]-tblPiNAnalysis[[#This Row],[3º PiN más alto]],"")</f>
        <v>2869.0576067518123</v>
      </c>
      <c r="AO224" s="14">
        <f>IFERROR(tblPiNAnalysis[[#This Row],[Diferencia de PiN entre el más alto y el 3º más alto]]/tblPiNAnalysis[[#This Row],[3º PiN más alto]], "")</f>
        <v>2.2126054604146765</v>
      </c>
      <c r="AP224" s="96" t="str" cm="1">
        <f t="array" ref="AP22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24" s="84" cm="1">
        <f t="array" ref="AQ224">IFERROR(IF(tblPiNAnalysis[[#This Row],[ID]]="", "", INDEX(tblPiNHistorical[[SAMV]:[ASH]], MATCH(tblPiNAnalysis[[#This Row],[ID]],tblPiNHistorical[ID], 0),MATCH(_xlfn._xlws.FILTER(tblPiNAnalysis[[#Headers],[SAMV]:[ASH]], tblPiNAnalysis[[#This Row],[PiN más alto]]=tblPiNAnalysis[[#This Row],[SAMV]:[ASH]]), tblPiNHistorical[[#Headers],[SAMV]:[ASH]], 0))), "")</f>
        <v>1.7</v>
      </c>
      <c r="AR224" s="99" t="str" cm="1">
        <f t="array" ref="AR22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24" s="74" cm="1">
        <f t="array" ref="AS224">IFERROR(IF(tblPiNAnalysis[[#This Row],[ID]]="", "", INDEX(tblPiNHistorical[[SAMV]:[ASH]], MATCH(tblPiNAnalysis[[#This Row],[ID]],tblPiNHistorical[ID], 0),MATCH(_xlfn._xlws.FILTER(tblPiNAnalysis[[#Headers],[SAMV]:[ASH]], tblPiNAnalysis[[#This Row],[2º PiN más alto]]=tblPiNAnalysis[[#This Row],[SAMV]:[ASH]]), tblPiNHistorical[[#Headers],[SAMV]:[ASH]], 0))), "")</f>
        <v>1</v>
      </c>
      <c r="AT224" s="100" t="str" cm="1">
        <f t="array" ref="AT22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24" s="219">
        <f>INDEX(tblSeverityAnalysis[Severidad final], MATCH(tblPiNAnalysis[[#This Row],[ID]],tblSeverityAnalysis[ID], 0))</f>
        <v>3</v>
      </c>
      <c r="AV224" s="220">
        <f>IF(tblPiNAnalysis[[#This Row],[Severidad]]&gt;2,tblPiNAnalysis[[#This Row],[PiN más alto]],)</f>
        <v>4165.7449999999999</v>
      </c>
      <c r="AW224" s="54"/>
      <c r="AX224" s="55"/>
      <c r="AY224" s="56">
        <f>COUNTIFS(tblPiNAnalysis[[#This Row],[Número de PiN ausentes/cero superior al umbral - Calidad de los datos]:[Marcador manual]],"Flagged")</f>
        <v>3</v>
      </c>
      <c r="AZ224" s="34" t="str">
        <f>IF(tblPiNAnalysis[[#This Row],[Número de marcadores]]&gt;0, "Flagged", "")</f>
        <v>Flagged</v>
      </c>
      <c r="BA224" s="92">
        <f>tblPiNAnalysis[[#This Row],[PiN preliminar]]</f>
        <v>4165.7449999999999</v>
      </c>
      <c r="BB224" s="97"/>
      <c r="BC224" s="70">
        <f>IFERROR(IF(tblPiNAnalysis[[#This Row],[Severidad]]=3,tblPiNAnalysis[[#This Row],[PiN final]]*Umbrales!$D$33,tblPiNAnalysis[[#This Row],[PiN final]]*Umbrales!$D$34),)</f>
        <v>2082.8724999999999</v>
      </c>
      <c r="BD224" s="70">
        <f>IFERROR(IF(tblPiNAnalysis[[#This Row],[Severidad]]&gt;3,tblPiNAnalysis[[#This Row],[PiN final]]*Umbrales!$D$34,),)</f>
        <v>0</v>
      </c>
    </row>
    <row r="225" spans="1:56">
      <c r="A225" s="101" t="str">
        <f>IFERROR(_xlfn.CONCAT(IF(tblPiNAnalysis[[#This Row],[Grupo]]="", "",tblPiNAnalysis[[#This Row],[Grupo]] ),  _xlfn.IFS(tblPiNAnalysis[[#This Row],[Admin2PCODE]]&lt;&gt;"", tblPiNAnalysis[[#This Row],[Admin2PCODE]], tblPiNAnalysis[[#This Row],[Admin1PCODE]]&lt;&gt;"", tblPiNAnalysis[[#This Row],[Admin1PCODE]])),"")</f>
        <v>VenezolanosVE1104</v>
      </c>
      <c r="B225" s="105" t="s">
        <v>316</v>
      </c>
      <c r="C225" s="104" t="s">
        <v>317</v>
      </c>
      <c r="D225" s="119" t="s">
        <v>323</v>
      </c>
      <c r="E225" s="104" t="s">
        <v>324</v>
      </c>
      <c r="F225" s="358"/>
      <c r="G225" s="357">
        <v>11110</v>
      </c>
      <c r="H225" s="103" t="s">
        <v>102</v>
      </c>
      <c r="I225" s="60">
        <v>370</v>
      </c>
      <c r="J225" s="134">
        <v>373.09920837778191</v>
      </c>
      <c r="K225" s="57">
        <v>4055.15</v>
      </c>
      <c r="L225" s="87">
        <v>364.77624849130399</v>
      </c>
      <c r="M225" s="87">
        <v>2215.7540530207029</v>
      </c>
      <c r="N225" s="57">
        <v>749.92499999999995</v>
      </c>
      <c r="O225" s="57">
        <v>711.25705101964559</v>
      </c>
      <c r="P225" s="57">
        <v>775.51391855724603</v>
      </c>
      <c r="Q225" s="88">
        <f>IFERROR(IF(tblPiNAnalysis[[#This Row],[SAMV]]="", "", MROUND(tblPiNAnalysis[[#This Row],[SAMV]]/tblPiNAnalysis[[#This Row],[Población]], 0.05)), "")</f>
        <v>0.05</v>
      </c>
      <c r="R225" s="89">
        <f>IFERROR(IF(tblPiNAnalysis[[#This Row],[NUT]]="", "", MROUND(tblPiNAnalysis[[#This Row],[NUT]]/tblPiNAnalysis[[#This Row],[Población]], 0.05)), "")</f>
        <v>0.05</v>
      </c>
      <c r="S225" s="89">
        <f>IFERROR(IF(tblPiNAnalysis[[#This Row],[SAL]]="", "", MROUND(tblPiNAnalysis[[#This Row],[SAL]]/tblPiNAnalysis[[#This Row],[Población]], 0.05)), "")</f>
        <v>0.35000000000000003</v>
      </c>
      <c r="T225" s="89">
        <f>IFERROR(IF(tblPiNAnalysis[[#This Row],[EDU]]="", "", MROUND(tblPiNAnalysis[[#This Row],[EDU]]/tblPiNAnalysis[[#This Row],[Población]], 0.05)), "")</f>
        <v>0.05</v>
      </c>
      <c r="U225" s="89">
        <f>IFERROR(IF(tblPiNAnalysis[[#This Row],[PRO]]="", "", MROUND(tblPiNAnalysis[[#This Row],[PRO]]/tblPiNAnalysis[[#This Row],[Población]], 0.05)), "")</f>
        <v>0.2</v>
      </c>
      <c r="V225" s="90">
        <f>IFERROR(IF(tblPiNAnalysis[[#This Row],[ASH]]="", "", MROUND(tblPiNAnalysis[[#This Row],[ASH]]/tblPiNAnalysis[[#This Row],[Población]], 0.05)), "")</f>
        <v>0.05</v>
      </c>
      <c r="W225" s="89">
        <f>IFERROR(MROUND(tblPiNAnalysis[[#This Row],[NNA]]/tblPiNAnalysis[[#This Row],[Población]], 0.05), "")</f>
        <v>0.05</v>
      </c>
      <c r="X225" s="89">
        <f>IFERROR(MROUND(tblPiNAnalysis[[#This Row],[VBG]]/tblPiNAnalysis[[#This Row],[Población]], 0.05), "")</f>
        <v>0.05</v>
      </c>
      <c r="Y225" s="91">
        <f>IFERROR(LARGE(tblPiNAnalysis[[#This Row],[SAMV]:[ASH]], 1), "")</f>
        <v>4055.15</v>
      </c>
      <c r="Z225" s="92" t="str" cm="1">
        <f t="array" ref="Z225">IF(tblPiNAnalysis[[#This Row],[PiN más alto]]="", "", _xlfn.TEXTJOIN(CHAR(10), TRUE, IF(tblPiNAnalysis[[#This Row],[PiN más alto]]=tblPiNAnalysis[[#This Row],[SAMV]:[ASH]], tblPiNAnalysis[[#Headers],[SAMV]:[ASH]], "")))</f>
        <v>SAL</v>
      </c>
      <c r="AA225" s="93">
        <f>IF(tblPiNAnalysis[[#This Row],[PiN más alto]]="", "", tblPiNAnalysis[[#This Row],[PiN más alto]]/tblPiNAnalysis[[#This Row],[Población]])</f>
        <v>0.36499999999999999</v>
      </c>
      <c r="AB225" s="94" t="str">
        <f>IF(SUM(tblPiNAnalysis[[#This Row],[SAMV]:[ASH]])=0, "",IF(COUNTIF(tblPiNAnalysis[[#This Row],[SAMV]:[ASH]],"=0")+COUNTIF(tblPiNAnalysis[[#This Row],[SAMV]:[ASH]],"")&gt;=zero_pin_thresh, "Flagged", ""))</f>
        <v/>
      </c>
      <c r="AC225" s="95" t="str">
        <f>IFERROR(IF(tblPiNAnalysis[[#This Row],[PiN más alto]]="", "", IF(tblPiNAnalysis[[#This Row],[% PiN Sectores más altos]]&gt;=flag_pin_perc, "Flagged", "")), "")</f>
        <v/>
      </c>
      <c r="AD225" s="96" t="str" cm="1">
        <f t="array" ref="AD225">IF(tblPiNAnalysis[[#This Row],[PiN más alto]]=0, "",  IF(OR(COUNTIF(tblPiNAnalysis[[#This Row],[Sectores más altos]],tblSubSectorPopulation[Sector])), "Flagged", ""))</f>
        <v/>
      </c>
      <c r="AE225" s="16" cm="1">
        <f t="array" ref="AE22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2215.7540530207029</v>
      </c>
      <c r="AF225" s="97" t="str" cm="1">
        <f t="array" ref="AF225">IF(tblPiNAnalysis[[#This Row],[2º PiN más alto]]="", "", _xlfn.TEXTJOIN(CHAR(10), TRUE, IF(tblPiNAnalysis[[#This Row],[2º PiN más alto]]=tblPiNAnalysis[[#This Row],[SAMV]:[ASH]], tblPiNAnalysis[[#Headers],[SAMV]:[ASH]], "")))</f>
        <v>PRO</v>
      </c>
      <c r="AG225" s="12">
        <f>IFERROR(tblPiNAnalysis[[#This Row],[2º PiN más alto]]/tblPiNAnalysis[[#This Row],[Población]], "")</f>
        <v>0.19943780855271853</v>
      </c>
      <c r="AH225" s="16">
        <f>IFERROR(tblPiNAnalysis[[#This Row],[PiN más alto]]-tblPiNAnalysis[[#This Row],[2º PiN más alto]], "")</f>
        <v>1839.3959469792972</v>
      </c>
      <c r="AI225" s="14">
        <f>IFERROR(((tblPiNAnalysis[[#This Row],[PiN más alto]]-tblPiNAnalysis[[#This Row],[2º PiN más alto]])/tblPiNAnalysis[[#This Row],[2º PiN más alto]]),"")</f>
        <v>0.83014445780734436</v>
      </c>
      <c r="AJ225" s="14" t="str" cm="1">
        <f t="array" ref="AJ22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25" s="98" cm="1">
        <f t="array" ref="AK22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749.92499999999995</v>
      </c>
      <c r="AL225" s="53" t="str" cm="1">
        <f t="array" ref="AL225">IF(tblPiNAnalysis[[#This Row],[3º PiN más alto]]="", "", _xlfn.TEXTJOIN(CHAR(10), TRUE, IF(tblPiNAnalysis[[#This Row],[3º PiN más alto]]=tblPiNAnalysis[[#This Row],[SAMV]:[ASH]], tblPiNAnalysis[[#Headers],[SAMV]:[ASH]], "")))</f>
        <v>ASH</v>
      </c>
      <c r="AM225" s="53">
        <f>IFERROR(tblPiNAnalysis[[#This Row],[3º PiN más alto]]/tblPiNAnalysis[[#This Row],[Población]], "")</f>
        <v>6.7499999999999991E-2</v>
      </c>
      <c r="AN225" s="15">
        <f>IFERROR(tblPiNAnalysis[[#This Row],[PiN más alto]]-tblPiNAnalysis[[#This Row],[3º PiN más alto]],"")</f>
        <v>3305.2250000000004</v>
      </c>
      <c r="AO225" s="14">
        <f>IFERROR(tblPiNAnalysis[[#This Row],[Diferencia de PiN entre el más alto y el 3º más alto]]/tblPiNAnalysis[[#This Row],[3º PiN más alto]], "")</f>
        <v>4.4074074074074083</v>
      </c>
      <c r="AP225" s="96" t="str" cm="1">
        <f t="array" ref="AP22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25" s="84" cm="1">
        <f t="array" ref="AQ225">IFERROR(IF(tblPiNAnalysis[[#This Row],[ID]]="", "", INDEX(tblPiNHistorical[[SAMV]:[ASH]], MATCH(tblPiNAnalysis[[#This Row],[ID]],tblPiNHistorical[ID], 0),MATCH(_xlfn._xlws.FILTER(tblPiNAnalysis[[#Headers],[SAMV]:[ASH]], tblPiNAnalysis[[#This Row],[PiN más alto]]=tblPiNAnalysis[[#This Row],[SAMV]:[ASH]]), tblPiNHistorical[[#Headers],[SAMV]:[ASH]], 0))), "")</f>
        <v>5.4</v>
      </c>
      <c r="AR225" s="99" t="str" cm="1">
        <f t="array" ref="AR22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25" s="74" cm="1">
        <f t="array" ref="AS225">IFERROR(IF(tblPiNAnalysis[[#This Row],[ID]]="", "", INDEX(tblPiNHistorical[[SAMV]:[ASH]], MATCH(tblPiNAnalysis[[#This Row],[ID]],tblPiNHistorical[ID], 0),MATCH(_xlfn._xlws.FILTER(tblPiNAnalysis[[#Headers],[SAMV]:[ASH]], tblPiNAnalysis[[#This Row],[2º PiN más alto]]=tblPiNAnalysis[[#This Row],[SAMV]:[ASH]]), tblPiNHistorical[[#Headers],[SAMV]:[ASH]], 0))), "")</f>
        <v>1.2</v>
      </c>
      <c r="AT225" s="100" t="str" cm="1">
        <f t="array" ref="AT22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25" s="219">
        <f>INDEX(tblSeverityAnalysis[Severidad final], MATCH(tblPiNAnalysis[[#This Row],[ID]],tblSeverityAnalysis[ID], 0))</f>
        <v>3</v>
      </c>
      <c r="AV225" s="220">
        <f>IF(tblPiNAnalysis[[#This Row],[Severidad]]&gt;2,tblPiNAnalysis[[#This Row],[PiN más alto]],)</f>
        <v>4055.15</v>
      </c>
      <c r="AW225" s="54"/>
      <c r="AX225" s="55"/>
      <c r="AY225" s="56">
        <f>COUNTIFS(tblPiNAnalysis[[#This Row],[Número de PiN ausentes/cero superior al umbral - Calidad de los datos]:[Marcador manual]],"Flagged")</f>
        <v>4</v>
      </c>
      <c r="AZ225" s="34" t="str">
        <f>IF(tblPiNAnalysis[[#This Row],[Número de marcadores]]&gt;0, "Flagged", "")</f>
        <v>Flagged</v>
      </c>
      <c r="BA225" s="92">
        <f>tblPiNAnalysis[[#This Row],[PiN preliminar]]</f>
        <v>4055.15</v>
      </c>
      <c r="BB225" s="97"/>
      <c r="BC225" s="70">
        <f>IFERROR(IF(tblPiNAnalysis[[#This Row],[Severidad]]=3,tblPiNAnalysis[[#This Row],[PiN final]]*Umbrales!$D$33,tblPiNAnalysis[[#This Row],[PiN final]]*Umbrales!$D$34),)</f>
        <v>2027.575</v>
      </c>
      <c r="BD225" s="70">
        <f>IFERROR(IF(tblPiNAnalysis[[#This Row],[Severidad]]&gt;3,tblPiNAnalysis[[#This Row],[PiN final]]*Umbrales!$D$34,),)</f>
        <v>0</v>
      </c>
    </row>
    <row r="226" spans="1:56">
      <c r="A226" s="101" t="str">
        <f>IFERROR(_xlfn.CONCAT(IF(tblPiNAnalysis[[#This Row],[Grupo]]="", "",tblPiNAnalysis[[#This Row],[Grupo]] ),  _xlfn.IFS(tblPiNAnalysis[[#This Row],[Admin2PCODE]]&lt;&gt;"", tblPiNAnalysis[[#This Row],[Admin2PCODE]], tblPiNAnalysis[[#This Row],[Admin1PCODE]]&lt;&gt;"", tblPiNAnalysis[[#This Row],[Admin1PCODE]])),"")</f>
        <v>VenezolanosVE1003</v>
      </c>
      <c r="B226" s="105" t="s">
        <v>306</v>
      </c>
      <c r="C226" s="104" t="s">
        <v>307</v>
      </c>
      <c r="D226" s="119" t="s">
        <v>312</v>
      </c>
      <c r="E226" s="104" t="s">
        <v>313</v>
      </c>
      <c r="F226" s="358"/>
      <c r="G226" s="357">
        <v>6582</v>
      </c>
      <c r="H226" s="103" t="s">
        <v>102</v>
      </c>
      <c r="I226" s="60">
        <v>2808</v>
      </c>
      <c r="J226" s="134">
        <v>772.55810387521024</v>
      </c>
      <c r="K226" s="57">
        <v>2800</v>
      </c>
      <c r="L226" s="87">
        <v>1642.1886787801559</v>
      </c>
      <c r="M226" s="87">
        <v>1571.8223741396118</v>
      </c>
      <c r="N226" s="57">
        <v>3949.2</v>
      </c>
      <c r="O226" s="57">
        <v>502.98315972467583</v>
      </c>
      <c r="P226" s="57">
        <v>550.13783094886412</v>
      </c>
      <c r="Q226" s="88">
        <f>IFERROR(IF(tblPiNAnalysis[[#This Row],[SAMV]]="", "", MROUND(tblPiNAnalysis[[#This Row],[SAMV]]/tblPiNAnalysis[[#This Row],[Población]], 0.05)), "")</f>
        <v>0.45</v>
      </c>
      <c r="R226" s="89">
        <f>IFERROR(IF(tblPiNAnalysis[[#This Row],[NUT]]="", "", MROUND(tblPiNAnalysis[[#This Row],[NUT]]/tblPiNAnalysis[[#This Row],[Población]], 0.05)), "")</f>
        <v>0.1</v>
      </c>
      <c r="S226" s="89">
        <f>IFERROR(IF(tblPiNAnalysis[[#This Row],[SAL]]="", "", MROUND(tblPiNAnalysis[[#This Row],[SAL]]/tblPiNAnalysis[[#This Row],[Población]], 0.05)), "")</f>
        <v>0.45</v>
      </c>
      <c r="T226" s="89">
        <f>IFERROR(IF(tblPiNAnalysis[[#This Row],[EDU]]="", "", MROUND(tblPiNAnalysis[[#This Row],[EDU]]/tblPiNAnalysis[[#This Row],[Población]], 0.05)), "")</f>
        <v>0.25</v>
      </c>
      <c r="U226" s="89">
        <f>IFERROR(IF(tblPiNAnalysis[[#This Row],[PRO]]="", "", MROUND(tblPiNAnalysis[[#This Row],[PRO]]/tblPiNAnalysis[[#This Row],[Población]], 0.05)), "")</f>
        <v>0.25</v>
      </c>
      <c r="V226" s="90">
        <f>IFERROR(IF(tblPiNAnalysis[[#This Row],[ASH]]="", "", MROUND(tblPiNAnalysis[[#This Row],[ASH]]/tblPiNAnalysis[[#This Row],[Población]], 0.05)), "")</f>
        <v>0.60000000000000009</v>
      </c>
      <c r="W226" s="89">
        <f>IFERROR(MROUND(tblPiNAnalysis[[#This Row],[NNA]]/tblPiNAnalysis[[#This Row],[Población]], 0.05), "")</f>
        <v>0.1</v>
      </c>
      <c r="X226" s="89">
        <f>IFERROR(MROUND(tblPiNAnalysis[[#This Row],[VBG]]/tblPiNAnalysis[[#This Row],[Población]], 0.05), "")</f>
        <v>0.1</v>
      </c>
      <c r="Y226" s="91">
        <f>IFERROR(LARGE(tblPiNAnalysis[[#This Row],[SAMV]:[ASH]], 1), "")</f>
        <v>3949.2</v>
      </c>
      <c r="Z226" s="92" t="str" cm="1">
        <f t="array" ref="Z226">IF(tblPiNAnalysis[[#This Row],[PiN más alto]]="", "", _xlfn.TEXTJOIN(CHAR(10), TRUE, IF(tblPiNAnalysis[[#This Row],[PiN más alto]]=tblPiNAnalysis[[#This Row],[SAMV]:[ASH]], tblPiNAnalysis[[#Headers],[SAMV]:[ASH]], "")))</f>
        <v>ASH</v>
      </c>
      <c r="AA226" s="93">
        <f>IF(tblPiNAnalysis[[#This Row],[PiN más alto]]="", "", tblPiNAnalysis[[#This Row],[PiN más alto]]/tblPiNAnalysis[[#This Row],[Población]])</f>
        <v>0.6</v>
      </c>
      <c r="AB226" s="94" t="str">
        <f>IF(SUM(tblPiNAnalysis[[#This Row],[SAMV]:[ASH]])=0, "",IF(COUNTIF(tblPiNAnalysis[[#This Row],[SAMV]:[ASH]],"=0")+COUNTIF(tblPiNAnalysis[[#This Row],[SAMV]:[ASH]],"")&gt;=zero_pin_thresh, "Flagged", ""))</f>
        <v/>
      </c>
      <c r="AC226" s="95" t="str">
        <f>IFERROR(IF(tblPiNAnalysis[[#This Row],[PiN más alto]]="", "", IF(tblPiNAnalysis[[#This Row],[% PiN Sectores más altos]]&gt;=flag_pin_perc, "Flagged", "")), "")</f>
        <v/>
      </c>
      <c r="AD226" s="96" t="str" cm="1">
        <f t="array" ref="AD226">IF(tblPiNAnalysis[[#This Row],[PiN más alto]]=0, "",  IF(OR(COUNTIF(tblPiNAnalysis[[#This Row],[Sectores más altos]],tblSubSectorPopulation[Sector])), "Flagged", ""))</f>
        <v/>
      </c>
      <c r="AE226" s="16" cm="1">
        <f t="array" ref="AE22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2808</v>
      </c>
      <c r="AF226" s="97" t="str" cm="1">
        <f t="array" ref="AF226">IF(tblPiNAnalysis[[#This Row],[2º PiN más alto]]="", "", _xlfn.TEXTJOIN(CHAR(10), TRUE, IF(tblPiNAnalysis[[#This Row],[2º PiN más alto]]=tblPiNAnalysis[[#This Row],[SAMV]:[ASH]], tblPiNAnalysis[[#Headers],[SAMV]:[ASH]], "")))</f>
        <v>SAMV</v>
      </c>
      <c r="AG226" s="12">
        <f>IFERROR(tblPiNAnalysis[[#This Row],[2º PiN más alto]]/tblPiNAnalysis[[#This Row],[Población]], "")</f>
        <v>0.4266180492251595</v>
      </c>
      <c r="AH226" s="16">
        <f>IFERROR(tblPiNAnalysis[[#This Row],[PiN más alto]]-tblPiNAnalysis[[#This Row],[2º PiN más alto]], "")</f>
        <v>1141.1999999999998</v>
      </c>
      <c r="AI226" s="14">
        <f>IFERROR(((tblPiNAnalysis[[#This Row],[PiN más alto]]-tblPiNAnalysis[[#This Row],[2º PiN más alto]])/tblPiNAnalysis[[#This Row],[2º PiN más alto]]),"")</f>
        <v>0.40641025641025635</v>
      </c>
      <c r="AJ226" s="14" t="str" cm="1">
        <f t="array" ref="AJ22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26" s="98" cm="1">
        <f t="array" ref="AK22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2800</v>
      </c>
      <c r="AL226" s="53" t="str" cm="1">
        <f t="array" ref="AL226">IF(tblPiNAnalysis[[#This Row],[3º PiN más alto]]="", "", _xlfn.TEXTJOIN(CHAR(10), TRUE, IF(tblPiNAnalysis[[#This Row],[3º PiN más alto]]=tblPiNAnalysis[[#This Row],[SAMV]:[ASH]], tblPiNAnalysis[[#Headers],[SAMV]:[ASH]], "")))</f>
        <v>SAL</v>
      </c>
      <c r="AM226" s="53">
        <f>IFERROR(tblPiNAnalysis[[#This Row],[3º PiN más alto]]/tblPiNAnalysis[[#This Row],[Población]], "")</f>
        <v>0.42540261318748102</v>
      </c>
      <c r="AN226" s="15">
        <f>IFERROR(tblPiNAnalysis[[#This Row],[PiN más alto]]-tblPiNAnalysis[[#This Row],[3º PiN más alto]],"")</f>
        <v>1149.1999999999998</v>
      </c>
      <c r="AO226" s="14">
        <f>IFERROR(tblPiNAnalysis[[#This Row],[Diferencia de PiN entre el más alto y el 3º más alto]]/tblPiNAnalysis[[#This Row],[3º PiN más alto]], "")</f>
        <v>0.41042857142857136</v>
      </c>
      <c r="AP226" s="96" t="str" cm="1">
        <f t="array" ref="AP22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
      </c>
      <c r="AQ226" s="84" t="str" cm="1">
        <f t="array" ref="AQ226">IFERROR(IF(tblPiNAnalysis[[#This Row],[ID]]="", "", INDEX(tblPiNHistorical[[SAMV]:[ASH]], MATCH(tblPiNAnalysis[[#This Row],[ID]],tblPiNHistorical[ID], 0),MATCH(_xlfn._xlws.FILTER(tblPiNAnalysis[[#Headers],[SAMV]:[ASH]], tblPiNAnalysis[[#This Row],[PiN más alto]]=tblPiNAnalysis[[#This Row],[SAMV]:[ASH]]), tblPiNHistorical[[#Headers],[SAMV]:[ASH]], 0))), "")</f>
        <v>NoPIN26 3219</v>
      </c>
      <c r="AR226" s="99" t="str" cm="1">
        <f t="array" ref="AR22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26" s="74" cm="1">
        <f t="array" ref="AS226">IFERROR(IF(tblPiNAnalysis[[#This Row],[ID]]="", "", INDEX(tblPiNHistorical[[SAMV]:[ASH]], MATCH(tblPiNAnalysis[[#This Row],[ID]],tblPiNHistorical[ID], 0),MATCH(_xlfn._xlws.FILTER(tblPiNAnalysis[[#Headers],[SAMV]:[ASH]], tblPiNAnalysis[[#This Row],[2º PiN más alto]]=tblPiNAnalysis[[#This Row],[SAMV]:[ASH]]), tblPiNHistorical[[#Headers],[SAMV]:[ASH]], 0))), "")</f>
        <v>13.5</v>
      </c>
      <c r="AT226" s="100" t="str" cm="1">
        <f t="array" ref="AT22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26" s="219">
        <f>INDEX(tblSeverityAnalysis[Severidad final], MATCH(tblPiNAnalysis[[#This Row],[ID]],tblSeverityAnalysis[ID], 0))</f>
        <v>4</v>
      </c>
      <c r="AV226" s="220">
        <f>IF(tblPiNAnalysis[[#This Row],[Severidad]]&gt;2,tblPiNAnalysis[[#This Row],[PiN más alto]],)</f>
        <v>3949.2</v>
      </c>
      <c r="AW226" s="54"/>
      <c r="AX226" s="55"/>
      <c r="AY226" s="56">
        <f>COUNTIFS(tblPiNAnalysis[[#This Row],[Número de PiN ausentes/cero superior al umbral - Calidad de los datos]:[Marcador manual]],"Flagged")</f>
        <v>2</v>
      </c>
      <c r="AZ226" s="34" t="str">
        <f>IF(tblPiNAnalysis[[#This Row],[Número de marcadores]]&gt;0, "Flagged", "")</f>
        <v>Flagged</v>
      </c>
      <c r="BA226" s="92">
        <f>tblPiNAnalysis[[#This Row],[PiN preliminar]]</f>
        <v>3949.2</v>
      </c>
      <c r="BB226" s="97"/>
      <c r="BC226" s="70">
        <f>IFERROR(IF(tblPiNAnalysis[[#This Row],[Severidad]]=3,tblPiNAnalysis[[#This Row],[PiN final]]*Umbrales!$D$33,tblPiNAnalysis[[#This Row],[PiN final]]*Umbrales!$D$34),)</f>
        <v>3949.2</v>
      </c>
      <c r="BD226" s="70">
        <f>IFERROR(IF(tblPiNAnalysis[[#This Row],[Severidad]]&gt;3,tblPiNAnalysis[[#This Row],[PiN final]]*Umbrales!$D$34,),)</f>
        <v>3949.2</v>
      </c>
    </row>
    <row r="227" spans="1:56">
      <c r="A227" s="101" t="str">
        <f>IFERROR(_xlfn.CONCAT(IF(tblPiNAnalysis[[#This Row],[Grupo]]="", "",tblPiNAnalysis[[#This Row],[Grupo]] ),  _xlfn.IFS(tblPiNAnalysis[[#This Row],[Admin2PCODE]]&lt;&gt;"", tblPiNAnalysis[[#This Row],[Admin2PCODE]], tblPiNAnalysis[[#This Row],[Admin1PCODE]]&lt;&gt;"", tblPiNAnalysis[[#This Row],[Admin1PCODE]])),"")</f>
        <v>VenezolanosVE1909</v>
      </c>
      <c r="B227" s="105" t="s">
        <v>203</v>
      </c>
      <c r="C227" s="104" t="s">
        <v>564</v>
      </c>
      <c r="D227" s="119" t="s">
        <v>100</v>
      </c>
      <c r="E227" s="104" t="s">
        <v>578</v>
      </c>
      <c r="F227" s="358"/>
      <c r="G227" s="357">
        <v>9796</v>
      </c>
      <c r="H227" s="103" t="s">
        <v>102</v>
      </c>
      <c r="I227" s="60">
        <v>2041</v>
      </c>
      <c r="J227" s="134">
        <v>296.04012024201961</v>
      </c>
      <c r="K227" s="57">
        <v>3575.54</v>
      </c>
      <c r="L227" s="87">
        <v>1191.3681633360216</v>
      </c>
      <c r="M227" s="87">
        <v>1954.1814522464369</v>
      </c>
      <c r="N227" s="57">
        <v>0</v>
      </c>
      <c r="O227" s="57">
        <v>627.29224617110629</v>
      </c>
      <c r="P227" s="57">
        <v>683.96350828625282</v>
      </c>
      <c r="Q227" s="88">
        <f>IFERROR(IF(tblPiNAnalysis[[#This Row],[SAMV]]="", "", MROUND(tblPiNAnalysis[[#This Row],[SAMV]]/tblPiNAnalysis[[#This Row],[Población]], 0.05)), "")</f>
        <v>0.2</v>
      </c>
      <c r="R227" s="89">
        <f>IFERROR(IF(tblPiNAnalysis[[#This Row],[NUT]]="", "", MROUND(tblPiNAnalysis[[#This Row],[NUT]]/tblPiNAnalysis[[#This Row],[Población]], 0.05)), "")</f>
        <v>0.05</v>
      </c>
      <c r="S227" s="89">
        <f>IFERROR(IF(tblPiNAnalysis[[#This Row],[SAL]]="", "", MROUND(tblPiNAnalysis[[#This Row],[SAL]]/tblPiNAnalysis[[#This Row],[Población]], 0.05)), "")</f>
        <v>0.35000000000000003</v>
      </c>
      <c r="T227" s="89">
        <f>IFERROR(IF(tblPiNAnalysis[[#This Row],[EDU]]="", "", MROUND(tblPiNAnalysis[[#This Row],[EDU]]/tblPiNAnalysis[[#This Row],[Población]], 0.05)), "")</f>
        <v>0.1</v>
      </c>
      <c r="U227" s="89">
        <f>IFERROR(IF(tblPiNAnalysis[[#This Row],[PRO]]="", "", MROUND(tblPiNAnalysis[[#This Row],[PRO]]/tblPiNAnalysis[[#This Row],[Población]], 0.05)), "")</f>
        <v>0.2</v>
      </c>
      <c r="V227" s="90">
        <f>IFERROR(IF(tblPiNAnalysis[[#This Row],[ASH]]="", "", MROUND(tblPiNAnalysis[[#This Row],[ASH]]/tblPiNAnalysis[[#This Row],[Población]], 0.05)), "")</f>
        <v>0</v>
      </c>
      <c r="W227" s="89">
        <f>IFERROR(MROUND(tblPiNAnalysis[[#This Row],[NNA]]/tblPiNAnalysis[[#This Row],[Población]], 0.05), "")</f>
        <v>0.05</v>
      </c>
      <c r="X227" s="89">
        <f>IFERROR(MROUND(tblPiNAnalysis[[#This Row],[VBG]]/tblPiNAnalysis[[#This Row],[Población]], 0.05), "")</f>
        <v>0.05</v>
      </c>
      <c r="Y227" s="91">
        <f>IFERROR(LARGE(tblPiNAnalysis[[#This Row],[SAMV]:[ASH]], 1), "")</f>
        <v>3575.54</v>
      </c>
      <c r="Z227" s="92" t="str" cm="1">
        <f t="array" ref="Z227">IF(tblPiNAnalysis[[#This Row],[PiN más alto]]="", "", _xlfn.TEXTJOIN(CHAR(10), TRUE, IF(tblPiNAnalysis[[#This Row],[PiN más alto]]=tblPiNAnalysis[[#This Row],[SAMV]:[ASH]], tblPiNAnalysis[[#Headers],[SAMV]:[ASH]], "")))</f>
        <v>SAL</v>
      </c>
      <c r="AA227" s="93">
        <f>IF(tblPiNAnalysis[[#This Row],[PiN más alto]]="", "", tblPiNAnalysis[[#This Row],[PiN más alto]]/tblPiNAnalysis[[#This Row],[Población]])</f>
        <v>0.36499999999999999</v>
      </c>
      <c r="AB227" s="94" t="str">
        <f>IF(SUM(tblPiNAnalysis[[#This Row],[SAMV]:[ASH]])=0, "",IF(COUNTIF(tblPiNAnalysis[[#This Row],[SAMV]:[ASH]],"=0")+COUNTIF(tblPiNAnalysis[[#This Row],[SAMV]:[ASH]],"")&gt;=zero_pin_thresh, "Flagged", ""))</f>
        <v/>
      </c>
      <c r="AC227" s="95" t="str">
        <f>IFERROR(IF(tblPiNAnalysis[[#This Row],[PiN más alto]]="", "", IF(tblPiNAnalysis[[#This Row],[% PiN Sectores más altos]]&gt;=flag_pin_perc, "Flagged", "")), "")</f>
        <v/>
      </c>
      <c r="AD227" s="96" t="str" cm="1">
        <f t="array" ref="AD227">IF(tblPiNAnalysis[[#This Row],[PiN más alto]]=0, "",  IF(OR(COUNTIF(tblPiNAnalysis[[#This Row],[Sectores más altos]],tblSubSectorPopulation[Sector])), "Flagged", ""))</f>
        <v/>
      </c>
      <c r="AE227" s="16" cm="1">
        <f t="array" ref="AE22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2041</v>
      </c>
      <c r="AF227" s="97" t="str" cm="1">
        <f t="array" ref="AF227">IF(tblPiNAnalysis[[#This Row],[2º PiN más alto]]="", "", _xlfn.TEXTJOIN(CHAR(10), TRUE, IF(tblPiNAnalysis[[#This Row],[2º PiN más alto]]=tblPiNAnalysis[[#This Row],[SAMV]:[ASH]], tblPiNAnalysis[[#Headers],[SAMV]:[ASH]], "")))</f>
        <v>SAMV</v>
      </c>
      <c r="AG227" s="12">
        <f>IFERROR(tblPiNAnalysis[[#This Row],[2º PiN más alto]]/tblPiNAnalysis[[#This Row],[Población]], "")</f>
        <v>0.20835034708044101</v>
      </c>
      <c r="AH227" s="16">
        <f>IFERROR(tblPiNAnalysis[[#This Row],[PiN más alto]]-tblPiNAnalysis[[#This Row],[2º PiN más alto]], "")</f>
        <v>1534.54</v>
      </c>
      <c r="AI227" s="14">
        <f>IFERROR(((tblPiNAnalysis[[#This Row],[PiN más alto]]-tblPiNAnalysis[[#This Row],[2º PiN más alto]])/tblPiNAnalysis[[#This Row],[2º PiN más alto]]),"")</f>
        <v>0.75185693287604116</v>
      </c>
      <c r="AJ227" s="14" t="str" cm="1">
        <f t="array" ref="AJ22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27" s="98" cm="1">
        <f t="array" ref="AK22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1954.1814522464369</v>
      </c>
      <c r="AL227" s="53" t="str" cm="1">
        <f t="array" ref="AL227">IF(tblPiNAnalysis[[#This Row],[3º PiN más alto]]="", "", _xlfn.TEXTJOIN(CHAR(10), TRUE, IF(tblPiNAnalysis[[#This Row],[3º PiN más alto]]=tblPiNAnalysis[[#This Row],[SAMV]:[ASH]], tblPiNAnalysis[[#Headers],[SAMV]:[ASH]], "")))</f>
        <v>PRO</v>
      </c>
      <c r="AM227" s="53">
        <f>IFERROR(tblPiNAnalysis[[#This Row],[3º PiN más alto]]/tblPiNAnalysis[[#This Row],[Población]], "")</f>
        <v>0.1994876941860389</v>
      </c>
      <c r="AN227" s="15">
        <f>IFERROR(tblPiNAnalysis[[#This Row],[PiN más alto]]-tblPiNAnalysis[[#This Row],[3º PiN más alto]],"")</f>
        <v>1621.358547753563</v>
      </c>
      <c r="AO227" s="14">
        <f>IFERROR(tblPiNAnalysis[[#This Row],[Diferencia de PiN entre el más alto y el 3º más alto]]/tblPiNAnalysis[[#This Row],[3º PiN más alto]], "")</f>
        <v>0.82968679591637917</v>
      </c>
      <c r="AP227" s="96" t="str" cm="1">
        <f t="array" ref="AP22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27" s="84" cm="1">
        <f t="array" ref="AQ227">IFERROR(IF(tblPiNAnalysis[[#This Row],[ID]]="", "", INDEX(tblPiNHistorical[[SAMV]:[ASH]], MATCH(tblPiNAnalysis[[#This Row],[ID]],tblPiNHistorical[ID], 0),MATCH(_xlfn._xlws.FILTER(tblPiNAnalysis[[#Headers],[SAMV]:[ASH]], tblPiNAnalysis[[#This Row],[PiN más alto]]=tblPiNAnalysis[[#This Row],[SAMV]:[ASH]]), tblPiNHistorical[[#Headers],[SAMV]:[ASH]], 0))), "")</f>
        <v>7.8</v>
      </c>
      <c r="AR227" s="99" t="str" cm="1">
        <f t="array" ref="AR22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27" s="74" cm="1">
        <f t="array" ref="AS227">IFERROR(IF(tblPiNAnalysis[[#This Row],[ID]]="", "", INDEX(tblPiNHistorical[[SAMV]:[ASH]], MATCH(tblPiNAnalysis[[#This Row],[ID]],tblPiNHistorical[ID], 0),MATCH(_xlfn._xlws.FILTER(tblPiNAnalysis[[#Headers],[SAMV]:[ASH]], tblPiNAnalysis[[#This Row],[2º PiN más alto]]=tblPiNAnalysis[[#This Row],[SAMV]:[ASH]]), tblPiNHistorical[[#Headers],[SAMV]:[ASH]], 0))), "")</f>
        <v>0.1</v>
      </c>
      <c r="AT227" s="100" t="str" cm="1">
        <f t="array" ref="AT22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27" s="219">
        <f>INDEX(tblSeverityAnalysis[Severidad final], MATCH(tblPiNAnalysis[[#This Row],[ID]],tblSeverityAnalysis[ID], 0))</f>
        <v>3</v>
      </c>
      <c r="AV227" s="220">
        <f>IF(tblPiNAnalysis[[#This Row],[Severidad]]&gt;2,tblPiNAnalysis[[#This Row],[PiN más alto]],)</f>
        <v>3575.54</v>
      </c>
      <c r="AW227" s="54"/>
      <c r="AX227" s="55"/>
      <c r="AY227" s="56">
        <f>COUNTIFS(tblPiNAnalysis[[#This Row],[Número de PiN ausentes/cero superior al umbral - Calidad de los datos]:[Marcador manual]],"Flagged")</f>
        <v>3</v>
      </c>
      <c r="AZ227" s="34" t="str">
        <f>IF(tblPiNAnalysis[[#This Row],[Número de marcadores]]&gt;0, "Flagged", "")</f>
        <v>Flagged</v>
      </c>
      <c r="BA227" s="92">
        <f>tblPiNAnalysis[[#This Row],[PiN preliminar]]</f>
        <v>3575.54</v>
      </c>
      <c r="BB227" s="97"/>
      <c r="BC227" s="70">
        <f>IFERROR(IF(tblPiNAnalysis[[#This Row],[Severidad]]=3,tblPiNAnalysis[[#This Row],[PiN final]]*Umbrales!$D$33,tblPiNAnalysis[[#This Row],[PiN final]]*Umbrales!$D$34),)</f>
        <v>1787.77</v>
      </c>
      <c r="BD227" s="70">
        <f>IFERROR(IF(tblPiNAnalysis[[#This Row],[Severidad]]&gt;3,tblPiNAnalysis[[#This Row],[PiN final]]*Umbrales!$D$34,),)</f>
        <v>0</v>
      </c>
    </row>
    <row r="228" spans="1:56">
      <c r="A228" s="101" t="str">
        <f>IFERROR(_xlfn.CONCAT(IF(tblPiNAnalysis[[#This Row],[Grupo]]="", "",tblPiNAnalysis[[#This Row],[Grupo]] ),  _xlfn.IFS(tblPiNAnalysis[[#This Row],[Admin2PCODE]]&lt;&gt;"", tblPiNAnalysis[[#This Row],[Admin2PCODE]], tblPiNAnalysis[[#This Row],[Admin1PCODE]]&lt;&gt;"", tblPiNAnalysis[[#This Row],[Admin1PCODE]])),"")</f>
        <v>VenezolanosVE1121</v>
      </c>
      <c r="B228" s="105" t="s">
        <v>316</v>
      </c>
      <c r="C228" s="104" t="s">
        <v>317</v>
      </c>
      <c r="D228" s="119" t="s">
        <v>203</v>
      </c>
      <c r="E228" s="104" t="s">
        <v>354</v>
      </c>
      <c r="F228" s="358"/>
      <c r="G228" s="357">
        <v>5909</v>
      </c>
      <c r="H228" s="103" t="s">
        <v>102</v>
      </c>
      <c r="I228" s="60">
        <v>1314</v>
      </c>
      <c r="J228" s="134">
        <v>210.86923722366373</v>
      </c>
      <c r="K228" s="57">
        <v>2800</v>
      </c>
      <c r="L228" s="87">
        <v>359.99597372483004</v>
      </c>
      <c r="M228" s="87">
        <v>1414.1736128856162</v>
      </c>
      <c r="N228" s="57">
        <v>3545.4</v>
      </c>
      <c r="O228" s="57">
        <v>452.53555612339721</v>
      </c>
      <c r="P228" s="57">
        <v>494.96076450996566</v>
      </c>
      <c r="Q228" s="88">
        <f>IFERROR(IF(tblPiNAnalysis[[#This Row],[SAMV]]="", "", MROUND(tblPiNAnalysis[[#This Row],[SAMV]]/tblPiNAnalysis[[#This Row],[Población]], 0.05)), "")</f>
        <v>0.2</v>
      </c>
      <c r="R228" s="89">
        <f>IFERROR(IF(tblPiNAnalysis[[#This Row],[NUT]]="", "", MROUND(tblPiNAnalysis[[#This Row],[NUT]]/tblPiNAnalysis[[#This Row],[Población]], 0.05)), "")</f>
        <v>0.05</v>
      </c>
      <c r="S228" s="89">
        <f>IFERROR(IF(tblPiNAnalysis[[#This Row],[SAL]]="", "", MROUND(tblPiNAnalysis[[#This Row],[SAL]]/tblPiNAnalysis[[#This Row],[Población]], 0.05)), "")</f>
        <v>0.45</v>
      </c>
      <c r="T228" s="89">
        <f>IFERROR(IF(tblPiNAnalysis[[#This Row],[EDU]]="", "", MROUND(tblPiNAnalysis[[#This Row],[EDU]]/tblPiNAnalysis[[#This Row],[Población]], 0.05)), "")</f>
        <v>0.05</v>
      </c>
      <c r="U228" s="89">
        <f>IFERROR(IF(tblPiNAnalysis[[#This Row],[PRO]]="", "", MROUND(tblPiNAnalysis[[#This Row],[PRO]]/tblPiNAnalysis[[#This Row],[Población]], 0.05)), "")</f>
        <v>0.25</v>
      </c>
      <c r="V228" s="90">
        <f>IFERROR(IF(tblPiNAnalysis[[#This Row],[ASH]]="", "", MROUND(tblPiNAnalysis[[#This Row],[ASH]]/tblPiNAnalysis[[#This Row],[Población]], 0.05)), "")</f>
        <v>0.60000000000000009</v>
      </c>
      <c r="W228" s="89">
        <f>IFERROR(MROUND(tblPiNAnalysis[[#This Row],[NNA]]/tblPiNAnalysis[[#This Row],[Población]], 0.05), "")</f>
        <v>0.1</v>
      </c>
      <c r="X228" s="89">
        <f>IFERROR(MROUND(tblPiNAnalysis[[#This Row],[VBG]]/tblPiNAnalysis[[#This Row],[Población]], 0.05), "")</f>
        <v>0.1</v>
      </c>
      <c r="Y228" s="91">
        <f>IFERROR(LARGE(tblPiNAnalysis[[#This Row],[SAMV]:[ASH]], 1), "")</f>
        <v>3545.4</v>
      </c>
      <c r="Z228" s="92" t="str" cm="1">
        <f t="array" ref="Z228">IF(tblPiNAnalysis[[#This Row],[PiN más alto]]="", "", _xlfn.TEXTJOIN(CHAR(10), TRUE, IF(tblPiNAnalysis[[#This Row],[PiN más alto]]=tblPiNAnalysis[[#This Row],[SAMV]:[ASH]], tblPiNAnalysis[[#Headers],[SAMV]:[ASH]], "")))</f>
        <v>ASH</v>
      </c>
      <c r="AA228" s="93">
        <f>IF(tblPiNAnalysis[[#This Row],[PiN más alto]]="", "", tblPiNAnalysis[[#This Row],[PiN más alto]]/tblPiNAnalysis[[#This Row],[Población]])</f>
        <v>0.6</v>
      </c>
      <c r="AB228" s="94" t="str">
        <f>IF(SUM(tblPiNAnalysis[[#This Row],[SAMV]:[ASH]])=0, "",IF(COUNTIF(tblPiNAnalysis[[#This Row],[SAMV]:[ASH]],"=0")+COUNTIF(tblPiNAnalysis[[#This Row],[SAMV]:[ASH]],"")&gt;=zero_pin_thresh, "Flagged", ""))</f>
        <v/>
      </c>
      <c r="AC228" s="95" t="str">
        <f>IFERROR(IF(tblPiNAnalysis[[#This Row],[PiN más alto]]="", "", IF(tblPiNAnalysis[[#This Row],[% PiN Sectores más altos]]&gt;=flag_pin_perc, "Flagged", "")), "")</f>
        <v/>
      </c>
      <c r="AD228" s="96" t="str" cm="1">
        <f t="array" ref="AD228">IF(tblPiNAnalysis[[#This Row],[PiN más alto]]=0, "",  IF(OR(COUNTIF(tblPiNAnalysis[[#This Row],[Sectores más altos]],tblSubSectorPopulation[Sector])), "Flagged", ""))</f>
        <v/>
      </c>
      <c r="AE228" s="16" cm="1">
        <f t="array" ref="AE22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2800</v>
      </c>
      <c r="AF228" s="97" t="str" cm="1">
        <f t="array" ref="AF228">IF(tblPiNAnalysis[[#This Row],[2º PiN más alto]]="", "", _xlfn.TEXTJOIN(CHAR(10), TRUE, IF(tblPiNAnalysis[[#This Row],[2º PiN más alto]]=tblPiNAnalysis[[#This Row],[SAMV]:[ASH]], tblPiNAnalysis[[#Headers],[SAMV]:[ASH]], "")))</f>
        <v>SAL</v>
      </c>
      <c r="AG228" s="12">
        <f>IFERROR(tblPiNAnalysis[[#This Row],[2º PiN más alto]]/tblPiNAnalysis[[#This Row],[Población]], "")</f>
        <v>0.47385344389913692</v>
      </c>
      <c r="AH228" s="16">
        <f>IFERROR(tblPiNAnalysis[[#This Row],[PiN más alto]]-tblPiNAnalysis[[#This Row],[2º PiN más alto]], "")</f>
        <v>745.40000000000009</v>
      </c>
      <c r="AI228" s="14">
        <f>IFERROR(((tblPiNAnalysis[[#This Row],[PiN más alto]]-tblPiNAnalysis[[#This Row],[2º PiN más alto]])/tblPiNAnalysis[[#This Row],[2º PiN más alto]]),"")</f>
        <v>0.26621428571428574</v>
      </c>
      <c r="AJ228" s="14" t="str" cm="1">
        <f t="array" ref="AJ22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228" s="98" cm="1">
        <f t="array" ref="AK22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1414.1736128856162</v>
      </c>
      <c r="AL228" s="53" t="str" cm="1">
        <f t="array" ref="AL228">IF(tblPiNAnalysis[[#This Row],[3º PiN más alto]]="", "", _xlfn.TEXTJOIN(CHAR(10), TRUE, IF(tblPiNAnalysis[[#This Row],[3º PiN más alto]]=tblPiNAnalysis[[#This Row],[SAMV]:[ASH]], tblPiNAnalysis[[#Headers],[SAMV]:[ASH]], "")))</f>
        <v>PRO</v>
      </c>
      <c r="AM228" s="53">
        <f>IFERROR(tblPiNAnalysis[[#This Row],[3º PiN más alto]]/tblPiNAnalysis[[#This Row],[Población]], "")</f>
        <v>0.23932537026326217</v>
      </c>
      <c r="AN228" s="15">
        <f>IFERROR(tblPiNAnalysis[[#This Row],[PiN más alto]]-tblPiNAnalysis[[#This Row],[3º PiN más alto]],"")</f>
        <v>2131.2263871143841</v>
      </c>
      <c r="AO228" s="14">
        <f>IFERROR(tblPiNAnalysis[[#This Row],[Diferencia de PiN entre el más alto y el 3º más alto]]/tblPiNAnalysis[[#This Row],[3º PiN más alto]], "")</f>
        <v>1.507047202475815</v>
      </c>
      <c r="AP228" s="96" t="str" cm="1">
        <f t="array" ref="AP22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28" s="84" cm="1">
        <f t="array" ref="AQ228">IFERROR(IF(tblPiNAnalysis[[#This Row],[ID]]="", "", INDEX(tblPiNHistorical[[SAMV]:[ASH]], MATCH(tblPiNAnalysis[[#This Row],[ID]],tblPiNHistorical[ID], 0),MATCH(_xlfn._xlws.FILTER(tblPiNAnalysis[[#Headers],[SAMV]:[ASH]], tblPiNAnalysis[[#This Row],[PiN más alto]]=tblPiNAnalysis[[#This Row],[SAMV]:[ASH]]), tblPiNHistorical[[#Headers],[SAMV]:[ASH]], 0))), "")</f>
        <v>1.3</v>
      </c>
      <c r="AR228" s="99" t="str" cm="1">
        <f t="array" ref="AR22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28" s="74" cm="1">
        <f t="array" ref="AS228">IFERROR(IF(tblPiNAnalysis[[#This Row],[ID]]="", "", INDEX(tblPiNHistorical[[SAMV]:[ASH]], MATCH(tblPiNAnalysis[[#This Row],[ID]],tblPiNHistorical[ID], 0),MATCH(_xlfn._xlws.FILTER(tblPiNAnalysis[[#Headers],[SAMV]:[ASH]], tblPiNAnalysis[[#This Row],[2º PiN más alto]]=tblPiNAnalysis[[#This Row],[SAMV]:[ASH]]), tblPiNHistorical[[#Headers],[SAMV]:[ASH]], 0))), "")</f>
        <v>10.7</v>
      </c>
      <c r="AT228" s="100" t="str" cm="1">
        <f t="array" ref="AT22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28" s="219">
        <f>INDEX(tblSeverityAnalysis[Severidad final], MATCH(tblPiNAnalysis[[#This Row],[ID]],tblSeverityAnalysis[ID], 0))</f>
        <v>3</v>
      </c>
      <c r="AV228" s="220">
        <f>IF(tblPiNAnalysis[[#This Row],[Severidad]]&gt;2,tblPiNAnalysis[[#This Row],[PiN más alto]],)</f>
        <v>3545.4</v>
      </c>
      <c r="AW228" s="54"/>
      <c r="AX228" s="55"/>
      <c r="AY228" s="56">
        <f>COUNTIFS(tblPiNAnalysis[[#This Row],[Número de PiN ausentes/cero superior al umbral - Calidad de los datos]:[Marcador manual]],"Flagged")</f>
        <v>3</v>
      </c>
      <c r="AZ228" s="34" t="str">
        <f>IF(tblPiNAnalysis[[#This Row],[Número de marcadores]]&gt;0, "Flagged", "")</f>
        <v>Flagged</v>
      </c>
      <c r="BA228" s="92">
        <f>tblPiNAnalysis[[#This Row],[PiN preliminar]]</f>
        <v>3545.4</v>
      </c>
      <c r="BB228" s="97"/>
      <c r="BC228" s="70">
        <f>IFERROR(IF(tblPiNAnalysis[[#This Row],[Severidad]]=3,tblPiNAnalysis[[#This Row],[PiN final]]*Umbrales!$D$33,tblPiNAnalysis[[#This Row],[PiN final]]*Umbrales!$D$34),)</f>
        <v>1772.7</v>
      </c>
      <c r="BD228" s="70">
        <f>IFERROR(IF(tblPiNAnalysis[[#This Row],[Severidad]]&gt;3,tblPiNAnalysis[[#This Row],[PiN final]]*Umbrales!$D$34,),)</f>
        <v>0</v>
      </c>
    </row>
    <row r="229" spans="1:56">
      <c r="A229" s="101" t="str">
        <f>IFERROR(_xlfn.CONCAT(IF(tblPiNAnalysis[[#This Row],[Grupo]]="", "",tblPiNAnalysis[[#This Row],[Grupo]] ),  _xlfn.IFS(tblPiNAnalysis[[#This Row],[Admin2PCODE]]&lt;&gt;"", tblPiNAnalysis[[#This Row],[Admin2PCODE]], tblPiNAnalysis[[#This Row],[Admin1PCODE]]&lt;&gt;"", tblPiNAnalysis[[#This Row],[Admin1PCODE]])),"")</f>
        <v>VenezolanosVE1122</v>
      </c>
      <c r="B229" s="105" t="s">
        <v>316</v>
      </c>
      <c r="C229" s="104" t="s">
        <v>317</v>
      </c>
      <c r="D229" s="119" t="s">
        <v>355</v>
      </c>
      <c r="E229" s="104" t="s">
        <v>356</v>
      </c>
      <c r="F229" s="358"/>
      <c r="G229" s="357">
        <v>5646</v>
      </c>
      <c r="H229" s="103" t="s">
        <v>102</v>
      </c>
      <c r="I229" s="60">
        <v>1255</v>
      </c>
      <c r="J229" s="134">
        <v>180.5503454248958</v>
      </c>
      <c r="K229" s="57">
        <v>2060.79</v>
      </c>
      <c r="L229" s="87">
        <v>235.61749526304493</v>
      </c>
      <c r="M229" s="87">
        <v>1126.0258670886487</v>
      </c>
      <c r="N229" s="57">
        <v>3387.6</v>
      </c>
      <c r="O229" s="57">
        <v>361.45430333545625</v>
      </c>
      <c r="P229" s="57">
        <v>394.10905348102699</v>
      </c>
      <c r="Q229" s="88">
        <f>IFERROR(IF(tblPiNAnalysis[[#This Row],[SAMV]]="", "", MROUND(tblPiNAnalysis[[#This Row],[SAMV]]/tblPiNAnalysis[[#This Row],[Población]], 0.05)), "")</f>
        <v>0.2</v>
      </c>
      <c r="R229" s="89">
        <f>IFERROR(IF(tblPiNAnalysis[[#This Row],[NUT]]="", "", MROUND(tblPiNAnalysis[[#This Row],[NUT]]/tblPiNAnalysis[[#This Row],[Población]], 0.05)), "")</f>
        <v>0.05</v>
      </c>
      <c r="S229" s="89">
        <f>IFERROR(IF(tblPiNAnalysis[[#This Row],[SAL]]="", "", MROUND(tblPiNAnalysis[[#This Row],[SAL]]/tblPiNAnalysis[[#This Row],[Población]], 0.05)), "")</f>
        <v>0.35000000000000003</v>
      </c>
      <c r="T229" s="89">
        <f>IFERROR(IF(tblPiNAnalysis[[#This Row],[EDU]]="", "", MROUND(tblPiNAnalysis[[#This Row],[EDU]]/tblPiNAnalysis[[#This Row],[Población]], 0.05)), "")</f>
        <v>0.05</v>
      </c>
      <c r="U229" s="89">
        <f>IFERROR(IF(tblPiNAnalysis[[#This Row],[PRO]]="", "", MROUND(tblPiNAnalysis[[#This Row],[PRO]]/tblPiNAnalysis[[#This Row],[Población]], 0.05)), "")</f>
        <v>0.2</v>
      </c>
      <c r="V229" s="90">
        <f>IFERROR(IF(tblPiNAnalysis[[#This Row],[ASH]]="", "", MROUND(tblPiNAnalysis[[#This Row],[ASH]]/tblPiNAnalysis[[#This Row],[Población]], 0.05)), "")</f>
        <v>0.60000000000000009</v>
      </c>
      <c r="W229" s="89">
        <f>IFERROR(MROUND(tblPiNAnalysis[[#This Row],[NNA]]/tblPiNAnalysis[[#This Row],[Población]], 0.05), "")</f>
        <v>0.05</v>
      </c>
      <c r="X229" s="89">
        <f>IFERROR(MROUND(tblPiNAnalysis[[#This Row],[VBG]]/tblPiNAnalysis[[#This Row],[Población]], 0.05), "")</f>
        <v>0.05</v>
      </c>
      <c r="Y229" s="91">
        <f>IFERROR(LARGE(tblPiNAnalysis[[#This Row],[SAMV]:[ASH]], 1), "")</f>
        <v>3387.6</v>
      </c>
      <c r="Z229" s="92" t="str" cm="1">
        <f t="array" ref="Z229">IF(tblPiNAnalysis[[#This Row],[PiN más alto]]="", "", _xlfn.TEXTJOIN(CHAR(10), TRUE, IF(tblPiNAnalysis[[#This Row],[PiN más alto]]=tblPiNAnalysis[[#This Row],[SAMV]:[ASH]], tblPiNAnalysis[[#Headers],[SAMV]:[ASH]], "")))</f>
        <v>ASH</v>
      </c>
      <c r="AA229" s="93">
        <f>IF(tblPiNAnalysis[[#This Row],[PiN más alto]]="", "", tblPiNAnalysis[[#This Row],[PiN más alto]]/tblPiNAnalysis[[#This Row],[Población]])</f>
        <v>0.6</v>
      </c>
      <c r="AB229" s="94" t="str">
        <f>IF(SUM(tblPiNAnalysis[[#This Row],[SAMV]:[ASH]])=0, "",IF(COUNTIF(tblPiNAnalysis[[#This Row],[SAMV]:[ASH]],"=0")+COUNTIF(tblPiNAnalysis[[#This Row],[SAMV]:[ASH]],"")&gt;=zero_pin_thresh, "Flagged", ""))</f>
        <v/>
      </c>
      <c r="AC229" s="95" t="str">
        <f>IFERROR(IF(tblPiNAnalysis[[#This Row],[PiN más alto]]="", "", IF(tblPiNAnalysis[[#This Row],[% PiN Sectores más altos]]&gt;=flag_pin_perc, "Flagged", "")), "")</f>
        <v/>
      </c>
      <c r="AD229" s="96" t="str" cm="1">
        <f t="array" ref="AD229">IF(tblPiNAnalysis[[#This Row],[PiN más alto]]=0, "",  IF(OR(COUNTIF(tblPiNAnalysis[[#This Row],[Sectores más altos]],tblSubSectorPopulation[Sector])), "Flagged", ""))</f>
        <v/>
      </c>
      <c r="AE229" s="16" cm="1">
        <f t="array" ref="AE22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2060.79</v>
      </c>
      <c r="AF229" s="97" t="str" cm="1">
        <f t="array" ref="AF229">IF(tblPiNAnalysis[[#This Row],[2º PiN más alto]]="", "", _xlfn.TEXTJOIN(CHAR(10), TRUE, IF(tblPiNAnalysis[[#This Row],[2º PiN más alto]]=tblPiNAnalysis[[#This Row],[SAMV]:[ASH]], tblPiNAnalysis[[#Headers],[SAMV]:[ASH]], "")))</f>
        <v>SAL</v>
      </c>
      <c r="AG229" s="12">
        <f>IFERROR(tblPiNAnalysis[[#This Row],[2º PiN más alto]]/tblPiNAnalysis[[#This Row],[Población]], "")</f>
        <v>0.36499999999999999</v>
      </c>
      <c r="AH229" s="16">
        <f>IFERROR(tblPiNAnalysis[[#This Row],[PiN más alto]]-tblPiNAnalysis[[#This Row],[2º PiN más alto]], "")</f>
        <v>1326.81</v>
      </c>
      <c r="AI229" s="14">
        <f>IFERROR(((tblPiNAnalysis[[#This Row],[PiN más alto]]-tblPiNAnalysis[[#This Row],[2º PiN más alto]])/tblPiNAnalysis[[#This Row],[2º PiN más alto]]),"")</f>
        <v>0.64383561643835618</v>
      </c>
      <c r="AJ229" s="14" t="str" cm="1">
        <f t="array" ref="AJ22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29" s="98" cm="1">
        <f t="array" ref="AK22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1255</v>
      </c>
      <c r="AL229" s="53" t="str" cm="1">
        <f t="array" ref="AL229">IF(tblPiNAnalysis[[#This Row],[3º PiN más alto]]="", "", _xlfn.TEXTJOIN(CHAR(10), TRUE, IF(tblPiNAnalysis[[#This Row],[3º PiN más alto]]=tblPiNAnalysis[[#This Row],[SAMV]:[ASH]], tblPiNAnalysis[[#Headers],[SAMV]:[ASH]], "")))</f>
        <v>SAMV</v>
      </c>
      <c r="AM229" s="53">
        <f>IFERROR(tblPiNAnalysis[[#This Row],[3º PiN más alto]]/tblPiNAnalysis[[#This Row],[Población]], "")</f>
        <v>0.22228126106978391</v>
      </c>
      <c r="AN229" s="15">
        <f>IFERROR(tblPiNAnalysis[[#This Row],[PiN más alto]]-tblPiNAnalysis[[#This Row],[3º PiN más alto]],"")</f>
        <v>2132.6</v>
      </c>
      <c r="AO229" s="14">
        <f>IFERROR(tblPiNAnalysis[[#This Row],[Diferencia de PiN entre el más alto y el 3º más alto]]/tblPiNAnalysis[[#This Row],[3º PiN más alto]], "")</f>
        <v>1.6992828685258963</v>
      </c>
      <c r="AP229" s="96" t="str" cm="1">
        <f t="array" ref="AP22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29" s="84" t="str" cm="1">
        <f t="array" ref="AQ229">IFERROR(IF(tblPiNAnalysis[[#This Row],[ID]]="", "", INDEX(tblPiNHistorical[[SAMV]:[ASH]], MATCH(tblPiNAnalysis[[#This Row],[ID]],tblPiNHistorical[ID], 0),MATCH(_xlfn._xlws.FILTER(tblPiNAnalysis[[#Headers],[SAMV]:[ASH]], tblPiNAnalysis[[#This Row],[PiN más alto]]=tblPiNAnalysis[[#This Row],[SAMV]:[ASH]]), tblPiNHistorical[[#Headers],[SAMV]:[ASH]], 0))), "")</f>
        <v>NoPIN26 1104</v>
      </c>
      <c r="AR229" s="99" t="str" cm="1">
        <f t="array" ref="AR22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29" s="74" cm="1">
        <f t="array" ref="AS229">IFERROR(IF(tblPiNAnalysis[[#This Row],[ID]]="", "", INDEX(tblPiNHistorical[[SAMV]:[ASH]], MATCH(tblPiNAnalysis[[#This Row],[ID]],tblPiNHistorical[ID], 0),MATCH(_xlfn._xlws.FILTER(tblPiNAnalysis[[#Headers],[SAMV]:[ASH]], tblPiNAnalysis[[#This Row],[2º PiN más alto]]=tblPiNAnalysis[[#This Row],[SAMV]:[ASH]]), tblPiNHistorical[[#Headers],[SAMV]:[ASH]], 0))), "")</f>
        <v>11.3</v>
      </c>
      <c r="AT229" s="100" t="str" cm="1">
        <f t="array" ref="AT22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29" s="219">
        <f>INDEX(tblSeverityAnalysis[Severidad final], MATCH(tblPiNAnalysis[[#This Row],[ID]],tblSeverityAnalysis[ID], 0))</f>
        <v>3</v>
      </c>
      <c r="AV229" s="220">
        <f>IF(tblPiNAnalysis[[#This Row],[Severidad]]&gt;2,tblPiNAnalysis[[#This Row],[PiN más alto]],)</f>
        <v>3387.6</v>
      </c>
      <c r="AW229" s="54"/>
      <c r="AX229" s="55"/>
      <c r="AY229" s="56">
        <f>COUNTIFS(tblPiNAnalysis[[#This Row],[Número de PiN ausentes/cero superior al umbral - Calidad de los datos]:[Marcador manual]],"Flagged")</f>
        <v>3</v>
      </c>
      <c r="AZ229" s="34" t="str">
        <f>IF(tblPiNAnalysis[[#This Row],[Número de marcadores]]&gt;0, "Flagged", "")</f>
        <v>Flagged</v>
      </c>
      <c r="BA229" s="92">
        <f>tblPiNAnalysis[[#This Row],[PiN preliminar]]</f>
        <v>3387.6</v>
      </c>
      <c r="BB229" s="97"/>
      <c r="BC229" s="70">
        <f>IFERROR(IF(tblPiNAnalysis[[#This Row],[Severidad]]=3,tblPiNAnalysis[[#This Row],[PiN final]]*Umbrales!$D$33,tblPiNAnalysis[[#This Row],[PiN final]]*Umbrales!$D$34),)</f>
        <v>1693.8</v>
      </c>
      <c r="BD229" s="70">
        <f>IFERROR(IF(tblPiNAnalysis[[#This Row],[Severidad]]&gt;3,tblPiNAnalysis[[#This Row],[PiN final]]*Umbrales!$D$34,),)</f>
        <v>0</v>
      </c>
    </row>
    <row r="230" spans="1:56">
      <c r="A230" s="101" t="str">
        <f>IFERROR(_xlfn.CONCAT(IF(tblPiNAnalysis[[#This Row],[Grupo]]="", "",tblPiNAnalysis[[#This Row],[Grupo]] ),  _xlfn.IFS(tblPiNAnalysis[[#This Row],[Admin2PCODE]]&lt;&gt;"", tblPiNAnalysis[[#This Row],[Admin2PCODE]], tblPiNAnalysis[[#This Row],[Admin1PCODE]]&lt;&gt;"", tblPiNAnalysis[[#This Row],[Admin1PCODE]])),"")</f>
        <v>VenezolanosVE1116</v>
      </c>
      <c r="B230" s="105" t="s">
        <v>316</v>
      </c>
      <c r="C230" s="104" t="s">
        <v>317</v>
      </c>
      <c r="D230" s="119" t="s">
        <v>345</v>
      </c>
      <c r="E230" s="104" t="s">
        <v>346</v>
      </c>
      <c r="F230" s="358"/>
      <c r="G230" s="357">
        <v>7236</v>
      </c>
      <c r="H230" s="103" t="s">
        <v>102</v>
      </c>
      <c r="I230" s="60">
        <v>1025</v>
      </c>
      <c r="J230" s="134">
        <v>257.8809837219161</v>
      </c>
      <c r="K230" s="57">
        <v>2800</v>
      </c>
      <c r="L230" s="87">
        <v>966.93994402349165</v>
      </c>
      <c r="M230" s="87">
        <v>1443.131982687471</v>
      </c>
      <c r="N230" s="57">
        <v>0</v>
      </c>
      <c r="O230" s="57">
        <v>463.24536644267823</v>
      </c>
      <c r="P230" s="57">
        <v>505.09619394061485</v>
      </c>
      <c r="Q230" s="88">
        <f>IFERROR(IF(tblPiNAnalysis[[#This Row],[SAMV]]="", "", MROUND(tblPiNAnalysis[[#This Row],[SAMV]]/tblPiNAnalysis[[#This Row],[Población]], 0.05)), "")</f>
        <v>0.15000000000000002</v>
      </c>
      <c r="R230" s="89">
        <f>IFERROR(IF(tblPiNAnalysis[[#This Row],[NUT]]="", "", MROUND(tblPiNAnalysis[[#This Row],[NUT]]/tblPiNAnalysis[[#This Row],[Población]], 0.05)), "")</f>
        <v>0.05</v>
      </c>
      <c r="S230" s="89">
        <f>IFERROR(IF(tblPiNAnalysis[[#This Row],[SAL]]="", "", MROUND(tblPiNAnalysis[[#This Row],[SAL]]/tblPiNAnalysis[[#This Row],[Población]], 0.05)), "")</f>
        <v>0.4</v>
      </c>
      <c r="T230" s="89">
        <f>IFERROR(IF(tblPiNAnalysis[[#This Row],[EDU]]="", "", MROUND(tblPiNAnalysis[[#This Row],[EDU]]/tblPiNAnalysis[[#This Row],[Población]], 0.05)), "")</f>
        <v>0.15000000000000002</v>
      </c>
      <c r="U230" s="89">
        <f>IFERROR(IF(tblPiNAnalysis[[#This Row],[PRO]]="", "", MROUND(tblPiNAnalysis[[#This Row],[PRO]]/tblPiNAnalysis[[#This Row],[Población]], 0.05)), "")</f>
        <v>0.2</v>
      </c>
      <c r="V230" s="90">
        <f>IFERROR(IF(tblPiNAnalysis[[#This Row],[ASH]]="", "", MROUND(tblPiNAnalysis[[#This Row],[ASH]]/tblPiNAnalysis[[#This Row],[Población]], 0.05)), "")</f>
        <v>0</v>
      </c>
      <c r="W230" s="89">
        <f>IFERROR(MROUND(tblPiNAnalysis[[#This Row],[NNA]]/tblPiNAnalysis[[#This Row],[Población]], 0.05), "")</f>
        <v>0.05</v>
      </c>
      <c r="X230" s="89">
        <f>IFERROR(MROUND(tblPiNAnalysis[[#This Row],[VBG]]/tblPiNAnalysis[[#This Row],[Población]], 0.05), "")</f>
        <v>0.05</v>
      </c>
      <c r="Y230" s="91">
        <f>IFERROR(LARGE(tblPiNAnalysis[[#This Row],[SAMV]:[ASH]], 1), "")</f>
        <v>2800</v>
      </c>
      <c r="Z230" s="92" t="str" cm="1">
        <f t="array" ref="Z230">IF(tblPiNAnalysis[[#This Row],[PiN más alto]]="", "", _xlfn.TEXTJOIN(CHAR(10), TRUE, IF(tblPiNAnalysis[[#This Row],[PiN más alto]]=tblPiNAnalysis[[#This Row],[SAMV]:[ASH]], tblPiNAnalysis[[#Headers],[SAMV]:[ASH]], "")))</f>
        <v>SAL</v>
      </c>
      <c r="AA230" s="93">
        <f>IF(tblPiNAnalysis[[#This Row],[PiN más alto]]="", "", tblPiNAnalysis[[#This Row],[PiN más alto]]/tblPiNAnalysis[[#This Row],[Población]])</f>
        <v>0.38695411829740189</v>
      </c>
      <c r="AB230" s="94" t="str">
        <f>IF(SUM(tblPiNAnalysis[[#This Row],[SAMV]:[ASH]])=0, "",IF(COUNTIF(tblPiNAnalysis[[#This Row],[SAMV]:[ASH]],"=0")+COUNTIF(tblPiNAnalysis[[#This Row],[SAMV]:[ASH]],"")&gt;=zero_pin_thresh, "Flagged", ""))</f>
        <v/>
      </c>
      <c r="AC230" s="95" t="str">
        <f>IFERROR(IF(tblPiNAnalysis[[#This Row],[PiN más alto]]="", "", IF(tblPiNAnalysis[[#This Row],[% PiN Sectores más altos]]&gt;=flag_pin_perc, "Flagged", "")), "")</f>
        <v/>
      </c>
      <c r="AD230" s="96" t="str" cm="1">
        <f t="array" ref="AD230">IF(tblPiNAnalysis[[#This Row],[PiN más alto]]=0, "",  IF(OR(COUNTIF(tblPiNAnalysis[[#This Row],[Sectores más altos]],tblSubSectorPopulation[Sector])), "Flagged", ""))</f>
        <v/>
      </c>
      <c r="AE230" s="16" cm="1">
        <f t="array" ref="AE23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1443.131982687471</v>
      </c>
      <c r="AF230" s="97" t="str" cm="1">
        <f t="array" ref="AF230">IF(tblPiNAnalysis[[#This Row],[2º PiN más alto]]="", "", _xlfn.TEXTJOIN(CHAR(10), TRUE, IF(tblPiNAnalysis[[#This Row],[2º PiN más alto]]=tblPiNAnalysis[[#This Row],[SAMV]:[ASH]], tblPiNAnalysis[[#Headers],[SAMV]:[ASH]], "")))</f>
        <v>PRO</v>
      </c>
      <c r="AG230" s="12">
        <f>IFERROR(tblPiNAnalysis[[#This Row],[2º PiN más alto]]/tblPiNAnalysis[[#This Row],[Población]], "")</f>
        <v>0.1994378085527185</v>
      </c>
      <c r="AH230" s="16">
        <f>IFERROR(tblPiNAnalysis[[#This Row],[PiN más alto]]-tblPiNAnalysis[[#This Row],[2º PiN más alto]], "")</f>
        <v>1356.868017312529</v>
      </c>
      <c r="AI230" s="14">
        <f>IFERROR(((tblPiNAnalysis[[#This Row],[PiN más alto]]-tblPiNAnalysis[[#This Row],[2º PiN más alto]])/tblPiNAnalysis[[#This Row],[2º PiN más alto]]),"")</f>
        <v>0.94022447952799371</v>
      </c>
      <c r="AJ230" s="14" t="str" cm="1">
        <f t="array" ref="AJ23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30" s="98" cm="1">
        <f t="array" ref="AK23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1025</v>
      </c>
      <c r="AL230" s="53" t="str" cm="1">
        <f t="array" ref="AL230">IF(tblPiNAnalysis[[#This Row],[3º PiN más alto]]="", "", _xlfn.TEXTJOIN(CHAR(10), TRUE, IF(tblPiNAnalysis[[#This Row],[3º PiN más alto]]=tblPiNAnalysis[[#This Row],[SAMV]:[ASH]], tblPiNAnalysis[[#Headers],[SAMV]:[ASH]], "")))</f>
        <v>SAMV</v>
      </c>
      <c r="AM230" s="53">
        <f>IFERROR(tblPiNAnalysis[[#This Row],[3º PiN más alto]]/tblPiNAnalysis[[#This Row],[Población]], "")</f>
        <v>0.14165284687672747</v>
      </c>
      <c r="AN230" s="15">
        <f>IFERROR(tblPiNAnalysis[[#This Row],[PiN más alto]]-tblPiNAnalysis[[#This Row],[3º PiN más alto]],"")</f>
        <v>1775</v>
      </c>
      <c r="AO230" s="14">
        <f>IFERROR(tblPiNAnalysis[[#This Row],[Diferencia de PiN entre el más alto y el 3º más alto]]/tblPiNAnalysis[[#This Row],[3º PiN más alto]], "")</f>
        <v>1.7317073170731707</v>
      </c>
      <c r="AP230" s="96" t="str" cm="1">
        <f t="array" ref="AP23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30" s="84" cm="1">
        <f t="array" ref="AQ230">IFERROR(IF(tblPiNAnalysis[[#This Row],[ID]]="", "", INDEX(tblPiNHistorical[[SAMV]:[ASH]], MATCH(tblPiNAnalysis[[#This Row],[ID]],tblPiNHistorical[ID], 0),MATCH(_xlfn._xlws.FILTER(tblPiNAnalysis[[#Headers],[SAMV]:[ASH]], tblPiNAnalysis[[#This Row],[PiN más alto]]=tblPiNAnalysis[[#This Row],[SAMV]:[ASH]]), tblPiNHistorical[[#Headers],[SAMV]:[ASH]], 0))), "")</f>
        <v>8.8000000000000007</v>
      </c>
      <c r="AR230" s="99" t="str" cm="1">
        <f t="array" ref="AR23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30" s="74" cm="1">
        <f t="array" ref="AS230">IFERROR(IF(tblPiNAnalysis[[#This Row],[ID]]="", "", INDEX(tblPiNHistorical[[SAMV]:[ASH]], MATCH(tblPiNAnalysis[[#This Row],[ID]],tblPiNHistorical[ID], 0),MATCH(_xlfn._xlws.FILTER(tblPiNAnalysis[[#Headers],[SAMV]:[ASH]], tblPiNAnalysis[[#This Row],[2º PiN más alto]]=tblPiNAnalysis[[#This Row],[SAMV]:[ASH]]), tblPiNHistorical[[#Headers],[SAMV]:[ASH]], 0))), "")</f>
        <v>2.1</v>
      </c>
      <c r="AT230" s="100" t="str" cm="1">
        <f t="array" ref="AT23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30" s="219">
        <f>INDEX(tblSeverityAnalysis[Severidad final], MATCH(tblPiNAnalysis[[#This Row],[ID]],tblSeverityAnalysis[ID], 0))</f>
        <v>3</v>
      </c>
      <c r="AV230" s="220">
        <f>IF(tblPiNAnalysis[[#This Row],[Severidad]]&gt;2,tblPiNAnalysis[[#This Row],[PiN más alto]],)</f>
        <v>2800</v>
      </c>
      <c r="AW230" s="54"/>
      <c r="AX230" s="55"/>
      <c r="AY230" s="56">
        <f>COUNTIFS(tblPiNAnalysis[[#This Row],[Número de PiN ausentes/cero superior al umbral - Calidad de los datos]:[Marcador manual]],"Flagged")</f>
        <v>4</v>
      </c>
      <c r="AZ230" s="34" t="str">
        <f>IF(tblPiNAnalysis[[#This Row],[Número de marcadores]]&gt;0, "Flagged", "")</f>
        <v>Flagged</v>
      </c>
      <c r="BA230" s="92">
        <f>tblPiNAnalysis[[#This Row],[PiN preliminar]]</f>
        <v>2800</v>
      </c>
      <c r="BB230" s="97"/>
      <c r="BC230" s="70">
        <f>IFERROR(IF(tblPiNAnalysis[[#This Row],[Severidad]]=3,tblPiNAnalysis[[#This Row],[PiN final]]*Umbrales!$D$33,tblPiNAnalysis[[#This Row],[PiN final]]*Umbrales!$D$34),)</f>
        <v>1400</v>
      </c>
      <c r="BD230" s="70">
        <f>IFERROR(IF(tblPiNAnalysis[[#This Row],[Severidad]]&gt;3,tblPiNAnalysis[[#This Row],[PiN final]]*Umbrales!$D$34,),)</f>
        <v>0</v>
      </c>
    </row>
    <row r="231" spans="1:56">
      <c r="A231" s="101" t="str">
        <f>IFERROR(_xlfn.CONCAT(IF(tblPiNAnalysis[[#This Row],[Grupo]]="", "",tblPiNAnalysis[[#This Row],[Grupo]] ),  _xlfn.IFS(tblPiNAnalysis[[#This Row],[Admin2PCODE]]&lt;&gt;"", tblPiNAnalysis[[#This Row],[Admin2PCODE]], tblPiNAnalysis[[#This Row],[Admin1PCODE]]&lt;&gt;"", tblPiNAnalysis[[#This Row],[Admin1PCODE]])),"")</f>
        <v>VenezolanosVE0207</v>
      </c>
      <c r="B231" s="105" t="s">
        <v>103</v>
      </c>
      <c r="C231" s="104" t="s">
        <v>104</v>
      </c>
      <c r="D231" s="119" t="s">
        <v>117</v>
      </c>
      <c r="E231" s="104" t="s">
        <v>118</v>
      </c>
      <c r="F231" s="358"/>
      <c r="G231" s="357">
        <v>2349</v>
      </c>
      <c r="H231" s="103" t="s">
        <v>102</v>
      </c>
      <c r="I231" s="60">
        <v>392</v>
      </c>
      <c r="J231" s="134">
        <v>297.91205260869572</v>
      </c>
      <c r="K231" s="57">
        <v>2000</v>
      </c>
      <c r="L231" s="87">
        <v>209.70964428889977</v>
      </c>
      <c r="M231" s="87">
        <v>562.00574270415348</v>
      </c>
      <c r="N231" s="57">
        <v>1879.2</v>
      </c>
      <c r="O231" s="57">
        <v>180.40384340803325</v>
      </c>
      <c r="P231" s="57">
        <v>196.7020099464537</v>
      </c>
      <c r="Q231" s="88">
        <f>IFERROR(IF(tblPiNAnalysis[[#This Row],[SAMV]]="", "", MROUND(tblPiNAnalysis[[#This Row],[SAMV]]/tblPiNAnalysis[[#This Row],[Población]], 0.05)), "")</f>
        <v>0.15000000000000002</v>
      </c>
      <c r="R231" s="89">
        <f>IFERROR(IF(tblPiNAnalysis[[#This Row],[NUT]]="", "", MROUND(tblPiNAnalysis[[#This Row],[NUT]]/tblPiNAnalysis[[#This Row],[Población]], 0.05)), "")</f>
        <v>0.15000000000000002</v>
      </c>
      <c r="S231" s="89">
        <f>IFERROR(IF(tblPiNAnalysis[[#This Row],[SAL]]="", "", MROUND(tblPiNAnalysis[[#This Row],[SAL]]/tblPiNAnalysis[[#This Row],[Población]], 0.05)), "")</f>
        <v>0.85000000000000009</v>
      </c>
      <c r="T231" s="89">
        <f>IFERROR(IF(tblPiNAnalysis[[#This Row],[EDU]]="", "", MROUND(tblPiNAnalysis[[#This Row],[EDU]]/tblPiNAnalysis[[#This Row],[Población]], 0.05)), "")</f>
        <v>0.1</v>
      </c>
      <c r="U231" s="89">
        <f>IFERROR(IF(tblPiNAnalysis[[#This Row],[PRO]]="", "", MROUND(tblPiNAnalysis[[#This Row],[PRO]]/tblPiNAnalysis[[#This Row],[Población]], 0.05)), "")</f>
        <v>0.25</v>
      </c>
      <c r="V231" s="90">
        <f>IFERROR(IF(tblPiNAnalysis[[#This Row],[ASH]]="", "", MROUND(tblPiNAnalysis[[#This Row],[ASH]]/tblPiNAnalysis[[#This Row],[Población]], 0.05)), "")</f>
        <v>0.8</v>
      </c>
      <c r="W231" s="89">
        <f>IFERROR(MROUND(tblPiNAnalysis[[#This Row],[NNA]]/tblPiNAnalysis[[#This Row],[Población]], 0.05), "")</f>
        <v>0.1</v>
      </c>
      <c r="X231" s="89">
        <f>IFERROR(MROUND(tblPiNAnalysis[[#This Row],[VBG]]/tblPiNAnalysis[[#This Row],[Población]], 0.05), "")</f>
        <v>0.1</v>
      </c>
      <c r="Y231" s="91">
        <f>IFERROR(LARGE(tblPiNAnalysis[[#This Row],[SAMV]:[ASH]], 1), "")</f>
        <v>2000</v>
      </c>
      <c r="Z231" s="92" t="str" cm="1">
        <f t="array" ref="Z231">IF(tblPiNAnalysis[[#This Row],[PiN más alto]]="", "", _xlfn.TEXTJOIN(CHAR(10), TRUE, IF(tblPiNAnalysis[[#This Row],[PiN más alto]]=tblPiNAnalysis[[#This Row],[SAMV]:[ASH]], tblPiNAnalysis[[#Headers],[SAMV]:[ASH]], "")))</f>
        <v>SAL</v>
      </c>
      <c r="AA231" s="93">
        <f>IF(tblPiNAnalysis[[#This Row],[PiN más alto]]="", "", tblPiNAnalysis[[#This Row],[PiN más alto]]/tblPiNAnalysis[[#This Row],[Población]])</f>
        <v>0.85142613878246065</v>
      </c>
      <c r="AB231" s="94" t="str">
        <f>IF(SUM(tblPiNAnalysis[[#This Row],[SAMV]:[ASH]])=0, "",IF(COUNTIF(tblPiNAnalysis[[#This Row],[SAMV]:[ASH]],"=0")+COUNTIF(tblPiNAnalysis[[#This Row],[SAMV]:[ASH]],"")&gt;=zero_pin_thresh, "Flagged", ""))</f>
        <v/>
      </c>
      <c r="AC231" s="95" t="str">
        <f>IFERROR(IF(tblPiNAnalysis[[#This Row],[PiN más alto]]="", "", IF(tblPiNAnalysis[[#This Row],[% PiN Sectores más altos]]&gt;=flag_pin_perc, "Flagged", "")), "")</f>
        <v/>
      </c>
      <c r="AD231" s="96" t="str" cm="1">
        <f t="array" ref="AD231">IF(tblPiNAnalysis[[#This Row],[PiN más alto]]=0, "",  IF(OR(COUNTIF(tblPiNAnalysis[[#This Row],[Sectores más altos]],tblSubSectorPopulation[Sector])), "Flagged", ""))</f>
        <v/>
      </c>
      <c r="AE231" s="16" cm="1">
        <f t="array" ref="AE23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1879.2</v>
      </c>
      <c r="AF231" s="97" t="str" cm="1">
        <f t="array" ref="AF231">IF(tblPiNAnalysis[[#This Row],[2º PiN más alto]]="", "", _xlfn.TEXTJOIN(CHAR(10), TRUE, IF(tblPiNAnalysis[[#This Row],[2º PiN más alto]]=tblPiNAnalysis[[#This Row],[SAMV]:[ASH]], tblPiNAnalysis[[#Headers],[SAMV]:[ASH]], "")))</f>
        <v>ASH</v>
      </c>
      <c r="AG231" s="12">
        <f>IFERROR(tblPiNAnalysis[[#This Row],[2º PiN más alto]]/tblPiNAnalysis[[#This Row],[Población]], "")</f>
        <v>0.8</v>
      </c>
      <c r="AH231" s="16">
        <f>IFERROR(tblPiNAnalysis[[#This Row],[PiN más alto]]-tblPiNAnalysis[[#This Row],[2º PiN más alto]], "")</f>
        <v>120.79999999999995</v>
      </c>
      <c r="AI231" s="14">
        <f>IFERROR(((tblPiNAnalysis[[#This Row],[PiN más alto]]-tblPiNAnalysis[[#This Row],[2º PiN más alto]])/tblPiNAnalysis[[#This Row],[2º PiN más alto]]),"")</f>
        <v>6.4282673478075758E-2</v>
      </c>
      <c r="AJ231" s="14" t="str" cm="1">
        <f t="array" ref="AJ23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231" s="98" cm="1">
        <f t="array" ref="AK23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562.00574270415348</v>
      </c>
      <c r="AL231" s="53" t="str" cm="1">
        <f t="array" ref="AL231">IF(tblPiNAnalysis[[#This Row],[3º PiN más alto]]="", "", _xlfn.TEXTJOIN(CHAR(10), TRUE, IF(tblPiNAnalysis[[#This Row],[3º PiN más alto]]=tblPiNAnalysis[[#This Row],[SAMV]:[ASH]], tblPiNAnalysis[[#Headers],[SAMV]:[ASH]], "")))</f>
        <v>PRO</v>
      </c>
      <c r="AM231" s="53">
        <f>IFERROR(tblPiNAnalysis[[#This Row],[3º PiN más alto]]/tblPiNAnalysis[[#This Row],[Población]], "")</f>
        <v>0.23925318974208321</v>
      </c>
      <c r="AN231" s="15">
        <f>IFERROR(tblPiNAnalysis[[#This Row],[PiN más alto]]-tblPiNAnalysis[[#This Row],[3º PiN más alto]],"")</f>
        <v>1437.9942572958466</v>
      </c>
      <c r="AO231" s="14">
        <f>IFERROR(tblPiNAnalysis[[#This Row],[Diferencia de PiN entre el más alto y el 3º más alto]]/tblPiNAnalysis[[#This Row],[3º PiN más alto]], "")</f>
        <v>2.5586824974007856</v>
      </c>
      <c r="AP231" s="96" t="str" cm="1">
        <f t="array" ref="AP23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31" s="84" cm="1">
        <f t="array" ref="AQ231">IFERROR(IF(tblPiNAnalysis[[#This Row],[ID]]="", "", INDEX(tblPiNHistorical[[SAMV]:[ASH]], MATCH(tblPiNAnalysis[[#This Row],[ID]],tblPiNHistorical[ID], 0),MATCH(_xlfn._xlws.FILTER(tblPiNAnalysis[[#Headers],[SAMV]:[ASH]], tblPiNAnalysis[[#This Row],[PiN más alto]]=tblPiNAnalysis[[#This Row],[SAMV]:[ASH]]), tblPiNHistorical[[#Headers],[SAMV]:[ASH]], 0))), "")</f>
        <v>212.5</v>
      </c>
      <c r="AR231" s="99" t="str" cm="1">
        <f t="array" ref="AR23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31" s="74" cm="1">
        <f t="array" ref="AS231">IFERROR(IF(tblPiNAnalysis[[#This Row],[ID]]="", "", INDEX(tblPiNHistorical[[SAMV]:[ASH]], MATCH(tblPiNAnalysis[[#This Row],[ID]],tblPiNHistorical[ID], 0),MATCH(_xlfn._xlws.FILTER(tblPiNAnalysis[[#Headers],[SAMV]:[ASH]], tblPiNAnalysis[[#This Row],[2º PiN más alto]]=tblPiNAnalysis[[#This Row],[SAMV]:[ASH]]), tblPiNHistorical[[#Headers],[SAMV]:[ASH]], 0))), "")</f>
        <v>151.19999999999999</v>
      </c>
      <c r="AT231" s="100" t="str" cm="1">
        <f t="array" ref="AT23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31" s="219">
        <f>INDEX(tblSeverityAnalysis[Severidad final], MATCH(tblPiNAnalysis[[#This Row],[ID]],tblSeverityAnalysis[ID], 0))</f>
        <v>4</v>
      </c>
      <c r="AV231" s="220">
        <f>IF(tblPiNAnalysis[[#This Row],[Severidad]]&gt;2,tblPiNAnalysis[[#This Row],[PiN más alto]],)</f>
        <v>2000</v>
      </c>
      <c r="AW231" s="54"/>
      <c r="AX231" s="55"/>
      <c r="AY231" s="56">
        <f>COUNTIFS(tblPiNAnalysis[[#This Row],[Número de PiN ausentes/cero superior al umbral - Calidad de los datos]:[Marcador manual]],"Flagged")</f>
        <v>3</v>
      </c>
      <c r="AZ231" s="34" t="str">
        <f>IF(tblPiNAnalysis[[#This Row],[Número de marcadores]]&gt;0, "Flagged", "")</f>
        <v>Flagged</v>
      </c>
      <c r="BA231" s="92">
        <f>tblPiNAnalysis[[#This Row],[PiN preliminar]]</f>
        <v>2000</v>
      </c>
      <c r="BB231" s="97"/>
      <c r="BC231" s="70">
        <f>IFERROR(IF(tblPiNAnalysis[[#This Row],[Severidad]]=3,tblPiNAnalysis[[#This Row],[PiN final]]*Umbrales!$D$33,tblPiNAnalysis[[#This Row],[PiN final]]*Umbrales!$D$34),)</f>
        <v>2000</v>
      </c>
      <c r="BD231" s="70">
        <f>IFERROR(IF(tblPiNAnalysis[[#This Row],[Severidad]]&gt;3,tblPiNAnalysis[[#This Row],[PiN final]]*Umbrales!$D$34,),)</f>
        <v>2000</v>
      </c>
    </row>
    <row r="232" spans="1:56">
      <c r="A232" s="101" t="str">
        <f>IFERROR(_xlfn.CONCAT(IF(tblPiNAnalysis[[#This Row],[Grupo]]="", "",tblPiNAnalysis[[#This Row],[Grupo]] ),  _xlfn.IFS(tblPiNAnalysis[[#This Row],[Admin2PCODE]]&lt;&gt;"", tblPiNAnalysis[[#This Row],[Admin2PCODE]], tblPiNAnalysis[[#This Row],[Admin1PCODE]]&lt;&gt;"", tblPiNAnalysis[[#This Row],[Admin1PCODE]])),"")</f>
        <v>VenezolanosVE0205</v>
      </c>
      <c r="B232" s="105" t="s">
        <v>103</v>
      </c>
      <c r="C232" s="104" t="s">
        <v>104</v>
      </c>
      <c r="D232" s="119" t="s">
        <v>113</v>
      </c>
      <c r="E232" s="104" t="s">
        <v>114</v>
      </c>
      <c r="F232" s="358"/>
      <c r="G232" s="357">
        <v>2070</v>
      </c>
      <c r="H232" s="103" t="s">
        <v>102</v>
      </c>
      <c r="I232" s="60">
        <v>345</v>
      </c>
      <c r="J232" s="134">
        <v>140.940754629065</v>
      </c>
      <c r="K232" s="57">
        <v>1800</v>
      </c>
      <c r="L232" s="87">
        <v>352.52286114586201</v>
      </c>
      <c r="M232" s="87">
        <v>495.25410276611228</v>
      </c>
      <c r="N232" s="57">
        <v>1656</v>
      </c>
      <c r="O232" s="57">
        <v>157.98605878238982</v>
      </c>
      <c r="P232" s="57">
        <v>173.33893596813925</v>
      </c>
      <c r="Q232" s="88">
        <f>IFERROR(IF(tblPiNAnalysis[[#This Row],[SAMV]]="", "", MROUND(tblPiNAnalysis[[#This Row],[SAMV]]/tblPiNAnalysis[[#This Row],[Población]], 0.05)), "")</f>
        <v>0.15000000000000002</v>
      </c>
      <c r="R232" s="89">
        <f>IFERROR(IF(tblPiNAnalysis[[#This Row],[NUT]]="", "", MROUND(tblPiNAnalysis[[#This Row],[NUT]]/tblPiNAnalysis[[#This Row],[Población]], 0.05)), "")</f>
        <v>0.05</v>
      </c>
      <c r="S232" s="89">
        <f>IFERROR(IF(tblPiNAnalysis[[#This Row],[SAL]]="", "", MROUND(tblPiNAnalysis[[#This Row],[SAL]]/tblPiNAnalysis[[#This Row],[Población]], 0.05)), "")</f>
        <v>0.85000000000000009</v>
      </c>
      <c r="T232" s="89">
        <f>IFERROR(IF(tblPiNAnalysis[[#This Row],[EDU]]="", "", MROUND(tblPiNAnalysis[[#This Row],[EDU]]/tblPiNAnalysis[[#This Row],[Población]], 0.05)), "")</f>
        <v>0.15000000000000002</v>
      </c>
      <c r="U232" s="89">
        <f>IFERROR(IF(tblPiNAnalysis[[#This Row],[PRO]]="", "", MROUND(tblPiNAnalysis[[#This Row],[PRO]]/tblPiNAnalysis[[#This Row],[Población]], 0.05)), "")</f>
        <v>0.25</v>
      </c>
      <c r="V232" s="90">
        <f>IFERROR(IF(tblPiNAnalysis[[#This Row],[ASH]]="", "", MROUND(tblPiNAnalysis[[#This Row],[ASH]]/tblPiNAnalysis[[#This Row],[Población]], 0.05)), "")</f>
        <v>0.8</v>
      </c>
      <c r="W232" s="89">
        <f>IFERROR(MROUND(tblPiNAnalysis[[#This Row],[NNA]]/tblPiNAnalysis[[#This Row],[Población]], 0.05), "")</f>
        <v>0.1</v>
      </c>
      <c r="X232" s="89">
        <f>IFERROR(MROUND(tblPiNAnalysis[[#This Row],[VBG]]/tblPiNAnalysis[[#This Row],[Población]], 0.05), "")</f>
        <v>0.1</v>
      </c>
      <c r="Y232" s="91">
        <f>IFERROR(LARGE(tblPiNAnalysis[[#This Row],[SAMV]:[ASH]], 1), "")</f>
        <v>1800</v>
      </c>
      <c r="Z232" s="92" t="str" cm="1">
        <f t="array" ref="Z232">IF(tblPiNAnalysis[[#This Row],[PiN más alto]]="", "", _xlfn.TEXTJOIN(CHAR(10), TRUE, IF(tblPiNAnalysis[[#This Row],[PiN más alto]]=tblPiNAnalysis[[#This Row],[SAMV]:[ASH]], tblPiNAnalysis[[#Headers],[SAMV]:[ASH]], "")))</f>
        <v>SAL</v>
      </c>
      <c r="AA232" s="93">
        <f>IF(tblPiNAnalysis[[#This Row],[PiN más alto]]="", "", tblPiNAnalysis[[#This Row],[PiN más alto]]/tblPiNAnalysis[[#This Row],[Población]])</f>
        <v>0.86956521739130432</v>
      </c>
      <c r="AB232" s="94" t="str">
        <f>IF(SUM(tblPiNAnalysis[[#This Row],[SAMV]:[ASH]])=0, "",IF(COUNTIF(tblPiNAnalysis[[#This Row],[SAMV]:[ASH]],"=0")+COUNTIF(tblPiNAnalysis[[#This Row],[SAMV]:[ASH]],"")&gt;=zero_pin_thresh, "Flagged", ""))</f>
        <v/>
      </c>
      <c r="AC232" s="95" t="str">
        <f>IFERROR(IF(tblPiNAnalysis[[#This Row],[PiN más alto]]="", "", IF(tblPiNAnalysis[[#This Row],[% PiN Sectores más altos]]&gt;=flag_pin_perc, "Flagged", "")), "")</f>
        <v/>
      </c>
      <c r="AD232" s="96" t="str" cm="1">
        <f t="array" ref="AD232">IF(tblPiNAnalysis[[#This Row],[PiN más alto]]=0, "",  IF(OR(COUNTIF(tblPiNAnalysis[[#This Row],[Sectores más altos]],tblSubSectorPopulation[Sector])), "Flagged", ""))</f>
        <v/>
      </c>
      <c r="AE232" s="16" cm="1">
        <f t="array" ref="AE23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1656</v>
      </c>
      <c r="AF232" s="97" t="str" cm="1">
        <f t="array" ref="AF232">IF(tblPiNAnalysis[[#This Row],[2º PiN más alto]]="", "", _xlfn.TEXTJOIN(CHAR(10), TRUE, IF(tblPiNAnalysis[[#This Row],[2º PiN más alto]]=tblPiNAnalysis[[#This Row],[SAMV]:[ASH]], tblPiNAnalysis[[#Headers],[SAMV]:[ASH]], "")))</f>
        <v>ASH</v>
      </c>
      <c r="AG232" s="12">
        <f>IFERROR(tblPiNAnalysis[[#This Row],[2º PiN más alto]]/tblPiNAnalysis[[#This Row],[Población]], "")</f>
        <v>0.8</v>
      </c>
      <c r="AH232" s="16">
        <f>IFERROR(tblPiNAnalysis[[#This Row],[PiN más alto]]-tblPiNAnalysis[[#This Row],[2º PiN más alto]], "")</f>
        <v>144</v>
      </c>
      <c r="AI232" s="14">
        <f>IFERROR(((tblPiNAnalysis[[#This Row],[PiN más alto]]-tblPiNAnalysis[[#This Row],[2º PiN más alto]])/tblPiNAnalysis[[#This Row],[2º PiN más alto]]),"")</f>
        <v>8.6956521739130432E-2</v>
      </c>
      <c r="AJ232" s="14" t="str" cm="1">
        <f t="array" ref="AJ23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232" s="98" cm="1">
        <f t="array" ref="AK23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495.25410276611228</v>
      </c>
      <c r="AL232" s="53" t="str" cm="1">
        <f t="array" ref="AL232">IF(tblPiNAnalysis[[#This Row],[3º PiN más alto]]="", "", _xlfn.TEXTJOIN(CHAR(10), TRUE, IF(tblPiNAnalysis[[#This Row],[3º PiN más alto]]=tblPiNAnalysis[[#This Row],[SAMV]:[ASH]], tblPiNAnalysis[[#Headers],[SAMV]:[ASH]], "")))</f>
        <v>PRO</v>
      </c>
      <c r="AM232" s="53">
        <f>IFERROR(tblPiNAnalysis[[#This Row],[3º PiN más alto]]/tblPiNAnalysis[[#This Row],[Población]], "")</f>
        <v>0.23925318974208323</v>
      </c>
      <c r="AN232" s="15">
        <f>IFERROR(tblPiNAnalysis[[#This Row],[PiN más alto]]-tblPiNAnalysis[[#This Row],[3º PiN más alto]],"")</f>
        <v>1304.7458972338877</v>
      </c>
      <c r="AO232" s="14">
        <f>IFERROR(tblPiNAnalysis[[#This Row],[Diferencia de PiN entre el más alto y el 3º más alto]]/tblPiNAnalysis[[#This Row],[3º PiN más alto]], "")</f>
        <v>2.634497907128019</v>
      </c>
      <c r="AP232" s="96" t="str" cm="1">
        <f t="array" ref="AP23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32" s="84" cm="1">
        <f t="array" ref="AQ232">IFERROR(IF(tblPiNAnalysis[[#This Row],[ID]]="", "", INDEX(tblPiNHistorical[[SAMV]:[ASH]], MATCH(tblPiNAnalysis[[#This Row],[ID]],tblPiNHistorical[ID], 0),MATCH(_xlfn._xlws.FILTER(tblPiNAnalysis[[#Headers],[SAMV]:[ASH]], tblPiNAnalysis[[#This Row],[PiN más alto]]=tblPiNAnalysis[[#This Row],[SAMV]:[ASH]]), tblPiNHistorical[[#Headers],[SAMV]:[ASH]], 0))), "")</f>
        <v>423.3</v>
      </c>
      <c r="AR232" s="99" t="str" cm="1">
        <f t="array" ref="AR23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32" s="74" cm="1">
        <f t="array" ref="AS232">IFERROR(IF(tblPiNAnalysis[[#This Row],[ID]]="", "", INDEX(tblPiNHistorical[[SAMV]:[ASH]], MATCH(tblPiNAnalysis[[#This Row],[ID]],tblPiNHistorical[ID], 0),MATCH(_xlfn._xlws.FILTER(tblPiNAnalysis[[#Headers],[SAMV]:[ASH]], tblPiNAnalysis[[#This Row],[2º PiN más alto]]=tblPiNAnalysis[[#This Row],[SAMV]:[ASH]]), tblPiNHistorical[[#Headers],[SAMV]:[ASH]], 0))), "")</f>
        <v>226</v>
      </c>
      <c r="AT232" s="100" t="str" cm="1">
        <f t="array" ref="AT23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32" s="219">
        <f>INDEX(tblSeverityAnalysis[Severidad final], MATCH(tblPiNAnalysis[[#This Row],[ID]],tblSeverityAnalysis[ID], 0))</f>
        <v>4</v>
      </c>
      <c r="AV232" s="220">
        <f>IF(tblPiNAnalysis[[#This Row],[Severidad]]&gt;2,tblPiNAnalysis[[#This Row],[PiN más alto]],)</f>
        <v>1800</v>
      </c>
      <c r="AW232" s="54"/>
      <c r="AX232" s="55"/>
      <c r="AY232" s="56">
        <f>COUNTIFS(tblPiNAnalysis[[#This Row],[Número de PiN ausentes/cero superior al umbral - Calidad de los datos]:[Marcador manual]],"Flagged")</f>
        <v>3</v>
      </c>
      <c r="AZ232" s="34" t="str">
        <f>IF(tblPiNAnalysis[[#This Row],[Número de marcadores]]&gt;0, "Flagged", "")</f>
        <v>Flagged</v>
      </c>
      <c r="BA232" s="92">
        <f>tblPiNAnalysis[[#This Row],[PiN preliminar]]</f>
        <v>1800</v>
      </c>
      <c r="BB232" s="97"/>
      <c r="BC232" s="70">
        <f>IFERROR(IF(tblPiNAnalysis[[#This Row],[Severidad]]=3,tblPiNAnalysis[[#This Row],[PiN final]]*Umbrales!$D$33,tblPiNAnalysis[[#This Row],[PiN final]]*Umbrales!$D$34),)</f>
        <v>1800</v>
      </c>
      <c r="BD232" s="70">
        <f>IFERROR(IF(tblPiNAnalysis[[#This Row],[Severidad]]&gt;3,tblPiNAnalysis[[#This Row],[PiN final]]*Umbrales!$D$34,),)</f>
        <v>1800</v>
      </c>
    </row>
    <row r="233" spans="1:56">
      <c r="A233" s="101" t="str">
        <f>IFERROR(_xlfn.CONCAT(IF(tblPiNAnalysis[[#This Row],[Grupo]]="", "",tblPiNAnalysis[[#This Row],[Grupo]] ),  _xlfn.IFS(tblPiNAnalysis[[#This Row],[Admin2PCODE]]&lt;&gt;"", tblPiNAnalysis[[#This Row],[Admin2PCODE]], tblPiNAnalysis[[#This Row],[Admin1PCODE]]&lt;&gt;"", tblPiNAnalysis[[#This Row],[Admin1PCODE]])),"")</f>
        <v>VenezolanosVE0304</v>
      </c>
      <c r="B233" s="105" t="s">
        <v>119</v>
      </c>
      <c r="C233" s="104" t="s">
        <v>120</v>
      </c>
      <c r="D233" s="119" t="s">
        <v>826</v>
      </c>
      <c r="E233" s="104" t="s">
        <v>128</v>
      </c>
      <c r="F233" s="358"/>
      <c r="G233" s="357">
        <v>14981</v>
      </c>
      <c r="H233" s="103" t="s">
        <v>102</v>
      </c>
      <c r="I233" s="60">
        <v>6492</v>
      </c>
      <c r="J233" s="134">
        <v>501.35654671603083</v>
      </c>
      <c r="K233" s="57">
        <v>5600</v>
      </c>
      <c r="L233" s="87">
        <v>564.32144762904727</v>
      </c>
      <c r="M233" s="87">
        <v>1787.8278929823746</v>
      </c>
      <c r="N233" s="57">
        <v>0</v>
      </c>
      <c r="O233" s="57">
        <v>572.1049257543599</v>
      </c>
      <c r="P233" s="57">
        <v>625.73976254383103</v>
      </c>
      <c r="Q233" s="88">
        <f>IFERROR(IF(tblPiNAnalysis[[#This Row],[SAMV]]="", "", MROUND(tblPiNAnalysis[[#This Row],[SAMV]]/tblPiNAnalysis[[#This Row],[Población]], 0.05)), "")</f>
        <v>0.45</v>
      </c>
      <c r="R233" s="89">
        <f>IFERROR(IF(tblPiNAnalysis[[#This Row],[NUT]]="", "", MROUND(tblPiNAnalysis[[#This Row],[NUT]]/tblPiNAnalysis[[#This Row],[Población]], 0.05)), "")</f>
        <v>0.05</v>
      </c>
      <c r="S233" s="89">
        <f>IFERROR(IF(tblPiNAnalysis[[#This Row],[SAL]]="", "", MROUND(tblPiNAnalysis[[#This Row],[SAL]]/tblPiNAnalysis[[#This Row],[Población]], 0.05)), "")</f>
        <v>0.35000000000000003</v>
      </c>
      <c r="T233" s="89">
        <f>IFERROR(IF(tblPiNAnalysis[[#This Row],[EDU]]="", "", MROUND(tblPiNAnalysis[[#This Row],[EDU]]/tblPiNAnalysis[[#This Row],[Población]], 0.05)), "")</f>
        <v>0.05</v>
      </c>
      <c r="U233" s="89">
        <f>IFERROR(IF(tblPiNAnalysis[[#This Row],[PRO]]="", "", MROUND(tblPiNAnalysis[[#This Row],[PRO]]/tblPiNAnalysis[[#This Row],[Población]], 0.05)), "")</f>
        <v>0.1</v>
      </c>
      <c r="V233" s="90">
        <f>IFERROR(IF(tblPiNAnalysis[[#This Row],[ASH]]="", "", MROUND(tblPiNAnalysis[[#This Row],[ASH]]/tblPiNAnalysis[[#This Row],[Población]], 0.05)), "")</f>
        <v>0</v>
      </c>
      <c r="W233" s="89">
        <f>IFERROR(MROUND(tblPiNAnalysis[[#This Row],[NNA]]/tblPiNAnalysis[[#This Row],[Población]], 0.05), "")</f>
        <v>0.05</v>
      </c>
      <c r="X233" s="89">
        <f>IFERROR(MROUND(tblPiNAnalysis[[#This Row],[VBG]]/tblPiNAnalysis[[#This Row],[Población]], 0.05), "")</f>
        <v>0.05</v>
      </c>
      <c r="Y233" s="91">
        <f>IFERROR(LARGE(tblPiNAnalysis[[#This Row],[SAMV]:[ASH]], 1), "")</f>
        <v>6492</v>
      </c>
      <c r="Z233" s="92" t="str" cm="1">
        <f t="array" ref="Z233">IF(tblPiNAnalysis[[#This Row],[PiN más alto]]="", "", _xlfn.TEXTJOIN(CHAR(10), TRUE, IF(tblPiNAnalysis[[#This Row],[PiN más alto]]=tblPiNAnalysis[[#This Row],[SAMV]:[ASH]], tblPiNAnalysis[[#Headers],[SAMV]:[ASH]], "")))</f>
        <v>SAMV</v>
      </c>
      <c r="AA233" s="93">
        <f>IF(tblPiNAnalysis[[#This Row],[PiN más alto]]="", "", tblPiNAnalysis[[#This Row],[PiN más alto]]/tblPiNAnalysis[[#This Row],[Población]])</f>
        <v>0.4333489086175823</v>
      </c>
      <c r="AB233" s="94" t="str">
        <f>IF(SUM(tblPiNAnalysis[[#This Row],[SAMV]:[ASH]])=0, "",IF(COUNTIF(tblPiNAnalysis[[#This Row],[SAMV]:[ASH]],"=0")+COUNTIF(tblPiNAnalysis[[#This Row],[SAMV]:[ASH]],"")&gt;=zero_pin_thresh, "Flagged", ""))</f>
        <v/>
      </c>
      <c r="AC233" s="95" t="str">
        <f>IFERROR(IF(tblPiNAnalysis[[#This Row],[PiN más alto]]="", "", IF(tblPiNAnalysis[[#This Row],[% PiN Sectores más altos]]&gt;=flag_pin_perc, "Flagged", "")), "")</f>
        <v/>
      </c>
      <c r="AD233" s="96" t="str" cm="1">
        <f t="array" ref="AD233">IF(tblPiNAnalysis[[#This Row],[PiN más alto]]=0, "",  IF(OR(COUNTIF(tblPiNAnalysis[[#This Row],[Sectores más altos]],tblSubSectorPopulation[Sector])), "Flagged", ""))</f>
        <v/>
      </c>
      <c r="AE233" s="16" cm="1">
        <f t="array" ref="AE23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5600</v>
      </c>
      <c r="AF233" s="97" t="str" cm="1">
        <f t="array" ref="AF233">IF(tblPiNAnalysis[[#This Row],[2º PiN más alto]]="", "", _xlfn.TEXTJOIN(CHAR(10), TRUE, IF(tblPiNAnalysis[[#This Row],[2º PiN más alto]]=tblPiNAnalysis[[#This Row],[SAMV]:[ASH]], tblPiNAnalysis[[#Headers],[SAMV]:[ASH]], "")))</f>
        <v>SAL</v>
      </c>
      <c r="AG233" s="12">
        <f>IFERROR(tblPiNAnalysis[[#This Row],[2º PiN más alto]]/tblPiNAnalysis[[#This Row],[Población]], "")</f>
        <v>0.37380682197450105</v>
      </c>
      <c r="AH233" s="16">
        <f>IFERROR(tblPiNAnalysis[[#This Row],[PiN más alto]]-tblPiNAnalysis[[#This Row],[2º PiN más alto]], "")</f>
        <v>892</v>
      </c>
      <c r="AI233" s="14">
        <f>IFERROR(((tblPiNAnalysis[[#This Row],[PiN más alto]]-tblPiNAnalysis[[#This Row],[2º PiN más alto]])/tblPiNAnalysis[[#This Row],[2º PiN más alto]]),"")</f>
        <v>0.15928571428571428</v>
      </c>
      <c r="AJ233" s="14" t="str" cm="1">
        <f t="array" ref="AJ23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233" s="98" cm="1">
        <f t="array" ref="AK23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1787.8278929823746</v>
      </c>
      <c r="AL233" s="53" t="str" cm="1">
        <f t="array" ref="AL233">IF(tblPiNAnalysis[[#This Row],[3º PiN más alto]]="", "", _xlfn.TEXTJOIN(CHAR(10), TRUE, IF(tblPiNAnalysis[[#This Row],[3º PiN más alto]]=tblPiNAnalysis[[#This Row],[SAMV]:[ASH]], tblPiNAnalysis[[#Headers],[SAMV]:[ASH]], "")))</f>
        <v>PRO</v>
      </c>
      <c r="AM233" s="53">
        <f>IFERROR(tblPiNAnalysis[[#This Row],[3º PiN más alto]]/tblPiNAnalysis[[#This Row],[Población]], "")</f>
        <v>0.11933968980591246</v>
      </c>
      <c r="AN233" s="15">
        <f>IFERROR(tblPiNAnalysis[[#This Row],[PiN más alto]]-tblPiNAnalysis[[#This Row],[3º PiN más alto]],"")</f>
        <v>4704.1721070176254</v>
      </c>
      <c r="AO233" s="14">
        <f>IFERROR(tblPiNAnalysis[[#This Row],[Diferencia de PiN entre el más alto y el 3º más alto]]/tblPiNAnalysis[[#This Row],[3º PiN más alto]], "")</f>
        <v>2.6312220127466159</v>
      </c>
      <c r="AP233" s="96" t="str" cm="1">
        <f t="array" ref="AP23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33" s="84" cm="1">
        <f t="array" ref="AQ233">IFERROR(IF(tblPiNAnalysis[[#This Row],[ID]]="", "", INDEX(tblPiNHistorical[[SAMV]:[ASH]], MATCH(tblPiNAnalysis[[#This Row],[ID]],tblPiNHistorical[ID], 0),MATCH(_xlfn._xlws.FILTER(tblPiNAnalysis[[#Headers],[SAMV]:[ASH]], tblPiNAnalysis[[#This Row],[PiN más alto]]=tblPiNAnalysis[[#This Row],[SAMV]:[ASH]]), tblPiNHistorical[[#Headers],[SAMV]:[ASH]], 0))), "")</f>
        <v>4.7</v>
      </c>
      <c r="AR233" s="99" t="str" cm="1">
        <f t="array" ref="AR23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33" s="74" cm="1">
        <f t="array" ref="AS233">IFERROR(IF(tblPiNAnalysis[[#This Row],[ID]]="", "", INDEX(tblPiNHistorical[[SAMV]:[ASH]], MATCH(tblPiNAnalysis[[#This Row],[ID]],tblPiNHistorical[ID], 0),MATCH(_xlfn._xlws.FILTER(tblPiNAnalysis[[#Headers],[SAMV]:[ASH]], tblPiNAnalysis[[#This Row],[2º PiN más alto]]=tblPiNAnalysis[[#This Row],[SAMV]:[ASH]]), tblPiNHistorical[[#Headers],[SAMV]:[ASH]], 0))), "")</f>
        <v>24.7</v>
      </c>
      <c r="AT233" s="100" t="str" cm="1">
        <f t="array" ref="AT23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33" s="219">
        <f>INDEX(tblSeverityAnalysis[Severidad final], MATCH(tblPiNAnalysis[[#This Row],[ID]],tblSeverityAnalysis[ID], 0))</f>
        <v>2</v>
      </c>
      <c r="AV233" s="220">
        <f>IF(tblPiNAnalysis[[#This Row],[Severidad]]&gt;2,tblPiNAnalysis[[#This Row],[PiN más alto]],)</f>
        <v>0</v>
      </c>
      <c r="AW233" s="54"/>
      <c r="AX233" s="55"/>
      <c r="AY233" s="56">
        <f>COUNTIFS(tblPiNAnalysis[[#This Row],[Número de PiN ausentes/cero superior al umbral - Calidad de los datos]:[Marcador manual]],"Flagged")</f>
        <v>3</v>
      </c>
      <c r="AZ233" s="34" t="str">
        <f>IF(tblPiNAnalysis[[#This Row],[Número de marcadores]]&gt;0, "Flagged", "")</f>
        <v>Flagged</v>
      </c>
      <c r="BA233" s="92">
        <f>tblPiNAnalysis[[#This Row],[PiN preliminar]]</f>
        <v>0</v>
      </c>
      <c r="BB233" s="97"/>
      <c r="BC233" s="70">
        <f>IFERROR(IF(tblPiNAnalysis[[#This Row],[Severidad]]=3,tblPiNAnalysis[[#This Row],[PiN final]]*Umbrales!$D$33,tblPiNAnalysis[[#This Row],[PiN final]]*Umbrales!$D$34),)</f>
        <v>0</v>
      </c>
      <c r="BD233" s="70">
        <f>IFERROR(IF(tblPiNAnalysis[[#This Row],[Severidad]]&gt;3,tblPiNAnalysis[[#This Row],[PiN final]]*Umbrales!$D$34,),)</f>
        <v>0</v>
      </c>
    </row>
    <row r="234" spans="1:56">
      <c r="A234" s="101" t="str">
        <f>IFERROR(_xlfn.CONCAT(IF(tblPiNAnalysis[[#This Row],[Grupo]]="", "",tblPiNAnalysis[[#This Row],[Grupo]] ),  _xlfn.IFS(tblPiNAnalysis[[#This Row],[Admin2PCODE]]&lt;&gt;"", tblPiNAnalysis[[#This Row],[Admin2PCODE]], tblPiNAnalysis[[#This Row],[Admin1PCODE]]&lt;&gt;"", tblPiNAnalysis[[#This Row],[Admin1PCODE]])),"")</f>
        <v>VenezolanosVE0311</v>
      </c>
      <c r="B234" s="105" t="s">
        <v>119</v>
      </c>
      <c r="C234" s="104" t="s">
        <v>120</v>
      </c>
      <c r="D234" s="119" t="s">
        <v>141</v>
      </c>
      <c r="E234" s="104" t="s">
        <v>142</v>
      </c>
      <c r="F234" s="358"/>
      <c r="G234" s="357">
        <v>14766</v>
      </c>
      <c r="H234" s="103" t="s">
        <v>102</v>
      </c>
      <c r="I234" s="60">
        <v>4206</v>
      </c>
      <c r="J234" s="134">
        <v>536.02058710119832</v>
      </c>
      <c r="K234" s="57">
        <v>7000</v>
      </c>
      <c r="L234" s="87">
        <v>978.65629612686234</v>
      </c>
      <c r="M234" s="87">
        <v>1762.1698596741035</v>
      </c>
      <c r="N234" s="57">
        <v>0</v>
      </c>
      <c r="O234" s="57">
        <v>565.65652495538723</v>
      </c>
      <c r="P234" s="57">
        <v>616.75945088593619</v>
      </c>
      <c r="Q234" s="88">
        <f>IFERROR(IF(tblPiNAnalysis[[#This Row],[SAMV]]="", "", MROUND(tblPiNAnalysis[[#This Row],[SAMV]]/tblPiNAnalysis[[#This Row],[Población]], 0.05)), "")</f>
        <v>0.30000000000000004</v>
      </c>
      <c r="R234" s="89">
        <f>IFERROR(IF(tblPiNAnalysis[[#This Row],[NUT]]="", "", MROUND(tblPiNAnalysis[[#This Row],[NUT]]/tblPiNAnalysis[[#This Row],[Población]], 0.05)), "")</f>
        <v>0.05</v>
      </c>
      <c r="S234" s="89">
        <f>IFERROR(IF(tblPiNAnalysis[[#This Row],[SAL]]="", "", MROUND(tblPiNAnalysis[[#This Row],[SAL]]/tblPiNAnalysis[[#This Row],[Población]], 0.05)), "")</f>
        <v>0.45</v>
      </c>
      <c r="T234" s="89">
        <f>IFERROR(IF(tblPiNAnalysis[[#This Row],[EDU]]="", "", MROUND(tblPiNAnalysis[[#This Row],[EDU]]/tblPiNAnalysis[[#This Row],[Población]], 0.05)), "")</f>
        <v>0.05</v>
      </c>
      <c r="U234" s="89">
        <f>IFERROR(IF(tblPiNAnalysis[[#This Row],[PRO]]="", "", MROUND(tblPiNAnalysis[[#This Row],[PRO]]/tblPiNAnalysis[[#This Row],[Población]], 0.05)), "")</f>
        <v>0.1</v>
      </c>
      <c r="V234" s="90">
        <f>IFERROR(IF(tblPiNAnalysis[[#This Row],[ASH]]="", "", MROUND(tblPiNAnalysis[[#This Row],[ASH]]/tblPiNAnalysis[[#This Row],[Población]], 0.05)), "")</f>
        <v>0</v>
      </c>
      <c r="W234" s="89">
        <f>IFERROR(MROUND(tblPiNAnalysis[[#This Row],[NNA]]/tblPiNAnalysis[[#This Row],[Población]], 0.05), "")</f>
        <v>0.05</v>
      </c>
      <c r="X234" s="89">
        <f>IFERROR(MROUND(tblPiNAnalysis[[#This Row],[VBG]]/tblPiNAnalysis[[#This Row],[Población]], 0.05), "")</f>
        <v>0.05</v>
      </c>
      <c r="Y234" s="91">
        <f>IFERROR(LARGE(tblPiNAnalysis[[#This Row],[SAMV]:[ASH]], 1), "")</f>
        <v>7000</v>
      </c>
      <c r="Z234" s="92" t="str" cm="1">
        <f t="array" ref="Z234">IF(tblPiNAnalysis[[#This Row],[PiN más alto]]="", "", _xlfn.TEXTJOIN(CHAR(10), TRUE, IF(tblPiNAnalysis[[#This Row],[PiN más alto]]=tblPiNAnalysis[[#This Row],[SAMV]:[ASH]], tblPiNAnalysis[[#Headers],[SAMV]:[ASH]], "")))</f>
        <v>SAL</v>
      </c>
      <c r="AA234" s="93">
        <f>IF(tblPiNAnalysis[[#This Row],[PiN más alto]]="", "", tblPiNAnalysis[[#This Row],[PiN más alto]]/tblPiNAnalysis[[#This Row],[Población]])</f>
        <v>0.47406203440335909</v>
      </c>
      <c r="AB234" s="94" t="str">
        <f>IF(SUM(tblPiNAnalysis[[#This Row],[SAMV]:[ASH]])=0, "",IF(COUNTIF(tblPiNAnalysis[[#This Row],[SAMV]:[ASH]],"=0")+COUNTIF(tblPiNAnalysis[[#This Row],[SAMV]:[ASH]],"")&gt;=zero_pin_thresh, "Flagged", ""))</f>
        <v/>
      </c>
      <c r="AC234" s="95" t="str">
        <f>IFERROR(IF(tblPiNAnalysis[[#This Row],[PiN más alto]]="", "", IF(tblPiNAnalysis[[#This Row],[% PiN Sectores más altos]]&gt;=flag_pin_perc, "Flagged", "")), "")</f>
        <v/>
      </c>
      <c r="AD234" s="96" t="str" cm="1">
        <f t="array" ref="AD234">IF(tblPiNAnalysis[[#This Row],[PiN más alto]]=0, "",  IF(OR(COUNTIF(tblPiNAnalysis[[#This Row],[Sectores más altos]],tblSubSectorPopulation[Sector])), "Flagged", ""))</f>
        <v/>
      </c>
      <c r="AE234" s="16" cm="1">
        <f t="array" ref="AE23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4206</v>
      </c>
      <c r="AF234" s="97" t="str" cm="1">
        <f t="array" ref="AF234">IF(tblPiNAnalysis[[#This Row],[2º PiN más alto]]="", "", _xlfn.TEXTJOIN(CHAR(10), TRUE, IF(tblPiNAnalysis[[#This Row],[2º PiN más alto]]=tblPiNAnalysis[[#This Row],[SAMV]:[ASH]], tblPiNAnalysis[[#Headers],[SAMV]:[ASH]], "")))</f>
        <v>SAMV</v>
      </c>
      <c r="AG234" s="12">
        <f>IFERROR(tblPiNAnalysis[[#This Row],[2º PiN más alto]]/tblPiNAnalysis[[#This Row],[Población]], "")</f>
        <v>0.28484355952864687</v>
      </c>
      <c r="AH234" s="16">
        <f>IFERROR(tblPiNAnalysis[[#This Row],[PiN más alto]]-tblPiNAnalysis[[#This Row],[2º PiN más alto]], "")</f>
        <v>2794</v>
      </c>
      <c r="AI234" s="14">
        <f>IFERROR(((tblPiNAnalysis[[#This Row],[PiN más alto]]-tblPiNAnalysis[[#This Row],[2º PiN más alto]])/tblPiNAnalysis[[#This Row],[2º PiN más alto]]),"")</f>
        <v>0.66428911079410369</v>
      </c>
      <c r="AJ234" s="14" t="str" cm="1">
        <f t="array" ref="AJ23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34" s="98" cm="1">
        <f t="array" ref="AK23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1762.1698596741035</v>
      </c>
      <c r="AL234" s="53" t="str" cm="1">
        <f t="array" ref="AL234">IF(tblPiNAnalysis[[#This Row],[3º PiN más alto]]="", "", _xlfn.TEXTJOIN(CHAR(10), TRUE, IF(tblPiNAnalysis[[#This Row],[3º PiN más alto]]=tblPiNAnalysis[[#This Row],[SAMV]:[ASH]], tblPiNAnalysis[[#Headers],[SAMV]:[ASH]], "")))</f>
        <v>PRO</v>
      </c>
      <c r="AM234" s="53">
        <f>IFERROR(tblPiNAnalysis[[#This Row],[3º PiN más alto]]/tblPiNAnalysis[[#This Row],[Población]], "")</f>
        <v>0.11933968980591246</v>
      </c>
      <c r="AN234" s="15">
        <f>IFERROR(tblPiNAnalysis[[#This Row],[PiN más alto]]-tblPiNAnalysis[[#This Row],[3º PiN más alto]],"")</f>
        <v>5237.8301403258965</v>
      </c>
      <c r="AO234" s="14">
        <f>IFERROR(tblPiNAnalysis[[#This Row],[Diferencia de PiN entre el más alto y el 3º más alto]]/tblPiNAnalysis[[#This Row],[3º PiN más alto]], "")</f>
        <v>2.9723752858277712</v>
      </c>
      <c r="AP234" s="96" t="str" cm="1">
        <f t="array" ref="AP23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34" s="84" cm="1">
        <f t="array" ref="AQ234">IFERROR(IF(tblPiNAnalysis[[#This Row],[ID]]="", "", INDEX(tblPiNHistorical[[SAMV]:[ASH]], MATCH(tblPiNAnalysis[[#This Row],[ID]],tblPiNHistorical[ID], 0),MATCH(_xlfn._xlws.FILTER(tblPiNAnalysis[[#Headers],[SAMV]:[ASH]], tblPiNAnalysis[[#This Row],[PiN más alto]]=tblPiNAnalysis[[#This Row],[SAMV]:[ASH]]), tblPiNHistorical[[#Headers],[SAMV]:[ASH]], 0))), "")</f>
        <v>25.2</v>
      </c>
      <c r="AR234" s="99" t="str" cm="1">
        <f t="array" ref="AR23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34" s="74" cm="1">
        <f t="array" ref="AS234">IFERROR(IF(tblPiNAnalysis[[#This Row],[ID]]="", "", INDEX(tblPiNHistorical[[SAMV]:[ASH]], MATCH(tblPiNAnalysis[[#This Row],[ID]],tblPiNHistorical[ID], 0),MATCH(_xlfn._xlws.FILTER(tblPiNAnalysis[[#Headers],[SAMV]:[ASH]], tblPiNAnalysis[[#This Row],[2º PiN más alto]]=tblPiNAnalysis[[#This Row],[SAMV]:[ASH]]), tblPiNHistorical[[#Headers],[SAMV]:[ASH]], 0))), "")</f>
        <v>20.3</v>
      </c>
      <c r="AT234" s="100" t="str" cm="1">
        <f t="array" ref="AT23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34" s="219">
        <f>INDEX(tblSeverityAnalysis[Severidad final], MATCH(tblPiNAnalysis[[#This Row],[ID]],tblSeverityAnalysis[ID], 0))</f>
        <v>2</v>
      </c>
      <c r="AV234" s="220">
        <f>IF(tblPiNAnalysis[[#This Row],[Severidad]]&gt;2,tblPiNAnalysis[[#This Row],[PiN más alto]],)</f>
        <v>0</v>
      </c>
      <c r="AW234" s="54"/>
      <c r="AX234" s="55"/>
      <c r="AY234" s="56">
        <f>COUNTIFS(tblPiNAnalysis[[#This Row],[Número de PiN ausentes/cero superior al umbral - Calidad de los datos]:[Marcador manual]],"Flagged")</f>
        <v>4</v>
      </c>
      <c r="AZ234" s="34" t="str">
        <f>IF(tblPiNAnalysis[[#This Row],[Número de marcadores]]&gt;0, "Flagged", "")</f>
        <v>Flagged</v>
      </c>
      <c r="BA234" s="92">
        <f>tblPiNAnalysis[[#This Row],[PiN preliminar]]</f>
        <v>0</v>
      </c>
      <c r="BB234" s="97"/>
      <c r="BC234" s="70">
        <f>IFERROR(IF(tblPiNAnalysis[[#This Row],[Severidad]]=3,tblPiNAnalysis[[#This Row],[PiN final]]*Umbrales!$D$33,tblPiNAnalysis[[#This Row],[PiN final]]*Umbrales!$D$34),)</f>
        <v>0</v>
      </c>
      <c r="BD234" s="70">
        <f>IFERROR(IF(tblPiNAnalysis[[#This Row],[Severidad]]&gt;3,tblPiNAnalysis[[#This Row],[PiN final]]*Umbrales!$D$34,),)</f>
        <v>0</v>
      </c>
    </row>
    <row r="235" spans="1:56">
      <c r="A235" s="101" t="str">
        <f>IFERROR(_xlfn.CONCAT(IF(tblPiNAnalysis[[#This Row],[Grupo]]="", "",tblPiNAnalysis[[#This Row],[Grupo]] ),  _xlfn.IFS(tblPiNAnalysis[[#This Row],[Admin2PCODE]]&lt;&gt;"", tblPiNAnalysis[[#This Row],[Admin2PCODE]], tblPiNAnalysis[[#This Row],[Admin1PCODE]]&lt;&gt;"", tblPiNAnalysis[[#This Row],[Admin1PCODE]])),"")</f>
        <v>VenezolanosVE0316</v>
      </c>
      <c r="B235" s="105" t="s">
        <v>119</v>
      </c>
      <c r="C235" s="104" t="s">
        <v>120</v>
      </c>
      <c r="D235" s="119" t="s">
        <v>827</v>
      </c>
      <c r="E235" s="104" t="s">
        <v>152</v>
      </c>
      <c r="F235" s="358"/>
      <c r="G235" s="357">
        <v>9257</v>
      </c>
      <c r="H235" s="103" t="s">
        <v>102</v>
      </c>
      <c r="I235" s="60">
        <v>4011</v>
      </c>
      <c r="J235" s="134">
        <v>333.36352493202162</v>
      </c>
      <c r="K235" s="57">
        <v>3378.8049999999998</v>
      </c>
      <c r="L235" s="87">
        <v>1205.5446487473928</v>
      </c>
      <c r="M235" s="87">
        <v>1104.7275085333315</v>
      </c>
      <c r="N235" s="57">
        <v>0</v>
      </c>
      <c r="O235" s="57">
        <v>353.51280273066607</v>
      </c>
      <c r="P235" s="57">
        <v>386.65462798666601</v>
      </c>
      <c r="Q235" s="88">
        <f>IFERROR(IF(tblPiNAnalysis[[#This Row],[SAMV]]="", "", MROUND(tblPiNAnalysis[[#This Row],[SAMV]]/tblPiNAnalysis[[#This Row],[Población]], 0.05)), "")</f>
        <v>0.45</v>
      </c>
      <c r="R235" s="89">
        <f>IFERROR(IF(tblPiNAnalysis[[#This Row],[NUT]]="", "", MROUND(tblPiNAnalysis[[#This Row],[NUT]]/tblPiNAnalysis[[#This Row],[Población]], 0.05)), "")</f>
        <v>0.05</v>
      </c>
      <c r="S235" s="89">
        <f>IFERROR(IF(tblPiNAnalysis[[#This Row],[SAL]]="", "", MROUND(tblPiNAnalysis[[#This Row],[SAL]]/tblPiNAnalysis[[#This Row],[Población]], 0.05)), "")</f>
        <v>0.35000000000000003</v>
      </c>
      <c r="T235" s="89">
        <f>IFERROR(IF(tblPiNAnalysis[[#This Row],[EDU]]="", "", MROUND(tblPiNAnalysis[[#This Row],[EDU]]/tblPiNAnalysis[[#This Row],[Población]], 0.05)), "")</f>
        <v>0.15000000000000002</v>
      </c>
      <c r="U235" s="89">
        <f>IFERROR(IF(tblPiNAnalysis[[#This Row],[PRO]]="", "", MROUND(tblPiNAnalysis[[#This Row],[PRO]]/tblPiNAnalysis[[#This Row],[Población]], 0.05)), "")</f>
        <v>0.1</v>
      </c>
      <c r="V235" s="90">
        <f>IFERROR(IF(tblPiNAnalysis[[#This Row],[ASH]]="", "", MROUND(tblPiNAnalysis[[#This Row],[ASH]]/tblPiNAnalysis[[#This Row],[Población]], 0.05)), "")</f>
        <v>0</v>
      </c>
      <c r="W235" s="89">
        <f>IFERROR(MROUND(tblPiNAnalysis[[#This Row],[NNA]]/tblPiNAnalysis[[#This Row],[Población]], 0.05), "")</f>
        <v>0.05</v>
      </c>
      <c r="X235" s="89">
        <f>IFERROR(MROUND(tblPiNAnalysis[[#This Row],[VBG]]/tblPiNAnalysis[[#This Row],[Población]], 0.05), "")</f>
        <v>0.05</v>
      </c>
      <c r="Y235" s="91">
        <f>IFERROR(LARGE(tblPiNAnalysis[[#This Row],[SAMV]:[ASH]], 1), "")</f>
        <v>4011</v>
      </c>
      <c r="Z235" s="92" t="str" cm="1">
        <f t="array" ref="Z235">IF(tblPiNAnalysis[[#This Row],[PiN más alto]]="", "", _xlfn.TEXTJOIN(CHAR(10), TRUE, IF(tblPiNAnalysis[[#This Row],[PiN más alto]]=tblPiNAnalysis[[#This Row],[SAMV]:[ASH]], tblPiNAnalysis[[#Headers],[SAMV]:[ASH]], "")))</f>
        <v>SAMV</v>
      </c>
      <c r="AA235" s="93">
        <f>IF(tblPiNAnalysis[[#This Row],[PiN más alto]]="", "", tblPiNAnalysis[[#This Row],[PiN más alto]]/tblPiNAnalysis[[#This Row],[Población]])</f>
        <v>0.43329372366857516</v>
      </c>
      <c r="AB235" s="94" t="str">
        <f>IF(SUM(tblPiNAnalysis[[#This Row],[SAMV]:[ASH]])=0, "",IF(COUNTIF(tblPiNAnalysis[[#This Row],[SAMV]:[ASH]],"=0")+COUNTIF(tblPiNAnalysis[[#This Row],[SAMV]:[ASH]],"")&gt;=zero_pin_thresh, "Flagged", ""))</f>
        <v/>
      </c>
      <c r="AC235" s="95" t="str">
        <f>IFERROR(IF(tblPiNAnalysis[[#This Row],[PiN más alto]]="", "", IF(tblPiNAnalysis[[#This Row],[% PiN Sectores más altos]]&gt;=flag_pin_perc, "Flagged", "")), "")</f>
        <v/>
      </c>
      <c r="AD235" s="96" t="str" cm="1">
        <f t="array" ref="AD235">IF(tblPiNAnalysis[[#This Row],[PiN más alto]]=0, "",  IF(OR(COUNTIF(tblPiNAnalysis[[#This Row],[Sectores más altos]],tblSubSectorPopulation[Sector])), "Flagged", ""))</f>
        <v/>
      </c>
      <c r="AE235" s="16" cm="1">
        <f t="array" ref="AE23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3378.8049999999998</v>
      </c>
      <c r="AF235" s="97" t="str" cm="1">
        <f t="array" ref="AF235">IF(tblPiNAnalysis[[#This Row],[2º PiN más alto]]="", "", _xlfn.TEXTJOIN(CHAR(10), TRUE, IF(tblPiNAnalysis[[#This Row],[2º PiN más alto]]=tblPiNAnalysis[[#This Row],[SAMV]:[ASH]], tblPiNAnalysis[[#Headers],[SAMV]:[ASH]], "")))</f>
        <v>SAL</v>
      </c>
      <c r="AG235" s="12">
        <f>IFERROR(tblPiNAnalysis[[#This Row],[2º PiN más alto]]/tblPiNAnalysis[[#This Row],[Población]], "")</f>
        <v>0.36499999999999999</v>
      </c>
      <c r="AH235" s="16">
        <f>IFERROR(tblPiNAnalysis[[#This Row],[PiN más alto]]-tblPiNAnalysis[[#This Row],[2º PiN más alto]], "")</f>
        <v>632.19500000000016</v>
      </c>
      <c r="AI235" s="14">
        <f>IFERROR(((tblPiNAnalysis[[#This Row],[PiN más alto]]-tblPiNAnalysis[[#This Row],[2º PiN más alto]])/tblPiNAnalysis[[#This Row],[2º PiN más alto]]),"")</f>
        <v>0.18710609224267166</v>
      </c>
      <c r="AJ235" s="14" t="str" cm="1">
        <f t="array" ref="AJ23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235" s="98" cm="1">
        <f t="array" ref="AK23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1205.5446487473928</v>
      </c>
      <c r="AL235" s="53" t="str" cm="1">
        <f t="array" ref="AL235">IF(tblPiNAnalysis[[#This Row],[3º PiN más alto]]="", "", _xlfn.TEXTJOIN(CHAR(10), TRUE, IF(tblPiNAnalysis[[#This Row],[3º PiN más alto]]=tblPiNAnalysis[[#This Row],[SAMV]:[ASH]], tblPiNAnalysis[[#Headers],[SAMV]:[ASH]], "")))</f>
        <v>EDU</v>
      </c>
      <c r="AM235" s="53">
        <f>IFERROR(tblPiNAnalysis[[#This Row],[3º PiN más alto]]/tblPiNAnalysis[[#This Row],[Población]], "")</f>
        <v>0.1302305983307111</v>
      </c>
      <c r="AN235" s="15">
        <f>IFERROR(tblPiNAnalysis[[#This Row],[PiN más alto]]-tblPiNAnalysis[[#This Row],[3º PiN más alto]],"")</f>
        <v>2805.4553512526072</v>
      </c>
      <c r="AO235" s="14">
        <f>IFERROR(tblPiNAnalysis[[#This Row],[Diferencia de PiN entre el más alto y el 3º más alto]]/tblPiNAnalysis[[#This Row],[3º PiN más alto]], "")</f>
        <v>2.3271268751162251</v>
      </c>
      <c r="AP235" s="96" t="str" cm="1">
        <f t="array" ref="AP23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35" s="84" cm="1">
        <f t="array" ref="AQ235">IFERROR(IF(tblPiNAnalysis[[#This Row],[ID]]="", "", INDEX(tblPiNHistorical[[SAMV]:[ASH]], MATCH(tblPiNAnalysis[[#This Row],[ID]],tblPiNHistorical[ID], 0),MATCH(_xlfn._xlws.FILTER(tblPiNAnalysis[[#Headers],[SAMV]:[ASH]], tblPiNAnalysis[[#This Row],[PiN más alto]]=tblPiNAnalysis[[#This Row],[SAMV]:[ASH]]), tblPiNHistorical[[#Headers],[SAMV]:[ASH]], 0))), "")</f>
        <v>36.799999999999997</v>
      </c>
      <c r="AR235" s="99" t="str" cm="1">
        <f t="array" ref="AR23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35" s="74" cm="1">
        <f t="array" ref="AS235">IFERROR(IF(tblPiNAnalysis[[#This Row],[ID]]="", "", INDEX(tblPiNHistorical[[SAMV]:[ASH]], MATCH(tblPiNAnalysis[[#This Row],[ID]],tblPiNHistorical[ID], 0),MATCH(_xlfn._xlws.FILTER(tblPiNAnalysis[[#Headers],[SAMV]:[ASH]], tblPiNAnalysis[[#This Row],[2º PiN más alto]]=tblPiNAnalysis[[#This Row],[SAMV]:[ASH]]), tblPiNHistorical[[#Headers],[SAMV]:[ASH]], 0))), "")</f>
        <v>32.5</v>
      </c>
      <c r="AT235" s="100" t="str" cm="1">
        <f t="array" ref="AT23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35" s="219">
        <f>INDEX(tblSeverityAnalysis[Severidad final], MATCH(tblPiNAnalysis[[#This Row],[ID]],tblSeverityAnalysis[ID], 0))</f>
        <v>2</v>
      </c>
      <c r="AV235" s="220">
        <f>IF(tblPiNAnalysis[[#This Row],[Severidad]]&gt;2,tblPiNAnalysis[[#This Row],[PiN más alto]],)</f>
        <v>0</v>
      </c>
      <c r="AW235" s="54"/>
      <c r="AX235" s="55"/>
      <c r="AY235" s="56">
        <f>COUNTIFS(tblPiNAnalysis[[#This Row],[Número de PiN ausentes/cero superior al umbral - Calidad de los datos]:[Marcador manual]],"Flagged")</f>
        <v>3</v>
      </c>
      <c r="AZ235" s="34" t="str">
        <f>IF(tblPiNAnalysis[[#This Row],[Número de marcadores]]&gt;0, "Flagged", "")</f>
        <v>Flagged</v>
      </c>
      <c r="BA235" s="92">
        <f>tblPiNAnalysis[[#This Row],[PiN preliminar]]</f>
        <v>0</v>
      </c>
      <c r="BB235" s="97"/>
      <c r="BC235" s="70">
        <f>IFERROR(IF(tblPiNAnalysis[[#This Row],[Severidad]]=3,tblPiNAnalysis[[#This Row],[PiN final]]*Umbrales!$D$33,tblPiNAnalysis[[#This Row],[PiN final]]*Umbrales!$D$34),)</f>
        <v>0</v>
      </c>
      <c r="BD235" s="70">
        <f>IFERROR(IF(tblPiNAnalysis[[#This Row],[Severidad]]&gt;3,tblPiNAnalysis[[#This Row],[PiN final]]*Umbrales!$D$34,),)</f>
        <v>0</v>
      </c>
    </row>
    <row r="236" spans="1:56">
      <c r="A236" s="101" t="str">
        <f>IFERROR(_xlfn.CONCAT(IF(tblPiNAnalysis[[#This Row],[Grupo]]="", "",tblPiNAnalysis[[#This Row],[Grupo]] ),  _xlfn.IFS(tblPiNAnalysis[[#This Row],[Admin2PCODE]]&lt;&gt;"", tblPiNAnalysis[[#This Row],[Admin2PCODE]], tblPiNAnalysis[[#This Row],[Admin1PCODE]]&lt;&gt;"", tblPiNAnalysis[[#This Row],[Admin1PCODE]])),"")</f>
        <v>VenezolanosVE0501</v>
      </c>
      <c r="B236" s="105" t="s">
        <v>123</v>
      </c>
      <c r="C236" s="104" t="s">
        <v>179</v>
      </c>
      <c r="D236" s="119" t="s">
        <v>180</v>
      </c>
      <c r="E236" s="104" t="s">
        <v>181</v>
      </c>
      <c r="F236" s="358"/>
      <c r="G236" s="357">
        <v>38905</v>
      </c>
      <c r="H236" s="103" t="s">
        <v>102</v>
      </c>
      <c r="I236" s="60">
        <v>6484</v>
      </c>
      <c r="J236" s="134">
        <v>1249.4776991208244</v>
      </c>
      <c r="K236" s="57">
        <v>14200.325000000001</v>
      </c>
      <c r="L236" s="87">
        <v>4182.1619709896941</v>
      </c>
      <c r="M236" s="87">
        <v>4656.918103490163</v>
      </c>
      <c r="N236" s="57">
        <v>0</v>
      </c>
      <c r="O236" s="57">
        <v>1490.2137931168522</v>
      </c>
      <c r="P236" s="57">
        <v>1629.9213362215569</v>
      </c>
      <c r="Q236" s="88">
        <f>IFERROR(IF(tblPiNAnalysis[[#This Row],[SAMV]]="", "", MROUND(tblPiNAnalysis[[#This Row],[SAMV]]/tblPiNAnalysis[[#This Row],[Población]], 0.05)), "")</f>
        <v>0.15000000000000002</v>
      </c>
      <c r="R236" s="89">
        <f>IFERROR(IF(tblPiNAnalysis[[#This Row],[NUT]]="", "", MROUND(tblPiNAnalysis[[#This Row],[NUT]]/tblPiNAnalysis[[#This Row],[Población]], 0.05)), "")</f>
        <v>0.05</v>
      </c>
      <c r="S236" s="89">
        <f>IFERROR(IF(tblPiNAnalysis[[#This Row],[SAL]]="", "", MROUND(tblPiNAnalysis[[#This Row],[SAL]]/tblPiNAnalysis[[#This Row],[Población]], 0.05)), "")</f>
        <v>0.35000000000000003</v>
      </c>
      <c r="T236" s="89">
        <f>IFERROR(IF(tblPiNAnalysis[[#This Row],[EDU]]="", "", MROUND(tblPiNAnalysis[[#This Row],[EDU]]/tblPiNAnalysis[[#This Row],[Población]], 0.05)), "")</f>
        <v>0.1</v>
      </c>
      <c r="U236" s="89">
        <f>IFERROR(IF(tblPiNAnalysis[[#This Row],[PRO]]="", "", MROUND(tblPiNAnalysis[[#This Row],[PRO]]/tblPiNAnalysis[[#This Row],[Población]], 0.05)), "")</f>
        <v>0.1</v>
      </c>
      <c r="V236" s="90">
        <f>IFERROR(IF(tblPiNAnalysis[[#This Row],[ASH]]="", "", MROUND(tblPiNAnalysis[[#This Row],[ASH]]/tblPiNAnalysis[[#This Row],[Población]], 0.05)), "")</f>
        <v>0</v>
      </c>
      <c r="W236" s="89">
        <f>IFERROR(MROUND(tblPiNAnalysis[[#This Row],[NNA]]/tblPiNAnalysis[[#This Row],[Población]], 0.05), "")</f>
        <v>0.05</v>
      </c>
      <c r="X236" s="89">
        <f>IFERROR(MROUND(tblPiNAnalysis[[#This Row],[VBG]]/tblPiNAnalysis[[#This Row],[Población]], 0.05), "")</f>
        <v>0.05</v>
      </c>
      <c r="Y236" s="91">
        <f>IFERROR(LARGE(tblPiNAnalysis[[#This Row],[SAMV]:[ASH]], 1), "")</f>
        <v>14200.325000000001</v>
      </c>
      <c r="Z236" s="92" t="str" cm="1">
        <f t="array" ref="Z236">IF(tblPiNAnalysis[[#This Row],[PiN más alto]]="", "", _xlfn.TEXTJOIN(CHAR(10), TRUE, IF(tblPiNAnalysis[[#This Row],[PiN más alto]]=tblPiNAnalysis[[#This Row],[SAMV]:[ASH]], tblPiNAnalysis[[#Headers],[SAMV]:[ASH]], "")))</f>
        <v>SAL</v>
      </c>
      <c r="AA236" s="93">
        <f>IF(tblPiNAnalysis[[#This Row],[PiN más alto]]="", "", tblPiNAnalysis[[#This Row],[PiN más alto]]/tblPiNAnalysis[[#This Row],[Población]])</f>
        <v>0.36499999999999999</v>
      </c>
      <c r="AB236" s="94" t="str">
        <f>IF(SUM(tblPiNAnalysis[[#This Row],[SAMV]:[ASH]])=0, "",IF(COUNTIF(tblPiNAnalysis[[#This Row],[SAMV]:[ASH]],"=0")+COUNTIF(tblPiNAnalysis[[#This Row],[SAMV]:[ASH]],"")&gt;=zero_pin_thresh, "Flagged", ""))</f>
        <v/>
      </c>
      <c r="AC236" s="95" t="str">
        <f>IFERROR(IF(tblPiNAnalysis[[#This Row],[PiN más alto]]="", "", IF(tblPiNAnalysis[[#This Row],[% PiN Sectores más altos]]&gt;=flag_pin_perc, "Flagged", "")), "")</f>
        <v/>
      </c>
      <c r="AD236" s="96" t="str" cm="1">
        <f t="array" ref="AD236">IF(tblPiNAnalysis[[#This Row],[PiN más alto]]=0, "",  IF(OR(COUNTIF(tblPiNAnalysis[[#This Row],[Sectores más altos]],tblSubSectorPopulation[Sector])), "Flagged", ""))</f>
        <v/>
      </c>
      <c r="AE236" s="16" cm="1">
        <f t="array" ref="AE23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6484</v>
      </c>
      <c r="AF236" s="97" t="str" cm="1">
        <f t="array" ref="AF236">IF(tblPiNAnalysis[[#This Row],[2º PiN más alto]]="", "", _xlfn.TEXTJOIN(CHAR(10), TRUE, IF(tblPiNAnalysis[[#This Row],[2º PiN más alto]]=tblPiNAnalysis[[#This Row],[SAMV]:[ASH]], tblPiNAnalysis[[#Headers],[SAMV]:[ASH]], "")))</f>
        <v>SAMV</v>
      </c>
      <c r="AG236" s="12">
        <f>IFERROR(tblPiNAnalysis[[#This Row],[2º PiN más alto]]/tblPiNAnalysis[[#This Row],[Población]], "")</f>
        <v>0.16666238272715589</v>
      </c>
      <c r="AH236" s="16">
        <f>IFERROR(tblPiNAnalysis[[#This Row],[PiN más alto]]-tblPiNAnalysis[[#This Row],[2º PiN más alto]], "")</f>
        <v>7716.3250000000007</v>
      </c>
      <c r="AI236" s="14">
        <f>IFERROR(((tblPiNAnalysis[[#This Row],[PiN más alto]]-tblPiNAnalysis[[#This Row],[2º PiN más alto]])/tblPiNAnalysis[[#This Row],[2º PiN más alto]]),"")</f>
        <v>1.1900562924120914</v>
      </c>
      <c r="AJ236" s="14" t="str" cm="1">
        <f t="array" ref="AJ23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36" s="98" cm="1">
        <f t="array" ref="AK23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4656.918103490163</v>
      </c>
      <c r="AL236" s="53" t="str" cm="1">
        <f t="array" ref="AL236">IF(tblPiNAnalysis[[#This Row],[3º PiN más alto]]="", "", _xlfn.TEXTJOIN(CHAR(10), TRUE, IF(tblPiNAnalysis[[#This Row],[3º PiN más alto]]=tblPiNAnalysis[[#This Row],[SAMV]:[ASH]], tblPiNAnalysis[[#Headers],[SAMV]:[ASH]], "")))</f>
        <v>PRO</v>
      </c>
      <c r="AM236" s="53">
        <f>IFERROR(tblPiNAnalysis[[#This Row],[3º PiN más alto]]/tblPiNAnalysis[[#This Row],[Población]], "")</f>
        <v>0.11969973277188441</v>
      </c>
      <c r="AN236" s="15">
        <f>IFERROR(tblPiNAnalysis[[#This Row],[PiN más alto]]-tblPiNAnalysis[[#This Row],[3º PiN más alto]],"")</f>
        <v>9543.4068965098377</v>
      </c>
      <c r="AO236" s="14">
        <f>IFERROR(tblPiNAnalysis[[#This Row],[Diferencia de PiN entre el más alto y el 3º más alto]]/tblPiNAnalysis[[#This Row],[3º PiN más alto]], "")</f>
        <v>2.0492966988956618</v>
      </c>
      <c r="AP236" s="96" t="str" cm="1">
        <f t="array" ref="AP23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36" s="84" cm="1">
        <f t="array" ref="AQ236">IFERROR(IF(tblPiNAnalysis[[#This Row],[ID]]="", "", INDEX(tblPiNHistorical[[SAMV]:[ASH]], MATCH(tblPiNAnalysis[[#This Row],[ID]],tblPiNHistorical[ID], 0),MATCH(_xlfn._xlws.FILTER(tblPiNAnalysis[[#Headers],[SAMV]:[ASH]], tblPiNAnalysis[[#This Row],[PiN más alto]]=tblPiNAnalysis[[#This Row],[SAMV]:[ASH]]), tblPiNHistorical[[#Headers],[SAMV]:[ASH]], 0))), "")</f>
        <v>4.2</v>
      </c>
      <c r="AR236" s="99" t="str" cm="1">
        <f t="array" ref="AR23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36" s="74" cm="1">
        <f t="array" ref="AS236">IFERROR(IF(tblPiNAnalysis[[#This Row],[ID]]="", "", INDEX(tblPiNHistorical[[SAMV]:[ASH]], MATCH(tblPiNAnalysis[[#This Row],[ID]],tblPiNHistorical[ID], 0),MATCH(_xlfn._xlws.FILTER(tblPiNAnalysis[[#Headers],[SAMV]:[ASH]], tblPiNAnalysis[[#This Row],[2º PiN más alto]]=tblPiNAnalysis[[#This Row],[SAMV]:[ASH]]), tblPiNHistorical[[#Headers],[SAMV]:[ASH]], 0))), "")</f>
        <v>2</v>
      </c>
      <c r="AT236" s="100" t="str" cm="1">
        <f t="array" ref="AT23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36" s="219">
        <f>INDEX(tblSeverityAnalysis[Severidad final], MATCH(tblPiNAnalysis[[#This Row],[ID]],tblSeverityAnalysis[ID], 0))</f>
        <v>2</v>
      </c>
      <c r="AV236" s="220">
        <f>IF(tblPiNAnalysis[[#This Row],[Severidad]]&gt;2,tblPiNAnalysis[[#This Row],[PiN más alto]],)</f>
        <v>0</v>
      </c>
      <c r="AW236" s="54"/>
      <c r="AX236" s="55"/>
      <c r="AY236" s="56">
        <f>COUNTIFS(tblPiNAnalysis[[#This Row],[Número de PiN ausentes/cero superior al umbral - Calidad de los datos]:[Marcador manual]],"Flagged")</f>
        <v>4</v>
      </c>
      <c r="AZ236" s="34" t="str">
        <f>IF(tblPiNAnalysis[[#This Row],[Número de marcadores]]&gt;0, "Flagged", "")</f>
        <v>Flagged</v>
      </c>
      <c r="BA236" s="92">
        <f>tblPiNAnalysis[[#This Row],[PiN preliminar]]</f>
        <v>0</v>
      </c>
      <c r="BB236" s="97"/>
      <c r="BC236" s="70">
        <f>IFERROR(IF(tblPiNAnalysis[[#This Row],[Severidad]]=3,tblPiNAnalysis[[#This Row],[PiN final]]*Umbrales!$D$33,tblPiNAnalysis[[#This Row],[PiN final]]*Umbrales!$D$34),)</f>
        <v>0</v>
      </c>
      <c r="BD236" s="70">
        <f>IFERROR(IF(tblPiNAnalysis[[#This Row],[Severidad]]&gt;3,tblPiNAnalysis[[#This Row],[PiN final]]*Umbrales!$D$34,),)</f>
        <v>0</v>
      </c>
    </row>
    <row r="237" spans="1:56">
      <c r="A237" s="101" t="str">
        <f>IFERROR(_xlfn.CONCAT(IF(tblPiNAnalysis[[#This Row],[Grupo]]="", "",tblPiNAnalysis[[#This Row],[Grupo]] ),  _xlfn.IFS(tblPiNAnalysis[[#This Row],[Admin2PCODE]]&lt;&gt;"", tblPiNAnalysis[[#This Row],[Admin2PCODE]], tblPiNAnalysis[[#This Row],[Admin1PCODE]]&lt;&gt;"", tblPiNAnalysis[[#This Row],[Admin1PCODE]])),"")</f>
        <v>VenezolanosVE0502</v>
      </c>
      <c r="B237" s="105" t="s">
        <v>123</v>
      </c>
      <c r="C237" s="104" t="s">
        <v>179</v>
      </c>
      <c r="D237" s="119" t="s">
        <v>182</v>
      </c>
      <c r="E237" s="104" t="s">
        <v>183</v>
      </c>
      <c r="F237" s="358"/>
      <c r="G237" s="357">
        <v>16999</v>
      </c>
      <c r="H237" s="103" t="s">
        <v>102</v>
      </c>
      <c r="I237" s="60">
        <v>3542</v>
      </c>
      <c r="J237" s="134">
        <v>522.29015376917062</v>
      </c>
      <c r="K237" s="57">
        <v>6204.6350000000002</v>
      </c>
      <c r="L237" s="87">
        <v>1568.0794749023617</v>
      </c>
      <c r="M237" s="87">
        <v>2034.7757573892627</v>
      </c>
      <c r="N237" s="57">
        <v>0</v>
      </c>
      <c r="O237" s="57">
        <v>651.12824236456413</v>
      </c>
      <c r="P237" s="57">
        <v>712.17151508624181</v>
      </c>
      <c r="Q237" s="88">
        <f>IFERROR(IF(tblPiNAnalysis[[#This Row],[SAMV]]="", "", MROUND(tblPiNAnalysis[[#This Row],[SAMV]]/tblPiNAnalysis[[#This Row],[Población]], 0.05)), "")</f>
        <v>0.2</v>
      </c>
      <c r="R237" s="89">
        <f>IFERROR(IF(tblPiNAnalysis[[#This Row],[NUT]]="", "", MROUND(tblPiNAnalysis[[#This Row],[NUT]]/tblPiNAnalysis[[#This Row],[Población]], 0.05)), "")</f>
        <v>0.05</v>
      </c>
      <c r="S237" s="89">
        <f>IFERROR(IF(tblPiNAnalysis[[#This Row],[SAL]]="", "", MROUND(tblPiNAnalysis[[#This Row],[SAL]]/tblPiNAnalysis[[#This Row],[Población]], 0.05)), "")</f>
        <v>0.35000000000000003</v>
      </c>
      <c r="T237" s="89">
        <f>IFERROR(IF(tblPiNAnalysis[[#This Row],[EDU]]="", "", MROUND(tblPiNAnalysis[[#This Row],[EDU]]/tblPiNAnalysis[[#This Row],[Población]], 0.05)), "")</f>
        <v>0.1</v>
      </c>
      <c r="U237" s="89">
        <f>IFERROR(IF(tblPiNAnalysis[[#This Row],[PRO]]="", "", MROUND(tblPiNAnalysis[[#This Row],[PRO]]/tblPiNAnalysis[[#This Row],[Población]], 0.05)), "")</f>
        <v>0.1</v>
      </c>
      <c r="V237" s="90">
        <f>IFERROR(IF(tblPiNAnalysis[[#This Row],[ASH]]="", "", MROUND(tblPiNAnalysis[[#This Row],[ASH]]/tblPiNAnalysis[[#This Row],[Población]], 0.05)), "")</f>
        <v>0</v>
      </c>
      <c r="W237" s="89">
        <f>IFERROR(MROUND(tblPiNAnalysis[[#This Row],[NNA]]/tblPiNAnalysis[[#This Row],[Población]], 0.05), "")</f>
        <v>0.05</v>
      </c>
      <c r="X237" s="89">
        <f>IFERROR(MROUND(tblPiNAnalysis[[#This Row],[VBG]]/tblPiNAnalysis[[#This Row],[Población]], 0.05), "")</f>
        <v>0.05</v>
      </c>
      <c r="Y237" s="91">
        <f>IFERROR(LARGE(tblPiNAnalysis[[#This Row],[SAMV]:[ASH]], 1), "")</f>
        <v>6204.6350000000002</v>
      </c>
      <c r="Z237" s="92" t="str" cm="1">
        <f t="array" ref="Z237">IF(tblPiNAnalysis[[#This Row],[PiN más alto]]="", "", _xlfn.TEXTJOIN(CHAR(10), TRUE, IF(tblPiNAnalysis[[#This Row],[PiN más alto]]=tblPiNAnalysis[[#This Row],[SAMV]:[ASH]], tblPiNAnalysis[[#Headers],[SAMV]:[ASH]], "")))</f>
        <v>SAL</v>
      </c>
      <c r="AA237" s="93">
        <f>IF(tblPiNAnalysis[[#This Row],[PiN más alto]]="", "", tblPiNAnalysis[[#This Row],[PiN más alto]]/tblPiNAnalysis[[#This Row],[Población]])</f>
        <v>0.36499999999999999</v>
      </c>
      <c r="AB237" s="94" t="str">
        <f>IF(SUM(tblPiNAnalysis[[#This Row],[SAMV]:[ASH]])=0, "",IF(COUNTIF(tblPiNAnalysis[[#This Row],[SAMV]:[ASH]],"=0")+COUNTIF(tblPiNAnalysis[[#This Row],[SAMV]:[ASH]],"")&gt;=zero_pin_thresh, "Flagged", ""))</f>
        <v/>
      </c>
      <c r="AC237" s="95" t="str">
        <f>IFERROR(IF(tblPiNAnalysis[[#This Row],[PiN más alto]]="", "", IF(tblPiNAnalysis[[#This Row],[% PiN Sectores más altos]]&gt;=flag_pin_perc, "Flagged", "")), "")</f>
        <v/>
      </c>
      <c r="AD237" s="96" t="str" cm="1">
        <f t="array" ref="AD237">IF(tblPiNAnalysis[[#This Row],[PiN más alto]]=0, "",  IF(OR(COUNTIF(tblPiNAnalysis[[#This Row],[Sectores más altos]],tblSubSectorPopulation[Sector])), "Flagged", ""))</f>
        <v/>
      </c>
      <c r="AE237" s="16" cm="1">
        <f t="array" ref="AE23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3542</v>
      </c>
      <c r="AF237" s="97" t="str" cm="1">
        <f t="array" ref="AF237">IF(tblPiNAnalysis[[#This Row],[2º PiN más alto]]="", "", _xlfn.TEXTJOIN(CHAR(10), TRUE, IF(tblPiNAnalysis[[#This Row],[2º PiN más alto]]=tblPiNAnalysis[[#This Row],[SAMV]:[ASH]], tblPiNAnalysis[[#Headers],[SAMV]:[ASH]], "")))</f>
        <v>SAMV</v>
      </c>
      <c r="AG237" s="12">
        <f>IFERROR(tblPiNAnalysis[[#This Row],[2º PiN más alto]]/tblPiNAnalysis[[#This Row],[Población]], "")</f>
        <v>0.20836519795282074</v>
      </c>
      <c r="AH237" s="16">
        <f>IFERROR(tblPiNAnalysis[[#This Row],[PiN más alto]]-tblPiNAnalysis[[#This Row],[2º PiN más alto]], "")</f>
        <v>2662.6350000000002</v>
      </c>
      <c r="AI237" s="14">
        <f>IFERROR(((tblPiNAnalysis[[#This Row],[PiN más alto]]-tblPiNAnalysis[[#This Row],[2º PiN más alto]])/tblPiNAnalysis[[#This Row],[2º PiN más alto]]),"")</f>
        <v>0.75173207227555061</v>
      </c>
      <c r="AJ237" s="14" t="str" cm="1">
        <f t="array" ref="AJ23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37" s="98" cm="1">
        <f t="array" ref="AK23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2034.7757573892627</v>
      </c>
      <c r="AL237" s="53" t="str" cm="1">
        <f t="array" ref="AL237">IF(tblPiNAnalysis[[#This Row],[3º PiN más alto]]="", "", _xlfn.TEXTJOIN(CHAR(10), TRUE, IF(tblPiNAnalysis[[#This Row],[3º PiN más alto]]=tblPiNAnalysis[[#This Row],[SAMV]:[ASH]], tblPiNAnalysis[[#Headers],[SAMV]:[ASH]], "")))</f>
        <v>PRO</v>
      </c>
      <c r="AM237" s="53">
        <f>IFERROR(tblPiNAnalysis[[#This Row],[3º PiN más alto]]/tblPiNAnalysis[[#This Row],[Población]], "")</f>
        <v>0.11969973277188439</v>
      </c>
      <c r="AN237" s="15">
        <f>IFERROR(tblPiNAnalysis[[#This Row],[PiN más alto]]-tblPiNAnalysis[[#This Row],[3º PiN más alto]],"")</f>
        <v>4169.8592426107371</v>
      </c>
      <c r="AO237" s="14">
        <f>IFERROR(tblPiNAnalysis[[#This Row],[Diferencia de PiN entre el más alto y el 3º más alto]]/tblPiNAnalysis[[#This Row],[3º PiN más alto]], "")</f>
        <v>2.0492966988956622</v>
      </c>
      <c r="AP237" s="96" t="str" cm="1">
        <f t="array" ref="AP23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37" s="84" cm="1">
        <f t="array" ref="AQ237">IFERROR(IF(tblPiNAnalysis[[#This Row],[ID]]="", "", INDEX(tblPiNHistorical[[SAMV]:[ASH]], MATCH(tblPiNAnalysis[[#This Row],[ID]],tblPiNHistorical[ID], 0),MATCH(_xlfn._xlws.FILTER(tblPiNAnalysis[[#Headers],[SAMV]:[ASH]], tblPiNAnalysis[[#This Row],[PiN más alto]]=tblPiNAnalysis[[#This Row],[SAMV]:[ASH]]), tblPiNHistorical[[#Headers],[SAMV]:[ASH]], 0))), "")</f>
        <v>8.6</v>
      </c>
      <c r="AR237" s="99" t="str" cm="1">
        <f t="array" ref="AR23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37" s="74" cm="1">
        <f t="array" ref="AS237">IFERROR(IF(tblPiNAnalysis[[#This Row],[ID]]="", "", INDEX(tblPiNHistorical[[SAMV]:[ASH]], MATCH(tblPiNAnalysis[[#This Row],[ID]],tblPiNHistorical[ID], 0),MATCH(_xlfn._xlws.FILTER(tblPiNAnalysis[[#Headers],[SAMV]:[ASH]], tblPiNAnalysis[[#This Row],[2º PiN más alto]]=tblPiNAnalysis[[#This Row],[SAMV]:[ASH]]), tblPiNHistorical[[#Headers],[SAMV]:[ASH]], 0))), "")</f>
        <v>4.4000000000000004</v>
      </c>
      <c r="AT237" s="100" t="str" cm="1">
        <f t="array" ref="AT23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37" s="219">
        <f>INDEX(tblSeverityAnalysis[Severidad final], MATCH(tblPiNAnalysis[[#This Row],[ID]],tblSeverityAnalysis[ID], 0))</f>
        <v>2</v>
      </c>
      <c r="AV237" s="220">
        <f>IF(tblPiNAnalysis[[#This Row],[Severidad]]&gt;2,tblPiNAnalysis[[#This Row],[PiN más alto]],)</f>
        <v>0</v>
      </c>
      <c r="AW237" s="54"/>
      <c r="AX237" s="55"/>
      <c r="AY237" s="56">
        <f>COUNTIFS(tblPiNAnalysis[[#This Row],[Número de PiN ausentes/cero superior al umbral - Calidad de los datos]:[Marcador manual]],"Flagged")</f>
        <v>4</v>
      </c>
      <c r="AZ237" s="34" t="str">
        <f>IF(tblPiNAnalysis[[#This Row],[Número de marcadores]]&gt;0, "Flagged", "")</f>
        <v>Flagged</v>
      </c>
      <c r="BA237" s="92">
        <f>tblPiNAnalysis[[#This Row],[PiN preliminar]]</f>
        <v>0</v>
      </c>
      <c r="BB237" s="97"/>
      <c r="BC237" s="70">
        <f>IFERROR(IF(tblPiNAnalysis[[#This Row],[Severidad]]=3,tblPiNAnalysis[[#This Row],[PiN final]]*Umbrales!$D$33,tblPiNAnalysis[[#This Row],[PiN final]]*Umbrales!$D$34),)</f>
        <v>0</v>
      </c>
      <c r="BD237" s="70">
        <f>IFERROR(IF(tblPiNAnalysis[[#This Row],[Severidad]]&gt;3,tblPiNAnalysis[[#This Row],[PiN final]]*Umbrales!$D$34,),)</f>
        <v>0</v>
      </c>
    </row>
    <row r="238" spans="1:56">
      <c r="A238" s="101" t="str">
        <f>IFERROR(_xlfn.CONCAT(IF(tblPiNAnalysis[[#This Row],[Grupo]]="", "",tblPiNAnalysis[[#This Row],[Grupo]] ),  _xlfn.IFS(tblPiNAnalysis[[#This Row],[Admin2PCODE]]&lt;&gt;"", tblPiNAnalysis[[#This Row],[Admin2PCODE]], tblPiNAnalysis[[#This Row],[Admin1PCODE]]&lt;&gt;"", tblPiNAnalysis[[#This Row],[Admin1PCODE]])),"")</f>
        <v>VenezolanosVE0503</v>
      </c>
      <c r="B238" s="105" t="s">
        <v>123</v>
      </c>
      <c r="C238" s="104" t="s">
        <v>179</v>
      </c>
      <c r="D238" s="119" t="s">
        <v>184</v>
      </c>
      <c r="E238" s="104" t="s">
        <v>185</v>
      </c>
      <c r="F238" s="358"/>
      <c r="G238" s="357">
        <v>416302</v>
      </c>
      <c r="H238" s="103" t="s">
        <v>102</v>
      </c>
      <c r="I238" s="60">
        <v>54084</v>
      </c>
      <c r="J238" s="134">
        <v>16279.187688197813</v>
      </c>
      <c r="K238" s="57">
        <v>151950.23000000001</v>
      </c>
      <c r="L238" s="87">
        <v>52451.343098291385</v>
      </c>
      <c r="M238" s="87">
        <v>83052.063587334997</v>
      </c>
      <c r="N238" s="57">
        <v>0</v>
      </c>
      <c r="O238" s="57">
        <v>26576.6603479472</v>
      </c>
      <c r="P238" s="57">
        <v>29068.222255567242</v>
      </c>
      <c r="Q238" s="88">
        <f>IFERROR(IF(tblPiNAnalysis[[#This Row],[SAMV]]="", "", MROUND(tblPiNAnalysis[[#This Row],[SAMV]]/tblPiNAnalysis[[#This Row],[Población]], 0.05)), "")</f>
        <v>0.15000000000000002</v>
      </c>
      <c r="R238" s="89">
        <f>IFERROR(IF(tblPiNAnalysis[[#This Row],[NUT]]="", "", MROUND(tblPiNAnalysis[[#This Row],[NUT]]/tblPiNAnalysis[[#This Row],[Población]], 0.05)), "")</f>
        <v>0.05</v>
      </c>
      <c r="S238" s="89">
        <f>IFERROR(IF(tblPiNAnalysis[[#This Row],[SAL]]="", "", MROUND(tblPiNAnalysis[[#This Row],[SAL]]/tblPiNAnalysis[[#This Row],[Población]], 0.05)), "")</f>
        <v>0.35000000000000003</v>
      </c>
      <c r="T238" s="89">
        <f>IFERROR(IF(tblPiNAnalysis[[#This Row],[EDU]]="", "", MROUND(tblPiNAnalysis[[#This Row],[EDU]]/tblPiNAnalysis[[#This Row],[Población]], 0.05)), "")</f>
        <v>0.15000000000000002</v>
      </c>
      <c r="U238" s="89">
        <f>IFERROR(IF(tblPiNAnalysis[[#This Row],[PRO]]="", "", MROUND(tblPiNAnalysis[[#This Row],[PRO]]/tblPiNAnalysis[[#This Row],[Población]], 0.05)), "")</f>
        <v>0.2</v>
      </c>
      <c r="V238" s="90">
        <f>IFERROR(IF(tblPiNAnalysis[[#This Row],[ASH]]="", "", MROUND(tblPiNAnalysis[[#This Row],[ASH]]/tblPiNAnalysis[[#This Row],[Población]], 0.05)), "")</f>
        <v>0</v>
      </c>
      <c r="W238" s="89">
        <f>IFERROR(MROUND(tblPiNAnalysis[[#This Row],[NNA]]/tblPiNAnalysis[[#This Row],[Población]], 0.05), "")</f>
        <v>0.05</v>
      </c>
      <c r="X238" s="89">
        <f>IFERROR(MROUND(tblPiNAnalysis[[#This Row],[VBG]]/tblPiNAnalysis[[#This Row],[Población]], 0.05), "")</f>
        <v>0.05</v>
      </c>
      <c r="Y238" s="91">
        <f>IFERROR(LARGE(tblPiNAnalysis[[#This Row],[SAMV]:[ASH]], 1), "")</f>
        <v>151950.23000000001</v>
      </c>
      <c r="Z238" s="92" t="str" cm="1">
        <f t="array" ref="Z238">IF(tblPiNAnalysis[[#This Row],[PiN más alto]]="", "", _xlfn.TEXTJOIN(CHAR(10), TRUE, IF(tblPiNAnalysis[[#This Row],[PiN más alto]]=tblPiNAnalysis[[#This Row],[SAMV]:[ASH]], tblPiNAnalysis[[#Headers],[SAMV]:[ASH]], "")))</f>
        <v>SAL</v>
      </c>
      <c r="AA238" s="93">
        <f>IF(tblPiNAnalysis[[#This Row],[PiN más alto]]="", "", tblPiNAnalysis[[#This Row],[PiN más alto]]/tblPiNAnalysis[[#This Row],[Población]])</f>
        <v>0.36500000000000005</v>
      </c>
      <c r="AB238" s="94" t="str">
        <f>IF(SUM(tblPiNAnalysis[[#This Row],[SAMV]:[ASH]])=0, "",IF(COUNTIF(tblPiNAnalysis[[#This Row],[SAMV]:[ASH]],"=0")+COUNTIF(tblPiNAnalysis[[#This Row],[SAMV]:[ASH]],"")&gt;=zero_pin_thresh, "Flagged", ""))</f>
        <v/>
      </c>
      <c r="AC238" s="95" t="str">
        <f>IFERROR(IF(tblPiNAnalysis[[#This Row],[PiN más alto]]="", "", IF(tblPiNAnalysis[[#This Row],[% PiN Sectores más altos]]&gt;=flag_pin_perc, "Flagged", "")), "")</f>
        <v/>
      </c>
      <c r="AD238" s="96" t="str" cm="1">
        <f t="array" ref="AD238">IF(tblPiNAnalysis[[#This Row],[PiN más alto]]=0, "",  IF(OR(COUNTIF(tblPiNAnalysis[[#This Row],[Sectores más altos]],tblSubSectorPopulation[Sector])), "Flagged", ""))</f>
        <v/>
      </c>
      <c r="AE238" s="16" cm="1">
        <f t="array" ref="AE23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83052.063587334997</v>
      </c>
      <c r="AF238" s="97" t="str" cm="1">
        <f t="array" ref="AF238">IF(tblPiNAnalysis[[#This Row],[2º PiN más alto]]="", "", _xlfn.TEXTJOIN(CHAR(10), TRUE, IF(tblPiNAnalysis[[#This Row],[2º PiN más alto]]=tblPiNAnalysis[[#This Row],[SAMV]:[ASH]], tblPiNAnalysis[[#Headers],[SAMV]:[ASH]], "")))</f>
        <v>PRO</v>
      </c>
      <c r="AG238" s="12">
        <f>IFERROR(tblPiNAnalysis[[#This Row],[2º PiN más alto]]/tblPiNAnalysis[[#This Row],[Población]], "")</f>
        <v>0.19949955461980726</v>
      </c>
      <c r="AH238" s="16">
        <f>IFERROR(tblPiNAnalysis[[#This Row],[PiN más alto]]-tblPiNAnalysis[[#This Row],[2º PiN más alto]], "")</f>
        <v>68898.166412665014</v>
      </c>
      <c r="AI238" s="14">
        <f>IFERROR(((tblPiNAnalysis[[#This Row],[PiN más alto]]-tblPiNAnalysis[[#This Row],[2º PiN más alto]])/tblPiNAnalysis[[#This Row],[2º PiN más alto]]),"")</f>
        <v>0.82957801933739816</v>
      </c>
      <c r="AJ238" s="14" t="str" cm="1">
        <f t="array" ref="AJ23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38" s="98" cm="1">
        <f t="array" ref="AK23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54084</v>
      </c>
      <c r="AL238" s="53" t="str" cm="1">
        <f t="array" ref="AL238">IF(tblPiNAnalysis[[#This Row],[3º PiN más alto]]="", "", _xlfn.TEXTJOIN(CHAR(10), TRUE, IF(tblPiNAnalysis[[#This Row],[3º PiN más alto]]=tblPiNAnalysis[[#This Row],[SAMV]:[ASH]], tblPiNAnalysis[[#Headers],[SAMV]:[ASH]], "")))</f>
        <v>SAMV</v>
      </c>
      <c r="AM238" s="53">
        <f>IFERROR(tblPiNAnalysis[[#This Row],[3º PiN más alto]]/tblPiNAnalysis[[#This Row],[Población]], "")</f>
        <v>0.12991530187219855</v>
      </c>
      <c r="AN238" s="15">
        <f>IFERROR(tblPiNAnalysis[[#This Row],[PiN más alto]]-tblPiNAnalysis[[#This Row],[3º PiN más alto]],"")</f>
        <v>97866.23000000001</v>
      </c>
      <c r="AO238" s="14">
        <f>IFERROR(tblPiNAnalysis[[#This Row],[Diferencia de PiN entre el más alto y el 3º más alto]]/tblPiNAnalysis[[#This Row],[3º PiN más alto]], "")</f>
        <v>1.8095227793802235</v>
      </c>
      <c r="AP238" s="96" t="str" cm="1">
        <f t="array" ref="AP23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38" s="84" cm="1">
        <f t="array" ref="AQ238">IFERROR(IF(tblPiNAnalysis[[#This Row],[ID]]="", "", INDEX(tblPiNHistorical[[SAMV]:[ASH]], MATCH(tblPiNAnalysis[[#This Row],[ID]],tblPiNHistorical[ID], 0),MATCH(_xlfn._xlws.FILTER(tblPiNAnalysis[[#Headers],[SAMV]:[ASH]], tblPiNAnalysis[[#This Row],[PiN más alto]]=tblPiNAnalysis[[#This Row],[SAMV]:[ASH]]), tblPiNHistorical[[#Headers],[SAMV]:[ASH]], 0))), "")</f>
        <v>-0.5</v>
      </c>
      <c r="AR238" s="99" t="str" cm="1">
        <f t="array" ref="AR23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38" s="74" cm="1">
        <f t="array" ref="AS238">IFERROR(IF(tblPiNAnalysis[[#This Row],[ID]]="", "", INDEX(tblPiNHistorical[[SAMV]:[ASH]], MATCH(tblPiNAnalysis[[#This Row],[ID]],tblPiNHistorical[ID], 0),MATCH(_xlfn._xlws.FILTER(tblPiNAnalysis[[#Headers],[SAMV]:[ASH]], tblPiNAnalysis[[#This Row],[2º PiN más alto]]=tblPiNAnalysis[[#This Row],[SAMV]:[ASH]]), tblPiNHistorical[[#Headers],[SAMV]:[ASH]], 0))), "")</f>
        <v>0.9</v>
      </c>
      <c r="AT238" s="100" t="str" cm="1">
        <f t="array" ref="AT23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38" s="219">
        <f>INDEX(tblSeverityAnalysis[Severidad final], MATCH(tblPiNAnalysis[[#This Row],[ID]],tblSeverityAnalysis[ID], 0))</f>
        <v>2</v>
      </c>
      <c r="AV238" s="220">
        <f>IF(tblPiNAnalysis[[#This Row],[Severidad]]&gt;2,tblPiNAnalysis[[#This Row],[PiN más alto]],)</f>
        <v>0</v>
      </c>
      <c r="AW238" s="54"/>
      <c r="AX238" s="55"/>
      <c r="AY238" s="56">
        <f>COUNTIFS(tblPiNAnalysis[[#This Row],[Número de PiN ausentes/cero superior al umbral - Calidad de los datos]:[Marcador manual]],"Flagged")</f>
        <v>2</v>
      </c>
      <c r="AZ238" s="34" t="str">
        <f>IF(tblPiNAnalysis[[#This Row],[Número de marcadores]]&gt;0, "Flagged", "")</f>
        <v>Flagged</v>
      </c>
      <c r="BA238" s="92">
        <f>tblPiNAnalysis[[#This Row],[PiN preliminar]]</f>
        <v>0</v>
      </c>
      <c r="BB238" s="97"/>
      <c r="BC238" s="70">
        <f>IFERROR(IF(tblPiNAnalysis[[#This Row],[Severidad]]=3,tblPiNAnalysis[[#This Row],[PiN final]]*Umbrales!$D$33,tblPiNAnalysis[[#This Row],[PiN final]]*Umbrales!$D$34),)</f>
        <v>0</v>
      </c>
      <c r="BD238" s="70">
        <f>IFERROR(IF(tblPiNAnalysis[[#This Row],[Severidad]]&gt;3,tblPiNAnalysis[[#This Row],[PiN final]]*Umbrales!$D$34,),)</f>
        <v>0</v>
      </c>
    </row>
    <row r="239" spans="1:56">
      <c r="A239" s="101" t="str">
        <f>IFERROR(_xlfn.CONCAT(IF(tblPiNAnalysis[[#This Row],[Grupo]]="", "",tblPiNAnalysis[[#This Row],[Grupo]] ),  _xlfn.IFS(tblPiNAnalysis[[#This Row],[Admin2PCODE]]&lt;&gt;"", tblPiNAnalysis[[#This Row],[Admin2PCODE]], tblPiNAnalysis[[#This Row],[Admin1PCODE]]&lt;&gt;"", tblPiNAnalysis[[#This Row],[Admin1PCODE]])),"")</f>
        <v>VenezolanosVE0505</v>
      </c>
      <c r="B239" s="105" t="s">
        <v>123</v>
      </c>
      <c r="C239" s="104" t="s">
        <v>179</v>
      </c>
      <c r="D239" s="119" t="s">
        <v>188</v>
      </c>
      <c r="E239" s="104" t="s">
        <v>189</v>
      </c>
      <c r="F239" s="358"/>
      <c r="G239" s="357">
        <v>146736</v>
      </c>
      <c r="H239" s="103" t="s">
        <v>102</v>
      </c>
      <c r="I239" s="60">
        <v>22545</v>
      </c>
      <c r="J239" s="134">
        <v>4518.0852922033991</v>
      </c>
      <c r="K239" s="57">
        <v>53558.64</v>
      </c>
      <c r="L239" s="87">
        <v>18542.705483909733</v>
      </c>
      <c r="M239" s="87">
        <v>35128.519976030446</v>
      </c>
      <c r="N239" s="57">
        <v>0</v>
      </c>
      <c r="O239" s="57">
        <v>11276.254912305772</v>
      </c>
      <c r="P239" s="57">
        <v>12294.981991610653</v>
      </c>
      <c r="Q239" s="88">
        <f>IFERROR(IF(tblPiNAnalysis[[#This Row],[SAMV]]="", "", MROUND(tblPiNAnalysis[[#This Row],[SAMV]]/tblPiNAnalysis[[#This Row],[Población]], 0.05)), "")</f>
        <v>0.15000000000000002</v>
      </c>
      <c r="R239" s="89">
        <f>IFERROR(IF(tblPiNAnalysis[[#This Row],[NUT]]="", "", MROUND(tblPiNAnalysis[[#This Row],[NUT]]/tblPiNAnalysis[[#This Row],[Población]], 0.05)), "")</f>
        <v>0.05</v>
      </c>
      <c r="S239" s="89">
        <f>IFERROR(IF(tblPiNAnalysis[[#This Row],[SAL]]="", "", MROUND(tblPiNAnalysis[[#This Row],[SAL]]/tblPiNAnalysis[[#This Row],[Población]], 0.05)), "")</f>
        <v>0.35000000000000003</v>
      </c>
      <c r="T239" s="89">
        <f>IFERROR(IF(tblPiNAnalysis[[#This Row],[EDU]]="", "", MROUND(tblPiNAnalysis[[#This Row],[EDU]]/tblPiNAnalysis[[#This Row],[Población]], 0.05)), "")</f>
        <v>0.15000000000000002</v>
      </c>
      <c r="U239" s="89">
        <f>IFERROR(IF(tblPiNAnalysis[[#This Row],[PRO]]="", "", MROUND(tblPiNAnalysis[[#This Row],[PRO]]/tblPiNAnalysis[[#This Row],[Población]], 0.05)), "")</f>
        <v>0.25</v>
      </c>
      <c r="V239" s="90">
        <f>IFERROR(IF(tblPiNAnalysis[[#This Row],[ASH]]="", "", MROUND(tblPiNAnalysis[[#This Row],[ASH]]/tblPiNAnalysis[[#This Row],[Población]], 0.05)), "")</f>
        <v>0</v>
      </c>
      <c r="W239" s="89">
        <f>IFERROR(MROUND(tblPiNAnalysis[[#This Row],[NNA]]/tblPiNAnalysis[[#This Row],[Población]], 0.05), "")</f>
        <v>0.1</v>
      </c>
      <c r="X239" s="89">
        <f>IFERROR(MROUND(tblPiNAnalysis[[#This Row],[VBG]]/tblPiNAnalysis[[#This Row],[Población]], 0.05), "")</f>
        <v>0.1</v>
      </c>
      <c r="Y239" s="91">
        <f>IFERROR(LARGE(tblPiNAnalysis[[#This Row],[SAMV]:[ASH]], 1), "")</f>
        <v>53558.64</v>
      </c>
      <c r="Z239" s="92" t="str" cm="1">
        <f t="array" ref="Z239">IF(tblPiNAnalysis[[#This Row],[PiN más alto]]="", "", _xlfn.TEXTJOIN(CHAR(10), TRUE, IF(tblPiNAnalysis[[#This Row],[PiN más alto]]=tblPiNAnalysis[[#This Row],[SAMV]:[ASH]], tblPiNAnalysis[[#Headers],[SAMV]:[ASH]], "")))</f>
        <v>SAL</v>
      </c>
      <c r="AA239" s="93">
        <f>IF(tblPiNAnalysis[[#This Row],[PiN más alto]]="", "", tblPiNAnalysis[[#This Row],[PiN más alto]]/tblPiNAnalysis[[#This Row],[Población]])</f>
        <v>0.36499999999999999</v>
      </c>
      <c r="AB239" s="94" t="str">
        <f>IF(SUM(tblPiNAnalysis[[#This Row],[SAMV]:[ASH]])=0, "",IF(COUNTIF(tblPiNAnalysis[[#This Row],[SAMV]:[ASH]],"=0")+COUNTIF(tblPiNAnalysis[[#This Row],[SAMV]:[ASH]],"")&gt;=zero_pin_thresh, "Flagged", ""))</f>
        <v/>
      </c>
      <c r="AC239" s="95" t="str">
        <f>IFERROR(IF(tblPiNAnalysis[[#This Row],[PiN más alto]]="", "", IF(tblPiNAnalysis[[#This Row],[% PiN Sectores más altos]]&gt;=flag_pin_perc, "Flagged", "")), "")</f>
        <v/>
      </c>
      <c r="AD239" s="96" t="str" cm="1">
        <f t="array" ref="AD239">IF(tblPiNAnalysis[[#This Row],[PiN más alto]]=0, "",  IF(OR(COUNTIF(tblPiNAnalysis[[#This Row],[Sectores más altos]],tblSubSectorPopulation[Sector])), "Flagged", ""))</f>
        <v/>
      </c>
      <c r="AE239" s="16" cm="1">
        <f t="array" ref="AE23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35128.519976030446</v>
      </c>
      <c r="AF239" s="97" t="str" cm="1">
        <f t="array" ref="AF239">IF(tblPiNAnalysis[[#This Row],[2º PiN más alto]]="", "", _xlfn.TEXTJOIN(CHAR(10), TRUE, IF(tblPiNAnalysis[[#This Row],[2º PiN más alto]]=tblPiNAnalysis[[#This Row],[SAMV]:[ASH]], tblPiNAnalysis[[#Headers],[SAMV]:[ASH]], "")))</f>
        <v>PRO</v>
      </c>
      <c r="AG239" s="12">
        <f>IFERROR(tblPiNAnalysis[[#This Row],[2º PiN más alto]]/tblPiNAnalysis[[#This Row],[Población]], "")</f>
        <v>0.2393994655437687</v>
      </c>
      <c r="AH239" s="16">
        <f>IFERROR(tblPiNAnalysis[[#This Row],[PiN más alto]]-tblPiNAnalysis[[#This Row],[2º PiN más alto]], "")</f>
        <v>18430.120023969554</v>
      </c>
      <c r="AI239" s="14">
        <f>IFERROR(((tblPiNAnalysis[[#This Row],[PiN más alto]]-tblPiNAnalysis[[#This Row],[2º PiN más alto]])/tblPiNAnalysis[[#This Row],[2º PiN más alto]]),"")</f>
        <v>0.52464834944783156</v>
      </c>
      <c r="AJ239" s="14" t="str" cm="1">
        <f t="array" ref="AJ23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39" s="98" cm="1">
        <f t="array" ref="AK23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22545</v>
      </c>
      <c r="AL239" s="53" t="str" cm="1">
        <f t="array" ref="AL239">IF(tblPiNAnalysis[[#This Row],[3º PiN más alto]]="", "", _xlfn.TEXTJOIN(CHAR(10), TRUE, IF(tblPiNAnalysis[[#This Row],[3º PiN más alto]]=tblPiNAnalysis[[#This Row],[SAMV]:[ASH]], tblPiNAnalysis[[#Headers],[SAMV]:[ASH]], "")))</f>
        <v>SAMV</v>
      </c>
      <c r="AM239" s="53">
        <f>IFERROR(tblPiNAnalysis[[#This Row],[3º PiN más alto]]/tblPiNAnalysis[[#This Row],[Población]], "")</f>
        <v>0.15364327772325809</v>
      </c>
      <c r="AN239" s="15">
        <f>IFERROR(tblPiNAnalysis[[#This Row],[PiN más alto]]-tblPiNAnalysis[[#This Row],[3º PiN más alto]],"")</f>
        <v>31013.64</v>
      </c>
      <c r="AO239" s="14">
        <f>IFERROR(tblPiNAnalysis[[#This Row],[Diferencia de PiN entre el más alto y el 3º más alto]]/tblPiNAnalysis[[#This Row],[3º PiN más alto]], "")</f>
        <v>1.375632734530938</v>
      </c>
      <c r="AP239" s="96" t="str" cm="1">
        <f t="array" ref="AP23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39" s="84" cm="1">
        <f t="array" ref="AQ239">IFERROR(IF(tblPiNAnalysis[[#This Row],[ID]]="", "", INDEX(tblPiNHistorical[[SAMV]:[ASH]], MATCH(tblPiNAnalysis[[#This Row],[ID]],tblPiNHistorical[ID], 0),MATCH(_xlfn._xlws.FILTER(tblPiNAnalysis[[#Headers],[SAMV]:[ASH]], tblPiNAnalysis[[#This Row],[PiN más alto]]=tblPiNAnalysis[[#This Row],[SAMV]:[ASH]]), tblPiNHistorical[[#Headers],[SAMV]:[ASH]], 0))), "")</f>
        <v>0.3</v>
      </c>
      <c r="AR239" s="99" t="str" cm="1">
        <f t="array" ref="AR23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39" s="74" cm="1">
        <f t="array" ref="AS239">IFERROR(IF(tblPiNAnalysis[[#This Row],[ID]]="", "", INDEX(tblPiNHistorical[[SAMV]:[ASH]], MATCH(tblPiNAnalysis[[#This Row],[ID]],tblPiNHistorical[ID], 0),MATCH(_xlfn._xlws.FILTER(tblPiNAnalysis[[#Headers],[SAMV]:[ASH]], tblPiNAnalysis[[#This Row],[2º PiN más alto]]=tblPiNAnalysis[[#This Row],[SAMV]:[ASH]]), tblPiNHistorical[[#Headers],[SAMV]:[ASH]], 0))), "")</f>
        <v>-0.1</v>
      </c>
      <c r="AT239" s="100" t="str" cm="1">
        <f t="array" ref="AT23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39" s="219">
        <f>INDEX(tblSeverityAnalysis[Severidad final], MATCH(tblPiNAnalysis[[#This Row],[ID]],tblSeverityAnalysis[ID], 0))</f>
        <v>2</v>
      </c>
      <c r="AV239" s="220">
        <f>IF(tblPiNAnalysis[[#This Row],[Severidad]]&gt;2,tblPiNAnalysis[[#This Row],[PiN más alto]],)</f>
        <v>0</v>
      </c>
      <c r="AW239" s="54"/>
      <c r="AX239" s="55"/>
      <c r="AY239" s="56">
        <f>COUNTIFS(tblPiNAnalysis[[#This Row],[Número de PiN ausentes/cero superior al umbral - Calidad de los datos]:[Marcador manual]],"Flagged")</f>
        <v>2</v>
      </c>
      <c r="AZ239" s="34" t="str">
        <f>IF(tblPiNAnalysis[[#This Row],[Número de marcadores]]&gt;0, "Flagged", "")</f>
        <v>Flagged</v>
      </c>
      <c r="BA239" s="92">
        <f>tblPiNAnalysis[[#This Row],[PiN preliminar]]</f>
        <v>0</v>
      </c>
      <c r="BB239" s="97"/>
      <c r="BC239" s="70">
        <f>IFERROR(IF(tblPiNAnalysis[[#This Row],[Severidad]]=3,tblPiNAnalysis[[#This Row],[PiN final]]*Umbrales!$D$33,tblPiNAnalysis[[#This Row],[PiN final]]*Umbrales!$D$34),)</f>
        <v>0</v>
      </c>
      <c r="BD239" s="70">
        <f>IFERROR(IF(tblPiNAnalysis[[#This Row],[Severidad]]&gt;3,tblPiNAnalysis[[#This Row],[PiN final]]*Umbrales!$D$34,),)</f>
        <v>0</v>
      </c>
    </row>
    <row r="240" spans="1:56">
      <c r="A240" s="101" t="str">
        <f>IFERROR(_xlfn.CONCAT(IF(tblPiNAnalysis[[#This Row],[Grupo]]="", "",tblPiNAnalysis[[#This Row],[Grupo]] ),  _xlfn.IFS(tblPiNAnalysis[[#This Row],[Admin2PCODE]]&lt;&gt;"", tblPiNAnalysis[[#This Row],[Admin2PCODE]], tblPiNAnalysis[[#This Row],[Admin1PCODE]]&lt;&gt;"", tblPiNAnalysis[[#This Row],[Admin1PCODE]])),"")</f>
        <v>VenezolanosVE0506</v>
      </c>
      <c r="B240" s="105" t="s">
        <v>123</v>
      </c>
      <c r="C240" s="104" t="s">
        <v>179</v>
      </c>
      <c r="D240" s="119" t="s">
        <v>190</v>
      </c>
      <c r="E240" s="104" t="s">
        <v>191</v>
      </c>
      <c r="F240" s="358"/>
      <c r="G240" s="357">
        <v>49897</v>
      </c>
      <c r="H240" s="103" t="s">
        <v>102</v>
      </c>
      <c r="I240" s="60">
        <v>12096</v>
      </c>
      <c r="J240" s="134">
        <v>1580.0448921920083</v>
      </c>
      <c r="K240" s="57">
        <v>18212.404999999999</v>
      </c>
      <c r="L240" s="87">
        <v>7090.1834771293461</v>
      </c>
      <c r="M240" s="87">
        <v>9954.4292768645246</v>
      </c>
      <c r="N240" s="57">
        <v>0</v>
      </c>
      <c r="O240" s="57">
        <v>3195.3717978735122</v>
      </c>
      <c r="P240" s="57">
        <v>3484.0502469025832</v>
      </c>
      <c r="Q240" s="88">
        <f>IFERROR(IF(tblPiNAnalysis[[#This Row],[SAMV]]="", "", MROUND(tblPiNAnalysis[[#This Row],[SAMV]]/tblPiNAnalysis[[#This Row],[Población]], 0.05)), "")</f>
        <v>0.25</v>
      </c>
      <c r="R240" s="89">
        <f>IFERROR(IF(tblPiNAnalysis[[#This Row],[NUT]]="", "", MROUND(tblPiNAnalysis[[#This Row],[NUT]]/tblPiNAnalysis[[#This Row],[Población]], 0.05)), "")</f>
        <v>0.05</v>
      </c>
      <c r="S240" s="89">
        <f>IFERROR(IF(tblPiNAnalysis[[#This Row],[SAL]]="", "", MROUND(tblPiNAnalysis[[#This Row],[SAL]]/tblPiNAnalysis[[#This Row],[Población]], 0.05)), "")</f>
        <v>0.35000000000000003</v>
      </c>
      <c r="T240" s="89">
        <f>IFERROR(IF(tblPiNAnalysis[[#This Row],[EDU]]="", "", MROUND(tblPiNAnalysis[[#This Row],[EDU]]/tblPiNAnalysis[[#This Row],[Población]], 0.05)), "")</f>
        <v>0.15000000000000002</v>
      </c>
      <c r="U240" s="89">
        <f>IFERROR(IF(tblPiNAnalysis[[#This Row],[PRO]]="", "", MROUND(tblPiNAnalysis[[#This Row],[PRO]]/tblPiNAnalysis[[#This Row],[Población]], 0.05)), "")</f>
        <v>0.2</v>
      </c>
      <c r="V240" s="90">
        <f>IFERROR(IF(tblPiNAnalysis[[#This Row],[ASH]]="", "", MROUND(tblPiNAnalysis[[#This Row],[ASH]]/tblPiNAnalysis[[#This Row],[Población]], 0.05)), "")</f>
        <v>0</v>
      </c>
      <c r="W240" s="89">
        <f>IFERROR(MROUND(tblPiNAnalysis[[#This Row],[NNA]]/tblPiNAnalysis[[#This Row],[Población]], 0.05), "")</f>
        <v>0.05</v>
      </c>
      <c r="X240" s="89">
        <f>IFERROR(MROUND(tblPiNAnalysis[[#This Row],[VBG]]/tblPiNAnalysis[[#This Row],[Población]], 0.05), "")</f>
        <v>0.05</v>
      </c>
      <c r="Y240" s="91">
        <f>IFERROR(LARGE(tblPiNAnalysis[[#This Row],[SAMV]:[ASH]], 1), "")</f>
        <v>18212.404999999999</v>
      </c>
      <c r="Z240" s="92" t="str" cm="1">
        <f t="array" ref="Z240">IF(tblPiNAnalysis[[#This Row],[PiN más alto]]="", "", _xlfn.TEXTJOIN(CHAR(10), TRUE, IF(tblPiNAnalysis[[#This Row],[PiN más alto]]=tblPiNAnalysis[[#This Row],[SAMV]:[ASH]], tblPiNAnalysis[[#Headers],[SAMV]:[ASH]], "")))</f>
        <v>SAL</v>
      </c>
      <c r="AA240" s="93">
        <f>IF(tblPiNAnalysis[[#This Row],[PiN más alto]]="", "", tblPiNAnalysis[[#This Row],[PiN más alto]]/tblPiNAnalysis[[#This Row],[Población]])</f>
        <v>0.36499999999999999</v>
      </c>
      <c r="AB240" s="94" t="str">
        <f>IF(SUM(tblPiNAnalysis[[#This Row],[SAMV]:[ASH]])=0, "",IF(COUNTIF(tblPiNAnalysis[[#This Row],[SAMV]:[ASH]],"=0")+COUNTIF(tblPiNAnalysis[[#This Row],[SAMV]:[ASH]],"")&gt;=zero_pin_thresh, "Flagged", ""))</f>
        <v/>
      </c>
      <c r="AC240" s="95" t="str">
        <f>IFERROR(IF(tblPiNAnalysis[[#This Row],[PiN más alto]]="", "", IF(tblPiNAnalysis[[#This Row],[% PiN Sectores más altos]]&gt;=flag_pin_perc, "Flagged", "")), "")</f>
        <v/>
      </c>
      <c r="AD240" s="96" t="str" cm="1">
        <f t="array" ref="AD240">IF(tblPiNAnalysis[[#This Row],[PiN más alto]]=0, "",  IF(OR(COUNTIF(tblPiNAnalysis[[#This Row],[Sectores más altos]],tblSubSectorPopulation[Sector])), "Flagged", ""))</f>
        <v/>
      </c>
      <c r="AE240" s="16" cm="1">
        <f t="array" ref="AE24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12096</v>
      </c>
      <c r="AF240" s="97" t="str" cm="1">
        <f t="array" ref="AF240">IF(tblPiNAnalysis[[#This Row],[2º PiN más alto]]="", "", _xlfn.TEXTJOIN(CHAR(10), TRUE, IF(tblPiNAnalysis[[#This Row],[2º PiN más alto]]=tblPiNAnalysis[[#This Row],[SAMV]:[ASH]], tblPiNAnalysis[[#Headers],[SAMV]:[ASH]], "")))</f>
        <v>SAMV</v>
      </c>
      <c r="AG240" s="12">
        <f>IFERROR(tblPiNAnalysis[[#This Row],[2º PiN más alto]]/tblPiNAnalysis[[#This Row],[Población]], "")</f>
        <v>0.24241938393089765</v>
      </c>
      <c r="AH240" s="16">
        <f>IFERROR(tblPiNAnalysis[[#This Row],[PiN más alto]]-tblPiNAnalysis[[#This Row],[2º PiN más alto]], "")</f>
        <v>6116.4049999999988</v>
      </c>
      <c r="AI240" s="14">
        <f>IFERROR(((tblPiNAnalysis[[#This Row],[PiN más alto]]-tblPiNAnalysis[[#This Row],[2º PiN más alto]])/tblPiNAnalysis[[#This Row],[2º PiN más alto]]),"")</f>
        <v>0.50565517526455017</v>
      </c>
      <c r="AJ240" s="14" t="str" cm="1">
        <f t="array" ref="AJ24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40" s="98" cm="1">
        <f t="array" ref="AK24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9954.4292768645246</v>
      </c>
      <c r="AL240" s="53" t="str" cm="1">
        <f t="array" ref="AL240">IF(tblPiNAnalysis[[#This Row],[3º PiN más alto]]="", "", _xlfn.TEXTJOIN(CHAR(10), TRUE, IF(tblPiNAnalysis[[#This Row],[3º PiN más alto]]=tblPiNAnalysis[[#This Row],[SAMV]:[ASH]], tblPiNAnalysis[[#Headers],[SAMV]:[ASH]], "")))</f>
        <v>PRO</v>
      </c>
      <c r="AM240" s="53">
        <f>IFERROR(tblPiNAnalysis[[#This Row],[3º PiN más alto]]/tblPiNAnalysis[[#This Row],[Población]], "")</f>
        <v>0.19949955461980728</v>
      </c>
      <c r="AN240" s="15">
        <f>IFERROR(tblPiNAnalysis[[#This Row],[PiN más alto]]-tblPiNAnalysis[[#This Row],[3º PiN más alto]],"")</f>
        <v>8257.9757231354743</v>
      </c>
      <c r="AO240" s="14">
        <f>IFERROR(tblPiNAnalysis[[#This Row],[Diferencia de PiN entre el más alto y el 3º más alto]]/tblPiNAnalysis[[#This Row],[3º PiN más alto]], "")</f>
        <v>0.8295780193373975</v>
      </c>
      <c r="AP240" s="96" t="str" cm="1">
        <f t="array" ref="AP24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40" s="84" cm="1">
        <f t="array" ref="AQ240">IFERROR(IF(tblPiNAnalysis[[#This Row],[ID]]="", "", INDEX(tblPiNHistorical[[SAMV]:[ASH]], MATCH(tblPiNAnalysis[[#This Row],[ID]],tblPiNHistorical[ID], 0),MATCH(_xlfn._xlws.FILTER(tblPiNAnalysis[[#Headers],[SAMV]:[ASH]], tblPiNAnalysis[[#This Row],[PiN más alto]]=tblPiNAnalysis[[#This Row],[SAMV]:[ASH]]), tblPiNHistorical[[#Headers],[SAMV]:[ASH]], 0))), "")</f>
        <v>2.8</v>
      </c>
      <c r="AR240" s="99" t="str" cm="1">
        <f t="array" ref="AR24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40" s="74" cm="1">
        <f t="array" ref="AS240">IFERROR(IF(tblPiNAnalysis[[#This Row],[ID]]="", "", INDEX(tblPiNHistorical[[SAMV]:[ASH]], MATCH(tblPiNAnalysis[[#This Row],[ID]],tblPiNHistorical[ID], 0),MATCH(_xlfn._xlws.FILTER(tblPiNAnalysis[[#Headers],[SAMV]:[ASH]], tblPiNAnalysis[[#This Row],[2º PiN más alto]]=tblPiNAnalysis[[#This Row],[SAMV]:[ASH]]), tblPiNHistorical[[#Headers],[SAMV]:[ASH]], 0))), "")</f>
        <v>0.2</v>
      </c>
      <c r="AT240" s="100" t="str" cm="1">
        <f t="array" ref="AT24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40" s="219">
        <f>INDEX(tblSeverityAnalysis[Severidad final], MATCH(tblPiNAnalysis[[#This Row],[ID]],tblSeverityAnalysis[ID], 0))</f>
        <v>2</v>
      </c>
      <c r="AV240" s="220">
        <f>IF(tblPiNAnalysis[[#This Row],[Severidad]]&gt;2,tblPiNAnalysis[[#This Row],[PiN más alto]],)</f>
        <v>0</v>
      </c>
      <c r="AW240" s="54"/>
      <c r="AX240" s="55"/>
      <c r="AY240" s="56">
        <f>COUNTIFS(tblPiNAnalysis[[#This Row],[Número de PiN ausentes/cero superior al umbral - Calidad de los datos]:[Marcador manual]],"Flagged")</f>
        <v>3</v>
      </c>
      <c r="AZ240" s="34" t="str">
        <f>IF(tblPiNAnalysis[[#This Row],[Número de marcadores]]&gt;0, "Flagged", "")</f>
        <v>Flagged</v>
      </c>
      <c r="BA240" s="92">
        <f>tblPiNAnalysis[[#This Row],[PiN preliminar]]</f>
        <v>0</v>
      </c>
      <c r="BB240" s="97"/>
      <c r="BC240" s="70">
        <f>IFERROR(IF(tblPiNAnalysis[[#This Row],[Severidad]]=3,tblPiNAnalysis[[#This Row],[PiN final]]*Umbrales!$D$33,tblPiNAnalysis[[#This Row],[PiN final]]*Umbrales!$D$34),)</f>
        <v>0</v>
      </c>
      <c r="BD240" s="70">
        <f>IFERROR(IF(tblPiNAnalysis[[#This Row],[Severidad]]&gt;3,tblPiNAnalysis[[#This Row],[PiN final]]*Umbrales!$D$34,),)</f>
        <v>0</v>
      </c>
    </row>
    <row r="241" spans="1:56">
      <c r="A241" s="101" t="str">
        <f>IFERROR(_xlfn.CONCAT(IF(tblPiNAnalysis[[#This Row],[Grupo]]="", "",tblPiNAnalysis[[#This Row],[Grupo]] ),  _xlfn.IFS(tblPiNAnalysis[[#This Row],[Admin2PCODE]]&lt;&gt;"", tblPiNAnalysis[[#This Row],[Admin2PCODE]], tblPiNAnalysis[[#This Row],[Admin1PCODE]]&lt;&gt;"", tblPiNAnalysis[[#This Row],[Admin1PCODE]])),"")</f>
        <v>VenezolanosVE0507</v>
      </c>
      <c r="B241" s="105" t="s">
        <v>123</v>
      </c>
      <c r="C241" s="104" t="s">
        <v>179</v>
      </c>
      <c r="D241" s="119" t="s">
        <v>100</v>
      </c>
      <c r="E241" s="104" t="s">
        <v>192</v>
      </c>
      <c r="F241" s="358"/>
      <c r="G241" s="357">
        <v>116940</v>
      </c>
      <c r="H241" s="103" t="s">
        <v>102</v>
      </c>
      <c r="I241" s="60">
        <v>3248</v>
      </c>
      <c r="J241" s="134">
        <v>3566.8624968842641</v>
      </c>
      <c r="K241" s="57">
        <v>42683.1</v>
      </c>
      <c r="L241" s="87">
        <v>14318.871194062362</v>
      </c>
      <c r="M241" s="87">
        <v>23329.477917240263</v>
      </c>
      <c r="N241" s="57">
        <v>0</v>
      </c>
      <c r="O241" s="57">
        <v>7488.7624114341252</v>
      </c>
      <c r="P241" s="57">
        <v>8165.3172710340914</v>
      </c>
      <c r="Q241" s="88">
        <f>IFERROR(IF(tblPiNAnalysis[[#This Row],[SAMV]]="", "", MROUND(tblPiNAnalysis[[#This Row],[SAMV]]/tblPiNAnalysis[[#This Row],[Población]], 0.05)), "")</f>
        <v>0.05</v>
      </c>
      <c r="R241" s="89">
        <f>IFERROR(IF(tblPiNAnalysis[[#This Row],[NUT]]="", "", MROUND(tblPiNAnalysis[[#This Row],[NUT]]/tblPiNAnalysis[[#This Row],[Población]], 0.05)), "")</f>
        <v>0.05</v>
      </c>
      <c r="S241" s="89">
        <f>IFERROR(IF(tblPiNAnalysis[[#This Row],[SAL]]="", "", MROUND(tblPiNAnalysis[[#This Row],[SAL]]/tblPiNAnalysis[[#This Row],[Población]], 0.05)), "")</f>
        <v>0.35000000000000003</v>
      </c>
      <c r="T241" s="89">
        <f>IFERROR(IF(tblPiNAnalysis[[#This Row],[EDU]]="", "", MROUND(tblPiNAnalysis[[#This Row],[EDU]]/tblPiNAnalysis[[#This Row],[Población]], 0.05)), "")</f>
        <v>0.1</v>
      </c>
      <c r="U241" s="89">
        <f>IFERROR(IF(tblPiNAnalysis[[#This Row],[PRO]]="", "", MROUND(tblPiNAnalysis[[#This Row],[PRO]]/tblPiNAnalysis[[#This Row],[Población]], 0.05)), "")</f>
        <v>0.2</v>
      </c>
      <c r="V241" s="90">
        <f>IFERROR(IF(tblPiNAnalysis[[#This Row],[ASH]]="", "", MROUND(tblPiNAnalysis[[#This Row],[ASH]]/tblPiNAnalysis[[#This Row],[Población]], 0.05)), "")</f>
        <v>0</v>
      </c>
      <c r="W241" s="89">
        <f>IFERROR(MROUND(tblPiNAnalysis[[#This Row],[NNA]]/tblPiNAnalysis[[#This Row],[Población]], 0.05), "")</f>
        <v>0.05</v>
      </c>
      <c r="X241" s="89">
        <f>IFERROR(MROUND(tblPiNAnalysis[[#This Row],[VBG]]/tblPiNAnalysis[[#This Row],[Población]], 0.05), "")</f>
        <v>0.05</v>
      </c>
      <c r="Y241" s="91">
        <f>IFERROR(LARGE(tblPiNAnalysis[[#This Row],[SAMV]:[ASH]], 1), "")</f>
        <v>42683.1</v>
      </c>
      <c r="Z241" s="92" t="str" cm="1">
        <f t="array" ref="Z241">IF(tblPiNAnalysis[[#This Row],[PiN más alto]]="", "", _xlfn.TEXTJOIN(CHAR(10), TRUE, IF(tblPiNAnalysis[[#This Row],[PiN más alto]]=tblPiNAnalysis[[#This Row],[SAMV]:[ASH]], tblPiNAnalysis[[#Headers],[SAMV]:[ASH]], "")))</f>
        <v>SAL</v>
      </c>
      <c r="AA241" s="93">
        <f>IF(tblPiNAnalysis[[#This Row],[PiN más alto]]="", "", tblPiNAnalysis[[#This Row],[PiN más alto]]/tblPiNAnalysis[[#This Row],[Población]])</f>
        <v>0.36499999999999999</v>
      </c>
      <c r="AB241" s="94" t="str">
        <f>IF(SUM(tblPiNAnalysis[[#This Row],[SAMV]:[ASH]])=0, "",IF(COUNTIF(tblPiNAnalysis[[#This Row],[SAMV]:[ASH]],"=0")+COUNTIF(tblPiNAnalysis[[#This Row],[SAMV]:[ASH]],"")&gt;=zero_pin_thresh, "Flagged", ""))</f>
        <v/>
      </c>
      <c r="AC241" s="95" t="str">
        <f>IFERROR(IF(tblPiNAnalysis[[#This Row],[PiN más alto]]="", "", IF(tblPiNAnalysis[[#This Row],[% PiN Sectores más altos]]&gt;=flag_pin_perc, "Flagged", "")), "")</f>
        <v/>
      </c>
      <c r="AD241" s="96" t="str" cm="1">
        <f t="array" ref="AD241">IF(tblPiNAnalysis[[#This Row],[PiN más alto]]=0, "",  IF(OR(COUNTIF(tblPiNAnalysis[[#This Row],[Sectores más altos]],tblSubSectorPopulation[Sector])), "Flagged", ""))</f>
        <v/>
      </c>
      <c r="AE241" s="16" cm="1">
        <f t="array" ref="AE24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23329.477917240263</v>
      </c>
      <c r="AF241" s="97" t="str" cm="1">
        <f t="array" ref="AF241">IF(tblPiNAnalysis[[#This Row],[2º PiN más alto]]="", "", _xlfn.TEXTJOIN(CHAR(10), TRUE, IF(tblPiNAnalysis[[#This Row],[2º PiN más alto]]=tblPiNAnalysis[[#This Row],[SAMV]:[ASH]], tblPiNAnalysis[[#Headers],[SAMV]:[ASH]], "")))</f>
        <v>PRO</v>
      </c>
      <c r="AG241" s="12">
        <f>IFERROR(tblPiNAnalysis[[#This Row],[2º PiN más alto]]/tblPiNAnalysis[[#This Row],[Población]], "")</f>
        <v>0.19949955461980728</v>
      </c>
      <c r="AH241" s="16">
        <f>IFERROR(tblPiNAnalysis[[#This Row],[PiN más alto]]-tblPiNAnalysis[[#This Row],[2º PiN más alto]], "")</f>
        <v>19353.622082759735</v>
      </c>
      <c r="AI241" s="14">
        <f>IFERROR(((tblPiNAnalysis[[#This Row],[PiN más alto]]-tblPiNAnalysis[[#This Row],[2º PiN más alto]])/tblPiNAnalysis[[#This Row],[2º PiN más alto]]),"")</f>
        <v>0.82957801933739772</v>
      </c>
      <c r="AJ241" s="14" t="str" cm="1">
        <f t="array" ref="AJ24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41" s="98" cm="1">
        <f t="array" ref="AK24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14318.871194062362</v>
      </c>
      <c r="AL241" s="53" t="str" cm="1">
        <f t="array" ref="AL241">IF(tblPiNAnalysis[[#This Row],[3º PiN más alto]]="", "", _xlfn.TEXTJOIN(CHAR(10), TRUE, IF(tblPiNAnalysis[[#This Row],[3º PiN más alto]]=tblPiNAnalysis[[#This Row],[SAMV]:[ASH]], tblPiNAnalysis[[#Headers],[SAMV]:[ASH]], "")))</f>
        <v>EDU</v>
      </c>
      <c r="AM241" s="53">
        <f>IFERROR(tblPiNAnalysis[[#This Row],[3º PiN más alto]]/tblPiNAnalysis[[#This Row],[Población]], "")</f>
        <v>0.12244630745734875</v>
      </c>
      <c r="AN241" s="15">
        <f>IFERROR(tblPiNAnalysis[[#This Row],[PiN más alto]]-tblPiNAnalysis[[#This Row],[3º PiN más alto]],"")</f>
        <v>28364.228805937637</v>
      </c>
      <c r="AO241" s="14">
        <f>IFERROR(tblPiNAnalysis[[#This Row],[Diferencia de PiN entre el más alto y el 3º más alto]]/tblPiNAnalysis[[#This Row],[3º PiN más alto]], "")</f>
        <v>1.9808983837845748</v>
      </c>
      <c r="AP241" s="96" t="str" cm="1">
        <f t="array" ref="AP24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41" s="84" cm="1">
        <f t="array" ref="AQ241">IFERROR(IF(tblPiNAnalysis[[#This Row],[ID]]="", "", INDEX(tblPiNHistorical[[SAMV]:[ASH]], MATCH(tblPiNAnalysis[[#This Row],[ID]],tblPiNHistorical[ID], 0),MATCH(_xlfn._xlws.FILTER(tblPiNAnalysis[[#Headers],[SAMV]:[ASH]], tblPiNAnalysis[[#This Row],[PiN más alto]]=tblPiNAnalysis[[#This Row],[SAMV]:[ASH]]), tblPiNHistorical[[#Headers],[SAMV]:[ASH]], 0))), "")</f>
        <v>0.6</v>
      </c>
      <c r="AR241" s="99" t="str" cm="1">
        <f t="array" ref="AR24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41" s="74" cm="1">
        <f t="array" ref="AS241">IFERROR(IF(tblPiNAnalysis[[#This Row],[ID]]="", "", INDEX(tblPiNHistorical[[SAMV]:[ASH]], MATCH(tblPiNAnalysis[[#This Row],[ID]],tblPiNHistorical[ID], 0),MATCH(_xlfn._xlws.FILTER(tblPiNAnalysis[[#Headers],[SAMV]:[ASH]], tblPiNAnalysis[[#This Row],[2º PiN más alto]]=tblPiNAnalysis[[#This Row],[SAMV]:[ASH]]), tblPiNHistorical[[#Headers],[SAMV]:[ASH]], 0))), "")</f>
        <v>0.6</v>
      </c>
      <c r="AT241" s="100" t="str" cm="1">
        <f t="array" ref="AT24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41" s="219">
        <f>INDEX(tblSeverityAnalysis[Severidad final], MATCH(tblPiNAnalysis[[#This Row],[ID]],tblSeverityAnalysis[ID], 0))</f>
        <v>2</v>
      </c>
      <c r="AV241" s="220">
        <f>IF(tblPiNAnalysis[[#This Row],[Severidad]]&gt;2,tblPiNAnalysis[[#This Row],[PiN más alto]],)</f>
        <v>0</v>
      </c>
      <c r="AW241" s="54"/>
      <c r="AX241" s="55"/>
      <c r="AY241" s="56">
        <f>COUNTIFS(tblPiNAnalysis[[#This Row],[Número de PiN ausentes/cero superior al umbral - Calidad de los datos]:[Marcador manual]],"Flagged")</f>
        <v>2</v>
      </c>
      <c r="AZ241" s="34" t="str">
        <f>IF(tblPiNAnalysis[[#This Row],[Número de marcadores]]&gt;0, "Flagged", "")</f>
        <v>Flagged</v>
      </c>
      <c r="BA241" s="92">
        <f>tblPiNAnalysis[[#This Row],[PiN preliminar]]</f>
        <v>0</v>
      </c>
      <c r="BB241" s="97"/>
      <c r="BC241" s="70">
        <f>IFERROR(IF(tblPiNAnalysis[[#This Row],[Severidad]]=3,tblPiNAnalysis[[#This Row],[PiN final]]*Umbrales!$D$33,tblPiNAnalysis[[#This Row],[PiN final]]*Umbrales!$D$34),)</f>
        <v>0</v>
      </c>
      <c r="BD241" s="70">
        <f>IFERROR(IF(tblPiNAnalysis[[#This Row],[Severidad]]&gt;3,tblPiNAnalysis[[#This Row],[PiN final]]*Umbrales!$D$34,),)</f>
        <v>0</v>
      </c>
    </row>
    <row r="242" spans="1:56">
      <c r="A242" s="101" t="str">
        <f>IFERROR(_xlfn.CONCAT(IF(tblPiNAnalysis[[#This Row],[Grupo]]="", "",tblPiNAnalysis[[#This Row],[Grupo]] ),  _xlfn.IFS(tblPiNAnalysis[[#This Row],[Admin2PCODE]]&lt;&gt;"", tblPiNAnalysis[[#This Row],[Admin2PCODE]], tblPiNAnalysis[[#This Row],[Admin1PCODE]]&lt;&gt;"", tblPiNAnalysis[[#This Row],[Admin1PCODE]])),"")</f>
        <v>VenezolanosVE0511</v>
      </c>
      <c r="B242" s="105" t="s">
        <v>123</v>
      </c>
      <c r="C242" s="104" t="s">
        <v>179</v>
      </c>
      <c r="D242" s="119" t="s">
        <v>199</v>
      </c>
      <c r="E242" s="104" t="s">
        <v>200</v>
      </c>
      <c r="F242" s="358"/>
      <c r="G242" s="357">
        <v>215778</v>
      </c>
      <c r="H242" s="103" t="s">
        <v>102</v>
      </c>
      <c r="I242" s="60">
        <v>38884</v>
      </c>
      <c r="J242" s="134">
        <v>6392.629447164305</v>
      </c>
      <c r="K242" s="57">
        <v>78758.97</v>
      </c>
      <c r="L242" s="87">
        <v>30250.578094044064</v>
      </c>
      <c r="M242" s="87">
        <v>43047.614896752777</v>
      </c>
      <c r="N242" s="57">
        <v>0</v>
      </c>
      <c r="O242" s="57">
        <v>13775.236766960888</v>
      </c>
      <c r="P242" s="57">
        <v>15066.665213863471</v>
      </c>
      <c r="Q242" s="88">
        <f>IFERROR(IF(tblPiNAnalysis[[#This Row],[SAMV]]="", "", MROUND(tblPiNAnalysis[[#This Row],[SAMV]]/tblPiNAnalysis[[#This Row],[Población]], 0.05)), "")</f>
        <v>0.2</v>
      </c>
      <c r="R242" s="89">
        <f>IFERROR(IF(tblPiNAnalysis[[#This Row],[NUT]]="", "", MROUND(tblPiNAnalysis[[#This Row],[NUT]]/tblPiNAnalysis[[#This Row],[Población]], 0.05)), "")</f>
        <v>0.05</v>
      </c>
      <c r="S242" s="89">
        <f>IFERROR(IF(tblPiNAnalysis[[#This Row],[SAL]]="", "", MROUND(tblPiNAnalysis[[#This Row],[SAL]]/tblPiNAnalysis[[#This Row],[Población]], 0.05)), "")</f>
        <v>0.35000000000000003</v>
      </c>
      <c r="T242" s="89">
        <f>IFERROR(IF(tblPiNAnalysis[[#This Row],[EDU]]="", "", MROUND(tblPiNAnalysis[[#This Row],[EDU]]/tblPiNAnalysis[[#This Row],[Población]], 0.05)), "")</f>
        <v>0.15000000000000002</v>
      </c>
      <c r="U242" s="89">
        <f>IFERROR(IF(tblPiNAnalysis[[#This Row],[PRO]]="", "", MROUND(tblPiNAnalysis[[#This Row],[PRO]]/tblPiNAnalysis[[#This Row],[Población]], 0.05)), "")</f>
        <v>0.2</v>
      </c>
      <c r="V242" s="90">
        <f>IFERROR(IF(tblPiNAnalysis[[#This Row],[ASH]]="", "", MROUND(tblPiNAnalysis[[#This Row],[ASH]]/tblPiNAnalysis[[#This Row],[Población]], 0.05)), "")</f>
        <v>0</v>
      </c>
      <c r="W242" s="89">
        <f>IFERROR(MROUND(tblPiNAnalysis[[#This Row],[NNA]]/tblPiNAnalysis[[#This Row],[Población]], 0.05), "")</f>
        <v>0.05</v>
      </c>
      <c r="X242" s="89">
        <f>IFERROR(MROUND(tblPiNAnalysis[[#This Row],[VBG]]/tblPiNAnalysis[[#This Row],[Población]], 0.05), "")</f>
        <v>0.05</v>
      </c>
      <c r="Y242" s="91">
        <f>IFERROR(LARGE(tblPiNAnalysis[[#This Row],[SAMV]:[ASH]], 1), "")</f>
        <v>78758.97</v>
      </c>
      <c r="Z242" s="92" t="str" cm="1">
        <f t="array" ref="Z242">IF(tblPiNAnalysis[[#This Row],[PiN más alto]]="", "", _xlfn.TEXTJOIN(CHAR(10), TRUE, IF(tblPiNAnalysis[[#This Row],[PiN más alto]]=tblPiNAnalysis[[#This Row],[SAMV]:[ASH]], tblPiNAnalysis[[#Headers],[SAMV]:[ASH]], "")))</f>
        <v>SAL</v>
      </c>
      <c r="AA242" s="93">
        <f>IF(tblPiNAnalysis[[#This Row],[PiN más alto]]="", "", tblPiNAnalysis[[#This Row],[PiN más alto]]/tblPiNAnalysis[[#This Row],[Población]])</f>
        <v>0.36499999999999999</v>
      </c>
      <c r="AB242" s="94" t="str">
        <f>IF(SUM(tblPiNAnalysis[[#This Row],[SAMV]:[ASH]])=0, "",IF(COUNTIF(tblPiNAnalysis[[#This Row],[SAMV]:[ASH]],"=0")+COUNTIF(tblPiNAnalysis[[#This Row],[SAMV]:[ASH]],"")&gt;=zero_pin_thresh, "Flagged", ""))</f>
        <v/>
      </c>
      <c r="AC242" s="95" t="str">
        <f>IFERROR(IF(tblPiNAnalysis[[#This Row],[PiN más alto]]="", "", IF(tblPiNAnalysis[[#This Row],[% PiN Sectores más altos]]&gt;=flag_pin_perc, "Flagged", "")), "")</f>
        <v/>
      </c>
      <c r="AD242" s="96" t="str" cm="1">
        <f t="array" ref="AD242">IF(tblPiNAnalysis[[#This Row],[PiN más alto]]=0, "",  IF(OR(COUNTIF(tblPiNAnalysis[[#This Row],[Sectores más altos]],tblSubSectorPopulation[Sector])), "Flagged", ""))</f>
        <v/>
      </c>
      <c r="AE242" s="16" cm="1">
        <f t="array" ref="AE24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43047.614896752777</v>
      </c>
      <c r="AF242" s="97" t="str" cm="1">
        <f t="array" ref="AF242">IF(tblPiNAnalysis[[#This Row],[2º PiN más alto]]="", "", _xlfn.TEXTJOIN(CHAR(10), TRUE, IF(tblPiNAnalysis[[#This Row],[2º PiN más alto]]=tblPiNAnalysis[[#This Row],[SAMV]:[ASH]], tblPiNAnalysis[[#Headers],[SAMV]:[ASH]], "")))</f>
        <v>PRO</v>
      </c>
      <c r="AG242" s="12">
        <f>IFERROR(tblPiNAnalysis[[#This Row],[2º PiN más alto]]/tblPiNAnalysis[[#This Row],[Población]], "")</f>
        <v>0.19949955461980728</v>
      </c>
      <c r="AH242" s="16">
        <f>IFERROR(tblPiNAnalysis[[#This Row],[PiN más alto]]-tblPiNAnalysis[[#This Row],[2º PiN más alto]], "")</f>
        <v>35711.355103247224</v>
      </c>
      <c r="AI242" s="14">
        <f>IFERROR(((tblPiNAnalysis[[#This Row],[PiN más alto]]-tblPiNAnalysis[[#This Row],[2º PiN más alto]])/tblPiNAnalysis[[#This Row],[2º PiN más alto]]),"")</f>
        <v>0.82957801933739772</v>
      </c>
      <c r="AJ242" s="14" t="str" cm="1">
        <f t="array" ref="AJ24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42" s="98" cm="1">
        <f t="array" ref="AK24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38884</v>
      </c>
      <c r="AL242" s="53" t="str" cm="1">
        <f t="array" ref="AL242">IF(tblPiNAnalysis[[#This Row],[3º PiN más alto]]="", "", _xlfn.TEXTJOIN(CHAR(10), TRUE, IF(tblPiNAnalysis[[#This Row],[3º PiN más alto]]=tblPiNAnalysis[[#This Row],[SAMV]:[ASH]], tblPiNAnalysis[[#Headers],[SAMV]:[ASH]], "")))</f>
        <v>SAMV</v>
      </c>
      <c r="AM242" s="53">
        <f>IFERROR(tblPiNAnalysis[[#This Row],[3º PiN más alto]]/tblPiNAnalysis[[#This Row],[Población]], "")</f>
        <v>0.18020372790553255</v>
      </c>
      <c r="AN242" s="15">
        <f>IFERROR(tblPiNAnalysis[[#This Row],[PiN más alto]]-tblPiNAnalysis[[#This Row],[3º PiN más alto]],"")</f>
        <v>39874.97</v>
      </c>
      <c r="AO242" s="14">
        <f>IFERROR(tblPiNAnalysis[[#This Row],[Diferencia de PiN entre el más alto y el 3º más alto]]/tblPiNAnalysis[[#This Row],[3º PiN más alto]], "")</f>
        <v>1.0254852895792614</v>
      </c>
      <c r="AP242" s="96" t="str" cm="1">
        <f t="array" ref="AP24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42" s="84" cm="1">
        <f t="array" ref="AQ242">IFERROR(IF(tblPiNAnalysis[[#This Row],[ID]]="", "", INDEX(tblPiNHistorical[[SAMV]:[ASH]], MATCH(tblPiNAnalysis[[#This Row],[ID]],tblPiNHistorical[ID], 0),MATCH(_xlfn._xlws.FILTER(tblPiNAnalysis[[#Headers],[SAMV]:[ASH]], tblPiNAnalysis[[#This Row],[PiN más alto]]=tblPiNAnalysis[[#This Row],[SAMV]:[ASH]]), tblPiNHistorical[[#Headers],[SAMV]:[ASH]], 0))), "")</f>
        <v>-0.3</v>
      </c>
      <c r="AR242" s="99" t="str" cm="1">
        <f t="array" ref="AR24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42" s="74" cm="1">
        <f t="array" ref="AS242">IFERROR(IF(tblPiNAnalysis[[#This Row],[ID]]="", "", INDEX(tblPiNHistorical[[SAMV]:[ASH]], MATCH(tblPiNAnalysis[[#This Row],[ID]],tblPiNHistorical[ID], 0),MATCH(_xlfn._xlws.FILTER(tblPiNAnalysis[[#Headers],[SAMV]:[ASH]], tblPiNAnalysis[[#This Row],[2º PiN más alto]]=tblPiNAnalysis[[#This Row],[SAMV]:[ASH]]), tblPiNHistorical[[#Headers],[SAMV]:[ASH]], 0))), "")</f>
        <v>0</v>
      </c>
      <c r="AT242" s="100" t="str" cm="1">
        <f t="array" ref="AT24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42" s="219">
        <f>INDEX(tblSeverityAnalysis[Severidad final], MATCH(tblPiNAnalysis[[#This Row],[ID]],tblSeverityAnalysis[ID], 0))</f>
        <v>2</v>
      </c>
      <c r="AV242" s="220">
        <f>IF(tblPiNAnalysis[[#This Row],[Severidad]]&gt;2,tblPiNAnalysis[[#This Row],[PiN más alto]],)</f>
        <v>0</v>
      </c>
      <c r="AW242" s="54"/>
      <c r="AX242" s="55"/>
      <c r="AY242" s="56">
        <f>COUNTIFS(tblPiNAnalysis[[#This Row],[Número de PiN ausentes/cero superior al umbral - Calidad de los datos]:[Marcador manual]],"Flagged")</f>
        <v>2</v>
      </c>
      <c r="AZ242" s="34" t="str">
        <f>IF(tblPiNAnalysis[[#This Row],[Número de marcadores]]&gt;0, "Flagged", "")</f>
        <v>Flagged</v>
      </c>
      <c r="BA242" s="92">
        <f>tblPiNAnalysis[[#This Row],[PiN preliminar]]</f>
        <v>0</v>
      </c>
      <c r="BB242" s="97"/>
      <c r="BC242" s="70">
        <f>IFERROR(IF(tblPiNAnalysis[[#This Row],[Severidad]]=3,tblPiNAnalysis[[#This Row],[PiN final]]*Umbrales!$D$33,tblPiNAnalysis[[#This Row],[PiN final]]*Umbrales!$D$34),)</f>
        <v>0</v>
      </c>
      <c r="BD242" s="70">
        <f>IFERROR(IF(tblPiNAnalysis[[#This Row],[Severidad]]&gt;3,tblPiNAnalysis[[#This Row],[PiN final]]*Umbrales!$D$34,),)</f>
        <v>0</v>
      </c>
    </row>
    <row r="243" spans="1:56">
      <c r="A243" s="101" t="str">
        <f>IFERROR(_xlfn.CONCAT(IF(tblPiNAnalysis[[#This Row],[Grupo]]="", "",tblPiNAnalysis[[#This Row],[Grupo]] ),  _xlfn.IFS(tblPiNAnalysis[[#This Row],[Admin2PCODE]]&lt;&gt;"", tblPiNAnalysis[[#This Row],[Admin2PCODE]], tblPiNAnalysis[[#This Row],[Admin1PCODE]]&lt;&gt;"", tblPiNAnalysis[[#This Row],[Admin1PCODE]])),"")</f>
        <v>VenezolanosVE0513</v>
      </c>
      <c r="B243" s="105" t="s">
        <v>123</v>
      </c>
      <c r="C243" s="104" t="s">
        <v>179</v>
      </c>
      <c r="D243" s="119" t="s">
        <v>203</v>
      </c>
      <c r="E243" s="104" t="s">
        <v>204</v>
      </c>
      <c r="F243" s="358"/>
      <c r="G243" s="357">
        <v>117097</v>
      </c>
      <c r="H243" s="103" t="s">
        <v>102</v>
      </c>
      <c r="I243" s="60">
        <v>2602</v>
      </c>
      <c r="J243" s="134">
        <v>2820.5739515941978</v>
      </c>
      <c r="K243" s="57">
        <v>42740.404999999999</v>
      </c>
      <c r="L243" s="87">
        <v>13587.822532323293</v>
      </c>
      <c r="M243" s="87">
        <v>23360.799347315569</v>
      </c>
      <c r="N243" s="57">
        <v>0</v>
      </c>
      <c r="O243" s="57">
        <v>7498.8165904882981</v>
      </c>
      <c r="P243" s="57">
        <v>8176.2797715604493</v>
      </c>
      <c r="Q243" s="88">
        <f>IFERROR(IF(tblPiNAnalysis[[#This Row],[SAMV]]="", "", MROUND(tblPiNAnalysis[[#This Row],[SAMV]]/tblPiNAnalysis[[#This Row],[Población]], 0.05)), "")</f>
        <v>0</v>
      </c>
      <c r="R243" s="89">
        <f>IFERROR(IF(tblPiNAnalysis[[#This Row],[NUT]]="", "", MROUND(tblPiNAnalysis[[#This Row],[NUT]]/tblPiNAnalysis[[#This Row],[Población]], 0.05)), "")</f>
        <v>0</v>
      </c>
      <c r="S243" s="89">
        <f>IFERROR(IF(tblPiNAnalysis[[#This Row],[SAL]]="", "", MROUND(tblPiNAnalysis[[#This Row],[SAL]]/tblPiNAnalysis[[#This Row],[Población]], 0.05)), "")</f>
        <v>0.35000000000000003</v>
      </c>
      <c r="T243" s="89">
        <f>IFERROR(IF(tblPiNAnalysis[[#This Row],[EDU]]="", "", MROUND(tblPiNAnalysis[[#This Row],[EDU]]/tblPiNAnalysis[[#This Row],[Población]], 0.05)), "")</f>
        <v>0.1</v>
      </c>
      <c r="U243" s="89">
        <f>IFERROR(IF(tblPiNAnalysis[[#This Row],[PRO]]="", "", MROUND(tblPiNAnalysis[[#This Row],[PRO]]/tblPiNAnalysis[[#This Row],[Población]], 0.05)), "")</f>
        <v>0.2</v>
      </c>
      <c r="V243" s="90">
        <f>IFERROR(IF(tblPiNAnalysis[[#This Row],[ASH]]="", "", MROUND(tblPiNAnalysis[[#This Row],[ASH]]/tblPiNAnalysis[[#This Row],[Población]], 0.05)), "")</f>
        <v>0</v>
      </c>
      <c r="W243" s="89">
        <f>IFERROR(MROUND(tblPiNAnalysis[[#This Row],[NNA]]/tblPiNAnalysis[[#This Row],[Población]], 0.05), "")</f>
        <v>0.05</v>
      </c>
      <c r="X243" s="89">
        <f>IFERROR(MROUND(tblPiNAnalysis[[#This Row],[VBG]]/tblPiNAnalysis[[#This Row],[Población]], 0.05), "")</f>
        <v>0.05</v>
      </c>
      <c r="Y243" s="91">
        <f>IFERROR(LARGE(tblPiNAnalysis[[#This Row],[SAMV]:[ASH]], 1), "")</f>
        <v>42740.404999999999</v>
      </c>
      <c r="Z243" s="92" t="str" cm="1">
        <f t="array" ref="Z243">IF(tblPiNAnalysis[[#This Row],[PiN más alto]]="", "", _xlfn.TEXTJOIN(CHAR(10), TRUE, IF(tblPiNAnalysis[[#This Row],[PiN más alto]]=tblPiNAnalysis[[#This Row],[SAMV]:[ASH]], tblPiNAnalysis[[#Headers],[SAMV]:[ASH]], "")))</f>
        <v>SAL</v>
      </c>
      <c r="AA243" s="93">
        <f>IF(tblPiNAnalysis[[#This Row],[PiN más alto]]="", "", tblPiNAnalysis[[#This Row],[PiN más alto]]/tblPiNAnalysis[[#This Row],[Población]])</f>
        <v>0.36499999999999999</v>
      </c>
      <c r="AB243" s="94" t="str">
        <f>IF(SUM(tblPiNAnalysis[[#This Row],[SAMV]:[ASH]])=0, "",IF(COUNTIF(tblPiNAnalysis[[#This Row],[SAMV]:[ASH]],"=0")+COUNTIF(tblPiNAnalysis[[#This Row],[SAMV]:[ASH]],"")&gt;=zero_pin_thresh, "Flagged", ""))</f>
        <v/>
      </c>
      <c r="AC243" s="95" t="str">
        <f>IFERROR(IF(tblPiNAnalysis[[#This Row],[PiN más alto]]="", "", IF(tblPiNAnalysis[[#This Row],[% PiN Sectores más altos]]&gt;=flag_pin_perc, "Flagged", "")), "")</f>
        <v/>
      </c>
      <c r="AD243" s="96" t="str" cm="1">
        <f t="array" ref="AD243">IF(tblPiNAnalysis[[#This Row],[PiN más alto]]=0, "",  IF(OR(COUNTIF(tblPiNAnalysis[[#This Row],[Sectores más altos]],tblSubSectorPopulation[Sector])), "Flagged", ""))</f>
        <v/>
      </c>
      <c r="AE243" s="16" cm="1">
        <f t="array" ref="AE24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23360.799347315569</v>
      </c>
      <c r="AF243" s="97" t="str" cm="1">
        <f t="array" ref="AF243">IF(tblPiNAnalysis[[#This Row],[2º PiN más alto]]="", "", _xlfn.TEXTJOIN(CHAR(10), TRUE, IF(tblPiNAnalysis[[#This Row],[2º PiN más alto]]=tblPiNAnalysis[[#This Row],[SAMV]:[ASH]], tblPiNAnalysis[[#Headers],[SAMV]:[ASH]], "")))</f>
        <v>PRO</v>
      </c>
      <c r="AG243" s="12">
        <f>IFERROR(tblPiNAnalysis[[#This Row],[2º PiN más alto]]/tblPiNAnalysis[[#This Row],[Población]], "")</f>
        <v>0.19949955461980726</v>
      </c>
      <c r="AH243" s="16">
        <f>IFERROR(tblPiNAnalysis[[#This Row],[PiN más alto]]-tblPiNAnalysis[[#This Row],[2º PiN más alto]], "")</f>
        <v>19379.60565268443</v>
      </c>
      <c r="AI243" s="14">
        <f>IFERROR(((tblPiNAnalysis[[#This Row],[PiN más alto]]-tblPiNAnalysis[[#This Row],[2º PiN más alto]])/tblPiNAnalysis[[#This Row],[2º PiN más alto]]),"")</f>
        <v>0.82957801933739794</v>
      </c>
      <c r="AJ243" s="14" t="str" cm="1">
        <f t="array" ref="AJ24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43" s="98" cm="1">
        <f t="array" ref="AK24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13587.822532323293</v>
      </c>
      <c r="AL243" s="53" t="str" cm="1">
        <f t="array" ref="AL243">IF(tblPiNAnalysis[[#This Row],[3º PiN más alto]]="", "", _xlfn.TEXTJOIN(CHAR(10), TRUE, IF(tblPiNAnalysis[[#This Row],[3º PiN más alto]]=tblPiNAnalysis[[#This Row],[SAMV]:[ASH]], tblPiNAnalysis[[#Headers],[SAMV]:[ASH]], "")))</f>
        <v>EDU</v>
      </c>
      <c r="AM243" s="53">
        <f>IFERROR(tblPiNAnalysis[[#This Row],[3º PiN más alto]]/tblPiNAnalysis[[#This Row],[Población]], "")</f>
        <v>0.1160390320189526</v>
      </c>
      <c r="AN243" s="15">
        <f>IFERROR(tblPiNAnalysis[[#This Row],[PiN más alto]]-tblPiNAnalysis[[#This Row],[3º PiN más alto]],"")</f>
        <v>29152.582467676708</v>
      </c>
      <c r="AO243" s="14">
        <f>IFERROR(tblPiNAnalysis[[#This Row],[Diferencia de PiN entre el más alto y el 3º más alto]]/tblPiNAnalysis[[#This Row],[3º PiN más alto]], "")</f>
        <v>2.1454933193546868</v>
      </c>
      <c r="AP243" s="96" t="str" cm="1">
        <f t="array" ref="AP24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43" s="84" cm="1">
        <f t="array" ref="AQ243">IFERROR(IF(tblPiNAnalysis[[#This Row],[ID]]="", "", INDEX(tblPiNHistorical[[SAMV]:[ASH]], MATCH(tblPiNAnalysis[[#This Row],[ID]],tblPiNHistorical[ID], 0),MATCH(_xlfn._xlws.FILTER(tblPiNAnalysis[[#Headers],[SAMV]:[ASH]], tblPiNAnalysis[[#This Row],[PiN más alto]]=tblPiNAnalysis[[#This Row],[SAMV]:[ASH]]), tblPiNHistorical[[#Headers],[SAMV]:[ASH]], 0))), "")</f>
        <v>0.5</v>
      </c>
      <c r="AR243" s="99" t="str" cm="1">
        <f t="array" ref="AR24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43" s="74" cm="1">
        <f t="array" ref="AS243">IFERROR(IF(tblPiNAnalysis[[#This Row],[ID]]="", "", INDEX(tblPiNHistorical[[SAMV]:[ASH]], MATCH(tblPiNAnalysis[[#This Row],[ID]],tblPiNHistorical[ID], 0),MATCH(_xlfn._xlws.FILTER(tblPiNAnalysis[[#Headers],[SAMV]:[ASH]], tblPiNAnalysis[[#This Row],[2º PiN más alto]]=tblPiNAnalysis[[#This Row],[SAMV]:[ASH]]), tblPiNHistorical[[#Headers],[SAMV]:[ASH]], 0))), "")</f>
        <v>0.2</v>
      </c>
      <c r="AT243" s="100" t="str" cm="1">
        <f t="array" ref="AT24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43" s="219">
        <f>INDEX(tblSeverityAnalysis[Severidad final], MATCH(tblPiNAnalysis[[#This Row],[ID]],tblSeverityAnalysis[ID], 0))</f>
        <v>2</v>
      </c>
      <c r="AV243" s="220">
        <f>IF(tblPiNAnalysis[[#This Row],[Severidad]]&gt;2,tblPiNAnalysis[[#This Row],[PiN más alto]],)</f>
        <v>0</v>
      </c>
      <c r="AW243" s="54"/>
      <c r="AX243" s="55"/>
      <c r="AY243" s="56">
        <f>COUNTIFS(tblPiNAnalysis[[#This Row],[Número de PiN ausentes/cero superior al umbral - Calidad de los datos]:[Marcador manual]],"Flagged")</f>
        <v>2</v>
      </c>
      <c r="AZ243" s="34" t="str">
        <f>IF(tblPiNAnalysis[[#This Row],[Número de marcadores]]&gt;0, "Flagged", "")</f>
        <v>Flagged</v>
      </c>
      <c r="BA243" s="92">
        <f>tblPiNAnalysis[[#This Row],[PiN preliminar]]</f>
        <v>0</v>
      </c>
      <c r="BB243" s="97"/>
      <c r="BC243" s="70">
        <f>IFERROR(IF(tblPiNAnalysis[[#This Row],[Severidad]]=3,tblPiNAnalysis[[#This Row],[PiN final]]*Umbrales!$D$33,tblPiNAnalysis[[#This Row],[PiN final]]*Umbrales!$D$34),)</f>
        <v>0</v>
      </c>
      <c r="BD243" s="70">
        <f>IFERROR(IF(tblPiNAnalysis[[#This Row],[Severidad]]&gt;3,tblPiNAnalysis[[#This Row],[PiN final]]*Umbrales!$D$34,),)</f>
        <v>0</v>
      </c>
    </row>
    <row r="244" spans="1:56">
      <c r="A244" s="101" t="str">
        <f>IFERROR(_xlfn.CONCAT(IF(tblPiNAnalysis[[#This Row],[Grupo]]="", "",tblPiNAnalysis[[#This Row],[Grupo]] ),  _xlfn.IFS(tblPiNAnalysis[[#This Row],[Admin2PCODE]]&lt;&gt;"", tblPiNAnalysis[[#This Row],[Admin2PCODE]], tblPiNAnalysis[[#This Row],[Admin1PCODE]]&lt;&gt;"", tblPiNAnalysis[[#This Row],[Admin1PCODE]])),"")</f>
        <v>VenezolanosVE0514</v>
      </c>
      <c r="B244" s="105" t="s">
        <v>123</v>
      </c>
      <c r="C244" s="104" t="s">
        <v>179</v>
      </c>
      <c r="D244" s="119" t="s">
        <v>205</v>
      </c>
      <c r="E244" s="104" t="s">
        <v>206</v>
      </c>
      <c r="F244" s="358"/>
      <c r="G244" s="357">
        <v>14481</v>
      </c>
      <c r="H244" s="103" t="s">
        <v>102</v>
      </c>
      <c r="I244" s="60">
        <v>3017</v>
      </c>
      <c r="J244" s="134">
        <v>408.07836554268766</v>
      </c>
      <c r="K244" s="57">
        <v>6300</v>
      </c>
      <c r="L244" s="87">
        <v>625.55238667151411</v>
      </c>
      <c r="M244" s="87">
        <v>2888.9530504494292</v>
      </c>
      <c r="N244" s="57">
        <v>0</v>
      </c>
      <c r="O244" s="57">
        <v>924.46497614381735</v>
      </c>
      <c r="P244" s="57">
        <v>1011.1335676573002</v>
      </c>
      <c r="Q244" s="88">
        <f>IFERROR(IF(tblPiNAnalysis[[#This Row],[SAMV]]="", "", MROUND(tblPiNAnalysis[[#This Row],[SAMV]]/tblPiNAnalysis[[#This Row],[Población]], 0.05)), "")</f>
        <v>0.2</v>
      </c>
      <c r="R244" s="89">
        <f>IFERROR(IF(tblPiNAnalysis[[#This Row],[NUT]]="", "", MROUND(tblPiNAnalysis[[#This Row],[NUT]]/tblPiNAnalysis[[#This Row],[Población]], 0.05)), "")</f>
        <v>0.05</v>
      </c>
      <c r="S244" s="89">
        <f>IFERROR(IF(tblPiNAnalysis[[#This Row],[SAL]]="", "", MROUND(tblPiNAnalysis[[#This Row],[SAL]]/tblPiNAnalysis[[#This Row],[Población]], 0.05)), "")</f>
        <v>0.45</v>
      </c>
      <c r="T244" s="89">
        <f>IFERROR(IF(tblPiNAnalysis[[#This Row],[EDU]]="", "", MROUND(tblPiNAnalysis[[#This Row],[EDU]]/tblPiNAnalysis[[#This Row],[Población]], 0.05)), "")</f>
        <v>0.05</v>
      </c>
      <c r="U244" s="89">
        <f>IFERROR(IF(tblPiNAnalysis[[#This Row],[PRO]]="", "", MROUND(tblPiNAnalysis[[#This Row],[PRO]]/tblPiNAnalysis[[#This Row],[Población]], 0.05)), "")</f>
        <v>0.2</v>
      </c>
      <c r="V244" s="90">
        <f>IFERROR(IF(tblPiNAnalysis[[#This Row],[ASH]]="", "", MROUND(tblPiNAnalysis[[#This Row],[ASH]]/tblPiNAnalysis[[#This Row],[Población]], 0.05)), "")</f>
        <v>0</v>
      </c>
      <c r="W244" s="89">
        <f>IFERROR(MROUND(tblPiNAnalysis[[#This Row],[NNA]]/tblPiNAnalysis[[#This Row],[Población]], 0.05), "")</f>
        <v>0.05</v>
      </c>
      <c r="X244" s="89">
        <f>IFERROR(MROUND(tblPiNAnalysis[[#This Row],[VBG]]/tblPiNAnalysis[[#This Row],[Población]], 0.05), "")</f>
        <v>0.05</v>
      </c>
      <c r="Y244" s="91">
        <f>IFERROR(LARGE(tblPiNAnalysis[[#This Row],[SAMV]:[ASH]], 1), "")</f>
        <v>6300</v>
      </c>
      <c r="Z244" s="92" t="str" cm="1">
        <f t="array" ref="Z244">IF(tblPiNAnalysis[[#This Row],[PiN más alto]]="", "", _xlfn.TEXTJOIN(CHAR(10), TRUE, IF(tblPiNAnalysis[[#This Row],[PiN más alto]]=tblPiNAnalysis[[#This Row],[SAMV]:[ASH]], tblPiNAnalysis[[#Headers],[SAMV]:[ASH]], "")))</f>
        <v>SAL</v>
      </c>
      <c r="AA244" s="93">
        <f>IF(tblPiNAnalysis[[#This Row],[PiN más alto]]="", "", tblPiNAnalysis[[#This Row],[PiN más alto]]/tblPiNAnalysis[[#This Row],[Población]])</f>
        <v>0.43505282784338101</v>
      </c>
      <c r="AB244" s="94" t="str">
        <f>IF(SUM(tblPiNAnalysis[[#This Row],[SAMV]:[ASH]])=0, "",IF(COUNTIF(tblPiNAnalysis[[#This Row],[SAMV]:[ASH]],"=0")+COUNTIF(tblPiNAnalysis[[#This Row],[SAMV]:[ASH]],"")&gt;=zero_pin_thresh, "Flagged", ""))</f>
        <v/>
      </c>
      <c r="AC244" s="95" t="str">
        <f>IFERROR(IF(tblPiNAnalysis[[#This Row],[PiN más alto]]="", "", IF(tblPiNAnalysis[[#This Row],[% PiN Sectores más altos]]&gt;=flag_pin_perc, "Flagged", "")), "")</f>
        <v/>
      </c>
      <c r="AD244" s="96" t="str" cm="1">
        <f t="array" ref="AD244">IF(tblPiNAnalysis[[#This Row],[PiN más alto]]=0, "",  IF(OR(COUNTIF(tblPiNAnalysis[[#This Row],[Sectores más altos]],tblSubSectorPopulation[Sector])), "Flagged", ""))</f>
        <v/>
      </c>
      <c r="AE244" s="16" cm="1">
        <f t="array" ref="AE24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3017</v>
      </c>
      <c r="AF244" s="97" t="str" cm="1">
        <f t="array" ref="AF244">IF(tblPiNAnalysis[[#This Row],[2º PiN más alto]]="", "", _xlfn.TEXTJOIN(CHAR(10), TRUE, IF(tblPiNAnalysis[[#This Row],[2º PiN más alto]]=tblPiNAnalysis[[#This Row],[SAMV]:[ASH]], tblPiNAnalysis[[#Headers],[SAMV]:[ASH]], "")))</f>
        <v>SAMV</v>
      </c>
      <c r="AG244" s="12">
        <f>IFERROR(tblPiNAnalysis[[#This Row],[2º PiN más alto]]/tblPiNAnalysis[[#This Row],[Población]], "")</f>
        <v>0.20834196533388577</v>
      </c>
      <c r="AH244" s="16">
        <f>IFERROR(tblPiNAnalysis[[#This Row],[PiN más alto]]-tblPiNAnalysis[[#This Row],[2º PiN más alto]], "")</f>
        <v>3283</v>
      </c>
      <c r="AI244" s="14">
        <f>IFERROR(((tblPiNAnalysis[[#This Row],[PiN más alto]]-tblPiNAnalysis[[#This Row],[2º PiN más alto]])/tblPiNAnalysis[[#This Row],[2º PiN más alto]]),"")</f>
        <v>1.0881670533642691</v>
      </c>
      <c r="AJ244" s="14" t="str" cm="1">
        <f t="array" ref="AJ24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44" s="98" cm="1">
        <f t="array" ref="AK24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2888.9530504494292</v>
      </c>
      <c r="AL244" s="53" t="str" cm="1">
        <f t="array" ref="AL244">IF(tblPiNAnalysis[[#This Row],[3º PiN más alto]]="", "", _xlfn.TEXTJOIN(CHAR(10), TRUE, IF(tblPiNAnalysis[[#This Row],[3º PiN más alto]]=tblPiNAnalysis[[#This Row],[SAMV]:[ASH]], tblPiNAnalysis[[#Headers],[SAMV]:[ASH]], "")))</f>
        <v>PRO</v>
      </c>
      <c r="AM244" s="53">
        <f>IFERROR(tblPiNAnalysis[[#This Row],[3º PiN más alto]]/tblPiNAnalysis[[#This Row],[Población]], "")</f>
        <v>0.19949955461980728</v>
      </c>
      <c r="AN244" s="15">
        <f>IFERROR(tblPiNAnalysis[[#This Row],[PiN más alto]]-tblPiNAnalysis[[#This Row],[3º PiN más alto]],"")</f>
        <v>3411.0469495505708</v>
      </c>
      <c r="AO244" s="14">
        <f>IFERROR(tblPiNAnalysis[[#This Row],[Diferencia de PiN entre el más alto y el 3º más alto]]/tblPiNAnalysis[[#This Row],[3º PiN más alto]], "")</f>
        <v>1.1807207974597997</v>
      </c>
      <c r="AP244" s="96" t="str" cm="1">
        <f t="array" ref="AP24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44" s="84" cm="1">
        <f t="array" ref="AQ244">IFERROR(IF(tblPiNAnalysis[[#This Row],[ID]]="", "", INDEX(tblPiNHistorical[[SAMV]:[ASH]], MATCH(tblPiNAnalysis[[#This Row],[ID]],tblPiNHistorical[ID], 0),MATCH(_xlfn._xlws.FILTER(tblPiNAnalysis[[#Headers],[SAMV]:[ASH]], tblPiNAnalysis[[#This Row],[PiN más alto]]=tblPiNAnalysis[[#This Row],[SAMV]:[ASH]]), tblPiNHistorical[[#Headers],[SAMV]:[ASH]], 0))), "")</f>
        <v>6.2</v>
      </c>
      <c r="AR244" s="99" t="str" cm="1">
        <f t="array" ref="AR24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44" s="74" cm="1">
        <f t="array" ref="AS244">IFERROR(IF(tblPiNAnalysis[[#This Row],[ID]]="", "", INDEX(tblPiNHistorical[[SAMV]:[ASH]], MATCH(tblPiNAnalysis[[#This Row],[ID]],tblPiNHistorical[ID], 0),MATCH(_xlfn._xlws.FILTER(tblPiNAnalysis[[#Headers],[SAMV]:[ASH]], tblPiNAnalysis[[#This Row],[2º PiN más alto]]=tblPiNAnalysis[[#This Row],[SAMV]:[ASH]]), tblPiNHistorical[[#Headers],[SAMV]:[ASH]], 0))), "")</f>
        <v>0.1</v>
      </c>
      <c r="AT244" s="100" t="str" cm="1">
        <f t="array" ref="AT24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44" s="219">
        <f>INDEX(tblSeverityAnalysis[Severidad final], MATCH(tblPiNAnalysis[[#This Row],[ID]],tblSeverityAnalysis[ID], 0))</f>
        <v>1</v>
      </c>
      <c r="AV244" s="220">
        <f>IF(tblPiNAnalysis[[#This Row],[Severidad]]&gt;2,tblPiNAnalysis[[#This Row],[PiN más alto]],)</f>
        <v>0</v>
      </c>
      <c r="AW244" s="54"/>
      <c r="AX244" s="55"/>
      <c r="AY244" s="56">
        <f>COUNTIFS(tblPiNAnalysis[[#This Row],[Número de PiN ausentes/cero superior al umbral - Calidad de los datos]:[Marcador manual]],"Flagged")</f>
        <v>3</v>
      </c>
      <c r="AZ244" s="34" t="str">
        <f>IF(tblPiNAnalysis[[#This Row],[Número de marcadores]]&gt;0, "Flagged", "")</f>
        <v>Flagged</v>
      </c>
      <c r="BA244" s="92">
        <f>tblPiNAnalysis[[#This Row],[PiN preliminar]]</f>
        <v>0</v>
      </c>
      <c r="BB244" s="97"/>
      <c r="BC244" s="70">
        <f>IFERROR(IF(tblPiNAnalysis[[#This Row],[Severidad]]=3,tblPiNAnalysis[[#This Row],[PiN final]]*Umbrales!$D$33,tblPiNAnalysis[[#This Row],[PiN final]]*Umbrales!$D$34),)</f>
        <v>0</v>
      </c>
      <c r="BD244" s="70">
        <f>IFERROR(IF(tblPiNAnalysis[[#This Row],[Severidad]]&gt;3,tblPiNAnalysis[[#This Row],[PiN final]]*Umbrales!$D$34,),)</f>
        <v>0</v>
      </c>
    </row>
    <row r="245" spans="1:56">
      <c r="A245" s="101" t="str">
        <f>IFERROR(_xlfn.CONCAT(IF(tblPiNAnalysis[[#This Row],[Grupo]]="", "",tblPiNAnalysis[[#This Row],[Grupo]] ),  _xlfn.IFS(tblPiNAnalysis[[#This Row],[Admin2PCODE]]&lt;&gt;"", tblPiNAnalysis[[#This Row],[Admin2PCODE]], tblPiNAnalysis[[#This Row],[Admin1PCODE]]&lt;&gt;"", tblPiNAnalysis[[#This Row],[Admin1PCODE]])),"")</f>
        <v>VenezolanosVE0516</v>
      </c>
      <c r="B245" s="105" t="s">
        <v>123</v>
      </c>
      <c r="C245" s="104" t="s">
        <v>179</v>
      </c>
      <c r="D245" s="119" t="s">
        <v>209</v>
      </c>
      <c r="E245" s="104" t="s">
        <v>210</v>
      </c>
      <c r="F245" s="358"/>
      <c r="G245" s="357">
        <v>148029</v>
      </c>
      <c r="H245" s="103" t="s">
        <v>102</v>
      </c>
      <c r="I245" s="60">
        <v>31124</v>
      </c>
      <c r="J245" s="134">
        <v>4506.5957131958357</v>
      </c>
      <c r="K245" s="57">
        <v>54030.584999999999</v>
      </c>
      <c r="L245" s="87">
        <v>18335.03499985169</v>
      </c>
      <c r="M245" s="87">
        <v>29531.719570815454</v>
      </c>
      <c r="N245" s="57">
        <v>0</v>
      </c>
      <c r="O245" s="57">
        <v>9479.6819822317611</v>
      </c>
      <c r="P245" s="57">
        <v>10336.101849785409</v>
      </c>
      <c r="Q245" s="88">
        <f>IFERROR(IF(tblPiNAnalysis[[#This Row],[SAMV]]="", "", MROUND(tblPiNAnalysis[[#This Row],[SAMV]]/tblPiNAnalysis[[#This Row],[Población]], 0.05)), "")</f>
        <v>0.2</v>
      </c>
      <c r="R245" s="89">
        <f>IFERROR(IF(tblPiNAnalysis[[#This Row],[NUT]]="", "", MROUND(tblPiNAnalysis[[#This Row],[NUT]]/tblPiNAnalysis[[#This Row],[Población]], 0.05)), "")</f>
        <v>0.05</v>
      </c>
      <c r="S245" s="89">
        <f>IFERROR(IF(tblPiNAnalysis[[#This Row],[SAL]]="", "", MROUND(tblPiNAnalysis[[#This Row],[SAL]]/tblPiNAnalysis[[#This Row],[Población]], 0.05)), "")</f>
        <v>0.35000000000000003</v>
      </c>
      <c r="T245" s="89">
        <f>IFERROR(IF(tblPiNAnalysis[[#This Row],[EDU]]="", "", MROUND(tblPiNAnalysis[[#This Row],[EDU]]/tblPiNAnalysis[[#This Row],[Población]], 0.05)), "")</f>
        <v>0.1</v>
      </c>
      <c r="U245" s="89">
        <f>IFERROR(IF(tblPiNAnalysis[[#This Row],[PRO]]="", "", MROUND(tblPiNAnalysis[[#This Row],[PRO]]/tblPiNAnalysis[[#This Row],[Población]], 0.05)), "")</f>
        <v>0.2</v>
      </c>
      <c r="V245" s="90">
        <f>IFERROR(IF(tblPiNAnalysis[[#This Row],[ASH]]="", "", MROUND(tblPiNAnalysis[[#This Row],[ASH]]/tblPiNAnalysis[[#This Row],[Población]], 0.05)), "")</f>
        <v>0</v>
      </c>
      <c r="W245" s="89">
        <f>IFERROR(MROUND(tblPiNAnalysis[[#This Row],[NNA]]/tblPiNAnalysis[[#This Row],[Población]], 0.05), "")</f>
        <v>0.05</v>
      </c>
      <c r="X245" s="89">
        <f>IFERROR(MROUND(tblPiNAnalysis[[#This Row],[VBG]]/tblPiNAnalysis[[#This Row],[Población]], 0.05), "")</f>
        <v>0.05</v>
      </c>
      <c r="Y245" s="91">
        <f>IFERROR(LARGE(tblPiNAnalysis[[#This Row],[SAMV]:[ASH]], 1), "")</f>
        <v>54030.584999999999</v>
      </c>
      <c r="Z245" s="92" t="str" cm="1">
        <f t="array" ref="Z245">IF(tblPiNAnalysis[[#This Row],[PiN más alto]]="", "", _xlfn.TEXTJOIN(CHAR(10), TRUE, IF(tblPiNAnalysis[[#This Row],[PiN más alto]]=tblPiNAnalysis[[#This Row],[SAMV]:[ASH]], tblPiNAnalysis[[#Headers],[SAMV]:[ASH]], "")))</f>
        <v>SAL</v>
      </c>
      <c r="AA245" s="93">
        <f>IF(tblPiNAnalysis[[#This Row],[PiN más alto]]="", "", tblPiNAnalysis[[#This Row],[PiN más alto]]/tblPiNAnalysis[[#This Row],[Población]])</f>
        <v>0.36499999999999999</v>
      </c>
      <c r="AB245" s="94" t="str">
        <f>IF(SUM(tblPiNAnalysis[[#This Row],[SAMV]:[ASH]])=0, "",IF(COUNTIF(tblPiNAnalysis[[#This Row],[SAMV]:[ASH]],"=0")+COUNTIF(tblPiNAnalysis[[#This Row],[SAMV]:[ASH]],"")&gt;=zero_pin_thresh, "Flagged", ""))</f>
        <v/>
      </c>
      <c r="AC245" s="95" t="str">
        <f>IFERROR(IF(tblPiNAnalysis[[#This Row],[PiN más alto]]="", "", IF(tblPiNAnalysis[[#This Row],[% PiN Sectores más altos]]&gt;=flag_pin_perc, "Flagged", "")), "")</f>
        <v/>
      </c>
      <c r="AD245" s="96" t="str" cm="1">
        <f t="array" ref="AD245">IF(tblPiNAnalysis[[#This Row],[PiN más alto]]=0, "",  IF(OR(COUNTIF(tblPiNAnalysis[[#This Row],[Sectores más altos]],tblSubSectorPopulation[Sector])), "Flagged", ""))</f>
        <v/>
      </c>
      <c r="AE245" s="16" cm="1">
        <f t="array" ref="AE24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31124</v>
      </c>
      <c r="AF245" s="97" t="str" cm="1">
        <f t="array" ref="AF245">IF(tblPiNAnalysis[[#This Row],[2º PiN más alto]]="", "", _xlfn.TEXTJOIN(CHAR(10), TRUE, IF(tblPiNAnalysis[[#This Row],[2º PiN más alto]]=tblPiNAnalysis[[#This Row],[SAMV]:[ASH]], tblPiNAnalysis[[#Headers],[SAMV]:[ASH]], "")))</f>
        <v>SAMV</v>
      </c>
      <c r="AG245" s="12">
        <f>IFERROR(tblPiNAnalysis[[#This Row],[2º PiN más alto]]/tblPiNAnalysis[[#This Row],[Población]], "")</f>
        <v>0.21025609846719223</v>
      </c>
      <c r="AH245" s="16">
        <f>IFERROR(tblPiNAnalysis[[#This Row],[PiN más alto]]-tblPiNAnalysis[[#This Row],[2º PiN más alto]], "")</f>
        <v>22906.584999999999</v>
      </c>
      <c r="AI245" s="14">
        <f>IFERROR(((tblPiNAnalysis[[#This Row],[PiN más alto]]-tblPiNAnalysis[[#This Row],[2º PiN más alto]])/tblPiNAnalysis[[#This Row],[2º PiN más alto]]),"")</f>
        <v>0.73597818403804138</v>
      </c>
      <c r="AJ245" s="14" t="str" cm="1">
        <f t="array" ref="AJ24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45" s="98" cm="1">
        <f t="array" ref="AK24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29531.719570815454</v>
      </c>
      <c r="AL245" s="53" t="str" cm="1">
        <f t="array" ref="AL245">IF(tblPiNAnalysis[[#This Row],[3º PiN más alto]]="", "", _xlfn.TEXTJOIN(CHAR(10), TRUE, IF(tblPiNAnalysis[[#This Row],[3º PiN más alto]]=tblPiNAnalysis[[#This Row],[SAMV]:[ASH]], tblPiNAnalysis[[#Headers],[SAMV]:[ASH]], "")))</f>
        <v>PRO</v>
      </c>
      <c r="AM245" s="53">
        <f>IFERROR(tblPiNAnalysis[[#This Row],[3º PiN más alto]]/tblPiNAnalysis[[#This Row],[Población]], "")</f>
        <v>0.19949955461980728</v>
      </c>
      <c r="AN245" s="15">
        <f>IFERROR(tblPiNAnalysis[[#This Row],[PiN más alto]]-tblPiNAnalysis[[#This Row],[3º PiN más alto]],"")</f>
        <v>24498.865429184545</v>
      </c>
      <c r="AO245" s="14">
        <f>IFERROR(tblPiNAnalysis[[#This Row],[Diferencia de PiN entre el más alto y el 3º más alto]]/tblPiNAnalysis[[#This Row],[3º PiN más alto]], "")</f>
        <v>0.82957801933739761</v>
      </c>
      <c r="AP245" s="96" t="str" cm="1">
        <f t="array" ref="AP24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45" s="84" cm="1">
        <f t="array" ref="AQ245">IFERROR(IF(tblPiNAnalysis[[#This Row],[ID]]="", "", INDEX(tblPiNHistorical[[SAMV]:[ASH]], MATCH(tblPiNAnalysis[[#This Row],[ID]],tblPiNHistorical[ID], 0),MATCH(_xlfn._xlws.FILTER(tblPiNAnalysis[[#Headers],[SAMV]:[ASH]], tblPiNAnalysis[[#This Row],[PiN más alto]]=tblPiNAnalysis[[#This Row],[SAMV]:[ASH]]), tblPiNHistorical[[#Headers],[SAMV]:[ASH]], 0))), "")</f>
        <v>-0.2</v>
      </c>
      <c r="AR245" s="99" t="str" cm="1">
        <f t="array" ref="AR24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45" s="74" cm="1">
        <f t="array" ref="AS245">IFERROR(IF(tblPiNAnalysis[[#This Row],[ID]]="", "", INDEX(tblPiNHistorical[[SAMV]:[ASH]], MATCH(tblPiNAnalysis[[#This Row],[ID]],tblPiNHistorical[ID], 0),MATCH(_xlfn._xlws.FILTER(tblPiNAnalysis[[#Headers],[SAMV]:[ASH]], tblPiNAnalysis[[#This Row],[2º PiN más alto]]=tblPiNAnalysis[[#This Row],[SAMV]:[ASH]]), tblPiNHistorical[[#Headers],[SAMV]:[ASH]], 0))), "")</f>
        <v>0.8</v>
      </c>
      <c r="AT245" s="100" t="str" cm="1">
        <f t="array" ref="AT24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45" s="219">
        <f>INDEX(tblSeverityAnalysis[Severidad final], MATCH(tblPiNAnalysis[[#This Row],[ID]],tblSeverityAnalysis[ID], 0))</f>
        <v>2</v>
      </c>
      <c r="AV245" s="220">
        <f>IF(tblPiNAnalysis[[#This Row],[Severidad]]&gt;2,tblPiNAnalysis[[#This Row],[PiN más alto]],)</f>
        <v>0</v>
      </c>
      <c r="AW245" s="54"/>
      <c r="AX245" s="55"/>
      <c r="AY245" s="56">
        <f>COUNTIFS(tblPiNAnalysis[[#This Row],[Número de PiN ausentes/cero superior al umbral - Calidad de los datos]:[Marcador manual]],"Flagged")</f>
        <v>2</v>
      </c>
      <c r="AZ245" s="34" t="str">
        <f>IF(tblPiNAnalysis[[#This Row],[Número de marcadores]]&gt;0, "Flagged", "")</f>
        <v>Flagged</v>
      </c>
      <c r="BA245" s="92">
        <f>tblPiNAnalysis[[#This Row],[PiN preliminar]]</f>
        <v>0</v>
      </c>
      <c r="BB245" s="97"/>
      <c r="BC245" s="70">
        <f>IFERROR(IF(tblPiNAnalysis[[#This Row],[Severidad]]=3,tblPiNAnalysis[[#This Row],[PiN final]]*Umbrales!$D$33,tblPiNAnalysis[[#This Row],[PiN final]]*Umbrales!$D$34),)</f>
        <v>0</v>
      </c>
      <c r="BD245" s="70">
        <f>IFERROR(IF(tblPiNAnalysis[[#This Row],[Severidad]]&gt;3,tblPiNAnalysis[[#This Row],[PiN final]]*Umbrales!$D$34,),)</f>
        <v>0</v>
      </c>
    </row>
    <row r="246" spans="1:56">
      <c r="A246" s="101" t="str">
        <f>IFERROR(_xlfn.CONCAT(IF(tblPiNAnalysis[[#This Row],[Grupo]]="", "",tblPiNAnalysis[[#This Row],[Grupo]] ),  _xlfn.IFS(tblPiNAnalysis[[#This Row],[Admin2PCODE]]&lt;&gt;"", tblPiNAnalysis[[#This Row],[Admin2PCODE]], tblPiNAnalysis[[#This Row],[Admin1PCODE]]&lt;&gt;"", tblPiNAnalysis[[#This Row],[Admin1PCODE]])),"")</f>
        <v>VenezolanosVE0517</v>
      </c>
      <c r="B246" s="105" t="s">
        <v>123</v>
      </c>
      <c r="C246" s="104" t="s">
        <v>179</v>
      </c>
      <c r="D246" s="119" t="s">
        <v>828</v>
      </c>
      <c r="E246" s="104" t="s">
        <v>212</v>
      </c>
      <c r="F246" s="358"/>
      <c r="G246" s="357">
        <v>125901</v>
      </c>
      <c r="H246" s="103" t="s">
        <v>102</v>
      </c>
      <c r="I246" s="60">
        <v>8775</v>
      </c>
      <c r="J246" s="134">
        <v>3880.6235656391223</v>
      </c>
      <c r="K246" s="57">
        <v>45953.864999999998</v>
      </c>
      <c r="L246" s="87">
        <v>15410.149695459808</v>
      </c>
      <c r="M246" s="87">
        <v>25117.193426188365</v>
      </c>
      <c r="N246" s="57">
        <v>0</v>
      </c>
      <c r="O246" s="57">
        <v>8037.5018963802777</v>
      </c>
      <c r="P246" s="57">
        <v>8791.0176991659282</v>
      </c>
      <c r="Q246" s="88">
        <f>IFERROR(IF(tblPiNAnalysis[[#This Row],[SAMV]]="", "", MROUND(tblPiNAnalysis[[#This Row],[SAMV]]/tblPiNAnalysis[[#This Row],[Población]], 0.05)), "")</f>
        <v>0.05</v>
      </c>
      <c r="R246" s="89">
        <f>IFERROR(IF(tblPiNAnalysis[[#This Row],[NUT]]="", "", MROUND(tblPiNAnalysis[[#This Row],[NUT]]/tblPiNAnalysis[[#This Row],[Población]], 0.05)), "")</f>
        <v>0.05</v>
      </c>
      <c r="S246" s="89">
        <f>IFERROR(IF(tblPiNAnalysis[[#This Row],[SAL]]="", "", MROUND(tblPiNAnalysis[[#This Row],[SAL]]/tblPiNAnalysis[[#This Row],[Población]], 0.05)), "")</f>
        <v>0.35000000000000003</v>
      </c>
      <c r="T246" s="89">
        <f>IFERROR(IF(tblPiNAnalysis[[#This Row],[EDU]]="", "", MROUND(tblPiNAnalysis[[#This Row],[EDU]]/tblPiNAnalysis[[#This Row],[Población]], 0.05)), "")</f>
        <v>0.1</v>
      </c>
      <c r="U246" s="89">
        <f>IFERROR(IF(tblPiNAnalysis[[#This Row],[PRO]]="", "", MROUND(tblPiNAnalysis[[#This Row],[PRO]]/tblPiNAnalysis[[#This Row],[Población]], 0.05)), "")</f>
        <v>0.2</v>
      </c>
      <c r="V246" s="90">
        <f>IFERROR(IF(tblPiNAnalysis[[#This Row],[ASH]]="", "", MROUND(tblPiNAnalysis[[#This Row],[ASH]]/tblPiNAnalysis[[#This Row],[Población]], 0.05)), "")</f>
        <v>0</v>
      </c>
      <c r="W246" s="89">
        <f>IFERROR(MROUND(tblPiNAnalysis[[#This Row],[NNA]]/tblPiNAnalysis[[#This Row],[Población]], 0.05), "")</f>
        <v>0.05</v>
      </c>
      <c r="X246" s="89">
        <f>IFERROR(MROUND(tblPiNAnalysis[[#This Row],[VBG]]/tblPiNAnalysis[[#This Row],[Población]], 0.05), "")</f>
        <v>0.05</v>
      </c>
      <c r="Y246" s="91">
        <f>IFERROR(LARGE(tblPiNAnalysis[[#This Row],[SAMV]:[ASH]], 1), "")</f>
        <v>45953.864999999998</v>
      </c>
      <c r="Z246" s="92" t="str" cm="1">
        <f t="array" ref="Z246">IF(tblPiNAnalysis[[#This Row],[PiN más alto]]="", "", _xlfn.TEXTJOIN(CHAR(10), TRUE, IF(tblPiNAnalysis[[#This Row],[PiN más alto]]=tblPiNAnalysis[[#This Row],[SAMV]:[ASH]], tblPiNAnalysis[[#Headers],[SAMV]:[ASH]], "")))</f>
        <v>SAL</v>
      </c>
      <c r="AA246" s="93">
        <f>IF(tblPiNAnalysis[[#This Row],[PiN más alto]]="", "", tblPiNAnalysis[[#This Row],[PiN más alto]]/tblPiNAnalysis[[#This Row],[Población]])</f>
        <v>0.36499999999999999</v>
      </c>
      <c r="AB246" s="94" t="str">
        <f>IF(SUM(tblPiNAnalysis[[#This Row],[SAMV]:[ASH]])=0, "",IF(COUNTIF(tblPiNAnalysis[[#This Row],[SAMV]:[ASH]],"=0")+COUNTIF(tblPiNAnalysis[[#This Row],[SAMV]:[ASH]],"")&gt;=zero_pin_thresh, "Flagged", ""))</f>
        <v/>
      </c>
      <c r="AC246" s="95" t="str">
        <f>IFERROR(IF(tblPiNAnalysis[[#This Row],[PiN más alto]]="", "", IF(tblPiNAnalysis[[#This Row],[% PiN Sectores más altos]]&gt;=flag_pin_perc, "Flagged", "")), "")</f>
        <v/>
      </c>
      <c r="AD246" s="96" t="str" cm="1">
        <f t="array" ref="AD246">IF(tblPiNAnalysis[[#This Row],[PiN más alto]]=0, "",  IF(OR(COUNTIF(tblPiNAnalysis[[#This Row],[Sectores más altos]],tblSubSectorPopulation[Sector])), "Flagged", ""))</f>
        <v/>
      </c>
      <c r="AE246" s="16" cm="1">
        <f t="array" ref="AE24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25117.193426188365</v>
      </c>
      <c r="AF246" s="97" t="str" cm="1">
        <f t="array" ref="AF246">IF(tblPiNAnalysis[[#This Row],[2º PiN más alto]]="", "", _xlfn.TEXTJOIN(CHAR(10), TRUE, IF(tblPiNAnalysis[[#This Row],[2º PiN más alto]]=tblPiNAnalysis[[#This Row],[SAMV]:[ASH]], tblPiNAnalysis[[#Headers],[SAMV]:[ASH]], "")))</f>
        <v>PRO</v>
      </c>
      <c r="AG246" s="12">
        <f>IFERROR(tblPiNAnalysis[[#This Row],[2º PiN más alto]]/tblPiNAnalysis[[#This Row],[Población]], "")</f>
        <v>0.19949955461980734</v>
      </c>
      <c r="AH246" s="16">
        <f>IFERROR(tblPiNAnalysis[[#This Row],[PiN más alto]]-tblPiNAnalysis[[#This Row],[2º PiN más alto]], "")</f>
        <v>20836.671573811633</v>
      </c>
      <c r="AI246" s="14">
        <f>IFERROR(((tblPiNAnalysis[[#This Row],[PiN más alto]]-tblPiNAnalysis[[#This Row],[2º PiN más alto]])/tblPiNAnalysis[[#This Row],[2º PiN más alto]]),"")</f>
        <v>0.82957801933739705</v>
      </c>
      <c r="AJ246" s="14" t="str" cm="1">
        <f t="array" ref="AJ24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46" s="98" cm="1">
        <f t="array" ref="AK24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15410.149695459808</v>
      </c>
      <c r="AL246" s="53" t="str" cm="1">
        <f t="array" ref="AL246">IF(tblPiNAnalysis[[#This Row],[3º PiN más alto]]="", "", _xlfn.TEXTJOIN(CHAR(10), TRUE, IF(tblPiNAnalysis[[#This Row],[3º PiN más alto]]=tblPiNAnalysis[[#This Row],[SAMV]:[ASH]], tblPiNAnalysis[[#Headers],[SAMV]:[ASH]], "")))</f>
        <v>EDU</v>
      </c>
      <c r="AM246" s="53">
        <f>IFERROR(tblPiNAnalysis[[#This Row],[3º PiN más alto]]/tblPiNAnalysis[[#This Row],[Población]], "")</f>
        <v>0.12239894596119021</v>
      </c>
      <c r="AN246" s="15">
        <f>IFERROR(tblPiNAnalysis[[#This Row],[PiN más alto]]-tblPiNAnalysis[[#This Row],[3º PiN más alto]],"")</f>
        <v>30543.71530454019</v>
      </c>
      <c r="AO246" s="14">
        <f>IFERROR(tblPiNAnalysis[[#This Row],[Diferencia de PiN entre el más alto y el 3º más alto]]/tblPiNAnalysis[[#This Row],[3º PiN más alto]], "")</f>
        <v>1.9820518235159705</v>
      </c>
      <c r="AP246" s="96" t="str" cm="1">
        <f t="array" ref="AP24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46" s="84" cm="1">
        <f t="array" ref="AQ246">IFERROR(IF(tblPiNAnalysis[[#This Row],[ID]]="", "", INDEX(tblPiNHistorical[[SAMV]:[ASH]], MATCH(tblPiNAnalysis[[#This Row],[ID]],tblPiNHistorical[ID], 0),MATCH(_xlfn._xlws.FILTER(tblPiNAnalysis[[#Headers],[SAMV]:[ASH]], tblPiNAnalysis[[#This Row],[PiN más alto]]=tblPiNAnalysis[[#This Row],[SAMV]:[ASH]]), tblPiNHistorical[[#Headers],[SAMV]:[ASH]], 0))), "")</f>
        <v>-0.2</v>
      </c>
      <c r="AR246" s="99" t="str" cm="1">
        <f t="array" ref="AR24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46" s="74" cm="1">
        <f t="array" ref="AS246">IFERROR(IF(tblPiNAnalysis[[#This Row],[ID]]="", "", INDEX(tblPiNHistorical[[SAMV]:[ASH]], MATCH(tblPiNAnalysis[[#This Row],[ID]],tblPiNHistorical[ID], 0),MATCH(_xlfn._xlws.FILTER(tblPiNAnalysis[[#Headers],[SAMV]:[ASH]], tblPiNAnalysis[[#This Row],[2º PiN más alto]]=tblPiNAnalysis[[#This Row],[SAMV]:[ASH]]), tblPiNHistorical[[#Headers],[SAMV]:[ASH]], 0))), "")</f>
        <v>-0.7</v>
      </c>
      <c r="AT246" s="100" t="str" cm="1">
        <f t="array" ref="AT24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46" s="219">
        <f>INDEX(tblSeverityAnalysis[Severidad final], MATCH(tblPiNAnalysis[[#This Row],[ID]],tblSeverityAnalysis[ID], 0))</f>
        <v>2</v>
      </c>
      <c r="AV246" s="220">
        <f>IF(tblPiNAnalysis[[#This Row],[Severidad]]&gt;2,tblPiNAnalysis[[#This Row],[PiN más alto]],)</f>
        <v>0</v>
      </c>
      <c r="AW246" s="54"/>
      <c r="AX246" s="55"/>
      <c r="AY246" s="56">
        <f>COUNTIFS(tblPiNAnalysis[[#This Row],[Número de PiN ausentes/cero superior al umbral - Calidad de los datos]:[Marcador manual]],"Flagged")</f>
        <v>2</v>
      </c>
      <c r="AZ246" s="34" t="str">
        <f>IF(tblPiNAnalysis[[#This Row],[Número de marcadores]]&gt;0, "Flagged", "")</f>
        <v>Flagged</v>
      </c>
      <c r="BA246" s="92">
        <f>tblPiNAnalysis[[#This Row],[PiN preliminar]]</f>
        <v>0</v>
      </c>
      <c r="BB246" s="97"/>
      <c r="BC246" s="70">
        <f>IFERROR(IF(tblPiNAnalysis[[#This Row],[Severidad]]=3,tblPiNAnalysis[[#This Row],[PiN final]]*Umbrales!$D$33,tblPiNAnalysis[[#This Row],[PiN final]]*Umbrales!$D$34),)</f>
        <v>0</v>
      </c>
      <c r="BD246" s="70">
        <f>IFERROR(IF(tblPiNAnalysis[[#This Row],[Severidad]]&gt;3,tblPiNAnalysis[[#This Row],[PiN final]]*Umbrales!$D$34,),)</f>
        <v>0</v>
      </c>
    </row>
    <row r="247" spans="1:56">
      <c r="A247" s="101" t="str">
        <f>IFERROR(_xlfn.CONCAT(IF(tblPiNAnalysis[[#This Row],[Grupo]]="", "",tblPiNAnalysis[[#This Row],[Grupo]] ),  _xlfn.IFS(tblPiNAnalysis[[#This Row],[Admin2PCODE]]&lt;&gt;"", tblPiNAnalysis[[#This Row],[Admin2PCODE]], tblPiNAnalysis[[#This Row],[Admin1PCODE]]&lt;&gt;"", tblPiNAnalysis[[#This Row],[Admin1PCODE]])),"")</f>
        <v>VenezolanosVE0601</v>
      </c>
      <c r="B247" s="105" t="s">
        <v>215</v>
      </c>
      <c r="C247" s="104" t="s">
        <v>216</v>
      </c>
      <c r="D247" s="119" t="s">
        <v>217</v>
      </c>
      <c r="E247" s="104" t="s">
        <v>218</v>
      </c>
      <c r="F247" s="358"/>
      <c r="G247" s="357">
        <v>42163</v>
      </c>
      <c r="H247" s="103" t="s">
        <v>102</v>
      </c>
      <c r="I247" s="60">
        <v>1562</v>
      </c>
      <c r="J247" s="134">
        <v>1812.6728286743305</v>
      </c>
      <c r="K247" s="57">
        <v>21900</v>
      </c>
      <c r="L247" s="87">
        <v>1947.0969898683175</v>
      </c>
      <c r="M247" s="87">
        <v>6055.2513038751149</v>
      </c>
      <c r="N247" s="57">
        <v>0</v>
      </c>
      <c r="O247" s="57">
        <v>1937.6804172400368</v>
      </c>
      <c r="P247" s="57">
        <v>2119.3379563562903</v>
      </c>
      <c r="Q247" s="88">
        <f>IFERROR(IF(tblPiNAnalysis[[#This Row],[SAMV]]="", "", MROUND(tblPiNAnalysis[[#This Row],[SAMV]]/tblPiNAnalysis[[#This Row],[Población]], 0.05)), "")</f>
        <v>0.05</v>
      </c>
      <c r="R247" s="89">
        <f>IFERROR(IF(tblPiNAnalysis[[#This Row],[NUT]]="", "", MROUND(tblPiNAnalysis[[#This Row],[NUT]]/tblPiNAnalysis[[#This Row],[Población]], 0.05)), "")</f>
        <v>0.05</v>
      </c>
      <c r="S247" s="89">
        <f>IFERROR(IF(tblPiNAnalysis[[#This Row],[SAL]]="", "", MROUND(tblPiNAnalysis[[#This Row],[SAL]]/tblPiNAnalysis[[#This Row],[Población]], 0.05)), "")</f>
        <v>0.5</v>
      </c>
      <c r="T247" s="89">
        <f>IFERROR(IF(tblPiNAnalysis[[#This Row],[EDU]]="", "", MROUND(tblPiNAnalysis[[#This Row],[EDU]]/tblPiNAnalysis[[#This Row],[Población]], 0.05)), "")</f>
        <v>0.05</v>
      </c>
      <c r="U247" s="89">
        <f>IFERROR(IF(tblPiNAnalysis[[#This Row],[PRO]]="", "", MROUND(tblPiNAnalysis[[#This Row],[PRO]]/tblPiNAnalysis[[#This Row],[Población]], 0.05)), "")</f>
        <v>0.15000000000000002</v>
      </c>
      <c r="V247" s="90">
        <f>IFERROR(IF(tblPiNAnalysis[[#This Row],[ASH]]="", "", MROUND(tblPiNAnalysis[[#This Row],[ASH]]/tblPiNAnalysis[[#This Row],[Población]], 0.05)), "")</f>
        <v>0</v>
      </c>
      <c r="W247" s="89">
        <f>IFERROR(MROUND(tblPiNAnalysis[[#This Row],[NNA]]/tblPiNAnalysis[[#This Row],[Población]], 0.05), "")</f>
        <v>0.05</v>
      </c>
      <c r="X247" s="89">
        <f>IFERROR(MROUND(tblPiNAnalysis[[#This Row],[VBG]]/tblPiNAnalysis[[#This Row],[Población]], 0.05), "")</f>
        <v>0.05</v>
      </c>
      <c r="Y247" s="91">
        <f>IFERROR(LARGE(tblPiNAnalysis[[#This Row],[SAMV]:[ASH]], 1), "")</f>
        <v>21900</v>
      </c>
      <c r="Z247" s="92" t="str" cm="1">
        <f t="array" ref="Z247">IF(tblPiNAnalysis[[#This Row],[PiN más alto]]="", "", _xlfn.TEXTJOIN(CHAR(10), TRUE, IF(tblPiNAnalysis[[#This Row],[PiN más alto]]=tblPiNAnalysis[[#This Row],[SAMV]:[ASH]], tblPiNAnalysis[[#Headers],[SAMV]:[ASH]], "")))</f>
        <v>SAL</v>
      </c>
      <c r="AA247" s="93">
        <f>IF(tblPiNAnalysis[[#This Row],[PiN más alto]]="", "", tblPiNAnalysis[[#This Row],[PiN más alto]]/tblPiNAnalysis[[#This Row],[Población]])</f>
        <v>0.5194127552593506</v>
      </c>
      <c r="AB247" s="94" t="str">
        <f>IF(SUM(tblPiNAnalysis[[#This Row],[SAMV]:[ASH]])=0, "",IF(COUNTIF(tblPiNAnalysis[[#This Row],[SAMV]:[ASH]],"=0")+COUNTIF(tblPiNAnalysis[[#This Row],[SAMV]:[ASH]],"")&gt;=zero_pin_thresh, "Flagged", ""))</f>
        <v/>
      </c>
      <c r="AC247" s="95" t="str">
        <f>IFERROR(IF(tblPiNAnalysis[[#This Row],[PiN más alto]]="", "", IF(tblPiNAnalysis[[#This Row],[% PiN Sectores más altos]]&gt;=flag_pin_perc, "Flagged", "")), "")</f>
        <v/>
      </c>
      <c r="AD247" s="96" t="str" cm="1">
        <f t="array" ref="AD247">IF(tblPiNAnalysis[[#This Row],[PiN más alto]]=0, "",  IF(OR(COUNTIF(tblPiNAnalysis[[#This Row],[Sectores más altos]],tblSubSectorPopulation[Sector])), "Flagged", ""))</f>
        <v/>
      </c>
      <c r="AE247" s="16" cm="1">
        <f t="array" ref="AE24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6055.2513038751149</v>
      </c>
      <c r="AF247" s="97" t="str" cm="1">
        <f t="array" ref="AF247">IF(tblPiNAnalysis[[#This Row],[2º PiN más alto]]="", "", _xlfn.TEXTJOIN(CHAR(10), TRUE, IF(tblPiNAnalysis[[#This Row],[2º PiN más alto]]=tblPiNAnalysis[[#This Row],[SAMV]:[ASH]], tblPiNAnalysis[[#Headers],[SAMV]:[ASH]], "")))</f>
        <v>PRO</v>
      </c>
      <c r="AG247" s="12">
        <f>IFERROR(tblPiNAnalysis[[#This Row],[2º PiN más alto]]/tblPiNAnalysis[[#This Row],[Población]], "")</f>
        <v>0.14361528600609813</v>
      </c>
      <c r="AH247" s="16">
        <f>IFERROR(tblPiNAnalysis[[#This Row],[PiN más alto]]-tblPiNAnalysis[[#This Row],[2º PiN más alto]], "")</f>
        <v>15844.748696124885</v>
      </c>
      <c r="AI247" s="14">
        <f>IFERROR(((tblPiNAnalysis[[#This Row],[PiN más alto]]-tblPiNAnalysis[[#This Row],[2º PiN más alto]])/tblPiNAnalysis[[#This Row],[2º PiN más alto]]),"")</f>
        <v>2.6166954765337138</v>
      </c>
      <c r="AJ247" s="14" t="str" cm="1">
        <f t="array" ref="AJ24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47" s="98" cm="1">
        <f t="array" ref="AK24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1947.0969898683175</v>
      </c>
      <c r="AL247" s="53" t="str" cm="1">
        <f t="array" ref="AL247">IF(tblPiNAnalysis[[#This Row],[3º PiN más alto]]="", "", _xlfn.TEXTJOIN(CHAR(10), TRUE, IF(tblPiNAnalysis[[#This Row],[3º PiN más alto]]=tblPiNAnalysis[[#This Row],[SAMV]:[ASH]], tblPiNAnalysis[[#Headers],[SAMV]:[ASH]], "")))</f>
        <v>EDU</v>
      </c>
      <c r="AM247" s="53">
        <f>IFERROR(tblPiNAnalysis[[#This Row],[3º PiN más alto]]/tblPiNAnalysis[[#This Row],[Población]], "")</f>
        <v>4.6180228870533822E-2</v>
      </c>
      <c r="AN247" s="15">
        <f>IFERROR(tblPiNAnalysis[[#This Row],[PiN más alto]]-tblPiNAnalysis[[#This Row],[3º PiN más alto]],"")</f>
        <v>19952.903010131682</v>
      </c>
      <c r="AO247" s="14">
        <f>IFERROR(tblPiNAnalysis[[#This Row],[Diferencia de PiN entre el más alto y el 3º más alto]]/tblPiNAnalysis[[#This Row],[3º PiN más alto]], "")</f>
        <v>10.247513664679385</v>
      </c>
      <c r="AP247" s="96" t="str" cm="1">
        <f t="array" ref="AP24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47" s="84" cm="1">
        <f t="array" ref="AQ247">IFERROR(IF(tblPiNAnalysis[[#This Row],[ID]]="", "", INDEX(tblPiNHistorical[[SAMV]:[ASH]], MATCH(tblPiNAnalysis[[#This Row],[ID]],tblPiNHistorical[ID], 0),MATCH(_xlfn._xlws.FILTER(tblPiNAnalysis[[#Headers],[SAMV]:[ASH]], tblPiNAnalysis[[#This Row],[PiN más alto]]=tblPiNAnalysis[[#This Row],[SAMV]:[ASH]]), tblPiNHistorical[[#Headers],[SAMV]:[ASH]], 0))), "")</f>
        <v>1.4</v>
      </c>
      <c r="AR247" s="99" t="str" cm="1">
        <f t="array" ref="AR24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47" s="74" cm="1">
        <f t="array" ref="AS247">IFERROR(IF(tblPiNAnalysis[[#This Row],[ID]]="", "", INDEX(tblPiNHistorical[[SAMV]:[ASH]], MATCH(tblPiNAnalysis[[#This Row],[ID]],tblPiNHistorical[ID], 0),MATCH(_xlfn._xlws.FILTER(tblPiNAnalysis[[#Headers],[SAMV]:[ASH]], tblPiNAnalysis[[#This Row],[2º PiN más alto]]=tblPiNAnalysis[[#This Row],[SAMV]:[ASH]]), tblPiNHistorical[[#Headers],[SAMV]:[ASH]], 0))), "")</f>
        <v>0.2</v>
      </c>
      <c r="AT247" s="100" t="str" cm="1">
        <f t="array" ref="AT24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47" s="219">
        <f>INDEX(tblSeverityAnalysis[Severidad final], MATCH(tblPiNAnalysis[[#This Row],[ID]],tblSeverityAnalysis[ID], 0))</f>
        <v>2</v>
      </c>
      <c r="AV247" s="220">
        <f>IF(tblPiNAnalysis[[#This Row],[Severidad]]&gt;2,tblPiNAnalysis[[#This Row],[PiN más alto]],)</f>
        <v>0</v>
      </c>
      <c r="AW247" s="54"/>
      <c r="AX247" s="55"/>
      <c r="AY247" s="56">
        <f>COUNTIFS(tblPiNAnalysis[[#This Row],[Número de PiN ausentes/cero superior al umbral - Calidad de los datos]:[Marcador manual]],"Flagged")</f>
        <v>3</v>
      </c>
      <c r="AZ247" s="34" t="str">
        <f>IF(tblPiNAnalysis[[#This Row],[Número de marcadores]]&gt;0, "Flagged", "")</f>
        <v>Flagged</v>
      </c>
      <c r="BA247" s="92">
        <f>tblPiNAnalysis[[#This Row],[PiN preliminar]]</f>
        <v>0</v>
      </c>
      <c r="BB247" s="97"/>
      <c r="BC247" s="70">
        <f>IFERROR(IF(tblPiNAnalysis[[#This Row],[Severidad]]=3,tblPiNAnalysis[[#This Row],[PiN final]]*Umbrales!$D$33,tblPiNAnalysis[[#This Row],[PiN final]]*Umbrales!$D$34),)</f>
        <v>0</v>
      </c>
      <c r="BD247" s="70">
        <f>IFERROR(IF(tblPiNAnalysis[[#This Row],[Severidad]]&gt;3,tblPiNAnalysis[[#This Row],[PiN final]]*Umbrales!$D$34,),)</f>
        <v>0</v>
      </c>
    </row>
    <row r="248" spans="1:56">
      <c r="A248" s="101" t="str">
        <f>IFERROR(_xlfn.CONCAT(IF(tblPiNAnalysis[[#This Row],[Grupo]]="", "",tblPiNAnalysis[[#This Row],[Grupo]] ),  _xlfn.IFS(tblPiNAnalysis[[#This Row],[Admin2PCODE]]&lt;&gt;"", tblPiNAnalysis[[#This Row],[Admin2PCODE]], tblPiNAnalysis[[#This Row],[Admin1PCODE]]&lt;&gt;"", tblPiNAnalysis[[#This Row],[Admin1PCODE]])),"")</f>
        <v>VenezolanosVE0603</v>
      </c>
      <c r="B248" s="105" t="s">
        <v>215</v>
      </c>
      <c r="C248" s="104" t="s">
        <v>216</v>
      </c>
      <c r="D248" s="119" t="s">
        <v>221</v>
      </c>
      <c r="E248" s="104" t="s">
        <v>222</v>
      </c>
      <c r="F248" s="358"/>
      <c r="G248" s="357">
        <v>24259</v>
      </c>
      <c r="H248" s="103" t="s">
        <v>102</v>
      </c>
      <c r="I248" s="60">
        <v>4906</v>
      </c>
      <c r="J248" s="134">
        <v>910.18086668605383</v>
      </c>
      <c r="K248" s="57">
        <v>11200</v>
      </c>
      <c r="L248" s="87">
        <v>1558.6935086411447</v>
      </c>
      <c r="M248" s="87">
        <v>696.79264464438666</v>
      </c>
      <c r="N248" s="57">
        <v>0</v>
      </c>
      <c r="O248" s="57">
        <v>222.97364628620372</v>
      </c>
      <c r="P248" s="57">
        <v>243.8774256255353</v>
      </c>
      <c r="Q248" s="88">
        <f>IFERROR(IF(tblPiNAnalysis[[#This Row],[SAMV]]="", "", MROUND(tblPiNAnalysis[[#This Row],[SAMV]]/tblPiNAnalysis[[#This Row],[Población]], 0.05)), "")</f>
        <v>0.2</v>
      </c>
      <c r="R248" s="89">
        <f>IFERROR(IF(tblPiNAnalysis[[#This Row],[NUT]]="", "", MROUND(tblPiNAnalysis[[#This Row],[NUT]]/tblPiNAnalysis[[#This Row],[Población]], 0.05)), "")</f>
        <v>0.05</v>
      </c>
      <c r="S248" s="89">
        <f>IFERROR(IF(tblPiNAnalysis[[#This Row],[SAL]]="", "", MROUND(tblPiNAnalysis[[#This Row],[SAL]]/tblPiNAnalysis[[#This Row],[Población]], 0.05)), "")</f>
        <v>0.45</v>
      </c>
      <c r="T248" s="89">
        <f>IFERROR(IF(tblPiNAnalysis[[#This Row],[EDU]]="", "", MROUND(tblPiNAnalysis[[#This Row],[EDU]]/tblPiNAnalysis[[#This Row],[Población]], 0.05)), "")</f>
        <v>0.05</v>
      </c>
      <c r="U248" s="89">
        <f>IFERROR(IF(tblPiNAnalysis[[#This Row],[PRO]]="", "", MROUND(tblPiNAnalysis[[#This Row],[PRO]]/tblPiNAnalysis[[#This Row],[Población]], 0.05)), "")</f>
        <v>0.05</v>
      </c>
      <c r="V248" s="90">
        <f>IFERROR(IF(tblPiNAnalysis[[#This Row],[ASH]]="", "", MROUND(tblPiNAnalysis[[#This Row],[ASH]]/tblPiNAnalysis[[#This Row],[Población]], 0.05)), "")</f>
        <v>0</v>
      </c>
      <c r="W248" s="89">
        <f>IFERROR(MROUND(tblPiNAnalysis[[#This Row],[NNA]]/tblPiNAnalysis[[#This Row],[Población]], 0.05), "")</f>
        <v>0</v>
      </c>
      <c r="X248" s="89">
        <f>IFERROR(MROUND(tblPiNAnalysis[[#This Row],[VBG]]/tblPiNAnalysis[[#This Row],[Población]], 0.05), "")</f>
        <v>0</v>
      </c>
      <c r="Y248" s="91">
        <f>IFERROR(LARGE(tblPiNAnalysis[[#This Row],[SAMV]:[ASH]], 1), "")</f>
        <v>11200</v>
      </c>
      <c r="Z248" s="92" t="str" cm="1">
        <f t="array" ref="Z248">IF(tblPiNAnalysis[[#This Row],[PiN más alto]]="", "", _xlfn.TEXTJOIN(CHAR(10), TRUE, IF(tblPiNAnalysis[[#This Row],[PiN más alto]]=tblPiNAnalysis[[#This Row],[SAMV]:[ASH]], tblPiNAnalysis[[#Headers],[SAMV]:[ASH]], "")))</f>
        <v>SAL</v>
      </c>
      <c r="AA248" s="93">
        <f>IF(tblPiNAnalysis[[#This Row],[PiN más alto]]="", "", tblPiNAnalysis[[#This Row],[PiN más alto]]/tblPiNAnalysis[[#This Row],[Población]])</f>
        <v>0.46168432334391357</v>
      </c>
      <c r="AB248" s="94" t="str">
        <f>IF(SUM(tblPiNAnalysis[[#This Row],[SAMV]:[ASH]])=0, "",IF(COUNTIF(tblPiNAnalysis[[#This Row],[SAMV]:[ASH]],"=0")+COUNTIF(tblPiNAnalysis[[#This Row],[SAMV]:[ASH]],"")&gt;=zero_pin_thresh, "Flagged", ""))</f>
        <v/>
      </c>
      <c r="AC248" s="95" t="str">
        <f>IFERROR(IF(tblPiNAnalysis[[#This Row],[PiN más alto]]="", "", IF(tblPiNAnalysis[[#This Row],[% PiN Sectores más altos]]&gt;=flag_pin_perc, "Flagged", "")), "")</f>
        <v/>
      </c>
      <c r="AD248" s="96" t="str" cm="1">
        <f t="array" ref="AD248">IF(tblPiNAnalysis[[#This Row],[PiN más alto]]=0, "",  IF(OR(COUNTIF(tblPiNAnalysis[[#This Row],[Sectores más altos]],tblSubSectorPopulation[Sector])), "Flagged", ""))</f>
        <v/>
      </c>
      <c r="AE248" s="16" cm="1">
        <f t="array" ref="AE24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4906</v>
      </c>
      <c r="AF248" s="97" t="str" cm="1">
        <f t="array" ref="AF248">IF(tblPiNAnalysis[[#This Row],[2º PiN más alto]]="", "", _xlfn.TEXTJOIN(CHAR(10), TRUE, IF(tblPiNAnalysis[[#This Row],[2º PiN más alto]]=tblPiNAnalysis[[#This Row],[SAMV]:[ASH]], tblPiNAnalysis[[#Headers],[SAMV]:[ASH]], "")))</f>
        <v>SAMV</v>
      </c>
      <c r="AG248" s="12">
        <f>IFERROR(tblPiNAnalysis[[#This Row],[2º PiN más alto]]/tblPiNAnalysis[[#This Row],[Población]], "")</f>
        <v>0.20223422235046787</v>
      </c>
      <c r="AH248" s="16">
        <f>IFERROR(tblPiNAnalysis[[#This Row],[PiN más alto]]-tblPiNAnalysis[[#This Row],[2º PiN más alto]], "")</f>
        <v>6294</v>
      </c>
      <c r="AI248" s="14">
        <f>IFERROR(((tblPiNAnalysis[[#This Row],[PiN más alto]]-tblPiNAnalysis[[#This Row],[2º PiN más alto]])/tblPiNAnalysis[[#This Row],[2º PiN más alto]]),"")</f>
        <v>1.2829188748471261</v>
      </c>
      <c r="AJ248" s="14" t="str" cm="1">
        <f t="array" ref="AJ24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48" s="98" cm="1">
        <f t="array" ref="AK24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1558.6935086411447</v>
      </c>
      <c r="AL248" s="53" t="str" cm="1">
        <f t="array" ref="AL248">IF(tblPiNAnalysis[[#This Row],[3º PiN más alto]]="", "", _xlfn.TEXTJOIN(CHAR(10), TRUE, IF(tblPiNAnalysis[[#This Row],[3º PiN más alto]]=tblPiNAnalysis[[#This Row],[SAMV]:[ASH]], tblPiNAnalysis[[#Headers],[SAMV]:[ASH]], "")))</f>
        <v>EDU</v>
      </c>
      <c r="AM248" s="53">
        <f>IFERROR(tblPiNAnalysis[[#This Row],[3º PiN más alto]]/tblPiNAnalysis[[#This Row],[Población]], "")</f>
        <v>6.4252174806922982E-2</v>
      </c>
      <c r="AN248" s="15">
        <f>IFERROR(tblPiNAnalysis[[#This Row],[PiN más alto]]-tblPiNAnalysis[[#This Row],[3º PiN más alto]],"")</f>
        <v>9641.3064913588551</v>
      </c>
      <c r="AO248" s="14">
        <f>IFERROR(tblPiNAnalysis[[#This Row],[Diferencia de PiN entre el más alto y el 3º más alto]]/tblPiNAnalysis[[#This Row],[3º PiN más alto]], "")</f>
        <v>6.1855050001228662</v>
      </c>
      <c r="AP248" s="96" t="str" cm="1">
        <f t="array" ref="AP24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48" s="84" cm="1">
        <f t="array" ref="AQ248">IFERROR(IF(tblPiNAnalysis[[#This Row],[ID]]="", "", INDEX(tblPiNHistorical[[SAMV]:[ASH]], MATCH(tblPiNAnalysis[[#This Row],[ID]],tblPiNHistorical[ID], 0),MATCH(_xlfn._xlws.FILTER(tblPiNAnalysis[[#Headers],[SAMV]:[ASH]], tblPiNAnalysis[[#This Row],[PiN más alto]]=tblPiNAnalysis[[#This Row],[SAMV]:[ASH]]), tblPiNHistorical[[#Headers],[SAMV]:[ASH]], 0))), "")</f>
        <v>5.3</v>
      </c>
      <c r="AR248" s="99" t="str" cm="1">
        <f t="array" ref="AR24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48" s="74" cm="1">
        <f t="array" ref="AS248">IFERROR(IF(tblPiNAnalysis[[#This Row],[ID]]="", "", INDEX(tblPiNHistorical[[SAMV]:[ASH]], MATCH(tblPiNAnalysis[[#This Row],[ID]],tblPiNHistorical[ID], 0),MATCH(_xlfn._xlws.FILTER(tblPiNAnalysis[[#Headers],[SAMV]:[ASH]], tblPiNAnalysis[[#This Row],[2º PiN más alto]]=tblPiNAnalysis[[#This Row],[SAMV]:[ASH]]), tblPiNHistorical[[#Headers],[SAMV]:[ASH]], 0))), "")</f>
        <v>1.2</v>
      </c>
      <c r="AT248" s="100" t="str" cm="1">
        <f t="array" ref="AT24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48" s="219">
        <f>INDEX(tblSeverityAnalysis[Severidad final], MATCH(tblPiNAnalysis[[#This Row],[ID]],tblSeverityAnalysis[ID], 0))</f>
        <v>2</v>
      </c>
      <c r="AV248" s="220">
        <f>IF(tblPiNAnalysis[[#This Row],[Severidad]]&gt;2,tblPiNAnalysis[[#This Row],[PiN más alto]],)</f>
        <v>0</v>
      </c>
      <c r="AW248" s="54"/>
      <c r="AX248" s="55"/>
      <c r="AY248" s="56">
        <f>COUNTIFS(tblPiNAnalysis[[#This Row],[Número de PiN ausentes/cero superior al umbral - Calidad de los datos]:[Marcador manual]],"Flagged")</f>
        <v>4</v>
      </c>
      <c r="AZ248" s="34" t="str">
        <f>IF(tblPiNAnalysis[[#This Row],[Número de marcadores]]&gt;0, "Flagged", "")</f>
        <v>Flagged</v>
      </c>
      <c r="BA248" s="92">
        <f>tblPiNAnalysis[[#This Row],[PiN preliminar]]</f>
        <v>0</v>
      </c>
      <c r="BB248" s="97"/>
      <c r="BC248" s="70">
        <f>IFERROR(IF(tblPiNAnalysis[[#This Row],[Severidad]]=3,tblPiNAnalysis[[#This Row],[PiN final]]*Umbrales!$D$33,tblPiNAnalysis[[#This Row],[PiN final]]*Umbrales!$D$34),)</f>
        <v>0</v>
      </c>
      <c r="BD248" s="70">
        <f>IFERROR(IF(tblPiNAnalysis[[#This Row],[Severidad]]&gt;3,tblPiNAnalysis[[#This Row],[PiN final]]*Umbrales!$D$34,),)</f>
        <v>0</v>
      </c>
    </row>
    <row r="249" spans="1:56">
      <c r="A249" s="101" t="str">
        <f>IFERROR(_xlfn.CONCAT(IF(tblPiNAnalysis[[#This Row],[Grupo]]="", "",tblPiNAnalysis[[#This Row],[Grupo]] ),  _xlfn.IFS(tblPiNAnalysis[[#This Row],[Admin2PCODE]]&lt;&gt;"", tblPiNAnalysis[[#This Row],[Admin2PCODE]], tblPiNAnalysis[[#This Row],[Admin1PCODE]]&lt;&gt;"", tblPiNAnalysis[[#This Row],[Admin1PCODE]])),"")</f>
        <v>VenezolanosVE0605</v>
      </c>
      <c r="B249" s="105" t="s">
        <v>215</v>
      </c>
      <c r="C249" s="104" t="s">
        <v>216</v>
      </c>
      <c r="D249" s="119" t="s">
        <v>180</v>
      </c>
      <c r="E249" s="104" t="s">
        <v>224</v>
      </c>
      <c r="F249" s="358"/>
      <c r="G249" s="357">
        <v>54059</v>
      </c>
      <c r="H249" s="103" t="s">
        <v>102</v>
      </c>
      <c r="I249" s="60">
        <v>17100</v>
      </c>
      <c r="J249" s="134">
        <v>2112.0067110644577</v>
      </c>
      <c r="K249" s="57">
        <v>47700</v>
      </c>
      <c r="L249" s="87">
        <v>4205.5268157862192</v>
      </c>
      <c r="M249" s="87">
        <v>7763.698746203655</v>
      </c>
      <c r="N249" s="57">
        <v>0</v>
      </c>
      <c r="O249" s="57">
        <v>2484.3835987851699</v>
      </c>
      <c r="P249" s="57">
        <v>2717.2945611712789</v>
      </c>
      <c r="Q249" s="88">
        <f>IFERROR(IF(tblPiNAnalysis[[#This Row],[SAMV]]="", "", MROUND(tblPiNAnalysis[[#This Row],[SAMV]]/tblPiNAnalysis[[#This Row],[Población]], 0.05)), "")</f>
        <v>0.30000000000000004</v>
      </c>
      <c r="R249" s="89">
        <f>IFERROR(IF(tblPiNAnalysis[[#This Row],[NUT]]="", "", MROUND(tblPiNAnalysis[[#This Row],[NUT]]/tblPiNAnalysis[[#This Row],[Población]], 0.05)), "")</f>
        <v>0.05</v>
      </c>
      <c r="S249" s="89">
        <f>IFERROR(IF(tblPiNAnalysis[[#This Row],[SAL]]="", "", MROUND(tblPiNAnalysis[[#This Row],[SAL]]/tblPiNAnalysis[[#This Row],[Población]], 0.05)), "")</f>
        <v>0.9</v>
      </c>
      <c r="T249" s="89">
        <f>IFERROR(IF(tblPiNAnalysis[[#This Row],[EDU]]="", "", MROUND(tblPiNAnalysis[[#This Row],[EDU]]/tblPiNAnalysis[[#This Row],[Población]], 0.05)), "")</f>
        <v>0.1</v>
      </c>
      <c r="U249" s="89">
        <f>IFERROR(IF(tblPiNAnalysis[[#This Row],[PRO]]="", "", MROUND(tblPiNAnalysis[[#This Row],[PRO]]/tblPiNAnalysis[[#This Row],[Población]], 0.05)), "")</f>
        <v>0.15000000000000002</v>
      </c>
      <c r="V249" s="90">
        <f>IFERROR(IF(tblPiNAnalysis[[#This Row],[ASH]]="", "", MROUND(tblPiNAnalysis[[#This Row],[ASH]]/tblPiNAnalysis[[#This Row],[Población]], 0.05)), "")</f>
        <v>0</v>
      </c>
      <c r="W249" s="89">
        <f>IFERROR(MROUND(tblPiNAnalysis[[#This Row],[NNA]]/tblPiNAnalysis[[#This Row],[Población]], 0.05), "")</f>
        <v>0.05</v>
      </c>
      <c r="X249" s="89">
        <f>IFERROR(MROUND(tblPiNAnalysis[[#This Row],[VBG]]/tblPiNAnalysis[[#This Row],[Población]], 0.05), "")</f>
        <v>0.05</v>
      </c>
      <c r="Y249" s="91">
        <f>IFERROR(LARGE(tblPiNAnalysis[[#This Row],[SAMV]:[ASH]], 1), "")</f>
        <v>47700</v>
      </c>
      <c r="Z249" s="92" t="str" cm="1">
        <f t="array" ref="Z249">IF(tblPiNAnalysis[[#This Row],[PiN más alto]]="", "", _xlfn.TEXTJOIN(CHAR(10), TRUE, IF(tblPiNAnalysis[[#This Row],[PiN más alto]]=tblPiNAnalysis[[#This Row],[SAMV]:[ASH]], tblPiNAnalysis[[#Headers],[SAMV]:[ASH]], "")))</f>
        <v>SAL</v>
      </c>
      <c r="AA249" s="93">
        <f>IF(tblPiNAnalysis[[#This Row],[PiN más alto]]="", "", tblPiNAnalysis[[#This Row],[PiN más alto]]/tblPiNAnalysis[[#This Row],[Población]])</f>
        <v>0.88236926321241604</v>
      </c>
      <c r="AB249" s="94" t="str">
        <f>IF(SUM(tblPiNAnalysis[[#This Row],[SAMV]:[ASH]])=0, "",IF(COUNTIF(tblPiNAnalysis[[#This Row],[SAMV]:[ASH]],"=0")+COUNTIF(tblPiNAnalysis[[#This Row],[SAMV]:[ASH]],"")&gt;=zero_pin_thresh, "Flagged", ""))</f>
        <v/>
      </c>
      <c r="AC249" s="95" t="str">
        <f>IFERROR(IF(tblPiNAnalysis[[#This Row],[PiN más alto]]="", "", IF(tblPiNAnalysis[[#This Row],[% PiN Sectores más altos]]&gt;=flag_pin_perc, "Flagged", "")), "")</f>
        <v/>
      </c>
      <c r="AD249" s="96" t="str" cm="1">
        <f t="array" ref="AD249">IF(tblPiNAnalysis[[#This Row],[PiN más alto]]=0, "",  IF(OR(COUNTIF(tblPiNAnalysis[[#This Row],[Sectores más altos]],tblSubSectorPopulation[Sector])), "Flagged", ""))</f>
        <v/>
      </c>
      <c r="AE249" s="16" cm="1">
        <f t="array" ref="AE24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17100</v>
      </c>
      <c r="AF249" s="97" t="str" cm="1">
        <f t="array" ref="AF249">IF(tblPiNAnalysis[[#This Row],[2º PiN más alto]]="", "", _xlfn.TEXTJOIN(CHAR(10), TRUE, IF(tblPiNAnalysis[[#This Row],[2º PiN más alto]]=tblPiNAnalysis[[#This Row],[SAMV]:[ASH]], tblPiNAnalysis[[#Headers],[SAMV]:[ASH]], "")))</f>
        <v>SAMV</v>
      </c>
      <c r="AG249" s="12">
        <f>IFERROR(tblPiNAnalysis[[#This Row],[2º PiN más alto]]/tblPiNAnalysis[[#This Row],[Población]], "")</f>
        <v>0.31632105662331894</v>
      </c>
      <c r="AH249" s="16">
        <f>IFERROR(tblPiNAnalysis[[#This Row],[PiN más alto]]-tblPiNAnalysis[[#This Row],[2º PiN más alto]], "")</f>
        <v>30600</v>
      </c>
      <c r="AI249" s="14">
        <f>IFERROR(((tblPiNAnalysis[[#This Row],[PiN más alto]]-tblPiNAnalysis[[#This Row],[2º PiN más alto]])/tblPiNAnalysis[[#This Row],[2º PiN más alto]]),"")</f>
        <v>1.7894736842105263</v>
      </c>
      <c r="AJ249" s="14" t="str" cm="1">
        <f t="array" ref="AJ24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49" s="98" cm="1">
        <f t="array" ref="AK24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7763.698746203655</v>
      </c>
      <c r="AL249" s="53" t="str" cm="1">
        <f t="array" ref="AL249">IF(tblPiNAnalysis[[#This Row],[3º PiN más alto]]="", "", _xlfn.TEXTJOIN(CHAR(10), TRUE, IF(tblPiNAnalysis[[#This Row],[3º PiN más alto]]=tblPiNAnalysis[[#This Row],[SAMV]:[ASH]], tblPiNAnalysis[[#Headers],[SAMV]:[ASH]], "")))</f>
        <v>PRO</v>
      </c>
      <c r="AM249" s="53">
        <f>IFERROR(tblPiNAnalysis[[#This Row],[3º PiN más alto]]/tblPiNAnalysis[[#This Row],[Población]], "")</f>
        <v>0.14361528600609805</v>
      </c>
      <c r="AN249" s="15">
        <f>IFERROR(tblPiNAnalysis[[#This Row],[PiN más alto]]-tblPiNAnalysis[[#This Row],[3º PiN más alto]],"")</f>
        <v>39936.301253796344</v>
      </c>
      <c r="AO249" s="14">
        <f>IFERROR(tblPiNAnalysis[[#This Row],[Diferencia de PiN entre el más alto y el 3º más alto]]/tblPiNAnalysis[[#This Row],[3º PiN más alto]], "")</f>
        <v>5.1439787347911539</v>
      </c>
      <c r="AP249" s="96" t="str" cm="1">
        <f t="array" ref="AP24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49" s="84" cm="1">
        <f t="array" ref="AQ249">IFERROR(IF(tblPiNAnalysis[[#This Row],[ID]]="", "", INDEX(tblPiNHistorical[[SAMV]:[ASH]], MATCH(tblPiNAnalysis[[#This Row],[ID]],tblPiNHistorical[ID], 0),MATCH(_xlfn._xlws.FILTER(tblPiNAnalysis[[#Headers],[SAMV]:[ASH]], tblPiNAnalysis[[#This Row],[PiN más alto]]=tblPiNAnalysis[[#This Row],[SAMV]:[ASH]]), tblPiNHistorical[[#Headers],[SAMV]:[ASH]], 0))), "")</f>
        <v>0.7</v>
      </c>
      <c r="AR249" s="99" t="str" cm="1">
        <f t="array" ref="AR24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49" s="74" cm="1">
        <f t="array" ref="AS249">IFERROR(IF(tblPiNAnalysis[[#This Row],[ID]]="", "", INDEX(tblPiNHistorical[[SAMV]:[ASH]], MATCH(tblPiNAnalysis[[#This Row],[ID]],tblPiNHistorical[ID], 0),MATCH(_xlfn._xlws.FILTER(tblPiNAnalysis[[#Headers],[SAMV]:[ASH]], tblPiNAnalysis[[#This Row],[2º PiN más alto]]=tblPiNAnalysis[[#This Row],[SAMV]:[ASH]]), tblPiNHistorical[[#Headers],[SAMV]:[ASH]], 0))), "")</f>
        <v>1.4</v>
      </c>
      <c r="AT249" s="100" t="str" cm="1">
        <f t="array" ref="AT24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49" s="219">
        <f>INDEX(tblSeverityAnalysis[Severidad final], MATCH(tblPiNAnalysis[[#This Row],[ID]],tblSeverityAnalysis[ID], 0))</f>
        <v>2</v>
      </c>
      <c r="AV249" s="220">
        <f>IF(tblPiNAnalysis[[#This Row],[Severidad]]&gt;2,tblPiNAnalysis[[#This Row],[PiN más alto]],)</f>
        <v>0</v>
      </c>
      <c r="AW249" s="54"/>
      <c r="AX249" s="55"/>
      <c r="AY249" s="56">
        <f>COUNTIFS(tblPiNAnalysis[[#This Row],[Número de PiN ausentes/cero superior al umbral - Calidad de los datos]:[Marcador manual]],"Flagged")</f>
        <v>3</v>
      </c>
      <c r="AZ249" s="34" t="str">
        <f>IF(tblPiNAnalysis[[#This Row],[Número de marcadores]]&gt;0, "Flagged", "")</f>
        <v>Flagged</v>
      </c>
      <c r="BA249" s="92">
        <f>tblPiNAnalysis[[#This Row],[PiN preliminar]]</f>
        <v>0</v>
      </c>
      <c r="BB249" s="97"/>
      <c r="BC249" s="70">
        <f>IFERROR(IF(tblPiNAnalysis[[#This Row],[Severidad]]=3,tblPiNAnalysis[[#This Row],[PiN final]]*Umbrales!$D$33,tblPiNAnalysis[[#This Row],[PiN final]]*Umbrales!$D$34),)</f>
        <v>0</v>
      </c>
      <c r="BD249" s="70">
        <f>IFERROR(IF(tblPiNAnalysis[[#This Row],[Severidad]]&gt;3,tblPiNAnalysis[[#This Row],[PiN final]]*Umbrales!$D$34,),)</f>
        <v>0</v>
      </c>
    </row>
    <row r="250" spans="1:56">
      <c r="A250" s="101" t="str">
        <f>IFERROR(_xlfn.CONCAT(IF(tblPiNAnalysis[[#This Row],[Grupo]]="", "",tblPiNAnalysis[[#This Row],[Grupo]] ),  _xlfn.IFS(tblPiNAnalysis[[#This Row],[Admin2PCODE]]&lt;&gt;"", tblPiNAnalysis[[#This Row],[Admin2PCODE]], tblPiNAnalysis[[#This Row],[Admin1PCODE]]&lt;&gt;"", tblPiNAnalysis[[#This Row],[Admin1PCODE]])),"")</f>
        <v>VenezolanosVE0606</v>
      </c>
      <c r="B250" s="105" t="s">
        <v>215</v>
      </c>
      <c r="C250" s="104" t="s">
        <v>216</v>
      </c>
      <c r="D250" s="119" t="s">
        <v>225</v>
      </c>
      <c r="E250" s="104" t="s">
        <v>226</v>
      </c>
      <c r="F250" s="358"/>
      <c r="G250" s="357">
        <v>26629</v>
      </c>
      <c r="H250" s="103" t="s">
        <v>102</v>
      </c>
      <c r="I250" s="60">
        <v>5055</v>
      </c>
      <c r="J250" s="134">
        <v>1231.0694342439137</v>
      </c>
      <c r="K250" s="57">
        <v>21000</v>
      </c>
      <c r="L250" s="87">
        <v>1763.0692104279424</v>
      </c>
      <c r="M250" s="87">
        <v>2294.5988706338317</v>
      </c>
      <c r="N250" s="57">
        <v>0</v>
      </c>
      <c r="O250" s="57">
        <v>734.27163860282621</v>
      </c>
      <c r="P250" s="57">
        <v>803.10960472184104</v>
      </c>
      <c r="Q250" s="88">
        <f>IFERROR(IF(tblPiNAnalysis[[#This Row],[SAMV]]="", "", MROUND(tblPiNAnalysis[[#This Row],[SAMV]]/tblPiNAnalysis[[#This Row],[Población]], 0.05)), "")</f>
        <v>0.2</v>
      </c>
      <c r="R250" s="89">
        <f>IFERROR(IF(tblPiNAnalysis[[#This Row],[NUT]]="", "", MROUND(tblPiNAnalysis[[#This Row],[NUT]]/tblPiNAnalysis[[#This Row],[Población]], 0.05)), "")</f>
        <v>0.05</v>
      </c>
      <c r="S250" s="89">
        <f>IFERROR(IF(tblPiNAnalysis[[#This Row],[SAL]]="", "", MROUND(tblPiNAnalysis[[#This Row],[SAL]]/tblPiNAnalysis[[#This Row],[Población]], 0.05)), "")</f>
        <v>0.8</v>
      </c>
      <c r="T250" s="89">
        <f>IFERROR(IF(tblPiNAnalysis[[#This Row],[EDU]]="", "", MROUND(tblPiNAnalysis[[#This Row],[EDU]]/tblPiNAnalysis[[#This Row],[Población]], 0.05)), "")</f>
        <v>0.05</v>
      </c>
      <c r="U250" s="89">
        <f>IFERROR(IF(tblPiNAnalysis[[#This Row],[PRO]]="", "", MROUND(tblPiNAnalysis[[#This Row],[PRO]]/tblPiNAnalysis[[#This Row],[Población]], 0.05)), "")</f>
        <v>0.1</v>
      </c>
      <c r="V250" s="90">
        <f>IFERROR(IF(tblPiNAnalysis[[#This Row],[ASH]]="", "", MROUND(tblPiNAnalysis[[#This Row],[ASH]]/tblPiNAnalysis[[#This Row],[Población]], 0.05)), "")</f>
        <v>0</v>
      </c>
      <c r="W250" s="89">
        <f>IFERROR(MROUND(tblPiNAnalysis[[#This Row],[NNA]]/tblPiNAnalysis[[#This Row],[Población]], 0.05), "")</f>
        <v>0.05</v>
      </c>
      <c r="X250" s="89">
        <f>IFERROR(MROUND(tblPiNAnalysis[[#This Row],[VBG]]/tblPiNAnalysis[[#This Row],[Población]], 0.05), "")</f>
        <v>0.05</v>
      </c>
      <c r="Y250" s="91">
        <f>IFERROR(LARGE(tblPiNAnalysis[[#This Row],[SAMV]:[ASH]], 1), "")</f>
        <v>21000</v>
      </c>
      <c r="Z250" s="92" t="str" cm="1">
        <f t="array" ref="Z250">IF(tblPiNAnalysis[[#This Row],[PiN más alto]]="", "", _xlfn.TEXTJOIN(CHAR(10), TRUE, IF(tblPiNAnalysis[[#This Row],[PiN más alto]]=tblPiNAnalysis[[#This Row],[SAMV]:[ASH]], tblPiNAnalysis[[#Headers],[SAMV]:[ASH]], "")))</f>
        <v>SAL</v>
      </c>
      <c r="AA250" s="93">
        <f>IF(tblPiNAnalysis[[#This Row],[PiN más alto]]="", "", tblPiNAnalysis[[#This Row],[PiN más alto]]/tblPiNAnalysis[[#This Row],[Población]])</f>
        <v>0.78861391715798568</v>
      </c>
      <c r="AB250" s="94" t="str">
        <f>IF(SUM(tblPiNAnalysis[[#This Row],[SAMV]:[ASH]])=0, "",IF(COUNTIF(tblPiNAnalysis[[#This Row],[SAMV]:[ASH]],"=0")+COUNTIF(tblPiNAnalysis[[#This Row],[SAMV]:[ASH]],"")&gt;=zero_pin_thresh, "Flagged", ""))</f>
        <v/>
      </c>
      <c r="AC250" s="95" t="str">
        <f>IFERROR(IF(tblPiNAnalysis[[#This Row],[PiN más alto]]="", "", IF(tblPiNAnalysis[[#This Row],[% PiN Sectores más altos]]&gt;=flag_pin_perc, "Flagged", "")), "")</f>
        <v/>
      </c>
      <c r="AD250" s="96" t="str" cm="1">
        <f t="array" ref="AD250">IF(tblPiNAnalysis[[#This Row],[PiN más alto]]=0, "",  IF(OR(COUNTIF(tblPiNAnalysis[[#This Row],[Sectores más altos]],tblSubSectorPopulation[Sector])), "Flagged", ""))</f>
        <v/>
      </c>
      <c r="AE250" s="16" cm="1">
        <f t="array" ref="AE25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5055</v>
      </c>
      <c r="AF250" s="97" t="str" cm="1">
        <f t="array" ref="AF250">IF(tblPiNAnalysis[[#This Row],[2º PiN más alto]]="", "", _xlfn.TEXTJOIN(CHAR(10), TRUE, IF(tblPiNAnalysis[[#This Row],[2º PiN más alto]]=tblPiNAnalysis[[#This Row],[SAMV]:[ASH]], tblPiNAnalysis[[#Headers],[SAMV]:[ASH]], "")))</f>
        <v>SAMV</v>
      </c>
      <c r="AG250" s="12">
        <f>IFERROR(tblPiNAnalysis[[#This Row],[2º PiN más alto]]/tblPiNAnalysis[[#This Row],[Población]], "")</f>
        <v>0.18983063577302942</v>
      </c>
      <c r="AH250" s="16">
        <f>IFERROR(tblPiNAnalysis[[#This Row],[PiN más alto]]-tblPiNAnalysis[[#This Row],[2º PiN más alto]], "")</f>
        <v>15945</v>
      </c>
      <c r="AI250" s="14">
        <f>IFERROR(((tblPiNAnalysis[[#This Row],[PiN más alto]]-tblPiNAnalysis[[#This Row],[2º PiN más alto]])/tblPiNAnalysis[[#This Row],[2º PiN más alto]]),"")</f>
        <v>3.1543026706231454</v>
      </c>
      <c r="AJ250" s="14" t="str" cm="1">
        <f t="array" ref="AJ25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50" s="98" cm="1">
        <f t="array" ref="AK25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2294.5988706338317</v>
      </c>
      <c r="AL250" s="53" t="str" cm="1">
        <f t="array" ref="AL250">IF(tblPiNAnalysis[[#This Row],[3º PiN más alto]]="", "", _xlfn.TEXTJOIN(CHAR(10), TRUE, IF(tblPiNAnalysis[[#This Row],[3º PiN más alto]]=tblPiNAnalysis[[#This Row],[SAMV]:[ASH]], tblPiNAnalysis[[#Headers],[SAMV]:[ASH]], "")))</f>
        <v>PRO</v>
      </c>
      <c r="AM250" s="53">
        <f>IFERROR(tblPiNAnalysis[[#This Row],[3º PiN más alto]]/tblPiNAnalysis[[#This Row],[Población]], "")</f>
        <v>8.6169171603658862E-2</v>
      </c>
      <c r="AN250" s="15">
        <f>IFERROR(tblPiNAnalysis[[#This Row],[PiN más alto]]-tblPiNAnalysis[[#This Row],[3º PiN más alto]],"")</f>
        <v>18705.401129366168</v>
      </c>
      <c r="AO250" s="14">
        <f>IFERROR(tblPiNAnalysis[[#This Row],[Diferencia de PiN entre el más alto y el 3º más alto]]/tblPiNAnalysis[[#This Row],[3º PiN más alto]], "")</f>
        <v>8.1519264080345426</v>
      </c>
      <c r="AP250" s="96" t="str" cm="1">
        <f t="array" ref="AP25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50" s="84" cm="1">
        <f t="array" ref="AQ250">IFERROR(IF(tblPiNAnalysis[[#This Row],[ID]]="", "", INDEX(tblPiNHistorical[[SAMV]:[ASH]], MATCH(tblPiNAnalysis[[#This Row],[ID]],tblPiNHistorical[ID], 0),MATCH(_xlfn._xlws.FILTER(tblPiNAnalysis[[#Headers],[SAMV]:[ASH]], tblPiNAnalysis[[#This Row],[PiN más alto]]=tblPiNAnalysis[[#This Row],[SAMV]:[ASH]]), tblPiNHistorical[[#Headers],[SAMV]:[ASH]], 0))), "")</f>
        <v>4.5999999999999996</v>
      </c>
      <c r="AR250" s="99" t="str" cm="1">
        <f t="array" ref="AR25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50" s="74" cm="1">
        <f t="array" ref="AS250">IFERROR(IF(tblPiNAnalysis[[#This Row],[ID]]="", "", INDEX(tblPiNHistorical[[SAMV]:[ASH]], MATCH(tblPiNAnalysis[[#This Row],[ID]],tblPiNHistorical[ID], 0),MATCH(_xlfn._xlws.FILTER(tblPiNAnalysis[[#Headers],[SAMV]:[ASH]], tblPiNAnalysis[[#This Row],[2º PiN más alto]]=tblPiNAnalysis[[#This Row],[SAMV]:[ASH]]), tblPiNHistorical[[#Headers],[SAMV]:[ASH]], 0))), "")</f>
        <v>7.2</v>
      </c>
      <c r="AT250" s="100" t="str" cm="1">
        <f t="array" ref="AT25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50" s="219">
        <f>INDEX(tblSeverityAnalysis[Severidad final], MATCH(tblPiNAnalysis[[#This Row],[ID]],tblSeverityAnalysis[ID], 0))</f>
        <v>2</v>
      </c>
      <c r="AV250" s="220">
        <f>IF(tblPiNAnalysis[[#This Row],[Severidad]]&gt;2,tblPiNAnalysis[[#This Row],[PiN más alto]],)</f>
        <v>0</v>
      </c>
      <c r="AW250" s="54"/>
      <c r="AX250" s="55"/>
      <c r="AY250" s="56">
        <f>COUNTIFS(tblPiNAnalysis[[#This Row],[Número de PiN ausentes/cero superior al umbral - Calidad de los datos]:[Marcador manual]],"Flagged")</f>
        <v>4</v>
      </c>
      <c r="AZ250" s="34" t="str">
        <f>IF(tblPiNAnalysis[[#This Row],[Número de marcadores]]&gt;0, "Flagged", "")</f>
        <v>Flagged</v>
      </c>
      <c r="BA250" s="92">
        <f>tblPiNAnalysis[[#This Row],[PiN preliminar]]</f>
        <v>0</v>
      </c>
      <c r="BB250" s="97"/>
      <c r="BC250" s="70">
        <f>IFERROR(IF(tblPiNAnalysis[[#This Row],[Severidad]]=3,tblPiNAnalysis[[#This Row],[PiN final]]*Umbrales!$D$33,tblPiNAnalysis[[#This Row],[PiN final]]*Umbrales!$D$34),)</f>
        <v>0</v>
      </c>
      <c r="BD250" s="70">
        <f>IFERROR(IF(tblPiNAnalysis[[#This Row],[Severidad]]&gt;3,tblPiNAnalysis[[#This Row],[PiN final]]*Umbrales!$D$34,),)</f>
        <v>0</v>
      </c>
    </row>
    <row r="251" spans="1:56">
      <c r="A251" s="101" t="str">
        <f>IFERROR(_xlfn.CONCAT(IF(tblPiNAnalysis[[#This Row],[Grupo]]="", "",tblPiNAnalysis[[#This Row],[Grupo]] ),  _xlfn.IFS(tblPiNAnalysis[[#This Row],[Admin2PCODE]]&lt;&gt;"", tblPiNAnalysis[[#This Row],[Admin2PCODE]], tblPiNAnalysis[[#This Row],[Admin1PCODE]]&lt;&gt;"", tblPiNAnalysis[[#This Row],[Admin1PCODE]])),"")</f>
        <v>VenezolanosVE0607</v>
      </c>
      <c r="B251" s="105" t="s">
        <v>215</v>
      </c>
      <c r="C251" s="104" t="s">
        <v>216</v>
      </c>
      <c r="D251" s="119" t="s">
        <v>227</v>
      </c>
      <c r="E251" s="104" t="s">
        <v>228</v>
      </c>
      <c r="F251" s="358"/>
      <c r="G251" s="357">
        <v>54787</v>
      </c>
      <c r="H251" s="103" t="s">
        <v>102</v>
      </c>
      <c r="I251" s="60">
        <v>5870</v>
      </c>
      <c r="J251" s="134">
        <v>2350.918913724151</v>
      </c>
      <c r="K251" s="57">
        <v>19997.255000000001</v>
      </c>
      <c r="L251" s="87">
        <v>4358.0776772139025</v>
      </c>
      <c r="M251" s="87">
        <v>9441.9008092993136</v>
      </c>
      <c r="N251" s="57">
        <v>0</v>
      </c>
      <c r="O251" s="57">
        <v>3030.8501597850795</v>
      </c>
      <c r="P251" s="57">
        <v>3304.6652832547597</v>
      </c>
      <c r="Q251" s="88">
        <f>IFERROR(IF(tblPiNAnalysis[[#This Row],[SAMV]]="", "", MROUND(tblPiNAnalysis[[#This Row],[SAMV]]/tblPiNAnalysis[[#This Row],[Población]], 0.05)), "")</f>
        <v>0.1</v>
      </c>
      <c r="R251" s="89">
        <f>IFERROR(IF(tblPiNAnalysis[[#This Row],[NUT]]="", "", MROUND(tblPiNAnalysis[[#This Row],[NUT]]/tblPiNAnalysis[[#This Row],[Población]], 0.05)), "")</f>
        <v>0.05</v>
      </c>
      <c r="S251" s="89">
        <f>IFERROR(IF(tblPiNAnalysis[[#This Row],[SAL]]="", "", MROUND(tblPiNAnalysis[[#This Row],[SAL]]/tblPiNAnalysis[[#This Row],[Población]], 0.05)), "")</f>
        <v>0.35000000000000003</v>
      </c>
      <c r="T251" s="89">
        <f>IFERROR(IF(tblPiNAnalysis[[#This Row],[EDU]]="", "", MROUND(tblPiNAnalysis[[#This Row],[EDU]]/tblPiNAnalysis[[#This Row],[Población]], 0.05)), "")</f>
        <v>0.1</v>
      </c>
      <c r="U251" s="89">
        <f>IFERROR(IF(tblPiNAnalysis[[#This Row],[PRO]]="", "", MROUND(tblPiNAnalysis[[#This Row],[PRO]]/tblPiNAnalysis[[#This Row],[Población]], 0.05)), "")</f>
        <v>0.15000000000000002</v>
      </c>
      <c r="V251" s="90">
        <f>IFERROR(IF(tblPiNAnalysis[[#This Row],[ASH]]="", "", MROUND(tblPiNAnalysis[[#This Row],[ASH]]/tblPiNAnalysis[[#This Row],[Población]], 0.05)), "")</f>
        <v>0</v>
      </c>
      <c r="W251" s="89">
        <f>IFERROR(MROUND(tblPiNAnalysis[[#This Row],[NNA]]/tblPiNAnalysis[[#This Row],[Población]], 0.05), "")</f>
        <v>0.05</v>
      </c>
      <c r="X251" s="89">
        <f>IFERROR(MROUND(tblPiNAnalysis[[#This Row],[VBG]]/tblPiNAnalysis[[#This Row],[Población]], 0.05), "")</f>
        <v>0.05</v>
      </c>
      <c r="Y251" s="91">
        <f>IFERROR(LARGE(tblPiNAnalysis[[#This Row],[SAMV]:[ASH]], 1), "")</f>
        <v>19997.255000000001</v>
      </c>
      <c r="Z251" s="92" t="str" cm="1">
        <f t="array" ref="Z251">IF(tblPiNAnalysis[[#This Row],[PiN más alto]]="", "", _xlfn.TEXTJOIN(CHAR(10), TRUE, IF(tblPiNAnalysis[[#This Row],[PiN más alto]]=tblPiNAnalysis[[#This Row],[SAMV]:[ASH]], tblPiNAnalysis[[#Headers],[SAMV]:[ASH]], "")))</f>
        <v>SAL</v>
      </c>
      <c r="AA251" s="93">
        <f>IF(tblPiNAnalysis[[#This Row],[PiN más alto]]="", "", tblPiNAnalysis[[#This Row],[PiN más alto]]/tblPiNAnalysis[[#This Row],[Población]])</f>
        <v>0.36499999999999999</v>
      </c>
      <c r="AB251" s="94" t="str">
        <f>IF(SUM(tblPiNAnalysis[[#This Row],[SAMV]:[ASH]])=0, "",IF(COUNTIF(tblPiNAnalysis[[#This Row],[SAMV]:[ASH]],"=0")+COUNTIF(tblPiNAnalysis[[#This Row],[SAMV]:[ASH]],"")&gt;=zero_pin_thresh, "Flagged", ""))</f>
        <v/>
      </c>
      <c r="AC251" s="95" t="str">
        <f>IFERROR(IF(tblPiNAnalysis[[#This Row],[PiN más alto]]="", "", IF(tblPiNAnalysis[[#This Row],[% PiN Sectores más altos]]&gt;=flag_pin_perc, "Flagged", "")), "")</f>
        <v/>
      </c>
      <c r="AD251" s="96" t="str" cm="1">
        <f t="array" ref="AD251">IF(tblPiNAnalysis[[#This Row],[PiN más alto]]=0, "",  IF(OR(COUNTIF(tblPiNAnalysis[[#This Row],[Sectores más altos]],tblSubSectorPopulation[Sector])), "Flagged", ""))</f>
        <v/>
      </c>
      <c r="AE251" s="16" cm="1">
        <f t="array" ref="AE25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9441.9008092993136</v>
      </c>
      <c r="AF251" s="97" t="str" cm="1">
        <f t="array" ref="AF251">IF(tblPiNAnalysis[[#This Row],[2º PiN más alto]]="", "", _xlfn.TEXTJOIN(CHAR(10), TRUE, IF(tblPiNAnalysis[[#This Row],[2º PiN más alto]]=tblPiNAnalysis[[#This Row],[SAMV]:[ASH]], tblPiNAnalysis[[#Headers],[SAMV]:[ASH]], "")))</f>
        <v>PRO</v>
      </c>
      <c r="AG251" s="12">
        <f>IFERROR(tblPiNAnalysis[[#This Row],[2º PiN más alto]]/tblPiNAnalysis[[#This Row],[Población]], "")</f>
        <v>0.17233834320731767</v>
      </c>
      <c r="AH251" s="16">
        <f>IFERROR(tblPiNAnalysis[[#This Row],[PiN más alto]]-tblPiNAnalysis[[#This Row],[2º PiN más alto]], "")</f>
        <v>10555.354190700687</v>
      </c>
      <c r="AI251" s="14">
        <f>IFERROR(((tblPiNAnalysis[[#This Row],[PiN más alto]]-tblPiNAnalysis[[#This Row],[2º PiN más alto]])/tblPiNAnalysis[[#This Row],[2º PiN más alto]]),"")</f>
        <v>1.1179268246818199</v>
      </c>
      <c r="AJ251" s="14" t="str" cm="1">
        <f t="array" ref="AJ25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51" s="98" cm="1">
        <f t="array" ref="AK25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5870</v>
      </c>
      <c r="AL251" s="53" t="str" cm="1">
        <f t="array" ref="AL251">IF(tblPiNAnalysis[[#This Row],[3º PiN más alto]]="", "", _xlfn.TEXTJOIN(CHAR(10), TRUE, IF(tblPiNAnalysis[[#This Row],[3º PiN más alto]]=tblPiNAnalysis[[#This Row],[SAMV]:[ASH]], tblPiNAnalysis[[#Headers],[SAMV]:[ASH]], "")))</f>
        <v>SAMV</v>
      </c>
      <c r="AM251" s="53">
        <f>IFERROR(tblPiNAnalysis[[#This Row],[3º PiN más alto]]/tblPiNAnalysis[[#This Row],[Población]], "")</f>
        <v>0.10714220526767299</v>
      </c>
      <c r="AN251" s="15">
        <f>IFERROR(tblPiNAnalysis[[#This Row],[PiN más alto]]-tblPiNAnalysis[[#This Row],[3º PiN más alto]],"")</f>
        <v>14127.255000000001</v>
      </c>
      <c r="AO251" s="14">
        <f>IFERROR(tblPiNAnalysis[[#This Row],[Diferencia de PiN entre el más alto y el 3º más alto]]/tblPiNAnalysis[[#This Row],[3º PiN más alto]], "")</f>
        <v>2.4066873935264055</v>
      </c>
      <c r="AP251" s="96" t="str" cm="1">
        <f t="array" ref="AP25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51" s="84" cm="1">
        <f t="array" ref="AQ251">IFERROR(IF(tblPiNAnalysis[[#This Row],[ID]]="", "", INDEX(tblPiNHistorical[[SAMV]:[ASH]], MATCH(tblPiNAnalysis[[#This Row],[ID]],tblPiNHistorical[ID], 0),MATCH(_xlfn._xlws.FILTER(tblPiNAnalysis[[#Headers],[SAMV]:[ASH]], tblPiNAnalysis[[#This Row],[PiN más alto]]=tblPiNAnalysis[[#This Row],[SAMV]:[ASH]]), tblPiNHistorical[[#Headers],[SAMV]:[ASH]], 0))), "")</f>
        <v>1.7</v>
      </c>
      <c r="AR251" s="99" t="str" cm="1">
        <f t="array" ref="AR25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51" s="74" cm="1">
        <f t="array" ref="AS251">IFERROR(IF(tblPiNAnalysis[[#This Row],[ID]]="", "", INDEX(tblPiNHistorical[[SAMV]:[ASH]], MATCH(tblPiNAnalysis[[#This Row],[ID]],tblPiNHistorical[ID], 0),MATCH(_xlfn._xlws.FILTER(tblPiNAnalysis[[#Headers],[SAMV]:[ASH]], tblPiNAnalysis[[#This Row],[2º PiN más alto]]=tblPiNAnalysis[[#This Row],[SAMV]:[ASH]]), tblPiNHistorical[[#Headers],[SAMV]:[ASH]], 0))), "")</f>
        <v>0.5</v>
      </c>
      <c r="AT251" s="100" t="str" cm="1">
        <f t="array" ref="AT25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51" s="219">
        <f>INDEX(tblSeverityAnalysis[Severidad final], MATCH(tblPiNAnalysis[[#This Row],[ID]],tblSeverityAnalysis[ID], 0))</f>
        <v>2</v>
      </c>
      <c r="AV251" s="220">
        <f>IF(tblPiNAnalysis[[#This Row],[Severidad]]&gt;2,tblPiNAnalysis[[#This Row],[PiN más alto]],)</f>
        <v>0</v>
      </c>
      <c r="AW251" s="54"/>
      <c r="AX251" s="55"/>
      <c r="AY251" s="56">
        <f>COUNTIFS(tblPiNAnalysis[[#This Row],[Número de PiN ausentes/cero superior al umbral - Calidad de los datos]:[Marcador manual]],"Flagged")</f>
        <v>3</v>
      </c>
      <c r="AZ251" s="34" t="str">
        <f>IF(tblPiNAnalysis[[#This Row],[Número de marcadores]]&gt;0, "Flagged", "")</f>
        <v>Flagged</v>
      </c>
      <c r="BA251" s="92">
        <f>tblPiNAnalysis[[#This Row],[PiN preliminar]]</f>
        <v>0</v>
      </c>
      <c r="BB251" s="97"/>
      <c r="BC251" s="70">
        <f>IFERROR(IF(tblPiNAnalysis[[#This Row],[Severidad]]=3,tblPiNAnalysis[[#This Row],[PiN final]]*Umbrales!$D$33,tblPiNAnalysis[[#This Row],[PiN final]]*Umbrales!$D$34),)</f>
        <v>0</v>
      </c>
      <c r="BD251" s="70">
        <f>IFERROR(IF(tblPiNAnalysis[[#This Row],[Severidad]]&gt;3,tblPiNAnalysis[[#This Row],[PiN final]]*Umbrales!$D$34,),)</f>
        <v>0</v>
      </c>
    </row>
    <row r="252" spans="1:56">
      <c r="A252" s="101" t="str">
        <f>IFERROR(_xlfn.CONCAT(IF(tblPiNAnalysis[[#This Row],[Grupo]]="", "",tblPiNAnalysis[[#This Row],[Grupo]] ),  _xlfn.IFS(tblPiNAnalysis[[#This Row],[Admin2PCODE]]&lt;&gt;"", tblPiNAnalysis[[#This Row],[Admin2PCODE]], tblPiNAnalysis[[#This Row],[Admin1PCODE]]&lt;&gt;"", tblPiNAnalysis[[#This Row],[Admin1PCODE]])),"")</f>
        <v>VenezolanosVE0609</v>
      </c>
      <c r="B252" s="105" t="s">
        <v>215</v>
      </c>
      <c r="C252" s="104" t="s">
        <v>216</v>
      </c>
      <c r="D252" s="119" t="s">
        <v>231</v>
      </c>
      <c r="E252" s="104" t="s">
        <v>232</v>
      </c>
      <c r="F252" s="358"/>
      <c r="G252" s="357">
        <v>66873</v>
      </c>
      <c r="H252" s="103" t="s">
        <v>102</v>
      </c>
      <c r="I252" s="60">
        <v>3843</v>
      </c>
      <c r="J252" s="134">
        <v>2735.4918458675638</v>
      </c>
      <c r="K252" s="57">
        <v>24408.645</v>
      </c>
      <c r="L252" s="87">
        <v>3993.8365335946228</v>
      </c>
      <c r="M252" s="87">
        <v>5762.3910126514802</v>
      </c>
      <c r="N252" s="57">
        <v>9027.8549999999996</v>
      </c>
      <c r="O252" s="57">
        <v>1849.7275150611254</v>
      </c>
      <c r="P252" s="57">
        <v>2016.8368544280179</v>
      </c>
      <c r="Q252" s="88">
        <f>IFERROR(IF(tblPiNAnalysis[[#This Row],[SAMV]]="", "", MROUND(tblPiNAnalysis[[#This Row],[SAMV]]/tblPiNAnalysis[[#This Row],[Población]], 0.05)), "")</f>
        <v>0.05</v>
      </c>
      <c r="R252" s="89">
        <f>IFERROR(IF(tblPiNAnalysis[[#This Row],[NUT]]="", "", MROUND(tblPiNAnalysis[[#This Row],[NUT]]/tblPiNAnalysis[[#This Row],[Población]], 0.05)), "")</f>
        <v>0.05</v>
      </c>
      <c r="S252" s="89">
        <f>IFERROR(IF(tblPiNAnalysis[[#This Row],[SAL]]="", "", MROUND(tblPiNAnalysis[[#This Row],[SAL]]/tblPiNAnalysis[[#This Row],[Población]], 0.05)), "")</f>
        <v>0.35000000000000003</v>
      </c>
      <c r="T252" s="89">
        <f>IFERROR(IF(tblPiNAnalysis[[#This Row],[EDU]]="", "", MROUND(tblPiNAnalysis[[#This Row],[EDU]]/tblPiNAnalysis[[#This Row],[Población]], 0.05)), "")</f>
        <v>0.05</v>
      </c>
      <c r="U252" s="89">
        <f>IFERROR(IF(tblPiNAnalysis[[#This Row],[PRO]]="", "", MROUND(tblPiNAnalysis[[#This Row],[PRO]]/tblPiNAnalysis[[#This Row],[Población]], 0.05)), "")</f>
        <v>0.1</v>
      </c>
      <c r="V252" s="90">
        <f>IFERROR(IF(tblPiNAnalysis[[#This Row],[ASH]]="", "", MROUND(tblPiNAnalysis[[#This Row],[ASH]]/tblPiNAnalysis[[#This Row],[Población]], 0.05)), "")</f>
        <v>0.15000000000000002</v>
      </c>
      <c r="W252" s="89">
        <f>IFERROR(MROUND(tblPiNAnalysis[[#This Row],[NNA]]/tblPiNAnalysis[[#This Row],[Población]], 0.05), "")</f>
        <v>0.05</v>
      </c>
      <c r="X252" s="89">
        <f>IFERROR(MROUND(tblPiNAnalysis[[#This Row],[VBG]]/tblPiNAnalysis[[#This Row],[Población]], 0.05), "")</f>
        <v>0.05</v>
      </c>
      <c r="Y252" s="91">
        <f>IFERROR(LARGE(tblPiNAnalysis[[#This Row],[SAMV]:[ASH]], 1), "")</f>
        <v>24408.645</v>
      </c>
      <c r="Z252" s="92" t="str" cm="1">
        <f t="array" ref="Z252">IF(tblPiNAnalysis[[#This Row],[PiN más alto]]="", "", _xlfn.TEXTJOIN(CHAR(10), TRUE, IF(tblPiNAnalysis[[#This Row],[PiN más alto]]=tblPiNAnalysis[[#This Row],[SAMV]:[ASH]], tblPiNAnalysis[[#Headers],[SAMV]:[ASH]], "")))</f>
        <v>SAL</v>
      </c>
      <c r="AA252" s="93">
        <f>IF(tblPiNAnalysis[[#This Row],[PiN más alto]]="", "", tblPiNAnalysis[[#This Row],[PiN más alto]]/tblPiNAnalysis[[#This Row],[Población]])</f>
        <v>0.36499999999999999</v>
      </c>
      <c r="AB252" s="94" t="str">
        <f>IF(SUM(tblPiNAnalysis[[#This Row],[SAMV]:[ASH]])=0, "",IF(COUNTIF(tblPiNAnalysis[[#This Row],[SAMV]:[ASH]],"=0")+COUNTIF(tblPiNAnalysis[[#This Row],[SAMV]:[ASH]],"")&gt;=zero_pin_thresh, "Flagged", ""))</f>
        <v/>
      </c>
      <c r="AC252" s="95" t="str">
        <f>IFERROR(IF(tblPiNAnalysis[[#This Row],[PiN más alto]]="", "", IF(tblPiNAnalysis[[#This Row],[% PiN Sectores más altos]]&gt;=flag_pin_perc, "Flagged", "")), "")</f>
        <v/>
      </c>
      <c r="AD252" s="96" t="str" cm="1">
        <f t="array" ref="AD252">IF(tblPiNAnalysis[[#This Row],[PiN más alto]]=0, "",  IF(OR(COUNTIF(tblPiNAnalysis[[#This Row],[Sectores más altos]],tblSubSectorPopulation[Sector])), "Flagged", ""))</f>
        <v/>
      </c>
      <c r="AE252" s="16" cm="1">
        <f t="array" ref="AE25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9027.8549999999996</v>
      </c>
      <c r="AF252" s="97" t="str" cm="1">
        <f t="array" ref="AF252">IF(tblPiNAnalysis[[#This Row],[2º PiN más alto]]="", "", _xlfn.TEXTJOIN(CHAR(10), TRUE, IF(tblPiNAnalysis[[#This Row],[2º PiN más alto]]=tblPiNAnalysis[[#This Row],[SAMV]:[ASH]], tblPiNAnalysis[[#Headers],[SAMV]:[ASH]], "")))</f>
        <v>ASH</v>
      </c>
      <c r="AG252" s="12">
        <f>IFERROR(tblPiNAnalysis[[#This Row],[2º PiN más alto]]/tblPiNAnalysis[[#This Row],[Población]], "")</f>
        <v>0.13499999999999998</v>
      </c>
      <c r="AH252" s="16">
        <f>IFERROR(tblPiNAnalysis[[#This Row],[PiN más alto]]-tblPiNAnalysis[[#This Row],[2º PiN más alto]], "")</f>
        <v>15380.79</v>
      </c>
      <c r="AI252" s="14">
        <f>IFERROR(((tblPiNAnalysis[[#This Row],[PiN más alto]]-tblPiNAnalysis[[#This Row],[2º PiN más alto]])/tblPiNAnalysis[[#This Row],[2º PiN más alto]]),"")</f>
        <v>1.7037037037037039</v>
      </c>
      <c r="AJ252" s="14" t="str" cm="1">
        <f t="array" ref="AJ25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52" s="98" cm="1">
        <f t="array" ref="AK25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5762.3910126514802</v>
      </c>
      <c r="AL252" s="53" t="str" cm="1">
        <f t="array" ref="AL252">IF(tblPiNAnalysis[[#This Row],[3º PiN más alto]]="", "", _xlfn.TEXTJOIN(CHAR(10), TRUE, IF(tblPiNAnalysis[[#This Row],[3º PiN más alto]]=tblPiNAnalysis[[#This Row],[SAMV]:[ASH]], tblPiNAnalysis[[#Headers],[SAMV]:[ASH]], "")))</f>
        <v>PRO</v>
      </c>
      <c r="AM252" s="53">
        <f>IFERROR(tblPiNAnalysis[[#This Row],[3º PiN más alto]]/tblPiNAnalysis[[#This Row],[Población]], "")</f>
        <v>8.6169171603658876E-2</v>
      </c>
      <c r="AN252" s="15">
        <f>IFERROR(tblPiNAnalysis[[#This Row],[PiN más alto]]-tblPiNAnalysis[[#This Row],[3º PiN más alto]],"")</f>
        <v>18646.253987348522</v>
      </c>
      <c r="AO252" s="14">
        <f>IFERROR(tblPiNAnalysis[[#This Row],[Diferencia de PiN entre el más alto y el 3º más alto]]/tblPiNAnalysis[[#This Row],[3º PiN más alto]], "")</f>
        <v>3.2358536493636381</v>
      </c>
      <c r="AP252" s="96" t="str" cm="1">
        <f t="array" ref="AP25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52" s="84" cm="1">
        <f t="array" ref="AQ252">IFERROR(IF(tblPiNAnalysis[[#This Row],[ID]]="", "", INDEX(tblPiNHistorical[[SAMV]:[ASH]], MATCH(tblPiNAnalysis[[#This Row],[ID]],tblPiNHistorical[ID], 0),MATCH(_xlfn._xlws.FILTER(tblPiNAnalysis[[#Headers],[SAMV]:[ASH]], tblPiNAnalysis[[#This Row],[PiN más alto]]=tblPiNAnalysis[[#This Row],[SAMV]:[ASH]]), tblPiNHistorical[[#Headers],[SAMV]:[ASH]], 0))), "")</f>
        <v>1.2</v>
      </c>
      <c r="AR252" s="99" t="str" cm="1">
        <f t="array" ref="AR25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52" s="74" t="str" cm="1">
        <f t="array" ref="AS252">IFERROR(IF(tblPiNAnalysis[[#This Row],[ID]]="", "", INDEX(tblPiNHistorical[[SAMV]:[ASH]], MATCH(tblPiNAnalysis[[#This Row],[ID]],tblPiNHistorical[ID], 0),MATCH(_xlfn._xlws.FILTER(tblPiNAnalysis[[#Headers],[SAMV]:[ASH]], tblPiNAnalysis[[#This Row],[2º PiN más alto]]=tblPiNAnalysis[[#This Row],[SAMV]:[ASH]]), tblPiNHistorical[[#Headers],[SAMV]:[ASH]], 0))), "")</f>
        <v>New26 12060.225</v>
      </c>
      <c r="AT252" s="100" t="str" cm="1">
        <f t="array" ref="AT25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52" s="219">
        <f>INDEX(tblSeverityAnalysis[Severidad final], MATCH(tblPiNAnalysis[[#This Row],[ID]],tblSeverityAnalysis[ID], 0))</f>
        <v>2</v>
      </c>
      <c r="AV252" s="220">
        <f>IF(tblPiNAnalysis[[#This Row],[Severidad]]&gt;2,tblPiNAnalysis[[#This Row],[PiN más alto]],)</f>
        <v>0</v>
      </c>
      <c r="AW252" s="54"/>
      <c r="AX252" s="55"/>
      <c r="AY252" s="56">
        <f>COUNTIFS(tblPiNAnalysis[[#This Row],[Número de PiN ausentes/cero superior al umbral - Calidad de los datos]:[Marcador manual]],"Flagged")</f>
        <v>3</v>
      </c>
      <c r="AZ252" s="34" t="str">
        <f>IF(tblPiNAnalysis[[#This Row],[Número de marcadores]]&gt;0, "Flagged", "")</f>
        <v>Flagged</v>
      </c>
      <c r="BA252" s="92">
        <f>tblPiNAnalysis[[#This Row],[PiN preliminar]]</f>
        <v>0</v>
      </c>
      <c r="BB252" s="97"/>
      <c r="BC252" s="70">
        <f>IFERROR(IF(tblPiNAnalysis[[#This Row],[Severidad]]=3,tblPiNAnalysis[[#This Row],[PiN final]]*Umbrales!$D$33,tblPiNAnalysis[[#This Row],[PiN final]]*Umbrales!$D$34),)</f>
        <v>0</v>
      </c>
      <c r="BD252" s="70">
        <f>IFERROR(IF(tblPiNAnalysis[[#This Row],[Severidad]]&gt;3,tblPiNAnalysis[[#This Row],[PiN final]]*Umbrales!$D$34,),)</f>
        <v>0</v>
      </c>
    </row>
    <row r="253" spans="1:56">
      <c r="A253" s="101" t="str">
        <f>IFERROR(_xlfn.CONCAT(IF(tblPiNAnalysis[[#This Row],[Grupo]]="", "",tblPiNAnalysis[[#This Row],[Grupo]] ),  _xlfn.IFS(tblPiNAnalysis[[#This Row],[Admin2PCODE]]&lt;&gt;"", tblPiNAnalysis[[#This Row],[Admin2PCODE]], tblPiNAnalysis[[#This Row],[Admin1PCODE]]&lt;&gt;"", tblPiNAnalysis[[#This Row],[Admin1PCODE]])),"")</f>
        <v>VenezolanosVE0611</v>
      </c>
      <c r="B253" s="105" t="s">
        <v>215</v>
      </c>
      <c r="C253" s="104" t="s">
        <v>216</v>
      </c>
      <c r="D253" s="119" t="s">
        <v>235</v>
      </c>
      <c r="E253" s="104" t="s">
        <v>236</v>
      </c>
      <c r="F253" s="358"/>
      <c r="G253" s="357">
        <v>24685</v>
      </c>
      <c r="H253" s="103" t="s">
        <v>102</v>
      </c>
      <c r="I253" s="60">
        <v>4452</v>
      </c>
      <c r="J253" s="134">
        <v>1025.3949492626957</v>
      </c>
      <c r="K253" s="57">
        <v>11200</v>
      </c>
      <c r="L253" s="87">
        <v>1095.9410729399117</v>
      </c>
      <c r="M253" s="87">
        <v>709.02866701210633</v>
      </c>
      <c r="N253" s="57">
        <v>0</v>
      </c>
      <c r="O253" s="57">
        <v>226.88917344387403</v>
      </c>
      <c r="P253" s="57">
        <v>248.16003345423721</v>
      </c>
      <c r="Q253" s="88">
        <f>IFERROR(IF(tblPiNAnalysis[[#This Row],[SAMV]]="", "", MROUND(tblPiNAnalysis[[#This Row],[SAMV]]/tblPiNAnalysis[[#This Row],[Población]], 0.05)), "")</f>
        <v>0.2</v>
      </c>
      <c r="R253" s="89">
        <f>IFERROR(IF(tblPiNAnalysis[[#This Row],[NUT]]="", "", MROUND(tblPiNAnalysis[[#This Row],[NUT]]/tblPiNAnalysis[[#This Row],[Población]], 0.05)), "")</f>
        <v>0.05</v>
      </c>
      <c r="S253" s="89">
        <f>IFERROR(IF(tblPiNAnalysis[[#This Row],[SAL]]="", "", MROUND(tblPiNAnalysis[[#This Row],[SAL]]/tblPiNAnalysis[[#This Row],[Población]], 0.05)), "")</f>
        <v>0.45</v>
      </c>
      <c r="T253" s="89">
        <f>IFERROR(IF(tblPiNAnalysis[[#This Row],[EDU]]="", "", MROUND(tblPiNAnalysis[[#This Row],[EDU]]/tblPiNAnalysis[[#This Row],[Población]], 0.05)), "")</f>
        <v>0.05</v>
      </c>
      <c r="U253" s="89">
        <f>IFERROR(IF(tblPiNAnalysis[[#This Row],[PRO]]="", "", MROUND(tblPiNAnalysis[[#This Row],[PRO]]/tblPiNAnalysis[[#This Row],[Población]], 0.05)), "")</f>
        <v>0.05</v>
      </c>
      <c r="V253" s="90">
        <f>IFERROR(IF(tblPiNAnalysis[[#This Row],[ASH]]="", "", MROUND(tblPiNAnalysis[[#This Row],[ASH]]/tblPiNAnalysis[[#This Row],[Población]], 0.05)), "")</f>
        <v>0</v>
      </c>
      <c r="W253" s="89">
        <f>IFERROR(MROUND(tblPiNAnalysis[[#This Row],[NNA]]/tblPiNAnalysis[[#This Row],[Población]], 0.05), "")</f>
        <v>0</v>
      </c>
      <c r="X253" s="89">
        <f>IFERROR(MROUND(tblPiNAnalysis[[#This Row],[VBG]]/tblPiNAnalysis[[#This Row],[Población]], 0.05), "")</f>
        <v>0</v>
      </c>
      <c r="Y253" s="91">
        <f>IFERROR(LARGE(tblPiNAnalysis[[#This Row],[SAMV]:[ASH]], 1), "")</f>
        <v>11200</v>
      </c>
      <c r="Z253" s="92" t="str" cm="1">
        <f t="array" ref="Z253">IF(tblPiNAnalysis[[#This Row],[PiN más alto]]="", "", _xlfn.TEXTJOIN(CHAR(10), TRUE, IF(tblPiNAnalysis[[#This Row],[PiN más alto]]=tblPiNAnalysis[[#This Row],[SAMV]:[ASH]], tblPiNAnalysis[[#Headers],[SAMV]:[ASH]], "")))</f>
        <v>SAL</v>
      </c>
      <c r="AA253" s="93">
        <f>IF(tblPiNAnalysis[[#This Row],[PiN más alto]]="", "", tblPiNAnalysis[[#This Row],[PiN más alto]]/tblPiNAnalysis[[#This Row],[Población]])</f>
        <v>0.45371683208426172</v>
      </c>
      <c r="AB253" s="94" t="str">
        <f>IF(SUM(tblPiNAnalysis[[#This Row],[SAMV]:[ASH]])=0, "",IF(COUNTIF(tblPiNAnalysis[[#This Row],[SAMV]:[ASH]],"=0")+COUNTIF(tblPiNAnalysis[[#This Row],[SAMV]:[ASH]],"")&gt;=zero_pin_thresh, "Flagged", ""))</f>
        <v/>
      </c>
      <c r="AC253" s="95" t="str">
        <f>IFERROR(IF(tblPiNAnalysis[[#This Row],[PiN más alto]]="", "", IF(tblPiNAnalysis[[#This Row],[% PiN Sectores más altos]]&gt;=flag_pin_perc, "Flagged", "")), "")</f>
        <v/>
      </c>
      <c r="AD253" s="96" t="str" cm="1">
        <f t="array" ref="AD253">IF(tblPiNAnalysis[[#This Row],[PiN más alto]]=0, "",  IF(OR(COUNTIF(tblPiNAnalysis[[#This Row],[Sectores más altos]],tblSubSectorPopulation[Sector])), "Flagged", ""))</f>
        <v/>
      </c>
      <c r="AE253" s="16" cm="1">
        <f t="array" ref="AE25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4452</v>
      </c>
      <c r="AF253" s="97" t="str" cm="1">
        <f t="array" ref="AF253">IF(tblPiNAnalysis[[#This Row],[2º PiN más alto]]="", "", _xlfn.TEXTJOIN(CHAR(10), TRUE, IF(tblPiNAnalysis[[#This Row],[2º PiN más alto]]=tblPiNAnalysis[[#This Row],[SAMV]:[ASH]], tblPiNAnalysis[[#Headers],[SAMV]:[ASH]], "")))</f>
        <v>SAMV</v>
      </c>
      <c r="AG253" s="12">
        <f>IFERROR(tblPiNAnalysis[[#This Row],[2º PiN más alto]]/tblPiNAnalysis[[#This Row],[Población]], "")</f>
        <v>0.18035244075349402</v>
      </c>
      <c r="AH253" s="16">
        <f>IFERROR(tblPiNAnalysis[[#This Row],[PiN más alto]]-tblPiNAnalysis[[#This Row],[2º PiN más alto]], "")</f>
        <v>6748</v>
      </c>
      <c r="AI253" s="14">
        <f>IFERROR(((tblPiNAnalysis[[#This Row],[PiN más alto]]-tblPiNAnalysis[[#This Row],[2º PiN más alto]])/tblPiNAnalysis[[#This Row],[2º PiN más alto]]),"")</f>
        <v>1.5157232704402517</v>
      </c>
      <c r="AJ253" s="14" t="str" cm="1">
        <f t="array" ref="AJ25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53" s="98" cm="1">
        <f t="array" ref="AK25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1095.9410729399117</v>
      </c>
      <c r="AL253" s="53" t="str" cm="1">
        <f t="array" ref="AL253">IF(tblPiNAnalysis[[#This Row],[3º PiN más alto]]="", "", _xlfn.TEXTJOIN(CHAR(10), TRUE, IF(tblPiNAnalysis[[#This Row],[3º PiN más alto]]=tblPiNAnalysis[[#This Row],[SAMV]:[ASH]], tblPiNAnalysis[[#Headers],[SAMV]:[ASH]], "")))</f>
        <v>EDU</v>
      </c>
      <c r="AM253" s="53">
        <f>IFERROR(tblPiNAnalysis[[#This Row],[3º PiN más alto]]/tblPiNAnalysis[[#This Row],[Población]], "")</f>
        <v>4.4397045693332457E-2</v>
      </c>
      <c r="AN253" s="15">
        <f>IFERROR(tblPiNAnalysis[[#This Row],[PiN más alto]]-tblPiNAnalysis[[#This Row],[3º PiN más alto]],"")</f>
        <v>10104.058927060089</v>
      </c>
      <c r="AO253" s="14">
        <f>IFERROR(tblPiNAnalysis[[#This Row],[Diferencia de PiN entre el más alto y el 3º más alto]]/tblPiNAnalysis[[#This Row],[3º PiN más alto]], "")</f>
        <v>9.2195275608710343</v>
      </c>
      <c r="AP253" s="96" t="str" cm="1">
        <f t="array" ref="AP25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53" s="84" cm="1">
        <f t="array" ref="AQ253">IFERROR(IF(tblPiNAnalysis[[#This Row],[ID]]="", "", INDEX(tblPiNHistorical[[SAMV]:[ASH]], MATCH(tblPiNAnalysis[[#This Row],[ID]],tblPiNHistorical[ID], 0),MATCH(_xlfn._xlws.FILTER(tblPiNAnalysis[[#Headers],[SAMV]:[ASH]], tblPiNAnalysis[[#This Row],[PiN más alto]]=tblPiNAnalysis[[#This Row],[SAMV]:[ASH]]), tblPiNHistorical[[#Headers],[SAMV]:[ASH]], 0))), "")</f>
        <v>4.8</v>
      </c>
      <c r="AR253" s="99" t="str" cm="1">
        <f t="array" ref="AR25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53" s="74" cm="1">
        <f t="array" ref="AS253">IFERROR(IF(tblPiNAnalysis[[#This Row],[ID]]="", "", INDEX(tblPiNHistorical[[SAMV]:[ASH]], MATCH(tblPiNAnalysis[[#This Row],[ID]],tblPiNHistorical[ID], 0),MATCH(_xlfn._xlws.FILTER(tblPiNAnalysis[[#Headers],[SAMV]:[ASH]], tblPiNAnalysis[[#This Row],[2º PiN más alto]]=tblPiNAnalysis[[#This Row],[SAMV]:[ASH]]), tblPiNHistorical[[#Headers],[SAMV]:[ASH]], 0))), "")</f>
        <v>3.1</v>
      </c>
      <c r="AT253" s="100" t="str" cm="1">
        <f t="array" ref="AT25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53" s="219">
        <f>INDEX(tblSeverityAnalysis[Severidad final], MATCH(tblPiNAnalysis[[#This Row],[ID]],tblSeverityAnalysis[ID], 0))</f>
        <v>2</v>
      </c>
      <c r="AV253" s="220">
        <f>IF(tblPiNAnalysis[[#This Row],[Severidad]]&gt;2,tblPiNAnalysis[[#This Row],[PiN más alto]],)</f>
        <v>0</v>
      </c>
      <c r="AW253" s="54"/>
      <c r="AX253" s="55"/>
      <c r="AY253" s="56">
        <f>COUNTIFS(tblPiNAnalysis[[#This Row],[Número de PiN ausentes/cero superior al umbral - Calidad de los datos]:[Marcador manual]],"Flagged")</f>
        <v>4</v>
      </c>
      <c r="AZ253" s="34" t="str">
        <f>IF(tblPiNAnalysis[[#This Row],[Número de marcadores]]&gt;0, "Flagged", "")</f>
        <v>Flagged</v>
      </c>
      <c r="BA253" s="92">
        <f>tblPiNAnalysis[[#This Row],[PiN preliminar]]</f>
        <v>0</v>
      </c>
      <c r="BB253" s="97"/>
      <c r="BC253" s="70">
        <f>IFERROR(IF(tblPiNAnalysis[[#This Row],[Severidad]]=3,tblPiNAnalysis[[#This Row],[PiN final]]*Umbrales!$D$33,tblPiNAnalysis[[#This Row],[PiN final]]*Umbrales!$D$34),)</f>
        <v>0</v>
      </c>
      <c r="BD253" s="70">
        <f>IFERROR(IF(tblPiNAnalysis[[#This Row],[Severidad]]&gt;3,tblPiNAnalysis[[#This Row],[PiN final]]*Umbrales!$D$34,),)</f>
        <v>0</v>
      </c>
    </row>
    <row r="254" spans="1:56">
      <c r="A254" s="101" t="str">
        <f>IFERROR(_xlfn.CONCAT(IF(tblPiNAnalysis[[#This Row],[Grupo]]="", "",tblPiNAnalysis[[#This Row],[Grupo]] ),  _xlfn.IFS(tblPiNAnalysis[[#This Row],[Admin2PCODE]]&lt;&gt;"", tblPiNAnalysis[[#This Row],[Admin2PCODE]], tblPiNAnalysis[[#This Row],[Admin1PCODE]]&lt;&gt;"", tblPiNAnalysis[[#This Row],[Admin1PCODE]])),"")</f>
        <v>VenezolanosVE0801</v>
      </c>
      <c r="B254" s="105" t="s">
        <v>261</v>
      </c>
      <c r="C254" s="104" t="s">
        <v>262</v>
      </c>
      <c r="D254" s="119" t="s">
        <v>263</v>
      </c>
      <c r="E254" s="104" t="s">
        <v>264</v>
      </c>
      <c r="F254" s="358"/>
      <c r="G254" s="357">
        <v>49631</v>
      </c>
      <c r="H254" s="103" t="s">
        <v>102</v>
      </c>
      <c r="I254" s="60">
        <v>6633</v>
      </c>
      <c r="J254" s="134">
        <v>2740.1407555150554</v>
      </c>
      <c r="K254" s="57">
        <v>18115.314999999999</v>
      </c>
      <c r="L254" s="87">
        <v>6869.3296573939679</v>
      </c>
      <c r="M254" s="87">
        <v>9858.3672104852449</v>
      </c>
      <c r="N254" s="57">
        <v>0</v>
      </c>
      <c r="O254" s="57">
        <v>3164.5358745657636</v>
      </c>
      <c r="P254" s="57">
        <v>3450.4285236698356</v>
      </c>
      <c r="Q254" s="88">
        <f>IFERROR(IF(tblPiNAnalysis[[#This Row],[SAMV]]="", "", MROUND(tblPiNAnalysis[[#This Row],[SAMV]]/tblPiNAnalysis[[#This Row],[Población]], 0.05)), "")</f>
        <v>0.15000000000000002</v>
      </c>
      <c r="R254" s="89">
        <f>IFERROR(IF(tblPiNAnalysis[[#This Row],[NUT]]="", "", MROUND(tblPiNAnalysis[[#This Row],[NUT]]/tblPiNAnalysis[[#This Row],[Población]], 0.05)), "")</f>
        <v>0.05</v>
      </c>
      <c r="S254" s="89">
        <f>IFERROR(IF(tblPiNAnalysis[[#This Row],[SAL]]="", "", MROUND(tblPiNAnalysis[[#This Row],[SAL]]/tblPiNAnalysis[[#This Row],[Población]], 0.05)), "")</f>
        <v>0.35000000000000003</v>
      </c>
      <c r="T254" s="89">
        <f>IFERROR(IF(tblPiNAnalysis[[#This Row],[EDU]]="", "", MROUND(tblPiNAnalysis[[#This Row],[EDU]]/tblPiNAnalysis[[#This Row],[Población]], 0.05)), "")</f>
        <v>0.15000000000000002</v>
      </c>
      <c r="U254" s="89">
        <f>IFERROR(IF(tblPiNAnalysis[[#This Row],[PRO]]="", "", MROUND(tblPiNAnalysis[[#This Row],[PRO]]/tblPiNAnalysis[[#This Row],[Población]], 0.05)), "")</f>
        <v>0.2</v>
      </c>
      <c r="V254" s="90">
        <f>IFERROR(IF(tblPiNAnalysis[[#This Row],[ASH]]="", "", MROUND(tblPiNAnalysis[[#This Row],[ASH]]/tblPiNAnalysis[[#This Row],[Población]], 0.05)), "")</f>
        <v>0</v>
      </c>
      <c r="W254" s="89">
        <f>IFERROR(MROUND(tblPiNAnalysis[[#This Row],[NNA]]/tblPiNAnalysis[[#This Row],[Población]], 0.05), "")</f>
        <v>0.05</v>
      </c>
      <c r="X254" s="89">
        <f>IFERROR(MROUND(tblPiNAnalysis[[#This Row],[VBG]]/tblPiNAnalysis[[#This Row],[Población]], 0.05), "")</f>
        <v>0.05</v>
      </c>
      <c r="Y254" s="91">
        <f>IFERROR(LARGE(tblPiNAnalysis[[#This Row],[SAMV]:[ASH]], 1), "")</f>
        <v>18115.314999999999</v>
      </c>
      <c r="Z254" s="92" t="str" cm="1">
        <f t="array" ref="Z254">IF(tblPiNAnalysis[[#This Row],[PiN más alto]]="", "", _xlfn.TEXTJOIN(CHAR(10), TRUE, IF(tblPiNAnalysis[[#This Row],[PiN más alto]]=tblPiNAnalysis[[#This Row],[SAMV]:[ASH]], tblPiNAnalysis[[#Headers],[SAMV]:[ASH]], "")))</f>
        <v>SAL</v>
      </c>
      <c r="AA254" s="93">
        <f>IF(tblPiNAnalysis[[#This Row],[PiN más alto]]="", "", tblPiNAnalysis[[#This Row],[PiN más alto]]/tblPiNAnalysis[[#This Row],[Población]])</f>
        <v>0.36499999999999999</v>
      </c>
      <c r="AB254" s="94" t="str">
        <f>IF(SUM(tblPiNAnalysis[[#This Row],[SAMV]:[ASH]])=0, "",IF(COUNTIF(tblPiNAnalysis[[#This Row],[SAMV]:[ASH]],"=0")+COUNTIF(tblPiNAnalysis[[#This Row],[SAMV]:[ASH]],"")&gt;=zero_pin_thresh, "Flagged", ""))</f>
        <v/>
      </c>
      <c r="AC254" s="95" t="str">
        <f>IFERROR(IF(tblPiNAnalysis[[#This Row],[PiN más alto]]="", "", IF(tblPiNAnalysis[[#This Row],[% PiN Sectores más altos]]&gt;=flag_pin_perc, "Flagged", "")), "")</f>
        <v/>
      </c>
      <c r="AD254" s="96" t="str" cm="1">
        <f t="array" ref="AD254">IF(tblPiNAnalysis[[#This Row],[PiN más alto]]=0, "",  IF(OR(COUNTIF(tblPiNAnalysis[[#This Row],[Sectores más altos]],tblSubSectorPopulation[Sector])), "Flagged", ""))</f>
        <v/>
      </c>
      <c r="AE254" s="16" cm="1">
        <f t="array" ref="AE25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9858.3672104852449</v>
      </c>
      <c r="AF254" s="97" t="str" cm="1">
        <f t="array" ref="AF254">IF(tblPiNAnalysis[[#This Row],[2º PiN más alto]]="", "", _xlfn.TEXTJOIN(CHAR(10), TRUE, IF(tblPiNAnalysis[[#This Row],[2º PiN más alto]]=tblPiNAnalysis[[#This Row],[SAMV]:[ASH]], tblPiNAnalysis[[#Headers],[SAMV]:[ASH]], "")))</f>
        <v>PRO</v>
      </c>
      <c r="AG254" s="12">
        <f>IFERROR(tblPiNAnalysis[[#This Row],[2º PiN más alto]]/tblPiNAnalysis[[#This Row],[Población]], "")</f>
        <v>0.19863325765117054</v>
      </c>
      <c r="AH254" s="16">
        <f>IFERROR(tblPiNAnalysis[[#This Row],[PiN más alto]]-tblPiNAnalysis[[#This Row],[2º PiN más alto]], "")</f>
        <v>8256.9477895147538</v>
      </c>
      <c r="AI254" s="14">
        <f>IFERROR(((tblPiNAnalysis[[#This Row],[PiN más alto]]-tblPiNAnalysis[[#This Row],[2º PiN más alto]])/tblPiNAnalysis[[#This Row],[2º PiN más alto]]),"")</f>
        <v>0.83755733715546321</v>
      </c>
      <c r="AJ254" s="14" t="str" cm="1">
        <f t="array" ref="AJ25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54" s="98" cm="1">
        <f t="array" ref="AK25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6869.3296573939679</v>
      </c>
      <c r="AL254" s="53" t="str" cm="1">
        <f t="array" ref="AL254">IF(tblPiNAnalysis[[#This Row],[3º PiN más alto]]="", "", _xlfn.TEXTJOIN(CHAR(10), TRUE, IF(tblPiNAnalysis[[#This Row],[3º PiN más alto]]=tblPiNAnalysis[[#This Row],[SAMV]:[ASH]], tblPiNAnalysis[[#Headers],[SAMV]:[ASH]], "")))</f>
        <v>EDU</v>
      </c>
      <c r="AM254" s="53">
        <f>IFERROR(tblPiNAnalysis[[#This Row],[3º PiN más alto]]/tblPiNAnalysis[[#This Row],[Población]], "")</f>
        <v>0.13840804451641048</v>
      </c>
      <c r="AN254" s="15">
        <f>IFERROR(tblPiNAnalysis[[#This Row],[PiN más alto]]-tblPiNAnalysis[[#This Row],[3º PiN más alto]],"")</f>
        <v>11245.985342606031</v>
      </c>
      <c r="AO254" s="14">
        <f>IFERROR(tblPiNAnalysis[[#This Row],[Diferencia de PiN entre el más alto y el 3º más alto]]/tblPiNAnalysis[[#This Row],[3º PiN más alto]], "")</f>
        <v>1.6371299535029804</v>
      </c>
      <c r="AP254" s="96" t="str" cm="1">
        <f t="array" ref="AP25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54" s="84" cm="1">
        <f t="array" ref="AQ254">IFERROR(IF(tblPiNAnalysis[[#This Row],[ID]]="", "", INDEX(tblPiNHistorical[[SAMV]:[ASH]], MATCH(tblPiNAnalysis[[#This Row],[ID]],tblPiNHistorical[ID], 0),MATCH(_xlfn._xlws.FILTER(tblPiNAnalysis[[#Headers],[SAMV]:[ASH]], tblPiNAnalysis[[#This Row],[PiN más alto]]=tblPiNAnalysis[[#This Row],[SAMV]:[ASH]]), tblPiNHistorical[[#Headers],[SAMV]:[ASH]], 0))), "")</f>
        <v>1.2</v>
      </c>
      <c r="AR254" s="99" t="str" cm="1">
        <f t="array" ref="AR25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54" s="74" cm="1">
        <f t="array" ref="AS254">IFERROR(IF(tblPiNAnalysis[[#This Row],[ID]]="", "", INDEX(tblPiNHistorical[[SAMV]:[ASH]], MATCH(tblPiNAnalysis[[#This Row],[ID]],tblPiNHistorical[ID], 0),MATCH(_xlfn._xlws.FILTER(tblPiNAnalysis[[#Headers],[SAMV]:[ASH]], tblPiNAnalysis[[#This Row],[2º PiN más alto]]=tblPiNAnalysis[[#This Row],[SAMV]:[ASH]]), tblPiNHistorical[[#Headers],[SAMV]:[ASH]], 0))), "")</f>
        <v>-0.4</v>
      </c>
      <c r="AT254" s="100" t="str" cm="1">
        <f t="array" ref="AT25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54" s="219">
        <f>INDEX(tblSeverityAnalysis[Severidad final], MATCH(tblPiNAnalysis[[#This Row],[ID]],tblSeverityAnalysis[ID], 0))</f>
        <v>2</v>
      </c>
      <c r="AV254" s="220">
        <f>IF(tblPiNAnalysis[[#This Row],[Severidad]]&gt;2,tblPiNAnalysis[[#This Row],[PiN más alto]],)</f>
        <v>0</v>
      </c>
      <c r="AW254" s="54"/>
      <c r="AX254" s="55"/>
      <c r="AY254" s="56">
        <f>COUNTIFS(tblPiNAnalysis[[#This Row],[Número de PiN ausentes/cero superior al umbral - Calidad de los datos]:[Marcador manual]],"Flagged")</f>
        <v>3</v>
      </c>
      <c r="AZ254" s="34" t="str">
        <f>IF(tblPiNAnalysis[[#This Row],[Número de marcadores]]&gt;0, "Flagged", "")</f>
        <v>Flagged</v>
      </c>
      <c r="BA254" s="92">
        <f>tblPiNAnalysis[[#This Row],[PiN preliminar]]</f>
        <v>0</v>
      </c>
      <c r="BB254" s="97"/>
      <c r="BC254" s="70">
        <f>IFERROR(IF(tblPiNAnalysis[[#This Row],[Severidad]]=3,tblPiNAnalysis[[#This Row],[PiN final]]*Umbrales!$D$33,tblPiNAnalysis[[#This Row],[PiN final]]*Umbrales!$D$34),)</f>
        <v>0</v>
      </c>
      <c r="BD254" s="70">
        <f>IFERROR(IF(tblPiNAnalysis[[#This Row],[Severidad]]&gt;3,tblPiNAnalysis[[#This Row],[PiN final]]*Umbrales!$D$34,),)</f>
        <v>0</v>
      </c>
    </row>
    <row r="255" spans="1:56">
      <c r="A255" s="101" t="str">
        <f>IFERROR(_xlfn.CONCAT(IF(tblPiNAnalysis[[#This Row],[Grupo]]="", "",tblPiNAnalysis[[#This Row],[Grupo]] ),  _xlfn.IFS(tblPiNAnalysis[[#This Row],[Admin2PCODE]]&lt;&gt;"", tblPiNAnalysis[[#This Row],[Admin2PCODE]], tblPiNAnalysis[[#This Row],[Admin1PCODE]]&lt;&gt;"", tblPiNAnalysis[[#This Row],[Admin1PCODE]])),"")</f>
        <v>VenezolanosVE0803</v>
      </c>
      <c r="B255" s="105" t="s">
        <v>261</v>
      </c>
      <c r="C255" s="104" t="s">
        <v>262</v>
      </c>
      <c r="D255" s="119" t="s">
        <v>267</v>
      </c>
      <c r="E255" s="104" t="s">
        <v>268</v>
      </c>
      <c r="F255" s="358"/>
      <c r="G255" s="357">
        <v>106893</v>
      </c>
      <c r="H255" s="103" t="s">
        <v>102</v>
      </c>
      <c r="I255" s="60">
        <v>4157</v>
      </c>
      <c r="J255" s="134">
        <v>3921.4168690948582</v>
      </c>
      <c r="K255" s="57">
        <v>39015.945</v>
      </c>
      <c r="L255" s="87">
        <v>17343.303575727121</v>
      </c>
      <c r="M255" s="87">
        <v>25479.00577212789</v>
      </c>
      <c r="N255" s="57">
        <v>0</v>
      </c>
      <c r="O255" s="57">
        <v>8153.2818470809252</v>
      </c>
      <c r="P255" s="57">
        <v>8917.6520202447609</v>
      </c>
      <c r="Q255" s="88">
        <f>IFERROR(IF(tblPiNAnalysis[[#This Row],[SAMV]]="", "", MROUND(tblPiNAnalysis[[#This Row],[SAMV]]/tblPiNAnalysis[[#This Row],[Población]], 0.05)), "")</f>
        <v>0.05</v>
      </c>
      <c r="R255" s="89">
        <f>IFERROR(IF(tblPiNAnalysis[[#This Row],[NUT]]="", "", MROUND(tblPiNAnalysis[[#This Row],[NUT]]/tblPiNAnalysis[[#This Row],[Población]], 0.05)), "")</f>
        <v>0.05</v>
      </c>
      <c r="S255" s="89">
        <f>IFERROR(IF(tblPiNAnalysis[[#This Row],[SAL]]="", "", MROUND(tblPiNAnalysis[[#This Row],[SAL]]/tblPiNAnalysis[[#This Row],[Población]], 0.05)), "")</f>
        <v>0.35000000000000003</v>
      </c>
      <c r="T255" s="89">
        <f>IFERROR(IF(tblPiNAnalysis[[#This Row],[EDU]]="", "", MROUND(tblPiNAnalysis[[#This Row],[EDU]]/tblPiNAnalysis[[#This Row],[Población]], 0.05)), "")</f>
        <v>0.15000000000000002</v>
      </c>
      <c r="U255" s="89">
        <f>IFERROR(IF(tblPiNAnalysis[[#This Row],[PRO]]="", "", MROUND(tblPiNAnalysis[[#This Row],[PRO]]/tblPiNAnalysis[[#This Row],[Población]], 0.05)), "")</f>
        <v>0.25</v>
      </c>
      <c r="V255" s="90">
        <f>IFERROR(IF(tblPiNAnalysis[[#This Row],[ASH]]="", "", MROUND(tblPiNAnalysis[[#This Row],[ASH]]/tblPiNAnalysis[[#This Row],[Población]], 0.05)), "")</f>
        <v>0</v>
      </c>
      <c r="W255" s="89">
        <f>IFERROR(MROUND(tblPiNAnalysis[[#This Row],[NNA]]/tblPiNAnalysis[[#This Row],[Población]], 0.05), "")</f>
        <v>0.1</v>
      </c>
      <c r="X255" s="89">
        <f>IFERROR(MROUND(tblPiNAnalysis[[#This Row],[VBG]]/tblPiNAnalysis[[#This Row],[Población]], 0.05), "")</f>
        <v>0.1</v>
      </c>
      <c r="Y255" s="91">
        <f>IFERROR(LARGE(tblPiNAnalysis[[#This Row],[SAMV]:[ASH]], 1), "")</f>
        <v>39015.945</v>
      </c>
      <c r="Z255" s="92" t="str" cm="1">
        <f t="array" ref="Z255">IF(tblPiNAnalysis[[#This Row],[PiN más alto]]="", "", _xlfn.TEXTJOIN(CHAR(10), TRUE, IF(tblPiNAnalysis[[#This Row],[PiN más alto]]=tblPiNAnalysis[[#This Row],[SAMV]:[ASH]], tblPiNAnalysis[[#Headers],[SAMV]:[ASH]], "")))</f>
        <v>SAL</v>
      </c>
      <c r="AA255" s="93">
        <f>IF(tblPiNAnalysis[[#This Row],[PiN más alto]]="", "", tblPiNAnalysis[[#This Row],[PiN más alto]]/tblPiNAnalysis[[#This Row],[Población]])</f>
        <v>0.36499999999999999</v>
      </c>
      <c r="AB255" s="94" t="str">
        <f>IF(SUM(tblPiNAnalysis[[#This Row],[SAMV]:[ASH]])=0, "",IF(COUNTIF(tblPiNAnalysis[[#This Row],[SAMV]:[ASH]],"=0")+COUNTIF(tblPiNAnalysis[[#This Row],[SAMV]:[ASH]],"")&gt;=zero_pin_thresh, "Flagged", ""))</f>
        <v/>
      </c>
      <c r="AC255" s="95" t="str">
        <f>IFERROR(IF(tblPiNAnalysis[[#This Row],[PiN más alto]]="", "", IF(tblPiNAnalysis[[#This Row],[% PiN Sectores más altos]]&gt;=flag_pin_perc, "Flagged", "")), "")</f>
        <v/>
      </c>
      <c r="AD255" s="96" t="str" cm="1">
        <f t="array" ref="AD255">IF(tblPiNAnalysis[[#This Row],[PiN más alto]]=0, "",  IF(OR(COUNTIF(tblPiNAnalysis[[#This Row],[Sectores más altos]],tblSubSectorPopulation[Sector])), "Flagged", ""))</f>
        <v/>
      </c>
      <c r="AE255" s="16" cm="1">
        <f t="array" ref="AE25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25479.00577212789</v>
      </c>
      <c r="AF255" s="97" t="str" cm="1">
        <f t="array" ref="AF255">IF(tblPiNAnalysis[[#This Row],[2º PiN más alto]]="", "", _xlfn.TEXTJOIN(CHAR(10), TRUE, IF(tblPiNAnalysis[[#This Row],[2º PiN más alto]]=tblPiNAnalysis[[#This Row],[SAMV]:[ASH]], tblPiNAnalysis[[#Headers],[SAMV]:[ASH]], "")))</f>
        <v>PRO</v>
      </c>
      <c r="AG255" s="12">
        <f>IFERROR(tblPiNAnalysis[[#This Row],[2º PiN más alto]]/tblPiNAnalysis[[#This Row],[Población]], "")</f>
        <v>0.23835990918140468</v>
      </c>
      <c r="AH255" s="16">
        <f>IFERROR(tblPiNAnalysis[[#This Row],[PiN más alto]]-tblPiNAnalysis[[#This Row],[2º PiN más alto]], "")</f>
        <v>13536.93922787211</v>
      </c>
      <c r="AI255" s="14">
        <f>IFERROR(((tblPiNAnalysis[[#This Row],[PiN más alto]]-tblPiNAnalysis[[#This Row],[2º PiN más alto]])/tblPiNAnalysis[[#This Row],[2º PiN más alto]]),"")</f>
        <v>0.53129778096288593</v>
      </c>
      <c r="AJ255" s="14" t="str" cm="1">
        <f t="array" ref="AJ25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55" s="98" cm="1">
        <f t="array" ref="AK25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17343.303575727121</v>
      </c>
      <c r="AL255" s="53" t="str" cm="1">
        <f t="array" ref="AL255">IF(tblPiNAnalysis[[#This Row],[3º PiN más alto]]="", "", _xlfn.TEXTJOIN(CHAR(10), TRUE, IF(tblPiNAnalysis[[#This Row],[3º PiN más alto]]=tblPiNAnalysis[[#This Row],[SAMV]:[ASH]], tblPiNAnalysis[[#Headers],[SAMV]:[ASH]], "")))</f>
        <v>EDU</v>
      </c>
      <c r="AM255" s="53">
        <f>IFERROR(tblPiNAnalysis[[#This Row],[3º PiN más alto]]/tblPiNAnalysis[[#This Row],[Población]], "")</f>
        <v>0.16224919850436531</v>
      </c>
      <c r="AN255" s="15">
        <f>IFERROR(tblPiNAnalysis[[#This Row],[PiN más alto]]-tblPiNAnalysis[[#This Row],[3º PiN más alto]],"")</f>
        <v>21672.641424272879</v>
      </c>
      <c r="AO255" s="14">
        <f>IFERROR(tblPiNAnalysis[[#This Row],[Diferencia de PiN entre el más alto y el 3º más alto]]/tblPiNAnalysis[[#This Row],[3º PiN más alto]], "")</f>
        <v>1.2496259048711398</v>
      </c>
      <c r="AP255" s="96" t="str" cm="1">
        <f t="array" ref="AP25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55" s="84" cm="1">
        <f t="array" ref="AQ255">IFERROR(IF(tblPiNAnalysis[[#This Row],[ID]]="", "", INDEX(tblPiNHistorical[[SAMV]:[ASH]], MATCH(tblPiNAnalysis[[#This Row],[ID]],tblPiNHistorical[ID], 0),MATCH(_xlfn._xlws.FILTER(tblPiNAnalysis[[#Headers],[SAMV]:[ASH]], tblPiNAnalysis[[#This Row],[PiN más alto]]=tblPiNAnalysis[[#This Row],[SAMV]:[ASH]]), tblPiNHistorical[[#Headers],[SAMV]:[ASH]], 0))), "")</f>
        <v>0</v>
      </c>
      <c r="AR255" s="99" t="str" cm="1">
        <f t="array" ref="AR25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55" s="74" cm="1">
        <f t="array" ref="AS255">IFERROR(IF(tblPiNAnalysis[[#This Row],[ID]]="", "", INDEX(tblPiNHistorical[[SAMV]:[ASH]], MATCH(tblPiNAnalysis[[#This Row],[ID]],tblPiNHistorical[ID], 0),MATCH(_xlfn._xlws.FILTER(tblPiNAnalysis[[#Headers],[SAMV]:[ASH]], tblPiNAnalysis[[#This Row],[2º PiN más alto]]=tblPiNAnalysis[[#This Row],[SAMV]:[ASH]]), tblPiNHistorical[[#Headers],[SAMV]:[ASH]], 0))), "")</f>
        <v>-0.5</v>
      </c>
      <c r="AT255" s="100" t="str" cm="1">
        <f t="array" ref="AT25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55" s="219">
        <f>INDEX(tblSeverityAnalysis[Severidad final], MATCH(tblPiNAnalysis[[#This Row],[ID]],tblSeverityAnalysis[ID], 0))</f>
        <v>2</v>
      </c>
      <c r="AV255" s="220">
        <f>IF(tblPiNAnalysis[[#This Row],[Severidad]]&gt;2,tblPiNAnalysis[[#This Row],[PiN más alto]],)</f>
        <v>0</v>
      </c>
      <c r="AW255" s="54"/>
      <c r="AX255" s="55"/>
      <c r="AY255" s="56">
        <f>COUNTIFS(tblPiNAnalysis[[#This Row],[Número de PiN ausentes/cero superior al umbral - Calidad de los datos]:[Marcador manual]],"Flagged")</f>
        <v>2</v>
      </c>
      <c r="AZ255" s="34" t="str">
        <f>IF(tblPiNAnalysis[[#This Row],[Número de marcadores]]&gt;0, "Flagged", "")</f>
        <v>Flagged</v>
      </c>
      <c r="BA255" s="92">
        <f>tblPiNAnalysis[[#This Row],[PiN preliminar]]</f>
        <v>0</v>
      </c>
      <c r="BB255" s="97"/>
      <c r="BC255" s="70">
        <f>IFERROR(IF(tblPiNAnalysis[[#This Row],[Severidad]]=3,tblPiNAnalysis[[#This Row],[PiN final]]*Umbrales!$D$33,tblPiNAnalysis[[#This Row],[PiN final]]*Umbrales!$D$34),)</f>
        <v>0</v>
      </c>
      <c r="BD255" s="70">
        <f>IFERROR(IF(tblPiNAnalysis[[#This Row],[Severidad]]&gt;3,tblPiNAnalysis[[#This Row],[PiN final]]*Umbrales!$D$34,),)</f>
        <v>0</v>
      </c>
    </row>
    <row r="256" spans="1:56">
      <c r="A256" s="101" t="str">
        <f>IFERROR(_xlfn.CONCAT(IF(tblPiNAnalysis[[#This Row],[Grupo]]="", "",tblPiNAnalysis[[#This Row],[Grupo]] ),  _xlfn.IFS(tblPiNAnalysis[[#This Row],[Admin2PCODE]]&lt;&gt;"", tblPiNAnalysis[[#This Row],[Admin2PCODE]], tblPiNAnalysis[[#This Row],[Admin1PCODE]]&lt;&gt;"", tblPiNAnalysis[[#This Row],[Admin1PCODE]])),"")</f>
        <v>VenezolanosVE0804</v>
      </c>
      <c r="B256" s="105" t="s">
        <v>261</v>
      </c>
      <c r="C256" s="104" t="s">
        <v>262</v>
      </c>
      <c r="D256" s="119" t="s">
        <v>269</v>
      </c>
      <c r="E256" s="104" t="s">
        <v>270</v>
      </c>
      <c r="F256" s="358"/>
      <c r="G256" s="357">
        <v>180200</v>
      </c>
      <c r="H256" s="103" t="s">
        <v>102</v>
      </c>
      <c r="I256" s="60">
        <v>9408</v>
      </c>
      <c r="J256" s="134">
        <v>6357.5386841085128</v>
      </c>
      <c r="K256" s="57">
        <v>65773</v>
      </c>
      <c r="L256" s="87">
        <v>25902.874823037222</v>
      </c>
      <c r="M256" s="87">
        <v>42952.455634489117</v>
      </c>
      <c r="N256" s="57">
        <v>0</v>
      </c>
      <c r="O256" s="57">
        <v>13787.738258671006</v>
      </c>
      <c r="P256" s="57">
        <v>15033.359472071188</v>
      </c>
      <c r="Q256" s="88">
        <f>IFERROR(IF(tblPiNAnalysis[[#This Row],[SAMV]]="", "", MROUND(tblPiNAnalysis[[#This Row],[SAMV]]/tblPiNAnalysis[[#This Row],[Población]], 0.05)), "")</f>
        <v>0.05</v>
      </c>
      <c r="R256" s="89">
        <f>IFERROR(IF(tblPiNAnalysis[[#This Row],[NUT]]="", "", MROUND(tblPiNAnalysis[[#This Row],[NUT]]/tblPiNAnalysis[[#This Row],[Población]], 0.05)), "")</f>
        <v>0.05</v>
      </c>
      <c r="S256" s="89">
        <f>IFERROR(IF(tblPiNAnalysis[[#This Row],[SAL]]="", "", MROUND(tblPiNAnalysis[[#This Row],[SAL]]/tblPiNAnalysis[[#This Row],[Población]], 0.05)), "")</f>
        <v>0.35000000000000003</v>
      </c>
      <c r="T256" s="89">
        <f>IFERROR(IF(tblPiNAnalysis[[#This Row],[EDU]]="", "", MROUND(tblPiNAnalysis[[#This Row],[EDU]]/tblPiNAnalysis[[#This Row],[Población]], 0.05)), "")</f>
        <v>0.15000000000000002</v>
      </c>
      <c r="U256" s="89">
        <f>IFERROR(IF(tblPiNAnalysis[[#This Row],[PRO]]="", "", MROUND(tblPiNAnalysis[[#This Row],[PRO]]/tblPiNAnalysis[[#This Row],[Población]], 0.05)), "")</f>
        <v>0.25</v>
      </c>
      <c r="V256" s="90">
        <f>IFERROR(IF(tblPiNAnalysis[[#This Row],[ASH]]="", "", MROUND(tblPiNAnalysis[[#This Row],[ASH]]/tblPiNAnalysis[[#This Row],[Población]], 0.05)), "")</f>
        <v>0</v>
      </c>
      <c r="W256" s="89">
        <f>IFERROR(MROUND(tblPiNAnalysis[[#This Row],[NNA]]/tblPiNAnalysis[[#This Row],[Población]], 0.05), "")</f>
        <v>0.1</v>
      </c>
      <c r="X256" s="89">
        <f>IFERROR(MROUND(tblPiNAnalysis[[#This Row],[VBG]]/tblPiNAnalysis[[#This Row],[Población]], 0.05), "")</f>
        <v>0.1</v>
      </c>
      <c r="Y256" s="91">
        <f>IFERROR(LARGE(tblPiNAnalysis[[#This Row],[SAMV]:[ASH]], 1), "")</f>
        <v>65773</v>
      </c>
      <c r="Z256" s="92" t="str" cm="1">
        <f t="array" ref="Z256">IF(tblPiNAnalysis[[#This Row],[PiN más alto]]="", "", _xlfn.TEXTJOIN(CHAR(10), TRUE, IF(tblPiNAnalysis[[#This Row],[PiN más alto]]=tblPiNAnalysis[[#This Row],[SAMV]:[ASH]], tblPiNAnalysis[[#Headers],[SAMV]:[ASH]], "")))</f>
        <v>SAL</v>
      </c>
      <c r="AA256" s="93">
        <f>IF(tblPiNAnalysis[[#This Row],[PiN más alto]]="", "", tblPiNAnalysis[[#This Row],[PiN más alto]]/tblPiNAnalysis[[#This Row],[Población]])</f>
        <v>0.36499999999999999</v>
      </c>
      <c r="AB256" s="94" t="str">
        <f>IF(SUM(tblPiNAnalysis[[#This Row],[SAMV]:[ASH]])=0, "",IF(COUNTIF(tblPiNAnalysis[[#This Row],[SAMV]:[ASH]],"=0")+COUNTIF(tblPiNAnalysis[[#This Row],[SAMV]:[ASH]],"")&gt;=zero_pin_thresh, "Flagged", ""))</f>
        <v/>
      </c>
      <c r="AC256" s="95" t="str">
        <f>IFERROR(IF(tblPiNAnalysis[[#This Row],[PiN más alto]]="", "", IF(tblPiNAnalysis[[#This Row],[% PiN Sectores más altos]]&gt;=flag_pin_perc, "Flagged", "")), "")</f>
        <v/>
      </c>
      <c r="AD256" s="96" t="str" cm="1">
        <f t="array" ref="AD256">IF(tblPiNAnalysis[[#This Row],[PiN más alto]]=0, "",  IF(OR(COUNTIF(tblPiNAnalysis[[#This Row],[Sectores más altos]],tblSubSectorPopulation[Sector])), "Flagged", ""))</f>
        <v/>
      </c>
      <c r="AE256" s="16" cm="1">
        <f t="array" ref="AE25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42952.455634489117</v>
      </c>
      <c r="AF256" s="97" t="str" cm="1">
        <f t="array" ref="AF256">IF(tblPiNAnalysis[[#This Row],[2º PiN más alto]]="", "", _xlfn.TEXTJOIN(CHAR(10), TRUE, IF(tblPiNAnalysis[[#This Row],[2º PiN más alto]]=tblPiNAnalysis[[#This Row],[SAMV]:[ASH]], tblPiNAnalysis[[#Headers],[SAMV]:[ASH]], "")))</f>
        <v>PRO</v>
      </c>
      <c r="AG256" s="12">
        <f>IFERROR(tblPiNAnalysis[[#This Row],[2º PiN más alto]]/tblPiNAnalysis[[#This Row],[Población]], "")</f>
        <v>0.23835990918140465</v>
      </c>
      <c r="AH256" s="16">
        <f>IFERROR(tblPiNAnalysis[[#This Row],[PiN más alto]]-tblPiNAnalysis[[#This Row],[2º PiN más alto]], "")</f>
        <v>22820.544365510883</v>
      </c>
      <c r="AI256" s="14">
        <f>IFERROR(((tblPiNAnalysis[[#This Row],[PiN más alto]]-tblPiNAnalysis[[#This Row],[2º PiN más alto]])/tblPiNAnalysis[[#This Row],[2º PiN más alto]]),"")</f>
        <v>0.53129778096288616</v>
      </c>
      <c r="AJ256" s="14" t="str" cm="1">
        <f t="array" ref="AJ25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56" s="98" cm="1">
        <f t="array" ref="AK25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25902.874823037222</v>
      </c>
      <c r="AL256" s="53" t="str" cm="1">
        <f t="array" ref="AL256">IF(tblPiNAnalysis[[#This Row],[3º PiN más alto]]="", "", _xlfn.TEXTJOIN(CHAR(10), TRUE, IF(tblPiNAnalysis[[#This Row],[3º PiN más alto]]=tblPiNAnalysis[[#This Row],[SAMV]:[ASH]], tblPiNAnalysis[[#Headers],[SAMV]:[ASH]], "")))</f>
        <v>EDU</v>
      </c>
      <c r="AM256" s="53">
        <f>IFERROR(tblPiNAnalysis[[#This Row],[3º PiN más alto]]/tblPiNAnalysis[[#This Row],[Población]], "")</f>
        <v>0.14374514330209334</v>
      </c>
      <c r="AN256" s="15">
        <f>IFERROR(tblPiNAnalysis[[#This Row],[PiN más alto]]-tblPiNAnalysis[[#This Row],[3º PiN más alto]],"")</f>
        <v>39870.125176962778</v>
      </c>
      <c r="AO256" s="14">
        <f>IFERROR(tblPiNAnalysis[[#This Row],[Diferencia de PiN entre el más alto y el 3º más alto]]/tblPiNAnalysis[[#This Row],[3º PiN más alto]], "")</f>
        <v>1.5392162240425729</v>
      </c>
      <c r="AP256" s="96" t="str" cm="1">
        <f t="array" ref="AP25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56" s="84" cm="1">
        <f t="array" ref="AQ256">IFERROR(IF(tblPiNAnalysis[[#This Row],[ID]]="", "", INDEX(tblPiNHistorical[[SAMV]:[ASH]], MATCH(tblPiNAnalysis[[#This Row],[ID]],tblPiNHistorical[ID], 0),MATCH(_xlfn._xlws.FILTER(tblPiNAnalysis[[#Headers],[SAMV]:[ASH]], tblPiNAnalysis[[#This Row],[PiN más alto]]=tblPiNAnalysis[[#This Row],[SAMV]:[ASH]]), tblPiNHistorical[[#Headers],[SAMV]:[ASH]], 0))), "")</f>
        <v>-0.4</v>
      </c>
      <c r="AR256" s="99" t="str" cm="1">
        <f t="array" ref="AR25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56" s="74" cm="1">
        <f t="array" ref="AS256">IFERROR(IF(tblPiNAnalysis[[#This Row],[ID]]="", "", INDEX(tblPiNHistorical[[SAMV]:[ASH]], MATCH(tblPiNAnalysis[[#This Row],[ID]],tblPiNHistorical[ID], 0),MATCH(_xlfn._xlws.FILTER(tblPiNAnalysis[[#Headers],[SAMV]:[ASH]], tblPiNAnalysis[[#This Row],[2º PiN más alto]]=tblPiNAnalysis[[#This Row],[SAMV]:[ASH]]), tblPiNHistorical[[#Headers],[SAMV]:[ASH]], 0))), "")</f>
        <v>-0.7</v>
      </c>
      <c r="AT256" s="100" t="str" cm="1">
        <f t="array" ref="AT25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56" s="219">
        <f>INDEX(tblSeverityAnalysis[Severidad final], MATCH(tblPiNAnalysis[[#This Row],[ID]],tblSeverityAnalysis[ID], 0))</f>
        <v>2</v>
      </c>
      <c r="AV256" s="220">
        <f>IF(tblPiNAnalysis[[#This Row],[Severidad]]&gt;2,tblPiNAnalysis[[#This Row],[PiN más alto]],)</f>
        <v>0</v>
      </c>
      <c r="AW256" s="54"/>
      <c r="AX256" s="55"/>
      <c r="AY256" s="56">
        <f>COUNTIFS(tblPiNAnalysis[[#This Row],[Número de PiN ausentes/cero superior al umbral - Calidad de los datos]:[Marcador manual]],"Flagged")</f>
        <v>2</v>
      </c>
      <c r="AZ256" s="34" t="str">
        <f>IF(tblPiNAnalysis[[#This Row],[Número de marcadores]]&gt;0, "Flagged", "")</f>
        <v>Flagged</v>
      </c>
      <c r="BA256" s="92">
        <f>tblPiNAnalysis[[#This Row],[PiN preliminar]]</f>
        <v>0</v>
      </c>
      <c r="BB256" s="97"/>
      <c r="BC256" s="70">
        <f>IFERROR(IF(tblPiNAnalysis[[#This Row],[Severidad]]=3,tblPiNAnalysis[[#This Row],[PiN final]]*Umbrales!$D$33,tblPiNAnalysis[[#This Row],[PiN final]]*Umbrales!$D$34),)</f>
        <v>0</v>
      </c>
      <c r="BD256" s="70">
        <f>IFERROR(IF(tblPiNAnalysis[[#This Row],[Severidad]]&gt;3,tblPiNAnalysis[[#This Row],[PiN final]]*Umbrales!$D$34,),)</f>
        <v>0</v>
      </c>
    </row>
    <row r="257" spans="1:56">
      <c r="A257" s="101" t="str">
        <f>IFERROR(_xlfn.CONCAT(IF(tblPiNAnalysis[[#This Row],[Grupo]]="", "",tblPiNAnalysis[[#This Row],[Grupo]] ),  _xlfn.IFS(tblPiNAnalysis[[#This Row],[Admin2PCODE]]&lt;&gt;"", tblPiNAnalysis[[#This Row],[Admin2PCODE]], tblPiNAnalysis[[#This Row],[Admin1PCODE]]&lt;&gt;"", tblPiNAnalysis[[#This Row],[Admin1PCODE]])),"")</f>
        <v>VenezolanosVE0806</v>
      </c>
      <c r="B257" s="105" t="s">
        <v>261</v>
      </c>
      <c r="C257" s="104" t="s">
        <v>262</v>
      </c>
      <c r="D257" s="119" t="s">
        <v>100</v>
      </c>
      <c r="E257" s="104" t="s">
        <v>273</v>
      </c>
      <c r="F257" s="358"/>
      <c r="G257" s="357">
        <v>169912</v>
      </c>
      <c r="H257" s="103" t="s">
        <v>102</v>
      </c>
      <c r="I257" s="60">
        <v>16022</v>
      </c>
      <c r="J257" s="134">
        <v>7038.7984495794626</v>
      </c>
      <c r="K257" s="57">
        <v>62017.88</v>
      </c>
      <c r="L257" s="87">
        <v>20993.755731756064</v>
      </c>
      <c r="M257" s="87">
        <v>40500.208888830828</v>
      </c>
      <c r="N257" s="57">
        <v>0</v>
      </c>
      <c r="O257" s="57">
        <v>13000.567053314697</v>
      </c>
      <c r="P257" s="57">
        <v>14175.073111090787</v>
      </c>
      <c r="Q257" s="88">
        <f>IFERROR(IF(tblPiNAnalysis[[#This Row],[SAMV]]="", "", MROUND(tblPiNAnalysis[[#This Row],[SAMV]]/tblPiNAnalysis[[#This Row],[Población]], 0.05)), "")</f>
        <v>0.1</v>
      </c>
      <c r="R257" s="89">
        <f>IFERROR(IF(tblPiNAnalysis[[#This Row],[NUT]]="", "", MROUND(tblPiNAnalysis[[#This Row],[NUT]]/tblPiNAnalysis[[#This Row],[Población]], 0.05)), "")</f>
        <v>0.05</v>
      </c>
      <c r="S257" s="89">
        <f>IFERROR(IF(tblPiNAnalysis[[#This Row],[SAL]]="", "", MROUND(tblPiNAnalysis[[#This Row],[SAL]]/tblPiNAnalysis[[#This Row],[Población]], 0.05)), "")</f>
        <v>0.35000000000000003</v>
      </c>
      <c r="T257" s="89">
        <f>IFERROR(IF(tblPiNAnalysis[[#This Row],[EDU]]="", "", MROUND(tblPiNAnalysis[[#This Row],[EDU]]/tblPiNAnalysis[[#This Row],[Población]], 0.05)), "")</f>
        <v>0.1</v>
      </c>
      <c r="U257" s="89">
        <f>IFERROR(IF(tblPiNAnalysis[[#This Row],[PRO]]="", "", MROUND(tblPiNAnalysis[[#This Row],[PRO]]/tblPiNAnalysis[[#This Row],[Población]], 0.05)), "")</f>
        <v>0.25</v>
      </c>
      <c r="V257" s="90">
        <f>IFERROR(IF(tblPiNAnalysis[[#This Row],[ASH]]="", "", MROUND(tblPiNAnalysis[[#This Row],[ASH]]/tblPiNAnalysis[[#This Row],[Población]], 0.05)), "")</f>
        <v>0</v>
      </c>
      <c r="W257" s="89">
        <f>IFERROR(MROUND(tblPiNAnalysis[[#This Row],[NNA]]/tblPiNAnalysis[[#This Row],[Población]], 0.05), "")</f>
        <v>0.1</v>
      </c>
      <c r="X257" s="89">
        <f>IFERROR(MROUND(tblPiNAnalysis[[#This Row],[VBG]]/tblPiNAnalysis[[#This Row],[Población]], 0.05), "")</f>
        <v>0.1</v>
      </c>
      <c r="Y257" s="91">
        <f>IFERROR(LARGE(tblPiNAnalysis[[#This Row],[SAMV]:[ASH]], 1), "")</f>
        <v>62017.88</v>
      </c>
      <c r="Z257" s="92" t="str" cm="1">
        <f t="array" ref="Z257">IF(tblPiNAnalysis[[#This Row],[PiN más alto]]="", "", _xlfn.TEXTJOIN(CHAR(10), TRUE, IF(tblPiNAnalysis[[#This Row],[PiN más alto]]=tblPiNAnalysis[[#This Row],[SAMV]:[ASH]], tblPiNAnalysis[[#Headers],[SAMV]:[ASH]], "")))</f>
        <v>SAL</v>
      </c>
      <c r="AA257" s="93">
        <f>IF(tblPiNAnalysis[[#This Row],[PiN más alto]]="", "", tblPiNAnalysis[[#This Row],[PiN más alto]]/tblPiNAnalysis[[#This Row],[Población]])</f>
        <v>0.36499999999999999</v>
      </c>
      <c r="AB257" s="94" t="str">
        <f>IF(SUM(tblPiNAnalysis[[#This Row],[SAMV]:[ASH]])=0, "",IF(COUNTIF(tblPiNAnalysis[[#This Row],[SAMV]:[ASH]],"=0")+COUNTIF(tblPiNAnalysis[[#This Row],[SAMV]:[ASH]],"")&gt;=zero_pin_thresh, "Flagged", ""))</f>
        <v/>
      </c>
      <c r="AC257" s="95" t="str">
        <f>IFERROR(IF(tblPiNAnalysis[[#This Row],[PiN más alto]]="", "", IF(tblPiNAnalysis[[#This Row],[% PiN Sectores más altos]]&gt;=flag_pin_perc, "Flagged", "")), "")</f>
        <v/>
      </c>
      <c r="AD257" s="96" t="str" cm="1">
        <f t="array" ref="AD257">IF(tblPiNAnalysis[[#This Row],[PiN más alto]]=0, "",  IF(OR(COUNTIF(tblPiNAnalysis[[#This Row],[Sectores más altos]],tblSubSectorPopulation[Sector])), "Flagged", ""))</f>
        <v/>
      </c>
      <c r="AE257" s="16" cm="1">
        <f t="array" ref="AE25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40500.208888830828</v>
      </c>
      <c r="AF257" s="97" t="str" cm="1">
        <f t="array" ref="AF257">IF(tblPiNAnalysis[[#This Row],[2º PiN más alto]]="", "", _xlfn.TEXTJOIN(CHAR(10), TRUE, IF(tblPiNAnalysis[[#This Row],[2º PiN más alto]]=tblPiNAnalysis[[#This Row],[SAMV]:[ASH]], tblPiNAnalysis[[#Headers],[SAMV]:[ASH]], "")))</f>
        <v>PRO</v>
      </c>
      <c r="AG257" s="12">
        <f>IFERROR(tblPiNAnalysis[[#This Row],[2º PiN más alto]]/tblPiNAnalysis[[#This Row],[Población]], "")</f>
        <v>0.23835990918140465</v>
      </c>
      <c r="AH257" s="16">
        <f>IFERROR(tblPiNAnalysis[[#This Row],[PiN más alto]]-tblPiNAnalysis[[#This Row],[2º PiN más alto]], "")</f>
        <v>21517.671111169169</v>
      </c>
      <c r="AI257" s="14">
        <f>IFERROR(((tblPiNAnalysis[[#This Row],[PiN más alto]]-tblPiNAnalysis[[#This Row],[2º PiN más alto]])/tblPiNAnalysis[[#This Row],[2º PiN más alto]]),"")</f>
        <v>0.53129778096288593</v>
      </c>
      <c r="AJ257" s="14" t="str" cm="1">
        <f t="array" ref="AJ25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57" s="98" cm="1">
        <f t="array" ref="AK25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20993.755731756064</v>
      </c>
      <c r="AL257" s="53" t="str" cm="1">
        <f t="array" ref="AL257">IF(tblPiNAnalysis[[#This Row],[3º PiN más alto]]="", "", _xlfn.TEXTJOIN(CHAR(10), TRUE, IF(tblPiNAnalysis[[#This Row],[3º PiN más alto]]=tblPiNAnalysis[[#This Row],[SAMV]:[ASH]], tblPiNAnalysis[[#Headers],[SAMV]:[ASH]], "")))</f>
        <v>EDU</v>
      </c>
      <c r="AM257" s="53">
        <f>IFERROR(tblPiNAnalysis[[#This Row],[3º PiN más alto]]/tblPiNAnalysis[[#This Row],[Población]], "")</f>
        <v>0.12355663950607411</v>
      </c>
      <c r="AN257" s="15">
        <f>IFERROR(tblPiNAnalysis[[#This Row],[PiN más alto]]-tblPiNAnalysis[[#This Row],[3º PiN más alto]],"")</f>
        <v>41024.124268243933</v>
      </c>
      <c r="AO257" s="14">
        <f>IFERROR(tblPiNAnalysis[[#This Row],[Diferencia de PiN entre el más alto y el 3º más alto]]/tblPiNAnalysis[[#This Row],[3º PiN más alto]], "")</f>
        <v>1.9541107742903319</v>
      </c>
      <c r="AP257" s="96" t="str" cm="1">
        <f t="array" ref="AP25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57" s="84" cm="1">
        <f t="array" ref="AQ257">IFERROR(IF(tblPiNAnalysis[[#This Row],[ID]]="", "", INDEX(tblPiNHistorical[[SAMV]:[ASH]], MATCH(tblPiNAnalysis[[#This Row],[ID]],tblPiNHistorical[ID], 0),MATCH(_xlfn._xlws.FILTER(tblPiNAnalysis[[#Headers],[SAMV]:[ASH]], tblPiNAnalysis[[#This Row],[PiN más alto]]=tblPiNAnalysis[[#This Row],[SAMV]:[ASH]]), tblPiNHistorical[[#Headers],[SAMV]:[ASH]], 0))), "")</f>
        <v>-0.6</v>
      </c>
      <c r="AR257" s="99" t="str" cm="1">
        <f t="array" ref="AR25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57" s="74" cm="1">
        <f t="array" ref="AS257">IFERROR(IF(tblPiNAnalysis[[#This Row],[ID]]="", "", INDEX(tblPiNHistorical[[SAMV]:[ASH]], MATCH(tblPiNAnalysis[[#This Row],[ID]],tblPiNHistorical[ID], 0),MATCH(_xlfn._xlws.FILTER(tblPiNAnalysis[[#Headers],[SAMV]:[ASH]], tblPiNAnalysis[[#This Row],[2º PiN más alto]]=tblPiNAnalysis[[#This Row],[SAMV]:[ASH]]), tblPiNHistorical[[#Headers],[SAMV]:[ASH]], 0))), "")</f>
        <v>-0.8</v>
      </c>
      <c r="AT257" s="100" t="str" cm="1">
        <f t="array" ref="AT25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57" s="219">
        <f>INDEX(tblSeverityAnalysis[Severidad final], MATCH(tblPiNAnalysis[[#This Row],[ID]],tblSeverityAnalysis[ID], 0))</f>
        <v>2</v>
      </c>
      <c r="AV257" s="220">
        <f>IF(tblPiNAnalysis[[#This Row],[Severidad]]&gt;2,tblPiNAnalysis[[#This Row],[PiN más alto]],)</f>
        <v>0</v>
      </c>
      <c r="AW257" s="54"/>
      <c r="AX257" s="55"/>
      <c r="AY257" s="56">
        <f>COUNTIFS(tblPiNAnalysis[[#This Row],[Número de PiN ausentes/cero superior al umbral - Calidad de los datos]:[Marcador manual]],"Flagged")</f>
        <v>2</v>
      </c>
      <c r="AZ257" s="34" t="str">
        <f>IF(tblPiNAnalysis[[#This Row],[Número de marcadores]]&gt;0, "Flagged", "")</f>
        <v>Flagged</v>
      </c>
      <c r="BA257" s="92">
        <f>tblPiNAnalysis[[#This Row],[PiN preliminar]]</f>
        <v>0</v>
      </c>
      <c r="BB257" s="97"/>
      <c r="BC257" s="70">
        <f>IFERROR(IF(tblPiNAnalysis[[#This Row],[Severidad]]=3,tblPiNAnalysis[[#This Row],[PiN final]]*Umbrales!$D$33,tblPiNAnalysis[[#This Row],[PiN final]]*Umbrales!$D$34),)</f>
        <v>0</v>
      </c>
      <c r="BD257" s="70">
        <f>IFERROR(IF(tblPiNAnalysis[[#This Row],[Severidad]]&gt;3,tblPiNAnalysis[[#This Row],[PiN final]]*Umbrales!$D$34,),)</f>
        <v>0</v>
      </c>
    </row>
    <row r="258" spans="1:56">
      <c r="A258" s="101" t="str">
        <f>IFERROR(_xlfn.CONCAT(IF(tblPiNAnalysis[[#This Row],[Grupo]]="", "",tblPiNAnalysis[[#This Row],[Grupo]] ),  _xlfn.IFS(tblPiNAnalysis[[#This Row],[Admin2PCODE]]&lt;&gt;"", tblPiNAnalysis[[#This Row],[Admin2PCODE]], tblPiNAnalysis[[#This Row],[Admin1PCODE]]&lt;&gt;"", tblPiNAnalysis[[#This Row],[Admin1PCODE]])),"")</f>
        <v>VenezolanosVE0808</v>
      </c>
      <c r="B258" s="105" t="s">
        <v>261</v>
      </c>
      <c r="C258" s="104" t="s">
        <v>262</v>
      </c>
      <c r="D258" s="119" t="s">
        <v>276</v>
      </c>
      <c r="E258" s="104" t="s">
        <v>277</v>
      </c>
      <c r="F258" s="358"/>
      <c r="G258" s="357">
        <v>29749</v>
      </c>
      <c r="H258" s="103" t="s">
        <v>102</v>
      </c>
      <c r="I258" s="60">
        <v>7272</v>
      </c>
      <c r="J258" s="134">
        <v>1225.5224837356045</v>
      </c>
      <c r="K258" s="57">
        <v>10858.385</v>
      </c>
      <c r="L258" s="87">
        <v>3570.2601250770635</v>
      </c>
      <c r="M258" s="87">
        <v>5909.1407818646749</v>
      </c>
      <c r="N258" s="57">
        <v>0</v>
      </c>
      <c r="O258" s="57">
        <v>1896.8341909785606</v>
      </c>
      <c r="P258" s="57">
        <v>2068.1992736526358</v>
      </c>
      <c r="Q258" s="88">
        <f>IFERROR(IF(tblPiNAnalysis[[#This Row],[SAMV]]="", "", MROUND(tblPiNAnalysis[[#This Row],[SAMV]]/tblPiNAnalysis[[#This Row],[Población]], 0.05)), "")</f>
        <v>0.25</v>
      </c>
      <c r="R258" s="89">
        <f>IFERROR(IF(tblPiNAnalysis[[#This Row],[NUT]]="", "", MROUND(tblPiNAnalysis[[#This Row],[NUT]]/tblPiNAnalysis[[#This Row],[Población]], 0.05)), "")</f>
        <v>0.05</v>
      </c>
      <c r="S258" s="89">
        <f>IFERROR(IF(tblPiNAnalysis[[#This Row],[SAL]]="", "", MROUND(tblPiNAnalysis[[#This Row],[SAL]]/tblPiNAnalysis[[#This Row],[Población]], 0.05)), "")</f>
        <v>0.35000000000000003</v>
      </c>
      <c r="T258" s="89">
        <f>IFERROR(IF(tblPiNAnalysis[[#This Row],[EDU]]="", "", MROUND(tblPiNAnalysis[[#This Row],[EDU]]/tblPiNAnalysis[[#This Row],[Población]], 0.05)), "")</f>
        <v>0.1</v>
      </c>
      <c r="U258" s="89">
        <f>IFERROR(IF(tblPiNAnalysis[[#This Row],[PRO]]="", "", MROUND(tblPiNAnalysis[[#This Row],[PRO]]/tblPiNAnalysis[[#This Row],[Población]], 0.05)), "")</f>
        <v>0.2</v>
      </c>
      <c r="V258" s="90">
        <f>IFERROR(IF(tblPiNAnalysis[[#This Row],[ASH]]="", "", MROUND(tblPiNAnalysis[[#This Row],[ASH]]/tblPiNAnalysis[[#This Row],[Población]], 0.05)), "")</f>
        <v>0</v>
      </c>
      <c r="W258" s="89">
        <f>IFERROR(MROUND(tblPiNAnalysis[[#This Row],[NNA]]/tblPiNAnalysis[[#This Row],[Población]], 0.05), "")</f>
        <v>0.05</v>
      </c>
      <c r="X258" s="89">
        <f>IFERROR(MROUND(tblPiNAnalysis[[#This Row],[VBG]]/tblPiNAnalysis[[#This Row],[Población]], 0.05), "")</f>
        <v>0.05</v>
      </c>
      <c r="Y258" s="91">
        <f>IFERROR(LARGE(tblPiNAnalysis[[#This Row],[SAMV]:[ASH]], 1), "")</f>
        <v>10858.385</v>
      </c>
      <c r="Z258" s="92" t="str" cm="1">
        <f t="array" ref="Z258">IF(tblPiNAnalysis[[#This Row],[PiN más alto]]="", "", _xlfn.TEXTJOIN(CHAR(10), TRUE, IF(tblPiNAnalysis[[#This Row],[PiN más alto]]=tblPiNAnalysis[[#This Row],[SAMV]:[ASH]], tblPiNAnalysis[[#Headers],[SAMV]:[ASH]], "")))</f>
        <v>SAL</v>
      </c>
      <c r="AA258" s="93">
        <f>IF(tblPiNAnalysis[[#This Row],[PiN más alto]]="", "", tblPiNAnalysis[[#This Row],[PiN más alto]]/tblPiNAnalysis[[#This Row],[Población]])</f>
        <v>0.36499999999999999</v>
      </c>
      <c r="AB258" s="94" t="str">
        <f>IF(SUM(tblPiNAnalysis[[#This Row],[SAMV]:[ASH]])=0, "",IF(COUNTIF(tblPiNAnalysis[[#This Row],[SAMV]:[ASH]],"=0")+COUNTIF(tblPiNAnalysis[[#This Row],[SAMV]:[ASH]],"")&gt;=zero_pin_thresh, "Flagged", ""))</f>
        <v/>
      </c>
      <c r="AC258" s="95" t="str">
        <f>IFERROR(IF(tblPiNAnalysis[[#This Row],[PiN más alto]]="", "", IF(tblPiNAnalysis[[#This Row],[% PiN Sectores más altos]]&gt;=flag_pin_perc, "Flagged", "")), "")</f>
        <v/>
      </c>
      <c r="AD258" s="96" t="str" cm="1">
        <f t="array" ref="AD258">IF(tblPiNAnalysis[[#This Row],[PiN más alto]]=0, "",  IF(OR(COUNTIF(tblPiNAnalysis[[#This Row],[Sectores más altos]],tblSubSectorPopulation[Sector])), "Flagged", ""))</f>
        <v/>
      </c>
      <c r="AE258" s="16" cm="1">
        <f t="array" ref="AE25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7272</v>
      </c>
      <c r="AF258" s="97" t="str" cm="1">
        <f t="array" ref="AF258">IF(tblPiNAnalysis[[#This Row],[2º PiN más alto]]="", "", _xlfn.TEXTJOIN(CHAR(10), TRUE, IF(tblPiNAnalysis[[#This Row],[2º PiN más alto]]=tblPiNAnalysis[[#This Row],[SAMV]:[ASH]], tblPiNAnalysis[[#Headers],[SAMV]:[ASH]], "")))</f>
        <v>SAMV</v>
      </c>
      <c r="AG258" s="12">
        <f>IFERROR(tblPiNAnalysis[[#This Row],[2º PiN más alto]]/tblPiNAnalysis[[#This Row],[Población]], "")</f>
        <v>0.24444519143500623</v>
      </c>
      <c r="AH258" s="16">
        <f>IFERROR(tblPiNAnalysis[[#This Row],[PiN más alto]]-tblPiNAnalysis[[#This Row],[2º PiN más alto]], "")</f>
        <v>3586.3850000000002</v>
      </c>
      <c r="AI258" s="14">
        <f>IFERROR(((tblPiNAnalysis[[#This Row],[PiN más alto]]-tblPiNAnalysis[[#This Row],[2º PiN más alto]])/tblPiNAnalysis[[#This Row],[2º PiN más alto]]),"")</f>
        <v>0.49317725522552258</v>
      </c>
      <c r="AJ258" s="14" t="str" cm="1">
        <f t="array" ref="AJ25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58" s="98" cm="1">
        <f t="array" ref="AK25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5909.1407818646749</v>
      </c>
      <c r="AL258" s="53" t="str" cm="1">
        <f t="array" ref="AL258">IF(tblPiNAnalysis[[#This Row],[3º PiN más alto]]="", "", _xlfn.TEXTJOIN(CHAR(10), TRUE, IF(tblPiNAnalysis[[#This Row],[3º PiN más alto]]=tblPiNAnalysis[[#This Row],[SAMV]:[ASH]], tblPiNAnalysis[[#Headers],[SAMV]:[ASH]], "")))</f>
        <v>PRO</v>
      </c>
      <c r="AM258" s="53">
        <f>IFERROR(tblPiNAnalysis[[#This Row],[3º PiN más alto]]/tblPiNAnalysis[[#This Row],[Población]], "")</f>
        <v>0.19863325765117062</v>
      </c>
      <c r="AN258" s="15">
        <f>IFERROR(tblPiNAnalysis[[#This Row],[PiN más alto]]-tblPiNAnalysis[[#This Row],[3º PiN más alto]],"")</f>
        <v>4949.2442181353254</v>
      </c>
      <c r="AO258" s="14">
        <f>IFERROR(tblPiNAnalysis[[#This Row],[Diferencia de PiN entre el más alto y el 3º más alto]]/tblPiNAnalysis[[#This Row],[3º PiN más alto]], "")</f>
        <v>0.83755733715546254</v>
      </c>
      <c r="AP258" s="96" t="str" cm="1">
        <f t="array" ref="AP25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58" s="84" cm="1">
        <f t="array" ref="AQ258">IFERROR(IF(tblPiNAnalysis[[#This Row],[ID]]="", "", INDEX(tblPiNHistorical[[SAMV]:[ASH]], MATCH(tblPiNAnalysis[[#This Row],[ID]],tblPiNHistorical[ID], 0),MATCH(_xlfn._xlws.FILTER(tblPiNAnalysis[[#Headers],[SAMV]:[ASH]], tblPiNAnalysis[[#This Row],[PiN más alto]]=tblPiNAnalysis[[#This Row],[SAMV]:[ASH]]), tblPiNHistorical[[#Headers],[SAMV]:[ASH]], 0))), "")</f>
        <v>2.2000000000000002</v>
      </c>
      <c r="AR258" s="99" t="str" cm="1">
        <f t="array" ref="AR25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58" s="74" cm="1">
        <f t="array" ref="AS258">IFERROR(IF(tblPiNAnalysis[[#This Row],[ID]]="", "", INDEX(tblPiNHistorical[[SAMV]:[ASH]], MATCH(tblPiNAnalysis[[#This Row],[ID]],tblPiNHistorical[ID], 0),MATCH(_xlfn._xlws.FILTER(tblPiNAnalysis[[#Headers],[SAMV]:[ASH]], tblPiNAnalysis[[#This Row],[2º PiN más alto]]=tblPiNAnalysis[[#This Row],[SAMV]:[ASH]]), tblPiNHistorical[[#Headers],[SAMV]:[ASH]], 0))), "")</f>
        <v>0.5</v>
      </c>
      <c r="AT258" s="100" t="str" cm="1">
        <f t="array" ref="AT25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58" s="219">
        <f>INDEX(tblSeverityAnalysis[Severidad final], MATCH(tblPiNAnalysis[[#This Row],[ID]],tblSeverityAnalysis[ID], 0))</f>
        <v>2</v>
      </c>
      <c r="AV258" s="220">
        <f>IF(tblPiNAnalysis[[#This Row],[Severidad]]&gt;2,tblPiNAnalysis[[#This Row],[PiN más alto]],)</f>
        <v>0</v>
      </c>
      <c r="AW258" s="54"/>
      <c r="AX258" s="55"/>
      <c r="AY258" s="56">
        <f>COUNTIFS(tblPiNAnalysis[[#This Row],[Número de PiN ausentes/cero superior al umbral - Calidad de los datos]:[Marcador manual]],"Flagged")</f>
        <v>3</v>
      </c>
      <c r="AZ258" s="34" t="str">
        <f>IF(tblPiNAnalysis[[#This Row],[Número de marcadores]]&gt;0, "Flagged", "")</f>
        <v>Flagged</v>
      </c>
      <c r="BA258" s="92">
        <f>tblPiNAnalysis[[#This Row],[PiN preliminar]]</f>
        <v>0</v>
      </c>
      <c r="BB258" s="97"/>
      <c r="BC258" s="70">
        <f>IFERROR(IF(tblPiNAnalysis[[#This Row],[Severidad]]=3,tblPiNAnalysis[[#This Row],[PiN final]]*Umbrales!$D$33,tblPiNAnalysis[[#This Row],[PiN final]]*Umbrales!$D$34),)</f>
        <v>0</v>
      </c>
      <c r="BD258" s="70">
        <f>IFERROR(IF(tblPiNAnalysis[[#This Row],[Severidad]]&gt;3,tblPiNAnalysis[[#This Row],[PiN final]]*Umbrales!$D$34,),)</f>
        <v>0</v>
      </c>
    </row>
    <row r="259" spans="1:56">
      <c r="A259" s="101" t="str">
        <f>IFERROR(_xlfn.CONCAT(IF(tblPiNAnalysis[[#This Row],[Grupo]]="", "",tblPiNAnalysis[[#This Row],[Grupo]] ),  _xlfn.IFS(tblPiNAnalysis[[#This Row],[Admin2PCODE]]&lt;&gt;"", tblPiNAnalysis[[#This Row],[Admin2PCODE]], tblPiNAnalysis[[#This Row],[Admin1PCODE]]&lt;&gt;"", tblPiNAnalysis[[#This Row],[Admin1PCODE]])),"")</f>
        <v>VenezolanosVE0809</v>
      </c>
      <c r="B259" s="105" t="s">
        <v>261</v>
      </c>
      <c r="C259" s="104" t="s">
        <v>262</v>
      </c>
      <c r="D259" s="119" t="s">
        <v>278</v>
      </c>
      <c r="E259" s="104" t="s">
        <v>279</v>
      </c>
      <c r="F259" s="358"/>
      <c r="G259" s="357">
        <v>25468</v>
      </c>
      <c r="H259" s="103" t="s">
        <v>102</v>
      </c>
      <c r="I259" s="60">
        <v>5518</v>
      </c>
      <c r="J259" s="134">
        <v>1062.1235955794591</v>
      </c>
      <c r="K259" s="57">
        <v>9295.82</v>
      </c>
      <c r="L259" s="87">
        <v>3731.5934749367134</v>
      </c>
      <c r="M259" s="87">
        <v>5058.7918058600098</v>
      </c>
      <c r="N259" s="57">
        <v>0</v>
      </c>
      <c r="O259" s="57">
        <v>1618.8133778752031</v>
      </c>
      <c r="P259" s="57">
        <v>1770.577132051003</v>
      </c>
      <c r="Q259" s="88">
        <f>IFERROR(IF(tblPiNAnalysis[[#This Row],[SAMV]]="", "", MROUND(tblPiNAnalysis[[#This Row],[SAMV]]/tblPiNAnalysis[[#This Row],[Población]], 0.05)), "")</f>
        <v>0.2</v>
      </c>
      <c r="R259" s="89">
        <f>IFERROR(IF(tblPiNAnalysis[[#This Row],[NUT]]="", "", MROUND(tblPiNAnalysis[[#This Row],[NUT]]/tblPiNAnalysis[[#This Row],[Población]], 0.05)), "")</f>
        <v>0.05</v>
      </c>
      <c r="S259" s="89">
        <f>IFERROR(IF(tblPiNAnalysis[[#This Row],[SAL]]="", "", MROUND(tblPiNAnalysis[[#This Row],[SAL]]/tblPiNAnalysis[[#This Row],[Población]], 0.05)), "")</f>
        <v>0.35000000000000003</v>
      </c>
      <c r="T259" s="89">
        <f>IFERROR(IF(tblPiNAnalysis[[#This Row],[EDU]]="", "", MROUND(tblPiNAnalysis[[#This Row],[EDU]]/tblPiNAnalysis[[#This Row],[Población]], 0.05)), "")</f>
        <v>0.15000000000000002</v>
      </c>
      <c r="U259" s="89">
        <f>IFERROR(IF(tblPiNAnalysis[[#This Row],[PRO]]="", "", MROUND(tblPiNAnalysis[[#This Row],[PRO]]/tblPiNAnalysis[[#This Row],[Población]], 0.05)), "")</f>
        <v>0.2</v>
      </c>
      <c r="V259" s="90">
        <f>IFERROR(IF(tblPiNAnalysis[[#This Row],[ASH]]="", "", MROUND(tblPiNAnalysis[[#This Row],[ASH]]/tblPiNAnalysis[[#This Row],[Población]], 0.05)), "")</f>
        <v>0</v>
      </c>
      <c r="W259" s="89">
        <f>IFERROR(MROUND(tblPiNAnalysis[[#This Row],[NNA]]/tblPiNAnalysis[[#This Row],[Población]], 0.05), "")</f>
        <v>0.05</v>
      </c>
      <c r="X259" s="89">
        <f>IFERROR(MROUND(tblPiNAnalysis[[#This Row],[VBG]]/tblPiNAnalysis[[#This Row],[Población]], 0.05), "")</f>
        <v>0.05</v>
      </c>
      <c r="Y259" s="91">
        <f>IFERROR(LARGE(tblPiNAnalysis[[#This Row],[SAMV]:[ASH]], 1), "")</f>
        <v>9295.82</v>
      </c>
      <c r="Z259" s="92" t="str" cm="1">
        <f t="array" ref="Z259">IF(tblPiNAnalysis[[#This Row],[PiN más alto]]="", "", _xlfn.TEXTJOIN(CHAR(10), TRUE, IF(tblPiNAnalysis[[#This Row],[PiN más alto]]=tblPiNAnalysis[[#This Row],[SAMV]:[ASH]], tblPiNAnalysis[[#Headers],[SAMV]:[ASH]], "")))</f>
        <v>SAL</v>
      </c>
      <c r="AA259" s="93">
        <f>IF(tblPiNAnalysis[[#This Row],[PiN más alto]]="", "", tblPiNAnalysis[[#This Row],[PiN más alto]]/tblPiNAnalysis[[#This Row],[Población]])</f>
        <v>0.36499999999999999</v>
      </c>
      <c r="AB259" s="94" t="str">
        <f>IF(SUM(tblPiNAnalysis[[#This Row],[SAMV]:[ASH]])=0, "",IF(COUNTIF(tblPiNAnalysis[[#This Row],[SAMV]:[ASH]],"=0")+COUNTIF(tblPiNAnalysis[[#This Row],[SAMV]:[ASH]],"")&gt;=zero_pin_thresh, "Flagged", ""))</f>
        <v/>
      </c>
      <c r="AC259" s="95" t="str">
        <f>IFERROR(IF(tblPiNAnalysis[[#This Row],[PiN más alto]]="", "", IF(tblPiNAnalysis[[#This Row],[% PiN Sectores más altos]]&gt;=flag_pin_perc, "Flagged", "")), "")</f>
        <v/>
      </c>
      <c r="AD259" s="96" t="str" cm="1">
        <f t="array" ref="AD259">IF(tblPiNAnalysis[[#This Row],[PiN más alto]]=0, "",  IF(OR(COUNTIF(tblPiNAnalysis[[#This Row],[Sectores más altos]],tblSubSectorPopulation[Sector])), "Flagged", ""))</f>
        <v/>
      </c>
      <c r="AE259" s="16" cm="1">
        <f t="array" ref="AE25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5518</v>
      </c>
      <c r="AF259" s="97" t="str" cm="1">
        <f t="array" ref="AF259">IF(tblPiNAnalysis[[#This Row],[2º PiN más alto]]="", "", _xlfn.TEXTJOIN(CHAR(10), TRUE, IF(tblPiNAnalysis[[#This Row],[2º PiN más alto]]=tblPiNAnalysis[[#This Row],[SAMV]:[ASH]], tblPiNAnalysis[[#Headers],[SAMV]:[ASH]], "")))</f>
        <v>SAMV</v>
      </c>
      <c r="AG259" s="12">
        <f>IFERROR(tblPiNAnalysis[[#This Row],[2º PiN más alto]]/tblPiNAnalysis[[#This Row],[Población]], "")</f>
        <v>0.21666404900267003</v>
      </c>
      <c r="AH259" s="16">
        <f>IFERROR(tblPiNAnalysis[[#This Row],[PiN más alto]]-tblPiNAnalysis[[#This Row],[2º PiN más alto]], "")</f>
        <v>3777.8199999999997</v>
      </c>
      <c r="AI259" s="14">
        <f>IFERROR(((tblPiNAnalysis[[#This Row],[PiN más alto]]-tblPiNAnalysis[[#This Row],[2º PiN más alto]])/tblPiNAnalysis[[#This Row],[2º PiN más alto]]),"")</f>
        <v>0.68463573758608187</v>
      </c>
      <c r="AJ259" s="14" t="str" cm="1">
        <f t="array" ref="AJ25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59" s="98" cm="1">
        <f t="array" ref="AK25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5058.7918058600098</v>
      </c>
      <c r="AL259" s="53" t="str" cm="1">
        <f t="array" ref="AL259">IF(tblPiNAnalysis[[#This Row],[3º PiN más alto]]="", "", _xlfn.TEXTJOIN(CHAR(10), TRUE, IF(tblPiNAnalysis[[#This Row],[3º PiN más alto]]=tblPiNAnalysis[[#This Row],[SAMV]:[ASH]], tblPiNAnalysis[[#Headers],[SAMV]:[ASH]], "")))</f>
        <v>PRO</v>
      </c>
      <c r="AM259" s="53">
        <f>IFERROR(tblPiNAnalysis[[#This Row],[3º PiN más alto]]/tblPiNAnalysis[[#This Row],[Población]], "")</f>
        <v>0.19863325765117049</v>
      </c>
      <c r="AN259" s="15">
        <f>IFERROR(tblPiNAnalysis[[#This Row],[PiN más alto]]-tblPiNAnalysis[[#This Row],[3º PiN más alto]],"")</f>
        <v>4237.0281941399899</v>
      </c>
      <c r="AO259" s="14">
        <f>IFERROR(tblPiNAnalysis[[#This Row],[Diferencia de PiN entre el más alto y el 3º más alto]]/tblPiNAnalysis[[#This Row],[3º PiN más alto]], "")</f>
        <v>0.83755733715546377</v>
      </c>
      <c r="AP259" s="96" t="str" cm="1">
        <f t="array" ref="AP25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59" s="84" cm="1">
        <f t="array" ref="AQ259">IFERROR(IF(tblPiNAnalysis[[#This Row],[ID]]="", "", INDEX(tblPiNHistorical[[SAMV]:[ASH]], MATCH(tblPiNAnalysis[[#This Row],[ID]],tblPiNHistorical[ID], 0),MATCH(_xlfn._xlws.FILTER(tblPiNAnalysis[[#Headers],[SAMV]:[ASH]], tblPiNAnalysis[[#This Row],[PiN más alto]]=tblPiNAnalysis[[#This Row],[SAMV]:[ASH]]), tblPiNHistorical[[#Headers],[SAMV]:[ASH]], 0))), "")</f>
        <v>1.2</v>
      </c>
      <c r="AR259" s="99" t="str" cm="1">
        <f t="array" ref="AR25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59" s="74" cm="1">
        <f t="array" ref="AS259">IFERROR(IF(tblPiNAnalysis[[#This Row],[ID]]="", "", INDEX(tblPiNHistorical[[SAMV]:[ASH]], MATCH(tblPiNAnalysis[[#This Row],[ID]],tblPiNHistorical[ID], 0),MATCH(_xlfn._xlws.FILTER(tblPiNAnalysis[[#Headers],[SAMV]:[ASH]], tblPiNAnalysis[[#This Row],[2º PiN más alto]]=tblPiNAnalysis[[#This Row],[SAMV]:[ASH]]), tblPiNHistorical[[#Headers],[SAMV]:[ASH]], 0))), "")</f>
        <v>1.9</v>
      </c>
      <c r="AT259" s="100" t="str" cm="1">
        <f t="array" ref="AT25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59" s="219">
        <f>INDEX(tblSeverityAnalysis[Severidad final], MATCH(tblPiNAnalysis[[#This Row],[ID]],tblSeverityAnalysis[ID], 0))</f>
        <v>2</v>
      </c>
      <c r="AV259" s="220">
        <f>IF(tblPiNAnalysis[[#This Row],[Severidad]]&gt;2,tblPiNAnalysis[[#This Row],[PiN más alto]],)</f>
        <v>0</v>
      </c>
      <c r="AW259" s="54"/>
      <c r="AX259" s="55"/>
      <c r="AY259" s="56">
        <f>COUNTIFS(tblPiNAnalysis[[#This Row],[Número de PiN ausentes/cero superior al umbral - Calidad de los datos]:[Marcador manual]],"Flagged")</f>
        <v>4</v>
      </c>
      <c r="AZ259" s="34" t="str">
        <f>IF(tblPiNAnalysis[[#This Row],[Número de marcadores]]&gt;0, "Flagged", "")</f>
        <v>Flagged</v>
      </c>
      <c r="BA259" s="92">
        <f>tblPiNAnalysis[[#This Row],[PiN preliminar]]</f>
        <v>0</v>
      </c>
      <c r="BB259" s="97"/>
      <c r="BC259" s="70">
        <f>IFERROR(IF(tblPiNAnalysis[[#This Row],[Severidad]]=3,tblPiNAnalysis[[#This Row],[PiN final]]*Umbrales!$D$33,tblPiNAnalysis[[#This Row],[PiN final]]*Umbrales!$D$34),)</f>
        <v>0</v>
      </c>
      <c r="BD259" s="70">
        <f>IFERROR(IF(tblPiNAnalysis[[#This Row],[Severidad]]&gt;3,tblPiNAnalysis[[#This Row],[PiN final]]*Umbrales!$D$34,),)</f>
        <v>0</v>
      </c>
    </row>
    <row r="260" spans="1:56">
      <c r="A260" s="101" t="str">
        <f>IFERROR(_xlfn.CONCAT(IF(tblPiNAnalysis[[#This Row],[Grupo]]="", "",tblPiNAnalysis[[#This Row],[Grupo]] ),  _xlfn.IFS(tblPiNAnalysis[[#This Row],[Admin2PCODE]]&lt;&gt;"", tblPiNAnalysis[[#This Row],[Admin2PCODE]], tblPiNAnalysis[[#This Row],[Admin1PCODE]]&lt;&gt;"", tblPiNAnalysis[[#This Row],[Admin1PCODE]])),"")</f>
        <v>VenezolanosVE0810</v>
      </c>
      <c r="B260" s="105" t="s">
        <v>261</v>
      </c>
      <c r="C260" s="104" t="s">
        <v>262</v>
      </c>
      <c r="D260" s="119" t="s">
        <v>280</v>
      </c>
      <c r="E260" s="104" t="s">
        <v>281</v>
      </c>
      <c r="F260" s="358"/>
      <c r="G260" s="357">
        <v>160991</v>
      </c>
      <c r="H260" s="103" t="s">
        <v>102</v>
      </c>
      <c r="I260" s="60">
        <v>6373</v>
      </c>
      <c r="J260" s="134">
        <v>7704.3234166661578</v>
      </c>
      <c r="K260" s="57">
        <v>58761.714999999997</v>
      </c>
      <c r="L260" s="87">
        <v>27407.382433939973</v>
      </c>
      <c r="M260" s="87">
        <v>38373.800139023515</v>
      </c>
      <c r="N260" s="57">
        <v>0</v>
      </c>
      <c r="O260" s="57">
        <v>12279.616044487524</v>
      </c>
      <c r="P260" s="57">
        <v>13430.830048658228</v>
      </c>
      <c r="Q260" s="88">
        <f>IFERROR(IF(tblPiNAnalysis[[#This Row],[SAMV]]="", "", MROUND(tblPiNAnalysis[[#This Row],[SAMV]]/tblPiNAnalysis[[#This Row],[Población]], 0.05)), "")</f>
        <v>0.05</v>
      </c>
      <c r="R260" s="89">
        <f>IFERROR(IF(tblPiNAnalysis[[#This Row],[NUT]]="", "", MROUND(tblPiNAnalysis[[#This Row],[NUT]]/tblPiNAnalysis[[#This Row],[Población]], 0.05)), "")</f>
        <v>0.05</v>
      </c>
      <c r="S260" s="89">
        <f>IFERROR(IF(tblPiNAnalysis[[#This Row],[SAL]]="", "", MROUND(tblPiNAnalysis[[#This Row],[SAL]]/tblPiNAnalysis[[#This Row],[Población]], 0.05)), "")</f>
        <v>0.35000000000000003</v>
      </c>
      <c r="T260" s="89">
        <f>IFERROR(IF(tblPiNAnalysis[[#This Row],[EDU]]="", "", MROUND(tblPiNAnalysis[[#This Row],[EDU]]/tblPiNAnalysis[[#This Row],[Población]], 0.05)), "")</f>
        <v>0.15000000000000002</v>
      </c>
      <c r="U260" s="89">
        <f>IFERROR(IF(tblPiNAnalysis[[#This Row],[PRO]]="", "", MROUND(tblPiNAnalysis[[#This Row],[PRO]]/tblPiNAnalysis[[#This Row],[Población]], 0.05)), "")</f>
        <v>0.25</v>
      </c>
      <c r="V260" s="90">
        <f>IFERROR(IF(tblPiNAnalysis[[#This Row],[ASH]]="", "", MROUND(tblPiNAnalysis[[#This Row],[ASH]]/tblPiNAnalysis[[#This Row],[Población]], 0.05)), "")</f>
        <v>0</v>
      </c>
      <c r="W260" s="89">
        <f>IFERROR(MROUND(tblPiNAnalysis[[#This Row],[NNA]]/tblPiNAnalysis[[#This Row],[Población]], 0.05), "")</f>
        <v>0.1</v>
      </c>
      <c r="X260" s="89">
        <f>IFERROR(MROUND(tblPiNAnalysis[[#This Row],[VBG]]/tblPiNAnalysis[[#This Row],[Población]], 0.05), "")</f>
        <v>0.1</v>
      </c>
      <c r="Y260" s="91">
        <f>IFERROR(LARGE(tblPiNAnalysis[[#This Row],[SAMV]:[ASH]], 1), "")</f>
        <v>58761.714999999997</v>
      </c>
      <c r="Z260" s="92" t="str" cm="1">
        <f t="array" ref="Z260">IF(tblPiNAnalysis[[#This Row],[PiN más alto]]="", "", _xlfn.TEXTJOIN(CHAR(10), TRUE, IF(tblPiNAnalysis[[#This Row],[PiN más alto]]=tblPiNAnalysis[[#This Row],[SAMV]:[ASH]], tblPiNAnalysis[[#Headers],[SAMV]:[ASH]], "")))</f>
        <v>SAL</v>
      </c>
      <c r="AA260" s="93">
        <f>IF(tblPiNAnalysis[[#This Row],[PiN más alto]]="", "", tblPiNAnalysis[[#This Row],[PiN más alto]]/tblPiNAnalysis[[#This Row],[Población]])</f>
        <v>0.36499999999999999</v>
      </c>
      <c r="AB260" s="94" t="str">
        <f>IF(SUM(tblPiNAnalysis[[#This Row],[SAMV]:[ASH]])=0, "",IF(COUNTIF(tblPiNAnalysis[[#This Row],[SAMV]:[ASH]],"=0")+COUNTIF(tblPiNAnalysis[[#This Row],[SAMV]:[ASH]],"")&gt;=zero_pin_thresh, "Flagged", ""))</f>
        <v/>
      </c>
      <c r="AC260" s="95" t="str">
        <f>IFERROR(IF(tblPiNAnalysis[[#This Row],[PiN más alto]]="", "", IF(tblPiNAnalysis[[#This Row],[% PiN Sectores más altos]]&gt;=flag_pin_perc, "Flagged", "")), "")</f>
        <v/>
      </c>
      <c r="AD260" s="96" t="str" cm="1">
        <f t="array" ref="AD260">IF(tblPiNAnalysis[[#This Row],[PiN más alto]]=0, "",  IF(OR(COUNTIF(tblPiNAnalysis[[#This Row],[Sectores más altos]],tblSubSectorPopulation[Sector])), "Flagged", ""))</f>
        <v/>
      </c>
      <c r="AE260" s="16" cm="1">
        <f t="array" ref="AE26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38373.800139023515</v>
      </c>
      <c r="AF260" s="97" t="str" cm="1">
        <f t="array" ref="AF260">IF(tblPiNAnalysis[[#This Row],[2º PiN más alto]]="", "", _xlfn.TEXTJOIN(CHAR(10), TRUE, IF(tblPiNAnalysis[[#This Row],[2º PiN más alto]]=tblPiNAnalysis[[#This Row],[SAMV]:[ASH]], tblPiNAnalysis[[#Headers],[SAMV]:[ASH]], "")))</f>
        <v>PRO</v>
      </c>
      <c r="AG260" s="12">
        <f>IFERROR(tblPiNAnalysis[[#This Row],[2º PiN más alto]]/tblPiNAnalysis[[#This Row],[Población]], "")</f>
        <v>0.23835990918140465</v>
      </c>
      <c r="AH260" s="16">
        <f>IFERROR(tblPiNAnalysis[[#This Row],[PiN más alto]]-tblPiNAnalysis[[#This Row],[2º PiN más alto]], "")</f>
        <v>20387.914860976482</v>
      </c>
      <c r="AI260" s="14">
        <f>IFERROR(((tblPiNAnalysis[[#This Row],[PiN más alto]]-tblPiNAnalysis[[#This Row],[2º PiN más alto]])/tblPiNAnalysis[[#This Row],[2º PiN más alto]]),"")</f>
        <v>0.53129778096288605</v>
      </c>
      <c r="AJ260" s="14" t="str" cm="1">
        <f t="array" ref="AJ26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60" s="98" cm="1">
        <f t="array" ref="AK26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27407.382433939973</v>
      </c>
      <c r="AL260" s="53" t="str" cm="1">
        <f t="array" ref="AL260">IF(tblPiNAnalysis[[#This Row],[3º PiN más alto]]="", "", _xlfn.TEXTJOIN(CHAR(10), TRUE, IF(tblPiNAnalysis[[#This Row],[3º PiN más alto]]=tblPiNAnalysis[[#This Row],[SAMV]:[ASH]], tblPiNAnalysis[[#Headers],[SAMV]:[ASH]], "")))</f>
        <v>EDU</v>
      </c>
      <c r="AM260" s="53">
        <f>IFERROR(tblPiNAnalysis[[#This Row],[3º PiN más alto]]/tblPiNAnalysis[[#This Row],[Población]], "")</f>
        <v>0.17024170564776897</v>
      </c>
      <c r="AN260" s="15">
        <f>IFERROR(tblPiNAnalysis[[#This Row],[PiN más alto]]-tblPiNAnalysis[[#This Row],[3º PiN más alto]],"")</f>
        <v>31354.332566060024</v>
      </c>
      <c r="AO260" s="14">
        <f>IFERROR(tblPiNAnalysis[[#This Row],[Diferencia de PiN entre el más alto y el 3º más alto]]/tblPiNAnalysis[[#This Row],[3º PiN más alto]], "")</f>
        <v>1.1440104738799259</v>
      </c>
      <c r="AP260" s="96" t="str" cm="1">
        <f t="array" ref="AP26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60" s="84" cm="1">
        <f t="array" ref="AQ260">IFERROR(IF(tblPiNAnalysis[[#This Row],[ID]]="", "", INDEX(tblPiNHistorical[[SAMV]:[ASH]], MATCH(tblPiNAnalysis[[#This Row],[ID]],tblPiNHistorical[ID], 0),MATCH(_xlfn._xlws.FILTER(tblPiNAnalysis[[#Headers],[SAMV]:[ASH]], tblPiNAnalysis[[#This Row],[PiN más alto]]=tblPiNAnalysis[[#This Row],[SAMV]:[ASH]]), tblPiNHistorical[[#Headers],[SAMV]:[ASH]], 0))), "")</f>
        <v>-0.4</v>
      </c>
      <c r="AR260" s="99" t="str" cm="1">
        <f t="array" ref="AR26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60" s="74" cm="1">
        <f t="array" ref="AS260">IFERROR(IF(tblPiNAnalysis[[#This Row],[ID]]="", "", INDEX(tblPiNHistorical[[SAMV]:[ASH]], MATCH(tblPiNAnalysis[[#This Row],[ID]],tblPiNHistorical[ID], 0),MATCH(_xlfn._xlws.FILTER(tblPiNAnalysis[[#Headers],[SAMV]:[ASH]], tblPiNAnalysis[[#This Row],[2º PiN más alto]]=tblPiNAnalysis[[#This Row],[SAMV]:[ASH]]), tblPiNHistorical[[#Headers],[SAMV]:[ASH]], 0))), "")</f>
        <v>-0.6</v>
      </c>
      <c r="AT260" s="100" t="str" cm="1">
        <f t="array" ref="AT26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60" s="219">
        <f>INDEX(tblSeverityAnalysis[Severidad final], MATCH(tblPiNAnalysis[[#This Row],[ID]],tblSeverityAnalysis[ID], 0))</f>
        <v>2</v>
      </c>
      <c r="AV260" s="220">
        <f>IF(tblPiNAnalysis[[#This Row],[Severidad]]&gt;2,tblPiNAnalysis[[#This Row],[PiN más alto]],)</f>
        <v>0</v>
      </c>
      <c r="AW260" s="54"/>
      <c r="AX260" s="55"/>
      <c r="AY260" s="56">
        <f>COUNTIFS(tblPiNAnalysis[[#This Row],[Número de PiN ausentes/cero superior al umbral - Calidad de los datos]:[Marcador manual]],"Flagged")</f>
        <v>2</v>
      </c>
      <c r="AZ260" s="34" t="str">
        <f>IF(tblPiNAnalysis[[#This Row],[Número de marcadores]]&gt;0, "Flagged", "")</f>
        <v>Flagged</v>
      </c>
      <c r="BA260" s="92">
        <f>tblPiNAnalysis[[#This Row],[PiN preliminar]]</f>
        <v>0</v>
      </c>
      <c r="BB260" s="97"/>
      <c r="BC260" s="70">
        <f>IFERROR(IF(tblPiNAnalysis[[#This Row],[Severidad]]=3,tblPiNAnalysis[[#This Row],[PiN final]]*Umbrales!$D$33,tblPiNAnalysis[[#This Row],[PiN final]]*Umbrales!$D$34),)</f>
        <v>0</v>
      </c>
      <c r="BD260" s="70">
        <f>IFERROR(IF(tblPiNAnalysis[[#This Row],[Severidad]]&gt;3,tblPiNAnalysis[[#This Row],[PiN final]]*Umbrales!$D$34,),)</f>
        <v>0</v>
      </c>
    </row>
    <row r="261" spans="1:56">
      <c r="A261" s="101" t="str">
        <f>IFERROR(_xlfn.CONCAT(IF(tblPiNAnalysis[[#This Row],[Grupo]]="", "",tblPiNAnalysis[[#This Row],[Grupo]] ),  _xlfn.IFS(tblPiNAnalysis[[#This Row],[Admin2PCODE]]&lt;&gt;"", tblPiNAnalysis[[#This Row],[Admin2PCODE]], tblPiNAnalysis[[#This Row],[Admin1PCODE]]&lt;&gt;"", tblPiNAnalysis[[#This Row],[Admin1PCODE]])),"")</f>
        <v>VenezolanosVE0811</v>
      </c>
      <c r="B261" s="105" t="s">
        <v>261</v>
      </c>
      <c r="C261" s="104" t="s">
        <v>262</v>
      </c>
      <c r="D261" s="119" t="s">
        <v>282</v>
      </c>
      <c r="E261" s="104" t="s">
        <v>283</v>
      </c>
      <c r="F261" s="358"/>
      <c r="G261" s="357">
        <v>186622</v>
      </c>
      <c r="H261" s="103" t="s">
        <v>102</v>
      </c>
      <c r="I261" s="60">
        <v>16330</v>
      </c>
      <c r="J261" s="134">
        <v>8367.4211679149848</v>
      </c>
      <c r="K261" s="57">
        <v>68117.03</v>
      </c>
      <c r="L261" s="87">
        <v>25367.005990331818</v>
      </c>
      <c r="M261" s="87">
        <v>44483.202971252096</v>
      </c>
      <c r="N261" s="57">
        <v>0</v>
      </c>
      <c r="O261" s="57">
        <v>14234.624950800671</v>
      </c>
      <c r="P261" s="57">
        <v>15569.121039938234</v>
      </c>
      <c r="Q261" s="88">
        <f>IFERROR(IF(tblPiNAnalysis[[#This Row],[SAMV]]="", "", MROUND(tblPiNAnalysis[[#This Row],[SAMV]]/tblPiNAnalysis[[#This Row],[Población]], 0.05)), "")</f>
        <v>0.1</v>
      </c>
      <c r="R261" s="89">
        <f>IFERROR(IF(tblPiNAnalysis[[#This Row],[NUT]]="", "", MROUND(tblPiNAnalysis[[#This Row],[NUT]]/tblPiNAnalysis[[#This Row],[Población]], 0.05)), "")</f>
        <v>0.05</v>
      </c>
      <c r="S261" s="89">
        <f>IFERROR(IF(tblPiNAnalysis[[#This Row],[SAL]]="", "", MROUND(tblPiNAnalysis[[#This Row],[SAL]]/tblPiNAnalysis[[#This Row],[Población]], 0.05)), "")</f>
        <v>0.35000000000000003</v>
      </c>
      <c r="T261" s="89">
        <f>IFERROR(IF(tblPiNAnalysis[[#This Row],[EDU]]="", "", MROUND(tblPiNAnalysis[[#This Row],[EDU]]/tblPiNAnalysis[[#This Row],[Población]], 0.05)), "")</f>
        <v>0.15000000000000002</v>
      </c>
      <c r="U261" s="89">
        <f>IFERROR(IF(tblPiNAnalysis[[#This Row],[PRO]]="", "", MROUND(tblPiNAnalysis[[#This Row],[PRO]]/tblPiNAnalysis[[#This Row],[Población]], 0.05)), "")</f>
        <v>0.25</v>
      </c>
      <c r="V261" s="90">
        <f>IFERROR(IF(tblPiNAnalysis[[#This Row],[ASH]]="", "", MROUND(tblPiNAnalysis[[#This Row],[ASH]]/tblPiNAnalysis[[#This Row],[Población]], 0.05)), "")</f>
        <v>0</v>
      </c>
      <c r="W261" s="89">
        <f>IFERROR(MROUND(tblPiNAnalysis[[#This Row],[NNA]]/tblPiNAnalysis[[#This Row],[Población]], 0.05), "")</f>
        <v>0.1</v>
      </c>
      <c r="X261" s="89">
        <f>IFERROR(MROUND(tblPiNAnalysis[[#This Row],[VBG]]/tblPiNAnalysis[[#This Row],[Población]], 0.05), "")</f>
        <v>0.1</v>
      </c>
      <c r="Y261" s="91">
        <f>IFERROR(LARGE(tblPiNAnalysis[[#This Row],[SAMV]:[ASH]], 1), "")</f>
        <v>68117.03</v>
      </c>
      <c r="Z261" s="92" t="str" cm="1">
        <f t="array" ref="Z261">IF(tblPiNAnalysis[[#This Row],[PiN más alto]]="", "", _xlfn.TEXTJOIN(CHAR(10), TRUE, IF(tblPiNAnalysis[[#This Row],[PiN más alto]]=tblPiNAnalysis[[#This Row],[SAMV]:[ASH]], tblPiNAnalysis[[#Headers],[SAMV]:[ASH]], "")))</f>
        <v>SAL</v>
      </c>
      <c r="AA261" s="93">
        <f>IF(tblPiNAnalysis[[#This Row],[PiN más alto]]="", "", tblPiNAnalysis[[#This Row],[PiN más alto]]/tblPiNAnalysis[[#This Row],[Población]])</f>
        <v>0.36499999999999999</v>
      </c>
      <c r="AB261" s="94" t="str">
        <f>IF(SUM(tblPiNAnalysis[[#This Row],[SAMV]:[ASH]])=0, "",IF(COUNTIF(tblPiNAnalysis[[#This Row],[SAMV]:[ASH]],"=0")+COUNTIF(tblPiNAnalysis[[#This Row],[SAMV]:[ASH]],"")&gt;=zero_pin_thresh, "Flagged", ""))</f>
        <v/>
      </c>
      <c r="AC261" s="95" t="str">
        <f>IFERROR(IF(tblPiNAnalysis[[#This Row],[PiN más alto]]="", "", IF(tblPiNAnalysis[[#This Row],[% PiN Sectores más altos]]&gt;=flag_pin_perc, "Flagged", "")), "")</f>
        <v/>
      </c>
      <c r="AD261" s="96" t="str" cm="1">
        <f t="array" ref="AD261">IF(tblPiNAnalysis[[#This Row],[PiN más alto]]=0, "",  IF(OR(COUNTIF(tblPiNAnalysis[[#This Row],[Sectores más altos]],tblSubSectorPopulation[Sector])), "Flagged", ""))</f>
        <v/>
      </c>
      <c r="AE261" s="16" cm="1">
        <f t="array" ref="AE26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44483.202971252096</v>
      </c>
      <c r="AF261" s="97" t="str" cm="1">
        <f t="array" ref="AF261">IF(tblPiNAnalysis[[#This Row],[2º PiN más alto]]="", "", _xlfn.TEXTJOIN(CHAR(10), TRUE, IF(tblPiNAnalysis[[#This Row],[2º PiN más alto]]=tblPiNAnalysis[[#This Row],[SAMV]:[ASH]], tblPiNAnalysis[[#Headers],[SAMV]:[ASH]], "")))</f>
        <v>PRO</v>
      </c>
      <c r="AG261" s="12">
        <f>IFERROR(tblPiNAnalysis[[#This Row],[2º PiN más alto]]/tblPiNAnalysis[[#This Row],[Población]], "")</f>
        <v>0.23835990918140465</v>
      </c>
      <c r="AH261" s="16">
        <f>IFERROR(tblPiNAnalysis[[#This Row],[PiN más alto]]-tblPiNAnalysis[[#This Row],[2º PiN más alto]], "")</f>
        <v>23633.827028747903</v>
      </c>
      <c r="AI261" s="14">
        <f>IFERROR(((tblPiNAnalysis[[#This Row],[PiN más alto]]-tblPiNAnalysis[[#This Row],[2º PiN más alto]])/tblPiNAnalysis[[#This Row],[2º PiN más alto]]),"")</f>
        <v>0.53129778096288616</v>
      </c>
      <c r="AJ261" s="14" t="str" cm="1">
        <f t="array" ref="AJ26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61" s="98" cm="1">
        <f t="array" ref="AK26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25367.005990331818</v>
      </c>
      <c r="AL261" s="53" t="str" cm="1">
        <f t="array" ref="AL261">IF(tblPiNAnalysis[[#This Row],[3º PiN más alto]]="", "", _xlfn.TEXTJOIN(CHAR(10), TRUE, IF(tblPiNAnalysis[[#This Row],[3º PiN más alto]]=tblPiNAnalysis[[#This Row],[SAMV]:[ASH]], tblPiNAnalysis[[#Headers],[SAMV]:[ASH]], "")))</f>
        <v>EDU</v>
      </c>
      <c r="AM261" s="53">
        <f>IFERROR(tblPiNAnalysis[[#This Row],[3º PiN más alto]]/tblPiNAnalysis[[#This Row],[Población]], "")</f>
        <v>0.13592720038544126</v>
      </c>
      <c r="AN261" s="15">
        <f>IFERROR(tblPiNAnalysis[[#This Row],[PiN más alto]]-tblPiNAnalysis[[#This Row],[3º PiN más alto]],"")</f>
        <v>42750.024009668181</v>
      </c>
      <c r="AO261" s="14">
        <f>IFERROR(tblPiNAnalysis[[#This Row],[Diferencia de PiN entre el más alto y el 3º más alto]]/tblPiNAnalysis[[#This Row],[3º PiN más alto]], "")</f>
        <v>1.6852609261795259</v>
      </c>
      <c r="AP261" s="96" t="str" cm="1">
        <f t="array" ref="AP26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61" s="84" cm="1">
        <f t="array" ref="AQ261">IFERROR(IF(tblPiNAnalysis[[#This Row],[ID]]="", "", INDEX(tblPiNHistorical[[SAMV]:[ASH]], MATCH(tblPiNAnalysis[[#This Row],[ID]],tblPiNHistorical[ID], 0),MATCH(_xlfn._xlws.FILTER(tblPiNAnalysis[[#Headers],[SAMV]:[ASH]], tblPiNAnalysis[[#This Row],[PiN más alto]]=tblPiNAnalysis[[#This Row],[SAMV]:[ASH]]), tblPiNHistorical[[#Headers],[SAMV]:[ASH]], 0))), "")</f>
        <v>-0.5</v>
      </c>
      <c r="AR261" s="99" t="str" cm="1">
        <f t="array" ref="AR26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61" s="74" cm="1">
        <f t="array" ref="AS261">IFERROR(IF(tblPiNAnalysis[[#This Row],[ID]]="", "", INDEX(tblPiNHistorical[[SAMV]:[ASH]], MATCH(tblPiNAnalysis[[#This Row],[ID]],tblPiNHistorical[ID], 0),MATCH(_xlfn._xlws.FILTER(tblPiNAnalysis[[#Headers],[SAMV]:[ASH]], tblPiNAnalysis[[#This Row],[2º PiN más alto]]=tblPiNAnalysis[[#This Row],[SAMV]:[ASH]]), tblPiNHistorical[[#Headers],[SAMV]:[ASH]], 0))), "")</f>
        <v>-0.6</v>
      </c>
      <c r="AT261" s="100" t="str" cm="1">
        <f t="array" ref="AT26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61" s="219">
        <f>INDEX(tblSeverityAnalysis[Severidad final], MATCH(tblPiNAnalysis[[#This Row],[ID]],tblSeverityAnalysis[ID], 0))</f>
        <v>2</v>
      </c>
      <c r="AV261" s="220">
        <f>IF(tblPiNAnalysis[[#This Row],[Severidad]]&gt;2,tblPiNAnalysis[[#This Row],[PiN más alto]],)</f>
        <v>0</v>
      </c>
      <c r="AW261" s="54"/>
      <c r="AX261" s="55"/>
      <c r="AY261" s="56">
        <f>COUNTIFS(tblPiNAnalysis[[#This Row],[Número de PiN ausentes/cero superior al umbral - Calidad de los datos]:[Marcador manual]],"Flagged")</f>
        <v>2</v>
      </c>
      <c r="AZ261" s="34" t="str">
        <f>IF(tblPiNAnalysis[[#This Row],[Número de marcadores]]&gt;0, "Flagged", "")</f>
        <v>Flagged</v>
      </c>
      <c r="BA261" s="92">
        <f>tblPiNAnalysis[[#This Row],[PiN preliminar]]</f>
        <v>0</v>
      </c>
      <c r="BB261" s="97"/>
      <c r="BC261" s="70">
        <f>IFERROR(IF(tblPiNAnalysis[[#This Row],[Severidad]]=3,tblPiNAnalysis[[#This Row],[PiN final]]*Umbrales!$D$33,tblPiNAnalysis[[#This Row],[PiN final]]*Umbrales!$D$34),)</f>
        <v>0</v>
      </c>
      <c r="BD261" s="70">
        <f>IFERROR(IF(tblPiNAnalysis[[#This Row],[Severidad]]&gt;3,tblPiNAnalysis[[#This Row],[PiN final]]*Umbrales!$D$34,),)</f>
        <v>0</v>
      </c>
    </row>
    <row r="262" spans="1:56">
      <c r="A262" s="101" t="str">
        <f>IFERROR(_xlfn.CONCAT(IF(tblPiNAnalysis[[#This Row],[Grupo]]="", "",tblPiNAnalysis[[#This Row],[Grupo]] ),  _xlfn.IFS(tblPiNAnalysis[[#This Row],[Admin2PCODE]]&lt;&gt;"", tblPiNAnalysis[[#This Row],[Admin2PCODE]], tblPiNAnalysis[[#This Row],[Admin1PCODE]]&lt;&gt;"", tblPiNAnalysis[[#This Row],[Admin1PCODE]])),"")</f>
        <v>VenezolanosVE0812</v>
      </c>
      <c r="B262" s="105" t="s">
        <v>261</v>
      </c>
      <c r="C262" s="104" t="s">
        <v>262</v>
      </c>
      <c r="D262" s="119" t="s">
        <v>284</v>
      </c>
      <c r="E262" s="104" t="s">
        <v>285</v>
      </c>
      <c r="F262" s="358"/>
      <c r="G262" s="357">
        <v>95367</v>
      </c>
      <c r="H262" s="103" t="s">
        <v>102</v>
      </c>
      <c r="I262" s="60">
        <v>3885</v>
      </c>
      <c r="J262" s="134">
        <v>2979.6105942653098</v>
      </c>
      <c r="K262" s="57">
        <v>34808.955000000002</v>
      </c>
      <c r="L262" s="87">
        <v>14705.995417972239</v>
      </c>
      <c r="M262" s="87">
        <v>22731.669458903019</v>
      </c>
      <c r="N262" s="57">
        <v>0</v>
      </c>
      <c r="O262" s="57">
        <v>7274.1342268489661</v>
      </c>
      <c r="P262" s="57">
        <v>7956.0843106160555</v>
      </c>
      <c r="Q262" s="88">
        <f>IFERROR(IF(tblPiNAnalysis[[#This Row],[SAMV]]="", "", MROUND(tblPiNAnalysis[[#This Row],[SAMV]]/tblPiNAnalysis[[#This Row],[Población]], 0.05)), "")</f>
        <v>0.05</v>
      </c>
      <c r="R262" s="89">
        <f>IFERROR(IF(tblPiNAnalysis[[#This Row],[NUT]]="", "", MROUND(tblPiNAnalysis[[#This Row],[NUT]]/tblPiNAnalysis[[#This Row],[Población]], 0.05)), "")</f>
        <v>0.05</v>
      </c>
      <c r="S262" s="89">
        <f>IFERROR(IF(tblPiNAnalysis[[#This Row],[SAL]]="", "", MROUND(tblPiNAnalysis[[#This Row],[SAL]]/tblPiNAnalysis[[#This Row],[Población]], 0.05)), "")</f>
        <v>0.35000000000000003</v>
      </c>
      <c r="T262" s="89">
        <f>IFERROR(IF(tblPiNAnalysis[[#This Row],[EDU]]="", "", MROUND(tblPiNAnalysis[[#This Row],[EDU]]/tblPiNAnalysis[[#This Row],[Población]], 0.05)), "")</f>
        <v>0.15000000000000002</v>
      </c>
      <c r="U262" s="89">
        <f>IFERROR(IF(tblPiNAnalysis[[#This Row],[PRO]]="", "", MROUND(tblPiNAnalysis[[#This Row],[PRO]]/tblPiNAnalysis[[#This Row],[Población]], 0.05)), "")</f>
        <v>0.25</v>
      </c>
      <c r="V262" s="90">
        <f>IFERROR(IF(tblPiNAnalysis[[#This Row],[ASH]]="", "", MROUND(tblPiNAnalysis[[#This Row],[ASH]]/tblPiNAnalysis[[#This Row],[Población]], 0.05)), "")</f>
        <v>0</v>
      </c>
      <c r="W262" s="89">
        <f>IFERROR(MROUND(tblPiNAnalysis[[#This Row],[NNA]]/tblPiNAnalysis[[#This Row],[Población]], 0.05), "")</f>
        <v>0.1</v>
      </c>
      <c r="X262" s="89">
        <f>IFERROR(MROUND(tblPiNAnalysis[[#This Row],[VBG]]/tblPiNAnalysis[[#This Row],[Población]], 0.05), "")</f>
        <v>0.1</v>
      </c>
      <c r="Y262" s="91">
        <f>IFERROR(LARGE(tblPiNAnalysis[[#This Row],[SAMV]:[ASH]], 1), "")</f>
        <v>34808.955000000002</v>
      </c>
      <c r="Z262" s="92" t="str" cm="1">
        <f t="array" ref="Z262">IF(tblPiNAnalysis[[#This Row],[PiN más alto]]="", "", _xlfn.TEXTJOIN(CHAR(10), TRUE, IF(tblPiNAnalysis[[#This Row],[PiN más alto]]=tblPiNAnalysis[[#This Row],[SAMV]:[ASH]], tblPiNAnalysis[[#Headers],[SAMV]:[ASH]], "")))</f>
        <v>SAL</v>
      </c>
      <c r="AA262" s="93">
        <f>IF(tblPiNAnalysis[[#This Row],[PiN más alto]]="", "", tblPiNAnalysis[[#This Row],[PiN más alto]]/tblPiNAnalysis[[#This Row],[Población]])</f>
        <v>0.36499999999999999</v>
      </c>
      <c r="AB262" s="94" t="str">
        <f>IF(SUM(tblPiNAnalysis[[#This Row],[SAMV]:[ASH]])=0, "",IF(COUNTIF(tblPiNAnalysis[[#This Row],[SAMV]:[ASH]],"=0")+COUNTIF(tblPiNAnalysis[[#This Row],[SAMV]:[ASH]],"")&gt;=zero_pin_thresh, "Flagged", ""))</f>
        <v/>
      </c>
      <c r="AC262" s="95" t="str">
        <f>IFERROR(IF(tblPiNAnalysis[[#This Row],[PiN más alto]]="", "", IF(tblPiNAnalysis[[#This Row],[% PiN Sectores más altos]]&gt;=flag_pin_perc, "Flagged", "")), "")</f>
        <v/>
      </c>
      <c r="AD262" s="96" t="str" cm="1">
        <f t="array" ref="AD262">IF(tblPiNAnalysis[[#This Row],[PiN más alto]]=0, "",  IF(OR(COUNTIF(tblPiNAnalysis[[#This Row],[Sectores más altos]],tblSubSectorPopulation[Sector])), "Flagged", ""))</f>
        <v/>
      </c>
      <c r="AE262" s="16" cm="1">
        <f t="array" ref="AE26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22731.669458903019</v>
      </c>
      <c r="AF262" s="97" t="str" cm="1">
        <f t="array" ref="AF262">IF(tblPiNAnalysis[[#This Row],[2º PiN más alto]]="", "", _xlfn.TEXTJOIN(CHAR(10), TRUE, IF(tblPiNAnalysis[[#This Row],[2º PiN más alto]]=tblPiNAnalysis[[#This Row],[SAMV]:[ASH]], tblPiNAnalysis[[#Headers],[SAMV]:[ASH]], "")))</f>
        <v>PRO</v>
      </c>
      <c r="AG262" s="12">
        <f>IFERROR(tblPiNAnalysis[[#This Row],[2º PiN más alto]]/tblPiNAnalysis[[#This Row],[Población]], "")</f>
        <v>0.23835990918140468</v>
      </c>
      <c r="AH262" s="16">
        <f>IFERROR(tblPiNAnalysis[[#This Row],[PiN más alto]]-tblPiNAnalysis[[#This Row],[2º PiN más alto]], "")</f>
        <v>12077.285541096982</v>
      </c>
      <c r="AI262" s="14">
        <f>IFERROR(((tblPiNAnalysis[[#This Row],[PiN más alto]]-tblPiNAnalysis[[#This Row],[2º PiN más alto]])/tblPiNAnalysis[[#This Row],[2º PiN más alto]]),"")</f>
        <v>0.53129778096288605</v>
      </c>
      <c r="AJ262" s="14" t="str" cm="1">
        <f t="array" ref="AJ26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62" s="98" cm="1">
        <f t="array" ref="AK26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14705.995417972239</v>
      </c>
      <c r="AL262" s="53" t="str" cm="1">
        <f t="array" ref="AL262">IF(tblPiNAnalysis[[#This Row],[3º PiN más alto]]="", "", _xlfn.TEXTJOIN(CHAR(10), TRUE, IF(tblPiNAnalysis[[#This Row],[3º PiN más alto]]=tblPiNAnalysis[[#This Row],[SAMV]:[ASH]], tblPiNAnalysis[[#Headers],[SAMV]:[ASH]], "")))</f>
        <v>EDU</v>
      </c>
      <c r="AM262" s="53">
        <f>IFERROR(tblPiNAnalysis[[#This Row],[3º PiN más alto]]/tblPiNAnalysis[[#This Row],[Población]], "")</f>
        <v>0.1542042364546671</v>
      </c>
      <c r="AN262" s="15">
        <f>IFERROR(tblPiNAnalysis[[#This Row],[PiN más alto]]-tblPiNAnalysis[[#This Row],[3º PiN más alto]],"")</f>
        <v>20102.959582027761</v>
      </c>
      <c r="AO262" s="14">
        <f>IFERROR(tblPiNAnalysis[[#This Row],[Diferencia de PiN entre el más alto y el 3º más alto]]/tblPiNAnalysis[[#This Row],[3º PiN más alto]], "")</f>
        <v>1.3669907415760429</v>
      </c>
      <c r="AP262" s="96" t="str" cm="1">
        <f t="array" ref="AP26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62" s="84" cm="1">
        <f t="array" ref="AQ262">IFERROR(IF(tblPiNAnalysis[[#This Row],[ID]]="", "", INDEX(tblPiNHistorical[[SAMV]:[ASH]], MATCH(tblPiNAnalysis[[#This Row],[ID]],tblPiNHistorical[ID], 0),MATCH(_xlfn._xlws.FILTER(tblPiNAnalysis[[#Headers],[SAMV]:[ASH]], tblPiNAnalysis[[#This Row],[PiN más alto]]=tblPiNAnalysis[[#This Row],[SAMV]:[ASH]]), tblPiNHistorical[[#Headers],[SAMV]:[ASH]], 0))), "")</f>
        <v>-0.4</v>
      </c>
      <c r="AR262" s="99" t="str" cm="1">
        <f t="array" ref="AR26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62" s="74" cm="1">
        <f t="array" ref="AS262">IFERROR(IF(tblPiNAnalysis[[#This Row],[ID]]="", "", INDEX(tblPiNHistorical[[SAMV]:[ASH]], MATCH(tblPiNAnalysis[[#This Row],[ID]],tblPiNHistorical[ID], 0),MATCH(_xlfn._xlws.FILTER(tblPiNAnalysis[[#Headers],[SAMV]:[ASH]], tblPiNAnalysis[[#This Row],[2º PiN más alto]]=tblPiNAnalysis[[#This Row],[SAMV]:[ASH]]), tblPiNHistorical[[#Headers],[SAMV]:[ASH]], 0))), "")</f>
        <v>-0.9</v>
      </c>
      <c r="AT262" s="100" t="str" cm="1">
        <f t="array" ref="AT26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62" s="219">
        <f>INDEX(tblSeverityAnalysis[Severidad final], MATCH(tblPiNAnalysis[[#This Row],[ID]],tblSeverityAnalysis[ID], 0))</f>
        <v>2</v>
      </c>
      <c r="AV262" s="220">
        <f>IF(tblPiNAnalysis[[#This Row],[Severidad]]&gt;2,tblPiNAnalysis[[#This Row],[PiN más alto]],)</f>
        <v>0</v>
      </c>
      <c r="AW262" s="54"/>
      <c r="AX262" s="55"/>
      <c r="AY262" s="56">
        <f>COUNTIFS(tblPiNAnalysis[[#This Row],[Número de PiN ausentes/cero superior al umbral - Calidad de los datos]:[Marcador manual]],"Flagged")</f>
        <v>2</v>
      </c>
      <c r="AZ262" s="34" t="str">
        <f>IF(tblPiNAnalysis[[#This Row],[Número de marcadores]]&gt;0, "Flagged", "")</f>
        <v>Flagged</v>
      </c>
      <c r="BA262" s="92">
        <f>tblPiNAnalysis[[#This Row],[PiN preliminar]]</f>
        <v>0</v>
      </c>
      <c r="BB262" s="97"/>
      <c r="BC262" s="70">
        <f>IFERROR(IF(tblPiNAnalysis[[#This Row],[Severidad]]=3,tblPiNAnalysis[[#This Row],[PiN final]]*Umbrales!$D$33,tblPiNAnalysis[[#This Row],[PiN final]]*Umbrales!$D$34),)</f>
        <v>0</v>
      </c>
      <c r="BD262" s="70">
        <f>IFERROR(IF(tblPiNAnalysis[[#This Row],[Severidad]]&gt;3,tblPiNAnalysis[[#This Row],[PiN final]]*Umbrales!$D$34,),)</f>
        <v>0</v>
      </c>
    </row>
    <row r="263" spans="1:56">
      <c r="A263" s="101" t="str">
        <f>IFERROR(_xlfn.CONCAT(IF(tblPiNAnalysis[[#This Row],[Grupo]]="", "",tblPiNAnalysis[[#This Row],[Grupo]] ),  _xlfn.IFS(tblPiNAnalysis[[#This Row],[Admin2PCODE]]&lt;&gt;"", tblPiNAnalysis[[#This Row],[Admin2PCODE]], tblPiNAnalysis[[#This Row],[Admin1PCODE]]&lt;&gt;"", tblPiNAnalysis[[#This Row],[Admin1PCODE]])),"")</f>
        <v>VenezolanosVE0813</v>
      </c>
      <c r="B263" s="105" t="s">
        <v>261</v>
      </c>
      <c r="C263" s="104" t="s">
        <v>262</v>
      </c>
      <c r="D263" s="119" t="s">
        <v>286</v>
      </c>
      <c r="E263" s="104" t="s">
        <v>287</v>
      </c>
      <c r="F263" s="358"/>
      <c r="G263" s="357">
        <v>65575</v>
      </c>
      <c r="H263" s="103" t="s">
        <v>102</v>
      </c>
      <c r="I263" s="60">
        <v>4857</v>
      </c>
      <c r="J263" s="134">
        <v>2247.6550118364421</v>
      </c>
      <c r="K263" s="57">
        <v>23934.875</v>
      </c>
      <c r="L263" s="87">
        <v>9984.748005802081</v>
      </c>
      <c r="M263" s="87">
        <v>15630.451044570606</v>
      </c>
      <c r="N263" s="57">
        <v>0</v>
      </c>
      <c r="O263" s="57">
        <v>5017.3747853071645</v>
      </c>
      <c r="P263" s="57">
        <v>5470.6578655997118</v>
      </c>
      <c r="Q263" s="88">
        <f>IFERROR(IF(tblPiNAnalysis[[#This Row],[SAMV]]="", "", MROUND(tblPiNAnalysis[[#This Row],[SAMV]]/tblPiNAnalysis[[#This Row],[Población]], 0.05)), "")</f>
        <v>0.05</v>
      </c>
      <c r="R263" s="89">
        <f>IFERROR(IF(tblPiNAnalysis[[#This Row],[NUT]]="", "", MROUND(tblPiNAnalysis[[#This Row],[NUT]]/tblPiNAnalysis[[#This Row],[Población]], 0.05)), "")</f>
        <v>0.05</v>
      </c>
      <c r="S263" s="89">
        <f>IFERROR(IF(tblPiNAnalysis[[#This Row],[SAL]]="", "", MROUND(tblPiNAnalysis[[#This Row],[SAL]]/tblPiNAnalysis[[#This Row],[Población]], 0.05)), "")</f>
        <v>0.35000000000000003</v>
      </c>
      <c r="T263" s="89">
        <f>IFERROR(IF(tblPiNAnalysis[[#This Row],[EDU]]="", "", MROUND(tblPiNAnalysis[[#This Row],[EDU]]/tblPiNAnalysis[[#This Row],[Población]], 0.05)), "")</f>
        <v>0.15000000000000002</v>
      </c>
      <c r="U263" s="89">
        <f>IFERROR(IF(tblPiNAnalysis[[#This Row],[PRO]]="", "", MROUND(tblPiNAnalysis[[#This Row],[PRO]]/tblPiNAnalysis[[#This Row],[Población]], 0.05)), "")</f>
        <v>0.25</v>
      </c>
      <c r="V263" s="90">
        <f>IFERROR(IF(tblPiNAnalysis[[#This Row],[ASH]]="", "", MROUND(tblPiNAnalysis[[#This Row],[ASH]]/tblPiNAnalysis[[#This Row],[Población]], 0.05)), "")</f>
        <v>0</v>
      </c>
      <c r="W263" s="89">
        <f>IFERROR(MROUND(tblPiNAnalysis[[#This Row],[NNA]]/tblPiNAnalysis[[#This Row],[Población]], 0.05), "")</f>
        <v>0.1</v>
      </c>
      <c r="X263" s="89">
        <f>IFERROR(MROUND(tblPiNAnalysis[[#This Row],[VBG]]/tblPiNAnalysis[[#This Row],[Población]], 0.05), "")</f>
        <v>0.1</v>
      </c>
      <c r="Y263" s="91">
        <f>IFERROR(LARGE(tblPiNAnalysis[[#This Row],[SAMV]:[ASH]], 1), "")</f>
        <v>23934.875</v>
      </c>
      <c r="Z263" s="92" t="str" cm="1">
        <f t="array" ref="Z263">IF(tblPiNAnalysis[[#This Row],[PiN más alto]]="", "", _xlfn.TEXTJOIN(CHAR(10), TRUE, IF(tblPiNAnalysis[[#This Row],[PiN más alto]]=tblPiNAnalysis[[#This Row],[SAMV]:[ASH]], tblPiNAnalysis[[#Headers],[SAMV]:[ASH]], "")))</f>
        <v>SAL</v>
      </c>
      <c r="AA263" s="93">
        <f>IF(tblPiNAnalysis[[#This Row],[PiN más alto]]="", "", tblPiNAnalysis[[#This Row],[PiN más alto]]/tblPiNAnalysis[[#This Row],[Población]])</f>
        <v>0.36499999999999999</v>
      </c>
      <c r="AB263" s="94" t="str">
        <f>IF(SUM(tblPiNAnalysis[[#This Row],[SAMV]:[ASH]])=0, "",IF(COUNTIF(tblPiNAnalysis[[#This Row],[SAMV]:[ASH]],"=0")+COUNTIF(tblPiNAnalysis[[#This Row],[SAMV]:[ASH]],"")&gt;=zero_pin_thresh, "Flagged", ""))</f>
        <v/>
      </c>
      <c r="AC263" s="95" t="str">
        <f>IFERROR(IF(tblPiNAnalysis[[#This Row],[PiN más alto]]="", "", IF(tblPiNAnalysis[[#This Row],[% PiN Sectores más altos]]&gt;=flag_pin_perc, "Flagged", "")), "")</f>
        <v/>
      </c>
      <c r="AD263" s="96" t="str" cm="1">
        <f t="array" ref="AD263">IF(tblPiNAnalysis[[#This Row],[PiN más alto]]=0, "",  IF(OR(COUNTIF(tblPiNAnalysis[[#This Row],[Sectores más altos]],tblSubSectorPopulation[Sector])), "Flagged", ""))</f>
        <v/>
      </c>
      <c r="AE263" s="16" cm="1">
        <f t="array" ref="AE26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15630.451044570606</v>
      </c>
      <c r="AF263" s="97" t="str" cm="1">
        <f t="array" ref="AF263">IF(tblPiNAnalysis[[#This Row],[2º PiN más alto]]="", "", _xlfn.TEXTJOIN(CHAR(10), TRUE, IF(tblPiNAnalysis[[#This Row],[2º PiN más alto]]=tblPiNAnalysis[[#This Row],[SAMV]:[ASH]], tblPiNAnalysis[[#Headers],[SAMV]:[ASH]], "")))</f>
        <v>PRO</v>
      </c>
      <c r="AG263" s="12">
        <f>IFERROR(tblPiNAnalysis[[#This Row],[2º PiN más alto]]/tblPiNAnalysis[[#This Row],[Población]], "")</f>
        <v>0.23835990918140459</v>
      </c>
      <c r="AH263" s="16">
        <f>IFERROR(tblPiNAnalysis[[#This Row],[PiN más alto]]-tblPiNAnalysis[[#This Row],[2º PiN más alto]], "")</f>
        <v>8304.4239554293945</v>
      </c>
      <c r="AI263" s="14">
        <f>IFERROR(((tblPiNAnalysis[[#This Row],[PiN más alto]]-tblPiNAnalysis[[#This Row],[2º PiN más alto]])/tblPiNAnalysis[[#This Row],[2º PiN más alto]]),"")</f>
        <v>0.53129778096288649</v>
      </c>
      <c r="AJ263" s="14" t="str" cm="1">
        <f t="array" ref="AJ26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63" s="98" cm="1">
        <f t="array" ref="AK26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9984.748005802081</v>
      </c>
      <c r="AL263" s="53" t="str" cm="1">
        <f t="array" ref="AL263">IF(tblPiNAnalysis[[#This Row],[3º PiN más alto]]="", "", _xlfn.TEXTJOIN(CHAR(10), TRUE, IF(tblPiNAnalysis[[#This Row],[3º PiN más alto]]=tblPiNAnalysis[[#This Row],[SAMV]:[ASH]], tblPiNAnalysis[[#Headers],[SAMV]:[ASH]], "")))</f>
        <v>EDU</v>
      </c>
      <c r="AM263" s="53">
        <f>IFERROR(tblPiNAnalysis[[#This Row],[3º PiN más alto]]/tblPiNAnalysis[[#This Row],[Población]], "")</f>
        <v>0.15226455212812934</v>
      </c>
      <c r="AN263" s="15">
        <f>IFERROR(tblPiNAnalysis[[#This Row],[PiN más alto]]-tblPiNAnalysis[[#This Row],[3º PiN más alto]],"")</f>
        <v>13950.126994197919</v>
      </c>
      <c r="AO263" s="14">
        <f>IFERROR(tblPiNAnalysis[[#This Row],[Diferencia de PiN entre el más alto y el 3º más alto]]/tblPiNAnalysis[[#This Row],[3º PiN más alto]], "")</f>
        <v>1.3971436220615261</v>
      </c>
      <c r="AP263" s="96" t="str" cm="1">
        <f t="array" ref="AP26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63" s="84" cm="1">
        <f t="array" ref="AQ263">IFERROR(IF(tblPiNAnalysis[[#This Row],[ID]]="", "", INDEX(tblPiNHistorical[[SAMV]:[ASH]], MATCH(tblPiNAnalysis[[#This Row],[ID]],tblPiNHistorical[ID], 0),MATCH(_xlfn._xlws.FILTER(tblPiNAnalysis[[#Headers],[SAMV]:[ASH]], tblPiNAnalysis[[#This Row],[PiN más alto]]=tblPiNAnalysis[[#This Row],[SAMV]:[ASH]]), tblPiNHistorical[[#Headers],[SAMV]:[ASH]], 0))), "")</f>
        <v>0.3</v>
      </c>
      <c r="AR263" s="99" t="str" cm="1">
        <f t="array" ref="AR26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63" s="74" cm="1">
        <f t="array" ref="AS263">IFERROR(IF(tblPiNAnalysis[[#This Row],[ID]]="", "", INDEX(tblPiNHistorical[[SAMV]:[ASH]], MATCH(tblPiNAnalysis[[#This Row],[ID]],tblPiNHistorical[ID], 0),MATCH(_xlfn._xlws.FILTER(tblPiNAnalysis[[#Headers],[SAMV]:[ASH]], tblPiNAnalysis[[#This Row],[2º PiN más alto]]=tblPiNAnalysis[[#This Row],[SAMV]:[ASH]]), tblPiNHistorical[[#Headers],[SAMV]:[ASH]], 0))), "")</f>
        <v>-0.5</v>
      </c>
      <c r="AT263" s="100" t="str" cm="1">
        <f t="array" ref="AT26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63" s="219">
        <f>INDEX(tblSeverityAnalysis[Severidad final], MATCH(tblPiNAnalysis[[#This Row],[ID]],tblSeverityAnalysis[ID], 0))</f>
        <v>2</v>
      </c>
      <c r="AV263" s="220">
        <f>IF(tblPiNAnalysis[[#This Row],[Severidad]]&gt;2,tblPiNAnalysis[[#This Row],[PiN más alto]],)</f>
        <v>0</v>
      </c>
      <c r="AW263" s="54"/>
      <c r="AX263" s="55"/>
      <c r="AY263" s="56">
        <f>COUNTIFS(tblPiNAnalysis[[#This Row],[Número de PiN ausentes/cero superior al umbral - Calidad de los datos]:[Marcador manual]],"Flagged")</f>
        <v>2</v>
      </c>
      <c r="AZ263" s="34" t="str">
        <f>IF(tblPiNAnalysis[[#This Row],[Número de marcadores]]&gt;0, "Flagged", "")</f>
        <v>Flagged</v>
      </c>
      <c r="BA263" s="92">
        <f>tblPiNAnalysis[[#This Row],[PiN preliminar]]</f>
        <v>0</v>
      </c>
      <c r="BB263" s="97"/>
      <c r="BC263" s="70">
        <f>IFERROR(IF(tblPiNAnalysis[[#This Row],[Severidad]]=3,tblPiNAnalysis[[#This Row],[PiN final]]*Umbrales!$D$33,tblPiNAnalysis[[#This Row],[PiN final]]*Umbrales!$D$34),)</f>
        <v>0</v>
      </c>
      <c r="BD263" s="70">
        <f>IFERROR(IF(tblPiNAnalysis[[#This Row],[Severidad]]&gt;3,tblPiNAnalysis[[#This Row],[PiN final]]*Umbrales!$D$34,),)</f>
        <v>0</v>
      </c>
    </row>
    <row r="264" spans="1:56">
      <c r="A264" s="101" t="str">
        <f>IFERROR(_xlfn.CONCAT(IF(tblPiNAnalysis[[#This Row],[Grupo]]="", "",tblPiNAnalysis[[#This Row],[Grupo]] ),  _xlfn.IFS(tblPiNAnalysis[[#This Row],[Admin2PCODE]]&lt;&gt;"", tblPiNAnalysis[[#This Row],[Admin2PCODE]], tblPiNAnalysis[[#This Row],[Admin1PCODE]]&lt;&gt;"", tblPiNAnalysis[[#This Row],[Admin1PCODE]])),"")</f>
        <v>VenezolanosVE0901</v>
      </c>
      <c r="B264" s="105" t="s">
        <v>290</v>
      </c>
      <c r="C264" s="104" t="s">
        <v>291</v>
      </c>
      <c r="D264" s="119" t="s">
        <v>119</v>
      </c>
      <c r="E264" s="104" t="s">
        <v>292</v>
      </c>
      <c r="F264" s="358"/>
      <c r="G264" s="357">
        <v>17417</v>
      </c>
      <c r="H264" s="103" t="s">
        <v>102</v>
      </c>
      <c r="I264" s="60">
        <v>1613</v>
      </c>
      <c r="J264" s="134">
        <v>697.61988669560958</v>
      </c>
      <c r="K264" s="57">
        <v>7700</v>
      </c>
      <c r="L264" s="87">
        <v>429.39301219337653</v>
      </c>
      <c r="M264" s="87">
        <v>4481.9202736243888</v>
      </c>
      <c r="N264" s="57">
        <v>0</v>
      </c>
      <c r="O264" s="57">
        <v>1434.2144875598046</v>
      </c>
      <c r="P264" s="57">
        <v>1568.6720957685359</v>
      </c>
      <c r="Q264" s="88">
        <f>IFERROR(IF(tblPiNAnalysis[[#This Row],[SAMV]]="", "", MROUND(tblPiNAnalysis[[#This Row],[SAMV]]/tblPiNAnalysis[[#This Row],[Población]], 0.05)), "")</f>
        <v>0.1</v>
      </c>
      <c r="R264" s="89">
        <f>IFERROR(IF(tblPiNAnalysis[[#This Row],[NUT]]="", "", MROUND(tblPiNAnalysis[[#This Row],[NUT]]/tblPiNAnalysis[[#This Row],[Población]], 0.05)), "")</f>
        <v>0.05</v>
      </c>
      <c r="S264" s="89">
        <f>IFERROR(IF(tblPiNAnalysis[[#This Row],[SAL]]="", "", MROUND(tblPiNAnalysis[[#This Row],[SAL]]/tblPiNAnalysis[[#This Row],[Población]], 0.05)), "")</f>
        <v>0.45</v>
      </c>
      <c r="T264" s="89">
        <f>IFERROR(IF(tblPiNAnalysis[[#This Row],[EDU]]="", "", MROUND(tblPiNAnalysis[[#This Row],[EDU]]/tblPiNAnalysis[[#This Row],[Población]], 0.05)), "")</f>
        <v>0</v>
      </c>
      <c r="U264" s="89">
        <f>IFERROR(IF(tblPiNAnalysis[[#This Row],[PRO]]="", "", MROUND(tblPiNAnalysis[[#This Row],[PRO]]/tblPiNAnalysis[[#This Row],[Población]], 0.05)), "")</f>
        <v>0.25</v>
      </c>
      <c r="V264" s="90">
        <f>IFERROR(IF(tblPiNAnalysis[[#This Row],[ASH]]="", "", MROUND(tblPiNAnalysis[[#This Row],[ASH]]/tblPiNAnalysis[[#This Row],[Población]], 0.05)), "")</f>
        <v>0</v>
      </c>
      <c r="W264" s="89">
        <f>IFERROR(MROUND(tblPiNAnalysis[[#This Row],[NNA]]/tblPiNAnalysis[[#This Row],[Población]], 0.05), "")</f>
        <v>0.1</v>
      </c>
      <c r="X264" s="89">
        <f>IFERROR(MROUND(tblPiNAnalysis[[#This Row],[VBG]]/tblPiNAnalysis[[#This Row],[Población]], 0.05), "")</f>
        <v>0.1</v>
      </c>
      <c r="Y264" s="91">
        <f>IFERROR(LARGE(tblPiNAnalysis[[#This Row],[SAMV]:[ASH]], 1), "")</f>
        <v>7700</v>
      </c>
      <c r="Z264" s="92" t="str" cm="1">
        <f t="array" ref="Z264">IF(tblPiNAnalysis[[#This Row],[PiN más alto]]="", "", _xlfn.TEXTJOIN(CHAR(10), TRUE, IF(tblPiNAnalysis[[#This Row],[PiN más alto]]=tblPiNAnalysis[[#This Row],[SAMV]:[ASH]], tblPiNAnalysis[[#Headers],[SAMV]:[ASH]], "")))</f>
        <v>SAL</v>
      </c>
      <c r="AA264" s="93">
        <f>IF(tblPiNAnalysis[[#This Row],[PiN más alto]]="", "", tblPiNAnalysis[[#This Row],[PiN más alto]]/tblPiNAnalysis[[#This Row],[Población]])</f>
        <v>0.44209680197508183</v>
      </c>
      <c r="AB264" s="94" t="str">
        <f>IF(SUM(tblPiNAnalysis[[#This Row],[SAMV]:[ASH]])=0, "",IF(COUNTIF(tblPiNAnalysis[[#This Row],[SAMV]:[ASH]],"=0")+COUNTIF(tblPiNAnalysis[[#This Row],[SAMV]:[ASH]],"")&gt;=zero_pin_thresh, "Flagged", ""))</f>
        <v/>
      </c>
      <c r="AC264" s="95" t="str">
        <f>IFERROR(IF(tblPiNAnalysis[[#This Row],[PiN más alto]]="", "", IF(tblPiNAnalysis[[#This Row],[% PiN Sectores más altos]]&gt;=flag_pin_perc, "Flagged", "")), "")</f>
        <v/>
      </c>
      <c r="AD264" s="96" t="str" cm="1">
        <f t="array" ref="AD264">IF(tblPiNAnalysis[[#This Row],[PiN más alto]]=0, "",  IF(OR(COUNTIF(tblPiNAnalysis[[#This Row],[Sectores más altos]],tblSubSectorPopulation[Sector])), "Flagged", ""))</f>
        <v/>
      </c>
      <c r="AE264" s="16" cm="1">
        <f t="array" ref="AE26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4481.9202736243888</v>
      </c>
      <c r="AF264" s="97" t="str" cm="1">
        <f t="array" ref="AF264">IF(tblPiNAnalysis[[#This Row],[2º PiN más alto]]="", "", _xlfn.TEXTJOIN(CHAR(10), TRUE, IF(tblPiNAnalysis[[#This Row],[2º PiN más alto]]=tblPiNAnalysis[[#This Row],[SAMV]:[ASH]], tblPiNAnalysis[[#Headers],[SAMV]:[ASH]], "")))</f>
        <v>PRO</v>
      </c>
      <c r="AG264" s="12">
        <f>IFERROR(tblPiNAnalysis[[#This Row],[2º PiN más alto]]/tblPiNAnalysis[[#This Row],[Población]], "")</f>
        <v>0.25733021034761377</v>
      </c>
      <c r="AH264" s="16">
        <f>IFERROR(tblPiNAnalysis[[#This Row],[PiN más alto]]-tblPiNAnalysis[[#This Row],[2º PiN más alto]], "")</f>
        <v>3218.0797263756112</v>
      </c>
      <c r="AI264" s="14">
        <f>IFERROR(((tblPiNAnalysis[[#This Row],[PiN más alto]]-tblPiNAnalysis[[#This Row],[2º PiN más alto]])/tblPiNAnalysis[[#This Row],[2º PiN más alto]]),"")</f>
        <v>0.71801360352473442</v>
      </c>
      <c r="AJ264" s="14" t="str" cm="1">
        <f t="array" ref="AJ26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64" s="98" cm="1">
        <f t="array" ref="AK26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1613</v>
      </c>
      <c r="AL264" s="53" t="str" cm="1">
        <f t="array" ref="AL264">IF(tblPiNAnalysis[[#This Row],[3º PiN más alto]]="", "", _xlfn.TEXTJOIN(CHAR(10), TRUE, IF(tblPiNAnalysis[[#This Row],[3º PiN más alto]]=tblPiNAnalysis[[#This Row],[SAMV]:[ASH]], tblPiNAnalysis[[#Headers],[SAMV]:[ASH]], "")))</f>
        <v>SAMV</v>
      </c>
      <c r="AM264" s="53">
        <f>IFERROR(tblPiNAnalysis[[#This Row],[3º PiN más alto]]/tblPiNAnalysis[[#This Row],[Población]], "")</f>
        <v>9.2610667738416488E-2</v>
      </c>
      <c r="AN264" s="15">
        <f>IFERROR(tblPiNAnalysis[[#This Row],[PiN más alto]]-tblPiNAnalysis[[#This Row],[3º PiN más alto]],"")</f>
        <v>6087</v>
      </c>
      <c r="AO264" s="14">
        <f>IFERROR(tblPiNAnalysis[[#This Row],[Diferencia de PiN entre el más alto y el 3º más alto]]/tblPiNAnalysis[[#This Row],[3º PiN más alto]], "")</f>
        <v>3.7737135771853687</v>
      </c>
      <c r="AP264" s="96" t="str" cm="1">
        <f t="array" ref="AP26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64" s="84" cm="1">
        <f t="array" ref="AQ264">IFERROR(IF(tblPiNAnalysis[[#This Row],[ID]]="", "", INDEX(tblPiNHistorical[[SAMV]:[ASH]], MATCH(tblPiNAnalysis[[#This Row],[ID]],tblPiNHistorical[ID], 0),MATCH(_xlfn._xlws.FILTER(tblPiNAnalysis[[#Headers],[SAMV]:[ASH]], tblPiNAnalysis[[#This Row],[PiN más alto]]=tblPiNAnalysis[[#This Row],[SAMV]:[ASH]]), tblPiNHistorical[[#Headers],[SAMV]:[ASH]], 0))), "")</f>
        <v>4.0999999999999996</v>
      </c>
      <c r="AR264" s="99" t="str" cm="1">
        <f t="array" ref="AR26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64" s="74" cm="1">
        <f t="array" ref="AS264">IFERROR(IF(tblPiNAnalysis[[#This Row],[ID]]="", "", INDEX(tblPiNHistorical[[SAMV]:[ASH]], MATCH(tblPiNAnalysis[[#This Row],[ID]],tblPiNHistorical[ID], 0),MATCH(_xlfn._xlws.FILTER(tblPiNAnalysis[[#Headers],[SAMV]:[ASH]], tblPiNAnalysis[[#This Row],[2º PiN más alto]]=tblPiNAnalysis[[#This Row],[SAMV]:[ASH]]), tblPiNHistorical[[#Headers],[SAMV]:[ASH]], 0))), "")</f>
        <v>-0.2</v>
      </c>
      <c r="AT264" s="100" t="str" cm="1">
        <f t="array" ref="AT26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64" s="219">
        <f>INDEX(tblSeverityAnalysis[Severidad final], MATCH(tblPiNAnalysis[[#This Row],[ID]],tblSeverityAnalysis[ID], 0))</f>
        <v>2</v>
      </c>
      <c r="AV264" s="220">
        <f>IF(tblPiNAnalysis[[#This Row],[Severidad]]&gt;2,tblPiNAnalysis[[#This Row],[PiN más alto]],)</f>
        <v>0</v>
      </c>
      <c r="AW264" s="54"/>
      <c r="AX264" s="55"/>
      <c r="AY264" s="56">
        <f>COUNTIFS(tblPiNAnalysis[[#This Row],[Número de PiN ausentes/cero superior al umbral - Calidad de los datos]:[Marcador manual]],"Flagged")</f>
        <v>3</v>
      </c>
      <c r="AZ264" s="34" t="str">
        <f>IF(tblPiNAnalysis[[#This Row],[Número de marcadores]]&gt;0, "Flagged", "")</f>
        <v>Flagged</v>
      </c>
      <c r="BA264" s="92">
        <f>tblPiNAnalysis[[#This Row],[PiN preliminar]]</f>
        <v>0</v>
      </c>
      <c r="BB264" s="97"/>
      <c r="BC264" s="70">
        <f>IFERROR(IF(tblPiNAnalysis[[#This Row],[Severidad]]=3,tblPiNAnalysis[[#This Row],[PiN final]]*Umbrales!$D$33,tblPiNAnalysis[[#This Row],[PiN final]]*Umbrales!$D$34),)</f>
        <v>0</v>
      </c>
      <c r="BD264" s="70">
        <f>IFERROR(IF(tblPiNAnalysis[[#This Row],[Severidad]]&gt;3,tblPiNAnalysis[[#This Row],[PiN final]]*Umbrales!$D$34,),)</f>
        <v>0</v>
      </c>
    </row>
    <row r="265" spans="1:56">
      <c r="A265" s="101" t="str">
        <f>IFERROR(_xlfn.CONCAT(IF(tblPiNAnalysis[[#This Row],[Grupo]]="", "",tblPiNAnalysis[[#This Row],[Grupo]] ),  _xlfn.IFS(tblPiNAnalysis[[#This Row],[Admin2PCODE]]&lt;&gt;"", tblPiNAnalysis[[#This Row],[Admin2PCODE]], tblPiNAnalysis[[#This Row],[Admin1PCODE]]&lt;&gt;"", tblPiNAnalysis[[#This Row],[Admin1PCODE]])),"")</f>
        <v>VenezolanosVE0902</v>
      </c>
      <c r="B265" s="105" t="s">
        <v>290</v>
      </c>
      <c r="C265" s="104" t="s">
        <v>291</v>
      </c>
      <c r="D265" s="119" t="s">
        <v>293</v>
      </c>
      <c r="E265" s="104" t="s">
        <v>294</v>
      </c>
      <c r="F265" s="358"/>
      <c r="G265" s="357">
        <v>99893</v>
      </c>
      <c r="H265" s="103" t="s">
        <v>102</v>
      </c>
      <c r="I265" s="60">
        <v>0</v>
      </c>
      <c r="J265" s="134">
        <v>2746.9106472440089</v>
      </c>
      <c r="K265" s="57">
        <v>36460.945</v>
      </c>
      <c r="L265" s="87">
        <v>6729.1439243947816</v>
      </c>
      <c r="M265" s="87">
        <v>25705.486702254173</v>
      </c>
      <c r="N265" s="57">
        <v>0</v>
      </c>
      <c r="O265" s="57">
        <v>8225.7557447213348</v>
      </c>
      <c r="P265" s="57">
        <v>8996.9203457889598</v>
      </c>
      <c r="Q265" s="88">
        <f>IFERROR(IF(tblPiNAnalysis[[#This Row],[SAMV]]="", "", MROUND(tblPiNAnalysis[[#This Row],[SAMV]]/tblPiNAnalysis[[#This Row],[Población]], 0.05)), "")</f>
        <v>0</v>
      </c>
      <c r="R265" s="89">
        <f>IFERROR(IF(tblPiNAnalysis[[#This Row],[NUT]]="", "", MROUND(tblPiNAnalysis[[#This Row],[NUT]]/tblPiNAnalysis[[#This Row],[Población]], 0.05)), "")</f>
        <v>0.05</v>
      </c>
      <c r="S265" s="89">
        <f>IFERROR(IF(tblPiNAnalysis[[#This Row],[SAL]]="", "", MROUND(tblPiNAnalysis[[#This Row],[SAL]]/tblPiNAnalysis[[#This Row],[Población]], 0.05)), "")</f>
        <v>0.35000000000000003</v>
      </c>
      <c r="T265" s="89">
        <f>IFERROR(IF(tblPiNAnalysis[[#This Row],[EDU]]="", "", MROUND(tblPiNAnalysis[[#This Row],[EDU]]/tblPiNAnalysis[[#This Row],[Población]], 0.05)), "")</f>
        <v>0.05</v>
      </c>
      <c r="U265" s="89">
        <f>IFERROR(IF(tblPiNAnalysis[[#This Row],[PRO]]="", "", MROUND(tblPiNAnalysis[[#This Row],[PRO]]/tblPiNAnalysis[[#This Row],[Población]], 0.05)), "")</f>
        <v>0.25</v>
      </c>
      <c r="V265" s="90">
        <f>IFERROR(IF(tblPiNAnalysis[[#This Row],[ASH]]="", "", MROUND(tblPiNAnalysis[[#This Row],[ASH]]/tblPiNAnalysis[[#This Row],[Población]], 0.05)), "")</f>
        <v>0</v>
      </c>
      <c r="W265" s="89">
        <f>IFERROR(MROUND(tblPiNAnalysis[[#This Row],[NNA]]/tblPiNAnalysis[[#This Row],[Población]], 0.05), "")</f>
        <v>0.1</v>
      </c>
      <c r="X265" s="89">
        <f>IFERROR(MROUND(tblPiNAnalysis[[#This Row],[VBG]]/tblPiNAnalysis[[#This Row],[Población]], 0.05), "")</f>
        <v>0.1</v>
      </c>
      <c r="Y265" s="91">
        <f>IFERROR(LARGE(tblPiNAnalysis[[#This Row],[SAMV]:[ASH]], 1), "")</f>
        <v>36460.945</v>
      </c>
      <c r="Z265" s="92" t="str" cm="1">
        <f t="array" ref="Z265">IF(tblPiNAnalysis[[#This Row],[PiN más alto]]="", "", _xlfn.TEXTJOIN(CHAR(10), TRUE, IF(tblPiNAnalysis[[#This Row],[PiN más alto]]=tblPiNAnalysis[[#This Row],[SAMV]:[ASH]], tblPiNAnalysis[[#Headers],[SAMV]:[ASH]], "")))</f>
        <v>SAL</v>
      </c>
      <c r="AA265" s="93">
        <f>IF(tblPiNAnalysis[[#This Row],[PiN más alto]]="", "", tblPiNAnalysis[[#This Row],[PiN más alto]]/tblPiNAnalysis[[#This Row],[Población]])</f>
        <v>0.36499999999999999</v>
      </c>
      <c r="AB265" s="94" t="str">
        <f>IF(SUM(tblPiNAnalysis[[#This Row],[SAMV]:[ASH]])=0, "",IF(COUNTIF(tblPiNAnalysis[[#This Row],[SAMV]:[ASH]],"=0")+COUNTIF(tblPiNAnalysis[[#This Row],[SAMV]:[ASH]],"")&gt;=zero_pin_thresh, "Flagged", ""))</f>
        <v>Flagged</v>
      </c>
      <c r="AC265" s="95" t="str">
        <f>IFERROR(IF(tblPiNAnalysis[[#This Row],[PiN más alto]]="", "", IF(tblPiNAnalysis[[#This Row],[% PiN Sectores más altos]]&gt;=flag_pin_perc, "Flagged", "")), "")</f>
        <v/>
      </c>
      <c r="AD265" s="96" t="str" cm="1">
        <f t="array" ref="AD265">IF(tblPiNAnalysis[[#This Row],[PiN más alto]]=0, "",  IF(OR(COUNTIF(tblPiNAnalysis[[#This Row],[Sectores más altos]],tblSubSectorPopulation[Sector])), "Flagged", ""))</f>
        <v/>
      </c>
      <c r="AE265" s="16" cm="1">
        <f t="array" ref="AE26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25705.486702254173</v>
      </c>
      <c r="AF265" s="97" t="str" cm="1">
        <f t="array" ref="AF265">IF(tblPiNAnalysis[[#This Row],[2º PiN más alto]]="", "", _xlfn.TEXTJOIN(CHAR(10), TRUE, IF(tblPiNAnalysis[[#This Row],[2º PiN más alto]]=tblPiNAnalysis[[#This Row],[SAMV]:[ASH]], tblPiNAnalysis[[#Headers],[SAMV]:[ASH]], "")))</f>
        <v>PRO</v>
      </c>
      <c r="AG265" s="12">
        <f>IFERROR(tblPiNAnalysis[[#This Row],[2º PiN más alto]]/tblPiNAnalysis[[#This Row],[Población]], "")</f>
        <v>0.25733021034761366</v>
      </c>
      <c r="AH265" s="16">
        <f>IFERROR(tblPiNAnalysis[[#This Row],[PiN más alto]]-tblPiNAnalysis[[#This Row],[2º PiN más alto]], "")</f>
        <v>10755.458297745827</v>
      </c>
      <c r="AI265" s="14">
        <f>IFERROR(((tblPiNAnalysis[[#This Row],[PiN más alto]]-tblPiNAnalysis[[#This Row],[2º PiN más alto]])/tblPiNAnalysis[[#This Row],[2º PiN más alto]]),"")</f>
        <v>0.4184109961552549</v>
      </c>
      <c r="AJ265" s="14" t="str" cm="1">
        <f t="array" ref="AJ26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65" s="98" cm="1">
        <f t="array" ref="AK26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6729.1439243947816</v>
      </c>
      <c r="AL265" s="53" t="str" cm="1">
        <f t="array" ref="AL265">IF(tblPiNAnalysis[[#This Row],[3º PiN más alto]]="", "", _xlfn.TEXTJOIN(CHAR(10), TRUE, IF(tblPiNAnalysis[[#This Row],[3º PiN más alto]]=tblPiNAnalysis[[#This Row],[SAMV]:[ASH]], tblPiNAnalysis[[#Headers],[SAMV]:[ASH]], "")))</f>
        <v>EDU</v>
      </c>
      <c r="AM265" s="53">
        <f>IFERROR(tblPiNAnalysis[[#This Row],[3º PiN más alto]]/tblPiNAnalysis[[#This Row],[Población]], "")</f>
        <v>6.7363518208430839E-2</v>
      </c>
      <c r="AN265" s="15">
        <f>IFERROR(tblPiNAnalysis[[#This Row],[PiN más alto]]-tblPiNAnalysis[[#This Row],[3º PiN más alto]],"")</f>
        <v>29731.801075605217</v>
      </c>
      <c r="AO265" s="14">
        <f>IFERROR(tblPiNAnalysis[[#This Row],[Diferencia de PiN entre el más alto y el 3º más alto]]/tblPiNAnalysis[[#This Row],[3º PiN más alto]], "")</f>
        <v>4.418363080007877</v>
      </c>
      <c r="AP265" s="96" t="str" cm="1">
        <f t="array" ref="AP26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65" s="84" cm="1">
        <f t="array" ref="AQ265">IFERROR(IF(tblPiNAnalysis[[#This Row],[ID]]="", "", INDEX(tblPiNHistorical[[SAMV]:[ASH]], MATCH(tblPiNAnalysis[[#This Row],[ID]],tblPiNHistorical[ID], 0),MATCH(_xlfn._xlws.FILTER(tblPiNAnalysis[[#Headers],[SAMV]:[ASH]], tblPiNAnalysis[[#This Row],[PiN más alto]]=tblPiNAnalysis[[#This Row],[SAMV]:[ASH]]), tblPiNHistorical[[#Headers],[SAMV]:[ASH]], 0))), "")</f>
        <v>-0.3</v>
      </c>
      <c r="AR265" s="99" t="str" cm="1">
        <f t="array" ref="AR26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65" s="74" cm="1">
        <f t="array" ref="AS265">IFERROR(IF(tblPiNAnalysis[[#This Row],[ID]]="", "", INDEX(tblPiNHistorical[[SAMV]:[ASH]], MATCH(tblPiNAnalysis[[#This Row],[ID]],tblPiNHistorical[ID], 0),MATCH(_xlfn._xlws.FILTER(tblPiNAnalysis[[#Headers],[SAMV]:[ASH]], tblPiNAnalysis[[#This Row],[2º PiN más alto]]=tblPiNAnalysis[[#This Row],[SAMV]:[ASH]]), tblPiNHistorical[[#Headers],[SAMV]:[ASH]], 0))), "")</f>
        <v>0</v>
      </c>
      <c r="AT265" s="100" t="str" cm="1">
        <f t="array" ref="AT26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65" s="219">
        <f>INDEX(tblSeverityAnalysis[Severidad final], MATCH(tblPiNAnalysis[[#This Row],[ID]],tblSeverityAnalysis[ID], 0))</f>
        <v>2</v>
      </c>
      <c r="AV265" s="220">
        <f>IF(tblPiNAnalysis[[#This Row],[Severidad]]&gt;2,tblPiNAnalysis[[#This Row],[PiN más alto]],)</f>
        <v>0</v>
      </c>
      <c r="AW265" s="54"/>
      <c r="AX265" s="55"/>
      <c r="AY265" s="56">
        <f>COUNTIFS(tblPiNAnalysis[[#This Row],[Número de PiN ausentes/cero superior al umbral - Calidad de los datos]:[Marcador manual]],"Flagged")</f>
        <v>3</v>
      </c>
      <c r="AZ265" s="34" t="str">
        <f>IF(tblPiNAnalysis[[#This Row],[Número de marcadores]]&gt;0, "Flagged", "")</f>
        <v>Flagged</v>
      </c>
      <c r="BA265" s="92">
        <f>tblPiNAnalysis[[#This Row],[PiN preliminar]]</f>
        <v>0</v>
      </c>
      <c r="BB265" s="97"/>
      <c r="BC265" s="70">
        <f>IFERROR(IF(tblPiNAnalysis[[#This Row],[Severidad]]=3,tblPiNAnalysis[[#This Row],[PiN final]]*Umbrales!$D$33,tblPiNAnalysis[[#This Row],[PiN final]]*Umbrales!$D$34),)</f>
        <v>0</v>
      </c>
      <c r="BD265" s="70">
        <f>IFERROR(IF(tblPiNAnalysis[[#This Row],[Severidad]]&gt;3,tblPiNAnalysis[[#This Row],[PiN final]]*Umbrales!$D$34,),)</f>
        <v>0</v>
      </c>
    </row>
    <row r="266" spans="1:56">
      <c r="A266" s="101" t="str">
        <f>IFERROR(_xlfn.CONCAT(IF(tblPiNAnalysis[[#This Row],[Grupo]]="", "",tblPiNAnalysis[[#This Row],[Grupo]] ),  _xlfn.IFS(tblPiNAnalysis[[#This Row],[Admin2PCODE]]&lt;&gt;"", tblPiNAnalysis[[#This Row],[Admin2PCODE]], tblPiNAnalysis[[#This Row],[Admin1PCODE]]&lt;&gt;"", tblPiNAnalysis[[#This Row],[Admin1PCODE]])),"")</f>
        <v>VenezolanosVE0903</v>
      </c>
      <c r="B266" s="105" t="s">
        <v>290</v>
      </c>
      <c r="C266" s="104" t="s">
        <v>291</v>
      </c>
      <c r="D266" s="119" t="s">
        <v>184</v>
      </c>
      <c r="E266" s="104" t="s">
        <v>295</v>
      </c>
      <c r="F266" s="358"/>
      <c r="G266" s="357">
        <v>12180</v>
      </c>
      <c r="H266" s="103" t="s">
        <v>102</v>
      </c>
      <c r="I266" s="60">
        <v>2030</v>
      </c>
      <c r="J266" s="134">
        <v>408.33944637997649</v>
      </c>
      <c r="K266" s="57">
        <v>5600</v>
      </c>
      <c r="L266" s="87">
        <v>359.83107966044281</v>
      </c>
      <c r="M266" s="87">
        <v>3134.281962033936</v>
      </c>
      <c r="N266" s="57">
        <v>0</v>
      </c>
      <c r="O266" s="57">
        <v>1002.9702278508596</v>
      </c>
      <c r="P266" s="57">
        <v>1096.9986867118778</v>
      </c>
      <c r="Q266" s="88">
        <f>IFERROR(IF(tblPiNAnalysis[[#This Row],[SAMV]]="", "", MROUND(tblPiNAnalysis[[#This Row],[SAMV]]/tblPiNAnalysis[[#This Row],[Población]], 0.05)), "")</f>
        <v>0.15000000000000002</v>
      </c>
      <c r="R266" s="89">
        <f>IFERROR(IF(tblPiNAnalysis[[#This Row],[NUT]]="", "", MROUND(tblPiNAnalysis[[#This Row],[NUT]]/tblPiNAnalysis[[#This Row],[Población]], 0.05)), "")</f>
        <v>0.05</v>
      </c>
      <c r="S266" s="89">
        <f>IFERROR(IF(tblPiNAnalysis[[#This Row],[SAL]]="", "", MROUND(tblPiNAnalysis[[#This Row],[SAL]]/tblPiNAnalysis[[#This Row],[Población]], 0.05)), "")</f>
        <v>0.45</v>
      </c>
      <c r="T266" s="89">
        <f>IFERROR(IF(tblPiNAnalysis[[#This Row],[EDU]]="", "", MROUND(tblPiNAnalysis[[#This Row],[EDU]]/tblPiNAnalysis[[#This Row],[Población]], 0.05)), "")</f>
        <v>0.05</v>
      </c>
      <c r="U266" s="89">
        <f>IFERROR(IF(tblPiNAnalysis[[#This Row],[PRO]]="", "", MROUND(tblPiNAnalysis[[#This Row],[PRO]]/tblPiNAnalysis[[#This Row],[Población]], 0.05)), "")</f>
        <v>0.25</v>
      </c>
      <c r="V266" s="90">
        <f>IFERROR(IF(tblPiNAnalysis[[#This Row],[ASH]]="", "", MROUND(tblPiNAnalysis[[#This Row],[ASH]]/tblPiNAnalysis[[#This Row],[Población]], 0.05)), "")</f>
        <v>0</v>
      </c>
      <c r="W266" s="89">
        <f>IFERROR(MROUND(tblPiNAnalysis[[#This Row],[NNA]]/tblPiNAnalysis[[#This Row],[Población]], 0.05), "")</f>
        <v>0.1</v>
      </c>
      <c r="X266" s="89">
        <f>IFERROR(MROUND(tblPiNAnalysis[[#This Row],[VBG]]/tblPiNAnalysis[[#This Row],[Población]], 0.05), "")</f>
        <v>0.1</v>
      </c>
      <c r="Y266" s="91">
        <f>IFERROR(LARGE(tblPiNAnalysis[[#This Row],[SAMV]:[ASH]], 1), "")</f>
        <v>5600</v>
      </c>
      <c r="Z266" s="92" t="str" cm="1">
        <f t="array" ref="Z266">IF(tblPiNAnalysis[[#This Row],[PiN más alto]]="", "", _xlfn.TEXTJOIN(CHAR(10), TRUE, IF(tblPiNAnalysis[[#This Row],[PiN más alto]]=tblPiNAnalysis[[#This Row],[SAMV]:[ASH]], tblPiNAnalysis[[#Headers],[SAMV]:[ASH]], "")))</f>
        <v>SAL</v>
      </c>
      <c r="AA266" s="93">
        <f>IF(tblPiNAnalysis[[#This Row],[PiN más alto]]="", "", tblPiNAnalysis[[#This Row],[PiN más alto]]/tblPiNAnalysis[[#This Row],[Población]])</f>
        <v>0.45977011494252873</v>
      </c>
      <c r="AB266" s="94" t="str">
        <f>IF(SUM(tblPiNAnalysis[[#This Row],[SAMV]:[ASH]])=0, "",IF(COUNTIF(tblPiNAnalysis[[#This Row],[SAMV]:[ASH]],"=0")+COUNTIF(tblPiNAnalysis[[#This Row],[SAMV]:[ASH]],"")&gt;=zero_pin_thresh, "Flagged", ""))</f>
        <v/>
      </c>
      <c r="AC266" s="95" t="str">
        <f>IFERROR(IF(tblPiNAnalysis[[#This Row],[PiN más alto]]="", "", IF(tblPiNAnalysis[[#This Row],[% PiN Sectores más altos]]&gt;=flag_pin_perc, "Flagged", "")), "")</f>
        <v/>
      </c>
      <c r="AD266" s="96" t="str" cm="1">
        <f t="array" ref="AD266">IF(tblPiNAnalysis[[#This Row],[PiN más alto]]=0, "",  IF(OR(COUNTIF(tblPiNAnalysis[[#This Row],[Sectores más altos]],tblSubSectorPopulation[Sector])), "Flagged", ""))</f>
        <v/>
      </c>
      <c r="AE266" s="16" cm="1">
        <f t="array" ref="AE26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3134.281962033936</v>
      </c>
      <c r="AF266" s="97" t="str" cm="1">
        <f t="array" ref="AF266">IF(tblPiNAnalysis[[#This Row],[2º PiN más alto]]="", "", _xlfn.TEXTJOIN(CHAR(10), TRUE, IF(tblPiNAnalysis[[#This Row],[2º PiN más alto]]=tblPiNAnalysis[[#This Row],[SAMV]:[ASH]], tblPiNAnalysis[[#Headers],[SAMV]:[ASH]], "")))</f>
        <v>PRO</v>
      </c>
      <c r="AG266" s="12">
        <f>IFERROR(tblPiNAnalysis[[#This Row],[2º PiN más alto]]/tblPiNAnalysis[[#This Row],[Población]], "")</f>
        <v>0.25733021034761377</v>
      </c>
      <c r="AH266" s="16">
        <f>IFERROR(tblPiNAnalysis[[#This Row],[PiN más alto]]-tblPiNAnalysis[[#This Row],[2º PiN más alto]], "")</f>
        <v>2465.718037966064</v>
      </c>
      <c r="AI266" s="14">
        <f>IFERROR(((tblPiNAnalysis[[#This Row],[PiN más alto]]-tblPiNAnalysis[[#This Row],[2º PiN más alto]])/tblPiNAnalysis[[#This Row],[2º PiN más alto]]),"")</f>
        <v>0.78669311435081624</v>
      </c>
      <c r="AJ266" s="14" t="str" cm="1">
        <f t="array" ref="AJ26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66" s="98" cm="1">
        <f t="array" ref="AK26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2030</v>
      </c>
      <c r="AL266" s="53" t="str" cm="1">
        <f t="array" ref="AL266">IF(tblPiNAnalysis[[#This Row],[3º PiN más alto]]="", "", _xlfn.TEXTJOIN(CHAR(10), TRUE, IF(tblPiNAnalysis[[#This Row],[3º PiN más alto]]=tblPiNAnalysis[[#This Row],[SAMV]:[ASH]], tblPiNAnalysis[[#Headers],[SAMV]:[ASH]], "")))</f>
        <v>SAMV</v>
      </c>
      <c r="AM266" s="53">
        <f>IFERROR(tblPiNAnalysis[[#This Row],[3º PiN más alto]]/tblPiNAnalysis[[#This Row],[Población]], "")</f>
        <v>0.16666666666666666</v>
      </c>
      <c r="AN266" s="15">
        <f>IFERROR(tblPiNAnalysis[[#This Row],[PiN más alto]]-tblPiNAnalysis[[#This Row],[3º PiN más alto]],"")</f>
        <v>3570</v>
      </c>
      <c r="AO266" s="14">
        <f>IFERROR(tblPiNAnalysis[[#This Row],[Diferencia de PiN entre el más alto y el 3º más alto]]/tblPiNAnalysis[[#This Row],[3º PiN más alto]], "")</f>
        <v>1.7586206896551724</v>
      </c>
      <c r="AP266" s="96" t="str" cm="1">
        <f t="array" ref="AP26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66" s="84" cm="1">
        <f t="array" ref="AQ266">IFERROR(IF(tblPiNAnalysis[[#This Row],[ID]]="", "", INDEX(tblPiNHistorical[[SAMV]:[ASH]], MATCH(tblPiNAnalysis[[#This Row],[ID]],tblPiNHistorical[ID], 0),MATCH(_xlfn._xlws.FILTER(tblPiNAnalysis[[#Headers],[SAMV]:[ASH]], tblPiNAnalysis[[#This Row],[PiN más alto]]=tblPiNAnalysis[[#This Row],[SAMV]:[ASH]]), tblPiNHistorical[[#Headers],[SAMV]:[ASH]], 0))), "")</f>
        <v>6.1</v>
      </c>
      <c r="AR266" s="99" t="str" cm="1">
        <f t="array" ref="AR26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66" s="74" cm="1">
        <f t="array" ref="AS266">IFERROR(IF(tblPiNAnalysis[[#This Row],[ID]]="", "", INDEX(tblPiNHistorical[[SAMV]:[ASH]], MATCH(tblPiNAnalysis[[#This Row],[ID]],tblPiNHistorical[ID], 0),MATCH(_xlfn._xlws.FILTER(tblPiNAnalysis[[#Headers],[SAMV]:[ASH]], tblPiNAnalysis[[#This Row],[2º PiN más alto]]=tblPiNAnalysis[[#This Row],[SAMV]:[ASH]]), tblPiNHistorical[[#Headers],[SAMV]:[ASH]], 0))), "")</f>
        <v>0.3</v>
      </c>
      <c r="AT266" s="100" t="str" cm="1">
        <f t="array" ref="AT26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66" s="219">
        <f>INDEX(tblSeverityAnalysis[Severidad final], MATCH(tblPiNAnalysis[[#This Row],[ID]],tblSeverityAnalysis[ID], 0))</f>
        <v>2</v>
      </c>
      <c r="AV266" s="220">
        <f>IF(tblPiNAnalysis[[#This Row],[Severidad]]&gt;2,tblPiNAnalysis[[#This Row],[PiN más alto]],)</f>
        <v>0</v>
      </c>
      <c r="AW266" s="54"/>
      <c r="AX266" s="55"/>
      <c r="AY266" s="56">
        <f>COUNTIFS(tblPiNAnalysis[[#This Row],[Número de PiN ausentes/cero superior al umbral - Calidad de los datos]:[Marcador manual]],"Flagged")</f>
        <v>3</v>
      </c>
      <c r="AZ266" s="34" t="str">
        <f>IF(tblPiNAnalysis[[#This Row],[Número de marcadores]]&gt;0, "Flagged", "")</f>
        <v>Flagged</v>
      </c>
      <c r="BA266" s="92">
        <f>tblPiNAnalysis[[#This Row],[PiN preliminar]]</f>
        <v>0</v>
      </c>
      <c r="BB266" s="97"/>
      <c r="BC266" s="70">
        <f>IFERROR(IF(tblPiNAnalysis[[#This Row],[Severidad]]=3,tblPiNAnalysis[[#This Row],[PiN final]]*Umbrales!$D$33,tblPiNAnalysis[[#This Row],[PiN final]]*Umbrales!$D$34),)</f>
        <v>0</v>
      </c>
      <c r="BD266" s="70">
        <f>IFERROR(IF(tblPiNAnalysis[[#This Row],[Severidad]]&gt;3,tblPiNAnalysis[[#This Row],[PiN final]]*Umbrales!$D$34,),)</f>
        <v>0</v>
      </c>
    </row>
    <row r="267" spans="1:56">
      <c r="A267" s="101" t="str">
        <f>IFERROR(_xlfn.CONCAT(IF(tblPiNAnalysis[[#This Row],[Grupo]]="", "",tblPiNAnalysis[[#This Row],[Grupo]] ),  _xlfn.IFS(tblPiNAnalysis[[#This Row],[Admin2PCODE]]&lt;&gt;"", tblPiNAnalysis[[#This Row],[Admin2PCODE]], tblPiNAnalysis[[#This Row],[Admin1PCODE]]&lt;&gt;"", tblPiNAnalysis[[#This Row],[Admin1PCODE]])),"")</f>
        <v>VenezolanosVE0904</v>
      </c>
      <c r="B267" s="105" t="s">
        <v>290</v>
      </c>
      <c r="C267" s="104" t="s">
        <v>291</v>
      </c>
      <c r="D267" s="119" t="s">
        <v>296</v>
      </c>
      <c r="E267" s="104" t="s">
        <v>297</v>
      </c>
      <c r="F267" s="358"/>
      <c r="G267" s="357">
        <v>9664</v>
      </c>
      <c r="H267" s="103" t="s">
        <v>102</v>
      </c>
      <c r="I267" s="60">
        <v>1611</v>
      </c>
      <c r="J267" s="134">
        <v>264.11224350327905</v>
      </c>
      <c r="K267" s="57">
        <v>6300</v>
      </c>
      <c r="L267" s="87">
        <v>226.56538299061805</v>
      </c>
      <c r="M267" s="87">
        <v>2486.839152799339</v>
      </c>
      <c r="N267" s="57">
        <v>1304.6400000000001</v>
      </c>
      <c r="O267" s="57">
        <v>795.78852889578843</v>
      </c>
      <c r="P267" s="57">
        <v>870.39370347976865</v>
      </c>
      <c r="Q267" s="88">
        <f>IFERROR(IF(tblPiNAnalysis[[#This Row],[SAMV]]="", "", MROUND(tblPiNAnalysis[[#This Row],[SAMV]]/tblPiNAnalysis[[#This Row],[Población]], 0.05)), "")</f>
        <v>0.15000000000000002</v>
      </c>
      <c r="R267" s="89">
        <f>IFERROR(IF(tblPiNAnalysis[[#This Row],[NUT]]="", "", MROUND(tblPiNAnalysis[[#This Row],[NUT]]/tblPiNAnalysis[[#This Row],[Población]], 0.05)), "")</f>
        <v>0.05</v>
      </c>
      <c r="S267" s="89">
        <f>IFERROR(IF(tblPiNAnalysis[[#This Row],[SAL]]="", "", MROUND(tblPiNAnalysis[[#This Row],[SAL]]/tblPiNAnalysis[[#This Row],[Población]], 0.05)), "")</f>
        <v>0.65</v>
      </c>
      <c r="T267" s="89">
        <f>IFERROR(IF(tblPiNAnalysis[[#This Row],[EDU]]="", "", MROUND(tblPiNAnalysis[[#This Row],[EDU]]/tblPiNAnalysis[[#This Row],[Población]], 0.05)), "")</f>
        <v>0</v>
      </c>
      <c r="U267" s="89">
        <f>IFERROR(IF(tblPiNAnalysis[[#This Row],[PRO]]="", "", MROUND(tblPiNAnalysis[[#This Row],[PRO]]/tblPiNAnalysis[[#This Row],[Población]], 0.05)), "")</f>
        <v>0.25</v>
      </c>
      <c r="V267" s="90">
        <f>IFERROR(IF(tblPiNAnalysis[[#This Row],[ASH]]="", "", MROUND(tblPiNAnalysis[[#This Row],[ASH]]/tblPiNAnalysis[[#This Row],[Población]], 0.05)), "")</f>
        <v>0.15000000000000002</v>
      </c>
      <c r="W267" s="89">
        <f>IFERROR(MROUND(tblPiNAnalysis[[#This Row],[NNA]]/tblPiNAnalysis[[#This Row],[Población]], 0.05), "")</f>
        <v>0.1</v>
      </c>
      <c r="X267" s="89">
        <f>IFERROR(MROUND(tblPiNAnalysis[[#This Row],[VBG]]/tblPiNAnalysis[[#This Row],[Población]], 0.05), "")</f>
        <v>0.1</v>
      </c>
      <c r="Y267" s="91">
        <f>IFERROR(LARGE(tblPiNAnalysis[[#This Row],[SAMV]:[ASH]], 1), "")</f>
        <v>6300</v>
      </c>
      <c r="Z267" s="92" t="str" cm="1">
        <f t="array" ref="Z267">IF(tblPiNAnalysis[[#This Row],[PiN más alto]]="", "", _xlfn.TEXTJOIN(CHAR(10), TRUE, IF(tblPiNAnalysis[[#This Row],[PiN más alto]]=tblPiNAnalysis[[#This Row],[SAMV]:[ASH]], tblPiNAnalysis[[#Headers],[SAMV]:[ASH]], "")))</f>
        <v>SAL</v>
      </c>
      <c r="AA267" s="93">
        <f>IF(tblPiNAnalysis[[#This Row],[PiN más alto]]="", "", tblPiNAnalysis[[#This Row],[PiN más alto]]/tblPiNAnalysis[[#This Row],[Población]])</f>
        <v>0.65190397350993379</v>
      </c>
      <c r="AB267" s="94" t="str">
        <f>IF(SUM(tblPiNAnalysis[[#This Row],[SAMV]:[ASH]])=0, "",IF(COUNTIF(tblPiNAnalysis[[#This Row],[SAMV]:[ASH]],"=0")+COUNTIF(tblPiNAnalysis[[#This Row],[SAMV]:[ASH]],"")&gt;=zero_pin_thresh, "Flagged", ""))</f>
        <v/>
      </c>
      <c r="AC267" s="95" t="str">
        <f>IFERROR(IF(tblPiNAnalysis[[#This Row],[PiN más alto]]="", "", IF(tblPiNAnalysis[[#This Row],[% PiN Sectores más altos]]&gt;=flag_pin_perc, "Flagged", "")), "")</f>
        <v/>
      </c>
      <c r="AD267" s="96" t="str" cm="1">
        <f t="array" ref="AD267">IF(tblPiNAnalysis[[#This Row],[PiN más alto]]=0, "",  IF(OR(COUNTIF(tblPiNAnalysis[[#This Row],[Sectores más altos]],tblSubSectorPopulation[Sector])), "Flagged", ""))</f>
        <v/>
      </c>
      <c r="AE267" s="16" cm="1">
        <f t="array" ref="AE26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2486.839152799339</v>
      </c>
      <c r="AF267" s="97" t="str" cm="1">
        <f t="array" ref="AF267">IF(tblPiNAnalysis[[#This Row],[2º PiN más alto]]="", "", _xlfn.TEXTJOIN(CHAR(10), TRUE, IF(tblPiNAnalysis[[#This Row],[2º PiN más alto]]=tblPiNAnalysis[[#This Row],[SAMV]:[ASH]], tblPiNAnalysis[[#Headers],[SAMV]:[ASH]], "")))</f>
        <v>PRO</v>
      </c>
      <c r="AG267" s="12">
        <f>IFERROR(tblPiNAnalysis[[#This Row],[2º PiN más alto]]/tblPiNAnalysis[[#This Row],[Población]], "")</f>
        <v>0.25733021034761372</v>
      </c>
      <c r="AH267" s="16">
        <f>IFERROR(tblPiNAnalysis[[#This Row],[PiN más alto]]-tblPiNAnalysis[[#This Row],[2º PiN más alto]], "")</f>
        <v>3813.160847200661</v>
      </c>
      <c r="AI267" s="14">
        <f>IFERROR(((tblPiNAnalysis[[#This Row],[PiN más alto]]-tblPiNAnalysis[[#This Row],[2º PiN más alto]])/tblPiNAnalysis[[#This Row],[2º PiN más alto]]),"")</f>
        <v>1.5333363409966956</v>
      </c>
      <c r="AJ267" s="14" t="str" cm="1">
        <f t="array" ref="AJ26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67" s="98" cm="1">
        <f t="array" ref="AK26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1611</v>
      </c>
      <c r="AL267" s="53" t="str" cm="1">
        <f t="array" ref="AL267">IF(tblPiNAnalysis[[#This Row],[3º PiN más alto]]="", "", _xlfn.TEXTJOIN(CHAR(10), TRUE, IF(tblPiNAnalysis[[#This Row],[3º PiN más alto]]=tblPiNAnalysis[[#This Row],[SAMV]:[ASH]], tblPiNAnalysis[[#Headers],[SAMV]:[ASH]], "")))</f>
        <v>SAMV</v>
      </c>
      <c r="AM267" s="53">
        <f>IFERROR(tblPiNAnalysis[[#This Row],[3º PiN más alto]]/tblPiNAnalysis[[#This Row],[Población]], "")</f>
        <v>0.16670115894039736</v>
      </c>
      <c r="AN267" s="15">
        <f>IFERROR(tblPiNAnalysis[[#This Row],[PiN más alto]]-tblPiNAnalysis[[#This Row],[3º PiN más alto]],"")</f>
        <v>4689</v>
      </c>
      <c r="AO267" s="14">
        <f>IFERROR(tblPiNAnalysis[[#This Row],[Diferencia de PiN entre el más alto y el 3º más alto]]/tblPiNAnalysis[[#This Row],[3º PiN más alto]], "")</f>
        <v>2.9106145251396649</v>
      </c>
      <c r="AP267" s="96" t="str" cm="1">
        <f t="array" ref="AP26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67" s="84" cm="1">
        <f t="array" ref="AQ267">IFERROR(IF(tblPiNAnalysis[[#This Row],[ID]]="", "", INDEX(tblPiNHistorical[[SAMV]:[ASH]], MATCH(tblPiNAnalysis[[#This Row],[ID]],tblPiNHistorical[ID], 0),MATCH(_xlfn._xlws.FILTER(tblPiNAnalysis[[#Headers],[SAMV]:[ASH]], tblPiNAnalysis[[#This Row],[PiN más alto]]=tblPiNAnalysis[[#This Row],[SAMV]:[ASH]]), tblPiNHistorical[[#Headers],[SAMV]:[ASH]], 0))), "")</f>
        <v>6.5</v>
      </c>
      <c r="AR267" s="99" t="str" cm="1">
        <f t="array" ref="AR26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67" s="74" cm="1">
        <f t="array" ref="AS267">IFERROR(IF(tblPiNAnalysis[[#This Row],[ID]]="", "", INDEX(tblPiNHistorical[[SAMV]:[ASH]], MATCH(tblPiNAnalysis[[#This Row],[ID]],tblPiNHistorical[ID], 0),MATCH(_xlfn._xlws.FILTER(tblPiNAnalysis[[#Headers],[SAMV]:[ASH]], tblPiNAnalysis[[#This Row],[2º PiN más alto]]=tblPiNAnalysis[[#This Row],[SAMV]:[ASH]]), tblPiNHistorical[[#Headers],[SAMV]:[ASH]], 0))), "")</f>
        <v>1.4</v>
      </c>
      <c r="AT267" s="100" t="str" cm="1">
        <f t="array" ref="AT26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67" s="219">
        <f>INDEX(tblSeverityAnalysis[Severidad final], MATCH(tblPiNAnalysis[[#This Row],[ID]],tblSeverityAnalysis[ID], 0))</f>
        <v>2</v>
      </c>
      <c r="AV267" s="220">
        <f>IF(tblPiNAnalysis[[#This Row],[Severidad]]&gt;2,tblPiNAnalysis[[#This Row],[PiN más alto]],)</f>
        <v>0</v>
      </c>
      <c r="AW267" s="54"/>
      <c r="AX267" s="55"/>
      <c r="AY267" s="56">
        <f>COUNTIFS(tblPiNAnalysis[[#This Row],[Número de PiN ausentes/cero superior al umbral - Calidad de los datos]:[Marcador manual]],"Flagged")</f>
        <v>4</v>
      </c>
      <c r="AZ267" s="34" t="str">
        <f>IF(tblPiNAnalysis[[#This Row],[Número de marcadores]]&gt;0, "Flagged", "")</f>
        <v>Flagged</v>
      </c>
      <c r="BA267" s="92">
        <f>tblPiNAnalysis[[#This Row],[PiN preliminar]]</f>
        <v>0</v>
      </c>
      <c r="BB267" s="97"/>
      <c r="BC267" s="70">
        <f>IFERROR(IF(tblPiNAnalysis[[#This Row],[Severidad]]=3,tblPiNAnalysis[[#This Row],[PiN final]]*Umbrales!$D$33,tblPiNAnalysis[[#This Row],[PiN final]]*Umbrales!$D$34),)</f>
        <v>0</v>
      </c>
      <c r="BD267" s="70">
        <f>IFERROR(IF(tblPiNAnalysis[[#This Row],[Severidad]]&gt;3,tblPiNAnalysis[[#This Row],[PiN final]]*Umbrales!$D$34,),)</f>
        <v>0</v>
      </c>
    </row>
    <row r="268" spans="1:56">
      <c r="A268" s="101" t="str">
        <f>IFERROR(_xlfn.CONCAT(IF(tblPiNAnalysis[[#This Row],[Grupo]]="", "",tblPiNAnalysis[[#This Row],[Grupo]] ),  _xlfn.IFS(tblPiNAnalysis[[#This Row],[Admin2PCODE]]&lt;&gt;"", tblPiNAnalysis[[#This Row],[Admin2PCODE]], tblPiNAnalysis[[#This Row],[Admin1PCODE]]&lt;&gt;"", tblPiNAnalysis[[#This Row],[Admin1PCODE]])),"")</f>
        <v>VenezolanosVE0905</v>
      </c>
      <c r="B268" s="105" t="s">
        <v>290</v>
      </c>
      <c r="C268" s="104" t="s">
        <v>291</v>
      </c>
      <c r="D268" s="119" t="s">
        <v>829</v>
      </c>
      <c r="E268" s="104" t="s">
        <v>299</v>
      </c>
      <c r="F268" s="358"/>
      <c r="G268" s="357">
        <v>17187</v>
      </c>
      <c r="H268" s="103" t="s">
        <v>102</v>
      </c>
      <c r="I268" s="60">
        <v>2865</v>
      </c>
      <c r="J268" s="134">
        <v>805.34152665643967</v>
      </c>
      <c r="K268" s="57">
        <v>11200</v>
      </c>
      <c r="L268" s="87">
        <v>1531.6189700667658</v>
      </c>
      <c r="M268" s="87">
        <v>4422.7343252444371</v>
      </c>
      <c r="N268" s="57">
        <v>0</v>
      </c>
      <c r="O268" s="57">
        <v>1419.697718403464</v>
      </c>
      <c r="P268" s="57">
        <v>1547.9570138355527</v>
      </c>
      <c r="Q268" s="88">
        <f>IFERROR(IF(tblPiNAnalysis[[#This Row],[SAMV]]="", "", MROUND(tblPiNAnalysis[[#This Row],[SAMV]]/tblPiNAnalysis[[#This Row],[Población]], 0.05)), "")</f>
        <v>0.15000000000000002</v>
      </c>
      <c r="R268" s="89">
        <f>IFERROR(IF(tblPiNAnalysis[[#This Row],[NUT]]="", "", MROUND(tblPiNAnalysis[[#This Row],[NUT]]/tblPiNAnalysis[[#This Row],[Población]], 0.05)), "")</f>
        <v>0.05</v>
      </c>
      <c r="S268" s="89">
        <f>IFERROR(IF(tblPiNAnalysis[[#This Row],[SAL]]="", "", MROUND(tblPiNAnalysis[[#This Row],[SAL]]/tblPiNAnalysis[[#This Row],[Población]], 0.05)), "")</f>
        <v>0.65</v>
      </c>
      <c r="T268" s="89">
        <f>IFERROR(IF(tblPiNAnalysis[[#This Row],[EDU]]="", "", MROUND(tblPiNAnalysis[[#This Row],[EDU]]/tblPiNAnalysis[[#This Row],[Población]], 0.05)), "")</f>
        <v>0.1</v>
      </c>
      <c r="U268" s="89">
        <f>IFERROR(IF(tblPiNAnalysis[[#This Row],[PRO]]="", "", MROUND(tblPiNAnalysis[[#This Row],[PRO]]/tblPiNAnalysis[[#This Row],[Población]], 0.05)), "")</f>
        <v>0.25</v>
      </c>
      <c r="V268" s="90">
        <f>IFERROR(IF(tblPiNAnalysis[[#This Row],[ASH]]="", "", MROUND(tblPiNAnalysis[[#This Row],[ASH]]/tblPiNAnalysis[[#This Row],[Población]], 0.05)), "")</f>
        <v>0</v>
      </c>
      <c r="W268" s="89">
        <f>IFERROR(MROUND(tblPiNAnalysis[[#This Row],[NNA]]/tblPiNAnalysis[[#This Row],[Población]], 0.05), "")</f>
        <v>0.1</v>
      </c>
      <c r="X268" s="89">
        <f>IFERROR(MROUND(tblPiNAnalysis[[#This Row],[VBG]]/tblPiNAnalysis[[#This Row],[Población]], 0.05), "")</f>
        <v>0.1</v>
      </c>
      <c r="Y268" s="91">
        <f>IFERROR(LARGE(tblPiNAnalysis[[#This Row],[SAMV]:[ASH]], 1), "")</f>
        <v>11200</v>
      </c>
      <c r="Z268" s="92" t="str" cm="1">
        <f t="array" ref="Z268">IF(tblPiNAnalysis[[#This Row],[PiN más alto]]="", "", _xlfn.TEXTJOIN(CHAR(10), TRUE, IF(tblPiNAnalysis[[#This Row],[PiN más alto]]=tblPiNAnalysis[[#This Row],[SAMV]:[ASH]], tblPiNAnalysis[[#Headers],[SAMV]:[ASH]], "")))</f>
        <v>SAL</v>
      </c>
      <c r="AA268" s="93">
        <f>IF(tblPiNAnalysis[[#This Row],[PiN más alto]]="", "", tblPiNAnalysis[[#This Row],[PiN más alto]]/tblPiNAnalysis[[#This Row],[Población]])</f>
        <v>0.65165532088206202</v>
      </c>
      <c r="AB268" s="94" t="str">
        <f>IF(SUM(tblPiNAnalysis[[#This Row],[SAMV]:[ASH]])=0, "",IF(COUNTIF(tblPiNAnalysis[[#This Row],[SAMV]:[ASH]],"=0")+COUNTIF(tblPiNAnalysis[[#This Row],[SAMV]:[ASH]],"")&gt;=zero_pin_thresh, "Flagged", ""))</f>
        <v/>
      </c>
      <c r="AC268" s="95" t="str">
        <f>IFERROR(IF(tblPiNAnalysis[[#This Row],[PiN más alto]]="", "", IF(tblPiNAnalysis[[#This Row],[% PiN Sectores más altos]]&gt;=flag_pin_perc, "Flagged", "")), "")</f>
        <v/>
      </c>
      <c r="AD268" s="96" t="str" cm="1">
        <f t="array" ref="AD268">IF(tblPiNAnalysis[[#This Row],[PiN más alto]]=0, "",  IF(OR(COUNTIF(tblPiNAnalysis[[#This Row],[Sectores más altos]],tblSubSectorPopulation[Sector])), "Flagged", ""))</f>
        <v/>
      </c>
      <c r="AE268" s="16" cm="1">
        <f t="array" ref="AE26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4422.7343252444371</v>
      </c>
      <c r="AF268" s="97" t="str" cm="1">
        <f t="array" ref="AF268">IF(tblPiNAnalysis[[#This Row],[2º PiN más alto]]="", "", _xlfn.TEXTJOIN(CHAR(10), TRUE, IF(tblPiNAnalysis[[#This Row],[2º PiN más alto]]=tblPiNAnalysis[[#This Row],[SAMV]:[ASH]], tblPiNAnalysis[[#Headers],[SAMV]:[ASH]], "")))</f>
        <v>PRO</v>
      </c>
      <c r="AG268" s="12">
        <f>IFERROR(tblPiNAnalysis[[#This Row],[2º PiN más alto]]/tblPiNAnalysis[[#This Row],[Población]], "")</f>
        <v>0.25733021034761372</v>
      </c>
      <c r="AH268" s="16">
        <f>IFERROR(tblPiNAnalysis[[#This Row],[PiN más alto]]-tblPiNAnalysis[[#This Row],[2º PiN más alto]], "")</f>
        <v>6777.2656747555629</v>
      </c>
      <c r="AI268" s="14">
        <f>IFERROR(((tblPiNAnalysis[[#This Row],[PiN más alto]]-tblPiNAnalysis[[#This Row],[2º PiN más alto]])/tblPiNAnalysis[[#This Row],[2º PiN más alto]]),"")</f>
        <v>1.5323700625813637</v>
      </c>
      <c r="AJ268" s="14" t="str" cm="1">
        <f t="array" ref="AJ26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68" s="98" cm="1">
        <f t="array" ref="AK26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2865</v>
      </c>
      <c r="AL268" s="53" t="str" cm="1">
        <f t="array" ref="AL268">IF(tblPiNAnalysis[[#This Row],[3º PiN más alto]]="", "", _xlfn.TEXTJOIN(CHAR(10), TRUE, IF(tblPiNAnalysis[[#This Row],[3º PiN más alto]]=tblPiNAnalysis[[#This Row],[SAMV]:[ASH]], tblPiNAnalysis[[#Headers],[SAMV]:[ASH]], "")))</f>
        <v>SAMV</v>
      </c>
      <c r="AM268" s="53">
        <f>IFERROR(tblPiNAnalysis[[#This Row],[3º PiN más alto]]/tblPiNAnalysis[[#This Row],[Población]], "")</f>
        <v>0.16669575842206319</v>
      </c>
      <c r="AN268" s="15">
        <f>IFERROR(tblPiNAnalysis[[#This Row],[PiN más alto]]-tblPiNAnalysis[[#This Row],[3º PiN más alto]],"")</f>
        <v>8335</v>
      </c>
      <c r="AO268" s="14">
        <f>IFERROR(tblPiNAnalysis[[#This Row],[Diferencia de PiN entre el más alto y el 3º más alto]]/tblPiNAnalysis[[#This Row],[3º PiN más alto]], "")</f>
        <v>2.9092495636998255</v>
      </c>
      <c r="AP268" s="96" t="str" cm="1">
        <f t="array" ref="AP26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68" s="84" cm="1">
        <f t="array" ref="AQ268">IFERROR(IF(tblPiNAnalysis[[#This Row],[ID]]="", "", INDEX(tblPiNHistorical[[SAMV]:[ASH]], MATCH(tblPiNAnalysis[[#This Row],[ID]],tblPiNHistorical[ID], 0),MATCH(_xlfn._xlws.FILTER(tblPiNAnalysis[[#Headers],[SAMV]:[ASH]], tblPiNAnalysis[[#This Row],[PiN más alto]]=tblPiNAnalysis[[#This Row],[SAMV]:[ASH]]), tblPiNHistorical[[#Headers],[SAMV]:[ASH]], 0))), "")</f>
        <v>4</v>
      </c>
      <c r="AR268" s="99" t="str" cm="1">
        <f t="array" ref="AR26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68" s="74" cm="1">
        <f t="array" ref="AS268">IFERROR(IF(tblPiNAnalysis[[#This Row],[ID]]="", "", INDEX(tblPiNHistorical[[SAMV]:[ASH]], MATCH(tblPiNAnalysis[[#This Row],[ID]],tblPiNHistorical[ID], 0),MATCH(_xlfn._xlws.FILTER(tblPiNAnalysis[[#Headers],[SAMV]:[ASH]], tblPiNAnalysis[[#This Row],[2º PiN más alto]]=tblPiNAnalysis[[#This Row],[SAMV]:[ASH]]), tblPiNHistorical[[#Headers],[SAMV]:[ASH]], 0))), "")</f>
        <v>1.4</v>
      </c>
      <c r="AT268" s="100" t="str" cm="1">
        <f t="array" ref="AT26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68" s="219">
        <f>INDEX(tblSeverityAnalysis[Severidad final], MATCH(tblPiNAnalysis[[#This Row],[ID]],tblSeverityAnalysis[ID], 0))</f>
        <v>2</v>
      </c>
      <c r="AV268" s="220">
        <f>IF(tblPiNAnalysis[[#This Row],[Severidad]]&gt;2,tblPiNAnalysis[[#This Row],[PiN más alto]],)</f>
        <v>0</v>
      </c>
      <c r="AW268" s="54"/>
      <c r="AX268" s="55"/>
      <c r="AY268" s="56">
        <f>COUNTIFS(tblPiNAnalysis[[#This Row],[Número de PiN ausentes/cero superior al umbral - Calidad de los datos]:[Marcador manual]],"Flagged")</f>
        <v>4</v>
      </c>
      <c r="AZ268" s="34" t="str">
        <f>IF(tblPiNAnalysis[[#This Row],[Número de marcadores]]&gt;0, "Flagged", "")</f>
        <v>Flagged</v>
      </c>
      <c r="BA268" s="92">
        <f>tblPiNAnalysis[[#This Row],[PiN preliminar]]</f>
        <v>0</v>
      </c>
      <c r="BB268" s="97"/>
      <c r="BC268" s="70">
        <f>IFERROR(IF(tblPiNAnalysis[[#This Row],[Severidad]]=3,tblPiNAnalysis[[#This Row],[PiN final]]*Umbrales!$D$33,tblPiNAnalysis[[#This Row],[PiN final]]*Umbrales!$D$34),)</f>
        <v>0</v>
      </c>
      <c r="BD268" s="70">
        <f>IFERROR(IF(tblPiNAnalysis[[#This Row],[Severidad]]&gt;3,tblPiNAnalysis[[#This Row],[PiN final]]*Umbrales!$D$34,),)</f>
        <v>0</v>
      </c>
    </row>
    <row r="269" spans="1:56">
      <c r="A269" s="101" t="str">
        <f>IFERROR(_xlfn.CONCAT(IF(tblPiNAnalysis[[#This Row],[Grupo]]="", "",tblPiNAnalysis[[#This Row],[Grupo]] ),  _xlfn.IFS(tblPiNAnalysis[[#This Row],[Admin2PCODE]]&lt;&gt;"", tblPiNAnalysis[[#This Row],[Admin2PCODE]], tblPiNAnalysis[[#This Row],[Admin1PCODE]]&lt;&gt;"", tblPiNAnalysis[[#This Row],[Admin1PCODE]])),"")</f>
        <v>VenezolanosVE0906</v>
      </c>
      <c r="B269" s="105" t="s">
        <v>290</v>
      </c>
      <c r="C269" s="104" t="s">
        <v>291</v>
      </c>
      <c r="D269" s="119" t="s">
        <v>300</v>
      </c>
      <c r="E269" s="104" t="s">
        <v>301</v>
      </c>
      <c r="F269" s="358"/>
      <c r="G269" s="357">
        <v>12936</v>
      </c>
      <c r="H269" s="103" t="s">
        <v>102</v>
      </c>
      <c r="I269" s="60">
        <v>4312</v>
      </c>
      <c r="J269" s="134">
        <v>314.40830904005691</v>
      </c>
      <c r="K269" s="57">
        <v>7700</v>
      </c>
      <c r="L269" s="87">
        <v>303.65470564064265</v>
      </c>
      <c r="M269" s="87">
        <v>5548.0393350945496</v>
      </c>
      <c r="N269" s="57">
        <v>0</v>
      </c>
      <c r="O269" s="57">
        <v>1780.9206265653504</v>
      </c>
      <c r="P269" s="57">
        <v>1941.8137672830919</v>
      </c>
      <c r="Q269" s="88">
        <f>IFERROR(IF(tblPiNAnalysis[[#This Row],[SAMV]]="", "", MROUND(tblPiNAnalysis[[#This Row],[SAMV]]/tblPiNAnalysis[[#This Row],[Población]], 0.05)), "")</f>
        <v>0.35000000000000003</v>
      </c>
      <c r="R269" s="89">
        <f>IFERROR(IF(tblPiNAnalysis[[#This Row],[NUT]]="", "", MROUND(tblPiNAnalysis[[#This Row],[NUT]]/tblPiNAnalysis[[#This Row],[Población]], 0.05)), "")</f>
        <v>0</v>
      </c>
      <c r="S269" s="89">
        <f>IFERROR(IF(tblPiNAnalysis[[#This Row],[SAL]]="", "", MROUND(tblPiNAnalysis[[#This Row],[SAL]]/tblPiNAnalysis[[#This Row],[Población]], 0.05)), "")</f>
        <v>0.60000000000000009</v>
      </c>
      <c r="T269" s="89">
        <f>IFERROR(IF(tblPiNAnalysis[[#This Row],[EDU]]="", "", MROUND(tblPiNAnalysis[[#This Row],[EDU]]/tblPiNAnalysis[[#This Row],[Población]], 0.05)), "")</f>
        <v>0</v>
      </c>
      <c r="U269" s="89">
        <f>IFERROR(IF(tblPiNAnalysis[[#This Row],[PRO]]="", "", MROUND(tblPiNAnalysis[[#This Row],[PRO]]/tblPiNAnalysis[[#This Row],[Población]], 0.05)), "")</f>
        <v>0.45</v>
      </c>
      <c r="V269" s="90">
        <f>IFERROR(IF(tblPiNAnalysis[[#This Row],[ASH]]="", "", MROUND(tblPiNAnalysis[[#This Row],[ASH]]/tblPiNAnalysis[[#This Row],[Población]], 0.05)), "")</f>
        <v>0</v>
      </c>
      <c r="W269" s="89">
        <f>IFERROR(MROUND(tblPiNAnalysis[[#This Row],[NNA]]/tblPiNAnalysis[[#This Row],[Población]], 0.05), "")</f>
        <v>0.15000000000000002</v>
      </c>
      <c r="X269" s="89">
        <f>IFERROR(MROUND(tblPiNAnalysis[[#This Row],[VBG]]/tblPiNAnalysis[[#This Row],[Población]], 0.05), "")</f>
        <v>0.15000000000000002</v>
      </c>
      <c r="Y269" s="91">
        <f>IFERROR(LARGE(tblPiNAnalysis[[#This Row],[SAMV]:[ASH]], 1), "")</f>
        <v>7700</v>
      </c>
      <c r="Z269" s="92" t="str" cm="1">
        <f t="array" ref="Z269">IF(tblPiNAnalysis[[#This Row],[PiN más alto]]="", "", _xlfn.TEXTJOIN(CHAR(10), TRUE, IF(tblPiNAnalysis[[#This Row],[PiN más alto]]=tblPiNAnalysis[[#This Row],[SAMV]:[ASH]], tblPiNAnalysis[[#Headers],[SAMV]:[ASH]], "")))</f>
        <v>SAL</v>
      </c>
      <c r="AA269" s="93">
        <f>IF(tblPiNAnalysis[[#This Row],[PiN más alto]]="", "", tblPiNAnalysis[[#This Row],[PiN más alto]]/tblPiNAnalysis[[#This Row],[Población]])</f>
        <v>0.59523809523809523</v>
      </c>
      <c r="AB269" s="94" t="str">
        <f>IF(SUM(tblPiNAnalysis[[#This Row],[SAMV]:[ASH]])=0, "",IF(COUNTIF(tblPiNAnalysis[[#This Row],[SAMV]:[ASH]],"=0")+COUNTIF(tblPiNAnalysis[[#This Row],[SAMV]:[ASH]],"")&gt;=zero_pin_thresh, "Flagged", ""))</f>
        <v/>
      </c>
      <c r="AC269" s="95" t="str">
        <f>IFERROR(IF(tblPiNAnalysis[[#This Row],[PiN más alto]]="", "", IF(tblPiNAnalysis[[#This Row],[% PiN Sectores más altos]]&gt;=flag_pin_perc, "Flagged", "")), "")</f>
        <v/>
      </c>
      <c r="AD269" s="96" t="str" cm="1">
        <f t="array" ref="AD269">IF(tblPiNAnalysis[[#This Row],[PiN más alto]]=0, "",  IF(OR(COUNTIF(tblPiNAnalysis[[#This Row],[Sectores más altos]],tblSubSectorPopulation[Sector])), "Flagged", ""))</f>
        <v/>
      </c>
      <c r="AE269" s="16" cm="1">
        <f t="array" ref="AE26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5548.0393350945496</v>
      </c>
      <c r="AF269" s="97" t="str" cm="1">
        <f t="array" ref="AF269">IF(tblPiNAnalysis[[#This Row],[2º PiN más alto]]="", "", _xlfn.TEXTJOIN(CHAR(10), TRUE, IF(tblPiNAnalysis[[#This Row],[2º PiN más alto]]=tblPiNAnalysis[[#This Row],[SAMV]:[ASH]], tblPiNAnalysis[[#Headers],[SAMV]:[ASH]], "")))</f>
        <v>PRO</v>
      </c>
      <c r="AG269" s="12">
        <f>IFERROR(tblPiNAnalysis[[#This Row],[2º PiN más alto]]/tblPiNAnalysis[[#This Row],[Población]], "")</f>
        <v>0.42888368391268938</v>
      </c>
      <c r="AH269" s="16">
        <f>IFERROR(tblPiNAnalysis[[#This Row],[PiN más alto]]-tblPiNAnalysis[[#This Row],[2º PiN más alto]], "")</f>
        <v>2151.9606649054504</v>
      </c>
      <c r="AI269" s="14">
        <f>IFERROR(((tblPiNAnalysis[[#This Row],[PiN más alto]]-tblPiNAnalysis[[#This Row],[2º PiN más alto]])/tblPiNAnalysis[[#This Row],[2º PiN más alto]]),"")</f>
        <v>0.38787768704036713</v>
      </c>
      <c r="AJ269" s="14" t="str" cm="1">
        <f t="array" ref="AJ26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69" s="98" cm="1">
        <f t="array" ref="AK26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4312</v>
      </c>
      <c r="AL269" s="53" t="str" cm="1">
        <f t="array" ref="AL269">IF(tblPiNAnalysis[[#This Row],[3º PiN más alto]]="", "", _xlfn.TEXTJOIN(CHAR(10), TRUE, IF(tblPiNAnalysis[[#This Row],[3º PiN más alto]]=tblPiNAnalysis[[#This Row],[SAMV]:[ASH]], tblPiNAnalysis[[#Headers],[SAMV]:[ASH]], "")))</f>
        <v>SAMV</v>
      </c>
      <c r="AM269" s="53">
        <f>IFERROR(tblPiNAnalysis[[#This Row],[3º PiN más alto]]/tblPiNAnalysis[[#This Row],[Población]], "")</f>
        <v>0.33333333333333331</v>
      </c>
      <c r="AN269" s="15">
        <f>IFERROR(tblPiNAnalysis[[#This Row],[PiN más alto]]-tblPiNAnalysis[[#This Row],[3º PiN más alto]],"")</f>
        <v>3388</v>
      </c>
      <c r="AO269" s="14">
        <f>IFERROR(tblPiNAnalysis[[#This Row],[Diferencia de PiN entre el más alto y el 3º más alto]]/tblPiNAnalysis[[#This Row],[3º PiN más alto]], "")</f>
        <v>0.7857142857142857</v>
      </c>
      <c r="AP269" s="96" t="str" cm="1">
        <f t="array" ref="AP26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69" s="84" cm="1">
        <f t="array" ref="AQ269">IFERROR(IF(tblPiNAnalysis[[#This Row],[ID]]="", "", INDEX(tblPiNHistorical[[SAMV]:[ASH]], MATCH(tblPiNAnalysis[[#This Row],[ID]],tblPiNHistorical[ID], 0),MATCH(_xlfn._xlws.FILTER(tblPiNAnalysis[[#Headers],[SAMV]:[ASH]], tblPiNAnalysis[[#This Row],[PiN más alto]]=tblPiNAnalysis[[#This Row],[SAMV]:[ASH]]), tblPiNHistorical[[#Headers],[SAMV]:[ASH]], 0))), "")</f>
        <v>5.6</v>
      </c>
      <c r="AR269" s="99" t="str" cm="1">
        <f t="array" ref="AR26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69" s="74" cm="1">
        <f t="array" ref="AS269">IFERROR(IF(tblPiNAnalysis[[#This Row],[ID]]="", "", INDEX(tblPiNHistorical[[SAMV]:[ASH]], MATCH(tblPiNAnalysis[[#This Row],[ID]],tblPiNHistorical[ID], 0),MATCH(_xlfn._xlws.FILTER(tblPiNAnalysis[[#Headers],[SAMV]:[ASH]], tblPiNAnalysis[[#This Row],[2º PiN más alto]]=tblPiNAnalysis[[#This Row],[SAMV]:[ASH]]), tblPiNHistorical[[#Headers],[SAMV]:[ASH]], 0))), "")</f>
        <v>1.6</v>
      </c>
      <c r="AT269" s="100" t="str" cm="1">
        <f t="array" ref="AT26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69" s="219">
        <f>INDEX(tblSeverityAnalysis[Severidad final], MATCH(tblPiNAnalysis[[#This Row],[ID]],tblSeverityAnalysis[ID], 0))</f>
        <v>2</v>
      </c>
      <c r="AV269" s="220">
        <f>IF(tblPiNAnalysis[[#This Row],[Severidad]]&gt;2,tblPiNAnalysis[[#This Row],[PiN más alto]],)</f>
        <v>0</v>
      </c>
      <c r="AW269" s="54"/>
      <c r="AX269" s="55"/>
      <c r="AY269" s="56">
        <f>COUNTIFS(tblPiNAnalysis[[#This Row],[Número de PiN ausentes/cero superior al umbral - Calidad de los datos]:[Marcador manual]],"Flagged")</f>
        <v>4</v>
      </c>
      <c r="AZ269" s="34" t="str">
        <f>IF(tblPiNAnalysis[[#This Row],[Número de marcadores]]&gt;0, "Flagged", "")</f>
        <v>Flagged</v>
      </c>
      <c r="BA269" s="92">
        <f>tblPiNAnalysis[[#This Row],[PiN preliminar]]</f>
        <v>0</v>
      </c>
      <c r="BB269" s="97"/>
      <c r="BC269" s="70">
        <f>IFERROR(IF(tblPiNAnalysis[[#This Row],[Severidad]]=3,tblPiNAnalysis[[#This Row],[PiN final]]*Umbrales!$D$33,tblPiNAnalysis[[#This Row],[PiN final]]*Umbrales!$D$34),)</f>
        <v>0</v>
      </c>
      <c r="BD269" s="70">
        <f>IFERROR(IF(tblPiNAnalysis[[#This Row],[Severidad]]&gt;3,tblPiNAnalysis[[#This Row],[PiN final]]*Umbrales!$D$34,),)</f>
        <v>0</v>
      </c>
    </row>
    <row r="270" spans="1:56">
      <c r="A270" s="101" t="str">
        <f>IFERROR(_xlfn.CONCAT(IF(tblPiNAnalysis[[#This Row],[Grupo]]="", "",tblPiNAnalysis[[#This Row],[Grupo]] ),  _xlfn.IFS(tblPiNAnalysis[[#This Row],[Admin2PCODE]]&lt;&gt;"", tblPiNAnalysis[[#This Row],[Admin2PCODE]], tblPiNAnalysis[[#This Row],[Admin1PCODE]]&lt;&gt;"", tblPiNAnalysis[[#This Row],[Admin1PCODE]])),"")</f>
        <v>VenezolanosVE0909</v>
      </c>
      <c r="B270" s="105" t="s">
        <v>290</v>
      </c>
      <c r="C270" s="104" t="s">
        <v>291</v>
      </c>
      <c r="D270" s="119" t="s">
        <v>304</v>
      </c>
      <c r="E270" s="104" t="s">
        <v>305</v>
      </c>
      <c r="F270" s="358"/>
      <c r="G270" s="357">
        <v>33297</v>
      </c>
      <c r="H270" s="103" t="s">
        <v>102</v>
      </c>
      <c r="I270" s="60">
        <v>740</v>
      </c>
      <c r="J270" s="134">
        <v>1054.3717550327922</v>
      </c>
      <c r="K270" s="57">
        <v>12153.405000000001</v>
      </c>
      <c r="L270" s="87">
        <v>1687.606030139551</v>
      </c>
      <c r="M270" s="87">
        <v>8568.3240139444952</v>
      </c>
      <c r="N270" s="57">
        <v>19978.2</v>
      </c>
      <c r="O270" s="57">
        <v>2750.432008476183</v>
      </c>
      <c r="P270" s="57">
        <v>2998.9134048805736</v>
      </c>
      <c r="Q270" s="88">
        <f>IFERROR(IF(tblPiNAnalysis[[#This Row],[SAMV]]="", "", MROUND(tblPiNAnalysis[[#This Row],[SAMV]]/tblPiNAnalysis[[#This Row],[Población]], 0.05)), "")</f>
        <v>0</v>
      </c>
      <c r="R270" s="89">
        <f>IFERROR(IF(tblPiNAnalysis[[#This Row],[NUT]]="", "", MROUND(tblPiNAnalysis[[#This Row],[NUT]]/tblPiNAnalysis[[#This Row],[Población]], 0.05)), "")</f>
        <v>0.05</v>
      </c>
      <c r="S270" s="89">
        <f>IFERROR(IF(tblPiNAnalysis[[#This Row],[SAL]]="", "", MROUND(tblPiNAnalysis[[#This Row],[SAL]]/tblPiNAnalysis[[#This Row],[Población]], 0.05)), "")</f>
        <v>0.35000000000000003</v>
      </c>
      <c r="T270" s="89">
        <f>IFERROR(IF(tblPiNAnalysis[[#This Row],[EDU]]="", "", MROUND(tblPiNAnalysis[[#This Row],[EDU]]/tblPiNAnalysis[[#This Row],[Población]], 0.05)), "")</f>
        <v>0.05</v>
      </c>
      <c r="U270" s="89">
        <f>IFERROR(IF(tblPiNAnalysis[[#This Row],[PRO]]="", "", MROUND(tblPiNAnalysis[[#This Row],[PRO]]/tblPiNAnalysis[[#This Row],[Población]], 0.05)), "")</f>
        <v>0.25</v>
      </c>
      <c r="V270" s="90">
        <f>IFERROR(IF(tblPiNAnalysis[[#This Row],[ASH]]="", "", MROUND(tblPiNAnalysis[[#This Row],[ASH]]/tblPiNAnalysis[[#This Row],[Población]], 0.05)), "")</f>
        <v>0.60000000000000009</v>
      </c>
      <c r="W270" s="89">
        <f>IFERROR(MROUND(tblPiNAnalysis[[#This Row],[NNA]]/tblPiNAnalysis[[#This Row],[Población]], 0.05), "")</f>
        <v>0.1</v>
      </c>
      <c r="X270" s="89">
        <f>IFERROR(MROUND(tblPiNAnalysis[[#This Row],[VBG]]/tblPiNAnalysis[[#This Row],[Población]], 0.05), "")</f>
        <v>0.1</v>
      </c>
      <c r="Y270" s="91">
        <f>IFERROR(LARGE(tblPiNAnalysis[[#This Row],[SAMV]:[ASH]], 1), "")</f>
        <v>19978.2</v>
      </c>
      <c r="Z270" s="92" t="str" cm="1">
        <f t="array" ref="Z270">IF(tblPiNAnalysis[[#This Row],[PiN más alto]]="", "", _xlfn.TEXTJOIN(CHAR(10), TRUE, IF(tblPiNAnalysis[[#This Row],[PiN más alto]]=tblPiNAnalysis[[#This Row],[SAMV]:[ASH]], tblPiNAnalysis[[#Headers],[SAMV]:[ASH]], "")))</f>
        <v>ASH</v>
      </c>
      <c r="AA270" s="93">
        <f>IF(tblPiNAnalysis[[#This Row],[PiN más alto]]="", "", tblPiNAnalysis[[#This Row],[PiN más alto]]/tblPiNAnalysis[[#This Row],[Población]])</f>
        <v>0.6</v>
      </c>
      <c r="AB270" s="94" t="str">
        <f>IF(SUM(tblPiNAnalysis[[#This Row],[SAMV]:[ASH]])=0, "",IF(COUNTIF(tblPiNAnalysis[[#This Row],[SAMV]:[ASH]],"=0")+COUNTIF(tblPiNAnalysis[[#This Row],[SAMV]:[ASH]],"")&gt;=zero_pin_thresh, "Flagged", ""))</f>
        <v/>
      </c>
      <c r="AC270" s="95" t="str">
        <f>IFERROR(IF(tblPiNAnalysis[[#This Row],[PiN más alto]]="", "", IF(tblPiNAnalysis[[#This Row],[% PiN Sectores más altos]]&gt;=flag_pin_perc, "Flagged", "")), "")</f>
        <v/>
      </c>
      <c r="AD270" s="96" t="str" cm="1">
        <f t="array" ref="AD270">IF(tblPiNAnalysis[[#This Row],[PiN más alto]]=0, "",  IF(OR(COUNTIF(tblPiNAnalysis[[#This Row],[Sectores más altos]],tblSubSectorPopulation[Sector])), "Flagged", ""))</f>
        <v/>
      </c>
      <c r="AE270" s="16" cm="1">
        <f t="array" ref="AE27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12153.405000000001</v>
      </c>
      <c r="AF270" s="97" t="str" cm="1">
        <f t="array" ref="AF270">IF(tblPiNAnalysis[[#This Row],[2º PiN más alto]]="", "", _xlfn.TEXTJOIN(CHAR(10), TRUE, IF(tblPiNAnalysis[[#This Row],[2º PiN más alto]]=tblPiNAnalysis[[#This Row],[SAMV]:[ASH]], tblPiNAnalysis[[#Headers],[SAMV]:[ASH]], "")))</f>
        <v>SAL</v>
      </c>
      <c r="AG270" s="12">
        <f>IFERROR(tblPiNAnalysis[[#This Row],[2º PiN más alto]]/tblPiNAnalysis[[#This Row],[Población]], "")</f>
        <v>0.36500000000000005</v>
      </c>
      <c r="AH270" s="16">
        <f>IFERROR(tblPiNAnalysis[[#This Row],[PiN más alto]]-tblPiNAnalysis[[#This Row],[2º PiN más alto]], "")</f>
        <v>7824.7950000000001</v>
      </c>
      <c r="AI270" s="14">
        <f>IFERROR(((tblPiNAnalysis[[#This Row],[PiN más alto]]-tblPiNAnalysis[[#This Row],[2º PiN más alto]])/tblPiNAnalysis[[#This Row],[2º PiN más alto]]),"")</f>
        <v>0.64383561643835618</v>
      </c>
      <c r="AJ270" s="14" t="str" cm="1">
        <f t="array" ref="AJ27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70" s="98" cm="1">
        <f t="array" ref="AK27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8568.3240139444952</v>
      </c>
      <c r="AL270" s="53" t="str" cm="1">
        <f t="array" ref="AL270">IF(tblPiNAnalysis[[#This Row],[3º PiN más alto]]="", "", _xlfn.TEXTJOIN(CHAR(10), TRUE, IF(tblPiNAnalysis[[#This Row],[3º PiN más alto]]=tblPiNAnalysis[[#This Row],[SAMV]:[ASH]], tblPiNAnalysis[[#Headers],[SAMV]:[ASH]], "")))</f>
        <v>PRO</v>
      </c>
      <c r="AM270" s="53">
        <f>IFERROR(tblPiNAnalysis[[#This Row],[3º PiN más alto]]/tblPiNAnalysis[[#This Row],[Población]], "")</f>
        <v>0.25733021034761377</v>
      </c>
      <c r="AN270" s="15">
        <f>IFERROR(tblPiNAnalysis[[#This Row],[PiN más alto]]-tblPiNAnalysis[[#This Row],[3º PiN más alto]],"")</f>
        <v>11409.875986055506</v>
      </c>
      <c r="AO270" s="14">
        <f>IFERROR(tblPiNAnalysis[[#This Row],[Diferencia de PiN entre el más alto y el 3º más alto]]/tblPiNAnalysis[[#This Row],[3º PiN más alto]], "")</f>
        <v>1.3316345142278156</v>
      </c>
      <c r="AP270" s="96" t="str" cm="1">
        <f t="array" ref="AP27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70" s="84" cm="1">
        <f t="array" ref="AQ270">IFERROR(IF(tblPiNAnalysis[[#This Row],[ID]]="", "", INDEX(tblPiNHistorical[[SAMV]:[ASH]], MATCH(tblPiNAnalysis[[#This Row],[ID]],tblPiNHistorical[ID], 0),MATCH(_xlfn._xlws.FILTER(tblPiNAnalysis[[#Headers],[SAMV]:[ASH]], tblPiNAnalysis[[#This Row],[PiN más alto]]=tblPiNAnalysis[[#This Row],[SAMV]:[ASH]]), tblPiNHistorical[[#Headers],[SAMV]:[ASH]], 0))), "")</f>
        <v>0.3</v>
      </c>
      <c r="AR270" s="99" t="str" cm="1">
        <f t="array" ref="AR27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70" s="74" cm="1">
        <f t="array" ref="AS270">IFERROR(IF(tblPiNAnalysis[[#This Row],[ID]]="", "", INDEX(tblPiNHistorical[[SAMV]:[ASH]], MATCH(tblPiNAnalysis[[#This Row],[ID]],tblPiNHistorical[ID], 0),MATCH(_xlfn._xlws.FILTER(tblPiNAnalysis[[#Headers],[SAMV]:[ASH]], tblPiNAnalysis[[#This Row],[2º PiN más alto]]=tblPiNAnalysis[[#This Row],[SAMV]:[ASH]]), tblPiNHistorical[[#Headers],[SAMV]:[ASH]], 0))), "")</f>
        <v>0.5</v>
      </c>
      <c r="AT270" s="100" t="str" cm="1">
        <f t="array" ref="AT27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70" s="219">
        <f>INDEX(tblSeverityAnalysis[Severidad final], MATCH(tblPiNAnalysis[[#This Row],[ID]],tblSeverityAnalysis[ID], 0))</f>
        <v>2</v>
      </c>
      <c r="AV270" s="220">
        <f>IF(tblPiNAnalysis[[#This Row],[Severidad]]&gt;2,tblPiNAnalysis[[#This Row],[PiN más alto]],)</f>
        <v>0</v>
      </c>
      <c r="AW270" s="54"/>
      <c r="AX270" s="55"/>
      <c r="AY270" s="56">
        <f>COUNTIFS(tblPiNAnalysis[[#This Row],[Número de PiN ausentes/cero superior al umbral - Calidad de los datos]:[Marcador manual]],"Flagged")</f>
        <v>2</v>
      </c>
      <c r="AZ270" s="34" t="str">
        <f>IF(tblPiNAnalysis[[#This Row],[Número de marcadores]]&gt;0, "Flagged", "")</f>
        <v>Flagged</v>
      </c>
      <c r="BA270" s="92">
        <f>tblPiNAnalysis[[#This Row],[PiN preliminar]]</f>
        <v>0</v>
      </c>
      <c r="BB270" s="97"/>
      <c r="BC270" s="70">
        <f>IFERROR(IF(tblPiNAnalysis[[#This Row],[Severidad]]=3,tblPiNAnalysis[[#This Row],[PiN final]]*Umbrales!$D$33,tblPiNAnalysis[[#This Row],[PiN final]]*Umbrales!$D$34),)</f>
        <v>0</v>
      </c>
      <c r="BD270" s="70">
        <f>IFERROR(IF(tblPiNAnalysis[[#This Row],[Severidad]]&gt;3,tblPiNAnalysis[[#This Row],[PiN final]]*Umbrales!$D$34,),)</f>
        <v>0</v>
      </c>
    </row>
    <row r="271" spans="1:56">
      <c r="A271" s="101" t="str">
        <f>IFERROR(_xlfn.CONCAT(IF(tblPiNAnalysis[[#This Row],[Grupo]]="", "",tblPiNAnalysis[[#This Row],[Grupo]] ),  _xlfn.IFS(tblPiNAnalysis[[#This Row],[Admin2PCODE]]&lt;&gt;"", tblPiNAnalysis[[#This Row],[Admin2PCODE]], tblPiNAnalysis[[#This Row],[Admin1PCODE]]&lt;&gt;"", tblPiNAnalysis[[#This Row],[Admin1PCODE]])),"")</f>
        <v>VenezolanosVE1207</v>
      </c>
      <c r="B271" s="105" t="s">
        <v>362</v>
      </c>
      <c r="C271" s="104" t="s">
        <v>363</v>
      </c>
      <c r="D271" s="119" t="s">
        <v>376</v>
      </c>
      <c r="E271" s="104" t="s">
        <v>377</v>
      </c>
      <c r="F271" s="358"/>
      <c r="G271" s="357">
        <v>28291</v>
      </c>
      <c r="H271" s="103" t="s">
        <v>102</v>
      </c>
      <c r="I271" s="60">
        <v>5022</v>
      </c>
      <c r="J271" s="134">
        <v>1437.5561402678572</v>
      </c>
      <c r="K271" s="57">
        <v>10326.215</v>
      </c>
      <c r="L271" s="87">
        <v>2807.2836822234208</v>
      </c>
      <c r="M271" s="87">
        <v>3146.3216527686955</v>
      </c>
      <c r="N271" s="57">
        <v>0</v>
      </c>
      <c r="O271" s="57">
        <v>1006.8229288859826</v>
      </c>
      <c r="P271" s="57">
        <v>1101.2125784690434</v>
      </c>
      <c r="Q271" s="88">
        <f>IFERROR(IF(tblPiNAnalysis[[#This Row],[SAMV]]="", "", MROUND(tblPiNAnalysis[[#This Row],[SAMV]]/tblPiNAnalysis[[#This Row],[Población]], 0.05)), "")</f>
        <v>0.2</v>
      </c>
      <c r="R271" s="89">
        <f>IFERROR(IF(tblPiNAnalysis[[#This Row],[NUT]]="", "", MROUND(tblPiNAnalysis[[#This Row],[NUT]]/tblPiNAnalysis[[#This Row],[Población]], 0.05)), "")</f>
        <v>0.05</v>
      </c>
      <c r="S271" s="89">
        <f>IFERROR(IF(tblPiNAnalysis[[#This Row],[SAL]]="", "", MROUND(tblPiNAnalysis[[#This Row],[SAL]]/tblPiNAnalysis[[#This Row],[Población]], 0.05)), "")</f>
        <v>0.35000000000000003</v>
      </c>
      <c r="T271" s="89">
        <f>IFERROR(IF(tblPiNAnalysis[[#This Row],[EDU]]="", "", MROUND(tblPiNAnalysis[[#This Row],[EDU]]/tblPiNAnalysis[[#This Row],[Población]], 0.05)), "")</f>
        <v>0.1</v>
      </c>
      <c r="U271" s="89">
        <f>IFERROR(IF(tblPiNAnalysis[[#This Row],[PRO]]="", "", MROUND(tblPiNAnalysis[[#This Row],[PRO]]/tblPiNAnalysis[[#This Row],[Población]], 0.05)), "")</f>
        <v>0.1</v>
      </c>
      <c r="V271" s="90">
        <f>IFERROR(IF(tblPiNAnalysis[[#This Row],[ASH]]="", "", MROUND(tblPiNAnalysis[[#This Row],[ASH]]/tblPiNAnalysis[[#This Row],[Población]], 0.05)), "")</f>
        <v>0</v>
      </c>
      <c r="W271" s="89">
        <f>IFERROR(MROUND(tblPiNAnalysis[[#This Row],[NNA]]/tblPiNAnalysis[[#This Row],[Población]], 0.05), "")</f>
        <v>0.05</v>
      </c>
      <c r="X271" s="89">
        <f>IFERROR(MROUND(tblPiNAnalysis[[#This Row],[VBG]]/tblPiNAnalysis[[#This Row],[Población]], 0.05), "")</f>
        <v>0.05</v>
      </c>
      <c r="Y271" s="91">
        <f>IFERROR(LARGE(tblPiNAnalysis[[#This Row],[SAMV]:[ASH]], 1), "")</f>
        <v>10326.215</v>
      </c>
      <c r="Z271" s="92" t="str" cm="1">
        <f t="array" ref="Z271">IF(tblPiNAnalysis[[#This Row],[PiN más alto]]="", "", _xlfn.TEXTJOIN(CHAR(10), TRUE, IF(tblPiNAnalysis[[#This Row],[PiN más alto]]=tblPiNAnalysis[[#This Row],[SAMV]:[ASH]], tblPiNAnalysis[[#Headers],[SAMV]:[ASH]], "")))</f>
        <v>SAL</v>
      </c>
      <c r="AA271" s="93">
        <f>IF(tblPiNAnalysis[[#This Row],[PiN más alto]]="", "", tblPiNAnalysis[[#This Row],[PiN más alto]]/tblPiNAnalysis[[#This Row],[Población]])</f>
        <v>0.36499999999999999</v>
      </c>
      <c r="AB271" s="94" t="str">
        <f>IF(SUM(tblPiNAnalysis[[#This Row],[SAMV]:[ASH]])=0, "",IF(COUNTIF(tblPiNAnalysis[[#This Row],[SAMV]:[ASH]],"=0")+COUNTIF(tblPiNAnalysis[[#This Row],[SAMV]:[ASH]],"")&gt;=zero_pin_thresh, "Flagged", ""))</f>
        <v/>
      </c>
      <c r="AC271" s="95" t="str">
        <f>IFERROR(IF(tblPiNAnalysis[[#This Row],[PiN más alto]]="", "", IF(tblPiNAnalysis[[#This Row],[% PiN Sectores más altos]]&gt;=flag_pin_perc, "Flagged", "")), "")</f>
        <v/>
      </c>
      <c r="AD271" s="96" t="str" cm="1">
        <f t="array" ref="AD271">IF(tblPiNAnalysis[[#This Row],[PiN más alto]]=0, "",  IF(OR(COUNTIF(tblPiNAnalysis[[#This Row],[Sectores más altos]],tblSubSectorPopulation[Sector])), "Flagged", ""))</f>
        <v/>
      </c>
      <c r="AE271" s="16" cm="1">
        <f t="array" ref="AE27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5022</v>
      </c>
      <c r="AF271" s="97" t="str" cm="1">
        <f t="array" ref="AF271">IF(tblPiNAnalysis[[#This Row],[2º PiN más alto]]="", "", _xlfn.TEXTJOIN(CHAR(10), TRUE, IF(tblPiNAnalysis[[#This Row],[2º PiN más alto]]=tblPiNAnalysis[[#This Row],[SAMV]:[ASH]], tblPiNAnalysis[[#Headers],[SAMV]:[ASH]], "")))</f>
        <v>SAMV</v>
      </c>
      <c r="AG271" s="12">
        <f>IFERROR(tblPiNAnalysis[[#This Row],[2º PiN más alto]]/tblPiNAnalysis[[#This Row],[Población]], "")</f>
        <v>0.1775122830582164</v>
      </c>
      <c r="AH271" s="16">
        <f>IFERROR(tblPiNAnalysis[[#This Row],[PiN más alto]]-tblPiNAnalysis[[#This Row],[2º PiN más alto]], "")</f>
        <v>5304.2150000000001</v>
      </c>
      <c r="AI271" s="14">
        <f>IFERROR(((tblPiNAnalysis[[#This Row],[PiN más alto]]-tblPiNAnalysis[[#This Row],[2º PiN más alto]])/tblPiNAnalysis[[#This Row],[2º PiN más alto]]),"")</f>
        <v>1.0561957387495022</v>
      </c>
      <c r="AJ271" s="14" t="str" cm="1">
        <f t="array" ref="AJ27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71" s="98" cm="1">
        <f t="array" ref="AK27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3146.3216527686955</v>
      </c>
      <c r="AL271" s="53" t="str" cm="1">
        <f t="array" ref="AL271">IF(tblPiNAnalysis[[#This Row],[3º PiN más alto]]="", "", _xlfn.TEXTJOIN(CHAR(10), TRUE, IF(tblPiNAnalysis[[#This Row],[3º PiN más alto]]=tblPiNAnalysis[[#This Row],[SAMV]:[ASH]], tblPiNAnalysis[[#Headers],[SAMV]:[ASH]], "")))</f>
        <v>PRO</v>
      </c>
      <c r="AM271" s="53">
        <f>IFERROR(tblPiNAnalysis[[#This Row],[3º PiN más alto]]/tblPiNAnalysis[[#This Row],[Población]], "")</f>
        <v>0.11121281159268656</v>
      </c>
      <c r="AN271" s="15">
        <f>IFERROR(tblPiNAnalysis[[#This Row],[PiN más alto]]-tblPiNAnalysis[[#This Row],[3º PiN más alto]],"")</f>
        <v>7179.8933472313047</v>
      </c>
      <c r="AO271" s="14">
        <f>IFERROR(tblPiNAnalysis[[#This Row],[Diferencia de PiN entre el más alto y el 3º más alto]]/tblPiNAnalysis[[#This Row],[3º PiN más alto]], "")</f>
        <v>2.2819959748594529</v>
      </c>
      <c r="AP271" s="96" t="str" cm="1">
        <f t="array" ref="AP27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71" s="84" cm="1">
        <f t="array" ref="AQ271">IFERROR(IF(tblPiNAnalysis[[#This Row],[ID]]="", "", INDEX(tblPiNHistorical[[SAMV]:[ASH]], MATCH(tblPiNAnalysis[[#This Row],[ID]],tblPiNHistorical[ID], 0),MATCH(_xlfn._xlws.FILTER(tblPiNAnalysis[[#Headers],[SAMV]:[ASH]], tblPiNAnalysis[[#This Row],[PiN más alto]]=tblPiNAnalysis[[#This Row],[SAMV]:[ASH]]), tblPiNHistorical[[#Headers],[SAMV]:[ASH]], 0))), "")</f>
        <v>0.2</v>
      </c>
      <c r="AR271" s="99" t="str" cm="1">
        <f t="array" ref="AR27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71" s="74" cm="1">
        <f t="array" ref="AS271">IFERROR(IF(tblPiNAnalysis[[#This Row],[ID]]="", "", INDEX(tblPiNHistorical[[SAMV]:[ASH]], MATCH(tblPiNAnalysis[[#This Row],[ID]],tblPiNHistorical[ID], 0),MATCH(_xlfn._xlws.FILTER(tblPiNAnalysis[[#Headers],[SAMV]:[ASH]], tblPiNAnalysis[[#This Row],[2º PiN más alto]]=tblPiNAnalysis[[#This Row],[SAMV]:[ASH]]), tblPiNHistorical[[#Headers],[SAMV]:[ASH]], 0))), "")</f>
        <v>0.5</v>
      </c>
      <c r="AT271" s="100" t="str" cm="1">
        <f t="array" ref="AT27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71" s="219">
        <f>INDEX(tblSeverityAnalysis[Severidad final], MATCH(tblPiNAnalysis[[#This Row],[ID]],tblSeverityAnalysis[ID], 0))</f>
        <v>2</v>
      </c>
      <c r="AV271" s="220">
        <f>IF(tblPiNAnalysis[[#This Row],[Severidad]]&gt;2,tblPiNAnalysis[[#This Row],[PiN más alto]],)</f>
        <v>0</v>
      </c>
      <c r="AW271" s="54"/>
      <c r="AX271" s="55"/>
      <c r="AY271" s="56">
        <f>COUNTIFS(tblPiNAnalysis[[#This Row],[Número de PiN ausentes/cero superior al umbral - Calidad de los datos]:[Marcador manual]],"Flagged")</f>
        <v>2</v>
      </c>
      <c r="AZ271" s="34" t="str">
        <f>IF(tblPiNAnalysis[[#This Row],[Número de marcadores]]&gt;0, "Flagged", "")</f>
        <v>Flagged</v>
      </c>
      <c r="BA271" s="92">
        <f>tblPiNAnalysis[[#This Row],[PiN preliminar]]</f>
        <v>0</v>
      </c>
      <c r="BB271" s="97"/>
      <c r="BC271" s="70">
        <f>IFERROR(IF(tblPiNAnalysis[[#This Row],[Severidad]]=3,tblPiNAnalysis[[#This Row],[PiN final]]*Umbrales!$D$33,tblPiNAnalysis[[#This Row],[PiN final]]*Umbrales!$D$34),)</f>
        <v>0</v>
      </c>
      <c r="BD271" s="70">
        <f>IFERROR(IF(tblPiNAnalysis[[#This Row],[Severidad]]&gt;3,tblPiNAnalysis[[#This Row],[PiN final]]*Umbrales!$D$34,),)</f>
        <v>0</v>
      </c>
    </row>
    <row r="272" spans="1:56">
      <c r="A272" s="101" t="str">
        <f>IFERROR(_xlfn.CONCAT(IF(tblPiNAnalysis[[#This Row],[Grupo]]="", "",tblPiNAnalysis[[#This Row],[Grupo]] ),  _xlfn.IFS(tblPiNAnalysis[[#This Row],[Admin2PCODE]]&lt;&gt;"", tblPiNAnalysis[[#This Row],[Admin2PCODE]], tblPiNAnalysis[[#This Row],[Admin1PCODE]]&lt;&gt;"", tblPiNAnalysis[[#This Row],[Admin1PCODE]])),"")</f>
        <v>VenezolanosVE1210</v>
      </c>
      <c r="B272" s="105" t="s">
        <v>362</v>
      </c>
      <c r="C272" s="104" t="s">
        <v>363</v>
      </c>
      <c r="D272" s="119" t="s">
        <v>381</v>
      </c>
      <c r="E272" s="104" t="s">
        <v>382</v>
      </c>
      <c r="F272" s="358"/>
      <c r="G272" s="357">
        <v>24281</v>
      </c>
      <c r="H272" s="103" t="s">
        <v>102</v>
      </c>
      <c r="I272" s="60">
        <v>0</v>
      </c>
      <c r="J272" s="134">
        <v>1261.2460013428754</v>
      </c>
      <c r="K272" s="57">
        <v>8862.5650000000005</v>
      </c>
      <c r="L272" s="87">
        <v>2579.0220908425704</v>
      </c>
      <c r="M272" s="87">
        <v>4500.597130470037</v>
      </c>
      <c r="N272" s="57">
        <v>0</v>
      </c>
      <c r="O272" s="57">
        <v>1444.6916788808819</v>
      </c>
      <c r="P272" s="57">
        <v>1575.2089956645129</v>
      </c>
      <c r="Q272" s="88">
        <f>IFERROR(IF(tblPiNAnalysis[[#This Row],[SAMV]]="", "", MROUND(tblPiNAnalysis[[#This Row],[SAMV]]/tblPiNAnalysis[[#This Row],[Población]], 0.05)), "")</f>
        <v>0</v>
      </c>
      <c r="R272" s="89">
        <f>IFERROR(IF(tblPiNAnalysis[[#This Row],[NUT]]="", "", MROUND(tblPiNAnalysis[[#This Row],[NUT]]/tblPiNAnalysis[[#This Row],[Población]], 0.05)), "")</f>
        <v>0.05</v>
      </c>
      <c r="S272" s="89">
        <f>IFERROR(IF(tblPiNAnalysis[[#This Row],[SAL]]="", "", MROUND(tblPiNAnalysis[[#This Row],[SAL]]/tblPiNAnalysis[[#This Row],[Población]], 0.05)), "")</f>
        <v>0.35000000000000003</v>
      </c>
      <c r="T272" s="89">
        <f>IFERROR(IF(tblPiNAnalysis[[#This Row],[EDU]]="", "", MROUND(tblPiNAnalysis[[#This Row],[EDU]]/tblPiNAnalysis[[#This Row],[Población]], 0.05)), "")</f>
        <v>0.1</v>
      </c>
      <c r="U272" s="89">
        <f>IFERROR(IF(tblPiNAnalysis[[#This Row],[PRO]]="", "", MROUND(tblPiNAnalysis[[#This Row],[PRO]]/tblPiNAnalysis[[#This Row],[Población]], 0.05)), "")</f>
        <v>0.2</v>
      </c>
      <c r="V272" s="90">
        <f>IFERROR(IF(tblPiNAnalysis[[#This Row],[ASH]]="", "", MROUND(tblPiNAnalysis[[#This Row],[ASH]]/tblPiNAnalysis[[#This Row],[Población]], 0.05)), "")</f>
        <v>0</v>
      </c>
      <c r="W272" s="89">
        <f>IFERROR(MROUND(tblPiNAnalysis[[#This Row],[NNA]]/tblPiNAnalysis[[#This Row],[Población]], 0.05), "")</f>
        <v>0.05</v>
      </c>
      <c r="X272" s="89">
        <f>IFERROR(MROUND(tblPiNAnalysis[[#This Row],[VBG]]/tblPiNAnalysis[[#This Row],[Población]], 0.05), "")</f>
        <v>0.05</v>
      </c>
      <c r="Y272" s="91">
        <f>IFERROR(LARGE(tblPiNAnalysis[[#This Row],[SAMV]:[ASH]], 1), "")</f>
        <v>8862.5650000000005</v>
      </c>
      <c r="Z272" s="92" t="str" cm="1">
        <f t="array" ref="Z272">IF(tblPiNAnalysis[[#This Row],[PiN más alto]]="", "", _xlfn.TEXTJOIN(CHAR(10), TRUE, IF(tblPiNAnalysis[[#This Row],[PiN más alto]]=tblPiNAnalysis[[#This Row],[SAMV]:[ASH]], tblPiNAnalysis[[#Headers],[SAMV]:[ASH]], "")))</f>
        <v>SAL</v>
      </c>
      <c r="AA272" s="93">
        <f>IF(tblPiNAnalysis[[#This Row],[PiN más alto]]="", "", tblPiNAnalysis[[#This Row],[PiN más alto]]/tblPiNAnalysis[[#This Row],[Población]])</f>
        <v>0.36500000000000005</v>
      </c>
      <c r="AB272" s="94" t="str">
        <f>IF(SUM(tblPiNAnalysis[[#This Row],[SAMV]:[ASH]])=0, "",IF(COUNTIF(tblPiNAnalysis[[#This Row],[SAMV]:[ASH]],"=0")+COUNTIF(tblPiNAnalysis[[#This Row],[SAMV]:[ASH]],"")&gt;=zero_pin_thresh, "Flagged", ""))</f>
        <v>Flagged</v>
      </c>
      <c r="AC272" s="95" t="str">
        <f>IFERROR(IF(tblPiNAnalysis[[#This Row],[PiN más alto]]="", "", IF(tblPiNAnalysis[[#This Row],[% PiN Sectores más altos]]&gt;=flag_pin_perc, "Flagged", "")), "")</f>
        <v/>
      </c>
      <c r="AD272" s="96" t="str" cm="1">
        <f t="array" ref="AD272">IF(tblPiNAnalysis[[#This Row],[PiN más alto]]=0, "",  IF(OR(COUNTIF(tblPiNAnalysis[[#This Row],[Sectores más altos]],tblSubSectorPopulation[Sector])), "Flagged", ""))</f>
        <v/>
      </c>
      <c r="AE272" s="16" cm="1">
        <f t="array" ref="AE27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4500.597130470037</v>
      </c>
      <c r="AF272" s="97" t="str" cm="1">
        <f t="array" ref="AF272">IF(tblPiNAnalysis[[#This Row],[2º PiN más alto]]="", "", _xlfn.TEXTJOIN(CHAR(10), TRUE, IF(tblPiNAnalysis[[#This Row],[2º PiN más alto]]=tblPiNAnalysis[[#This Row],[SAMV]:[ASH]], tblPiNAnalysis[[#Headers],[SAMV]:[ASH]], "")))</f>
        <v>PRO</v>
      </c>
      <c r="AG272" s="12">
        <f>IFERROR(tblPiNAnalysis[[#This Row],[2º PiN más alto]]/tblPiNAnalysis[[#This Row],[Población]], "")</f>
        <v>0.18535468598781091</v>
      </c>
      <c r="AH272" s="16">
        <f>IFERROR(tblPiNAnalysis[[#This Row],[PiN más alto]]-tblPiNAnalysis[[#This Row],[2º PiN más alto]], "")</f>
        <v>4361.9678695299635</v>
      </c>
      <c r="AI272" s="14">
        <f>IFERROR(((tblPiNAnalysis[[#This Row],[PiN más alto]]-tblPiNAnalysis[[#This Row],[2º PiN más alto]])/tblPiNAnalysis[[#This Row],[2º PiN más alto]]),"")</f>
        <v>0.96919758491567198</v>
      </c>
      <c r="AJ272" s="14" t="str" cm="1">
        <f t="array" ref="AJ27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72" s="98" cm="1">
        <f t="array" ref="AK27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2579.0220908425704</v>
      </c>
      <c r="AL272" s="53" t="str" cm="1">
        <f t="array" ref="AL272">IF(tblPiNAnalysis[[#This Row],[3º PiN más alto]]="", "", _xlfn.TEXTJOIN(CHAR(10), TRUE, IF(tblPiNAnalysis[[#This Row],[3º PiN más alto]]=tblPiNAnalysis[[#This Row],[SAMV]:[ASH]], tblPiNAnalysis[[#Headers],[SAMV]:[ASH]], "")))</f>
        <v>EDU</v>
      </c>
      <c r="AM272" s="53">
        <f>IFERROR(tblPiNAnalysis[[#This Row],[3º PiN más alto]]/tblPiNAnalysis[[#This Row],[Población]], "")</f>
        <v>0.10621564560119313</v>
      </c>
      <c r="AN272" s="15">
        <f>IFERROR(tblPiNAnalysis[[#This Row],[PiN más alto]]-tblPiNAnalysis[[#This Row],[3º PiN más alto]],"")</f>
        <v>6283.5429091574297</v>
      </c>
      <c r="AO272" s="14">
        <f>IFERROR(tblPiNAnalysis[[#This Row],[Diferencia de PiN entre el más alto y el 3º más alto]]/tblPiNAnalysis[[#This Row],[3º PiN más alto]], "")</f>
        <v>2.4364052295126277</v>
      </c>
      <c r="AP272" s="96" t="str" cm="1">
        <f t="array" ref="AP27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72" s="84" cm="1">
        <f t="array" ref="AQ272">IFERROR(IF(tblPiNAnalysis[[#This Row],[ID]]="", "", INDEX(tblPiNHistorical[[SAMV]:[ASH]], MATCH(tblPiNAnalysis[[#This Row],[ID]],tblPiNHistorical[ID], 0),MATCH(_xlfn._xlws.FILTER(tblPiNAnalysis[[#Headers],[SAMV]:[ASH]], tblPiNAnalysis[[#This Row],[PiN más alto]]=tblPiNAnalysis[[#This Row],[SAMV]:[ASH]]), tblPiNHistorical[[#Headers],[SAMV]:[ASH]], 0))), "")</f>
        <v>1.3</v>
      </c>
      <c r="AR272" s="99" t="str" cm="1">
        <f t="array" ref="AR27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72" s="74" cm="1">
        <f t="array" ref="AS272">IFERROR(IF(tblPiNAnalysis[[#This Row],[ID]]="", "", INDEX(tblPiNHistorical[[SAMV]:[ASH]], MATCH(tblPiNAnalysis[[#This Row],[ID]],tblPiNHistorical[ID], 0),MATCH(_xlfn._xlws.FILTER(tblPiNAnalysis[[#Headers],[SAMV]:[ASH]], tblPiNAnalysis[[#This Row],[2º PiN más alto]]=tblPiNAnalysis[[#This Row],[SAMV]:[ASH]]), tblPiNHistorical[[#Headers],[SAMV]:[ASH]], 0))), "")</f>
        <v>-0.7</v>
      </c>
      <c r="AT272" s="100" t="str" cm="1">
        <f t="array" ref="AT27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72" s="219">
        <f>INDEX(tblSeverityAnalysis[Severidad final], MATCH(tblPiNAnalysis[[#This Row],[ID]],tblSeverityAnalysis[ID], 0))</f>
        <v>3</v>
      </c>
      <c r="AV272" s="220">
        <f>IF(tblPiNAnalysis[[#This Row],[Severidad]]&gt;2,tblPiNAnalysis[[#This Row],[PiN más alto]],)</f>
        <v>8862.5650000000005</v>
      </c>
      <c r="AW272" s="54"/>
      <c r="AX272" s="55"/>
      <c r="AY272" s="56">
        <f>COUNTIFS(tblPiNAnalysis[[#This Row],[Número de PiN ausentes/cero superior al umbral - Calidad de los datos]:[Marcador manual]],"Flagged")</f>
        <v>4</v>
      </c>
      <c r="AZ272" s="34" t="str">
        <f>IF(tblPiNAnalysis[[#This Row],[Número de marcadores]]&gt;0, "Flagged", "")</f>
        <v>Flagged</v>
      </c>
      <c r="BA272" s="92">
        <f>tblPiNAnalysis[[#This Row],[PiN preliminar]]</f>
        <v>8862.5650000000005</v>
      </c>
      <c r="BB272" s="97"/>
      <c r="BC272" s="70">
        <f>IFERROR(IF(tblPiNAnalysis[[#This Row],[Severidad]]=3,tblPiNAnalysis[[#This Row],[PiN final]]*Umbrales!$D$33,tblPiNAnalysis[[#This Row],[PiN final]]*Umbrales!$D$34),)</f>
        <v>4431.2825000000003</v>
      </c>
      <c r="BD272" s="70">
        <f>IFERROR(IF(tblPiNAnalysis[[#This Row],[Severidad]]&gt;3,tblPiNAnalysis[[#This Row],[PiN final]]*Umbrales!$D$34,),)</f>
        <v>0</v>
      </c>
    </row>
    <row r="273" spans="1:56">
      <c r="A273" s="101" t="str">
        <f>IFERROR(_xlfn.CONCAT(IF(tblPiNAnalysis[[#This Row],[Grupo]]="", "",tblPiNAnalysis[[#This Row],[Grupo]] ),  _xlfn.IFS(tblPiNAnalysis[[#This Row],[Admin2PCODE]]&lt;&gt;"", tblPiNAnalysis[[#This Row],[Admin2PCODE]], tblPiNAnalysis[[#This Row],[Admin1PCODE]]&lt;&gt;"", tblPiNAnalysis[[#This Row],[Admin1PCODE]])),"")</f>
        <v>VenezolanosVE1306</v>
      </c>
      <c r="B273" s="105" t="s">
        <v>393</v>
      </c>
      <c r="C273" s="104" t="s">
        <v>394</v>
      </c>
      <c r="D273" s="119" t="s">
        <v>404</v>
      </c>
      <c r="E273" s="104" t="s">
        <v>405</v>
      </c>
      <c r="F273" s="358"/>
      <c r="G273" s="357">
        <v>178035</v>
      </c>
      <c r="H273" s="103" t="s">
        <v>102</v>
      </c>
      <c r="I273" s="60">
        <v>44156</v>
      </c>
      <c r="J273" s="134">
        <v>5023.1804908069553</v>
      </c>
      <c r="K273" s="57">
        <v>64982.775000000001</v>
      </c>
      <c r="L273" s="87">
        <v>26944.260546227328</v>
      </c>
      <c r="M273" s="87">
        <v>21214.594239055157</v>
      </c>
      <c r="N273" s="57">
        <v>0</v>
      </c>
      <c r="O273" s="57">
        <v>6788.6701564976502</v>
      </c>
      <c r="P273" s="57">
        <v>7425.1079836693043</v>
      </c>
      <c r="Q273" s="88">
        <f>IFERROR(IF(tblPiNAnalysis[[#This Row],[SAMV]]="", "", MROUND(tblPiNAnalysis[[#This Row],[SAMV]]/tblPiNAnalysis[[#This Row],[Población]], 0.05)), "")</f>
        <v>0.25</v>
      </c>
      <c r="R273" s="89">
        <f>IFERROR(IF(tblPiNAnalysis[[#This Row],[NUT]]="", "", MROUND(tblPiNAnalysis[[#This Row],[NUT]]/tblPiNAnalysis[[#This Row],[Población]], 0.05)), "")</f>
        <v>0.05</v>
      </c>
      <c r="S273" s="89">
        <f>IFERROR(IF(tblPiNAnalysis[[#This Row],[SAL]]="", "", MROUND(tblPiNAnalysis[[#This Row],[SAL]]/tblPiNAnalysis[[#This Row],[Población]], 0.05)), "")</f>
        <v>0.35000000000000003</v>
      </c>
      <c r="T273" s="89">
        <f>IFERROR(IF(tblPiNAnalysis[[#This Row],[EDU]]="", "", MROUND(tblPiNAnalysis[[#This Row],[EDU]]/tblPiNAnalysis[[#This Row],[Población]], 0.05)), "")</f>
        <v>0.15000000000000002</v>
      </c>
      <c r="U273" s="89">
        <f>IFERROR(IF(tblPiNAnalysis[[#This Row],[PRO]]="", "", MROUND(tblPiNAnalysis[[#This Row],[PRO]]/tblPiNAnalysis[[#This Row],[Población]], 0.05)), "")</f>
        <v>0.1</v>
      </c>
      <c r="V273" s="90">
        <f>IFERROR(IF(tblPiNAnalysis[[#This Row],[ASH]]="", "", MROUND(tblPiNAnalysis[[#This Row],[ASH]]/tblPiNAnalysis[[#This Row],[Población]], 0.05)), "")</f>
        <v>0</v>
      </c>
      <c r="W273" s="89">
        <f>IFERROR(MROUND(tblPiNAnalysis[[#This Row],[NNA]]/tblPiNAnalysis[[#This Row],[Población]], 0.05), "")</f>
        <v>0.05</v>
      </c>
      <c r="X273" s="89">
        <f>IFERROR(MROUND(tblPiNAnalysis[[#This Row],[VBG]]/tblPiNAnalysis[[#This Row],[Población]], 0.05), "")</f>
        <v>0.05</v>
      </c>
      <c r="Y273" s="91">
        <f>IFERROR(LARGE(tblPiNAnalysis[[#This Row],[SAMV]:[ASH]], 1), "")</f>
        <v>64982.775000000001</v>
      </c>
      <c r="Z273" s="92" t="str" cm="1">
        <f t="array" ref="Z273">IF(tblPiNAnalysis[[#This Row],[PiN más alto]]="", "", _xlfn.TEXTJOIN(CHAR(10), TRUE, IF(tblPiNAnalysis[[#This Row],[PiN más alto]]=tblPiNAnalysis[[#This Row],[SAMV]:[ASH]], tblPiNAnalysis[[#Headers],[SAMV]:[ASH]], "")))</f>
        <v>SAL</v>
      </c>
      <c r="AA273" s="93">
        <f>IF(tblPiNAnalysis[[#This Row],[PiN más alto]]="", "", tblPiNAnalysis[[#This Row],[PiN más alto]]/tblPiNAnalysis[[#This Row],[Población]])</f>
        <v>0.36499999999999999</v>
      </c>
      <c r="AB273" s="94" t="str">
        <f>IF(SUM(tblPiNAnalysis[[#This Row],[SAMV]:[ASH]])=0, "",IF(COUNTIF(tblPiNAnalysis[[#This Row],[SAMV]:[ASH]],"=0")+COUNTIF(tblPiNAnalysis[[#This Row],[SAMV]:[ASH]],"")&gt;=zero_pin_thresh, "Flagged", ""))</f>
        <v/>
      </c>
      <c r="AC273" s="95" t="str">
        <f>IFERROR(IF(tblPiNAnalysis[[#This Row],[PiN más alto]]="", "", IF(tblPiNAnalysis[[#This Row],[% PiN Sectores más altos]]&gt;=flag_pin_perc, "Flagged", "")), "")</f>
        <v/>
      </c>
      <c r="AD273" s="96" t="str" cm="1">
        <f t="array" ref="AD273">IF(tblPiNAnalysis[[#This Row],[PiN más alto]]=0, "",  IF(OR(COUNTIF(tblPiNAnalysis[[#This Row],[Sectores más altos]],tblSubSectorPopulation[Sector])), "Flagged", ""))</f>
        <v/>
      </c>
      <c r="AE273" s="16" cm="1">
        <f t="array" ref="AE27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44156</v>
      </c>
      <c r="AF273" s="97" t="str" cm="1">
        <f t="array" ref="AF273">IF(tblPiNAnalysis[[#This Row],[2º PiN más alto]]="", "", _xlfn.TEXTJOIN(CHAR(10), TRUE, IF(tblPiNAnalysis[[#This Row],[2º PiN más alto]]=tblPiNAnalysis[[#This Row],[SAMV]:[ASH]], tblPiNAnalysis[[#Headers],[SAMV]:[ASH]], "")))</f>
        <v>SAMV</v>
      </c>
      <c r="AG273" s="12">
        <f>IFERROR(tblPiNAnalysis[[#This Row],[2º PiN más alto]]/tblPiNAnalysis[[#This Row],[Población]], "")</f>
        <v>0.24801864801864801</v>
      </c>
      <c r="AH273" s="16">
        <f>IFERROR(tblPiNAnalysis[[#This Row],[PiN más alto]]-tblPiNAnalysis[[#This Row],[2º PiN más alto]], "")</f>
        <v>20826.775000000001</v>
      </c>
      <c r="AI273" s="14">
        <f>IFERROR(((tblPiNAnalysis[[#This Row],[PiN más alto]]-tblPiNAnalysis[[#This Row],[2º PiN más alto]])/tblPiNAnalysis[[#This Row],[2º PiN más alto]]),"")</f>
        <v>0.47166353383458648</v>
      </c>
      <c r="AJ273" s="14" t="str" cm="1">
        <f t="array" ref="AJ27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73" s="98" cm="1">
        <f t="array" ref="AK27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26944.260546227328</v>
      </c>
      <c r="AL273" s="53" t="str" cm="1">
        <f t="array" ref="AL273">IF(tblPiNAnalysis[[#This Row],[3º PiN más alto]]="", "", _xlfn.TEXTJOIN(CHAR(10), TRUE, IF(tblPiNAnalysis[[#This Row],[3º PiN más alto]]=tblPiNAnalysis[[#This Row],[SAMV]:[ASH]], tblPiNAnalysis[[#Headers],[SAMV]:[ASH]], "")))</f>
        <v>EDU</v>
      </c>
      <c r="AM273" s="53">
        <f>IFERROR(tblPiNAnalysis[[#This Row],[3º PiN más alto]]/tblPiNAnalysis[[#This Row],[Población]], "")</f>
        <v>0.15134249190455432</v>
      </c>
      <c r="AN273" s="15">
        <f>IFERROR(tblPiNAnalysis[[#This Row],[PiN más alto]]-tblPiNAnalysis[[#This Row],[3º PiN más alto]],"")</f>
        <v>38038.514453772674</v>
      </c>
      <c r="AO273" s="14">
        <f>IFERROR(tblPiNAnalysis[[#This Row],[Diferencia de PiN entre el más alto y el 3º más alto]]/tblPiNAnalysis[[#This Row],[3º PiN más alto]], "")</f>
        <v>1.4117483160657285</v>
      </c>
      <c r="AP273" s="96" t="str" cm="1">
        <f t="array" ref="AP27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73" s="84" cm="1">
        <f t="array" ref="AQ273">IFERROR(IF(tblPiNAnalysis[[#This Row],[ID]]="", "", INDEX(tblPiNHistorical[[SAMV]:[ASH]], MATCH(tblPiNAnalysis[[#This Row],[ID]],tblPiNHistorical[ID], 0),MATCH(_xlfn._xlws.FILTER(tblPiNAnalysis[[#Headers],[SAMV]:[ASH]], tblPiNAnalysis[[#This Row],[PiN más alto]]=tblPiNAnalysis[[#This Row],[SAMV]:[ASH]]), tblPiNHistorical[[#Headers],[SAMV]:[ASH]], 0))), "")</f>
        <v>-0.7</v>
      </c>
      <c r="AR273" s="99" t="str" cm="1">
        <f t="array" ref="AR27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73" s="74" cm="1">
        <f t="array" ref="AS273">IFERROR(IF(tblPiNAnalysis[[#This Row],[ID]]="", "", INDEX(tblPiNHistorical[[SAMV]:[ASH]], MATCH(tblPiNAnalysis[[#This Row],[ID]],tblPiNHistorical[ID], 0),MATCH(_xlfn._xlws.FILTER(tblPiNAnalysis[[#Headers],[SAMV]:[ASH]], tblPiNAnalysis[[#This Row],[2º PiN más alto]]=tblPiNAnalysis[[#This Row],[SAMV]:[ASH]]), tblPiNHistorical[[#Headers],[SAMV]:[ASH]], 0))), "")</f>
        <v>-0.5</v>
      </c>
      <c r="AT273" s="100" t="str" cm="1">
        <f t="array" ref="AT27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73" s="219">
        <f>INDEX(tblSeverityAnalysis[Severidad final], MATCH(tblPiNAnalysis[[#This Row],[ID]],tblSeverityAnalysis[ID], 0))</f>
        <v>2</v>
      </c>
      <c r="AV273" s="220">
        <f>IF(tblPiNAnalysis[[#This Row],[Severidad]]&gt;2,tblPiNAnalysis[[#This Row],[PiN más alto]],)</f>
        <v>0</v>
      </c>
      <c r="AW273" s="54"/>
      <c r="AX273" s="55"/>
      <c r="AY273" s="56">
        <f>COUNTIFS(tblPiNAnalysis[[#This Row],[Número de PiN ausentes/cero superior al umbral - Calidad de los datos]:[Marcador manual]],"Flagged")</f>
        <v>2</v>
      </c>
      <c r="AZ273" s="34" t="str">
        <f>IF(tblPiNAnalysis[[#This Row],[Número de marcadores]]&gt;0, "Flagged", "")</f>
        <v>Flagged</v>
      </c>
      <c r="BA273" s="92">
        <f>tblPiNAnalysis[[#This Row],[PiN preliminar]]</f>
        <v>0</v>
      </c>
      <c r="BB273" s="97"/>
      <c r="BC273" s="70">
        <f>IFERROR(IF(tblPiNAnalysis[[#This Row],[Severidad]]=3,tblPiNAnalysis[[#This Row],[PiN final]]*Umbrales!$D$33,tblPiNAnalysis[[#This Row],[PiN final]]*Umbrales!$D$34),)</f>
        <v>0</v>
      </c>
      <c r="BD273" s="70">
        <f>IFERROR(IF(tblPiNAnalysis[[#This Row],[Severidad]]&gt;3,tblPiNAnalysis[[#This Row],[PiN final]]*Umbrales!$D$34,),)</f>
        <v>0</v>
      </c>
    </row>
    <row r="274" spans="1:56">
      <c r="A274" s="101" t="str">
        <f>IFERROR(_xlfn.CONCAT(IF(tblPiNAnalysis[[#This Row],[Grupo]]="", "",tblPiNAnalysis[[#This Row],[Grupo]] ),  _xlfn.IFS(tblPiNAnalysis[[#This Row],[Admin2PCODE]]&lt;&gt;"", tblPiNAnalysis[[#This Row],[Admin2PCODE]], tblPiNAnalysis[[#This Row],[Admin1PCODE]]&lt;&gt;"", tblPiNAnalysis[[#This Row],[Admin1PCODE]])),"")</f>
        <v>VenezolanosVE1307</v>
      </c>
      <c r="B274" s="105" t="s">
        <v>393</v>
      </c>
      <c r="C274" s="104" t="s">
        <v>394</v>
      </c>
      <c r="D274" s="119" t="s">
        <v>830</v>
      </c>
      <c r="E274" s="104" t="s">
        <v>407</v>
      </c>
      <c r="F274" s="358"/>
      <c r="G274" s="357">
        <v>36605</v>
      </c>
      <c r="H274" s="103" t="s">
        <v>102</v>
      </c>
      <c r="I274" s="60">
        <v>3589</v>
      </c>
      <c r="J274" s="134">
        <v>1189.1478528783309</v>
      </c>
      <c r="K274" s="57">
        <v>14200</v>
      </c>
      <c r="L274" s="87">
        <v>2387.1514870308474</v>
      </c>
      <c r="M274" s="87">
        <v>7269.7336864531699</v>
      </c>
      <c r="N274" s="57">
        <v>0</v>
      </c>
      <c r="O274" s="57">
        <v>2333.5845133514676</v>
      </c>
      <c r="P274" s="57">
        <v>2544.4067902586098</v>
      </c>
      <c r="Q274" s="88">
        <f>IFERROR(IF(tblPiNAnalysis[[#This Row],[SAMV]]="", "", MROUND(tblPiNAnalysis[[#This Row],[SAMV]]/tblPiNAnalysis[[#This Row],[Población]], 0.05)), "")</f>
        <v>0.1</v>
      </c>
      <c r="R274" s="89">
        <f>IFERROR(IF(tblPiNAnalysis[[#This Row],[NUT]]="", "", MROUND(tblPiNAnalysis[[#This Row],[NUT]]/tblPiNAnalysis[[#This Row],[Población]], 0.05)), "")</f>
        <v>0.05</v>
      </c>
      <c r="S274" s="89">
        <f>IFERROR(IF(tblPiNAnalysis[[#This Row],[SAL]]="", "", MROUND(tblPiNAnalysis[[#This Row],[SAL]]/tblPiNAnalysis[[#This Row],[Población]], 0.05)), "")</f>
        <v>0.4</v>
      </c>
      <c r="T274" s="89">
        <f>IFERROR(IF(tblPiNAnalysis[[#This Row],[EDU]]="", "", MROUND(tblPiNAnalysis[[#This Row],[EDU]]/tblPiNAnalysis[[#This Row],[Población]], 0.05)), "")</f>
        <v>0.05</v>
      </c>
      <c r="U274" s="89">
        <f>IFERROR(IF(tblPiNAnalysis[[#This Row],[PRO]]="", "", MROUND(tblPiNAnalysis[[#This Row],[PRO]]/tblPiNAnalysis[[#This Row],[Población]], 0.05)), "")</f>
        <v>0.2</v>
      </c>
      <c r="V274" s="90">
        <f>IFERROR(IF(tblPiNAnalysis[[#This Row],[ASH]]="", "", MROUND(tblPiNAnalysis[[#This Row],[ASH]]/tblPiNAnalysis[[#This Row],[Población]], 0.05)), "")</f>
        <v>0</v>
      </c>
      <c r="W274" s="89">
        <f>IFERROR(MROUND(tblPiNAnalysis[[#This Row],[NNA]]/tblPiNAnalysis[[#This Row],[Población]], 0.05), "")</f>
        <v>0.05</v>
      </c>
      <c r="X274" s="89">
        <f>IFERROR(MROUND(tblPiNAnalysis[[#This Row],[VBG]]/tblPiNAnalysis[[#This Row],[Población]], 0.05), "")</f>
        <v>0.05</v>
      </c>
      <c r="Y274" s="91">
        <f>IFERROR(LARGE(tblPiNAnalysis[[#This Row],[SAMV]:[ASH]], 1), "")</f>
        <v>14200</v>
      </c>
      <c r="Z274" s="92" t="str" cm="1">
        <f t="array" ref="Z274">IF(tblPiNAnalysis[[#This Row],[PiN más alto]]="", "", _xlfn.TEXTJOIN(CHAR(10), TRUE, IF(tblPiNAnalysis[[#This Row],[PiN más alto]]=tblPiNAnalysis[[#This Row],[SAMV]:[ASH]], tblPiNAnalysis[[#Headers],[SAMV]:[ASH]], "")))</f>
        <v>SAL</v>
      </c>
      <c r="AA274" s="93">
        <f>IF(tblPiNAnalysis[[#This Row],[PiN más alto]]="", "", tblPiNAnalysis[[#This Row],[PiN más alto]]/tblPiNAnalysis[[#This Row],[Población]])</f>
        <v>0.38792514683786367</v>
      </c>
      <c r="AB274" s="94" t="str">
        <f>IF(SUM(tblPiNAnalysis[[#This Row],[SAMV]:[ASH]])=0, "",IF(COUNTIF(tblPiNAnalysis[[#This Row],[SAMV]:[ASH]],"=0")+COUNTIF(tblPiNAnalysis[[#This Row],[SAMV]:[ASH]],"")&gt;=zero_pin_thresh, "Flagged", ""))</f>
        <v/>
      </c>
      <c r="AC274" s="95" t="str">
        <f>IFERROR(IF(tblPiNAnalysis[[#This Row],[PiN más alto]]="", "", IF(tblPiNAnalysis[[#This Row],[% PiN Sectores más altos]]&gt;=flag_pin_perc, "Flagged", "")), "")</f>
        <v/>
      </c>
      <c r="AD274" s="96" t="str" cm="1">
        <f t="array" ref="AD274">IF(tblPiNAnalysis[[#This Row],[PiN más alto]]=0, "",  IF(OR(COUNTIF(tblPiNAnalysis[[#This Row],[Sectores más altos]],tblSubSectorPopulation[Sector])), "Flagged", ""))</f>
        <v/>
      </c>
      <c r="AE274" s="16" cm="1">
        <f t="array" ref="AE27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7269.7336864531699</v>
      </c>
      <c r="AF274" s="97" t="str" cm="1">
        <f t="array" ref="AF274">IF(tblPiNAnalysis[[#This Row],[2º PiN más alto]]="", "", _xlfn.TEXTJOIN(CHAR(10), TRUE, IF(tblPiNAnalysis[[#This Row],[2º PiN más alto]]=tblPiNAnalysis[[#This Row],[SAMV]:[ASH]], tblPiNAnalysis[[#Headers],[SAMV]:[ASH]], "")))</f>
        <v>PRO</v>
      </c>
      <c r="AG274" s="12">
        <f>IFERROR(tblPiNAnalysis[[#This Row],[2º PiN más alto]]/tblPiNAnalysis[[#This Row],[Población]], "")</f>
        <v>0.19859947237954295</v>
      </c>
      <c r="AH274" s="16">
        <f>IFERROR(tblPiNAnalysis[[#This Row],[PiN más alto]]-tblPiNAnalysis[[#This Row],[2º PiN más alto]], "")</f>
        <v>6930.2663135468301</v>
      </c>
      <c r="AI274" s="14">
        <f>IFERROR(((tblPiNAnalysis[[#This Row],[PiN más alto]]-tblPiNAnalysis[[#This Row],[2º PiN más alto]])/tblPiNAnalysis[[#This Row],[2º PiN más alto]]),"")</f>
        <v>0.95330401531229092</v>
      </c>
      <c r="AJ274" s="14" t="str" cm="1">
        <f t="array" ref="AJ27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74" s="98" cm="1">
        <f t="array" ref="AK27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3589</v>
      </c>
      <c r="AL274" s="53" t="str" cm="1">
        <f t="array" ref="AL274">IF(tblPiNAnalysis[[#This Row],[3º PiN más alto]]="", "", _xlfn.TEXTJOIN(CHAR(10), TRUE, IF(tblPiNAnalysis[[#This Row],[3º PiN más alto]]=tblPiNAnalysis[[#This Row],[SAMV]:[ASH]], tblPiNAnalysis[[#Headers],[SAMV]:[ASH]], "")))</f>
        <v>SAMV</v>
      </c>
      <c r="AM274" s="53">
        <f>IFERROR(tblPiNAnalysis[[#This Row],[3º PiN más alto]]/tblPiNAnalysis[[#This Row],[Población]], "")</f>
        <v>9.8046714929654416E-2</v>
      </c>
      <c r="AN274" s="15">
        <f>IFERROR(tblPiNAnalysis[[#This Row],[PiN más alto]]-tblPiNAnalysis[[#This Row],[3º PiN más alto]],"")</f>
        <v>10611</v>
      </c>
      <c r="AO274" s="14">
        <f>IFERROR(tblPiNAnalysis[[#This Row],[Diferencia de PiN entre el más alto y el 3º más alto]]/tblPiNAnalysis[[#This Row],[3º PiN más alto]], "")</f>
        <v>2.9565338534410701</v>
      </c>
      <c r="AP274" s="96" t="str" cm="1">
        <f t="array" ref="AP27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74" s="84" cm="1">
        <f t="array" ref="AQ274">IFERROR(IF(tblPiNAnalysis[[#This Row],[ID]]="", "", INDEX(tblPiNHistorical[[SAMV]:[ASH]], MATCH(tblPiNAnalysis[[#This Row],[ID]],tblPiNHistorical[ID], 0),MATCH(_xlfn._xlws.FILTER(tblPiNAnalysis[[#Headers],[SAMV]:[ASH]], tblPiNAnalysis[[#This Row],[PiN más alto]]=tblPiNAnalysis[[#This Row],[SAMV]:[ASH]]), tblPiNHistorical[[#Headers],[SAMV]:[ASH]], 0))), "")</f>
        <v>0.3</v>
      </c>
      <c r="AR274" s="99" t="str" cm="1">
        <f t="array" ref="AR27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74" s="74" cm="1">
        <f t="array" ref="AS274">IFERROR(IF(tblPiNAnalysis[[#This Row],[ID]]="", "", INDEX(tblPiNHistorical[[SAMV]:[ASH]], MATCH(tblPiNAnalysis[[#This Row],[ID]],tblPiNHistorical[ID], 0),MATCH(_xlfn._xlws.FILTER(tblPiNAnalysis[[#Headers],[SAMV]:[ASH]], tblPiNAnalysis[[#This Row],[2º PiN más alto]]=tblPiNAnalysis[[#This Row],[SAMV]:[ASH]]), tblPiNHistorical[[#Headers],[SAMV]:[ASH]], 0))), "")</f>
        <v>-0.4</v>
      </c>
      <c r="AT274" s="100" t="str" cm="1">
        <f t="array" ref="AT27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74" s="219">
        <f>INDEX(tblSeverityAnalysis[Severidad final], MATCH(tblPiNAnalysis[[#This Row],[ID]],tblSeverityAnalysis[ID], 0))</f>
        <v>2</v>
      </c>
      <c r="AV274" s="220">
        <f>IF(tblPiNAnalysis[[#This Row],[Severidad]]&gt;2,tblPiNAnalysis[[#This Row],[PiN más alto]],)</f>
        <v>0</v>
      </c>
      <c r="AW274" s="54"/>
      <c r="AX274" s="55"/>
      <c r="AY274" s="56">
        <f>COUNTIFS(tblPiNAnalysis[[#This Row],[Número de PiN ausentes/cero superior al umbral - Calidad de los datos]:[Marcador manual]],"Flagged")</f>
        <v>2</v>
      </c>
      <c r="AZ274" s="34" t="str">
        <f>IF(tblPiNAnalysis[[#This Row],[Número de marcadores]]&gt;0, "Flagged", "")</f>
        <v>Flagged</v>
      </c>
      <c r="BA274" s="92">
        <f>tblPiNAnalysis[[#This Row],[PiN preliminar]]</f>
        <v>0</v>
      </c>
      <c r="BB274" s="97"/>
      <c r="BC274" s="70">
        <f>IFERROR(IF(tblPiNAnalysis[[#This Row],[Severidad]]=3,tblPiNAnalysis[[#This Row],[PiN final]]*Umbrales!$D$33,tblPiNAnalysis[[#This Row],[PiN final]]*Umbrales!$D$34),)</f>
        <v>0</v>
      </c>
      <c r="BD274" s="70">
        <f>IFERROR(IF(tblPiNAnalysis[[#This Row],[Severidad]]&gt;3,tblPiNAnalysis[[#This Row],[PiN final]]*Umbrales!$D$34,),)</f>
        <v>0</v>
      </c>
    </row>
    <row r="275" spans="1:56">
      <c r="A275" s="101" t="str">
        <f>IFERROR(_xlfn.CONCAT(IF(tblPiNAnalysis[[#This Row],[Grupo]]="", "",tblPiNAnalysis[[#This Row],[Grupo]] ),  _xlfn.IFS(tblPiNAnalysis[[#This Row],[Admin2PCODE]]&lt;&gt;"", tblPiNAnalysis[[#This Row],[Admin2PCODE]], tblPiNAnalysis[[#This Row],[Admin1PCODE]]&lt;&gt;"", tblPiNAnalysis[[#This Row],[Admin1PCODE]])),"")</f>
        <v>VenezolanosVE1402</v>
      </c>
      <c r="B275" s="105" t="s">
        <v>411</v>
      </c>
      <c r="C275" s="104" t="s">
        <v>412</v>
      </c>
      <c r="D275" s="119" t="s">
        <v>415</v>
      </c>
      <c r="E275" s="104" t="s">
        <v>416</v>
      </c>
      <c r="F275" s="358"/>
      <c r="G275" s="357">
        <v>14555</v>
      </c>
      <c r="H275" s="103" t="s">
        <v>102</v>
      </c>
      <c r="I275" s="60">
        <v>4245</v>
      </c>
      <c r="J275" s="134">
        <v>469.55532719131901</v>
      </c>
      <c r="K275" s="57">
        <v>6300</v>
      </c>
      <c r="L275" s="87">
        <v>1424.1678098333255</v>
      </c>
      <c r="M275" s="87">
        <v>1460.7916965566078</v>
      </c>
      <c r="N275" s="57">
        <v>0</v>
      </c>
      <c r="O275" s="57">
        <v>468.91413459467111</v>
      </c>
      <c r="P275" s="57">
        <v>511.27709379481269</v>
      </c>
      <c r="Q275" s="88">
        <f>IFERROR(IF(tblPiNAnalysis[[#This Row],[SAMV]]="", "", MROUND(tblPiNAnalysis[[#This Row],[SAMV]]/tblPiNAnalysis[[#This Row],[Población]], 0.05)), "")</f>
        <v>0.30000000000000004</v>
      </c>
      <c r="R275" s="89">
        <f>IFERROR(IF(tblPiNAnalysis[[#This Row],[NUT]]="", "", MROUND(tblPiNAnalysis[[#This Row],[NUT]]/tblPiNAnalysis[[#This Row],[Población]], 0.05)), "")</f>
        <v>0.05</v>
      </c>
      <c r="S275" s="89">
        <f>IFERROR(IF(tblPiNAnalysis[[#This Row],[SAL]]="", "", MROUND(tblPiNAnalysis[[#This Row],[SAL]]/tblPiNAnalysis[[#This Row],[Población]], 0.05)), "")</f>
        <v>0.45</v>
      </c>
      <c r="T275" s="89">
        <f>IFERROR(IF(tblPiNAnalysis[[#This Row],[EDU]]="", "", MROUND(tblPiNAnalysis[[#This Row],[EDU]]/tblPiNAnalysis[[#This Row],[Población]], 0.05)), "")</f>
        <v>0.1</v>
      </c>
      <c r="U275" s="89">
        <f>IFERROR(IF(tblPiNAnalysis[[#This Row],[PRO]]="", "", MROUND(tblPiNAnalysis[[#This Row],[PRO]]/tblPiNAnalysis[[#This Row],[Población]], 0.05)), "")</f>
        <v>0.1</v>
      </c>
      <c r="V275" s="90">
        <f>IFERROR(IF(tblPiNAnalysis[[#This Row],[ASH]]="", "", MROUND(tblPiNAnalysis[[#This Row],[ASH]]/tblPiNAnalysis[[#This Row],[Población]], 0.05)), "")</f>
        <v>0</v>
      </c>
      <c r="W275" s="89">
        <f>IFERROR(MROUND(tblPiNAnalysis[[#This Row],[NNA]]/tblPiNAnalysis[[#This Row],[Población]], 0.05), "")</f>
        <v>0.05</v>
      </c>
      <c r="X275" s="89">
        <f>IFERROR(MROUND(tblPiNAnalysis[[#This Row],[VBG]]/tblPiNAnalysis[[#This Row],[Población]], 0.05), "")</f>
        <v>0.05</v>
      </c>
      <c r="Y275" s="91">
        <f>IFERROR(LARGE(tblPiNAnalysis[[#This Row],[SAMV]:[ASH]], 1), "")</f>
        <v>6300</v>
      </c>
      <c r="Z275" s="92" t="str" cm="1">
        <f t="array" ref="Z275">IF(tblPiNAnalysis[[#This Row],[PiN más alto]]="", "", _xlfn.TEXTJOIN(CHAR(10), TRUE, IF(tblPiNAnalysis[[#This Row],[PiN más alto]]=tblPiNAnalysis[[#This Row],[SAMV]:[ASH]], tblPiNAnalysis[[#Headers],[SAMV]:[ASH]], "")))</f>
        <v>SAL</v>
      </c>
      <c r="AA275" s="93">
        <f>IF(tblPiNAnalysis[[#This Row],[PiN más alto]]="", "", tblPiNAnalysis[[#This Row],[PiN más alto]]/tblPiNAnalysis[[#This Row],[Población]])</f>
        <v>0.43284094812779111</v>
      </c>
      <c r="AB275" s="94" t="str">
        <f>IF(SUM(tblPiNAnalysis[[#This Row],[SAMV]:[ASH]])=0, "",IF(COUNTIF(tblPiNAnalysis[[#This Row],[SAMV]:[ASH]],"=0")+COUNTIF(tblPiNAnalysis[[#This Row],[SAMV]:[ASH]],"")&gt;=zero_pin_thresh, "Flagged", ""))</f>
        <v/>
      </c>
      <c r="AC275" s="95" t="str">
        <f>IFERROR(IF(tblPiNAnalysis[[#This Row],[PiN más alto]]="", "", IF(tblPiNAnalysis[[#This Row],[% PiN Sectores más altos]]&gt;=flag_pin_perc, "Flagged", "")), "")</f>
        <v/>
      </c>
      <c r="AD275" s="96" t="str" cm="1">
        <f t="array" ref="AD275">IF(tblPiNAnalysis[[#This Row],[PiN más alto]]=0, "",  IF(OR(COUNTIF(tblPiNAnalysis[[#This Row],[Sectores más altos]],tblSubSectorPopulation[Sector])), "Flagged", ""))</f>
        <v/>
      </c>
      <c r="AE275" s="16" cm="1">
        <f t="array" ref="AE27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4245</v>
      </c>
      <c r="AF275" s="97" t="str" cm="1">
        <f t="array" ref="AF275">IF(tblPiNAnalysis[[#This Row],[2º PiN más alto]]="", "", _xlfn.TEXTJOIN(CHAR(10), TRUE, IF(tblPiNAnalysis[[#This Row],[2º PiN más alto]]=tblPiNAnalysis[[#This Row],[SAMV]:[ASH]], tblPiNAnalysis[[#Headers],[SAMV]:[ASH]], "")))</f>
        <v>SAMV</v>
      </c>
      <c r="AG275" s="12">
        <f>IFERROR(tblPiNAnalysis[[#This Row],[2º PiN más alto]]/tblPiNAnalysis[[#This Row],[Población]], "")</f>
        <v>0.29165235314324972</v>
      </c>
      <c r="AH275" s="16">
        <f>IFERROR(tblPiNAnalysis[[#This Row],[PiN más alto]]-tblPiNAnalysis[[#This Row],[2º PiN más alto]], "")</f>
        <v>2055</v>
      </c>
      <c r="AI275" s="14">
        <f>IFERROR(((tblPiNAnalysis[[#This Row],[PiN más alto]]-tblPiNAnalysis[[#This Row],[2º PiN más alto]])/tblPiNAnalysis[[#This Row],[2º PiN más alto]]),"")</f>
        <v>0.48409893992932862</v>
      </c>
      <c r="AJ275" s="14" t="str" cm="1">
        <f t="array" ref="AJ27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75" s="98" cm="1">
        <f t="array" ref="AK27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1460.7916965566078</v>
      </c>
      <c r="AL275" s="53" t="str" cm="1">
        <f t="array" ref="AL275">IF(tblPiNAnalysis[[#This Row],[3º PiN más alto]]="", "", _xlfn.TEXTJOIN(CHAR(10), TRUE, IF(tblPiNAnalysis[[#This Row],[3º PiN más alto]]=tblPiNAnalysis[[#This Row],[SAMV]:[ASH]], tblPiNAnalysis[[#Headers],[SAMV]:[ASH]], "")))</f>
        <v>PRO</v>
      </c>
      <c r="AM275" s="53">
        <f>IFERROR(tblPiNAnalysis[[#This Row],[3º PiN más alto]]/tblPiNAnalysis[[#This Row],[Población]], "")</f>
        <v>0.10036356554837567</v>
      </c>
      <c r="AN275" s="15">
        <f>IFERROR(tblPiNAnalysis[[#This Row],[PiN más alto]]-tblPiNAnalysis[[#This Row],[3º PiN más alto]],"")</f>
        <v>4839.2083034433927</v>
      </c>
      <c r="AO275" s="14">
        <f>IFERROR(tblPiNAnalysis[[#This Row],[Diferencia de PiN entre el más alto y el 3º más alto]]/tblPiNAnalysis[[#This Row],[3º PiN más alto]], "")</f>
        <v>3.3127298812352377</v>
      </c>
      <c r="AP275" s="96" t="str" cm="1">
        <f t="array" ref="AP27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75" s="84" cm="1">
        <f t="array" ref="AQ275">IFERROR(IF(tblPiNAnalysis[[#This Row],[ID]]="", "", INDEX(tblPiNHistorical[[SAMV]:[ASH]], MATCH(tblPiNAnalysis[[#This Row],[ID]],tblPiNHistorical[ID], 0),MATCH(_xlfn._xlws.FILTER(tblPiNAnalysis[[#Headers],[SAMV]:[ASH]], tblPiNAnalysis[[#This Row],[PiN más alto]]=tblPiNAnalysis[[#This Row],[SAMV]:[ASH]]), tblPiNHistorical[[#Headers],[SAMV]:[ASH]], 0))), "")</f>
        <v>2.2000000000000002</v>
      </c>
      <c r="AR275" s="99" t="str" cm="1">
        <f t="array" ref="AR27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75" s="74" cm="1">
        <f t="array" ref="AS275">IFERROR(IF(tblPiNAnalysis[[#This Row],[ID]]="", "", INDEX(tblPiNHistorical[[SAMV]:[ASH]], MATCH(tblPiNAnalysis[[#This Row],[ID]],tblPiNHistorical[ID], 0),MATCH(_xlfn._xlws.FILTER(tblPiNAnalysis[[#Headers],[SAMV]:[ASH]], tblPiNAnalysis[[#This Row],[2º PiN más alto]]=tblPiNAnalysis[[#This Row],[SAMV]:[ASH]]), tblPiNHistorical[[#Headers],[SAMV]:[ASH]], 0))), "")</f>
        <v>2.4</v>
      </c>
      <c r="AT275" s="100" t="str" cm="1">
        <f t="array" ref="AT27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75" s="219">
        <f>INDEX(tblSeverityAnalysis[Severidad final], MATCH(tblPiNAnalysis[[#This Row],[ID]],tblSeverityAnalysis[ID], 0))</f>
        <v>2</v>
      </c>
      <c r="AV275" s="220">
        <f>IF(tblPiNAnalysis[[#This Row],[Severidad]]&gt;2,tblPiNAnalysis[[#This Row],[PiN más alto]],)</f>
        <v>0</v>
      </c>
      <c r="AW275" s="54"/>
      <c r="AX275" s="55"/>
      <c r="AY275" s="56">
        <f>COUNTIFS(tblPiNAnalysis[[#This Row],[Número de PiN ausentes/cero superior al umbral - Calidad de los datos]:[Marcador manual]],"Flagged")</f>
        <v>4</v>
      </c>
      <c r="AZ275" s="34" t="str">
        <f>IF(tblPiNAnalysis[[#This Row],[Número de marcadores]]&gt;0, "Flagged", "")</f>
        <v>Flagged</v>
      </c>
      <c r="BA275" s="92">
        <f>tblPiNAnalysis[[#This Row],[PiN preliminar]]</f>
        <v>0</v>
      </c>
      <c r="BB275" s="97"/>
      <c r="BC275" s="70">
        <f>IFERROR(IF(tblPiNAnalysis[[#This Row],[Severidad]]=3,tblPiNAnalysis[[#This Row],[PiN final]]*Umbrales!$D$33,tblPiNAnalysis[[#This Row],[PiN final]]*Umbrales!$D$34),)</f>
        <v>0</v>
      </c>
      <c r="BD275" s="70">
        <f>IFERROR(IF(tblPiNAnalysis[[#This Row],[Severidad]]&gt;3,tblPiNAnalysis[[#This Row],[PiN final]]*Umbrales!$D$34,),)</f>
        <v>0</v>
      </c>
    </row>
    <row r="276" spans="1:56">
      <c r="A276" s="101" t="str">
        <f>IFERROR(_xlfn.CONCAT(IF(tblPiNAnalysis[[#This Row],[Grupo]]="", "",tblPiNAnalysis[[#This Row],[Grupo]] ),  _xlfn.IFS(tblPiNAnalysis[[#This Row],[Admin2PCODE]]&lt;&gt;"", tblPiNAnalysis[[#This Row],[Admin2PCODE]], tblPiNAnalysis[[#This Row],[Admin1PCODE]]&lt;&gt;"", tblPiNAnalysis[[#This Row],[Admin1PCODE]])),"")</f>
        <v>VenezolanosVE1404</v>
      </c>
      <c r="B276" s="105" t="s">
        <v>411</v>
      </c>
      <c r="C276" s="104" t="s">
        <v>412</v>
      </c>
      <c r="D276" s="119" t="s">
        <v>419</v>
      </c>
      <c r="E276" s="104" t="s">
        <v>420</v>
      </c>
      <c r="F276" s="358"/>
      <c r="G276" s="357">
        <v>4335</v>
      </c>
      <c r="H276" s="103" t="s">
        <v>102</v>
      </c>
      <c r="I276" s="60">
        <v>733</v>
      </c>
      <c r="J276" s="134">
        <v>189.82809688826026</v>
      </c>
      <c r="K276" s="57">
        <v>3500</v>
      </c>
      <c r="L276" s="87">
        <v>445.31725736203504</v>
      </c>
      <c r="M276" s="87">
        <v>435.07605665220876</v>
      </c>
      <c r="N276" s="57">
        <v>0</v>
      </c>
      <c r="O276" s="57">
        <v>139.659414185359</v>
      </c>
      <c r="P276" s="57">
        <v>152.27661982827306</v>
      </c>
      <c r="Q276" s="88">
        <f>IFERROR(IF(tblPiNAnalysis[[#This Row],[SAMV]]="", "", MROUND(tblPiNAnalysis[[#This Row],[SAMV]]/tblPiNAnalysis[[#This Row],[Población]], 0.05)), "")</f>
        <v>0.15000000000000002</v>
      </c>
      <c r="R276" s="89">
        <f>IFERROR(IF(tblPiNAnalysis[[#This Row],[NUT]]="", "", MROUND(tblPiNAnalysis[[#This Row],[NUT]]/tblPiNAnalysis[[#This Row],[Población]], 0.05)), "")</f>
        <v>0.05</v>
      </c>
      <c r="S276" s="89">
        <f>IFERROR(IF(tblPiNAnalysis[[#This Row],[SAL]]="", "", MROUND(tblPiNAnalysis[[#This Row],[SAL]]/tblPiNAnalysis[[#This Row],[Población]], 0.05)), "")</f>
        <v>0.8</v>
      </c>
      <c r="T276" s="89">
        <f>IFERROR(IF(tblPiNAnalysis[[#This Row],[EDU]]="", "", MROUND(tblPiNAnalysis[[#This Row],[EDU]]/tblPiNAnalysis[[#This Row],[Población]], 0.05)), "")</f>
        <v>0.1</v>
      </c>
      <c r="U276" s="89">
        <f>IFERROR(IF(tblPiNAnalysis[[#This Row],[PRO]]="", "", MROUND(tblPiNAnalysis[[#This Row],[PRO]]/tblPiNAnalysis[[#This Row],[Población]], 0.05)), "")</f>
        <v>0.1</v>
      </c>
      <c r="V276" s="90">
        <f>IFERROR(IF(tblPiNAnalysis[[#This Row],[ASH]]="", "", MROUND(tblPiNAnalysis[[#This Row],[ASH]]/tblPiNAnalysis[[#This Row],[Población]], 0.05)), "")</f>
        <v>0</v>
      </c>
      <c r="W276" s="89">
        <f>IFERROR(MROUND(tblPiNAnalysis[[#This Row],[NNA]]/tblPiNAnalysis[[#This Row],[Población]], 0.05), "")</f>
        <v>0.05</v>
      </c>
      <c r="X276" s="89">
        <f>IFERROR(MROUND(tblPiNAnalysis[[#This Row],[VBG]]/tblPiNAnalysis[[#This Row],[Población]], 0.05), "")</f>
        <v>0.05</v>
      </c>
      <c r="Y276" s="91">
        <f>IFERROR(LARGE(tblPiNAnalysis[[#This Row],[SAMV]:[ASH]], 1), "")</f>
        <v>3500</v>
      </c>
      <c r="Z276" s="92" t="str" cm="1">
        <f t="array" ref="Z276">IF(tblPiNAnalysis[[#This Row],[PiN más alto]]="", "", _xlfn.TEXTJOIN(CHAR(10), TRUE, IF(tblPiNAnalysis[[#This Row],[PiN más alto]]=tblPiNAnalysis[[#This Row],[SAMV]:[ASH]], tblPiNAnalysis[[#Headers],[SAMV]:[ASH]], "")))</f>
        <v>SAL</v>
      </c>
      <c r="AA276" s="93">
        <f>IF(tblPiNAnalysis[[#This Row],[PiN más alto]]="", "", tblPiNAnalysis[[#This Row],[PiN más alto]]/tblPiNAnalysis[[#This Row],[Población]])</f>
        <v>0.8073817762399077</v>
      </c>
      <c r="AB276" s="94" t="str">
        <f>IF(SUM(tblPiNAnalysis[[#This Row],[SAMV]:[ASH]])=0, "",IF(COUNTIF(tblPiNAnalysis[[#This Row],[SAMV]:[ASH]],"=0")+COUNTIF(tblPiNAnalysis[[#This Row],[SAMV]:[ASH]],"")&gt;=zero_pin_thresh, "Flagged", ""))</f>
        <v/>
      </c>
      <c r="AC276" s="95" t="str">
        <f>IFERROR(IF(tblPiNAnalysis[[#This Row],[PiN más alto]]="", "", IF(tblPiNAnalysis[[#This Row],[% PiN Sectores más altos]]&gt;=flag_pin_perc, "Flagged", "")), "")</f>
        <v/>
      </c>
      <c r="AD276" s="96" t="str" cm="1">
        <f t="array" ref="AD276">IF(tblPiNAnalysis[[#This Row],[PiN más alto]]=0, "",  IF(OR(COUNTIF(tblPiNAnalysis[[#This Row],[Sectores más altos]],tblSubSectorPopulation[Sector])), "Flagged", ""))</f>
        <v/>
      </c>
      <c r="AE276" s="16" cm="1">
        <f t="array" ref="AE27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733</v>
      </c>
      <c r="AF276" s="97" t="str" cm="1">
        <f t="array" ref="AF276">IF(tblPiNAnalysis[[#This Row],[2º PiN más alto]]="", "", _xlfn.TEXTJOIN(CHAR(10), TRUE, IF(tblPiNAnalysis[[#This Row],[2º PiN más alto]]=tblPiNAnalysis[[#This Row],[SAMV]:[ASH]], tblPiNAnalysis[[#Headers],[SAMV]:[ASH]], "")))</f>
        <v>SAMV</v>
      </c>
      <c r="AG276" s="12">
        <f>IFERROR(tblPiNAnalysis[[#This Row],[2º PiN más alto]]/tblPiNAnalysis[[#This Row],[Población]], "")</f>
        <v>0.16908881199538639</v>
      </c>
      <c r="AH276" s="16">
        <f>IFERROR(tblPiNAnalysis[[#This Row],[PiN más alto]]-tblPiNAnalysis[[#This Row],[2º PiN más alto]], "")</f>
        <v>2767</v>
      </c>
      <c r="AI276" s="14">
        <f>IFERROR(((tblPiNAnalysis[[#This Row],[PiN más alto]]-tblPiNAnalysis[[#This Row],[2º PiN más alto]])/tblPiNAnalysis[[#This Row],[2º PiN más alto]]),"")</f>
        <v>3.7748976807639836</v>
      </c>
      <c r="AJ276" s="14" t="str" cm="1">
        <f t="array" ref="AJ27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76" s="98" cm="1">
        <f t="array" ref="AK27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445.31725736203504</v>
      </c>
      <c r="AL276" s="53" t="str" cm="1">
        <f t="array" ref="AL276">IF(tblPiNAnalysis[[#This Row],[3º PiN más alto]]="", "", _xlfn.TEXTJOIN(CHAR(10), TRUE, IF(tblPiNAnalysis[[#This Row],[3º PiN más alto]]=tblPiNAnalysis[[#This Row],[SAMV]:[ASH]], tblPiNAnalysis[[#Headers],[SAMV]:[ASH]], "")))</f>
        <v>EDU</v>
      </c>
      <c r="AM276" s="53">
        <f>IFERROR(tblPiNAnalysis[[#This Row],[3º PiN más alto]]/tblPiNAnalysis[[#This Row],[Población]], "")</f>
        <v>0.10272601092549828</v>
      </c>
      <c r="AN276" s="15">
        <f>IFERROR(tblPiNAnalysis[[#This Row],[PiN más alto]]-tblPiNAnalysis[[#This Row],[3º PiN más alto]],"")</f>
        <v>3054.682742637965</v>
      </c>
      <c r="AO276" s="14">
        <f>IFERROR(tblPiNAnalysis[[#This Row],[Diferencia de PiN entre el más alto y el 3º más alto]]/tblPiNAnalysis[[#This Row],[3º PiN más alto]], "")</f>
        <v>6.8595651575087331</v>
      </c>
      <c r="AP276" s="96" t="str" cm="1">
        <f t="array" ref="AP27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76" s="84" cm="1">
        <f t="array" ref="AQ276">IFERROR(IF(tblPiNAnalysis[[#This Row],[ID]]="", "", INDEX(tblPiNHistorical[[SAMV]:[ASH]], MATCH(tblPiNAnalysis[[#This Row],[ID]],tblPiNHistorical[ID], 0),MATCH(_xlfn._xlws.FILTER(tblPiNAnalysis[[#Headers],[SAMV]:[ASH]], tblPiNAnalysis[[#This Row],[PiN más alto]]=tblPiNAnalysis[[#This Row],[SAMV]:[ASH]]), tblPiNHistorical[[#Headers],[SAMV]:[ASH]], 0))), "")</f>
        <v>9.5</v>
      </c>
      <c r="AR276" s="99" t="str" cm="1">
        <f t="array" ref="AR27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76" s="74" cm="1">
        <f t="array" ref="AS276">IFERROR(IF(tblPiNAnalysis[[#This Row],[ID]]="", "", INDEX(tblPiNHistorical[[SAMV]:[ASH]], MATCH(tblPiNAnalysis[[#This Row],[ID]],tblPiNHistorical[ID], 0),MATCH(_xlfn._xlws.FILTER(tblPiNAnalysis[[#Headers],[SAMV]:[ASH]], tblPiNAnalysis[[#This Row],[2º PiN más alto]]=tblPiNAnalysis[[#This Row],[SAMV]:[ASH]]), tblPiNHistorical[[#Headers],[SAMV]:[ASH]], 0))), "")</f>
        <v>8.3000000000000007</v>
      </c>
      <c r="AT276" s="100" t="str" cm="1">
        <f t="array" ref="AT27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76" s="219">
        <f>INDEX(tblSeverityAnalysis[Severidad final], MATCH(tblPiNAnalysis[[#This Row],[ID]],tblSeverityAnalysis[ID], 0))</f>
        <v>2</v>
      </c>
      <c r="AV276" s="220">
        <f>IF(tblPiNAnalysis[[#This Row],[Severidad]]&gt;2,tblPiNAnalysis[[#This Row],[PiN más alto]],)</f>
        <v>0</v>
      </c>
      <c r="AW276" s="54"/>
      <c r="AX276" s="55"/>
      <c r="AY276" s="56">
        <f>COUNTIFS(tblPiNAnalysis[[#This Row],[Número de PiN ausentes/cero superior al umbral - Calidad de los datos]:[Marcador manual]],"Flagged")</f>
        <v>4</v>
      </c>
      <c r="AZ276" s="34" t="str">
        <f>IF(tblPiNAnalysis[[#This Row],[Número de marcadores]]&gt;0, "Flagged", "")</f>
        <v>Flagged</v>
      </c>
      <c r="BA276" s="92">
        <f>tblPiNAnalysis[[#This Row],[PiN preliminar]]</f>
        <v>0</v>
      </c>
      <c r="BB276" s="97"/>
      <c r="BC276" s="70">
        <f>IFERROR(IF(tblPiNAnalysis[[#This Row],[Severidad]]=3,tblPiNAnalysis[[#This Row],[PiN final]]*Umbrales!$D$33,tblPiNAnalysis[[#This Row],[PiN final]]*Umbrales!$D$34),)</f>
        <v>0</v>
      </c>
      <c r="BD276" s="70">
        <f>IFERROR(IF(tblPiNAnalysis[[#This Row],[Severidad]]&gt;3,tblPiNAnalysis[[#This Row],[PiN final]]*Umbrales!$D$34,),)</f>
        <v>0</v>
      </c>
    </row>
    <row r="277" spans="1:56">
      <c r="A277" s="101" t="str">
        <f>IFERROR(_xlfn.CONCAT(IF(tblPiNAnalysis[[#This Row],[Grupo]]="", "",tblPiNAnalysis[[#This Row],[Grupo]] ),  _xlfn.IFS(tblPiNAnalysis[[#This Row],[Admin2PCODE]]&lt;&gt;"", tblPiNAnalysis[[#This Row],[Admin2PCODE]], tblPiNAnalysis[[#This Row],[Admin1PCODE]]&lt;&gt;"", tblPiNAnalysis[[#This Row],[Admin1PCODE]])),"")</f>
        <v>VenezolanosVE1405</v>
      </c>
      <c r="B277" s="105" t="s">
        <v>411</v>
      </c>
      <c r="C277" s="104" t="s">
        <v>412</v>
      </c>
      <c r="D277" s="119" t="s">
        <v>421</v>
      </c>
      <c r="E277" s="104" t="s">
        <v>422</v>
      </c>
      <c r="F277" s="358"/>
      <c r="G277" s="357">
        <v>13375</v>
      </c>
      <c r="H277" s="103" t="s">
        <v>102</v>
      </c>
      <c r="I277" s="60">
        <v>2260</v>
      </c>
      <c r="J277" s="134">
        <v>528.83147596117101</v>
      </c>
      <c r="K277" s="57">
        <v>8400</v>
      </c>
      <c r="L277" s="87">
        <v>1330.934324580694</v>
      </c>
      <c r="M277" s="87">
        <v>1342.3626892095244</v>
      </c>
      <c r="N277" s="57">
        <v>0</v>
      </c>
      <c r="O277" s="57">
        <v>430.89842323625732</v>
      </c>
      <c r="P277" s="57">
        <v>469.82694122333356</v>
      </c>
      <c r="Q277" s="88">
        <f>IFERROR(IF(tblPiNAnalysis[[#This Row],[SAMV]]="", "", MROUND(tblPiNAnalysis[[#This Row],[SAMV]]/tblPiNAnalysis[[#This Row],[Población]], 0.05)), "")</f>
        <v>0.15000000000000002</v>
      </c>
      <c r="R277" s="89">
        <f>IFERROR(IF(tblPiNAnalysis[[#This Row],[NUT]]="", "", MROUND(tblPiNAnalysis[[#This Row],[NUT]]/tblPiNAnalysis[[#This Row],[Población]], 0.05)), "")</f>
        <v>0.05</v>
      </c>
      <c r="S277" s="89">
        <f>IFERROR(IF(tblPiNAnalysis[[#This Row],[SAL]]="", "", MROUND(tblPiNAnalysis[[#This Row],[SAL]]/tblPiNAnalysis[[#This Row],[Población]], 0.05)), "")</f>
        <v>0.65</v>
      </c>
      <c r="T277" s="89">
        <f>IFERROR(IF(tblPiNAnalysis[[#This Row],[EDU]]="", "", MROUND(tblPiNAnalysis[[#This Row],[EDU]]/tblPiNAnalysis[[#This Row],[Población]], 0.05)), "")</f>
        <v>0.1</v>
      </c>
      <c r="U277" s="89">
        <f>IFERROR(IF(tblPiNAnalysis[[#This Row],[PRO]]="", "", MROUND(tblPiNAnalysis[[#This Row],[PRO]]/tblPiNAnalysis[[#This Row],[Población]], 0.05)), "")</f>
        <v>0.1</v>
      </c>
      <c r="V277" s="90">
        <f>IFERROR(IF(tblPiNAnalysis[[#This Row],[ASH]]="", "", MROUND(tblPiNAnalysis[[#This Row],[ASH]]/tblPiNAnalysis[[#This Row],[Población]], 0.05)), "")</f>
        <v>0</v>
      </c>
      <c r="W277" s="89">
        <f>IFERROR(MROUND(tblPiNAnalysis[[#This Row],[NNA]]/tblPiNAnalysis[[#This Row],[Población]], 0.05), "")</f>
        <v>0.05</v>
      </c>
      <c r="X277" s="89">
        <f>IFERROR(MROUND(tblPiNAnalysis[[#This Row],[VBG]]/tblPiNAnalysis[[#This Row],[Población]], 0.05), "")</f>
        <v>0.05</v>
      </c>
      <c r="Y277" s="91">
        <f>IFERROR(LARGE(tblPiNAnalysis[[#This Row],[SAMV]:[ASH]], 1), "")</f>
        <v>8400</v>
      </c>
      <c r="Z277" s="92" t="str" cm="1">
        <f t="array" ref="Z277">IF(tblPiNAnalysis[[#This Row],[PiN más alto]]="", "", _xlfn.TEXTJOIN(CHAR(10), TRUE, IF(tblPiNAnalysis[[#This Row],[PiN más alto]]=tblPiNAnalysis[[#This Row],[SAMV]:[ASH]], tblPiNAnalysis[[#Headers],[SAMV]:[ASH]], "")))</f>
        <v>SAL</v>
      </c>
      <c r="AA277" s="93">
        <f>IF(tblPiNAnalysis[[#This Row],[PiN más alto]]="", "", tblPiNAnalysis[[#This Row],[PiN más alto]]/tblPiNAnalysis[[#This Row],[Población]])</f>
        <v>0.62803738317757007</v>
      </c>
      <c r="AB277" s="94" t="str">
        <f>IF(SUM(tblPiNAnalysis[[#This Row],[SAMV]:[ASH]])=0, "",IF(COUNTIF(tblPiNAnalysis[[#This Row],[SAMV]:[ASH]],"=0")+COUNTIF(tblPiNAnalysis[[#This Row],[SAMV]:[ASH]],"")&gt;=zero_pin_thresh, "Flagged", ""))</f>
        <v/>
      </c>
      <c r="AC277" s="95" t="str">
        <f>IFERROR(IF(tblPiNAnalysis[[#This Row],[PiN más alto]]="", "", IF(tblPiNAnalysis[[#This Row],[% PiN Sectores más altos]]&gt;=flag_pin_perc, "Flagged", "")), "")</f>
        <v/>
      </c>
      <c r="AD277" s="96" t="str" cm="1">
        <f t="array" ref="AD277">IF(tblPiNAnalysis[[#This Row],[PiN más alto]]=0, "",  IF(OR(COUNTIF(tblPiNAnalysis[[#This Row],[Sectores más altos]],tblSubSectorPopulation[Sector])), "Flagged", ""))</f>
        <v/>
      </c>
      <c r="AE277" s="16" cm="1">
        <f t="array" ref="AE27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2260</v>
      </c>
      <c r="AF277" s="97" t="str" cm="1">
        <f t="array" ref="AF277">IF(tblPiNAnalysis[[#This Row],[2º PiN más alto]]="", "", _xlfn.TEXTJOIN(CHAR(10), TRUE, IF(tblPiNAnalysis[[#This Row],[2º PiN más alto]]=tblPiNAnalysis[[#This Row],[SAMV]:[ASH]], tblPiNAnalysis[[#Headers],[SAMV]:[ASH]], "")))</f>
        <v>SAMV</v>
      </c>
      <c r="AG277" s="12">
        <f>IFERROR(tblPiNAnalysis[[#This Row],[2º PiN más alto]]/tblPiNAnalysis[[#This Row],[Población]], "")</f>
        <v>0.16897196261682243</v>
      </c>
      <c r="AH277" s="16">
        <f>IFERROR(tblPiNAnalysis[[#This Row],[PiN más alto]]-tblPiNAnalysis[[#This Row],[2º PiN más alto]], "")</f>
        <v>6140</v>
      </c>
      <c r="AI277" s="14">
        <f>IFERROR(((tblPiNAnalysis[[#This Row],[PiN más alto]]-tblPiNAnalysis[[#This Row],[2º PiN más alto]])/tblPiNAnalysis[[#This Row],[2º PiN más alto]]),"")</f>
        <v>2.7168141592920354</v>
      </c>
      <c r="AJ277" s="14" t="str" cm="1">
        <f t="array" ref="AJ27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77" s="98" cm="1">
        <f t="array" ref="AK27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1342.3626892095244</v>
      </c>
      <c r="AL277" s="53" t="str" cm="1">
        <f t="array" ref="AL277">IF(tblPiNAnalysis[[#This Row],[3º PiN más alto]]="", "", _xlfn.TEXTJOIN(CHAR(10), TRUE, IF(tblPiNAnalysis[[#This Row],[3º PiN más alto]]=tblPiNAnalysis[[#This Row],[SAMV]:[ASH]], tblPiNAnalysis[[#Headers],[SAMV]:[ASH]], "")))</f>
        <v>PRO</v>
      </c>
      <c r="AM277" s="53">
        <f>IFERROR(tblPiNAnalysis[[#This Row],[3º PiN más alto]]/tblPiNAnalysis[[#This Row],[Población]], "")</f>
        <v>0.10036356554837565</v>
      </c>
      <c r="AN277" s="15">
        <f>IFERROR(tblPiNAnalysis[[#This Row],[PiN más alto]]-tblPiNAnalysis[[#This Row],[3º PiN más alto]],"")</f>
        <v>7057.6373107904756</v>
      </c>
      <c r="AO277" s="14">
        <f>IFERROR(tblPiNAnalysis[[#This Row],[Diferencia de PiN entre el más alto y el 3º más alto]]/tblPiNAnalysis[[#This Row],[3º PiN más alto]], "")</f>
        <v>5.2576232694209475</v>
      </c>
      <c r="AP277" s="96" t="str" cm="1">
        <f t="array" ref="AP27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77" s="84" cm="1">
        <f t="array" ref="AQ277">IFERROR(IF(tblPiNAnalysis[[#This Row],[ID]]="", "", INDEX(tblPiNHistorical[[SAMV]:[ASH]], MATCH(tblPiNAnalysis[[#This Row],[ID]],tblPiNHistorical[ID], 0),MATCH(_xlfn._xlws.FILTER(tblPiNAnalysis[[#Headers],[SAMV]:[ASH]], tblPiNAnalysis[[#This Row],[PiN más alto]]=tblPiNAnalysis[[#This Row],[SAMV]:[ASH]]), tblPiNHistorical[[#Headers],[SAMV]:[ASH]], 0))), "")</f>
        <v>2.4</v>
      </c>
      <c r="AR277" s="99" t="str" cm="1">
        <f t="array" ref="AR27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77" s="74" cm="1">
        <f t="array" ref="AS277">IFERROR(IF(tblPiNAnalysis[[#This Row],[ID]]="", "", INDEX(tblPiNHistorical[[SAMV]:[ASH]], MATCH(tblPiNAnalysis[[#This Row],[ID]],tblPiNHistorical[ID], 0),MATCH(_xlfn._xlws.FILTER(tblPiNAnalysis[[#Headers],[SAMV]:[ASH]], tblPiNAnalysis[[#This Row],[2º PiN más alto]]=tblPiNAnalysis[[#This Row],[SAMV]:[ASH]]), tblPiNHistorical[[#Headers],[SAMV]:[ASH]], 0))), "")</f>
        <v>2.4</v>
      </c>
      <c r="AT277" s="100" t="str" cm="1">
        <f t="array" ref="AT27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77" s="219">
        <f>INDEX(tblSeverityAnalysis[Severidad final], MATCH(tblPiNAnalysis[[#This Row],[ID]],tblSeverityAnalysis[ID], 0))</f>
        <v>2</v>
      </c>
      <c r="AV277" s="220">
        <f>IF(tblPiNAnalysis[[#This Row],[Severidad]]&gt;2,tblPiNAnalysis[[#This Row],[PiN más alto]],)</f>
        <v>0</v>
      </c>
      <c r="AW277" s="54"/>
      <c r="AX277" s="55"/>
      <c r="AY277" s="56">
        <f>COUNTIFS(tblPiNAnalysis[[#This Row],[Número de PiN ausentes/cero superior al umbral - Calidad de los datos]:[Marcador manual]],"Flagged")</f>
        <v>4</v>
      </c>
      <c r="AZ277" s="34" t="str">
        <f>IF(tblPiNAnalysis[[#This Row],[Número de marcadores]]&gt;0, "Flagged", "")</f>
        <v>Flagged</v>
      </c>
      <c r="BA277" s="92">
        <f>tblPiNAnalysis[[#This Row],[PiN preliminar]]</f>
        <v>0</v>
      </c>
      <c r="BB277" s="97"/>
      <c r="BC277" s="70">
        <f>IFERROR(IF(tblPiNAnalysis[[#This Row],[Severidad]]=3,tblPiNAnalysis[[#This Row],[PiN final]]*Umbrales!$D$33,tblPiNAnalysis[[#This Row],[PiN final]]*Umbrales!$D$34),)</f>
        <v>0</v>
      </c>
      <c r="BD277" s="70">
        <f>IFERROR(IF(tblPiNAnalysis[[#This Row],[Severidad]]&gt;3,tblPiNAnalysis[[#This Row],[PiN final]]*Umbrales!$D$34,),)</f>
        <v>0</v>
      </c>
    </row>
    <row r="278" spans="1:56">
      <c r="A278" s="101" t="str">
        <f>IFERROR(_xlfn.CONCAT(IF(tblPiNAnalysis[[#This Row],[Grupo]]="", "",tblPiNAnalysis[[#This Row],[Grupo]] ),  _xlfn.IFS(tblPiNAnalysis[[#This Row],[Admin2PCODE]]&lt;&gt;"", tblPiNAnalysis[[#This Row],[Admin2PCODE]], tblPiNAnalysis[[#This Row],[Admin1PCODE]]&lt;&gt;"", tblPiNAnalysis[[#This Row],[Admin1PCODE]])),"")</f>
        <v>VenezolanosVE1406</v>
      </c>
      <c r="B278" s="105" t="s">
        <v>411</v>
      </c>
      <c r="C278" s="104" t="s">
        <v>412</v>
      </c>
      <c r="D278" s="119" t="s">
        <v>423</v>
      </c>
      <c r="E278" s="104" t="s">
        <v>424</v>
      </c>
      <c r="F278" s="358"/>
      <c r="G278" s="357">
        <v>102133</v>
      </c>
      <c r="H278" s="103" t="s">
        <v>102</v>
      </c>
      <c r="I278" s="60">
        <v>4642</v>
      </c>
      <c r="J278" s="134">
        <v>2466.1111424030519</v>
      </c>
      <c r="K278" s="57">
        <v>37278.544999999998</v>
      </c>
      <c r="L278" s="87">
        <v>13344.091291575234</v>
      </c>
      <c r="M278" s="87">
        <v>17084.053400253753</v>
      </c>
      <c r="N278" s="57">
        <v>0</v>
      </c>
      <c r="O278" s="57">
        <v>5483.9811414814549</v>
      </c>
      <c r="P278" s="57">
        <v>5979.4186900888135</v>
      </c>
      <c r="Q278" s="88">
        <f>IFERROR(IF(tblPiNAnalysis[[#This Row],[SAMV]]="", "", MROUND(tblPiNAnalysis[[#This Row],[SAMV]]/tblPiNAnalysis[[#This Row],[Población]], 0.05)), "")</f>
        <v>0.05</v>
      </c>
      <c r="R278" s="89">
        <f>IFERROR(IF(tblPiNAnalysis[[#This Row],[NUT]]="", "", MROUND(tblPiNAnalysis[[#This Row],[NUT]]/tblPiNAnalysis[[#This Row],[Población]], 0.05)), "")</f>
        <v>0</v>
      </c>
      <c r="S278" s="89">
        <f>IFERROR(IF(tblPiNAnalysis[[#This Row],[SAL]]="", "", MROUND(tblPiNAnalysis[[#This Row],[SAL]]/tblPiNAnalysis[[#This Row],[Población]], 0.05)), "")</f>
        <v>0.35000000000000003</v>
      </c>
      <c r="T278" s="89">
        <f>IFERROR(IF(tblPiNAnalysis[[#This Row],[EDU]]="", "", MROUND(tblPiNAnalysis[[#This Row],[EDU]]/tblPiNAnalysis[[#This Row],[Población]], 0.05)), "")</f>
        <v>0.15000000000000002</v>
      </c>
      <c r="U278" s="89">
        <f>IFERROR(IF(tblPiNAnalysis[[#This Row],[PRO]]="", "", MROUND(tblPiNAnalysis[[#This Row],[PRO]]/tblPiNAnalysis[[#This Row],[Población]], 0.05)), "")</f>
        <v>0.15000000000000002</v>
      </c>
      <c r="V278" s="90">
        <f>IFERROR(IF(tblPiNAnalysis[[#This Row],[ASH]]="", "", MROUND(tblPiNAnalysis[[#This Row],[ASH]]/tblPiNAnalysis[[#This Row],[Población]], 0.05)), "")</f>
        <v>0</v>
      </c>
      <c r="W278" s="89">
        <f>IFERROR(MROUND(tblPiNAnalysis[[#This Row],[NNA]]/tblPiNAnalysis[[#This Row],[Población]], 0.05), "")</f>
        <v>0.05</v>
      </c>
      <c r="X278" s="89">
        <f>IFERROR(MROUND(tblPiNAnalysis[[#This Row],[VBG]]/tblPiNAnalysis[[#This Row],[Población]], 0.05), "")</f>
        <v>0.05</v>
      </c>
      <c r="Y278" s="91">
        <f>IFERROR(LARGE(tblPiNAnalysis[[#This Row],[SAMV]:[ASH]], 1), "")</f>
        <v>37278.544999999998</v>
      </c>
      <c r="Z278" s="92" t="str" cm="1">
        <f t="array" ref="Z278">IF(tblPiNAnalysis[[#This Row],[PiN más alto]]="", "", _xlfn.TEXTJOIN(CHAR(10), TRUE, IF(tblPiNAnalysis[[#This Row],[PiN más alto]]=tblPiNAnalysis[[#This Row],[SAMV]:[ASH]], tblPiNAnalysis[[#Headers],[SAMV]:[ASH]], "")))</f>
        <v>SAL</v>
      </c>
      <c r="AA278" s="93">
        <f>IF(tblPiNAnalysis[[#This Row],[PiN más alto]]="", "", tblPiNAnalysis[[#This Row],[PiN más alto]]/tblPiNAnalysis[[#This Row],[Población]])</f>
        <v>0.36499999999999999</v>
      </c>
      <c r="AB278" s="94" t="str">
        <f>IF(SUM(tblPiNAnalysis[[#This Row],[SAMV]:[ASH]])=0, "",IF(COUNTIF(tblPiNAnalysis[[#This Row],[SAMV]:[ASH]],"=0")+COUNTIF(tblPiNAnalysis[[#This Row],[SAMV]:[ASH]],"")&gt;=zero_pin_thresh, "Flagged", ""))</f>
        <v/>
      </c>
      <c r="AC278" s="95" t="str">
        <f>IFERROR(IF(tblPiNAnalysis[[#This Row],[PiN más alto]]="", "", IF(tblPiNAnalysis[[#This Row],[% PiN Sectores más altos]]&gt;=flag_pin_perc, "Flagged", "")), "")</f>
        <v/>
      </c>
      <c r="AD278" s="96" t="str" cm="1">
        <f t="array" ref="AD278">IF(tblPiNAnalysis[[#This Row],[PiN más alto]]=0, "",  IF(OR(COUNTIF(tblPiNAnalysis[[#This Row],[Sectores más altos]],tblSubSectorPopulation[Sector])), "Flagged", ""))</f>
        <v/>
      </c>
      <c r="AE278" s="16" cm="1">
        <f t="array" ref="AE27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17084.053400253753</v>
      </c>
      <c r="AF278" s="97" t="str" cm="1">
        <f t="array" ref="AF278">IF(tblPiNAnalysis[[#This Row],[2º PiN más alto]]="", "", _xlfn.TEXTJOIN(CHAR(10), TRUE, IF(tblPiNAnalysis[[#This Row],[2º PiN más alto]]=tblPiNAnalysis[[#This Row],[SAMV]:[ASH]], tblPiNAnalysis[[#Headers],[SAMV]:[ASH]], "")))</f>
        <v>PRO</v>
      </c>
      <c r="AG278" s="12">
        <f>IFERROR(tblPiNAnalysis[[#This Row],[2º PiN más alto]]/tblPiNAnalysis[[#This Row],[Población]], "")</f>
        <v>0.16727260924729279</v>
      </c>
      <c r="AH278" s="16">
        <f>IFERROR(tblPiNAnalysis[[#This Row],[PiN más alto]]-tblPiNAnalysis[[#This Row],[2º PiN más alto]], "")</f>
        <v>20194.491599746245</v>
      </c>
      <c r="AI278" s="14">
        <f>IFERROR(((tblPiNAnalysis[[#This Row],[PiN más alto]]-tblPiNAnalysis[[#This Row],[2º PiN más alto]])/tblPiNAnalysis[[#This Row],[2º PiN más alto]]),"")</f>
        <v>1.1820667570288848</v>
      </c>
      <c r="AJ278" s="14" t="str" cm="1">
        <f t="array" ref="AJ27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78" s="98" cm="1">
        <f t="array" ref="AK27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13344.091291575234</v>
      </c>
      <c r="AL278" s="53" t="str" cm="1">
        <f t="array" ref="AL278">IF(tblPiNAnalysis[[#This Row],[3º PiN más alto]]="", "", _xlfn.TEXTJOIN(CHAR(10), TRUE, IF(tblPiNAnalysis[[#This Row],[3º PiN más alto]]=tblPiNAnalysis[[#This Row],[SAMV]:[ASH]], tblPiNAnalysis[[#Headers],[SAMV]:[ASH]], "")))</f>
        <v>EDU</v>
      </c>
      <c r="AM278" s="53">
        <f>IFERROR(tblPiNAnalysis[[#This Row],[3º PiN más alto]]/tblPiNAnalysis[[#This Row],[Población]], "")</f>
        <v>0.13065406177802702</v>
      </c>
      <c r="AN278" s="15">
        <f>IFERROR(tblPiNAnalysis[[#This Row],[PiN más alto]]-tblPiNAnalysis[[#This Row],[3º PiN más alto]],"")</f>
        <v>23934.453708424764</v>
      </c>
      <c r="AO278" s="14">
        <f>IFERROR(tblPiNAnalysis[[#This Row],[Diferencia de PiN entre el más alto y el 3º más alto]]/tblPiNAnalysis[[#This Row],[3º PiN más alto]], "")</f>
        <v>1.7936368378666394</v>
      </c>
      <c r="AP278" s="96" t="str" cm="1">
        <f t="array" ref="AP27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78" s="84" cm="1">
        <f t="array" ref="AQ278">IFERROR(IF(tblPiNAnalysis[[#This Row],[ID]]="", "", INDEX(tblPiNHistorical[[SAMV]:[ASH]], MATCH(tblPiNAnalysis[[#This Row],[ID]],tblPiNHistorical[ID], 0),MATCH(_xlfn._xlws.FILTER(tblPiNAnalysis[[#Headers],[SAMV]:[ASH]], tblPiNAnalysis[[#This Row],[PiN más alto]]=tblPiNAnalysis[[#This Row],[SAMV]:[ASH]]), tblPiNHistorical[[#Headers],[SAMV]:[ASH]], 0))), "")</f>
        <v>-0.6</v>
      </c>
      <c r="AR278" s="99" t="str" cm="1">
        <f t="array" ref="AR27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78" s="74" cm="1">
        <f t="array" ref="AS278">IFERROR(IF(tblPiNAnalysis[[#This Row],[ID]]="", "", INDEX(tblPiNHistorical[[SAMV]:[ASH]], MATCH(tblPiNAnalysis[[#This Row],[ID]],tblPiNHistorical[ID], 0),MATCH(_xlfn._xlws.FILTER(tblPiNAnalysis[[#Headers],[SAMV]:[ASH]], tblPiNAnalysis[[#This Row],[2º PiN más alto]]=tblPiNAnalysis[[#This Row],[SAMV]:[ASH]]), tblPiNHistorical[[#Headers],[SAMV]:[ASH]], 0))), "")</f>
        <v>-0.4</v>
      </c>
      <c r="AT278" s="100" t="str" cm="1">
        <f t="array" ref="AT27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78" s="219">
        <f>INDEX(tblSeverityAnalysis[Severidad final], MATCH(tblPiNAnalysis[[#This Row],[ID]],tblSeverityAnalysis[ID], 0))</f>
        <v>2</v>
      </c>
      <c r="AV278" s="220">
        <f>IF(tblPiNAnalysis[[#This Row],[Severidad]]&gt;2,tblPiNAnalysis[[#This Row],[PiN más alto]],)</f>
        <v>0</v>
      </c>
      <c r="AW278" s="54"/>
      <c r="AX278" s="55"/>
      <c r="AY278" s="56">
        <f>COUNTIFS(tblPiNAnalysis[[#This Row],[Número de PiN ausentes/cero superior al umbral - Calidad de los datos]:[Marcador manual]],"Flagged")</f>
        <v>2</v>
      </c>
      <c r="AZ278" s="34" t="str">
        <f>IF(tblPiNAnalysis[[#This Row],[Número de marcadores]]&gt;0, "Flagged", "")</f>
        <v>Flagged</v>
      </c>
      <c r="BA278" s="92">
        <f>tblPiNAnalysis[[#This Row],[PiN preliminar]]</f>
        <v>0</v>
      </c>
      <c r="BB278" s="97"/>
      <c r="BC278" s="70">
        <f>IFERROR(IF(tblPiNAnalysis[[#This Row],[Severidad]]=3,tblPiNAnalysis[[#This Row],[PiN final]]*Umbrales!$D$33,tblPiNAnalysis[[#This Row],[PiN final]]*Umbrales!$D$34),)</f>
        <v>0</v>
      </c>
      <c r="BD278" s="70">
        <f>IFERROR(IF(tblPiNAnalysis[[#This Row],[Severidad]]&gt;3,tblPiNAnalysis[[#This Row],[PiN final]]*Umbrales!$D$34,),)</f>
        <v>0</v>
      </c>
    </row>
    <row r="279" spans="1:56">
      <c r="A279" s="101" t="str">
        <f>IFERROR(_xlfn.CONCAT(IF(tblPiNAnalysis[[#This Row],[Grupo]]="", "",tblPiNAnalysis[[#This Row],[Grupo]] ),  _xlfn.IFS(tblPiNAnalysis[[#This Row],[Admin2PCODE]]&lt;&gt;"", tblPiNAnalysis[[#This Row],[Admin2PCODE]], tblPiNAnalysis[[#This Row],[Admin1PCODE]]&lt;&gt;"", tblPiNAnalysis[[#This Row],[Admin1PCODE]])),"")</f>
        <v>VenezolanosVE1407</v>
      </c>
      <c r="B279" s="105" t="s">
        <v>411</v>
      </c>
      <c r="C279" s="104" t="s">
        <v>412</v>
      </c>
      <c r="D279" s="119" t="s">
        <v>425</v>
      </c>
      <c r="E279" s="104" t="s">
        <v>426</v>
      </c>
      <c r="F279" s="358"/>
      <c r="G279" s="357">
        <v>28255</v>
      </c>
      <c r="H279" s="103" t="s">
        <v>102</v>
      </c>
      <c r="I279" s="60">
        <v>4775</v>
      </c>
      <c r="J279" s="134">
        <v>945.87224101947027</v>
      </c>
      <c r="K279" s="57">
        <v>15789.714285714284</v>
      </c>
      <c r="L279" s="87">
        <v>1981.1064038764769</v>
      </c>
      <c r="M279" s="87">
        <v>2835.772544569355</v>
      </c>
      <c r="N279" s="57">
        <v>0</v>
      </c>
      <c r="O279" s="57">
        <v>907.4472142621936</v>
      </c>
      <c r="P279" s="57">
        <v>992.52039059927426</v>
      </c>
      <c r="Q279" s="88">
        <f>IFERROR(IF(tblPiNAnalysis[[#This Row],[SAMV]]="", "", MROUND(tblPiNAnalysis[[#This Row],[SAMV]]/tblPiNAnalysis[[#This Row],[Población]], 0.05)), "")</f>
        <v>0.15000000000000002</v>
      </c>
      <c r="R279" s="89">
        <f>IFERROR(IF(tblPiNAnalysis[[#This Row],[NUT]]="", "", MROUND(tblPiNAnalysis[[#This Row],[NUT]]/tblPiNAnalysis[[#This Row],[Población]], 0.05)), "")</f>
        <v>0.05</v>
      </c>
      <c r="S279" s="89">
        <f>IFERROR(IF(tblPiNAnalysis[[#This Row],[SAL]]="", "", MROUND(tblPiNAnalysis[[#This Row],[SAL]]/tblPiNAnalysis[[#This Row],[Población]], 0.05)), "")</f>
        <v>0.55000000000000004</v>
      </c>
      <c r="T279" s="89">
        <f>IFERROR(IF(tblPiNAnalysis[[#This Row],[EDU]]="", "", MROUND(tblPiNAnalysis[[#This Row],[EDU]]/tblPiNAnalysis[[#This Row],[Población]], 0.05)), "")</f>
        <v>0.05</v>
      </c>
      <c r="U279" s="89">
        <f>IFERROR(IF(tblPiNAnalysis[[#This Row],[PRO]]="", "", MROUND(tblPiNAnalysis[[#This Row],[PRO]]/tblPiNAnalysis[[#This Row],[Población]], 0.05)), "")</f>
        <v>0.1</v>
      </c>
      <c r="V279" s="90">
        <f>IFERROR(IF(tblPiNAnalysis[[#This Row],[ASH]]="", "", MROUND(tblPiNAnalysis[[#This Row],[ASH]]/tblPiNAnalysis[[#This Row],[Población]], 0.05)), "")</f>
        <v>0</v>
      </c>
      <c r="W279" s="89">
        <f>IFERROR(MROUND(tblPiNAnalysis[[#This Row],[NNA]]/tblPiNAnalysis[[#This Row],[Población]], 0.05), "")</f>
        <v>0.05</v>
      </c>
      <c r="X279" s="89">
        <f>IFERROR(MROUND(tblPiNAnalysis[[#This Row],[VBG]]/tblPiNAnalysis[[#This Row],[Población]], 0.05), "")</f>
        <v>0.05</v>
      </c>
      <c r="Y279" s="91">
        <f>IFERROR(LARGE(tblPiNAnalysis[[#This Row],[SAMV]:[ASH]], 1), "")</f>
        <v>15789.714285714284</v>
      </c>
      <c r="Z279" s="92" t="str" cm="1">
        <f t="array" ref="Z279">IF(tblPiNAnalysis[[#This Row],[PiN más alto]]="", "", _xlfn.TEXTJOIN(CHAR(10), TRUE, IF(tblPiNAnalysis[[#This Row],[PiN más alto]]=tblPiNAnalysis[[#This Row],[SAMV]:[ASH]], tblPiNAnalysis[[#Headers],[SAMV]:[ASH]], "")))</f>
        <v>SAL</v>
      </c>
      <c r="AA279" s="93">
        <f>IF(tblPiNAnalysis[[#This Row],[PiN más alto]]="", "", tblPiNAnalysis[[#This Row],[PiN más alto]]/tblPiNAnalysis[[#This Row],[Población]])</f>
        <v>0.55882903152412966</v>
      </c>
      <c r="AB279" s="94" t="str">
        <f>IF(SUM(tblPiNAnalysis[[#This Row],[SAMV]:[ASH]])=0, "",IF(COUNTIF(tblPiNAnalysis[[#This Row],[SAMV]:[ASH]],"=0")+COUNTIF(tblPiNAnalysis[[#This Row],[SAMV]:[ASH]],"")&gt;=zero_pin_thresh, "Flagged", ""))</f>
        <v/>
      </c>
      <c r="AC279" s="95" t="str">
        <f>IFERROR(IF(tblPiNAnalysis[[#This Row],[PiN más alto]]="", "", IF(tblPiNAnalysis[[#This Row],[% PiN Sectores más altos]]&gt;=flag_pin_perc, "Flagged", "")), "")</f>
        <v/>
      </c>
      <c r="AD279" s="96" t="str" cm="1">
        <f t="array" ref="AD279">IF(tblPiNAnalysis[[#This Row],[PiN más alto]]=0, "",  IF(OR(COUNTIF(tblPiNAnalysis[[#This Row],[Sectores más altos]],tblSubSectorPopulation[Sector])), "Flagged", ""))</f>
        <v/>
      </c>
      <c r="AE279" s="16" cm="1">
        <f t="array" ref="AE27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4775</v>
      </c>
      <c r="AF279" s="97" t="str" cm="1">
        <f t="array" ref="AF279">IF(tblPiNAnalysis[[#This Row],[2º PiN más alto]]="", "", _xlfn.TEXTJOIN(CHAR(10), TRUE, IF(tblPiNAnalysis[[#This Row],[2º PiN más alto]]=tblPiNAnalysis[[#This Row],[SAMV]:[ASH]], tblPiNAnalysis[[#Headers],[SAMV]:[ASH]], "")))</f>
        <v>SAMV</v>
      </c>
      <c r="AG279" s="12">
        <f>IFERROR(tblPiNAnalysis[[#This Row],[2º PiN más alto]]/tblPiNAnalysis[[#This Row],[Población]], "")</f>
        <v>0.16899663776322774</v>
      </c>
      <c r="AH279" s="16">
        <f>IFERROR(tblPiNAnalysis[[#This Row],[PiN más alto]]-tblPiNAnalysis[[#This Row],[2º PiN más alto]], "")</f>
        <v>11014.714285714284</v>
      </c>
      <c r="AI279" s="14">
        <f>IFERROR(((tblPiNAnalysis[[#This Row],[PiN más alto]]-tblPiNAnalysis[[#This Row],[2º PiN más alto]])/tblPiNAnalysis[[#This Row],[2º PiN más alto]]),"")</f>
        <v>2.3067464472700072</v>
      </c>
      <c r="AJ279" s="14" t="str" cm="1">
        <f t="array" ref="AJ27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79" s="98" cm="1">
        <f t="array" ref="AK27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2835.772544569355</v>
      </c>
      <c r="AL279" s="53" t="str" cm="1">
        <f t="array" ref="AL279">IF(tblPiNAnalysis[[#This Row],[3º PiN más alto]]="", "", _xlfn.TEXTJOIN(CHAR(10), TRUE, IF(tblPiNAnalysis[[#This Row],[3º PiN más alto]]=tblPiNAnalysis[[#This Row],[SAMV]:[ASH]], tblPiNAnalysis[[#Headers],[SAMV]:[ASH]], "")))</f>
        <v>PRO</v>
      </c>
      <c r="AM279" s="53">
        <f>IFERROR(tblPiNAnalysis[[#This Row],[3º PiN más alto]]/tblPiNAnalysis[[#This Row],[Población]], "")</f>
        <v>0.10036356554837568</v>
      </c>
      <c r="AN279" s="15">
        <f>IFERROR(tblPiNAnalysis[[#This Row],[PiN más alto]]-tblPiNAnalysis[[#This Row],[3º PiN más alto]],"")</f>
        <v>12953.941741144929</v>
      </c>
      <c r="AO279" s="14">
        <f>IFERROR(tblPiNAnalysis[[#This Row],[Diferencia de PiN entre el más alto y el 3º más alto]]/tblPiNAnalysis[[#This Row],[3º PiN más alto]], "")</f>
        <v>4.5680468153034237</v>
      </c>
      <c r="AP279" s="96" t="str" cm="1">
        <f t="array" ref="AP27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79" s="84" cm="1">
        <f t="array" ref="AQ279">IFERROR(IF(tblPiNAnalysis[[#This Row],[ID]]="", "", INDEX(tblPiNHistorical[[SAMV]:[ASH]], MATCH(tblPiNAnalysis[[#This Row],[ID]],tblPiNHistorical[ID], 0),MATCH(_xlfn._xlws.FILTER(tblPiNAnalysis[[#Headers],[SAMV]:[ASH]], tblPiNAnalysis[[#This Row],[PiN más alto]]=tblPiNAnalysis[[#This Row],[SAMV]:[ASH]]), tblPiNHistorical[[#Headers],[SAMV]:[ASH]], 0))), "")</f>
        <v>0.6</v>
      </c>
      <c r="AR279" s="99" t="str" cm="1">
        <f t="array" ref="AR27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79" s="74" cm="1">
        <f t="array" ref="AS279">IFERROR(IF(tblPiNAnalysis[[#This Row],[ID]]="", "", INDEX(tblPiNHistorical[[SAMV]:[ASH]], MATCH(tblPiNAnalysis[[#This Row],[ID]],tblPiNHistorical[ID], 0),MATCH(_xlfn._xlws.FILTER(tblPiNAnalysis[[#Headers],[SAMV]:[ASH]], tblPiNAnalysis[[#This Row],[2º PiN más alto]]=tblPiNAnalysis[[#This Row],[SAMV]:[ASH]]), tblPiNHistorical[[#Headers],[SAMV]:[ASH]], 0))), "")</f>
        <v>-0.5</v>
      </c>
      <c r="AT279" s="100" t="str" cm="1">
        <f t="array" ref="AT27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79" s="219">
        <f>INDEX(tblSeverityAnalysis[Severidad final], MATCH(tblPiNAnalysis[[#This Row],[ID]],tblSeverityAnalysis[ID], 0))</f>
        <v>2</v>
      </c>
      <c r="AV279" s="220">
        <f>IF(tblPiNAnalysis[[#This Row],[Severidad]]&gt;2,tblPiNAnalysis[[#This Row],[PiN más alto]],)</f>
        <v>0</v>
      </c>
      <c r="AW279" s="54"/>
      <c r="AX279" s="55"/>
      <c r="AY279" s="56">
        <f>COUNTIFS(tblPiNAnalysis[[#This Row],[Número de PiN ausentes/cero superior al umbral - Calidad de los datos]:[Marcador manual]],"Flagged")</f>
        <v>2</v>
      </c>
      <c r="AZ279" s="34" t="str">
        <f>IF(tblPiNAnalysis[[#This Row],[Número de marcadores]]&gt;0, "Flagged", "")</f>
        <v>Flagged</v>
      </c>
      <c r="BA279" s="92">
        <f>tblPiNAnalysis[[#This Row],[PiN preliminar]]</f>
        <v>0</v>
      </c>
      <c r="BB279" s="97"/>
      <c r="BC279" s="70">
        <f>IFERROR(IF(tblPiNAnalysis[[#This Row],[Severidad]]=3,tblPiNAnalysis[[#This Row],[PiN final]]*Umbrales!$D$33,tblPiNAnalysis[[#This Row],[PiN final]]*Umbrales!$D$34),)</f>
        <v>0</v>
      </c>
      <c r="BD279" s="70">
        <f>IFERROR(IF(tblPiNAnalysis[[#This Row],[Severidad]]&gt;3,tblPiNAnalysis[[#This Row],[PiN final]]*Umbrales!$D$34,),)</f>
        <v>0</v>
      </c>
    </row>
    <row r="280" spans="1:56">
      <c r="A280" s="101" t="str">
        <f>IFERROR(_xlfn.CONCAT(IF(tblPiNAnalysis[[#This Row],[Grupo]]="", "",tblPiNAnalysis[[#This Row],[Grupo]] ),  _xlfn.IFS(tblPiNAnalysis[[#This Row],[Admin2PCODE]]&lt;&gt;"", tblPiNAnalysis[[#This Row],[Admin2PCODE]], tblPiNAnalysis[[#This Row],[Admin1PCODE]]&lt;&gt;"", tblPiNAnalysis[[#This Row],[Admin1PCODE]])),"")</f>
        <v>VenezolanosVE1408</v>
      </c>
      <c r="B280" s="105" t="s">
        <v>411</v>
      </c>
      <c r="C280" s="104" t="s">
        <v>412</v>
      </c>
      <c r="D280" s="119" t="s">
        <v>427</v>
      </c>
      <c r="E280" s="104" t="s">
        <v>428</v>
      </c>
      <c r="F280" s="358"/>
      <c r="G280" s="357">
        <v>9655</v>
      </c>
      <c r="H280" s="103" t="s">
        <v>102</v>
      </c>
      <c r="I280" s="60">
        <v>0</v>
      </c>
      <c r="J280" s="134">
        <v>318.523220257388</v>
      </c>
      <c r="K280" s="57">
        <v>3524.0749999999998</v>
      </c>
      <c r="L280" s="87">
        <v>889.06114501106993</v>
      </c>
      <c r="M280" s="87">
        <v>969.01022536956725</v>
      </c>
      <c r="N280" s="57">
        <v>0</v>
      </c>
      <c r="O280" s="57">
        <v>311.05228234363108</v>
      </c>
      <c r="P280" s="57">
        <v>339.15357887934852</v>
      </c>
      <c r="Q280" s="88">
        <f>IFERROR(IF(tblPiNAnalysis[[#This Row],[SAMV]]="", "", MROUND(tblPiNAnalysis[[#This Row],[SAMV]]/tblPiNAnalysis[[#This Row],[Población]], 0.05)), "")</f>
        <v>0</v>
      </c>
      <c r="R280" s="89">
        <f>IFERROR(IF(tblPiNAnalysis[[#This Row],[NUT]]="", "", MROUND(tblPiNAnalysis[[#This Row],[NUT]]/tblPiNAnalysis[[#This Row],[Población]], 0.05)), "")</f>
        <v>0.05</v>
      </c>
      <c r="S280" s="89">
        <f>IFERROR(IF(tblPiNAnalysis[[#This Row],[SAL]]="", "", MROUND(tblPiNAnalysis[[#This Row],[SAL]]/tblPiNAnalysis[[#This Row],[Población]], 0.05)), "")</f>
        <v>0.35000000000000003</v>
      </c>
      <c r="T280" s="89">
        <f>IFERROR(IF(tblPiNAnalysis[[#This Row],[EDU]]="", "", MROUND(tblPiNAnalysis[[#This Row],[EDU]]/tblPiNAnalysis[[#This Row],[Población]], 0.05)), "")</f>
        <v>0.1</v>
      </c>
      <c r="U280" s="89">
        <f>IFERROR(IF(tblPiNAnalysis[[#This Row],[PRO]]="", "", MROUND(tblPiNAnalysis[[#This Row],[PRO]]/tblPiNAnalysis[[#This Row],[Población]], 0.05)), "")</f>
        <v>0.1</v>
      </c>
      <c r="V280" s="90">
        <f>IFERROR(IF(tblPiNAnalysis[[#This Row],[ASH]]="", "", MROUND(tblPiNAnalysis[[#This Row],[ASH]]/tblPiNAnalysis[[#This Row],[Población]], 0.05)), "")</f>
        <v>0</v>
      </c>
      <c r="W280" s="89">
        <f>IFERROR(MROUND(tblPiNAnalysis[[#This Row],[NNA]]/tblPiNAnalysis[[#This Row],[Población]], 0.05), "")</f>
        <v>0.05</v>
      </c>
      <c r="X280" s="89">
        <f>IFERROR(MROUND(tblPiNAnalysis[[#This Row],[VBG]]/tblPiNAnalysis[[#This Row],[Población]], 0.05), "")</f>
        <v>0.05</v>
      </c>
      <c r="Y280" s="91">
        <f>IFERROR(LARGE(tblPiNAnalysis[[#This Row],[SAMV]:[ASH]], 1), "")</f>
        <v>3524.0749999999998</v>
      </c>
      <c r="Z280" s="92" t="str" cm="1">
        <f t="array" ref="Z280">IF(tblPiNAnalysis[[#This Row],[PiN más alto]]="", "", _xlfn.TEXTJOIN(CHAR(10), TRUE, IF(tblPiNAnalysis[[#This Row],[PiN más alto]]=tblPiNAnalysis[[#This Row],[SAMV]:[ASH]], tblPiNAnalysis[[#Headers],[SAMV]:[ASH]], "")))</f>
        <v>SAL</v>
      </c>
      <c r="AA280" s="93">
        <f>IF(tblPiNAnalysis[[#This Row],[PiN más alto]]="", "", tblPiNAnalysis[[#This Row],[PiN más alto]]/tblPiNAnalysis[[#This Row],[Población]])</f>
        <v>0.36499999999999999</v>
      </c>
      <c r="AB280" s="94" t="str">
        <f>IF(SUM(tblPiNAnalysis[[#This Row],[SAMV]:[ASH]])=0, "",IF(COUNTIF(tblPiNAnalysis[[#This Row],[SAMV]:[ASH]],"=0")+COUNTIF(tblPiNAnalysis[[#This Row],[SAMV]:[ASH]],"")&gt;=zero_pin_thresh, "Flagged", ""))</f>
        <v>Flagged</v>
      </c>
      <c r="AC280" s="95" t="str">
        <f>IFERROR(IF(tblPiNAnalysis[[#This Row],[PiN más alto]]="", "", IF(tblPiNAnalysis[[#This Row],[% PiN Sectores más altos]]&gt;=flag_pin_perc, "Flagged", "")), "")</f>
        <v/>
      </c>
      <c r="AD280" s="96" t="str" cm="1">
        <f t="array" ref="AD280">IF(tblPiNAnalysis[[#This Row],[PiN más alto]]=0, "",  IF(OR(COUNTIF(tblPiNAnalysis[[#This Row],[Sectores más altos]],tblSubSectorPopulation[Sector])), "Flagged", ""))</f>
        <v/>
      </c>
      <c r="AE280" s="16" cm="1">
        <f t="array" ref="AE28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969.01022536956725</v>
      </c>
      <c r="AF280" s="97" t="str" cm="1">
        <f t="array" ref="AF280">IF(tblPiNAnalysis[[#This Row],[2º PiN más alto]]="", "", _xlfn.TEXTJOIN(CHAR(10), TRUE, IF(tblPiNAnalysis[[#This Row],[2º PiN más alto]]=tblPiNAnalysis[[#This Row],[SAMV]:[ASH]], tblPiNAnalysis[[#Headers],[SAMV]:[ASH]], "")))</f>
        <v>PRO</v>
      </c>
      <c r="AG280" s="12">
        <f>IFERROR(tblPiNAnalysis[[#This Row],[2º PiN más alto]]/tblPiNAnalysis[[#This Row],[Población]], "")</f>
        <v>0.10036356554837568</v>
      </c>
      <c r="AH280" s="16">
        <f>IFERROR(tblPiNAnalysis[[#This Row],[PiN más alto]]-tblPiNAnalysis[[#This Row],[2º PiN más alto]], "")</f>
        <v>2555.0647746304326</v>
      </c>
      <c r="AI280" s="14">
        <f>IFERROR(((tblPiNAnalysis[[#This Row],[PiN más alto]]-tblPiNAnalysis[[#This Row],[2º PiN más alto]])/tblPiNAnalysis[[#This Row],[2º PiN más alto]]),"")</f>
        <v>2.6367779283814738</v>
      </c>
      <c r="AJ280" s="14" t="str" cm="1">
        <f t="array" ref="AJ28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80" s="98" cm="1">
        <f t="array" ref="AK28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889.06114501106993</v>
      </c>
      <c r="AL280" s="53" t="str" cm="1">
        <f t="array" ref="AL280">IF(tblPiNAnalysis[[#This Row],[3º PiN más alto]]="", "", _xlfn.TEXTJOIN(CHAR(10), TRUE, IF(tblPiNAnalysis[[#This Row],[3º PiN más alto]]=tblPiNAnalysis[[#This Row],[SAMV]:[ASH]], tblPiNAnalysis[[#Headers],[SAMV]:[ASH]], "")))</f>
        <v>EDU</v>
      </c>
      <c r="AM280" s="53">
        <f>IFERROR(tblPiNAnalysis[[#This Row],[3º PiN más alto]]/tblPiNAnalysis[[#This Row],[Población]], "")</f>
        <v>9.2082977215025369E-2</v>
      </c>
      <c r="AN280" s="15">
        <f>IFERROR(tblPiNAnalysis[[#This Row],[PiN más alto]]-tblPiNAnalysis[[#This Row],[3º PiN más alto]],"")</f>
        <v>2635.0138549889298</v>
      </c>
      <c r="AO280" s="14">
        <f>IFERROR(tblPiNAnalysis[[#This Row],[Diferencia de PiN entre el más alto y el 3º más alto]]/tblPiNAnalysis[[#This Row],[3º PiN más alto]], "")</f>
        <v>2.9638162344347201</v>
      </c>
      <c r="AP280" s="96" t="str" cm="1">
        <f t="array" ref="AP28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80" s="84" cm="1">
        <f t="array" ref="AQ280">IFERROR(IF(tblPiNAnalysis[[#This Row],[ID]]="", "", INDEX(tblPiNHistorical[[SAMV]:[ASH]], MATCH(tblPiNAnalysis[[#This Row],[ID]],tblPiNHistorical[ID], 0),MATCH(_xlfn._xlws.FILTER(tblPiNAnalysis[[#Headers],[SAMV]:[ASH]], tblPiNAnalysis[[#This Row],[PiN más alto]]=tblPiNAnalysis[[#This Row],[SAMV]:[ASH]]), tblPiNHistorical[[#Headers],[SAMV]:[ASH]], 0))), "")</f>
        <v>3.6</v>
      </c>
      <c r="AR280" s="99" t="str" cm="1">
        <f t="array" ref="AR28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80" s="74" cm="1">
        <f t="array" ref="AS280">IFERROR(IF(tblPiNAnalysis[[#This Row],[ID]]="", "", INDEX(tblPiNHistorical[[SAMV]:[ASH]], MATCH(tblPiNAnalysis[[#This Row],[ID]],tblPiNHistorical[ID], 0),MATCH(_xlfn._xlws.FILTER(tblPiNAnalysis[[#Headers],[SAMV]:[ASH]], tblPiNAnalysis[[#This Row],[2º PiN más alto]]=tblPiNAnalysis[[#This Row],[SAMV]:[ASH]]), tblPiNHistorical[[#Headers],[SAMV]:[ASH]], 0))), "")</f>
        <v>0.5</v>
      </c>
      <c r="AT280" s="100" t="str" cm="1">
        <f t="array" ref="AT28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80" s="219">
        <f>INDEX(tblSeverityAnalysis[Severidad final], MATCH(tblPiNAnalysis[[#This Row],[ID]],tblSeverityAnalysis[ID], 0))</f>
        <v>2</v>
      </c>
      <c r="AV280" s="220">
        <f>IF(tblPiNAnalysis[[#This Row],[Severidad]]&gt;2,tblPiNAnalysis[[#This Row],[PiN más alto]],)</f>
        <v>0</v>
      </c>
      <c r="AW280" s="54"/>
      <c r="AX280" s="55"/>
      <c r="AY280" s="56">
        <f>COUNTIFS(tblPiNAnalysis[[#This Row],[Número de PiN ausentes/cero superior al umbral - Calidad de los datos]:[Marcador manual]],"Flagged")</f>
        <v>4</v>
      </c>
      <c r="AZ280" s="34" t="str">
        <f>IF(tblPiNAnalysis[[#This Row],[Número de marcadores]]&gt;0, "Flagged", "")</f>
        <v>Flagged</v>
      </c>
      <c r="BA280" s="92">
        <f>tblPiNAnalysis[[#This Row],[PiN preliminar]]</f>
        <v>0</v>
      </c>
      <c r="BB280" s="97"/>
      <c r="BC280" s="70">
        <f>IFERROR(IF(tblPiNAnalysis[[#This Row],[Severidad]]=3,tblPiNAnalysis[[#This Row],[PiN final]]*Umbrales!$D$33,tblPiNAnalysis[[#This Row],[PiN final]]*Umbrales!$D$34),)</f>
        <v>0</v>
      </c>
      <c r="BD280" s="70">
        <f>IFERROR(IF(tblPiNAnalysis[[#This Row],[Severidad]]&gt;3,tblPiNAnalysis[[#This Row],[PiN final]]*Umbrales!$D$34,),)</f>
        <v>0</v>
      </c>
    </row>
    <row r="281" spans="1:56">
      <c r="A281" s="101" t="str">
        <f>IFERROR(_xlfn.CONCAT(IF(tblPiNAnalysis[[#This Row],[Grupo]]="", "",tblPiNAnalysis[[#This Row],[Grupo]] ),  _xlfn.IFS(tblPiNAnalysis[[#This Row],[Admin2PCODE]]&lt;&gt;"", tblPiNAnalysis[[#This Row],[Admin2PCODE]], tblPiNAnalysis[[#This Row],[Admin1PCODE]]&lt;&gt;"", tblPiNAnalysis[[#This Row],[Admin1PCODE]])),"")</f>
        <v>VenezolanosVE1409</v>
      </c>
      <c r="B281" s="105" t="s">
        <v>411</v>
      </c>
      <c r="C281" s="104" t="s">
        <v>412</v>
      </c>
      <c r="D281" s="119" t="s">
        <v>429</v>
      </c>
      <c r="E281" s="104" t="s">
        <v>430</v>
      </c>
      <c r="F281" s="358"/>
      <c r="G281" s="357">
        <v>9262</v>
      </c>
      <c r="H281" s="103" t="s">
        <v>102</v>
      </c>
      <c r="I281" s="60">
        <v>1158</v>
      </c>
      <c r="J281" s="134">
        <v>305.16899987864076</v>
      </c>
      <c r="K281" s="57">
        <v>4900</v>
      </c>
      <c r="L281" s="87">
        <v>868.78559646071756</v>
      </c>
      <c r="M281" s="87">
        <v>929.56734410905574</v>
      </c>
      <c r="N281" s="57">
        <v>0</v>
      </c>
      <c r="O281" s="57">
        <v>297.46155011489782</v>
      </c>
      <c r="P281" s="57">
        <v>325.34857043816947</v>
      </c>
      <c r="Q281" s="88">
        <f>IFERROR(IF(tblPiNAnalysis[[#This Row],[SAMV]]="", "", MROUND(tblPiNAnalysis[[#This Row],[SAMV]]/tblPiNAnalysis[[#This Row],[Población]], 0.05)), "")</f>
        <v>0.15000000000000002</v>
      </c>
      <c r="R281" s="89">
        <f>IFERROR(IF(tblPiNAnalysis[[#This Row],[NUT]]="", "", MROUND(tblPiNAnalysis[[#This Row],[NUT]]/tblPiNAnalysis[[#This Row],[Población]], 0.05)), "")</f>
        <v>0.05</v>
      </c>
      <c r="S281" s="89">
        <f>IFERROR(IF(tblPiNAnalysis[[#This Row],[SAL]]="", "", MROUND(tblPiNAnalysis[[#This Row],[SAL]]/tblPiNAnalysis[[#This Row],[Población]], 0.05)), "")</f>
        <v>0.55000000000000004</v>
      </c>
      <c r="T281" s="89">
        <f>IFERROR(IF(tblPiNAnalysis[[#This Row],[EDU]]="", "", MROUND(tblPiNAnalysis[[#This Row],[EDU]]/tblPiNAnalysis[[#This Row],[Población]], 0.05)), "")</f>
        <v>0.1</v>
      </c>
      <c r="U281" s="89">
        <f>IFERROR(IF(tblPiNAnalysis[[#This Row],[PRO]]="", "", MROUND(tblPiNAnalysis[[#This Row],[PRO]]/tblPiNAnalysis[[#This Row],[Población]], 0.05)), "")</f>
        <v>0.1</v>
      </c>
      <c r="V281" s="90">
        <f>IFERROR(IF(tblPiNAnalysis[[#This Row],[ASH]]="", "", MROUND(tblPiNAnalysis[[#This Row],[ASH]]/tblPiNAnalysis[[#This Row],[Población]], 0.05)), "")</f>
        <v>0</v>
      </c>
      <c r="W281" s="89">
        <f>IFERROR(MROUND(tblPiNAnalysis[[#This Row],[NNA]]/tblPiNAnalysis[[#This Row],[Población]], 0.05), "")</f>
        <v>0.05</v>
      </c>
      <c r="X281" s="89">
        <f>IFERROR(MROUND(tblPiNAnalysis[[#This Row],[VBG]]/tblPiNAnalysis[[#This Row],[Población]], 0.05), "")</f>
        <v>0.05</v>
      </c>
      <c r="Y281" s="91">
        <f>IFERROR(LARGE(tblPiNAnalysis[[#This Row],[SAMV]:[ASH]], 1), "")</f>
        <v>4900</v>
      </c>
      <c r="Z281" s="92" t="str" cm="1">
        <f t="array" ref="Z281">IF(tblPiNAnalysis[[#This Row],[PiN más alto]]="", "", _xlfn.TEXTJOIN(CHAR(10), TRUE, IF(tblPiNAnalysis[[#This Row],[PiN más alto]]=tblPiNAnalysis[[#This Row],[SAMV]:[ASH]], tblPiNAnalysis[[#Headers],[SAMV]:[ASH]], "")))</f>
        <v>SAL</v>
      </c>
      <c r="AA281" s="93">
        <f>IF(tblPiNAnalysis[[#This Row],[PiN más alto]]="", "", tblPiNAnalysis[[#This Row],[PiN más alto]]/tblPiNAnalysis[[#This Row],[Población]])</f>
        <v>0.52904340315266685</v>
      </c>
      <c r="AB281" s="94" t="str">
        <f>IF(SUM(tblPiNAnalysis[[#This Row],[SAMV]:[ASH]])=0, "",IF(COUNTIF(tblPiNAnalysis[[#This Row],[SAMV]:[ASH]],"=0")+COUNTIF(tblPiNAnalysis[[#This Row],[SAMV]:[ASH]],"")&gt;=zero_pin_thresh, "Flagged", ""))</f>
        <v/>
      </c>
      <c r="AC281" s="95" t="str">
        <f>IFERROR(IF(tblPiNAnalysis[[#This Row],[PiN más alto]]="", "", IF(tblPiNAnalysis[[#This Row],[% PiN Sectores más altos]]&gt;=flag_pin_perc, "Flagged", "")), "")</f>
        <v/>
      </c>
      <c r="AD281" s="96" t="str" cm="1">
        <f t="array" ref="AD281">IF(tblPiNAnalysis[[#This Row],[PiN más alto]]=0, "",  IF(OR(COUNTIF(tblPiNAnalysis[[#This Row],[Sectores más altos]],tblSubSectorPopulation[Sector])), "Flagged", ""))</f>
        <v/>
      </c>
      <c r="AE281" s="16" cm="1">
        <f t="array" ref="AE28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1158</v>
      </c>
      <c r="AF281" s="97" t="str" cm="1">
        <f t="array" ref="AF281">IF(tblPiNAnalysis[[#This Row],[2º PiN más alto]]="", "", _xlfn.TEXTJOIN(CHAR(10), TRUE, IF(tblPiNAnalysis[[#This Row],[2º PiN más alto]]=tblPiNAnalysis[[#This Row],[SAMV]:[ASH]], tblPiNAnalysis[[#Headers],[SAMV]:[ASH]], "")))</f>
        <v>SAMV</v>
      </c>
      <c r="AG281" s="12">
        <f>IFERROR(tblPiNAnalysis[[#This Row],[2º PiN más alto]]/tblPiNAnalysis[[#This Row],[Población]], "")</f>
        <v>0.12502699201036493</v>
      </c>
      <c r="AH281" s="16">
        <f>IFERROR(tblPiNAnalysis[[#This Row],[PiN más alto]]-tblPiNAnalysis[[#This Row],[2º PiN más alto]], "")</f>
        <v>3742</v>
      </c>
      <c r="AI281" s="14">
        <f>IFERROR(((tblPiNAnalysis[[#This Row],[PiN más alto]]-tblPiNAnalysis[[#This Row],[2º PiN más alto]])/tblPiNAnalysis[[#This Row],[2º PiN más alto]]),"")</f>
        <v>3.2314335060449051</v>
      </c>
      <c r="AJ281" s="14" t="str" cm="1">
        <f t="array" ref="AJ28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81" s="98" cm="1">
        <f t="array" ref="AK28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929.56734410905574</v>
      </c>
      <c r="AL281" s="53" t="str" cm="1">
        <f t="array" ref="AL281">IF(tblPiNAnalysis[[#This Row],[3º PiN más alto]]="", "", _xlfn.TEXTJOIN(CHAR(10), TRUE, IF(tblPiNAnalysis[[#This Row],[3º PiN más alto]]=tblPiNAnalysis[[#This Row],[SAMV]:[ASH]], tblPiNAnalysis[[#Headers],[SAMV]:[ASH]], "")))</f>
        <v>PRO</v>
      </c>
      <c r="AM281" s="53">
        <f>IFERROR(tblPiNAnalysis[[#This Row],[3º PiN más alto]]/tblPiNAnalysis[[#This Row],[Población]], "")</f>
        <v>0.10036356554837569</v>
      </c>
      <c r="AN281" s="15">
        <f>IFERROR(tblPiNAnalysis[[#This Row],[PiN más alto]]-tblPiNAnalysis[[#This Row],[3º PiN más alto]],"")</f>
        <v>3970.4326558909443</v>
      </c>
      <c r="AO281" s="14">
        <f>IFERROR(tblPiNAnalysis[[#This Row],[Diferencia de PiN entre el más alto y el 3º más alto]]/tblPiNAnalysis[[#This Row],[3º PiN más alto]], "")</f>
        <v>4.2712695116203845</v>
      </c>
      <c r="AP281" s="96" t="str" cm="1">
        <f t="array" ref="AP28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81" s="84" cm="1">
        <f t="array" ref="AQ281">IFERROR(IF(tblPiNAnalysis[[#This Row],[ID]]="", "", INDEX(tblPiNHistorical[[SAMV]:[ASH]], MATCH(tblPiNAnalysis[[#This Row],[ID]],tblPiNHistorical[ID], 0),MATCH(_xlfn._xlws.FILTER(tblPiNAnalysis[[#Headers],[SAMV]:[ASH]], tblPiNAnalysis[[#This Row],[PiN más alto]]=tblPiNAnalysis[[#This Row],[SAMV]:[ASH]]), tblPiNHistorical[[#Headers],[SAMV]:[ASH]], 0))), "")</f>
        <v>3.7</v>
      </c>
      <c r="AR281" s="99" t="str" cm="1">
        <f t="array" ref="AR28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81" s="74" cm="1">
        <f t="array" ref="AS281">IFERROR(IF(tblPiNAnalysis[[#This Row],[ID]]="", "", INDEX(tblPiNHistorical[[SAMV]:[ASH]], MATCH(tblPiNAnalysis[[#This Row],[ID]],tblPiNHistorical[ID], 0),MATCH(_xlfn._xlws.FILTER(tblPiNAnalysis[[#Headers],[SAMV]:[ASH]], tblPiNAnalysis[[#This Row],[2º PiN más alto]]=tblPiNAnalysis[[#This Row],[SAMV]:[ASH]]), tblPiNHistorical[[#Headers],[SAMV]:[ASH]], 0))), "")</f>
        <v>2.9</v>
      </c>
      <c r="AT281" s="100" t="str" cm="1">
        <f t="array" ref="AT28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81" s="219">
        <f>INDEX(tblSeverityAnalysis[Severidad final], MATCH(tblPiNAnalysis[[#This Row],[ID]],tblSeverityAnalysis[ID], 0))</f>
        <v>2</v>
      </c>
      <c r="AV281" s="220">
        <f>IF(tblPiNAnalysis[[#This Row],[Severidad]]&gt;2,tblPiNAnalysis[[#This Row],[PiN más alto]],)</f>
        <v>0</v>
      </c>
      <c r="AW281" s="54"/>
      <c r="AX281" s="55"/>
      <c r="AY281" s="56">
        <f>COUNTIFS(tblPiNAnalysis[[#This Row],[Número de PiN ausentes/cero superior al umbral - Calidad de los datos]:[Marcador manual]],"Flagged")</f>
        <v>4</v>
      </c>
      <c r="AZ281" s="34" t="str">
        <f>IF(tblPiNAnalysis[[#This Row],[Número de marcadores]]&gt;0, "Flagged", "")</f>
        <v>Flagged</v>
      </c>
      <c r="BA281" s="92">
        <f>tblPiNAnalysis[[#This Row],[PiN preliminar]]</f>
        <v>0</v>
      </c>
      <c r="BB281" s="97"/>
      <c r="BC281" s="70">
        <f>IFERROR(IF(tblPiNAnalysis[[#This Row],[Severidad]]=3,tblPiNAnalysis[[#This Row],[PiN final]]*Umbrales!$D$33,tblPiNAnalysis[[#This Row],[PiN final]]*Umbrales!$D$34),)</f>
        <v>0</v>
      </c>
      <c r="BD281" s="70">
        <f>IFERROR(IF(tblPiNAnalysis[[#This Row],[Severidad]]&gt;3,tblPiNAnalysis[[#This Row],[PiN final]]*Umbrales!$D$34,),)</f>
        <v>0</v>
      </c>
    </row>
    <row r="282" spans="1:56">
      <c r="A282" s="101" t="str">
        <f>IFERROR(_xlfn.CONCAT(IF(tblPiNAnalysis[[#This Row],[Grupo]]="", "",tblPiNAnalysis[[#This Row],[Grupo]] ),  _xlfn.IFS(tblPiNAnalysis[[#This Row],[Admin2PCODE]]&lt;&gt;"", tblPiNAnalysis[[#This Row],[Admin2PCODE]], tblPiNAnalysis[[#This Row],[Admin1PCODE]]&lt;&gt;"", tblPiNAnalysis[[#This Row],[Admin1PCODE]])),"")</f>
        <v>VenezolanosVE1410</v>
      </c>
      <c r="B282" s="105" t="s">
        <v>411</v>
      </c>
      <c r="C282" s="104" t="s">
        <v>412</v>
      </c>
      <c r="D282" s="119" t="s">
        <v>431</v>
      </c>
      <c r="E282" s="104" t="s">
        <v>432</v>
      </c>
      <c r="F282" s="358"/>
      <c r="G282" s="357">
        <v>14996</v>
      </c>
      <c r="H282" s="103" t="s">
        <v>102</v>
      </c>
      <c r="I282" s="60">
        <v>2534</v>
      </c>
      <c r="J282" s="134">
        <v>522.72420593754259</v>
      </c>
      <c r="K282" s="57">
        <v>5473.54</v>
      </c>
      <c r="L282" s="87">
        <v>1002.8945037551084</v>
      </c>
      <c r="M282" s="87">
        <v>1505.0520289634417</v>
      </c>
      <c r="N282" s="57">
        <v>0</v>
      </c>
      <c r="O282" s="57">
        <v>481.61664926830133</v>
      </c>
      <c r="P282" s="57">
        <v>526.76821013720451</v>
      </c>
      <c r="Q282" s="88">
        <f>IFERROR(IF(tblPiNAnalysis[[#This Row],[SAMV]]="", "", MROUND(tblPiNAnalysis[[#This Row],[SAMV]]/tblPiNAnalysis[[#This Row],[Población]], 0.05)), "")</f>
        <v>0.15000000000000002</v>
      </c>
      <c r="R282" s="89">
        <f>IFERROR(IF(tblPiNAnalysis[[#This Row],[NUT]]="", "", MROUND(tblPiNAnalysis[[#This Row],[NUT]]/tblPiNAnalysis[[#This Row],[Población]], 0.05)), "")</f>
        <v>0.05</v>
      </c>
      <c r="S282" s="89">
        <f>IFERROR(IF(tblPiNAnalysis[[#This Row],[SAL]]="", "", MROUND(tblPiNAnalysis[[#This Row],[SAL]]/tblPiNAnalysis[[#This Row],[Población]], 0.05)), "")</f>
        <v>0.35000000000000003</v>
      </c>
      <c r="T282" s="89">
        <f>IFERROR(IF(tblPiNAnalysis[[#This Row],[EDU]]="", "", MROUND(tblPiNAnalysis[[#This Row],[EDU]]/tblPiNAnalysis[[#This Row],[Población]], 0.05)), "")</f>
        <v>0.05</v>
      </c>
      <c r="U282" s="89">
        <f>IFERROR(IF(tblPiNAnalysis[[#This Row],[PRO]]="", "", MROUND(tblPiNAnalysis[[#This Row],[PRO]]/tblPiNAnalysis[[#This Row],[Población]], 0.05)), "")</f>
        <v>0.1</v>
      </c>
      <c r="V282" s="90">
        <f>IFERROR(IF(tblPiNAnalysis[[#This Row],[ASH]]="", "", MROUND(tblPiNAnalysis[[#This Row],[ASH]]/tblPiNAnalysis[[#This Row],[Población]], 0.05)), "")</f>
        <v>0</v>
      </c>
      <c r="W282" s="89">
        <f>IFERROR(MROUND(tblPiNAnalysis[[#This Row],[NNA]]/tblPiNAnalysis[[#This Row],[Población]], 0.05), "")</f>
        <v>0.05</v>
      </c>
      <c r="X282" s="89">
        <f>IFERROR(MROUND(tblPiNAnalysis[[#This Row],[VBG]]/tblPiNAnalysis[[#This Row],[Población]], 0.05), "")</f>
        <v>0.05</v>
      </c>
      <c r="Y282" s="91">
        <f>IFERROR(LARGE(tblPiNAnalysis[[#This Row],[SAMV]:[ASH]], 1), "")</f>
        <v>5473.54</v>
      </c>
      <c r="Z282" s="92" t="str" cm="1">
        <f t="array" ref="Z282">IF(tblPiNAnalysis[[#This Row],[PiN más alto]]="", "", _xlfn.TEXTJOIN(CHAR(10), TRUE, IF(tblPiNAnalysis[[#This Row],[PiN más alto]]=tblPiNAnalysis[[#This Row],[SAMV]:[ASH]], tblPiNAnalysis[[#Headers],[SAMV]:[ASH]], "")))</f>
        <v>SAL</v>
      </c>
      <c r="AA282" s="93">
        <f>IF(tblPiNAnalysis[[#This Row],[PiN más alto]]="", "", tblPiNAnalysis[[#This Row],[PiN más alto]]/tblPiNAnalysis[[#This Row],[Población]])</f>
        <v>0.36499999999999999</v>
      </c>
      <c r="AB282" s="94" t="str">
        <f>IF(SUM(tblPiNAnalysis[[#This Row],[SAMV]:[ASH]])=0, "",IF(COUNTIF(tblPiNAnalysis[[#This Row],[SAMV]:[ASH]],"=0")+COUNTIF(tblPiNAnalysis[[#This Row],[SAMV]:[ASH]],"")&gt;=zero_pin_thresh, "Flagged", ""))</f>
        <v/>
      </c>
      <c r="AC282" s="95" t="str">
        <f>IFERROR(IF(tblPiNAnalysis[[#This Row],[PiN más alto]]="", "", IF(tblPiNAnalysis[[#This Row],[% PiN Sectores más altos]]&gt;=flag_pin_perc, "Flagged", "")), "")</f>
        <v/>
      </c>
      <c r="AD282" s="96" t="str" cm="1">
        <f t="array" ref="AD282">IF(tblPiNAnalysis[[#This Row],[PiN más alto]]=0, "",  IF(OR(COUNTIF(tblPiNAnalysis[[#This Row],[Sectores más altos]],tblSubSectorPopulation[Sector])), "Flagged", ""))</f>
        <v/>
      </c>
      <c r="AE282" s="16" cm="1">
        <f t="array" ref="AE28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2534</v>
      </c>
      <c r="AF282" s="97" t="str" cm="1">
        <f t="array" ref="AF282">IF(tblPiNAnalysis[[#This Row],[2º PiN más alto]]="", "", _xlfn.TEXTJOIN(CHAR(10), TRUE, IF(tblPiNAnalysis[[#This Row],[2º PiN más alto]]=tblPiNAnalysis[[#This Row],[SAMV]:[ASH]], tblPiNAnalysis[[#Headers],[SAMV]:[ASH]], "")))</f>
        <v>SAMV</v>
      </c>
      <c r="AG282" s="12">
        <f>IFERROR(tblPiNAnalysis[[#This Row],[2º PiN más alto]]/tblPiNAnalysis[[#This Row],[Población]], "")</f>
        <v>0.16897839423846359</v>
      </c>
      <c r="AH282" s="16">
        <f>IFERROR(tblPiNAnalysis[[#This Row],[PiN más alto]]-tblPiNAnalysis[[#This Row],[2º PiN más alto]], "")</f>
        <v>2939.54</v>
      </c>
      <c r="AI282" s="14">
        <f>IFERROR(((tblPiNAnalysis[[#This Row],[PiN más alto]]-tblPiNAnalysis[[#This Row],[2º PiN más alto]])/tblPiNAnalysis[[#This Row],[2º PiN más alto]]),"")</f>
        <v>1.1600394632991318</v>
      </c>
      <c r="AJ282" s="14" t="str" cm="1">
        <f t="array" ref="AJ28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82" s="98" cm="1">
        <f t="array" ref="AK28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1505.0520289634417</v>
      </c>
      <c r="AL282" s="53" t="str" cm="1">
        <f t="array" ref="AL282">IF(tblPiNAnalysis[[#This Row],[3º PiN más alto]]="", "", _xlfn.TEXTJOIN(CHAR(10), TRUE, IF(tblPiNAnalysis[[#This Row],[3º PiN más alto]]=tblPiNAnalysis[[#This Row],[SAMV]:[ASH]], tblPiNAnalysis[[#Headers],[SAMV]:[ASH]], "")))</f>
        <v>PRO</v>
      </c>
      <c r="AM282" s="53">
        <f>IFERROR(tblPiNAnalysis[[#This Row],[3º PiN más alto]]/tblPiNAnalysis[[#This Row],[Población]], "")</f>
        <v>0.10036356554837568</v>
      </c>
      <c r="AN282" s="15">
        <f>IFERROR(tblPiNAnalysis[[#This Row],[PiN más alto]]-tblPiNAnalysis[[#This Row],[3º PiN más alto]],"")</f>
        <v>3968.4879710365585</v>
      </c>
      <c r="AO282" s="14">
        <f>IFERROR(tblPiNAnalysis[[#This Row],[Diferencia de PiN entre el más alto y el 3º más alto]]/tblPiNAnalysis[[#This Row],[3º PiN más alto]], "")</f>
        <v>2.6367779283814743</v>
      </c>
      <c r="AP282" s="96" t="str" cm="1">
        <f t="array" ref="AP28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82" s="84" cm="1">
        <f t="array" ref="AQ282">IFERROR(IF(tblPiNAnalysis[[#This Row],[ID]]="", "", INDEX(tblPiNHistorical[[SAMV]:[ASH]], MATCH(tblPiNAnalysis[[#This Row],[ID]],tblPiNHistorical[ID], 0),MATCH(_xlfn._xlws.FILTER(tblPiNAnalysis[[#Headers],[SAMV]:[ASH]], tblPiNAnalysis[[#This Row],[PiN más alto]]=tblPiNAnalysis[[#This Row],[SAMV]:[ASH]]), tblPiNHistorical[[#Headers],[SAMV]:[ASH]], 0))), "")</f>
        <v>1.9</v>
      </c>
      <c r="AR282" s="99" t="str" cm="1">
        <f t="array" ref="AR28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82" s="74" cm="1">
        <f t="array" ref="AS282">IFERROR(IF(tblPiNAnalysis[[#This Row],[ID]]="", "", INDEX(tblPiNHistorical[[SAMV]:[ASH]], MATCH(tblPiNAnalysis[[#This Row],[ID]],tblPiNHistorical[ID], 0),MATCH(_xlfn._xlws.FILTER(tblPiNAnalysis[[#Headers],[SAMV]:[ASH]], tblPiNAnalysis[[#This Row],[2º PiN más alto]]=tblPiNAnalysis[[#This Row],[SAMV]:[ASH]]), tblPiNHistorical[[#Headers],[SAMV]:[ASH]], 0))), "")</f>
        <v>0.5</v>
      </c>
      <c r="AT282" s="100" t="str" cm="1">
        <f t="array" ref="AT28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82" s="219">
        <f>INDEX(tblSeverityAnalysis[Severidad final], MATCH(tblPiNAnalysis[[#This Row],[ID]],tblSeverityAnalysis[ID], 0))</f>
        <v>2</v>
      </c>
      <c r="AV282" s="220">
        <f>IF(tblPiNAnalysis[[#This Row],[Severidad]]&gt;2,tblPiNAnalysis[[#This Row],[PiN más alto]],)</f>
        <v>0</v>
      </c>
      <c r="AW282" s="54"/>
      <c r="AX282" s="55"/>
      <c r="AY282" s="56">
        <f>COUNTIFS(tblPiNAnalysis[[#This Row],[Número de PiN ausentes/cero superior al umbral - Calidad de los datos]:[Marcador manual]],"Flagged")</f>
        <v>3</v>
      </c>
      <c r="AZ282" s="34" t="str">
        <f>IF(tblPiNAnalysis[[#This Row],[Número de marcadores]]&gt;0, "Flagged", "")</f>
        <v>Flagged</v>
      </c>
      <c r="BA282" s="92">
        <f>tblPiNAnalysis[[#This Row],[PiN preliminar]]</f>
        <v>0</v>
      </c>
      <c r="BB282" s="97"/>
      <c r="BC282" s="70">
        <f>IFERROR(IF(tblPiNAnalysis[[#This Row],[Severidad]]=3,tblPiNAnalysis[[#This Row],[PiN final]]*Umbrales!$D$33,tblPiNAnalysis[[#This Row],[PiN final]]*Umbrales!$D$34),)</f>
        <v>0</v>
      </c>
      <c r="BD282" s="70">
        <f>IFERROR(IF(tblPiNAnalysis[[#This Row],[Severidad]]&gt;3,tblPiNAnalysis[[#This Row],[PiN final]]*Umbrales!$D$34,),)</f>
        <v>0</v>
      </c>
    </row>
    <row r="283" spans="1:56">
      <c r="A283" s="101" t="str">
        <f>IFERROR(_xlfn.CONCAT(IF(tblPiNAnalysis[[#This Row],[Grupo]]="", "",tblPiNAnalysis[[#This Row],[Grupo]] ),  _xlfn.IFS(tblPiNAnalysis[[#This Row],[Admin2PCODE]]&lt;&gt;"", tblPiNAnalysis[[#This Row],[Admin2PCODE]], tblPiNAnalysis[[#This Row],[Admin1PCODE]]&lt;&gt;"", tblPiNAnalysis[[#This Row],[Admin1PCODE]])),"")</f>
        <v>VenezolanosVE1411</v>
      </c>
      <c r="B283" s="105" t="s">
        <v>411</v>
      </c>
      <c r="C283" s="104" t="s">
        <v>412</v>
      </c>
      <c r="D283" s="119" t="s">
        <v>433</v>
      </c>
      <c r="E283" s="104" t="s">
        <v>434</v>
      </c>
      <c r="F283" s="358"/>
      <c r="G283" s="357">
        <v>5000</v>
      </c>
      <c r="H283" s="103" t="s">
        <v>102</v>
      </c>
      <c r="I283" s="60">
        <v>845</v>
      </c>
      <c r="J283" s="134">
        <v>207.64490296220634</v>
      </c>
      <c r="K283" s="57">
        <v>4495</v>
      </c>
      <c r="L283" s="87">
        <v>292.25911754380951</v>
      </c>
      <c r="M283" s="87">
        <v>167.27260924729282</v>
      </c>
      <c r="N283" s="57">
        <v>0</v>
      </c>
      <c r="O283" s="57">
        <v>53.527234959133693</v>
      </c>
      <c r="P283" s="57">
        <v>58.545413236552477</v>
      </c>
      <c r="Q283" s="88">
        <f>IFERROR(IF(tblPiNAnalysis[[#This Row],[SAMV]]="", "", MROUND(tblPiNAnalysis[[#This Row],[SAMV]]/tblPiNAnalysis[[#This Row],[Población]], 0.05)), "")</f>
        <v>0.15000000000000002</v>
      </c>
      <c r="R283" s="89">
        <f>IFERROR(IF(tblPiNAnalysis[[#This Row],[NUT]]="", "", MROUND(tblPiNAnalysis[[#This Row],[NUT]]/tblPiNAnalysis[[#This Row],[Población]], 0.05)), "")</f>
        <v>0.05</v>
      </c>
      <c r="S283" s="89">
        <f>IFERROR(IF(tblPiNAnalysis[[#This Row],[SAL]]="", "", MROUND(tblPiNAnalysis[[#This Row],[SAL]]/tblPiNAnalysis[[#This Row],[Población]], 0.05)), "")</f>
        <v>0.9</v>
      </c>
      <c r="T283" s="89">
        <f>IFERROR(IF(tblPiNAnalysis[[#This Row],[EDU]]="", "", MROUND(tblPiNAnalysis[[#This Row],[EDU]]/tblPiNAnalysis[[#This Row],[Población]], 0.05)), "")</f>
        <v>0.05</v>
      </c>
      <c r="U283" s="89">
        <f>IFERROR(IF(tblPiNAnalysis[[#This Row],[PRO]]="", "", MROUND(tblPiNAnalysis[[#This Row],[PRO]]/tblPiNAnalysis[[#This Row],[Población]], 0.05)), "")</f>
        <v>0.05</v>
      </c>
      <c r="V283" s="90">
        <f>IFERROR(IF(tblPiNAnalysis[[#This Row],[ASH]]="", "", MROUND(tblPiNAnalysis[[#This Row],[ASH]]/tblPiNAnalysis[[#This Row],[Población]], 0.05)), "")</f>
        <v>0</v>
      </c>
      <c r="W283" s="89">
        <f>IFERROR(MROUND(tblPiNAnalysis[[#This Row],[NNA]]/tblPiNAnalysis[[#This Row],[Población]], 0.05), "")</f>
        <v>0</v>
      </c>
      <c r="X283" s="89">
        <f>IFERROR(MROUND(tblPiNAnalysis[[#This Row],[VBG]]/tblPiNAnalysis[[#This Row],[Población]], 0.05), "")</f>
        <v>0</v>
      </c>
      <c r="Y283" s="91">
        <f>IFERROR(LARGE(tblPiNAnalysis[[#This Row],[SAMV]:[ASH]], 1), "")</f>
        <v>4495</v>
      </c>
      <c r="Z283" s="92" t="str" cm="1">
        <f t="array" ref="Z283">IF(tblPiNAnalysis[[#This Row],[PiN más alto]]="", "", _xlfn.TEXTJOIN(CHAR(10), TRUE, IF(tblPiNAnalysis[[#This Row],[PiN más alto]]=tblPiNAnalysis[[#This Row],[SAMV]:[ASH]], tblPiNAnalysis[[#Headers],[SAMV]:[ASH]], "")))</f>
        <v>SAL</v>
      </c>
      <c r="AA283" s="93">
        <f>IF(tblPiNAnalysis[[#This Row],[PiN más alto]]="", "", tblPiNAnalysis[[#This Row],[PiN más alto]]/tblPiNAnalysis[[#This Row],[Población]])</f>
        <v>0.89900000000000002</v>
      </c>
      <c r="AB283" s="94" t="str">
        <f>IF(SUM(tblPiNAnalysis[[#This Row],[SAMV]:[ASH]])=0, "",IF(COUNTIF(tblPiNAnalysis[[#This Row],[SAMV]:[ASH]],"=0")+COUNTIF(tblPiNAnalysis[[#This Row],[SAMV]:[ASH]],"")&gt;=zero_pin_thresh, "Flagged", ""))</f>
        <v/>
      </c>
      <c r="AC283" s="95" t="str">
        <f>IFERROR(IF(tblPiNAnalysis[[#This Row],[PiN más alto]]="", "", IF(tblPiNAnalysis[[#This Row],[% PiN Sectores más altos]]&gt;=flag_pin_perc, "Flagged", "")), "")</f>
        <v/>
      </c>
      <c r="AD283" s="96" t="str" cm="1">
        <f t="array" ref="AD283">IF(tblPiNAnalysis[[#This Row],[PiN más alto]]=0, "",  IF(OR(COUNTIF(tblPiNAnalysis[[#This Row],[Sectores más altos]],tblSubSectorPopulation[Sector])), "Flagged", ""))</f>
        <v/>
      </c>
      <c r="AE283" s="16" cm="1">
        <f t="array" ref="AE28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845</v>
      </c>
      <c r="AF283" s="97" t="str" cm="1">
        <f t="array" ref="AF283">IF(tblPiNAnalysis[[#This Row],[2º PiN más alto]]="", "", _xlfn.TEXTJOIN(CHAR(10), TRUE, IF(tblPiNAnalysis[[#This Row],[2º PiN más alto]]=tblPiNAnalysis[[#This Row],[SAMV]:[ASH]], tblPiNAnalysis[[#Headers],[SAMV]:[ASH]], "")))</f>
        <v>SAMV</v>
      </c>
      <c r="AG283" s="12">
        <f>IFERROR(tblPiNAnalysis[[#This Row],[2º PiN más alto]]/tblPiNAnalysis[[#This Row],[Población]], "")</f>
        <v>0.16900000000000001</v>
      </c>
      <c r="AH283" s="16">
        <f>IFERROR(tblPiNAnalysis[[#This Row],[PiN más alto]]-tblPiNAnalysis[[#This Row],[2º PiN más alto]], "")</f>
        <v>3650</v>
      </c>
      <c r="AI283" s="14">
        <f>IFERROR(((tblPiNAnalysis[[#This Row],[PiN más alto]]-tblPiNAnalysis[[#This Row],[2º PiN más alto]])/tblPiNAnalysis[[#This Row],[2º PiN más alto]]),"")</f>
        <v>4.3195266272189352</v>
      </c>
      <c r="AJ283" s="14" t="str" cm="1">
        <f t="array" ref="AJ28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83" s="98" cm="1">
        <f t="array" ref="AK28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292.25911754380951</v>
      </c>
      <c r="AL283" s="53" t="str" cm="1">
        <f t="array" ref="AL283">IF(tblPiNAnalysis[[#This Row],[3º PiN más alto]]="", "", _xlfn.TEXTJOIN(CHAR(10), TRUE, IF(tblPiNAnalysis[[#This Row],[3º PiN más alto]]=tblPiNAnalysis[[#This Row],[SAMV]:[ASH]], tblPiNAnalysis[[#Headers],[SAMV]:[ASH]], "")))</f>
        <v>EDU</v>
      </c>
      <c r="AM283" s="53">
        <f>IFERROR(tblPiNAnalysis[[#This Row],[3º PiN más alto]]/tblPiNAnalysis[[#This Row],[Población]], "")</f>
        <v>5.8451823508761901E-2</v>
      </c>
      <c r="AN283" s="15">
        <f>IFERROR(tblPiNAnalysis[[#This Row],[PiN más alto]]-tblPiNAnalysis[[#This Row],[3º PiN más alto]],"")</f>
        <v>4202.7408824561908</v>
      </c>
      <c r="AO283" s="14">
        <f>IFERROR(tblPiNAnalysis[[#This Row],[Diferencia de PiN entre el más alto y el 3º más alto]]/tblPiNAnalysis[[#This Row],[3º PiN más alto]], "")</f>
        <v>14.380187409640699</v>
      </c>
      <c r="AP283" s="96" t="str" cm="1">
        <f t="array" ref="AP28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83" s="84" cm="1">
        <f t="array" ref="AQ283">IFERROR(IF(tblPiNAnalysis[[#This Row],[ID]]="", "", INDEX(tblPiNHistorical[[SAMV]:[ASH]], MATCH(tblPiNAnalysis[[#This Row],[ID]],tblPiNHistorical[ID], 0),MATCH(_xlfn._xlws.FILTER(tblPiNAnalysis[[#Headers],[SAMV]:[ASH]], tblPiNAnalysis[[#This Row],[PiN más alto]]=tblPiNAnalysis[[#This Row],[SAMV]:[ASH]]), tblPiNHistorical[[#Headers],[SAMV]:[ASH]], 0))), "")</f>
        <v>7.7</v>
      </c>
      <c r="AR283" s="99" t="str" cm="1">
        <f t="array" ref="AR28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83" s="74" cm="1">
        <f t="array" ref="AS283">IFERROR(IF(tblPiNAnalysis[[#This Row],[ID]]="", "", INDEX(tblPiNHistorical[[SAMV]:[ASH]], MATCH(tblPiNAnalysis[[#This Row],[ID]],tblPiNHistorical[ID], 0),MATCH(_xlfn._xlws.FILTER(tblPiNAnalysis[[#Headers],[SAMV]:[ASH]], tblPiNAnalysis[[#This Row],[2º PiN más alto]]=tblPiNAnalysis[[#This Row],[SAMV]:[ASH]]), tblPiNHistorical[[#Headers],[SAMV]:[ASH]], 0))), "")</f>
        <v>9.4</v>
      </c>
      <c r="AT283" s="100" t="str" cm="1">
        <f t="array" ref="AT28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83" s="219">
        <f>INDEX(tblSeverityAnalysis[Severidad final], MATCH(tblPiNAnalysis[[#This Row],[ID]],tblSeverityAnalysis[ID], 0))</f>
        <v>2</v>
      </c>
      <c r="AV283" s="220">
        <f>IF(tblPiNAnalysis[[#This Row],[Severidad]]&gt;2,tblPiNAnalysis[[#This Row],[PiN más alto]],)</f>
        <v>0</v>
      </c>
      <c r="AW283" s="54"/>
      <c r="AX283" s="55"/>
      <c r="AY283" s="56">
        <f>COUNTIFS(tblPiNAnalysis[[#This Row],[Número de PiN ausentes/cero superior al umbral - Calidad de los datos]:[Marcador manual]],"Flagged")</f>
        <v>4</v>
      </c>
      <c r="AZ283" s="34" t="str">
        <f>IF(tblPiNAnalysis[[#This Row],[Número de marcadores]]&gt;0, "Flagged", "")</f>
        <v>Flagged</v>
      </c>
      <c r="BA283" s="92">
        <f>tblPiNAnalysis[[#This Row],[PiN preliminar]]</f>
        <v>0</v>
      </c>
      <c r="BB283" s="97"/>
      <c r="BC283" s="70">
        <f>IFERROR(IF(tblPiNAnalysis[[#This Row],[Severidad]]=3,tblPiNAnalysis[[#This Row],[PiN final]]*Umbrales!$D$33,tblPiNAnalysis[[#This Row],[PiN final]]*Umbrales!$D$34),)</f>
        <v>0</v>
      </c>
      <c r="BD283" s="70">
        <f>IFERROR(IF(tblPiNAnalysis[[#This Row],[Severidad]]&gt;3,tblPiNAnalysis[[#This Row],[PiN final]]*Umbrales!$D$34,),)</f>
        <v>0</v>
      </c>
    </row>
    <row r="284" spans="1:56">
      <c r="A284" s="101" t="str">
        <f>IFERROR(_xlfn.CONCAT(IF(tblPiNAnalysis[[#This Row],[Grupo]]="", "",tblPiNAnalysis[[#This Row],[Grupo]] ),  _xlfn.IFS(tblPiNAnalysis[[#This Row],[Admin2PCODE]]&lt;&gt;"", tblPiNAnalysis[[#This Row],[Admin2PCODE]], tblPiNAnalysis[[#This Row],[Admin1PCODE]]&lt;&gt;"", tblPiNAnalysis[[#This Row],[Admin1PCODE]])),"")</f>
        <v>VenezolanosVE1413</v>
      </c>
      <c r="B284" s="105" t="s">
        <v>411</v>
      </c>
      <c r="C284" s="104" t="s">
        <v>412</v>
      </c>
      <c r="D284" s="119" t="s">
        <v>276</v>
      </c>
      <c r="E284" s="104" t="s">
        <v>436</v>
      </c>
      <c r="F284" s="358"/>
      <c r="G284" s="357">
        <v>22370</v>
      </c>
      <c r="H284" s="103" t="s">
        <v>102</v>
      </c>
      <c r="I284" s="60">
        <v>746</v>
      </c>
      <c r="J284" s="134">
        <v>693.6631542500686</v>
      </c>
      <c r="K284" s="57">
        <v>8165.05</v>
      </c>
      <c r="L284" s="87">
        <v>1868.6308938031632</v>
      </c>
      <c r="M284" s="87">
        <v>2245.1329613171638</v>
      </c>
      <c r="N284" s="57">
        <v>0</v>
      </c>
      <c r="O284" s="57">
        <v>718.44254762149239</v>
      </c>
      <c r="P284" s="57">
        <v>785.79653646100724</v>
      </c>
      <c r="Q284" s="88">
        <f>IFERROR(IF(tblPiNAnalysis[[#This Row],[SAMV]]="", "", MROUND(tblPiNAnalysis[[#This Row],[SAMV]]/tblPiNAnalysis[[#This Row],[Población]], 0.05)), "")</f>
        <v>0.05</v>
      </c>
      <c r="R284" s="89">
        <f>IFERROR(IF(tblPiNAnalysis[[#This Row],[NUT]]="", "", MROUND(tblPiNAnalysis[[#This Row],[NUT]]/tblPiNAnalysis[[#This Row],[Población]], 0.05)), "")</f>
        <v>0.05</v>
      </c>
      <c r="S284" s="89">
        <f>IFERROR(IF(tblPiNAnalysis[[#This Row],[SAL]]="", "", MROUND(tblPiNAnalysis[[#This Row],[SAL]]/tblPiNAnalysis[[#This Row],[Población]], 0.05)), "")</f>
        <v>0.35000000000000003</v>
      </c>
      <c r="T284" s="89">
        <f>IFERROR(IF(tblPiNAnalysis[[#This Row],[EDU]]="", "", MROUND(tblPiNAnalysis[[#This Row],[EDU]]/tblPiNAnalysis[[#This Row],[Población]], 0.05)), "")</f>
        <v>0.1</v>
      </c>
      <c r="U284" s="89">
        <f>IFERROR(IF(tblPiNAnalysis[[#This Row],[PRO]]="", "", MROUND(tblPiNAnalysis[[#This Row],[PRO]]/tblPiNAnalysis[[#This Row],[Población]], 0.05)), "")</f>
        <v>0.1</v>
      </c>
      <c r="V284" s="90">
        <f>IFERROR(IF(tblPiNAnalysis[[#This Row],[ASH]]="", "", MROUND(tblPiNAnalysis[[#This Row],[ASH]]/tblPiNAnalysis[[#This Row],[Población]], 0.05)), "")</f>
        <v>0</v>
      </c>
      <c r="W284" s="89">
        <f>IFERROR(MROUND(tblPiNAnalysis[[#This Row],[NNA]]/tblPiNAnalysis[[#This Row],[Población]], 0.05), "")</f>
        <v>0.05</v>
      </c>
      <c r="X284" s="89">
        <f>IFERROR(MROUND(tblPiNAnalysis[[#This Row],[VBG]]/tblPiNAnalysis[[#This Row],[Población]], 0.05), "")</f>
        <v>0.05</v>
      </c>
      <c r="Y284" s="91">
        <f>IFERROR(LARGE(tblPiNAnalysis[[#This Row],[SAMV]:[ASH]], 1), "")</f>
        <v>8165.05</v>
      </c>
      <c r="Z284" s="92" t="str" cm="1">
        <f t="array" ref="Z284">IF(tblPiNAnalysis[[#This Row],[PiN más alto]]="", "", _xlfn.TEXTJOIN(CHAR(10), TRUE, IF(tblPiNAnalysis[[#This Row],[PiN más alto]]=tblPiNAnalysis[[#This Row],[SAMV]:[ASH]], tblPiNAnalysis[[#Headers],[SAMV]:[ASH]], "")))</f>
        <v>SAL</v>
      </c>
      <c r="AA284" s="93">
        <f>IF(tblPiNAnalysis[[#This Row],[PiN más alto]]="", "", tblPiNAnalysis[[#This Row],[PiN más alto]]/tblPiNAnalysis[[#This Row],[Población]])</f>
        <v>0.36499999999999999</v>
      </c>
      <c r="AB284" s="94" t="str">
        <f>IF(SUM(tblPiNAnalysis[[#This Row],[SAMV]:[ASH]])=0, "",IF(COUNTIF(tblPiNAnalysis[[#This Row],[SAMV]:[ASH]],"=0")+COUNTIF(tblPiNAnalysis[[#This Row],[SAMV]:[ASH]],"")&gt;=zero_pin_thresh, "Flagged", ""))</f>
        <v/>
      </c>
      <c r="AC284" s="95" t="str">
        <f>IFERROR(IF(tblPiNAnalysis[[#This Row],[PiN más alto]]="", "", IF(tblPiNAnalysis[[#This Row],[% PiN Sectores más altos]]&gt;=flag_pin_perc, "Flagged", "")), "")</f>
        <v/>
      </c>
      <c r="AD284" s="96" t="str" cm="1">
        <f t="array" ref="AD284">IF(tblPiNAnalysis[[#This Row],[PiN más alto]]=0, "",  IF(OR(COUNTIF(tblPiNAnalysis[[#This Row],[Sectores más altos]],tblSubSectorPopulation[Sector])), "Flagged", ""))</f>
        <v/>
      </c>
      <c r="AE284" s="16" cm="1">
        <f t="array" ref="AE28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2245.1329613171638</v>
      </c>
      <c r="AF284" s="97" t="str" cm="1">
        <f t="array" ref="AF284">IF(tblPiNAnalysis[[#This Row],[2º PiN más alto]]="", "", _xlfn.TEXTJOIN(CHAR(10), TRUE, IF(tblPiNAnalysis[[#This Row],[2º PiN más alto]]=tblPiNAnalysis[[#This Row],[SAMV]:[ASH]], tblPiNAnalysis[[#Headers],[SAMV]:[ASH]], "")))</f>
        <v>PRO</v>
      </c>
      <c r="AG284" s="12">
        <f>IFERROR(tblPiNAnalysis[[#This Row],[2º PiN más alto]]/tblPiNAnalysis[[#This Row],[Población]], "")</f>
        <v>0.10036356554837567</v>
      </c>
      <c r="AH284" s="16">
        <f>IFERROR(tblPiNAnalysis[[#This Row],[PiN más alto]]-tblPiNAnalysis[[#This Row],[2º PiN más alto]], "")</f>
        <v>5919.9170386828364</v>
      </c>
      <c r="AI284" s="14">
        <f>IFERROR(((tblPiNAnalysis[[#This Row],[PiN más alto]]-tblPiNAnalysis[[#This Row],[2º PiN más alto]])/tblPiNAnalysis[[#This Row],[2º PiN más alto]]),"")</f>
        <v>2.6367779283814747</v>
      </c>
      <c r="AJ284" s="14" t="str" cm="1">
        <f t="array" ref="AJ28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84" s="98" cm="1">
        <f t="array" ref="AK28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1868.6308938031632</v>
      </c>
      <c r="AL284" s="53" t="str" cm="1">
        <f t="array" ref="AL284">IF(tblPiNAnalysis[[#This Row],[3º PiN más alto]]="", "", _xlfn.TEXTJOIN(CHAR(10), TRUE, IF(tblPiNAnalysis[[#This Row],[3º PiN más alto]]=tblPiNAnalysis[[#This Row],[SAMV]:[ASH]], tblPiNAnalysis[[#Headers],[SAMV]:[ASH]], "")))</f>
        <v>EDU</v>
      </c>
      <c r="AM284" s="53">
        <f>IFERROR(tblPiNAnalysis[[#This Row],[3º PiN más alto]]/tblPiNAnalysis[[#This Row],[Población]], "")</f>
        <v>8.3532896459685438E-2</v>
      </c>
      <c r="AN284" s="15">
        <f>IFERROR(tblPiNAnalysis[[#This Row],[PiN más alto]]-tblPiNAnalysis[[#This Row],[3º PiN más alto]],"")</f>
        <v>6296.4191061968368</v>
      </c>
      <c r="AO284" s="14">
        <f>IFERROR(tblPiNAnalysis[[#This Row],[Diferencia de PiN entre el más alto y el 3º más alto]]/tblPiNAnalysis[[#This Row],[3º PiN más alto]], "")</f>
        <v>3.3695360207718399</v>
      </c>
      <c r="AP284" s="96" t="str" cm="1">
        <f t="array" ref="AP28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84" s="84" cm="1">
        <f t="array" ref="AQ284">IFERROR(IF(tblPiNAnalysis[[#This Row],[ID]]="", "", INDEX(tblPiNHistorical[[SAMV]:[ASH]], MATCH(tblPiNAnalysis[[#This Row],[ID]],tblPiNHistorical[ID], 0),MATCH(_xlfn._xlws.FILTER(tblPiNAnalysis[[#Headers],[SAMV]:[ASH]], tblPiNAnalysis[[#This Row],[PiN más alto]]=tblPiNAnalysis[[#This Row],[SAMV]:[ASH]]), tblPiNHistorical[[#Headers],[SAMV]:[ASH]], 0))), "")</f>
        <v>0.5</v>
      </c>
      <c r="AR284" s="99" t="str" cm="1">
        <f t="array" ref="AR28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84" s="74" cm="1">
        <f t="array" ref="AS284">IFERROR(IF(tblPiNAnalysis[[#This Row],[ID]]="", "", INDEX(tblPiNHistorical[[SAMV]:[ASH]], MATCH(tblPiNAnalysis[[#This Row],[ID]],tblPiNHistorical[ID], 0),MATCH(_xlfn._xlws.FILTER(tblPiNAnalysis[[#Headers],[SAMV]:[ASH]], tblPiNAnalysis[[#This Row],[2º PiN más alto]]=tblPiNAnalysis[[#This Row],[SAMV]:[ASH]]), tblPiNHistorical[[#Headers],[SAMV]:[ASH]], 0))), "")</f>
        <v>-0.5</v>
      </c>
      <c r="AT284" s="100" t="str" cm="1">
        <f t="array" ref="AT28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84" s="219">
        <f>INDEX(tblSeverityAnalysis[Severidad final], MATCH(tblPiNAnalysis[[#This Row],[ID]],tblSeverityAnalysis[ID], 0))</f>
        <v>2</v>
      </c>
      <c r="AV284" s="220">
        <f>IF(tblPiNAnalysis[[#This Row],[Severidad]]&gt;2,tblPiNAnalysis[[#This Row],[PiN más alto]],)</f>
        <v>0</v>
      </c>
      <c r="AW284" s="54"/>
      <c r="AX284" s="55"/>
      <c r="AY284" s="56">
        <f>COUNTIFS(tblPiNAnalysis[[#This Row],[Número de PiN ausentes/cero superior al umbral - Calidad de los datos]:[Marcador manual]],"Flagged")</f>
        <v>2</v>
      </c>
      <c r="AZ284" s="34" t="str">
        <f>IF(tblPiNAnalysis[[#This Row],[Número de marcadores]]&gt;0, "Flagged", "")</f>
        <v>Flagged</v>
      </c>
      <c r="BA284" s="92">
        <f>tblPiNAnalysis[[#This Row],[PiN preliminar]]</f>
        <v>0</v>
      </c>
      <c r="BB284" s="97"/>
      <c r="BC284" s="70">
        <f>IFERROR(IF(tblPiNAnalysis[[#This Row],[Severidad]]=3,tblPiNAnalysis[[#This Row],[PiN final]]*Umbrales!$D$33,tblPiNAnalysis[[#This Row],[PiN final]]*Umbrales!$D$34),)</f>
        <v>0</v>
      </c>
      <c r="BD284" s="70">
        <f>IFERROR(IF(tblPiNAnalysis[[#This Row],[Severidad]]&gt;3,tblPiNAnalysis[[#This Row],[PiN final]]*Umbrales!$D$34,),)</f>
        <v>0</v>
      </c>
    </row>
    <row r="285" spans="1:56">
      <c r="A285" s="101" t="str">
        <f>IFERROR(_xlfn.CONCAT(IF(tblPiNAnalysis[[#This Row],[Grupo]]="", "",tblPiNAnalysis[[#This Row],[Grupo]] ),  _xlfn.IFS(tblPiNAnalysis[[#This Row],[Admin2PCODE]]&lt;&gt;"", tblPiNAnalysis[[#This Row],[Admin2PCODE]], tblPiNAnalysis[[#This Row],[Admin1PCODE]]&lt;&gt;"", tblPiNAnalysis[[#This Row],[Admin1PCODE]])),"")</f>
        <v>VenezolanosVE1414</v>
      </c>
      <c r="B285" s="105" t="s">
        <v>411</v>
      </c>
      <c r="C285" s="104" t="s">
        <v>412</v>
      </c>
      <c r="D285" s="119" t="s">
        <v>831</v>
      </c>
      <c r="E285" s="104" t="s">
        <v>438</v>
      </c>
      <c r="F285" s="358"/>
      <c r="G285" s="357">
        <v>25338</v>
      </c>
      <c r="H285" s="103" t="s">
        <v>102</v>
      </c>
      <c r="I285" s="60">
        <v>7679</v>
      </c>
      <c r="J285" s="134">
        <v>857.33692726325989</v>
      </c>
      <c r="K285" s="57">
        <v>9248.3700000000008</v>
      </c>
      <c r="L285" s="87">
        <v>1349.8584867288907</v>
      </c>
      <c r="M285" s="87">
        <v>2543.0120238647428</v>
      </c>
      <c r="N285" s="57">
        <v>0</v>
      </c>
      <c r="O285" s="57">
        <v>813.76384763671763</v>
      </c>
      <c r="P285" s="57">
        <v>890.05420835265988</v>
      </c>
      <c r="Q285" s="88">
        <f>IFERROR(IF(tblPiNAnalysis[[#This Row],[SAMV]]="", "", MROUND(tblPiNAnalysis[[#This Row],[SAMV]]/tblPiNAnalysis[[#This Row],[Población]], 0.05)), "")</f>
        <v>0.30000000000000004</v>
      </c>
      <c r="R285" s="89">
        <f>IFERROR(IF(tblPiNAnalysis[[#This Row],[NUT]]="", "", MROUND(tblPiNAnalysis[[#This Row],[NUT]]/tblPiNAnalysis[[#This Row],[Población]], 0.05)), "")</f>
        <v>0.05</v>
      </c>
      <c r="S285" s="89">
        <f>IFERROR(IF(tblPiNAnalysis[[#This Row],[SAL]]="", "", MROUND(tblPiNAnalysis[[#This Row],[SAL]]/tblPiNAnalysis[[#This Row],[Población]], 0.05)), "")</f>
        <v>0.35000000000000003</v>
      </c>
      <c r="T285" s="89">
        <f>IFERROR(IF(tblPiNAnalysis[[#This Row],[EDU]]="", "", MROUND(tblPiNAnalysis[[#This Row],[EDU]]/tblPiNAnalysis[[#This Row],[Población]], 0.05)), "")</f>
        <v>0.05</v>
      </c>
      <c r="U285" s="89">
        <f>IFERROR(IF(tblPiNAnalysis[[#This Row],[PRO]]="", "", MROUND(tblPiNAnalysis[[#This Row],[PRO]]/tblPiNAnalysis[[#This Row],[Población]], 0.05)), "")</f>
        <v>0.1</v>
      </c>
      <c r="V285" s="90">
        <f>IFERROR(IF(tblPiNAnalysis[[#This Row],[ASH]]="", "", MROUND(tblPiNAnalysis[[#This Row],[ASH]]/tblPiNAnalysis[[#This Row],[Población]], 0.05)), "")</f>
        <v>0</v>
      </c>
      <c r="W285" s="89">
        <f>IFERROR(MROUND(tblPiNAnalysis[[#This Row],[NNA]]/tblPiNAnalysis[[#This Row],[Población]], 0.05), "")</f>
        <v>0.05</v>
      </c>
      <c r="X285" s="89">
        <f>IFERROR(MROUND(tblPiNAnalysis[[#This Row],[VBG]]/tblPiNAnalysis[[#This Row],[Población]], 0.05), "")</f>
        <v>0.05</v>
      </c>
      <c r="Y285" s="91">
        <f>IFERROR(LARGE(tblPiNAnalysis[[#This Row],[SAMV]:[ASH]], 1), "")</f>
        <v>9248.3700000000008</v>
      </c>
      <c r="Z285" s="92" t="str" cm="1">
        <f t="array" ref="Z285">IF(tblPiNAnalysis[[#This Row],[PiN más alto]]="", "", _xlfn.TEXTJOIN(CHAR(10), TRUE, IF(tblPiNAnalysis[[#This Row],[PiN más alto]]=tblPiNAnalysis[[#This Row],[SAMV]:[ASH]], tblPiNAnalysis[[#Headers],[SAMV]:[ASH]], "")))</f>
        <v>SAL</v>
      </c>
      <c r="AA285" s="93">
        <f>IF(tblPiNAnalysis[[#This Row],[PiN más alto]]="", "", tblPiNAnalysis[[#This Row],[PiN más alto]]/tblPiNAnalysis[[#This Row],[Población]])</f>
        <v>0.36500000000000005</v>
      </c>
      <c r="AB285" s="94" t="str">
        <f>IF(SUM(tblPiNAnalysis[[#This Row],[SAMV]:[ASH]])=0, "",IF(COUNTIF(tblPiNAnalysis[[#This Row],[SAMV]:[ASH]],"=0")+COUNTIF(tblPiNAnalysis[[#This Row],[SAMV]:[ASH]],"")&gt;=zero_pin_thresh, "Flagged", ""))</f>
        <v/>
      </c>
      <c r="AC285" s="95" t="str">
        <f>IFERROR(IF(tblPiNAnalysis[[#This Row],[PiN más alto]]="", "", IF(tblPiNAnalysis[[#This Row],[% PiN Sectores más altos]]&gt;=flag_pin_perc, "Flagged", "")), "")</f>
        <v/>
      </c>
      <c r="AD285" s="96" t="str" cm="1">
        <f t="array" ref="AD285">IF(tblPiNAnalysis[[#This Row],[PiN más alto]]=0, "",  IF(OR(COUNTIF(tblPiNAnalysis[[#This Row],[Sectores más altos]],tblSubSectorPopulation[Sector])), "Flagged", ""))</f>
        <v/>
      </c>
      <c r="AE285" s="16" cm="1">
        <f t="array" ref="AE28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7679</v>
      </c>
      <c r="AF285" s="97" t="str" cm="1">
        <f t="array" ref="AF285">IF(tblPiNAnalysis[[#This Row],[2º PiN más alto]]="", "", _xlfn.TEXTJOIN(CHAR(10), TRUE, IF(tblPiNAnalysis[[#This Row],[2º PiN más alto]]=tblPiNAnalysis[[#This Row],[SAMV]:[ASH]], tblPiNAnalysis[[#Headers],[SAMV]:[ASH]], "")))</f>
        <v>SAMV</v>
      </c>
      <c r="AG285" s="12">
        <f>IFERROR(tblPiNAnalysis[[#This Row],[2º PiN más alto]]/tblPiNAnalysis[[#This Row],[Población]], "")</f>
        <v>0.30306259373273342</v>
      </c>
      <c r="AH285" s="16">
        <f>IFERROR(tblPiNAnalysis[[#This Row],[PiN más alto]]-tblPiNAnalysis[[#This Row],[2º PiN más alto]], "")</f>
        <v>1569.3700000000008</v>
      </c>
      <c r="AI285" s="14">
        <f>IFERROR(((tblPiNAnalysis[[#This Row],[PiN más alto]]-tblPiNAnalysis[[#This Row],[2º PiN más alto]])/tblPiNAnalysis[[#This Row],[2º PiN más alto]]),"")</f>
        <v>0.20437166297695022</v>
      </c>
      <c r="AJ285" s="14" t="str" cm="1">
        <f t="array" ref="AJ28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285" s="98" cm="1">
        <f t="array" ref="AK28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2543.0120238647428</v>
      </c>
      <c r="AL285" s="53" t="str" cm="1">
        <f t="array" ref="AL285">IF(tblPiNAnalysis[[#This Row],[3º PiN más alto]]="", "", _xlfn.TEXTJOIN(CHAR(10), TRUE, IF(tblPiNAnalysis[[#This Row],[3º PiN más alto]]=tblPiNAnalysis[[#This Row],[SAMV]:[ASH]], tblPiNAnalysis[[#Headers],[SAMV]:[ASH]], "")))</f>
        <v>PRO</v>
      </c>
      <c r="AM285" s="53">
        <f>IFERROR(tblPiNAnalysis[[#This Row],[3º PiN más alto]]/tblPiNAnalysis[[#This Row],[Población]], "")</f>
        <v>0.10036356554837567</v>
      </c>
      <c r="AN285" s="15">
        <f>IFERROR(tblPiNAnalysis[[#This Row],[PiN más alto]]-tblPiNAnalysis[[#This Row],[3º PiN más alto]],"")</f>
        <v>6705.3579761352576</v>
      </c>
      <c r="AO285" s="14">
        <f>IFERROR(tblPiNAnalysis[[#This Row],[Diferencia de PiN entre el más alto y el 3º más alto]]/tblPiNAnalysis[[#This Row],[3º PiN más alto]], "")</f>
        <v>2.6367779283814747</v>
      </c>
      <c r="AP285" s="96" t="str" cm="1">
        <f t="array" ref="AP28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85" s="84" cm="1">
        <f t="array" ref="AQ285">IFERROR(IF(tblPiNAnalysis[[#This Row],[ID]]="", "", INDEX(tblPiNHistorical[[SAMV]:[ASH]], MATCH(tblPiNAnalysis[[#This Row],[ID]],tblPiNHistorical[ID], 0),MATCH(_xlfn._xlws.FILTER(tblPiNAnalysis[[#Headers],[SAMV]:[ASH]], tblPiNAnalysis[[#This Row],[PiN más alto]]=tblPiNAnalysis[[#This Row],[SAMV]:[ASH]]), tblPiNHistorical[[#Headers],[SAMV]:[ASH]], 0))), "")</f>
        <v>0.6</v>
      </c>
      <c r="AR285" s="99" t="str" cm="1">
        <f t="array" ref="AR28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85" s="74" cm="1">
        <f t="array" ref="AS285">IFERROR(IF(tblPiNAnalysis[[#This Row],[ID]]="", "", INDEX(tblPiNHistorical[[SAMV]:[ASH]], MATCH(tblPiNAnalysis[[#This Row],[ID]],tblPiNHistorical[ID], 0),MATCH(_xlfn._xlws.FILTER(tblPiNAnalysis[[#Headers],[SAMV]:[ASH]], tblPiNAnalysis[[#This Row],[2º PiN más alto]]=tblPiNAnalysis[[#This Row],[SAMV]:[ASH]]), tblPiNHistorical[[#Headers],[SAMV]:[ASH]], 0))), "")</f>
        <v>0</v>
      </c>
      <c r="AT285" s="100" t="str" cm="1">
        <f t="array" ref="AT28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85" s="219">
        <f>INDEX(tblSeverityAnalysis[Severidad final], MATCH(tblPiNAnalysis[[#This Row],[ID]],tblSeverityAnalysis[ID], 0))</f>
        <v>2</v>
      </c>
      <c r="AV285" s="220">
        <f>IF(tblPiNAnalysis[[#This Row],[Severidad]]&gt;2,tblPiNAnalysis[[#This Row],[PiN más alto]],)</f>
        <v>0</v>
      </c>
      <c r="AW285" s="54"/>
      <c r="AX285" s="55"/>
      <c r="AY285" s="56">
        <f>COUNTIFS(tblPiNAnalysis[[#This Row],[Número de PiN ausentes/cero superior al umbral - Calidad de los datos]:[Marcador manual]],"Flagged")</f>
        <v>1</v>
      </c>
      <c r="AZ285" s="34" t="str">
        <f>IF(tblPiNAnalysis[[#This Row],[Número de marcadores]]&gt;0, "Flagged", "")</f>
        <v>Flagged</v>
      </c>
      <c r="BA285" s="92">
        <f>tblPiNAnalysis[[#This Row],[PiN preliminar]]</f>
        <v>0</v>
      </c>
      <c r="BB285" s="97"/>
      <c r="BC285" s="70">
        <f>IFERROR(IF(tblPiNAnalysis[[#This Row],[Severidad]]=3,tblPiNAnalysis[[#This Row],[PiN final]]*Umbrales!$D$33,tblPiNAnalysis[[#This Row],[PiN final]]*Umbrales!$D$34),)</f>
        <v>0</v>
      </c>
      <c r="BD285" s="70">
        <f>IFERROR(IF(tblPiNAnalysis[[#This Row],[Severidad]]&gt;3,tblPiNAnalysis[[#This Row],[PiN final]]*Umbrales!$D$34,),)</f>
        <v>0</v>
      </c>
    </row>
    <row r="286" spans="1:56">
      <c r="A286" s="101" t="str">
        <f>IFERROR(_xlfn.CONCAT(IF(tblPiNAnalysis[[#This Row],[Grupo]]="", "",tblPiNAnalysis[[#This Row],[Grupo]] ),  _xlfn.IFS(tblPiNAnalysis[[#This Row],[Admin2PCODE]]&lt;&gt;"", tblPiNAnalysis[[#This Row],[Admin2PCODE]], tblPiNAnalysis[[#This Row],[Admin1PCODE]]&lt;&gt;"", tblPiNAnalysis[[#This Row],[Admin1PCODE]])),"")</f>
        <v>VenezolanosVE1415</v>
      </c>
      <c r="B286" s="105" t="s">
        <v>411</v>
      </c>
      <c r="C286" s="104" t="s">
        <v>412</v>
      </c>
      <c r="D286" s="119" t="s">
        <v>439</v>
      </c>
      <c r="E286" s="104" t="s">
        <v>440</v>
      </c>
      <c r="F286" s="358"/>
      <c r="G286" s="357">
        <v>3259</v>
      </c>
      <c r="H286" s="103" t="s">
        <v>102</v>
      </c>
      <c r="I286" s="60">
        <v>551</v>
      </c>
      <c r="J286" s="134">
        <v>101.06160878920954</v>
      </c>
      <c r="K286" s="57">
        <v>2550.4</v>
      </c>
      <c r="L286" s="87">
        <v>349.47561915041911</v>
      </c>
      <c r="M286" s="87">
        <v>327.0848601221565</v>
      </c>
      <c r="N286" s="57">
        <v>0</v>
      </c>
      <c r="O286" s="57">
        <v>104.99424009921225</v>
      </c>
      <c r="P286" s="57">
        <v>114.47970104275477</v>
      </c>
      <c r="Q286" s="88">
        <f>IFERROR(IF(tblPiNAnalysis[[#This Row],[SAMV]]="", "", MROUND(tblPiNAnalysis[[#This Row],[SAMV]]/tblPiNAnalysis[[#This Row],[Población]], 0.05)), "")</f>
        <v>0.15000000000000002</v>
      </c>
      <c r="R286" s="89">
        <f>IFERROR(IF(tblPiNAnalysis[[#This Row],[NUT]]="", "", MROUND(tblPiNAnalysis[[#This Row],[NUT]]/tblPiNAnalysis[[#This Row],[Población]], 0.05)), "")</f>
        <v>0.05</v>
      </c>
      <c r="S286" s="89">
        <f>IFERROR(IF(tblPiNAnalysis[[#This Row],[SAL]]="", "", MROUND(tblPiNAnalysis[[#This Row],[SAL]]/tblPiNAnalysis[[#This Row],[Población]], 0.05)), "")</f>
        <v>0.8</v>
      </c>
      <c r="T286" s="89">
        <f>IFERROR(IF(tblPiNAnalysis[[#This Row],[EDU]]="", "", MROUND(tblPiNAnalysis[[#This Row],[EDU]]/tblPiNAnalysis[[#This Row],[Población]], 0.05)), "")</f>
        <v>0.1</v>
      </c>
      <c r="U286" s="89">
        <f>IFERROR(IF(tblPiNAnalysis[[#This Row],[PRO]]="", "", MROUND(tblPiNAnalysis[[#This Row],[PRO]]/tblPiNAnalysis[[#This Row],[Población]], 0.05)), "")</f>
        <v>0.1</v>
      </c>
      <c r="V286" s="90">
        <f>IFERROR(IF(tblPiNAnalysis[[#This Row],[ASH]]="", "", MROUND(tblPiNAnalysis[[#This Row],[ASH]]/tblPiNAnalysis[[#This Row],[Población]], 0.05)), "")</f>
        <v>0</v>
      </c>
      <c r="W286" s="89">
        <f>IFERROR(MROUND(tblPiNAnalysis[[#This Row],[NNA]]/tblPiNAnalysis[[#This Row],[Población]], 0.05), "")</f>
        <v>0.05</v>
      </c>
      <c r="X286" s="89">
        <f>IFERROR(MROUND(tblPiNAnalysis[[#This Row],[VBG]]/tblPiNAnalysis[[#This Row],[Población]], 0.05), "")</f>
        <v>0.05</v>
      </c>
      <c r="Y286" s="91">
        <f>IFERROR(LARGE(tblPiNAnalysis[[#This Row],[SAMV]:[ASH]], 1), "")</f>
        <v>2550.4</v>
      </c>
      <c r="Z286" s="92" t="str" cm="1">
        <f t="array" ref="Z286">IF(tblPiNAnalysis[[#This Row],[PiN más alto]]="", "", _xlfn.TEXTJOIN(CHAR(10), TRUE, IF(tblPiNAnalysis[[#This Row],[PiN más alto]]=tblPiNAnalysis[[#This Row],[SAMV]:[ASH]], tblPiNAnalysis[[#Headers],[SAMV]:[ASH]], "")))</f>
        <v>SAL</v>
      </c>
      <c r="AA286" s="93">
        <f>IF(tblPiNAnalysis[[#This Row],[PiN más alto]]="", "", tblPiNAnalysis[[#This Row],[PiN más alto]]/tblPiNAnalysis[[#This Row],[Población]])</f>
        <v>0.78257134090211722</v>
      </c>
      <c r="AB286" s="94" t="str">
        <f>IF(SUM(tblPiNAnalysis[[#This Row],[SAMV]:[ASH]])=0, "",IF(COUNTIF(tblPiNAnalysis[[#This Row],[SAMV]:[ASH]],"=0")+COUNTIF(tblPiNAnalysis[[#This Row],[SAMV]:[ASH]],"")&gt;=zero_pin_thresh, "Flagged", ""))</f>
        <v/>
      </c>
      <c r="AC286" s="95" t="str">
        <f>IFERROR(IF(tblPiNAnalysis[[#This Row],[PiN más alto]]="", "", IF(tblPiNAnalysis[[#This Row],[% PiN Sectores más altos]]&gt;=flag_pin_perc, "Flagged", "")), "")</f>
        <v/>
      </c>
      <c r="AD286" s="96" t="str" cm="1">
        <f t="array" ref="AD286">IF(tblPiNAnalysis[[#This Row],[PiN más alto]]=0, "",  IF(OR(COUNTIF(tblPiNAnalysis[[#This Row],[Sectores más altos]],tblSubSectorPopulation[Sector])), "Flagged", ""))</f>
        <v/>
      </c>
      <c r="AE286" s="16" cm="1">
        <f t="array" ref="AE28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551</v>
      </c>
      <c r="AF286" s="97" t="str" cm="1">
        <f t="array" ref="AF286">IF(tblPiNAnalysis[[#This Row],[2º PiN más alto]]="", "", _xlfn.TEXTJOIN(CHAR(10), TRUE, IF(tblPiNAnalysis[[#This Row],[2º PiN más alto]]=tblPiNAnalysis[[#This Row],[SAMV]:[ASH]], tblPiNAnalysis[[#Headers],[SAMV]:[ASH]], "")))</f>
        <v>SAMV</v>
      </c>
      <c r="AG286" s="12">
        <f>IFERROR(tblPiNAnalysis[[#This Row],[2º PiN más alto]]/tblPiNAnalysis[[#This Row],[Población]], "")</f>
        <v>0.16907026695305308</v>
      </c>
      <c r="AH286" s="16">
        <f>IFERROR(tblPiNAnalysis[[#This Row],[PiN más alto]]-tblPiNAnalysis[[#This Row],[2º PiN más alto]], "")</f>
        <v>1999.4</v>
      </c>
      <c r="AI286" s="14">
        <f>IFERROR(((tblPiNAnalysis[[#This Row],[PiN más alto]]-tblPiNAnalysis[[#This Row],[2º PiN más alto]])/tblPiNAnalysis[[#This Row],[2º PiN más alto]]),"")</f>
        <v>3.6286751361161524</v>
      </c>
      <c r="AJ286" s="14" t="str" cm="1">
        <f t="array" ref="AJ28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86" s="98" cm="1">
        <f t="array" ref="AK28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349.47561915041911</v>
      </c>
      <c r="AL286" s="53" t="str" cm="1">
        <f t="array" ref="AL286">IF(tblPiNAnalysis[[#This Row],[3º PiN más alto]]="", "", _xlfn.TEXTJOIN(CHAR(10), TRUE, IF(tblPiNAnalysis[[#This Row],[3º PiN más alto]]=tblPiNAnalysis[[#This Row],[SAMV]:[ASH]], tblPiNAnalysis[[#Headers],[SAMV]:[ASH]], "")))</f>
        <v>EDU</v>
      </c>
      <c r="AM286" s="53">
        <f>IFERROR(tblPiNAnalysis[[#This Row],[3º PiN más alto]]/tblPiNAnalysis[[#This Row],[Población]], "")</f>
        <v>0.10723400403510866</v>
      </c>
      <c r="AN286" s="15">
        <f>IFERROR(tblPiNAnalysis[[#This Row],[PiN más alto]]-tblPiNAnalysis[[#This Row],[3º PiN más alto]],"")</f>
        <v>2200.9243808495812</v>
      </c>
      <c r="AO286" s="14">
        <f>IFERROR(tblPiNAnalysis[[#This Row],[Diferencia de PiN entre el más alto y el 3º más alto]]/tblPiNAnalysis[[#This Row],[3º PiN más alto]], "")</f>
        <v>6.297790919435422</v>
      </c>
      <c r="AP286" s="96" t="str" cm="1">
        <f t="array" ref="AP28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86" s="84" cm="1">
        <f t="array" ref="AQ286">IFERROR(IF(tblPiNAnalysis[[#This Row],[ID]]="", "", INDEX(tblPiNHistorical[[SAMV]:[ASH]], MATCH(tblPiNAnalysis[[#This Row],[ID]],tblPiNHistorical[ID], 0),MATCH(_xlfn._xlws.FILTER(tblPiNAnalysis[[#Headers],[SAMV]:[ASH]], tblPiNAnalysis[[#This Row],[PiN más alto]]=tblPiNAnalysis[[#This Row],[SAMV]:[ASH]]), tblPiNHistorical[[#Headers],[SAMV]:[ASH]], 0))), "")</f>
        <v>11.6</v>
      </c>
      <c r="AR286" s="99" t="str" cm="1">
        <f t="array" ref="AR28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86" s="74" cm="1">
        <f t="array" ref="AS286">IFERROR(IF(tblPiNAnalysis[[#This Row],[ID]]="", "", INDEX(tblPiNHistorical[[SAMV]:[ASH]], MATCH(tblPiNAnalysis[[#This Row],[ID]],tblPiNHistorical[ID], 0),MATCH(_xlfn._xlws.FILTER(tblPiNAnalysis[[#Headers],[SAMV]:[ASH]], tblPiNAnalysis[[#This Row],[2º PiN más alto]]=tblPiNAnalysis[[#This Row],[SAMV]:[ASH]]), tblPiNHistorical[[#Headers],[SAMV]:[ASH]], 0))), "")</f>
        <v>13.3</v>
      </c>
      <c r="AT286" s="100" t="str" cm="1">
        <f t="array" ref="AT28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286" s="219">
        <f>INDEX(tblSeverityAnalysis[Severidad final], MATCH(tblPiNAnalysis[[#This Row],[ID]],tblSeverityAnalysis[ID], 0))</f>
        <v>2</v>
      </c>
      <c r="AV286" s="220">
        <f>IF(tblPiNAnalysis[[#This Row],[Severidad]]&gt;2,tblPiNAnalysis[[#This Row],[PiN más alto]],)</f>
        <v>0</v>
      </c>
      <c r="AW286" s="54"/>
      <c r="AX286" s="55"/>
      <c r="AY286" s="56">
        <f>COUNTIFS(tblPiNAnalysis[[#This Row],[Número de PiN ausentes/cero superior al umbral - Calidad de los datos]:[Marcador manual]],"Flagged")</f>
        <v>4</v>
      </c>
      <c r="AZ286" s="34" t="str">
        <f>IF(tblPiNAnalysis[[#This Row],[Número de marcadores]]&gt;0, "Flagged", "")</f>
        <v>Flagged</v>
      </c>
      <c r="BA286" s="92">
        <f>tblPiNAnalysis[[#This Row],[PiN preliminar]]</f>
        <v>0</v>
      </c>
      <c r="BB286" s="97"/>
      <c r="BC286" s="70">
        <f>IFERROR(IF(tblPiNAnalysis[[#This Row],[Severidad]]=3,tblPiNAnalysis[[#This Row],[PiN final]]*Umbrales!$D$33,tblPiNAnalysis[[#This Row],[PiN final]]*Umbrales!$D$34),)</f>
        <v>0</v>
      </c>
      <c r="BD286" s="70">
        <f>IFERROR(IF(tblPiNAnalysis[[#This Row],[Severidad]]&gt;3,tblPiNAnalysis[[#This Row],[PiN final]]*Umbrales!$D$34,),)</f>
        <v>0</v>
      </c>
    </row>
    <row r="287" spans="1:56">
      <c r="A287" s="101" t="str">
        <f>IFERROR(_xlfn.CONCAT(IF(tblPiNAnalysis[[#This Row],[Grupo]]="", "",tblPiNAnalysis[[#This Row],[Grupo]] ),  _xlfn.IFS(tblPiNAnalysis[[#This Row],[Admin2PCODE]]&lt;&gt;"", tblPiNAnalysis[[#This Row],[Admin2PCODE]], tblPiNAnalysis[[#This Row],[Admin1PCODE]]&lt;&gt;"", tblPiNAnalysis[[#This Row],[Admin1PCODE]])),"")</f>
        <v>VenezolanosVE1416</v>
      </c>
      <c r="B287" s="105" t="s">
        <v>411</v>
      </c>
      <c r="C287" s="104" t="s">
        <v>412</v>
      </c>
      <c r="D287" s="119" t="s">
        <v>441</v>
      </c>
      <c r="E287" s="104" t="s">
        <v>442</v>
      </c>
      <c r="F287" s="358"/>
      <c r="G287" s="357">
        <v>10959</v>
      </c>
      <c r="H287" s="103" t="s">
        <v>102</v>
      </c>
      <c r="I287" s="60">
        <v>731</v>
      </c>
      <c r="J287" s="134">
        <v>361.92584057595525</v>
      </c>
      <c r="K287" s="57">
        <v>4900</v>
      </c>
      <c r="L287" s="87">
        <v>568.89259314690139</v>
      </c>
      <c r="M287" s="87">
        <v>1099.884314844649</v>
      </c>
      <c r="N287" s="57">
        <v>0</v>
      </c>
      <c r="O287" s="57">
        <v>351.96298075028767</v>
      </c>
      <c r="P287" s="57">
        <v>384.9595101956271</v>
      </c>
      <c r="Q287" s="88">
        <f>IFERROR(IF(tblPiNAnalysis[[#This Row],[SAMV]]="", "", MROUND(tblPiNAnalysis[[#This Row],[SAMV]]/tblPiNAnalysis[[#This Row],[Población]], 0.05)), "")</f>
        <v>0.05</v>
      </c>
      <c r="R287" s="89">
        <f>IFERROR(IF(tblPiNAnalysis[[#This Row],[NUT]]="", "", MROUND(tblPiNAnalysis[[#This Row],[NUT]]/tblPiNAnalysis[[#This Row],[Población]], 0.05)), "")</f>
        <v>0.05</v>
      </c>
      <c r="S287" s="89">
        <f>IFERROR(IF(tblPiNAnalysis[[#This Row],[SAL]]="", "", MROUND(tblPiNAnalysis[[#This Row],[SAL]]/tblPiNAnalysis[[#This Row],[Población]], 0.05)), "")</f>
        <v>0.45</v>
      </c>
      <c r="T287" s="89">
        <f>IFERROR(IF(tblPiNAnalysis[[#This Row],[EDU]]="", "", MROUND(tblPiNAnalysis[[#This Row],[EDU]]/tblPiNAnalysis[[#This Row],[Población]], 0.05)), "")</f>
        <v>0.05</v>
      </c>
      <c r="U287" s="89">
        <f>IFERROR(IF(tblPiNAnalysis[[#This Row],[PRO]]="", "", MROUND(tblPiNAnalysis[[#This Row],[PRO]]/tblPiNAnalysis[[#This Row],[Población]], 0.05)), "")</f>
        <v>0.1</v>
      </c>
      <c r="V287" s="90">
        <f>IFERROR(IF(tblPiNAnalysis[[#This Row],[ASH]]="", "", MROUND(tblPiNAnalysis[[#This Row],[ASH]]/tblPiNAnalysis[[#This Row],[Población]], 0.05)), "")</f>
        <v>0</v>
      </c>
      <c r="W287" s="89">
        <f>IFERROR(MROUND(tblPiNAnalysis[[#This Row],[NNA]]/tblPiNAnalysis[[#This Row],[Población]], 0.05), "")</f>
        <v>0.05</v>
      </c>
      <c r="X287" s="89">
        <f>IFERROR(MROUND(tblPiNAnalysis[[#This Row],[VBG]]/tblPiNAnalysis[[#This Row],[Población]], 0.05), "")</f>
        <v>0.05</v>
      </c>
      <c r="Y287" s="91">
        <f>IFERROR(LARGE(tblPiNAnalysis[[#This Row],[SAMV]:[ASH]], 1), "")</f>
        <v>4900</v>
      </c>
      <c r="Z287" s="92" t="str" cm="1">
        <f t="array" ref="Z287">IF(tblPiNAnalysis[[#This Row],[PiN más alto]]="", "", _xlfn.TEXTJOIN(CHAR(10), TRUE, IF(tblPiNAnalysis[[#This Row],[PiN más alto]]=tblPiNAnalysis[[#This Row],[SAMV]:[ASH]], tblPiNAnalysis[[#Headers],[SAMV]:[ASH]], "")))</f>
        <v>SAL</v>
      </c>
      <c r="AA287" s="93">
        <f>IF(tblPiNAnalysis[[#This Row],[PiN más alto]]="", "", tblPiNAnalysis[[#This Row],[PiN más alto]]/tblPiNAnalysis[[#This Row],[Población]])</f>
        <v>0.4471210876904827</v>
      </c>
      <c r="AB287" s="94" t="str">
        <f>IF(SUM(tblPiNAnalysis[[#This Row],[SAMV]:[ASH]])=0, "",IF(COUNTIF(tblPiNAnalysis[[#This Row],[SAMV]:[ASH]],"=0")+COUNTIF(tblPiNAnalysis[[#This Row],[SAMV]:[ASH]],"")&gt;=zero_pin_thresh, "Flagged", ""))</f>
        <v/>
      </c>
      <c r="AC287" s="95" t="str">
        <f>IFERROR(IF(tblPiNAnalysis[[#This Row],[PiN más alto]]="", "", IF(tblPiNAnalysis[[#This Row],[% PiN Sectores más altos]]&gt;=flag_pin_perc, "Flagged", "")), "")</f>
        <v/>
      </c>
      <c r="AD287" s="96" t="str" cm="1">
        <f t="array" ref="AD287">IF(tblPiNAnalysis[[#This Row],[PiN más alto]]=0, "",  IF(OR(COUNTIF(tblPiNAnalysis[[#This Row],[Sectores más altos]],tblSubSectorPopulation[Sector])), "Flagged", ""))</f>
        <v/>
      </c>
      <c r="AE287" s="16" cm="1">
        <f t="array" ref="AE28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1099.884314844649</v>
      </c>
      <c r="AF287" s="97" t="str" cm="1">
        <f t="array" ref="AF287">IF(tblPiNAnalysis[[#This Row],[2º PiN más alto]]="", "", _xlfn.TEXTJOIN(CHAR(10), TRUE, IF(tblPiNAnalysis[[#This Row],[2º PiN más alto]]=tblPiNAnalysis[[#This Row],[SAMV]:[ASH]], tblPiNAnalysis[[#Headers],[SAMV]:[ASH]], "")))</f>
        <v>PRO</v>
      </c>
      <c r="AG287" s="12">
        <f>IFERROR(tblPiNAnalysis[[#This Row],[2º PiN más alto]]/tblPiNAnalysis[[#This Row],[Población]], "")</f>
        <v>0.10036356554837567</v>
      </c>
      <c r="AH287" s="16">
        <f>IFERROR(tblPiNAnalysis[[#This Row],[PiN más alto]]-tblPiNAnalysis[[#This Row],[2º PiN más alto]], "")</f>
        <v>3800.115685155351</v>
      </c>
      <c r="AI287" s="14">
        <f>IFERROR(((tblPiNAnalysis[[#This Row],[PiN más alto]]-tblPiNAnalysis[[#This Row],[2º PiN más alto]])/tblPiNAnalysis[[#This Row],[2º PiN más alto]]),"")</f>
        <v>3.4550139808949734</v>
      </c>
      <c r="AJ287" s="14" t="str" cm="1">
        <f t="array" ref="AJ28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87" s="98" cm="1">
        <f t="array" ref="AK28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731</v>
      </c>
      <c r="AL287" s="53" t="str" cm="1">
        <f t="array" ref="AL287">IF(tblPiNAnalysis[[#This Row],[3º PiN más alto]]="", "", _xlfn.TEXTJOIN(CHAR(10), TRUE, IF(tblPiNAnalysis[[#This Row],[3º PiN más alto]]=tblPiNAnalysis[[#This Row],[SAMV]:[ASH]], tblPiNAnalysis[[#Headers],[SAMV]:[ASH]], "")))</f>
        <v>SAMV</v>
      </c>
      <c r="AM287" s="53">
        <f>IFERROR(tblPiNAnalysis[[#This Row],[3º PiN más alto]]/tblPiNAnalysis[[#This Row],[Población]], "")</f>
        <v>6.6703166347294465E-2</v>
      </c>
      <c r="AN287" s="15">
        <f>IFERROR(tblPiNAnalysis[[#This Row],[PiN más alto]]-tblPiNAnalysis[[#This Row],[3º PiN más alto]],"")</f>
        <v>4169</v>
      </c>
      <c r="AO287" s="14">
        <f>IFERROR(tblPiNAnalysis[[#This Row],[Diferencia de PiN entre el más alto y el 3º más alto]]/tblPiNAnalysis[[#This Row],[3º PiN más alto]], "")</f>
        <v>5.703146374829001</v>
      </c>
      <c r="AP287" s="96" t="str" cm="1">
        <f t="array" ref="AP28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87" s="84" cm="1">
        <f t="array" ref="AQ287">IFERROR(IF(tblPiNAnalysis[[#This Row],[ID]]="", "", INDEX(tblPiNHistorical[[SAMV]:[ASH]], MATCH(tblPiNAnalysis[[#This Row],[ID]],tblPiNHistorical[ID], 0),MATCH(_xlfn._xlws.FILTER(tblPiNAnalysis[[#Headers],[SAMV]:[ASH]], tblPiNAnalysis[[#This Row],[PiN más alto]]=tblPiNAnalysis[[#This Row],[SAMV]:[ASH]]), tblPiNHistorical[[#Headers],[SAMV]:[ASH]], 0))), "")</f>
        <v>2.6</v>
      </c>
      <c r="AR287" s="99" t="str" cm="1">
        <f t="array" ref="AR28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87" s="74" cm="1">
        <f t="array" ref="AS287">IFERROR(IF(tblPiNAnalysis[[#This Row],[ID]]="", "", INDEX(tblPiNHistorical[[SAMV]:[ASH]], MATCH(tblPiNAnalysis[[#This Row],[ID]],tblPiNHistorical[ID], 0),MATCH(_xlfn._xlws.FILTER(tblPiNAnalysis[[#Headers],[SAMV]:[ASH]], tblPiNAnalysis[[#This Row],[2º PiN más alto]]=tblPiNAnalysis[[#This Row],[SAMV]:[ASH]]), tblPiNHistorical[[#Headers],[SAMV]:[ASH]], 0))), "")</f>
        <v>0.3</v>
      </c>
      <c r="AT287" s="100" t="str" cm="1">
        <f t="array" ref="AT28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87" s="219">
        <f>INDEX(tblSeverityAnalysis[Severidad final], MATCH(tblPiNAnalysis[[#This Row],[ID]],tblSeverityAnalysis[ID], 0))</f>
        <v>2</v>
      </c>
      <c r="AV287" s="220">
        <f>IF(tblPiNAnalysis[[#This Row],[Severidad]]&gt;2,tblPiNAnalysis[[#This Row],[PiN más alto]],)</f>
        <v>0</v>
      </c>
      <c r="AW287" s="54"/>
      <c r="AX287" s="55"/>
      <c r="AY287" s="56">
        <f>COUNTIFS(tblPiNAnalysis[[#This Row],[Número de PiN ausentes/cero superior al umbral - Calidad de los datos]:[Marcador manual]],"Flagged")</f>
        <v>3</v>
      </c>
      <c r="AZ287" s="34" t="str">
        <f>IF(tblPiNAnalysis[[#This Row],[Número de marcadores]]&gt;0, "Flagged", "")</f>
        <v>Flagged</v>
      </c>
      <c r="BA287" s="92">
        <f>tblPiNAnalysis[[#This Row],[PiN preliminar]]</f>
        <v>0</v>
      </c>
      <c r="BB287" s="97"/>
      <c r="BC287" s="70">
        <f>IFERROR(IF(tblPiNAnalysis[[#This Row],[Severidad]]=3,tblPiNAnalysis[[#This Row],[PiN final]]*Umbrales!$D$33,tblPiNAnalysis[[#This Row],[PiN final]]*Umbrales!$D$34),)</f>
        <v>0</v>
      </c>
      <c r="BD287" s="70">
        <f>IFERROR(IF(tblPiNAnalysis[[#This Row],[Severidad]]&gt;3,tblPiNAnalysis[[#This Row],[PiN final]]*Umbrales!$D$34,),)</f>
        <v>0</v>
      </c>
    </row>
    <row r="288" spans="1:56">
      <c r="A288" s="101" t="str">
        <f>IFERROR(_xlfn.CONCAT(IF(tblPiNAnalysis[[#This Row],[Grupo]]="", "",tblPiNAnalysis[[#This Row],[Grupo]] ),  _xlfn.IFS(tblPiNAnalysis[[#This Row],[Admin2PCODE]]&lt;&gt;"", tblPiNAnalysis[[#This Row],[Admin2PCODE]], tblPiNAnalysis[[#This Row],[Admin1PCODE]]&lt;&gt;"", tblPiNAnalysis[[#This Row],[Admin1PCODE]])),"")</f>
        <v>VenezolanosVE1419</v>
      </c>
      <c r="B288" s="105" t="s">
        <v>411</v>
      </c>
      <c r="C288" s="104" t="s">
        <v>412</v>
      </c>
      <c r="D288" s="119" t="s">
        <v>447</v>
      </c>
      <c r="E288" s="104" t="s">
        <v>448</v>
      </c>
      <c r="F288" s="358"/>
      <c r="G288" s="357">
        <v>18439</v>
      </c>
      <c r="H288" s="103" t="s">
        <v>102</v>
      </c>
      <c r="I288" s="60">
        <v>307</v>
      </c>
      <c r="J288" s="134">
        <v>442.62210821644396</v>
      </c>
      <c r="K288" s="57">
        <v>7700</v>
      </c>
      <c r="L288" s="87">
        <v>2817.5361394400416</v>
      </c>
      <c r="M288" s="87">
        <v>1850.6037851464991</v>
      </c>
      <c r="N288" s="57">
        <v>0</v>
      </c>
      <c r="O288" s="57">
        <v>592.19321124687974</v>
      </c>
      <c r="P288" s="57">
        <v>647.71132480127471</v>
      </c>
      <c r="Q288" s="88">
        <f>IFERROR(IF(tblPiNAnalysis[[#This Row],[SAMV]]="", "", MROUND(tblPiNAnalysis[[#This Row],[SAMV]]/tblPiNAnalysis[[#This Row],[Población]], 0.05)), "")</f>
        <v>0</v>
      </c>
      <c r="R288" s="89">
        <f>IFERROR(IF(tblPiNAnalysis[[#This Row],[NUT]]="", "", MROUND(tblPiNAnalysis[[#This Row],[NUT]]/tblPiNAnalysis[[#This Row],[Población]], 0.05)), "")</f>
        <v>0</v>
      </c>
      <c r="S288" s="89">
        <f>IFERROR(IF(tblPiNAnalysis[[#This Row],[SAL]]="", "", MROUND(tblPiNAnalysis[[#This Row],[SAL]]/tblPiNAnalysis[[#This Row],[Población]], 0.05)), "")</f>
        <v>0.4</v>
      </c>
      <c r="T288" s="89">
        <f>IFERROR(IF(tblPiNAnalysis[[#This Row],[EDU]]="", "", MROUND(tblPiNAnalysis[[#This Row],[EDU]]/tblPiNAnalysis[[#This Row],[Población]], 0.05)), "")</f>
        <v>0.15000000000000002</v>
      </c>
      <c r="U288" s="89">
        <f>IFERROR(IF(tblPiNAnalysis[[#This Row],[PRO]]="", "", MROUND(tblPiNAnalysis[[#This Row],[PRO]]/tblPiNAnalysis[[#This Row],[Población]], 0.05)), "")</f>
        <v>0.1</v>
      </c>
      <c r="V288" s="90">
        <f>IFERROR(IF(tblPiNAnalysis[[#This Row],[ASH]]="", "", MROUND(tblPiNAnalysis[[#This Row],[ASH]]/tblPiNAnalysis[[#This Row],[Población]], 0.05)), "")</f>
        <v>0</v>
      </c>
      <c r="W288" s="89">
        <f>IFERROR(MROUND(tblPiNAnalysis[[#This Row],[NNA]]/tblPiNAnalysis[[#This Row],[Población]], 0.05), "")</f>
        <v>0.05</v>
      </c>
      <c r="X288" s="89">
        <f>IFERROR(MROUND(tblPiNAnalysis[[#This Row],[VBG]]/tblPiNAnalysis[[#This Row],[Población]], 0.05), "")</f>
        <v>0.05</v>
      </c>
      <c r="Y288" s="91">
        <f>IFERROR(LARGE(tblPiNAnalysis[[#This Row],[SAMV]:[ASH]], 1), "")</f>
        <v>7700</v>
      </c>
      <c r="Z288" s="92" t="str" cm="1">
        <f t="array" ref="Z288">IF(tblPiNAnalysis[[#This Row],[PiN más alto]]="", "", _xlfn.TEXTJOIN(CHAR(10), TRUE, IF(tblPiNAnalysis[[#This Row],[PiN más alto]]=tblPiNAnalysis[[#This Row],[SAMV]:[ASH]], tblPiNAnalysis[[#Headers],[SAMV]:[ASH]], "")))</f>
        <v>SAL</v>
      </c>
      <c r="AA288" s="93">
        <f>IF(tblPiNAnalysis[[#This Row],[PiN más alto]]="", "", tblPiNAnalysis[[#This Row],[PiN más alto]]/tblPiNAnalysis[[#This Row],[Población]])</f>
        <v>0.41759314496447747</v>
      </c>
      <c r="AB288" s="94" t="str">
        <f>IF(SUM(tblPiNAnalysis[[#This Row],[SAMV]:[ASH]])=0, "",IF(COUNTIF(tblPiNAnalysis[[#This Row],[SAMV]:[ASH]],"=0")+COUNTIF(tblPiNAnalysis[[#This Row],[SAMV]:[ASH]],"")&gt;=zero_pin_thresh, "Flagged", ""))</f>
        <v/>
      </c>
      <c r="AC288" s="95" t="str">
        <f>IFERROR(IF(tblPiNAnalysis[[#This Row],[PiN más alto]]="", "", IF(tblPiNAnalysis[[#This Row],[% PiN Sectores más altos]]&gt;=flag_pin_perc, "Flagged", "")), "")</f>
        <v/>
      </c>
      <c r="AD288" s="96" t="str" cm="1">
        <f t="array" ref="AD288">IF(tblPiNAnalysis[[#This Row],[PiN más alto]]=0, "",  IF(OR(COUNTIF(tblPiNAnalysis[[#This Row],[Sectores más altos]],tblSubSectorPopulation[Sector])), "Flagged", ""))</f>
        <v/>
      </c>
      <c r="AE288" s="16" cm="1">
        <f t="array" ref="AE28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2817.5361394400416</v>
      </c>
      <c r="AF288" s="97" t="str" cm="1">
        <f t="array" ref="AF288">IF(tblPiNAnalysis[[#This Row],[2º PiN más alto]]="", "", _xlfn.TEXTJOIN(CHAR(10), TRUE, IF(tblPiNAnalysis[[#This Row],[2º PiN más alto]]=tblPiNAnalysis[[#This Row],[SAMV]:[ASH]], tblPiNAnalysis[[#Headers],[SAMV]:[ASH]], "")))</f>
        <v>EDU</v>
      </c>
      <c r="AG288" s="12">
        <f>IFERROR(tblPiNAnalysis[[#This Row],[2º PiN más alto]]/tblPiNAnalysis[[#This Row],[Población]], "")</f>
        <v>0.15280308798958955</v>
      </c>
      <c r="AH288" s="16">
        <f>IFERROR(tblPiNAnalysis[[#This Row],[PiN más alto]]-tblPiNAnalysis[[#This Row],[2º PiN más alto]], "")</f>
        <v>4882.4638605599584</v>
      </c>
      <c r="AI288" s="14">
        <f>IFERROR(((tblPiNAnalysis[[#This Row],[PiN más alto]]-tblPiNAnalysis[[#This Row],[2º PiN más alto]])/tblPiNAnalysis[[#This Row],[2º PiN más alto]]),"")</f>
        <v>1.7328842005662088</v>
      </c>
      <c r="AJ288" s="14" t="str" cm="1">
        <f t="array" ref="AJ28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88" s="98" cm="1">
        <f t="array" ref="AK28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1850.6037851464991</v>
      </c>
      <c r="AL288" s="53" t="str" cm="1">
        <f t="array" ref="AL288">IF(tblPiNAnalysis[[#This Row],[3º PiN más alto]]="", "", _xlfn.TEXTJOIN(CHAR(10), TRUE, IF(tblPiNAnalysis[[#This Row],[3º PiN más alto]]=tblPiNAnalysis[[#This Row],[SAMV]:[ASH]], tblPiNAnalysis[[#Headers],[SAMV]:[ASH]], "")))</f>
        <v>PRO</v>
      </c>
      <c r="AM288" s="53">
        <f>IFERROR(tblPiNAnalysis[[#This Row],[3º PiN más alto]]/tblPiNAnalysis[[#This Row],[Población]], "")</f>
        <v>0.10036356554837568</v>
      </c>
      <c r="AN288" s="15">
        <f>IFERROR(tblPiNAnalysis[[#This Row],[PiN más alto]]-tblPiNAnalysis[[#This Row],[3º PiN más alto]],"")</f>
        <v>5849.3962148535011</v>
      </c>
      <c r="AO288" s="14">
        <f>IFERROR(tblPiNAnalysis[[#This Row],[Diferencia de PiN entre el más alto y el 3º más alto]]/tblPiNAnalysis[[#This Row],[3º PiN más alto]], "")</f>
        <v>3.1608041990416904</v>
      </c>
      <c r="AP288" s="96" t="str" cm="1">
        <f t="array" ref="AP28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88" s="84" cm="1">
        <f t="array" ref="AQ288">IFERROR(IF(tblPiNAnalysis[[#This Row],[ID]]="", "", INDEX(tblPiNHistorical[[SAMV]:[ASH]], MATCH(tblPiNAnalysis[[#This Row],[ID]],tblPiNHistorical[ID], 0),MATCH(_xlfn._xlws.FILTER(tblPiNAnalysis[[#Headers],[SAMV]:[ASH]], tblPiNAnalysis[[#This Row],[PiN más alto]]=tblPiNAnalysis[[#This Row],[SAMV]:[ASH]]), tblPiNHistorical[[#Headers],[SAMV]:[ASH]], 0))), "")</f>
        <v>1.1000000000000001</v>
      </c>
      <c r="AR288" s="99" t="str" cm="1">
        <f t="array" ref="AR28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288" s="74" cm="1">
        <f t="array" ref="AS288">IFERROR(IF(tblPiNAnalysis[[#This Row],[ID]]="", "", INDEX(tblPiNHistorical[[SAMV]:[ASH]], MATCH(tblPiNAnalysis[[#This Row],[ID]],tblPiNHistorical[ID], 0),MATCH(_xlfn._xlws.FILTER(tblPiNAnalysis[[#Headers],[SAMV]:[ASH]], tblPiNAnalysis[[#This Row],[2º PiN más alto]]=tblPiNAnalysis[[#This Row],[SAMV]:[ASH]]), tblPiNHistorical[[#Headers],[SAMV]:[ASH]], 0))), "")</f>
        <v>-0.8</v>
      </c>
      <c r="AT288" s="100" t="str" cm="1">
        <f t="array" ref="AT28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88" s="219">
        <f>INDEX(tblSeverityAnalysis[Severidad final], MATCH(tblPiNAnalysis[[#This Row],[ID]],tblSeverityAnalysis[ID], 0))</f>
        <v>2</v>
      </c>
      <c r="AV288" s="220">
        <f>IF(tblPiNAnalysis[[#This Row],[Severidad]]&gt;2,tblPiNAnalysis[[#This Row],[PiN más alto]],)</f>
        <v>0</v>
      </c>
      <c r="AW288" s="54"/>
      <c r="AX288" s="55"/>
      <c r="AY288" s="56">
        <f>COUNTIFS(tblPiNAnalysis[[#This Row],[Número de PiN ausentes/cero superior al umbral - Calidad de los datos]:[Marcador manual]],"Flagged")</f>
        <v>3</v>
      </c>
      <c r="AZ288" s="34" t="str">
        <f>IF(tblPiNAnalysis[[#This Row],[Número de marcadores]]&gt;0, "Flagged", "")</f>
        <v>Flagged</v>
      </c>
      <c r="BA288" s="92">
        <f>tblPiNAnalysis[[#This Row],[PiN preliminar]]</f>
        <v>0</v>
      </c>
      <c r="BB288" s="97"/>
      <c r="BC288" s="70">
        <f>IFERROR(IF(tblPiNAnalysis[[#This Row],[Severidad]]=3,tblPiNAnalysis[[#This Row],[PiN final]]*Umbrales!$D$33,tblPiNAnalysis[[#This Row],[PiN final]]*Umbrales!$D$34),)</f>
        <v>0</v>
      </c>
      <c r="BD288" s="70">
        <f>IFERROR(IF(tblPiNAnalysis[[#This Row],[Severidad]]&gt;3,tblPiNAnalysis[[#This Row],[PiN final]]*Umbrales!$D$34,),)</f>
        <v>0</v>
      </c>
    </row>
    <row r="289" spans="1:56">
      <c r="A289" s="101" t="str">
        <f>IFERROR(_xlfn.CONCAT(IF(tblPiNAnalysis[[#This Row],[Grupo]]="", "",tblPiNAnalysis[[#This Row],[Grupo]] ),  _xlfn.IFS(tblPiNAnalysis[[#This Row],[Admin2PCODE]]&lt;&gt;"", tblPiNAnalysis[[#This Row],[Admin2PCODE]], tblPiNAnalysis[[#This Row],[Admin1PCODE]]&lt;&gt;"", tblPiNAnalysis[[#This Row],[Admin1PCODE]])),"")</f>
        <v>VenezolanosVE1513</v>
      </c>
      <c r="B289" s="105" t="s">
        <v>276</v>
      </c>
      <c r="C289" s="104" t="s">
        <v>455</v>
      </c>
      <c r="D289" s="119" t="s">
        <v>478</v>
      </c>
      <c r="E289" s="104" t="s">
        <v>479</v>
      </c>
      <c r="F289" s="358"/>
      <c r="G289" s="357">
        <v>69787</v>
      </c>
      <c r="H289" s="103" t="s">
        <v>102</v>
      </c>
      <c r="I289" s="60">
        <v>684</v>
      </c>
      <c r="J289" s="134">
        <v>1624.1428270476888</v>
      </c>
      <c r="K289" s="57">
        <v>25472.255000000001</v>
      </c>
      <c r="L289" s="87">
        <v>12153.83749973066</v>
      </c>
      <c r="M289" s="87">
        <v>13912.59483332986</v>
      </c>
      <c r="N289" s="57">
        <v>0</v>
      </c>
      <c r="O289" s="57">
        <v>4452.030346665555</v>
      </c>
      <c r="P289" s="57">
        <v>4869.4081916654504</v>
      </c>
      <c r="Q289" s="88">
        <f>IFERROR(IF(tblPiNAnalysis[[#This Row],[SAMV]]="", "", MROUND(tblPiNAnalysis[[#This Row],[SAMV]]/tblPiNAnalysis[[#This Row],[Población]], 0.05)), "")</f>
        <v>0</v>
      </c>
      <c r="R289" s="89">
        <f>IFERROR(IF(tblPiNAnalysis[[#This Row],[NUT]]="", "", MROUND(tblPiNAnalysis[[#This Row],[NUT]]/tblPiNAnalysis[[#This Row],[Población]], 0.05)), "")</f>
        <v>0</v>
      </c>
      <c r="S289" s="89">
        <f>IFERROR(IF(tblPiNAnalysis[[#This Row],[SAL]]="", "", MROUND(tblPiNAnalysis[[#This Row],[SAL]]/tblPiNAnalysis[[#This Row],[Población]], 0.05)), "")</f>
        <v>0.35000000000000003</v>
      </c>
      <c r="T289" s="89">
        <f>IFERROR(IF(tblPiNAnalysis[[#This Row],[EDU]]="", "", MROUND(tblPiNAnalysis[[#This Row],[EDU]]/tblPiNAnalysis[[#This Row],[Población]], 0.05)), "")</f>
        <v>0.15000000000000002</v>
      </c>
      <c r="U289" s="89">
        <f>IFERROR(IF(tblPiNAnalysis[[#This Row],[PRO]]="", "", MROUND(tblPiNAnalysis[[#This Row],[PRO]]/tblPiNAnalysis[[#This Row],[Población]], 0.05)), "")</f>
        <v>0.2</v>
      </c>
      <c r="V289" s="90">
        <f>IFERROR(IF(tblPiNAnalysis[[#This Row],[ASH]]="", "", MROUND(tblPiNAnalysis[[#This Row],[ASH]]/tblPiNAnalysis[[#This Row],[Población]], 0.05)), "")</f>
        <v>0</v>
      </c>
      <c r="W289" s="89">
        <f>IFERROR(MROUND(tblPiNAnalysis[[#This Row],[NNA]]/tblPiNAnalysis[[#This Row],[Población]], 0.05), "")</f>
        <v>0.05</v>
      </c>
      <c r="X289" s="89">
        <f>IFERROR(MROUND(tblPiNAnalysis[[#This Row],[VBG]]/tblPiNAnalysis[[#This Row],[Población]], 0.05), "")</f>
        <v>0.05</v>
      </c>
      <c r="Y289" s="91">
        <f>IFERROR(LARGE(tblPiNAnalysis[[#This Row],[SAMV]:[ASH]], 1), "")</f>
        <v>25472.255000000001</v>
      </c>
      <c r="Z289" s="92" t="str" cm="1">
        <f t="array" ref="Z289">IF(tblPiNAnalysis[[#This Row],[PiN más alto]]="", "", _xlfn.TEXTJOIN(CHAR(10), TRUE, IF(tblPiNAnalysis[[#This Row],[PiN más alto]]=tblPiNAnalysis[[#This Row],[SAMV]:[ASH]], tblPiNAnalysis[[#Headers],[SAMV]:[ASH]], "")))</f>
        <v>SAL</v>
      </c>
      <c r="AA289" s="93">
        <f>IF(tblPiNAnalysis[[#This Row],[PiN más alto]]="", "", tblPiNAnalysis[[#This Row],[PiN más alto]]/tblPiNAnalysis[[#This Row],[Población]])</f>
        <v>0.36499999999999999</v>
      </c>
      <c r="AB289" s="94" t="str">
        <f>IF(SUM(tblPiNAnalysis[[#This Row],[SAMV]:[ASH]])=0, "",IF(COUNTIF(tblPiNAnalysis[[#This Row],[SAMV]:[ASH]],"=0")+COUNTIF(tblPiNAnalysis[[#This Row],[SAMV]:[ASH]],"")&gt;=zero_pin_thresh, "Flagged", ""))</f>
        <v/>
      </c>
      <c r="AC289" s="95" t="str">
        <f>IFERROR(IF(tblPiNAnalysis[[#This Row],[PiN más alto]]="", "", IF(tblPiNAnalysis[[#This Row],[% PiN Sectores más altos]]&gt;=flag_pin_perc, "Flagged", "")), "")</f>
        <v/>
      </c>
      <c r="AD289" s="96" t="str" cm="1">
        <f t="array" ref="AD289">IF(tblPiNAnalysis[[#This Row],[PiN más alto]]=0, "",  IF(OR(COUNTIF(tblPiNAnalysis[[#This Row],[Sectores más altos]],tblSubSectorPopulation[Sector])), "Flagged", ""))</f>
        <v/>
      </c>
      <c r="AE289" s="16" cm="1">
        <f t="array" ref="AE28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13912.59483332986</v>
      </c>
      <c r="AF289" s="97" t="str" cm="1">
        <f t="array" ref="AF289">IF(tblPiNAnalysis[[#This Row],[2º PiN más alto]]="", "", _xlfn.TEXTJOIN(CHAR(10), TRUE, IF(tblPiNAnalysis[[#This Row],[2º PiN más alto]]=tblPiNAnalysis[[#This Row],[SAMV]:[ASH]], tblPiNAnalysis[[#Headers],[SAMV]:[ASH]], "")))</f>
        <v>PRO</v>
      </c>
      <c r="AG289" s="12">
        <f>IFERROR(tblPiNAnalysis[[#This Row],[2º PiN más alto]]/tblPiNAnalysis[[#This Row],[Población]], "")</f>
        <v>0.19935797259274449</v>
      </c>
      <c r="AH289" s="16">
        <f>IFERROR(tblPiNAnalysis[[#This Row],[PiN más alto]]-tblPiNAnalysis[[#This Row],[2º PiN más alto]], "")</f>
        <v>11559.660166670141</v>
      </c>
      <c r="AI289" s="14">
        <f>IFERROR(((tblPiNAnalysis[[#This Row],[PiN más alto]]-tblPiNAnalysis[[#This Row],[2º PiN más alto]])/tblPiNAnalysis[[#This Row],[2º PiN más alto]]),"")</f>
        <v>0.83087736724547701</v>
      </c>
      <c r="AJ289" s="14" t="str" cm="1">
        <f t="array" ref="AJ28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89" s="98" cm="1">
        <f t="array" ref="AK28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12153.83749973066</v>
      </c>
      <c r="AL289" s="53" t="str" cm="1">
        <f t="array" ref="AL289">IF(tblPiNAnalysis[[#This Row],[3º PiN más alto]]="", "", _xlfn.TEXTJOIN(CHAR(10), TRUE, IF(tblPiNAnalysis[[#This Row],[3º PiN más alto]]=tblPiNAnalysis[[#This Row],[SAMV]:[ASH]], tblPiNAnalysis[[#Headers],[SAMV]:[ASH]], "")))</f>
        <v>EDU</v>
      </c>
      <c r="AM289" s="53">
        <f>IFERROR(tblPiNAnalysis[[#This Row],[3º PiN más alto]]/tblPiNAnalysis[[#This Row],[Población]], "")</f>
        <v>0.17415618237967903</v>
      </c>
      <c r="AN289" s="15">
        <f>IFERROR(tblPiNAnalysis[[#This Row],[PiN más alto]]-tblPiNAnalysis[[#This Row],[3º PiN más alto]],"")</f>
        <v>13318.417500269341</v>
      </c>
      <c r="AO289" s="14">
        <f>IFERROR(tblPiNAnalysis[[#This Row],[Diferencia de PiN entre el más alto y el 3º más alto]]/tblPiNAnalysis[[#This Row],[3º PiN más alto]], "")</f>
        <v>1.0958199416903911</v>
      </c>
      <c r="AP289" s="96" t="str" cm="1">
        <f t="array" ref="AP28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89" s="84" cm="1">
        <f t="array" ref="AQ289">IFERROR(IF(tblPiNAnalysis[[#This Row],[ID]]="", "", INDEX(tblPiNHistorical[[SAMV]:[ASH]], MATCH(tblPiNAnalysis[[#This Row],[ID]],tblPiNHistorical[ID], 0),MATCH(_xlfn._xlws.FILTER(tblPiNAnalysis[[#Headers],[SAMV]:[ASH]], tblPiNAnalysis[[#This Row],[PiN más alto]]=tblPiNAnalysis[[#This Row],[SAMV]:[ASH]]), tblPiNHistorical[[#Headers],[SAMV]:[ASH]], 0))), "")</f>
        <v>-0.5</v>
      </c>
      <c r="AR289" s="99" t="str" cm="1">
        <f t="array" ref="AR28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89" s="74" cm="1">
        <f t="array" ref="AS289">IFERROR(IF(tblPiNAnalysis[[#This Row],[ID]]="", "", INDEX(tblPiNHistorical[[SAMV]:[ASH]], MATCH(tblPiNAnalysis[[#This Row],[ID]],tblPiNHistorical[ID], 0),MATCH(_xlfn._xlws.FILTER(tblPiNAnalysis[[#Headers],[SAMV]:[ASH]], tblPiNAnalysis[[#This Row],[2º PiN más alto]]=tblPiNAnalysis[[#This Row],[SAMV]:[ASH]]), tblPiNHistorical[[#Headers],[SAMV]:[ASH]], 0))), "")</f>
        <v>-0.9</v>
      </c>
      <c r="AT289" s="100" t="str" cm="1">
        <f t="array" ref="AT28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89" s="219">
        <f>INDEX(tblSeverityAnalysis[Severidad final], MATCH(tblPiNAnalysis[[#This Row],[ID]],tblSeverityAnalysis[ID], 0))</f>
        <v>2</v>
      </c>
      <c r="AV289" s="220">
        <f>IF(tblPiNAnalysis[[#This Row],[Severidad]]&gt;2,tblPiNAnalysis[[#This Row],[PiN más alto]],)</f>
        <v>0</v>
      </c>
      <c r="AW289" s="54"/>
      <c r="AX289" s="55"/>
      <c r="AY289" s="56">
        <f>COUNTIFS(tblPiNAnalysis[[#This Row],[Número de PiN ausentes/cero superior al umbral - Calidad de los datos]:[Marcador manual]],"Flagged")</f>
        <v>2</v>
      </c>
      <c r="AZ289" s="34" t="str">
        <f>IF(tblPiNAnalysis[[#This Row],[Número de marcadores]]&gt;0, "Flagged", "")</f>
        <v>Flagged</v>
      </c>
      <c r="BA289" s="92">
        <f>tblPiNAnalysis[[#This Row],[PiN preliminar]]</f>
        <v>0</v>
      </c>
      <c r="BB289" s="97"/>
      <c r="BC289" s="70">
        <f>IFERROR(IF(tblPiNAnalysis[[#This Row],[Severidad]]=3,tblPiNAnalysis[[#This Row],[PiN final]]*Umbrales!$D$33,tblPiNAnalysis[[#This Row],[PiN final]]*Umbrales!$D$34),)</f>
        <v>0</v>
      </c>
      <c r="BD289" s="70">
        <f>IFERROR(IF(tblPiNAnalysis[[#This Row],[Severidad]]&gt;3,tblPiNAnalysis[[#This Row],[PiN final]]*Umbrales!$D$34,),)</f>
        <v>0</v>
      </c>
    </row>
    <row r="290" spans="1:56">
      <c r="A290" s="101" t="str">
        <f>IFERROR(_xlfn.CONCAT(IF(tblPiNAnalysis[[#This Row],[Grupo]]="", "",tblPiNAnalysis[[#This Row],[Grupo]] ),  _xlfn.IFS(tblPiNAnalysis[[#This Row],[Admin2PCODE]]&lt;&gt;"", tblPiNAnalysis[[#This Row],[Admin2PCODE]], tblPiNAnalysis[[#This Row],[Admin1PCODE]]&lt;&gt;"", tblPiNAnalysis[[#This Row],[Admin1PCODE]])),"")</f>
        <v>VenezolanosVE1517</v>
      </c>
      <c r="B290" s="105" t="s">
        <v>276</v>
      </c>
      <c r="C290" s="104" t="s">
        <v>455</v>
      </c>
      <c r="D290" s="119" t="s">
        <v>485</v>
      </c>
      <c r="E290" s="104" t="s">
        <v>486</v>
      </c>
      <c r="F290" s="358"/>
      <c r="G290" s="357">
        <v>214736</v>
      </c>
      <c r="H290" s="103" t="s">
        <v>102</v>
      </c>
      <c r="I290" s="60">
        <v>5423</v>
      </c>
      <c r="J290" s="134">
        <v>5456.6570784762444</v>
      </c>
      <c r="K290" s="57">
        <v>78378.64</v>
      </c>
      <c r="L290" s="87">
        <v>30147.151139031852</v>
      </c>
      <c r="M290" s="87">
        <v>51371.200323210702</v>
      </c>
      <c r="N290" s="57">
        <v>0</v>
      </c>
      <c r="O290" s="57">
        <v>16438.784103427424</v>
      </c>
      <c r="P290" s="57">
        <v>17979.920113123746</v>
      </c>
      <c r="Q290" s="88">
        <f>IFERROR(IF(tblPiNAnalysis[[#This Row],[SAMV]]="", "", MROUND(tblPiNAnalysis[[#This Row],[SAMV]]/tblPiNAnalysis[[#This Row],[Población]], 0.05)), "")</f>
        <v>0.05</v>
      </c>
      <c r="R290" s="89">
        <f>IFERROR(IF(tblPiNAnalysis[[#This Row],[NUT]]="", "", MROUND(tblPiNAnalysis[[#This Row],[NUT]]/tblPiNAnalysis[[#This Row],[Población]], 0.05)), "")</f>
        <v>0.05</v>
      </c>
      <c r="S290" s="89">
        <f>IFERROR(IF(tblPiNAnalysis[[#This Row],[SAL]]="", "", MROUND(tblPiNAnalysis[[#This Row],[SAL]]/tblPiNAnalysis[[#This Row],[Población]], 0.05)), "")</f>
        <v>0.35000000000000003</v>
      </c>
      <c r="T290" s="89">
        <f>IFERROR(IF(tblPiNAnalysis[[#This Row],[EDU]]="", "", MROUND(tblPiNAnalysis[[#This Row],[EDU]]/tblPiNAnalysis[[#This Row],[Población]], 0.05)), "")</f>
        <v>0.15000000000000002</v>
      </c>
      <c r="U290" s="89">
        <f>IFERROR(IF(tblPiNAnalysis[[#This Row],[PRO]]="", "", MROUND(tblPiNAnalysis[[#This Row],[PRO]]/tblPiNAnalysis[[#This Row],[Población]], 0.05)), "")</f>
        <v>0.25</v>
      </c>
      <c r="V290" s="90">
        <f>IFERROR(IF(tblPiNAnalysis[[#This Row],[ASH]]="", "", MROUND(tblPiNAnalysis[[#This Row],[ASH]]/tblPiNAnalysis[[#This Row],[Población]], 0.05)), "")</f>
        <v>0</v>
      </c>
      <c r="W290" s="89">
        <f>IFERROR(MROUND(tblPiNAnalysis[[#This Row],[NNA]]/tblPiNAnalysis[[#This Row],[Población]], 0.05), "")</f>
        <v>0.1</v>
      </c>
      <c r="X290" s="89">
        <f>IFERROR(MROUND(tblPiNAnalysis[[#This Row],[VBG]]/tblPiNAnalysis[[#This Row],[Población]], 0.05), "")</f>
        <v>0.1</v>
      </c>
      <c r="Y290" s="91">
        <f>IFERROR(LARGE(tblPiNAnalysis[[#This Row],[SAMV]:[ASH]], 1), "")</f>
        <v>78378.64</v>
      </c>
      <c r="Z290" s="92" t="str" cm="1">
        <f t="array" ref="Z290">IF(tblPiNAnalysis[[#This Row],[PiN más alto]]="", "", _xlfn.TEXTJOIN(CHAR(10), TRUE, IF(tblPiNAnalysis[[#This Row],[PiN más alto]]=tblPiNAnalysis[[#This Row],[SAMV]:[ASH]], tblPiNAnalysis[[#Headers],[SAMV]:[ASH]], "")))</f>
        <v>SAL</v>
      </c>
      <c r="AA290" s="93">
        <f>IF(tblPiNAnalysis[[#This Row],[PiN más alto]]="", "", tblPiNAnalysis[[#This Row],[PiN más alto]]/tblPiNAnalysis[[#This Row],[Población]])</f>
        <v>0.36499999999999999</v>
      </c>
      <c r="AB290" s="94" t="str">
        <f>IF(SUM(tblPiNAnalysis[[#This Row],[SAMV]:[ASH]])=0, "",IF(COUNTIF(tblPiNAnalysis[[#This Row],[SAMV]:[ASH]],"=0")+COUNTIF(tblPiNAnalysis[[#This Row],[SAMV]:[ASH]],"")&gt;=zero_pin_thresh, "Flagged", ""))</f>
        <v/>
      </c>
      <c r="AC290" s="95" t="str">
        <f>IFERROR(IF(tblPiNAnalysis[[#This Row],[PiN más alto]]="", "", IF(tblPiNAnalysis[[#This Row],[% PiN Sectores más altos]]&gt;=flag_pin_perc, "Flagged", "")), "")</f>
        <v/>
      </c>
      <c r="AD290" s="96" t="str" cm="1">
        <f t="array" ref="AD290">IF(tblPiNAnalysis[[#This Row],[PiN más alto]]=0, "",  IF(OR(COUNTIF(tblPiNAnalysis[[#This Row],[Sectores más altos]],tblSubSectorPopulation[Sector])), "Flagged", ""))</f>
        <v/>
      </c>
      <c r="AE290" s="16" cm="1">
        <f t="array" ref="AE29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51371.200323210702</v>
      </c>
      <c r="AF290" s="97" t="str" cm="1">
        <f t="array" ref="AF290">IF(tblPiNAnalysis[[#This Row],[2º PiN más alto]]="", "", _xlfn.TEXTJOIN(CHAR(10), TRUE, IF(tblPiNAnalysis[[#This Row],[2º PiN más alto]]=tblPiNAnalysis[[#This Row],[SAMV]:[ASH]], tblPiNAnalysis[[#Headers],[SAMV]:[ASH]], "")))</f>
        <v>PRO</v>
      </c>
      <c r="AG290" s="12">
        <f>IFERROR(tblPiNAnalysis[[#This Row],[2º PiN más alto]]/tblPiNAnalysis[[#This Row],[Población]], "")</f>
        <v>0.23922956711129342</v>
      </c>
      <c r="AH290" s="16">
        <f>IFERROR(tblPiNAnalysis[[#This Row],[PiN más alto]]-tblPiNAnalysis[[#This Row],[2º PiN más alto]], "")</f>
        <v>27007.439676789298</v>
      </c>
      <c r="AI290" s="14">
        <f>IFERROR(((tblPiNAnalysis[[#This Row],[PiN más alto]]-tblPiNAnalysis[[#This Row],[2º PiN más alto]])/tblPiNAnalysis[[#This Row],[2º PiN más alto]]),"")</f>
        <v>0.52573113937123073</v>
      </c>
      <c r="AJ290" s="14" t="str" cm="1">
        <f t="array" ref="AJ29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90" s="98" cm="1">
        <f t="array" ref="AK29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30147.151139031852</v>
      </c>
      <c r="AL290" s="53" t="str" cm="1">
        <f t="array" ref="AL290">IF(tblPiNAnalysis[[#This Row],[3º PiN más alto]]="", "", _xlfn.TEXTJOIN(CHAR(10), TRUE, IF(tblPiNAnalysis[[#This Row],[3º PiN más alto]]=tblPiNAnalysis[[#This Row],[SAMV]:[ASH]], tblPiNAnalysis[[#Headers],[SAMV]:[ASH]], "")))</f>
        <v>EDU</v>
      </c>
      <c r="AM290" s="53">
        <f>IFERROR(tblPiNAnalysis[[#This Row],[3º PiN más alto]]/tblPiNAnalysis[[#This Row],[Población]], "")</f>
        <v>0.14039169556586623</v>
      </c>
      <c r="AN290" s="15">
        <f>IFERROR(tblPiNAnalysis[[#This Row],[PiN más alto]]-tblPiNAnalysis[[#This Row],[3º PiN más alto]],"")</f>
        <v>48231.488860968151</v>
      </c>
      <c r="AO290" s="14">
        <f>IFERROR(tblPiNAnalysis[[#This Row],[Diferencia de PiN entre el más alto y el 3º más alto]]/tblPiNAnalysis[[#This Row],[3º PiN más alto]], "")</f>
        <v>1.5998688777767232</v>
      </c>
      <c r="AP290" s="96" t="str" cm="1">
        <f t="array" ref="AP29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90" s="84" cm="1">
        <f t="array" ref="AQ290">IFERROR(IF(tblPiNAnalysis[[#This Row],[ID]]="", "", INDEX(tblPiNHistorical[[SAMV]:[ASH]], MATCH(tblPiNAnalysis[[#This Row],[ID]],tblPiNHistorical[ID], 0),MATCH(_xlfn._xlws.FILTER(tblPiNAnalysis[[#Headers],[SAMV]:[ASH]], tblPiNAnalysis[[#This Row],[PiN más alto]]=tblPiNAnalysis[[#This Row],[SAMV]:[ASH]]), tblPiNHistorical[[#Headers],[SAMV]:[ASH]], 0))), "")</f>
        <v>-0.9</v>
      </c>
      <c r="AR290" s="99" t="str" cm="1">
        <f t="array" ref="AR29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90" s="74" cm="1">
        <f t="array" ref="AS290">IFERROR(IF(tblPiNAnalysis[[#This Row],[ID]]="", "", INDEX(tblPiNHistorical[[SAMV]:[ASH]], MATCH(tblPiNAnalysis[[#This Row],[ID]],tblPiNHistorical[ID], 0),MATCH(_xlfn._xlws.FILTER(tblPiNAnalysis[[#Headers],[SAMV]:[ASH]], tblPiNAnalysis[[#This Row],[2º PiN más alto]]=tblPiNAnalysis[[#This Row],[SAMV]:[ASH]]), tblPiNHistorical[[#Headers],[SAMV]:[ASH]], 0))), "")</f>
        <v>-0.9</v>
      </c>
      <c r="AT290" s="100" t="str" cm="1">
        <f t="array" ref="AT29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90" s="219">
        <f>INDEX(tblSeverityAnalysis[Severidad final], MATCH(tblPiNAnalysis[[#This Row],[ID]],tblSeverityAnalysis[ID], 0))</f>
        <v>2</v>
      </c>
      <c r="AV290" s="220">
        <f>IF(tblPiNAnalysis[[#This Row],[Severidad]]&gt;2,tblPiNAnalysis[[#This Row],[PiN más alto]],)</f>
        <v>0</v>
      </c>
      <c r="AW290" s="54"/>
      <c r="AX290" s="55"/>
      <c r="AY290" s="56">
        <f>COUNTIFS(tblPiNAnalysis[[#This Row],[Número de PiN ausentes/cero superior al umbral - Calidad de los datos]:[Marcador manual]],"Flagged")</f>
        <v>2</v>
      </c>
      <c r="AZ290" s="34" t="str">
        <f>IF(tblPiNAnalysis[[#This Row],[Número de marcadores]]&gt;0, "Flagged", "")</f>
        <v>Flagged</v>
      </c>
      <c r="BA290" s="92">
        <f>tblPiNAnalysis[[#This Row],[PiN preliminar]]</f>
        <v>0</v>
      </c>
      <c r="BB290" s="97"/>
      <c r="BC290" s="70">
        <f>IFERROR(IF(tblPiNAnalysis[[#This Row],[Severidad]]=3,tblPiNAnalysis[[#This Row],[PiN final]]*Umbrales!$D$33,tblPiNAnalysis[[#This Row],[PiN final]]*Umbrales!$D$34),)</f>
        <v>0</v>
      </c>
      <c r="BD290" s="70">
        <f>IFERROR(IF(tblPiNAnalysis[[#This Row],[Severidad]]&gt;3,tblPiNAnalysis[[#This Row],[PiN final]]*Umbrales!$D$34,),)</f>
        <v>0</v>
      </c>
    </row>
    <row r="291" spans="1:56">
      <c r="A291" s="101" t="str">
        <f>IFERROR(_xlfn.CONCAT(IF(tblPiNAnalysis[[#This Row],[Grupo]]="", "",tblPiNAnalysis[[#This Row],[Grupo]] ),  _xlfn.IFS(tblPiNAnalysis[[#This Row],[Admin2PCODE]]&lt;&gt;"", tblPiNAnalysis[[#This Row],[Admin2PCODE]], tblPiNAnalysis[[#This Row],[Admin1PCODE]]&lt;&gt;"", tblPiNAnalysis[[#This Row],[Admin1PCODE]])),"")</f>
        <v>VenezolanosVE1521</v>
      </c>
      <c r="B291" s="105" t="s">
        <v>276</v>
      </c>
      <c r="C291" s="104" t="s">
        <v>455</v>
      </c>
      <c r="D291" s="119" t="s">
        <v>209</v>
      </c>
      <c r="E291" s="104" t="s">
        <v>490</v>
      </c>
      <c r="F291" s="358"/>
      <c r="G291" s="357">
        <v>191300</v>
      </c>
      <c r="H291" s="103" t="s">
        <v>102</v>
      </c>
      <c r="I291" s="60">
        <v>3543</v>
      </c>
      <c r="J291" s="134">
        <v>8570.8188499345197</v>
      </c>
      <c r="K291" s="57">
        <v>69824.5</v>
      </c>
      <c r="L291" s="87">
        <v>22396.212342262392</v>
      </c>
      <c r="M291" s="87">
        <v>45764.616188390435</v>
      </c>
      <c r="N291" s="57">
        <v>0</v>
      </c>
      <c r="O291" s="57">
        <v>14644.67718028494</v>
      </c>
      <c r="P291" s="57">
        <v>16017.615665936652</v>
      </c>
      <c r="Q291" s="88">
        <f>IFERROR(IF(tblPiNAnalysis[[#This Row],[SAMV]]="", "", MROUND(tblPiNAnalysis[[#This Row],[SAMV]]/tblPiNAnalysis[[#This Row],[Población]], 0.05)), "")</f>
        <v>0</v>
      </c>
      <c r="R291" s="89">
        <f>IFERROR(IF(tblPiNAnalysis[[#This Row],[NUT]]="", "", MROUND(tblPiNAnalysis[[#This Row],[NUT]]/tblPiNAnalysis[[#This Row],[Población]], 0.05)), "")</f>
        <v>0.05</v>
      </c>
      <c r="S291" s="89">
        <f>IFERROR(IF(tblPiNAnalysis[[#This Row],[SAL]]="", "", MROUND(tblPiNAnalysis[[#This Row],[SAL]]/tblPiNAnalysis[[#This Row],[Población]], 0.05)), "")</f>
        <v>0.35000000000000003</v>
      </c>
      <c r="T291" s="89">
        <f>IFERROR(IF(tblPiNAnalysis[[#This Row],[EDU]]="", "", MROUND(tblPiNAnalysis[[#This Row],[EDU]]/tblPiNAnalysis[[#This Row],[Población]], 0.05)), "")</f>
        <v>0.1</v>
      </c>
      <c r="U291" s="89">
        <f>IFERROR(IF(tblPiNAnalysis[[#This Row],[PRO]]="", "", MROUND(tblPiNAnalysis[[#This Row],[PRO]]/tblPiNAnalysis[[#This Row],[Población]], 0.05)), "")</f>
        <v>0.25</v>
      </c>
      <c r="V291" s="90">
        <f>IFERROR(IF(tblPiNAnalysis[[#This Row],[ASH]]="", "", MROUND(tblPiNAnalysis[[#This Row],[ASH]]/tblPiNAnalysis[[#This Row],[Población]], 0.05)), "")</f>
        <v>0</v>
      </c>
      <c r="W291" s="89">
        <f>IFERROR(MROUND(tblPiNAnalysis[[#This Row],[NNA]]/tblPiNAnalysis[[#This Row],[Población]], 0.05), "")</f>
        <v>0.1</v>
      </c>
      <c r="X291" s="89">
        <f>IFERROR(MROUND(tblPiNAnalysis[[#This Row],[VBG]]/tblPiNAnalysis[[#This Row],[Población]], 0.05), "")</f>
        <v>0.1</v>
      </c>
      <c r="Y291" s="91">
        <f>IFERROR(LARGE(tblPiNAnalysis[[#This Row],[SAMV]:[ASH]], 1), "")</f>
        <v>69824.5</v>
      </c>
      <c r="Z291" s="92" t="str" cm="1">
        <f t="array" ref="Z291">IF(tblPiNAnalysis[[#This Row],[PiN más alto]]="", "", _xlfn.TEXTJOIN(CHAR(10), TRUE, IF(tblPiNAnalysis[[#This Row],[PiN más alto]]=tblPiNAnalysis[[#This Row],[SAMV]:[ASH]], tblPiNAnalysis[[#Headers],[SAMV]:[ASH]], "")))</f>
        <v>SAL</v>
      </c>
      <c r="AA291" s="93">
        <f>IF(tblPiNAnalysis[[#This Row],[PiN más alto]]="", "", tblPiNAnalysis[[#This Row],[PiN más alto]]/tblPiNAnalysis[[#This Row],[Población]])</f>
        <v>0.36499999999999999</v>
      </c>
      <c r="AB291" s="94" t="str">
        <f>IF(SUM(tblPiNAnalysis[[#This Row],[SAMV]:[ASH]])=0, "",IF(COUNTIF(tblPiNAnalysis[[#This Row],[SAMV]:[ASH]],"=0")+COUNTIF(tblPiNAnalysis[[#This Row],[SAMV]:[ASH]],"")&gt;=zero_pin_thresh, "Flagged", ""))</f>
        <v/>
      </c>
      <c r="AC291" s="95" t="str">
        <f>IFERROR(IF(tblPiNAnalysis[[#This Row],[PiN más alto]]="", "", IF(tblPiNAnalysis[[#This Row],[% PiN Sectores más altos]]&gt;=flag_pin_perc, "Flagged", "")), "")</f>
        <v/>
      </c>
      <c r="AD291" s="96" t="str" cm="1">
        <f t="array" ref="AD291">IF(tblPiNAnalysis[[#This Row],[PiN más alto]]=0, "",  IF(OR(COUNTIF(tblPiNAnalysis[[#This Row],[Sectores más altos]],tblSubSectorPopulation[Sector])), "Flagged", ""))</f>
        <v/>
      </c>
      <c r="AE291" s="16" cm="1">
        <f t="array" ref="AE29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45764.616188390435</v>
      </c>
      <c r="AF291" s="97" t="str" cm="1">
        <f t="array" ref="AF291">IF(tblPiNAnalysis[[#This Row],[2º PiN más alto]]="", "", _xlfn.TEXTJOIN(CHAR(10), TRUE, IF(tblPiNAnalysis[[#This Row],[2º PiN más alto]]=tblPiNAnalysis[[#This Row],[SAMV]:[ASH]], tblPiNAnalysis[[#Headers],[SAMV]:[ASH]], "")))</f>
        <v>PRO</v>
      </c>
      <c r="AG291" s="12">
        <f>IFERROR(tblPiNAnalysis[[#This Row],[2º PiN más alto]]/tblPiNAnalysis[[#This Row],[Población]], "")</f>
        <v>0.23922956711129345</v>
      </c>
      <c r="AH291" s="16">
        <f>IFERROR(tblPiNAnalysis[[#This Row],[PiN más alto]]-tblPiNAnalysis[[#This Row],[2º PiN más alto]], "")</f>
        <v>24059.883811609565</v>
      </c>
      <c r="AI291" s="14">
        <f>IFERROR(((tblPiNAnalysis[[#This Row],[PiN más alto]]-tblPiNAnalysis[[#This Row],[2º PiN más alto]])/tblPiNAnalysis[[#This Row],[2º PiN más alto]]),"")</f>
        <v>0.5257311393712305</v>
      </c>
      <c r="AJ291" s="14" t="str" cm="1">
        <f t="array" ref="AJ29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91" s="98" cm="1">
        <f t="array" ref="AK29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22396.212342262392</v>
      </c>
      <c r="AL291" s="53" t="str" cm="1">
        <f t="array" ref="AL291">IF(tblPiNAnalysis[[#This Row],[3º PiN más alto]]="", "", _xlfn.TEXTJOIN(CHAR(10), TRUE, IF(tblPiNAnalysis[[#This Row],[3º PiN más alto]]=tblPiNAnalysis[[#This Row],[SAMV]:[ASH]], tblPiNAnalysis[[#Headers],[SAMV]:[ASH]], "")))</f>
        <v>EDU</v>
      </c>
      <c r="AM291" s="53">
        <f>IFERROR(tblPiNAnalysis[[#This Row],[3º PiN más alto]]/tblPiNAnalysis[[#This Row],[Población]], "")</f>
        <v>0.11707377073843384</v>
      </c>
      <c r="AN291" s="15">
        <f>IFERROR(tblPiNAnalysis[[#This Row],[PiN más alto]]-tblPiNAnalysis[[#This Row],[3º PiN más alto]],"")</f>
        <v>47428.287657737608</v>
      </c>
      <c r="AO291" s="14">
        <f>IFERROR(tblPiNAnalysis[[#This Row],[Diferencia de PiN entre el más alto y el 3º más alto]]/tblPiNAnalysis[[#This Row],[3º PiN más alto]], "")</f>
        <v>2.117692354980885</v>
      </c>
      <c r="AP291" s="96" t="str" cm="1">
        <f t="array" ref="AP29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91" s="84" cm="1">
        <f t="array" ref="AQ291">IFERROR(IF(tblPiNAnalysis[[#This Row],[ID]]="", "", INDEX(tblPiNHistorical[[SAMV]:[ASH]], MATCH(tblPiNAnalysis[[#This Row],[ID]],tblPiNHistorical[ID], 0),MATCH(_xlfn._xlws.FILTER(tblPiNAnalysis[[#Headers],[SAMV]:[ASH]], tblPiNAnalysis[[#This Row],[PiN más alto]]=tblPiNAnalysis[[#This Row],[SAMV]:[ASH]]), tblPiNHistorical[[#Headers],[SAMV]:[ASH]], 0))), "")</f>
        <v>-0.8</v>
      </c>
      <c r="AR291" s="99" t="str" cm="1">
        <f t="array" ref="AR29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91" s="74" cm="1">
        <f t="array" ref="AS291">IFERROR(IF(tblPiNAnalysis[[#This Row],[ID]]="", "", INDEX(tblPiNHistorical[[SAMV]:[ASH]], MATCH(tblPiNAnalysis[[#This Row],[ID]],tblPiNHistorical[ID], 0),MATCH(_xlfn._xlws.FILTER(tblPiNAnalysis[[#Headers],[SAMV]:[ASH]], tblPiNAnalysis[[#This Row],[2º PiN más alto]]=tblPiNAnalysis[[#This Row],[SAMV]:[ASH]]), tblPiNHistorical[[#Headers],[SAMV]:[ASH]], 0))), "")</f>
        <v>-0.9</v>
      </c>
      <c r="AT291" s="100" t="str" cm="1">
        <f t="array" ref="AT29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91" s="219">
        <f>INDEX(tblSeverityAnalysis[Severidad final], MATCH(tblPiNAnalysis[[#This Row],[ID]],tblSeverityAnalysis[ID], 0))</f>
        <v>2</v>
      </c>
      <c r="AV291" s="220">
        <f>IF(tblPiNAnalysis[[#This Row],[Severidad]]&gt;2,tblPiNAnalysis[[#This Row],[PiN más alto]],)</f>
        <v>0</v>
      </c>
      <c r="AW291" s="54"/>
      <c r="AX291" s="55"/>
      <c r="AY291" s="56">
        <f>COUNTIFS(tblPiNAnalysis[[#This Row],[Número de PiN ausentes/cero superior al umbral - Calidad de los datos]:[Marcador manual]],"Flagged")</f>
        <v>2</v>
      </c>
      <c r="AZ291" s="34" t="str">
        <f>IF(tblPiNAnalysis[[#This Row],[Número de marcadores]]&gt;0, "Flagged", "")</f>
        <v>Flagged</v>
      </c>
      <c r="BA291" s="92">
        <f>tblPiNAnalysis[[#This Row],[PiN preliminar]]</f>
        <v>0</v>
      </c>
      <c r="BB291" s="97"/>
      <c r="BC291" s="70">
        <f>IFERROR(IF(tblPiNAnalysis[[#This Row],[Severidad]]=3,tblPiNAnalysis[[#This Row],[PiN final]]*Umbrales!$D$33,tblPiNAnalysis[[#This Row],[PiN final]]*Umbrales!$D$34),)</f>
        <v>0</v>
      </c>
      <c r="BD291" s="70">
        <f>IFERROR(IF(tblPiNAnalysis[[#This Row],[Severidad]]&gt;3,tblPiNAnalysis[[#This Row],[PiN final]]*Umbrales!$D$34,),)</f>
        <v>0</v>
      </c>
    </row>
    <row r="292" spans="1:56">
      <c r="A292" s="101" t="str">
        <f>IFERROR(_xlfn.CONCAT(IF(tblPiNAnalysis[[#This Row],[Grupo]]="", "",tblPiNAnalysis[[#This Row],[Grupo]] ),  _xlfn.IFS(tblPiNAnalysis[[#This Row],[Admin2PCODE]]&lt;&gt;"", tblPiNAnalysis[[#This Row],[Admin2PCODE]], tblPiNAnalysis[[#This Row],[Admin1PCODE]]&lt;&gt;"", tblPiNAnalysis[[#This Row],[Admin1PCODE]])),"")</f>
        <v>VenezolanosVE1701</v>
      </c>
      <c r="B292" s="105" t="s">
        <v>513</v>
      </c>
      <c r="C292" s="104" t="s">
        <v>514</v>
      </c>
      <c r="D292" s="119" t="s">
        <v>832</v>
      </c>
      <c r="E292" s="104" t="s">
        <v>516</v>
      </c>
      <c r="F292" s="358"/>
      <c r="G292" s="357">
        <v>28930</v>
      </c>
      <c r="H292" s="103" t="s">
        <v>102</v>
      </c>
      <c r="I292" s="60">
        <v>5193</v>
      </c>
      <c r="J292" s="134">
        <v>828.7233462712943</v>
      </c>
      <c r="K292" s="57">
        <v>10559.45</v>
      </c>
      <c r="L292" s="87">
        <v>3703.9087406533395</v>
      </c>
      <c r="M292" s="87">
        <v>1161.6912499055102</v>
      </c>
      <c r="N292" s="57">
        <v>17358</v>
      </c>
      <c r="O292" s="57">
        <v>371.74119996976322</v>
      </c>
      <c r="P292" s="57">
        <v>406.59193746692858</v>
      </c>
      <c r="Q292" s="88">
        <f>IFERROR(IF(tblPiNAnalysis[[#This Row],[SAMV]]="", "", MROUND(tblPiNAnalysis[[#This Row],[SAMV]]/tblPiNAnalysis[[#This Row],[Población]], 0.05)), "")</f>
        <v>0.2</v>
      </c>
      <c r="R292" s="89">
        <f>IFERROR(IF(tblPiNAnalysis[[#This Row],[NUT]]="", "", MROUND(tblPiNAnalysis[[#This Row],[NUT]]/tblPiNAnalysis[[#This Row],[Población]], 0.05)), "")</f>
        <v>0.05</v>
      </c>
      <c r="S292" s="89">
        <f>IFERROR(IF(tblPiNAnalysis[[#This Row],[SAL]]="", "", MROUND(tblPiNAnalysis[[#This Row],[SAL]]/tblPiNAnalysis[[#This Row],[Población]], 0.05)), "")</f>
        <v>0.35000000000000003</v>
      </c>
      <c r="T292" s="89">
        <f>IFERROR(IF(tblPiNAnalysis[[#This Row],[EDU]]="", "", MROUND(tblPiNAnalysis[[#This Row],[EDU]]/tblPiNAnalysis[[#This Row],[Población]], 0.05)), "")</f>
        <v>0.15000000000000002</v>
      </c>
      <c r="U292" s="89">
        <f>IFERROR(IF(tblPiNAnalysis[[#This Row],[PRO]]="", "", MROUND(tblPiNAnalysis[[#This Row],[PRO]]/tblPiNAnalysis[[#This Row],[Población]], 0.05)), "")</f>
        <v>0.05</v>
      </c>
      <c r="V292" s="90">
        <f>IFERROR(IF(tblPiNAnalysis[[#This Row],[ASH]]="", "", MROUND(tblPiNAnalysis[[#This Row],[ASH]]/tblPiNAnalysis[[#This Row],[Población]], 0.05)), "")</f>
        <v>0.60000000000000009</v>
      </c>
      <c r="W292" s="89">
        <f>IFERROR(MROUND(tblPiNAnalysis[[#This Row],[NNA]]/tblPiNAnalysis[[#This Row],[Población]], 0.05), "")</f>
        <v>0</v>
      </c>
      <c r="X292" s="89">
        <f>IFERROR(MROUND(tblPiNAnalysis[[#This Row],[VBG]]/tblPiNAnalysis[[#This Row],[Población]], 0.05), "")</f>
        <v>0</v>
      </c>
      <c r="Y292" s="91">
        <f>IFERROR(LARGE(tblPiNAnalysis[[#This Row],[SAMV]:[ASH]], 1), "")</f>
        <v>17358</v>
      </c>
      <c r="Z292" s="92" t="str" cm="1">
        <f t="array" ref="Z292">IF(tblPiNAnalysis[[#This Row],[PiN más alto]]="", "", _xlfn.TEXTJOIN(CHAR(10), TRUE, IF(tblPiNAnalysis[[#This Row],[PiN más alto]]=tblPiNAnalysis[[#This Row],[SAMV]:[ASH]], tblPiNAnalysis[[#Headers],[SAMV]:[ASH]], "")))</f>
        <v>ASH</v>
      </c>
      <c r="AA292" s="93">
        <f>IF(tblPiNAnalysis[[#This Row],[PiN más alto]]="", "", tblPiNAnalysis[[#This Row],[PiN más alto]]/tblPiNAnalysis[[#This Row],[Población]])</f>
        <v>0.6</v>
      </c>
      <c r="AB292" s="94" t="str">
        <f>IF(SUM(tblPiNAnalysis[[#This Row],[SAMV]:[ASH]])=0, "",IF(COUNTIF(tblPiNAnalysis[[#This Row],[SAMV]:[ASH]],"=0")+COUNTIF(tblPiNAnalysis[[#This Row],[SAMV]:[ASH]],"")&gt;=zero_pin_thresh, "Flagged", ""))</f>
        <v/>
      </c>
      <c r="AC292" s="95" t="str">
        <f>IFERROR(IF(tblPiNAnalysis[[#This Row],[PiN más alto]]="", "", IF(tblPiNAnalysis[[#This Row],[% PiN Sectores más altos]]&gt;=flag_pin_perc, "Flagged", "")), "")</f>
        <v/>
      </c>
      <c r="AD292" s="96" t="str" cm="1">
        <f t="array" ref="AD292">IF(tblPiNAnalysis[[#This Row],[PiN más alto]]=0, "",  IF(OR(COUNTIF(tblPiNAnalysis[[#This Row],[Sectores más altos]],tblSubSectorPopulation[Sector])), "Flagged", ""))</f>
        <v/>
      </c>
      <c r="AE292" s="16" cm="1">
        <f t="array" ref="AE29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10559.45</v>
      </c>
      <c r="AF292" s="97" t="str" cm="1">
        <f t="array" ref="AF292">IF(tblPiNAnalysis[[#This Row],[2º PiN más alto]]="", "", _xlfn.TEXTJOIN(CHAR(10), TRUE, IF(tblPiNAnalysis[[#This Row],[2º PiN más alto]]=tblPiNAnalysis[[#This Row],[SAMV]:[ASH]], tblPiNAnalysis[[#Headers],[SAMV]:[ASH]], "")))</f>
        <v>SAL</v>
      </c>
      <c r="AG292" s="12">
        <f>IFERROR(tblPiNAnalysis[[#This Row],[2º PiN más alto]]/tblPiNAnalysis[[#This Row],[Población]], "")</f>
        <v>0.36500000000000005</v>
      </c>
      <c r="AH292" s="16">
        <f>IFERROR(tblPiNAnalysis[[#This Row],[PiN más alto]]-tblPiNAnalysis[[#This Row],[2º PiN más alto]], "")</f>
        <v>6798.5499999999993</v>
      </c>
      <c r="AI292" s="14">
        <f>IFERROR(((tblPiNAnalysis[[#This Row],[PiN más alto]]-tblPiNAnalysis[[#This Row],[2º PiN más alto]])/tblPiNAnalysis[[#This Row],[2º PiN más alto]]),"")</f>
        <v>0.64383561643835607</v>
      </c>
      <c r="AJ292" s="14" t="str" cm="1">
        <f t="array" ref="AJ29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92" s="98" cm="1">
        <f t="array" ref="AK29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5193</v>
      </c>
      <c r="AL292" s="53" t="str" cm="1">
        <f t="array" ref="AL292">IF(tblPiNAnalysis[[#This Row],[3º PiN más alto]]="", "", _xlfn.TEXTJOIN(CHAR(10), TRUE, IF(tblPiNAnalysis[[#This Row],[3º PiN más alto]]=tblPiNAnalysis[[#This Row],[SAMV]:[ASH]], tblPiNAnalysis[[#Headers],[SAMV]:[ASH]], "")))</f>
        <v>SAMV</v>
      </c>
      <c r="AM292" s="53">
        <f>IFERROR(tblPiNAnalysis[[#This Row],[3º PiN más alto]]/tblPiNAnalysis[[#This Row],[Población]], "")</f>
        <v>0.17950224680262702</v>
      </c>
      <c r="AN292" s="15">
        <f>IFERROR(tblPiNAnalysis[[#This Row],[PiN más alto]]-tblPiNAnalysis[[#This Row],[3º PiN más alto]],"")</f>
        <v>12165</v>
      </c>
      <c r="AO292" s="14">
        <f>IFERROR(tblPiNAnalysis[[#This Row],[Diferencia de PiN entre el más alto y el 3º más alto]]/tblPiNAnalysis[[#This Row],[3º PiN más alto]], "")</f>
        <v>2.3425765453495089</v>
      </c>
      <c r="AP292" s="96" t="str" cm="1">
        <f t="array" ref="AP29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92" s="84" t="str" cm="1">
        <f t="array" ref="AQ292">IFERROR(IF(tblPiNAnalysis[[#This Row],[ID]]="", "", INDEX(tblPiNHistorical[[SAMV]:[ASH]], MATCH(tblPiNAnalysis[[#This Row],[ID]],tblPiNHistorical[ID], 0),MATCH(_xlfn._xlws.FILTER(tblPiNAnalysis[[#Headers],[SAMV]:[ASH]], tblPiNAnalysis[[#This Row],[PiN más alto]]=tblPiNAnalysis[[#This Row],[SAMV]:[ASH]]), tblPiNHistorical[[#Headers],[SAMV]:[ASH]], 0))), "")</f>
        <v>NoPIN26 5659</v>
      </c>
      <c r="AR292" s="99" t="str" cm="1">
        <f t="array" ref="AR29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92" s="74" cm="1">
        <f t="array" ref="AS292">IFERROR(IF(tblPiNAnalysis[[#This Row],[ID]]="", "", INDEX(tblPiNHistorical[[SAMV]:[ASH]], MATCH(tblPiNAnalysis[[#This Row],[ID]],tblPiNHistorical[ID], 0),MATCH(_xlfn._xlws.FILTER(tblPiNAnalysis[[#Headers],[SAMV]:[ASH]], tblPiNAnalysis[[#This Row],[2º PiN más alto]]=tblPiNAnalysis[[#This Row],[SAMV]:[ASH]]), tblPiNHistorical[[#Headers],[SAMV]:[ASH]], 0))), "")</f>
        <v>-0.1</v>
      </c>
      <c r="AT292" s="100" t="str" cm="1">
        <f t="array" ref="AT29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92" s="219">
        <f>INDEX(tblSeverityAnalysis[Severidad final], MATCH(tblPiNAnalysis[[#This Row],[ID]],tblSeverityAnalysis[ID], 0))</f>
        <v>2</v>
      </c>
      <c r="AV292" s="220">
        <f>IF(tblPiNAnalysis[[#This Row],[Severidad]]&gt;2,tblPiNAnalysis[[#This Row],[PiN más alto]],)</f>
        <v>0</v>
      </c>
      <c r="AW292" s="54"/>
      <c r="AX292" s="55"/>
      <c r="AY292" s="56">
        <f>COUNTIFS(tblPiNAnalysis[[#This Row],[Número de PiN ausentes/cero superior al umbral - Calidad de los datos]:[Marcador manual]],"Flagged")</f>
        <v>2</v>
      </c>
      <c r="AZ292" s="34" t="str">
        <f>IF(tblPiNAnalysis[[#This Row],[Número de marcadores]]&gt;0, "Flagged", "")</f>
        <v>Flagged</v>
      </c>
      <c r="BA292" s="92">
        <f>tblPiNAnalysis[[#This Row],[PiN preliminar]]</f>
        <v>0</v>
      </c>
      <c r="BB292" s="97"/>
      <c r="BC292" s="70">
        <f>IFERROR(IF(tblPiNAnalysis[[#This Row],[Severidad]]=3,tblPiNAnalysis[[#This Row],[PiN final]]*Umbrales!$D$33,tblPiNAnalysis[[#This Row],[PiN final]]*Umbrales!$D$34),)</f>
        <v>0</v>
      </c>
      <c r="BD292" s="70">
        <f>IFERROR(IF(tblPiNAnalysis[[#This Row],[Severidad]]&gt;3,tblPiNAnalysis[[#This Row],[PiN final]]*Umbrales!$D$34,),)</f>
        <v>0</v>
      </c>
    </row>
    <row r="293" spans="1:56">
      <c r="A293" s="101" t="str">
        <f>IFERROR(_xlfn.CONCAT(IF(tblPiNAnalysis[[#This Row],[Grupo]]="", "",tblPiNAnalysis[[#This Row],[Grupo]] ),  _xlfn.IFS(tblPiNAnalysis[[#This Row],[Admin2PCODE]]&lt;&gt;"", tblPiNAnalysis[[#This Row],[Admin2PCODE]], tblPiNAnalysis[[#This Row],[Admin1PCODE]]&lt;&gt;"", tblPiNAnalysis[[#This Row],[Admin1PCODE]])),"")</f>
        <v>VenezolanosVE1705</v>
      </c>
      <c r="B293" s="105" t="s">
        <v>513</v>
      </c>
      <c r="C293" s="104" t="s">
        <v>514</v>
      </c>
      <c r="D293" s="119" t="s">
        <v>522</v>
      </c>
      <c r="E293" s="104" t="s">
        <v>523</v>
      </c>
      <c r="F293" s="358"/>
      <c r="G293" s="357">
        <v>41323</v>
      </c>
      <c r="H293" s="103" t="s">
        <v>102</v>
      </c>
      <c r="I293" s="60">
        <v>5165</v>
      </c>
      <c r="J293" s="134">
        <v>1201.0811480764187</v>
      </c>
      <c r="K293" s="57">
        <v>15082.895</v>
      </c>
      <c r="L293" s="87">
        <v>5321.9602595917095</v>
      </c>
      <c r="M293" s="87">
        <v>4978.0056190645055</v>
      </c>
      <c r="N293" s="57">
        <v>24793.8</v>
      </c>
      <c r="O293" s="57">
        <v>1592.9617981006418</v>
      </c>
      <c r="P293" s="57">
        <v>1742.3019666725768</v>
      </c>
      <c r="Q293" s="88">
        <f>IFERROR(IF(tblPiNAnalysis[[#This Row],[SAMV]]="", "", MROUND(tblPiNAnalysis[[#This Row],[SAMV]]/tblPiNAnalysis[[#This Row],[Población]], 0.05)), "")</f>
        <v>0.1</v>
      </c>
      <c r="R293" s="89">
        <f>IFERROR(IF(tblPiNAnalysis[[#This Row],[NUT]]="", "", MROUND(tblPiNAnalysis[[#This Row],[NUT]]/tblPiNAnalysis[[#This Row],[Población]], 0.05)), "")</f>
        <v>0.05</v>
      </c>
      <c r="S293" s="89">
        <f>IFERROR(IF(tblPiNAnalysis[[#This Row],[SAL]]="", "", MROUND(tblPiNAnalysis[[#This Row],[SAL]]/tblPiNAnalysis[[#This Row],[Población]], 0.05)), "")</f>
        <v>0.35000000000000003</v>
      </c>
      <c r="T293" s="89">
        <f>IFERROR(IF(tblPiNAnalysis[[#This Row],[EDU]]="", "", MROUND(tblPiNAnalysis[[#This Row],[EDU]]/tblPiNAnalysis[[#This Row],[Población]], 0.05)), "")</f>
        <v>0.15000000000000002</v>
      </c>
      <c r="U293" s="89">
        <f>IFERROR(IF(tblPiNAnalysis[[#This Row],[PRO]]="", "", MROUND(tblPiNAnalysis[[#This Row],[PRO]]/tblPiNAnalysis[[#This Row],[Población]], 0.05)), "")</f>
        <v>0.1</v>
      </c>
      <c r="V293" s="90">
        <f>IFERROR(IF(tblPiNAnalysis[[#This Row],[ASH]]="", "", MROUND(tblPiNAnalysis[[#This Row],[ASH]]/tblPiNAnalysis[[#This Row],[Población]], 0.05)), "")</f>
        <v>0.60000000000000009</v>
      </c>
      <c r="W293" s="89">
        <f>IFERROR(MROUND(tblPiNAnalysis[[#This Row],[NNA]]/tblPiNAnalysis[[#This Row],[Población]], 0.05), "")</f>
        <v>0.05</v>
      </c>
      <c r="X293" s="89">
        <f>IFERROR(MROUND(tblPiNAnalysis[[#This Row],[VBG]]/tblPiNAnalysis[[#This Row],[Población]], 0.05), "")</f>
        <v>0.05</v>
      </c>
      <c r="Y293" s="91">
        <f>IFERROR(LARGE(tblPiNAnalysis[[#This Row],[SAMV]:[ASH]], 1), "")</f>
        <v>24793.8</v>
      </c>
      <c r="Z293" s="92" t="str" cm="1">
        <f t="array" ref="Z293">IF(tblPiNAnalysis[[#This Row],[PiN más alto]]="", "", _xlfn.TEXTJOIN(CHAR(10), TRUE, IF(tblPiNAnalysis[[#This Row],[PiN más alto]]=tblPiNAnalysis[[#This Row],[SAMV]:[ASH]], tblPiNAnalysis[[#Headers],[SAMV]:[ASH]], "")))</f>
        <v>ASH</v>
      </c>
      <c r="AA293" s="93">
        <f>IF(tblPiNAnalysis[[#This Row],[PiN más alto]]="", "", tblPiNAnalysis[[#This Row],[PiN más alto]]/tblPiNAnalysis[[#This Row],[Población]])</f>
        <v>0.6</v>
      </c>
      <c r="AB293" s="94" t="str">
        <f>IF(SUM(tblPiNAnalysis[[#This Row],[SAMV]:[ASH]])=0, "",IF(COUNTIF(tblPiNAnalysis[[#This Row],[SAMV]:[ASH]],"=0")+COUNTIF(tblPiNAnalysis[[#This Row],[SAMV]:[ASH]],"")&gt;=zero_pin_thresh, "Flagged", ""))</f>
        <v/>
      </c>
      <c r="AC293" s="95" t="str">
        <f>IFERROR(IF(tblPiNAnalysis[[#This Row],[PiN más alto]]="", "", IF(tblPiNAnalysis[[#This Row],[% PiN Sectores más altos]]&gt;=flag_pin_perc, "Flagged", "")), "")</f>
        <v/>
      </c>
      <c r="AD293" s="96" t="str" cm="1">
        <f t="array" ref="AD293">IF(tblPiNAnalysis[[#This Row],[PiN más alto]]=0, "",  IF(OR(COUNTIF(tblPiNAnalysis[[#This Row],[Sectores más altos]],tblSubSectorPopulation[Sector])), "Flagged", ""))</f>
        <v/>
      </c>
      <c r="AE293" s="16" cm="1">
        <f t="array" ref="AE29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15082.895</v>
      </c>
      <c r="AF293" s="97" t="str" cm="1">
        <f t="array" ref="AF293">IF(tblPiNAnalysis[[#This Row],[2º PiN más alto]]="", "", _xlfn.TEXTJOIN(CHAR(10), TRUE, IF(tblPiNAnalysis[[#This Row],[2º PiN más alto]]=tblPiNAnalysis[[#This Row],[SAMV]:[ASH]], tblPiNAnalysis[[#Headers],[SAMV]:[ASH]], "")))</f>
        <v>SAL</v>
      </c>
      <c r="AG293" s="12">
        <f>IFERROR(tblPiNAnalysis[[#This Row],[2º PiN más alto]]/tblPiNAnalysis[[#This Row],[Población]], "")</f>
        <v>0.36499999999999999</v>
      </c>
      <c r="AH293" s="16">
        <f>IFERROR(tblPiNAnalysis[[#This Row],[PiN más alto]]-tblPiNAnalysis[[#This Row],[2º PiN más alto]], "")</f>
        <v>9710.9049999999988</v>
      </c>
      <c r="AI293" s="14">
        <f>IFERROR(((tblPiNAnalysis[[#This Row],[PiN más alto]]-tblPiNAnalysis[[#This Row],[2º PiN más alto]])/tblPiNAnalysis[[#This Row],[2º PiN más alto]]),"")</f>
        <v>0.64383561643835607</v>
      </c>
      <c r="AJ293" s="14" t="str" cm="1">
        <f t="array" ref="AJ29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93" s="98" cm="1">
        <f t="array" ref="AK29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5321.9602595917095</v>
      </c>
      <c r="AL293" s="53" t="str" cm="1">
        <f t="array" ref="AL293">IF(tblPiNAnalysis[[#This Row],[3º PiN más alto]]="", "", _xlfn.TEXTJOIN(CHAR(10), TRUE, IF(tblPiNAnalysis[[#This Row],[3º PiN más alto]]=tblPiNAnalysis[[#This Row],[SAMV]:[ASH]], tblPiNAnalysis[[#Headers],[SAMV]:[ASH]], "")))</f>
        <v>EDU</v>
      </c>
      <c r="AM293" s="53">
        <f>IFERROR(tblPiNAnalysis[[#This Row],[3º PiN más alto]]/tblPiNAnalysis[[#This Row],[Población]], "")</f>
        <v>0.12878930037973307</v>
      </c>
      <c r="AN293" s="15">
        <f>IFERROR(tblPiNAnalysis[[#This Row],[PiN más alto]]-tblPiNAnalysis[[#This Row],[3º PiN más alto]],"")</f>
        <v>19471.83974040829</v>
      </c>
      <c r="AO293" s="14">
        <f>IFERROR(tblPiNAnalysis[[#This Row],[Diferencia de PiN entre el más alto y el 3º más alto]]/tblPiNAnalysis[[#This Row],[3º PiN más alto]], "")</f>
        <v>3.6587721047548993</v>
      </c>
      <c r="AP293" s="96" t="str" cm="1">
        <f t="array" ref="AP29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93" s="84" t="str" cm="1">
        <f t="array" ref="AQ293">IFERROR(IF(tblPiNAnalysis[[#This Row],[ID]]="", "", INDEX(tblPiNHistorical[[SAMV]:[ASH]], MATCH(tblPiNAnalysis[[#This Row],[ID]],tblPiNHistorical[ID], 0),MATCH(_xlfn._xlws.FILTER(tblPiNAnalysis[[#Headers],[SAMV]:[ASH]], tblPiNAnalysis[[#This Row],[PiN más alto]]=tblPiNAnalysis[[#This Row],[SAMV]:[ASH]]), tblPiNHistorical[[#Headers],[SAMV]:[ASH]], 0))), "")</f>
        <v>NoPIN26 8082</v>
      </c>
      <c r="AR293" s="99" t="str" cm="1">
        <f t="array" ref="AR29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93" s="74" cm="1">
        <f t="array" ref="AS293">IFERROR(IF(tblPiNAnalysis[[#This Row],[ID]]="", "", INDEX(tblPiNHistorical[[SAMV]:[ASH]], MATCH(tblPiNAnalysis[[#This Row],[ID]],tblPiNHistorical[ID], 0),MATCH(_xlfn._xlws.FILTER(tblPiNAnalysis[[#Headers],[SAMV]:[ASH]], tblPiNAnalysis[[#This Row],[2º PiN más alto]]=tblPiNAnalysis[[#This Row],[SAMV]:[ASH]]), tblPiNHistorical[[#Headers],[SAMV]:[ASH]], 0))), "")</f>
        <v>-0.5</v>
      </c>
      <c r="AT293" s="100" t="str" cm="1">
        <f t="array" ref="AT29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93" s="219">
        <f>INDEX(tblSeverityAnalysis[Severidad final], MATCH(tblPiNAnalysis[[#This Row],[ID]],tblSeverityAnalysis[ID], 0))</f>
        <v>2</v>
      </c>
      <c r="AV293" s="220">
        <f>IF(tblPiNAnalysis[[#This Row],[Severidad]]&gt;2,tblPiNAnalysis[[#This Row],[PiN más alto]],)</f>
        <v>0</v>
      </c>
      <c r="AW293" s="54"/>
      <c r="AX293" s="55"/>
      <c r="AY293" s="56">
        <f>COUNTIFS(tblPiNAnalysis[[#This Row],[Número de PiN ausentes/cero superior al umbral - Calidad de los datos]:[Marcador manual]],"Flagged")</f>
        <v>2</v>
      </c>
      <c r="AZ293" s="34" t="str">
        <f>IF(tblPiNAnalysis[[#This Row],[Número de marcadores]]&gt;0, "Flagged", "")</f>
        <v>Flagged</v>
      </c>
      <c r="BA293" s="92">
        <f>tblPiNAnalysis[[#This Row],[PiN preliminar]]</f>
        <v>0</v>
      </c>
      <c r="BB293" s="97"/>
      <c r="BC293" s="70">
        <f>IFERROR(IF(tblPiNAnalysis[[#This Row],[Severidad]]=3,tblPiNAnalysis[[#This Row],[PiN final]]*Umbrales!$D$33,tblPiNAnalysis[[#This Row],[PiN final]]*Umbrales!$D$34),)</f>
        <v>0</v>
      </c>
      <c r="BD293" s="70">
        <f>IFERROR(IF(tblPiNAnalysis[[#This Row],[Severidad]]&gt;3,tblPiNAnalysis[[#This Row],[PiN final]]*Umbrales!$D$34,),)</f>
        <v>0</v>
      </c>
    </row>
    <row r="294" spans="1:56">
      <c r="A294" s="101" t="str">
        <f>IFERROR(_xlfn.CONCAT(IF(tblPiNAnalysis[[#This Row],[Grupo]]="", "",tblPiNAnalysis[[#This Row],[Grupo]] ),  _xlfn.IFS(tblPiNAnalysis[[#This Row],[Admin2PCODE]]&lt;&gt;"", tblPiNAnalysis[[#This Row],[Admin2PCODE]], tblPiNAnalysis[[#This Row],[Admin1PCODE]]&lt;&gt;"", tblPiNAnalysis[[#This Row],[Admin1PCODE]])),"")</f>
        <v>VenezolanosVE1706</v>
      </c>
      <c r="B294" s="105" t="s">
        <v>513</v>
      </c>
      <c r="C294" s="104" t="s">
        <v>514</v>
      </c>
      <c r="D294" s="119" t="s">
        <v>524</v>
      </c>
      <c r="E294" s="104" t="s">
        <v>525</v>
      </c>
      <c r="F294" s="358"/>
      <c r="G294" s="357">
        <v>50050</v>
      </c>
      <c r="H294" s="103" t="s">
        <v>102</v>
      </c>
      <c r="I294" s="60">
        <v>8008</v>
      </c>
      <c r="J294" s="134">
        <v>1364.7572244034973</v>
      </c>
      <c r="K294" s="57">
        <v>18268.25</v>
      </c>
      <c r="L294" s="87">
        <v>6015.0133949058263</v>
      </c>
      <c r="M294" s="87">
        <v>2009.7700331064902</v>
      </c>
      <c r="N294" s="57">
        <v>30030</v>
      </c>
      <c r="O294" s="57">
        <v>643.1264105940769</v>
      </c>
      <c r="P294" s="57">
        <v>703.41951158727159</v>
      </c>
      <c r="Q294" s="88">
        <f>IFERROR(IF(tblPiNAnalysis[[#This Row],[SAMV]]="", "", MROUND(tblPiNAnalysis[[#This Row],[SAMV]]/tblPiNAnalysis[[#This Row],[Población]], 0.05)), "")</f>
        <v>0.15000000000000002</v>
      </c>
      <c r="R294" s="89">
        <f>IFERROR(IF(tblPiNAnalysis[[#This Row],[NUT]]="", "", MROUND(tblPiNAnalysis[[#This Row],[NUT]]/tblPiNAnalysis[[#This Row],[Población]], 0.05)), "")</f>
        <v>0.05</v>
      </c>
      <c r="S294" s="89">
        <f>IFERROR(IF(tblPiNAnalysis[[#This Row],[SAL]]="", "", MROUND(tblPiNAnalysis[[#This Row],[SAL]]/tblPiNAnalysis[[#This Row],[Población]], 0.05)), "")</f>
        <v>0.35000000000000003</v>
      </c>
      <c r="T294" s="89">
        <f>IFERROR(IF(tblPiNAnalysis[[#This Row],[EDU]]="", "", MROUND(tblPiNAnalysis[[#This Row],[EDU]]/tblPiNAnalysis[[#This Row],[Población]], 0.05)), "")</f>
        <v>0.1</v>
      </c>
      <c r="U294" s="89">
        <f>IFERROR(IF(tblPiNAnalysis[[#This Row],[PRO]]="", "", MROUND(tblPiNAnalysis[[#This Row],[PRO]]/tblPiNAnalysis[[#This Row],[Población]], 0.05)), "")</f>
        <v>0.05</v>
      </c>
      <c r="V294" s="90">
        <f>IFERROR(IF(tblPiNAnalysis[[#This Row],[ASH]]="", "", MROUND(tblPiNAnalysis[[#This Row],[ASH]]/tblPiNAnalysis[[#This Row],[Población]], 0.05)), "")</f>
        <v>0.60000000000000009</v>
      </c>
      <c r="W294" s="89">
        <f>IFERROR(MROUND(tblPiNAnalysis[[#This Row],[NNA]]/tblPiNAnalysis[[#This Row],[Población]], 0.05), "")</f>
        <v>0</v>
      </c>
      <c r="X294" s="89">
        <f>IFERROR(MROUND(tblPiNAnalysis[[#This Row],[VBG]]/tblPiNAnalysis[[#This Row],[Población]], 0.05), "")</f>
        <v>0</v>
      </c>
      <c r="Y294" s="91">
        <f>IFERROR(LARGE(tblPiNAnalysis[[#This Row],[SAMV]:[ASH]], 1), "")</f>
        <v>30030</v>
      </c>
      <c r="Z294" s="92" t="str" cm="1">
        <f t="array" ref="Z294">IF(tblPiNAnalysis[[#This Row],[PiN más alto]]="", "", _xlfn.TEXTJOIN(CHAR(10), TRUE, IF(tblPiNAnalysis[[#This Row],[PiN más alto]]=tblPiNAnalysis[[#This Row],[SAMV]:[ASH]], tblPiNAnalysis[[#Headers],[SAMV]:[ASH]], "")))</f>
        <v>ASH</v>
      </c>
      <c r="AA294" s="93">
        <f>IF(tblPiNAnalysis[[#This Row],[PiN más alto]]="", "", tblPiNAnalysis[[#This Row],[PiN más alto]]/tblPiNAnalysis[[#This Row],[Población]])</f>
        <v>0.6</v>
      </c>
      <c r="AB294" s="94" t="str">
        <f>IF(SUM(tblPiNAnalysis[[#This Row],[SAMV]:[ASH]])=0, "",IF(COUNTIF(tblPiNAnalysis[[#This Row],[SAMV]:[ASH]],"=0")+COUNTIF(tblPiNAnalysis[[#This Row],[SAMV]:[ASH]],"")&gt;=zero_pin_thresh, "Flagged", ""))</f>
        <v/>
      </c>
      <c r="AC294" s="95" t="str">
        <f>IFERROR(IF(tblPiNAnalysis[[#This Row],[PiN más alto]]="", "", IF(tblPiNAnalysis[[#This Row],[% PiN Sectores más altos]]&gt;=flag_pin_perc, "Flagged", "")), "")</f>
        <v/>
      </c>
      <c r="AD294" s="96" t="str" cm="1">
        <f t="array" ref="AD294">IF(tblPiNAnalysis[[#This Row],[PiN más alto]]=0, "",  IF(OR(COUNTIF(tblPiNAnalysis[[#This Row],[Sectores más altos]],tblSubSectorPopulation[Sector])), "Flagged", ""))</f>
        <v/>
      </c>
      <c r="AE294" s="16" cm="1">
        <f t="array" ref="AE29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18268.25</v>
      </c>
      <c r="AF294" s="97" t="str" cm="1">
        <f t="array" ref="AF294">IF(tblPiNAnalysis[[#This Row],[2º PiN más alto]]="", "", _xlfn.TEXTJOIN(CHAR(10), TRUE, IF(tblPiNAnalysis[[#This Row],[2º PiN más alto]]=tblPiNAnalysis[[#This Row],[SAMV]:[ASH]], tblPiNAnalysis[[#Headers],[SAMV]:[ASH]], "")))</f>
        <v>SAL</v>
      </c>
      <c r="AG294" s="12">
        <f>IFERROR(tblPiNAnalysis[[#This Row],[2º PiN más alto]]/tblPiNAnalysis[[#This Row],[Población]], "")</f>
        <v>0.36499999999999999</v>
      </c>
      <c r="AH294" s="16">
        <f>IFERROR(tblPiNAnalysis[[#This Row],[PiN más alto]]-tblPiNAnalysis[[#This Row],[2º PiN más alto]], "")</f>
        <v>11761.75</v>
      </c>
      <c r="AI294" s="14">
        <f>IFERROR(((tblPiNAnalysis[[#This Row],[PiN más alto]]-tblPiNAnalysis[[#This Row],[2º PiN más alto]])/tblPiNAnalysis[[#This Row],[2º PiN más alto]]),"")</f>
        <v>0.64383561643835618</v>
      </c>
      <c r="AJ294" s="14" t="str" cm="1">
        <f t="array" ref="AJ29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94" s="98" cm="1">
        <f t="array" ref="AK29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8008</v>
      </c>
      <c r="AL294" s="53" t="str" cm="1">
        <f t="array" ref="AL294">IF(tblPiNAnalysis[[#This Row],[3º PiN más alto]]="", "", _xlfn.TEXTJOIN(CHAR(10), TRUE, IF(tblPiNAnalysis[[#This Row],[3º PiN más alto]]=tblPiNAnalysis[[#This Row],[SAMV]:[ASH]], tblPiNAnalysis[[#Headers],[SAMV]:[ASH]], "")))</f>
        <v>SAMV</v>
      </c>
      <c r="AM294" s="53">
        <f>IFERROR(tblPiNAnalysis[[#This Row],[3º PiN más alto]]/tblPiNAnalysis[[#This Row],[Población]], "")</f>
        <v>0.16</v>
      </c>
      <c r="AN294" s="15">
        <f>IFERROR(tblPiNAnalysis[[#This Row],[PiN más alto]]-tblPiNAnalysis[[#This Row],[3º PiN más alto]],"")</f>
        <v>22022</v>
      </c>
      <c r="AO294" s="14">
        <f>IFERROR(tblPiNAnalysis[[#This Row],[Diferencia de PiN entre el más alto y el 3º más alto]]/tblPiNAnalysis[[#This Row],[3º PiN más alto]], "")</f>
        <v>2.75</v>
      </c>
      <c r="AP294" s="96" t="str" cm="1">
        <f t="array" ref="AP29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94" s="84" cm="1">
        <f t="array" ref="AQ294">IFERROR(IF(tblPiNAnalysis[[#This Row],[ID]]="", "", INDEX(tblPiNHistorical[[SAMV]:[ASH]], MATCH(tblPiNAnalysis[[#This Row],[ID]],tblPiNHistorical[ID], 0),MATCH(_xlfn._xlws.FILTER(tblPiNAnalysis[[#Headers],[SAMV]:[ASH]], tblPiNAnalysis[[#This Row],[PiN más alto]]=tblPiNAnalysis[[#This Row],[SAMV]:[ASH]]), tblPiNHistorical[[#Headers],[SAMV]:[ASH]], 0))), "")</f>
        <v>-0.4</v>
      </c>
      <c r="AR294" s="99" t="str" cm="1">
        <f t="array" ref="AR29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94" s="74" cm="1">
        <f t="array" ref="AS294">IFERROR(IF(tblPiNAnalysis[[#This Row],[ID]]="", "", INDEX(tblPiNHistorical[[SAMV]:[ASH]], MATCH(tblPiNAnalysis[[#This Row],[ID]],tblPiNHistorical[ID], 0),MATCH(_xlfn._xlws.FILTER(tblPiNAnalysis[[#Headers],[SAMV]:[ASH]], tblPiNAnalysis[[#This Row],[2º PiN más alto]]=tblPiNAnalysis[[#This Row],[SAMV]:[ASH]]), tblPiNHistorical[[#Headers],[SAMV]:[ASH]], 0))), "")</f>
        <v>-0.6</v>
      </c>
      <c r="AT294" s="100" t="str" cm="1">
        <f t="array" ref="AT29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94" s="219">
        <f>INDEX(tblSeverityAnalysis[Severidad final], MATCH(tblPiNAnalysis[[#This Row],[ID]],tblSeverityAnalysis[ID], 0))</f>
        <v>2</v>
      </c>
      <c r="AV294" s="220">
        <f>IF(tblPiNAnalysis[[#This Row],[Severidad]]&gt;2,tblPiNAnalysis[[#This Row],[PiN más alto]],)</f>
        <v>0</v>
      </c>
      <c r="AW294" s="54"/>
      <c r="AX294" s="55"/>
      <c r="AY294" s="56">
        <f>COUNTIFS(tblPiNAnalysis[[#This Row],[Número de PiN ausentes/cero superior al umbral - Calidad de los datos]:[Marcador manual]],"Flagged")</f>
        <v>2</v>
      </c>
      <c r="AZ294" s="34" t="str">
        <f>IF(tblPiNAnalysis[[#This Row],[Número de marcadores]]&gt;0, "Flagged", "")</f>
        <v>Flagged</v>
      </c>
      <c r="BA294" s="92">
        <f>tblPiNAnalysis[[#This Row],[PiN preliminar]]</f>
        <v>0</v>
      </c>
      <c r="BB294" s="97"/>
      <c r="BC294" s="70">
        <f>IFERROR(IF(tblPiNAnalysis[[#This Row],[Severidad]]=3,tblPiNAnalysis[[#This Row],[PiN final]]*Umbrales!$D$33,tblPiNAnalysis[[#This Row],[PiN final]]*Umbrales!$D$34),)</f>
        <v>0</v>
      </c>
      <c r="BD294" s="70">
        <f>IFERROR(IF(tblPiNAnalysis[[#This Row],[Severidad]]&gt;3,tblPiNAnalysis[[#This Row],[PiN final]]*Umbrales!$D$34,),)</f>
        <v>0</v>
      </c>
    </row>
    <row r="295" spans="1:56">
      <c r="A295" s="101" t="str">
        <f>IFERROR(_xlfn.CONCAT(IF(tblPiNAnalysis[[#This Row],[Grupo]]="", "",tblPiNAnalysis[[#This Row],[Grupo]] ),  _xlfn.IFS(tblPiNAnalysis[[#This Row],[Admin2PCODE]]&lt;&gt;"", tblPiNAnalysis[[#This Row],[Admin2PCODE]], tblPiNAnalysis[[#This Row],[Admin1PCODE]]&lt;&gt;"", tblPiNAnalysis[[#This Row],[Admin1PCODE]])),"")</f>
        <v>VenezolanosVE1707</v>
      </c>
      <c r="B295" s="105" t="s">
        <v>513</v>
      </c>
      <c r="C295" s="104" t="s">
        <v>514</v>
      </c>
      <c r="D295" s="119" t="s">
        <v>526</v>
      </c>
      <c r="E295" s="104" t="s">
        <v>527</v>
      </c>
      <c r="F295" s="358"/>
      <c r="G295" s="357">
        <v>36496</v>
      </c>
      <c r="H295" s="103" t="s">
        <v>102</v>
      </c>
      <c r="I295" s="60">
        <v>5725</v>
      </c>
      <c r="J295" s="134">
        <v>1042.5382410310722</v>
      </c>
      <c r="K295" s="57">
        <v>13321.04</v>
      </c>
      <c r="L295" s="87">
        <v>2403.5124428855265</v>
      </c>
      <c r="M295" s="87">
        <v>1465.5058367283609</v>
      </c>
      <c r="N295" s="57">
        <v>21897.599999999999</v>
      </c>
      <c r="O295" s="57">
        <v>470.42737358980389</v>
      </c>
      <c r="P295" s="57">
        <v>512.9270428549263</v>
      </c>
      <c r="Q295" s="88">
        <f>IFERROR(IF(tblPiNAnalysis[[#This Row],[SAMV]]="", "", MROUND(tblPiNAnalysis[[#This Row],[SAMV]]/tblPiNAnalysis[[#This Row],[Población]], 0.05)), "")</f>
        <v>0.15000000000000002</v>
      </c>
      <c r="R295" s="89">
        <f>IFERROR(IF(tblPiNAnalysis[[#This Row],[NUT]]="", "", MROUND(tblPiNAnalysis[[#This Row],[NUT]]/tblPiNAnalysis[[#This Row],[Población]], 0.05)), "")</f>
        <v>0.05</v>
      </c>
      <c r="S295" s="89">
        <f>IFERROR(IF(tblPiNAnalysis[[#This Row],[SAL]]="", "", MROUND(tblPiNAnalysis[[#This Row],[SAL]]/tblPiNAnalysis[[#This Row],[Población]], 0.05)), "")</f>
        <v>0.35000000000000003</v>
      </c>
      <c r="T295" s="89">
        <f>IFERROR(IF(tblPiNAnalysis[[#This Row],[EDU]]="", "", MROUND(tblPiNAnalysis[[#This Row],[EDU]]/tblPiNAnalysis[[#This Row],[Población]], 0.05)), "")</f>
        <v>0.05</v>
      </c>
      <c r="U295" s="89">
        <f>IFERROR(IF(tblPiNAnalysis[[#This Row],[PRO]]="", "", MROUND(tblPiNAnalysis[[#This Row],[PRO]]/tblPiNAnalysis[[#This Row],[Población]], 0.05)), "")</f>
        <v>0.05</v>
      </c>
      <c r="V295" s="90">
        <f>IFERROR(IF(tblPiNAnalysis[[#This Row],[ASH]]="", "", MROUND(tblPiNAnalysis[[#This Row],[ASH]]/tblPiNAnalysis[[#This Row],[Población]], 0.05)), "")</f>
        <v>0.60000000000000009</v>
      </c>
      <c r="W295" s="89">
        <f>IFERROR(MROUND(tblPiNAnalysis[[#This Row],[NNA]]/tblPiNAnalysis[[#This Row],[Población]], 0.05), "")</f>
        <v>0</v>
      </c>
      <c r="X295" s="89">
        <f>IFERROR(MROUND(tblPiNAnalysis[[#This Row],[VBG]]/tblPiNAnalysis[[#This Row],[Población]], 0.05), "")</f>
        <v>0</v>
      </c>
      <c r="Y295" s="91">
        <f>IFERROR(LARGE(tblPiNAnalysis[[#This Row],[SAMV]:[ASH]], 1), "")</f>
        <v>21897.599999999999</v>
      </c>
      <c r="Z295" s="92" t="str" cm="1">
        <f t="array" ref="Z295">IF(tblPiNAnalysis[[#This Row],[PiN más alto]]="", "", _xlfn.TEXTJOIN(CHAR(10), TRUE, IF(tblPiNAnalysis[[#This Row],[PiN más alto]]=tblPiNAnalysis[[#This Row],[SAMV]:[ASH]], tblPiNAnalysis[[#Headers],[SAMV]:[ASH]], "")))</f>
        <v>ASH</v>
      </c>
      <c r="AA295" s="93">
        <f>IF(tblPiNAnalysis[[#This Row],[PiN más alto]]="", "", tblPiNAnalysis[[#This Row],[PiN más alto]]/tblPiNAnalysis[[#This Row],[Población]])</f>
        <v>0.6</v>
      </c>
      <c r="AB295" s="94" t="str">
        <f>IF(SUM(tblPiNAnalysis[[#This Row],[SAMV]:[ASH]])=0, "",IF(COUNTIF(tblPiNAnalysis[[#This Row],[SAMV]:[ASH]],"=0")+COUNTIF(tblPiNAnalysis[[#This Row],[SAMV]:[ASH]],"")&gt;=zero_pin_thresh, "Flagged", ""))</f>
        <v/>
      </c>
      <c r="AC295" s="95" t="str">
        <f>IFERROR(IF(tblPiNAnalysis[[#This Row],[PiN más alto]]="", "", IF(tblPiNAnalysis[[#This Row],[% PiN Sectores más altos]]&gt;=flag_pin_perc, "Flagged", "")), "")</f>
        <v/>
      </c>
      <c r="AD295" s="96" t="str" cm="1">
        <f t="array" ref="AD295">IF(tblPiNAnalysis[[#This Row],[PiN más alto]]=0, "",  IF(OR(COUNTIF(tblPiNAnalysis[[#This Row],[Sectores más altos]],tblSubSectorPopulation[Sector])), "Flagged", ""))</f>
        <v/>
      </c>
      <c r="AE295" s="16" cm="1">
        <f t="array" ref="AE29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13321.04</v>
      </c>
      <c r="AF295" s="97" t="str" cm="1">
        <f t="array" ref="AF295">IF(tblPiNAnalysis[[#This Row],[2º PiN más alto]]="", "", _xlfn.TEXTJOIN(CHAR(10), TRUE, IF(tblPiNAnalysis[[#This Row],[2º PiN más alto]]=tblPiNAnalysis[[#This Row],[SAMV]:[ASH]], tblPiNAnalysis[[#Headers],[SAMV]:[ASH]], "")))</f>
        <v>SAL</v>
      </c>
      <c r="AG295" s="12">
        <f>IFERROR(tblPiNAnalysis[[#This Row],[2º PiN más alto]]/tblPiNAnalysis[[#This Row],[Población]], "")</f>
        <v>0.36500000000000005</v>
      </c>
      <c r="AH295" s="16">
        <f>IFERROR(tblPiNAnalysis[[#This Row],[PiN más alto]]-tblPiNAnalysis[[#This Row],[2º PiN más alto]], "")</f>
        <v>8576.5599999999977</v>
      </c>
      <c r="AI295" s="14">
        <f>IFERROR(((tblPiNAnalysis[[#This Row],[PiN más alto]]-tblPiNAnalysis[[#This Row],[2º PiN más alto]])/tblPiNAnalysis[[#This Row],[2º PiN más alto]]),"")</f>
        <v>0.64383561643835596</v>
      </c>
      <c r="AJ295" s="14" t="str" cm="1">
        <f t="array" ref="AJ29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95" s="98" cm="1">
        <f t="array" ref="AK29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5725</v>
      </c>
      <c r="AL295" s="53" t="str" cm="1">
        <f t="array" ref="AL295">IF(tblPiNAnalysis[[#This Row],[3º PiN más alto]]="", "", _xlfn.TEXTJOIN(CHAR(10), TRUE, IF(tblPiNAnalysis[[#This Row],[3º PiN más alto]]=tblPiNAnalysis[[#This Row],[SAMV]:[ASH]], tblPiNAnalysis[[#Headers],[SAMV]:[ASH]], "")))</f>
        <v>SAMV</v>
      </c>
      <c r="AM295" s="53">
        <f>IFERROR(tblPiNAnalysis[[#This Row],[3º PiN más alto]]/tblPiNAnalysis[[#This Row],[Población]], "")</f>
        <v>0.15686650591845683</v>
      </c>
      <c r="AN295" s="15">
        <f>IFERROR(tblPiNAnalysis[[#This Row],[PiN más alto]]-tblPiNAnalysis[[#This Row],[3º PiN más alto]],"")</f>
        <v>16172.599999999999</v>
      </c>
      <c r="AO295" s="14">
        <f>IFERROR(tblPiNAnalysis[[#This Row],[Diferencia de PiN entre el más alto y el 3º más alto]]/tblPiNAnalysis[[#This Row],[3º PiN más alto]], "")</f>
        <v>2.8249082969432311</v>
      </c>
      <c r="AP295" s="96" t="str" cm="1">
        <f t="array" ref="AP29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95" s="84" t="str" cm="1">
        <f t="array" ref="AQ295">IFERROR(IF(tblPiNAnalysis[[#This Row],[ID]]="", "", INDEX(tblPiNHistorical[[SAMV]:[ASH]], MATCH(tblPiNAnalysis[[#This Row],[ID]],tblPiNHistorical[ID], 0),MATCH(_xlfn._xlws.FILTER(tblPiNAnalysis[[#Headers],[SAMV]:[ASH]], tblPiNAnalysis[[#This Row],[PiN más alto]]=tblPiNAnalysis[[#This Row],[SAMV]:[ASH]]), tblPiNHistorical[[#Headers],[SAMV]:[ASH]], 0))), "")</f>
        <v>NoPIN26 17846</v>
      </c>
      <c r="AR295" s="99" t="str" cm="1">
        <f t="array" ref="AR29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95" s="74" cm="1">
        <f t="array" ref="AS295">IFERROR(IF(tblPiNAnalysis[[#This Row],[ID]]="", "", INDEX(tblPiNHistorical[[SAMV]:[ASH]], MATCH(tblPiNAnalysis[[#This Row],[ID]],tblPiNHistorical[ID], 0),MATCH(_xlfn._xlws.FILTER(tblPiNAnalysis[[#Headers],[SAMV]:[ASH]], tblPiNAnalysis[[#This Row],[2º PiN más alto]]=tblPiNAnalysis[[#This Row],[SAMV]:[ASH]]), tblPiNHistorical[[#Headers],[SAMV]:[ASH]], 0))), "")</f>
        <v>-0.4</v>
      </c>
      <c r="AT295" s="100" t="str" cm="1">
        <f t="array" ref="AT29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95" s="219">
        <f>INDEX(tblSeverityAnalysis[Severidad final], MATCH(tblPiNAnalysis[[#This Row],[ID]],tblSeverityAnalysis[ID], 0))</f>
        <v>2</v>
      </c>
      <c r="AV295" s="220">
        <f>IF(tblPiNAnalysis[[#This Row],[Severidad]]&gt;2,tblPiNAnalysis[[#This Row],[PiN más alto]],)</f>
        <v>0</v>
      </c>
      <c r="AW295" s="54"/>
      <c r="AX295" s="55"/>
      <c r="AY295" s="56">
        <f>COUNTIFS(tblPiNAnalysis[[#This Row],[Número de PiN ausentes/cero superior al umbral - Calidad de los datos]:[Marcador manual]],"Flagged")</f>
        <v>2</v>
      </c>
      <c r="AZ295" s="34" t="str">
        <f>IF(tblPiNAnalysis[[#This Row],[Número de marcadores]]&gt;0, "Flagged", "")</f>
        <v>Flagged</v>
      </c>
      <c r="BA295" s="92">
        <f>tblPiNAnalysis[[#This Row],[PiN preliminar]]</f>
        <v>0</v>
      </c>
      <c r="BB295" s="97"/>
      <c r="BC295" s="70">
        <f>IFERROR(IF(tblPiNAnalysis[[#This Row],[Severidad]]=3,tblPiNAnalysis[[#This Row],[PiN final]]*Umbrales!$D$33,tblPiNAnalysis[[#This Row],[PiN final]]*Umbrales!$D$34),)</f>
        <v>0</v>
      </c>
      <c r="BD295" s="70">
        <f>IFERROR(IF(tblPiNAnalysis[[#This Row],[Severidad]]&gt;3,tblPiNAnalysis[[#This Row],[PiN final]]*Umbrales!$D$34,),)</f>
        <v>0</v>
      </c>
    </row>
    <row r="296" spans="1:56">
      <c r="A296" s="101" t="str">
        <f>IFERROR(_xlfn.CONCAT(IF(tblPiNAnalysis[[#This Row],[Grupo]]="", "",tblPiNAnalysis[[#This Row],[Grupo]] ),  _xlfn.IFS(tblPiNAnalysis[[#This Row],[Admin2PCODE]]&lt;&gt;"", tblPiNAnalysis[[#This Row],[Admin2PCODE]], tblPiNAnalysis[[#This Row],[Admin1PCODE]]&lt;&gt;"", tblPiNAnalysis[[#This Row],[Admin1PCODE]])),"")</f>
        <v>VenezolanosVE1708</v>
      </c>
      <c r="B296" s="105" t="s">
        <v>513</v>
      </c>
      <c r="C296" s="104" t="s">
        <v>514</v>
      </c>
      <c r="D296" s="119" t="s">
        <v>528</v>
      </c>
      <c r="E296" s="104" t="s">
        <v>529</v>
      </c>
      <c r="F296" s="358"/>
      <c r="G296" s="357">
        <v>99867</v>
      </c>
      <c r="H296" s="103" t="s">
        <v>102</v>
      </c>
      <c r="I296" s="60">
        <v>19419</v>
      </c>
      <c r="J296" s="134">
        <v>2890.6980307975059</v>
      </c>
      <c r="K296" s="57">
        <v>36451.455000000002</v>
      </c>
      <c r="L296" s="87">
        <v>6781.7569346061528</v>
      </c>
      <c r="M296" s="87">
        <v>12030.551682092657</v>
      </c>
      <c r="N296" s="57">
        <v>59920.2</v>
      </c>
      <c r="O296" s="57">
        <v>3849.7765382696502</v>
      </c>
      <c r="P296" s="57">
        <v>4210.6930887324297</v>
      </c>
      <c r="Q296" s="88">
        <f>IFERROR(IF(tblPiNAnalysis[[#This Row],[SAMV]]="", "", MROUND(tblPiNAnalysis[[#This Row],[SAMV]]/tblPiNAnalysis[[#This Row],[Población]], 0.05)), "")</f>
        <v>0.2</v>
      </c>
      <c r="R296" s="89">
        <f>IFERROR(IF(tblPiNAnalysis[[#This Row],[NUT]]="", "", MROUND(tblPiNAnalysis[[#This Row],[NUT]]/tblPiNAnalysis[[#This Row],[Población]], 0.05)), "")</f>
        <v>0.05</v>
      </c>
      <c r="S296" s="89">
        <f>IFERROR(IF(tblPiNAnalysis[[#This Row],[SAL]]="", "", MROUND(tblPiNAnalysis[[#This Row],[SAL]]/tblPiNAnalysis[[#This Row],[Población]], 0.05)), "")</f>
        <v>0.35000000000000003</v>
      </c>
      <c r="T296" s="89">
        <f>IFERROR(IF(tblPiNAnalysis[[#This Row],[EDU]]="", "", MROUND(tblPiNAnalysis[[#This Row],[EDU]]/tblPiNAnalysis[[#This Row],[Población]], 0.05)), "")</f>
        <v>0.05</v>
      </c>
      <c r="U296" s="89">
        <f>IFERROR(IF(tblPiNAnalysis[[#This Row],[PRO]]="", "", MROUND(tblPiNAnalysis[[#This Row],[PRO]]/tblPiNAnalysis[[#This Row],[Población]], 0.05)), "")</f>
        <v>0.1</v>
      </c>
      <c r="V296" s="90">
        <f>IFERROR(IF(tblPiNAnalysis[[#This Row],[ASH]]="", "", MROUND(tblPiNAnalysis[[#This Row],[ASH]]/tblPiNAnalysis[[#This Row],[Población]], 0.05)), "")</f>
        <v>0.60000000000000009</v>
      </c>
      <c r="W296" s="89">
        <f>IFERROR(MROUND(tblPiNAnalysis[[#This Row],[NNA]]/tblPiNAnalysis[[#This Row],[Población]], 0.05), "")</f>
        <v>0.05</v>
      </c>
      <c r="X296" s="89">
        <f>IFERROR(MROUND(tblPiNAnalysis[[#This Row],[VBG]]/tblPiNAnalysis[[#This Row],[Población]], 0.05), "")</f>
        <v>0.05</v>
      </c>
      <c r="Y296" s="91">
        <f>IFERROR(LARGE(tblPiNAnalysis[[#This Row],[SAMV]:[ASH]], 1), "")</f>
        <v>59920.2</v>
      </c>
      <c r="Z296" s="92" t="str" cm="1">
        <f t="array" ref="Z296">IF(tblPiNAnalysis[[#This Row],[PiN más alto]]="", "", _xlfn.TEXTJOIN(CHAR(10), TRUE, IF(tblPiNAnalysis[[#This Row],[PiN más alto]]=tblPiNAnalysis[[#This Row],[SAMV]:[ASH]], tblPiNAnalysis[[#Headers],[SAMV]:[ASH]], "")))</f>
        <v>ASH</v>
      </c>
      <c r="AA296" s="93">
        <f>IF(tblPiNAnalysis[[#This Row],[PiN más alto]]="", "", tblPiNAnalysis[[#This Row],[PiN más alto]]/tblPiNAnalysis[[#This Row],[Población]])</f>
        <v>0.6</v>
      </c>
      <c r="AB296" s="94" t="str">
        <f>IF(SUM(tblPiNAnalysis[[#This Row],[SAMV]:[ASH]])=0, "",IF(COUNTIF(tblPiNAnalysis[[#This Row],[SAMV]:[ASH]],"=0")+COUNTIF(tblPiNAnalysis[[#This Row],[SAMV]:[ASH]],"")&gt;=zero_pin_thresh, "Flagged", ""))</f>
        <v/>
      </c>
      <c r="AC296" s="95" t="str">
        <f>IFERROR(IF(tblPiNAnalysis[[#This Row],[PiN más alto]]="", "", IF(tblPiNAnalysis[[#This Row],[% PiN Sectores más altos]]&gt;=flag_pin_perc, "Flagged", "")), "")</f>
        <v/>
      </c>
      <c r="AD296" s="96" t="str" cm="1">
        <f t="array" ref="AD296">IF(tblPiNAnalysis[[#This Row],[PiN más alto]]=0, "",  IF(OR(COUNTIF(tblPiNAnalysis[[#This Row],[Sectores más altos]],tblSubSectorPopulation[Sector])), "Flagged", ""))</f>
        <v/>
      </c>
      <c r="AE296" s="16" cm="1">
        <f t="array" ref="AE29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36451.455000000002</v>
      </c>
      <c r="AF296" s="97" t="str" cm="1">
        <f t="array" ref="AF296">IF(tblPiNAnalysis[[#This Row],[2º PiN más alto]]="", "", _xlfn.TEXTJOIN(CHAR(10), TRUE, IF(tblPiNAnalysis[[#This Row],[2º PiN más alto]]=tblPiNAnalysis[[#This Row],[SAMV]:[ASH]], tblPiNAnalysis[[#Headers],[SAMV]:[ASH]], "")))</f>
        <v>SAL</v>
      </c>
      <c r="AG296" s="12">
        <f>IFERROR(tblPiNAnalysis[[#This Row],[2º PiN más alto]]/tblPiNAnalysis[[#This Row],[Población]], "")</f>
        <v>0.36499999999999999</v>
      </c>
      <c r="AH296" s="16">
        <f>IFERROR(tblPiNAnalysis[[#This Row],[PiN más alto]]-tblPiNAnalysis[[#This Row],[2º PiN más alto]], "")</f>
        <v>23468.744999999995</v>
      </c>
      <c r="AI296" s="14">
        <f>IFERROR(((tblPiNAnalysis[[#This Row],[PiN más alto]]-tblPiNAnalysis[[#This Row],[2º PiN más alto]])/tblPiNAnalysis[[#This Row],[2º PiN más alto]]),"")</f>
        <v>0.64383561643835596</v>
      </c>
      <c r="AJ296" s="14" t="str" cm="1">
        <f t="array" ref="AJ29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96" s="98" cm="1">
        <f t="array" ref="AK29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19419</v>
      </c>
      <c r="AL296" s="53" t="str" cm="1">
        <f t="array" ref="AL296">IF(tblPiNAnalysis[[#This Row],[3º PiN más alto]]="", "", _xlfn.TEXTJOIN(CHAR(10), TRUE, IF(tblPiNAnalysis[[#This Row],[3º PiN más alto]]=tblPiNAnalysis[[#This Row],[SAMV]:[ASH]], tblPiNAnalysis[[#Headers],[SAMV]:[ASH]], "")))</f>
        <v>SAMV</v>
      </c>
      <c r="AM296" s="53">
        <f>IFERROR(tblPiNAnalysis[[#This Row],[3º PiN más alto]]/tblPiNAnalysis[[#This Row],[Población]], "")</f>
        <v>0.194448616660158</v>
      </c>
      <c r="AN296" s="15">
        <f>IFERROR(tblPiNAnalysis[[#This Row],[PiN más alto]]-tblPiNAnalysis[[#This Row],[3º PiN más alto]],"")</f>
        <v>40501.199999999997</v>
      </c>
      <c r="AO296" s="14">
        <f>IFERROR(tblPiNAnalysis[[#This Row],[Diferencia de PiN entre el más alto y el 3º más alto]]/tblPiNAnalysis[[#This Row],[3º PiN más alto]], "")</f>
        <v>2.0856480766259846</v>
      </c>
      <c r="AP296" s="96" t="str" cm="1">
        <f t="array" ref="AP29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96" s="84" t="str" cm="1">
        <f t="array" ref="AQ296">IFERROR(IF(tblPiNAnalysis[[#This Row],[ID]]="", "", INDEX(tblPiNHistorical[[SAMV]:[ASH]], MATCH(tblPiNAnalysis[[#This Row],[ID]],tblPiNHistorical[ID], 0),MATCH(_xlfn._xlws.FILTER(tblPiNAnalysis[[#Headers],[SAMV]:[ASH]], tblPiNAnalysis[[#This Row],[PiN más alto]]=tblPiNAnalysis[[#This Row],[SAMV]:[ASH]]), tblPiNHistorical[[#Headers],[SAMV]:[ASH]], 0))), "")</f>
        <v>NoPIN26 19533</v>
      </c>
      <c r="AR296" s="99" t="str" cm="1">
        <f t="array" ref="AR29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96" s="74" cm="1">
        <f t="array" ref="AS296">IFERROR(IF(tblPiNAnalysis[[#This Row],[ID]]="", "", INDEX(tblPiNHistorical[[SAMV]:[ASH]], MATCH(tblPiNAnalysis[[#This Row],[ID]],tblPiNHistorical[ID], 0),MATCH(_xlfn._xlws.FILTER(tblPiNAnalysis[[#Headers],[SAMV]:[ASH]], tblPiNAnalysis[[#This Row],[2º PiN más alto]]=tblPiNAnalysis[[#This Row],[SAMV]:[ASH]]), tblPiNHistorical[[#Headers],[SAMV]:[ASH]], 0))), "")</f>
        <v>-0.8</v>
      </c>
      <c r="AT296" s="100" t="str" cm="1">
        <f t="array" ref="AT29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96" s="219">
        <f>INDEX(tblSeverityAnalysis[Severidad final], MATCH(tblPiNAnalysis[[#This Row],[ID]],tblSeverityAnalysis[ID], 0))</f>
        <v>2</v>
      </c>
      <c r="AV296" s="220">
        <f>IF(tblPiNAnalysis[[#This Row],[Severidad]]&gt;2,tblPiNAnalysis[[#This Row],[PiN más alto]],)</f>
        <v>0</v>
      </c>
      <c r="AW296" s="54"/>
      <c r="AX296" s="55"/>
      <c r="AY296" s="56">
        <f>COUNTIFS(tblPiNAnalysis[[#This Row],[Número de PiN ausentes/cero superior al umbral - Calidad de los datos]:[Marcador manual]],"Flagged")</f>
        <v>2</v>
      </c>
      <c r="AZ296" s="34" t="str">
        <f>IF(tblPiNAnalysis[[#This Row],[Número de marcadores]]&gt;0, "Flagged", "")</f>
        <v>Flagged</v>
      </c>
      <c r="BA296" s="92">
        <f>tblPiNAnalysis[[#This Row],[PiN preliminar]]</f>
        <v>0</v>
      </c>
      <c r="BB296" s="97"/>
      <c r="BC296" s="70">
        <f>IFERROR(IF(tblPiNAnalysis[[#This Row],[Severidad]]=3,tblPiNAnalysis[[#This Row],[PiN final]]*Umbrales!$D$33,tblPiNAnalysis[[#This Row],[PiN final]]*Umbrales!$D$34),)</f>
        <v>0</v>
      </c>
      <c r="BD296" s="70">
        <f>IFERROR(IF(tblPiNAnalysis[[#This Row],[Severidad]]&gt;3,tblPiNAnalysis[[#This Row],[PiN final]]*Umbrales!$D$34,),)</f>
        <v>0</v>
      </c>
    </row>
    <row r="297" spans="1:56">
      <c r="A297" s="101" t="str">
        <f>IFERROR(_xlfn.CONCAT(IF(tblPiNAnalysis[[#This Row],[Grupo]]="", "",tblPiNAnalysis[[#This Row],[Grupo]] ),  _xlfn.IFS(tblPiNAnalysis[[#This Row],[Admin2PCODE]]&lt;&gt;"", tblPiNAnalysis[[#This Row],[Admin2PCODE]], tblPiNAnalysis[[#This Row],[Admin1PCODE]]&lt;&gt;"", tblPiNAnalysis[[#This Row],[Admin1PCODE]])),"")</f>
        <v>VenezolanosVE1801</v>
      </c>
      <c r="B297" s="105" t="s">
        <v>536</v>
      </c>
      <c r="C297" s="104" t="s">
        <v>537</v>
      </c>
      <c r="D297" s="119" t="s">
        <v>538</v>
      </c>
      <c r="E297" s="104" t="s">
        <v>539</v>
      </c>
      <c r="F297" s="358"/>
      <c r="G297" s="357">
        <v>21185</v>
      </c>
      <c r="H297" s="103" t="s">
        <v>102</v>
      </c>
      <c r="I297" s="60">
        <v>11556</v>
      </c>
      <c r="J297" s="134">
        <v>790.32703456896263</v>
      </c>
      <c r="K297" s="57">
        <v>7732.5249999999996</v>
      </c>
      <c r="L297" s="87">
        <v>1456.9017377648943</v>
      </c>
      <c r="M297" s="87">
        <v>2009.9342229665276</v>
      </c>
      <c r="N297" s="57">
        <v>0</v>
      </c>
      <c r="O297" s="57">
        <v>643.17895134928881</v>
      </c>
      <c r="P297" s="57">
        <v>703.47697803828476</v>
      </c>
      <c r="Q297" s="88">
        <f>IFERROR(IF(tblPiNAnalysis[[#This Row],[SAMV]]="", "", MROUND(tblPiNAnalysis[[#This Row],[SAMV]]/tblPiNAnalysis[[#This Row],[Población]], 0.05)), "")</f>
        <v>0.55000000000000004</v>
      </c>
      <c r="R297" s="89">
        <f>IFERROR(IF(tblPiNAnalysis[[#This Row],[NUT]]="", "", MROUND(tblPiNAnalysis[[#This Row],[NUT]]/tblPiNAnalysis[[#This Row],[Población]], 0.05)), "")</f>
        <v>0.05</v>
      </c>
      <c r="S297" s="89">
        <f>IFERROR(IF(tblPiNAnalysis[[#This Row],[SAL]]="", "", MROUND(tblPiNAnalysis[[#This Row],[SAL]]/tblPiNAnalysis[[#This Row],[Población]], 0.05)), "")</f>
        <v>0.35000000000000003</v>
      </c>
      <c r="T297" s="89">
        <f>IFERROR(IF(tblPiNAnalysis[[#This Row],[EDU]]="", "", MROUND(tblPiNAnalysis[[#This Row],[EDU]]/tblPiNAnalysis[[#This Row],[Población]], 0.05)), "")</f>
        <v>0.05</v>
      </c>
      <c r="U297" s="89">
        <f>IFERROR(IF(tblPiNAnalysis[[#This Row],[PRO]]="", "", MROUND(tblPiNAnalysis[[#This Row],[PRO]]/tblPiNAnalysis[[#This Row],[Población]], 0.05)), "")</f>
        <v>0.1</v>
      </c>
      <c r="V297" s="90">
        <f>IFERROR(IF(tblPiNAnalysis[[#This Row],[ASH]]="", "", MROUND(tblPiNAnalysis[[#This Row],[ASH]]/tblPiNAnalysis[[#This Row],[Población]], 0.05)), "")</f>
        <v>0</v>
      </c>
      <c r="W297" s="89">
        <f>IFERROR(MROUND(tblPiNAnalysis[[#This Row],[NNA]]/tblPiNAnalysis[[#This Row],[Población]], 0.05), "")</f>
        <v>0.05</v>
      </c>
      <c r="X297" s="89">
        <f>IFERROR(MROUND(tblPiNAnalysis[[#This Row],[VBG]]/tblPiNAnalysis[[#This Row],[Población]], 0.05), "")</f>
        <v>0.05</v>
      </c>
      <c r="Y297" s="91">
        <f>IFERROR(LARGE(tblPiNAnalysis[[#This Row],[SAMV]:[ASH]], 1), "")</f>
        <v>11556</v>
      </c>
      <c r="Z297" s="92" t="str" cm="1">
        <f t="array" ref="Z297">IF(tblPiNAnalysis[[#This Row],[PiN más alto]]="", "", _xlfn.TEXTJOIN(CHAR(10), TRUE, IF(tblPiNAnalysis[[#This Row],[PiN más alto]]=tblPiNAnalysis[[#This Row],[SAMV]:[ASH]], tblPiNAnalysis[[#Headers],[SAMV]:[ASH]], "")))</f>
        <v>SAMV</v>
      </c>
      <c r="AA297" s="93">
        <f>IF(tblPiNAnalysis[[#This Row],[PiN más alto]]="", "", tblPiNAnalysis[[#This Row],[PiN más alto]]/tblPiNAnalysis[[#This Row],[Población]])</f>
        <v>0.54548029265990083</v>
      </c>
      <c r="AB297" s="94" t="str">
        <f>IF(SUM(tblPiNAnalysis[[#This Row],[SAMV]:[ASH]])=0, "",IF(COUNTIF(tblPiNAnalysis[[#This Row],[SAMV]:[ASH]],"=0")+COUNTIF(tblPiNAnalysis[[#This Row],[SAMV]:[ASH]],"")&gt;=zero_pin_thresh, "Flagged", ""))</f>
        <v/>
      </c>
      <c r="AC297" s="95" t="str">
        <f>IFERROR(IF(tblPiNAnalysis[[#This Row],[PiN más alto]]="", "", IF(tblPiNAnalysis[[#This Row],[% PiN Sectores más altos]]&gt;=flag_pin_perc, "Flagged", "")), "")</f>
        <v/>
      </c>
      <c r="AD297" s="96" t="str" cm="1">
        <f t="array" ref="AD297">IF(tblPiNAnalysis[[#This Row],[PiN más alto]]=0, "",  IF(OR(COUNTIF(tblPiNAnalysis[[#This Row],[Sectores más altos]],tblSubSectorPopulation[Sector])), "Flagged", ""))</f>
        <v/>
      </c>
      <c r="AE297" s="16" cm="1">
        <f t="array" ref="AE29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7732.5249999999996</v>
      </c>
      <c r="AF297" s="97" t="str" cm="1">
        <f t="array" ref="AF297">IF(tblPiNAnalysis[[#This Row],[2º PiN más alto]]="", "", _xlfn.TEXTJOIN(CHAR(10), TRUE, IF(tblPiNAnalysis[[#This Row],[2º PiN más alto]]=tblPiNAnalysis[[#This Row],[SAMV]:[ASH]], tblPiNAnalysis[[#Headers],[SAMV]:[ASH]], "")))</f>
        <v>SAL</v>
      </c>
      <c r="AG297" s="12">
        <f>IFERROR(tblPiNAnalysis[[#This Row],[2º PiN más alto]]/tblPiNAnalysis[[#This Row],[Población]], "")</f>
        <v>0.36499999999999999</v>
      </c>
      <c r="AH297" s="16">
        <f>IFERROR(tblPiNAnalysis[[#This Row],[PiN más alto]]-tblPiNAnalysis[[#This Row],[2º PiN más alto]], "")</f>
        <v>3823.4750000000004</v>
      </c>
      <c r="AI297" s="14">
        <f>IFERROR(((tblPiNAnalysis[[#This Row],[PiN más alto]]-tblPiNAnalysis[[#This Row],[2º PiN más alto]])/tblPiNAnalysis[[#This Row],[2º PiN más alto]]),"")</f>
        <v>0.49446655523260519</v>
      </c>
      <c r="AJ297" s="14" t="str" cm="1">
        <f t="array" ref="AJ29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97" s="98" cm="1">
        <f t="array" ref="AK29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2009.9342229665276</v>
      </c>
      <c r="AL297" s="53" t="str" cm="1">
        <f t="array" ref="AL297">IF(tblPiNAnalysis[[#This Row],[3º PiN más alto]]="", "", _xlfn.TEXTJOIN(CHAR(10), TRUE, IF(tblPiNAnalysis[[#This Row],[3º PiN más alto]]=tblPiNAnalysis[[#This Row],[SAMV]:[ASH]], tblPiNAnalysis[[#Headers],[SAMV]:[ASH]], "")))</f>
        <v>PRO</v>
      </c>
      <c r="AM297" s="53">
        <f>IFERROR(tblPiNAnalysis[[#This Row],[3º PiN más alto]]/tblPiNAnalysis[[#This Row],[Población]], "")</f>
        <v>9.4875346847605735E-2</v>
      </c>
      <c r="AN297" s="15">
        <f>IFERROR(tblPiNAnalysis[[#This Row],[PiN más alto]]-tblPiNAnalysis[[#This Row],[3º PiN más alto]],"")</f>
        <v>9546.0657770334728</v>
      </c>
      <c r="AO297" s="14">
        <f>IFERROR(tblPiNAnalysis[[#This Row],[Diferencia de PiN entre el más alto y el 3º más alto]]/tblPiNAnalysis[[#This Row],[3º PiN más alto]], "")</f>
        <v>4.7494418812094867</v>
      </c>
      <c r="AP297" s="96" t="str" cm="1">
        <f t="array" ref="AP29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97" s="84" cm="1">
        <f t="array" ref="AQ297">IFERROR(IF(tblPiNAnalysis[[#This Row],[ID]]="", "", INDEX(tblPiNHistorical[[SAMV]:[ASH]], MATCH(tblPiNAnalysis[[#This Row],[ID]],tblPiNHistorical[ID], 0),MATCH(_xlfn._xlws.FILTER(tblPiNAnalysis[[#Headers],[SAMV]:[ASH]], tblPiNAnalysis[[#This Row],[PiN más alto]]=tblPiNAnalysis[[#This Row],[SAMV]:[ASH]]), tblPiNHistorical[[#Headers],[SAMV]:[ASH]], 0))), "")</f>
        <v>-0.9</v>
      </c>
      <c r="AR297" s="99" t="str" cm="1">
        <f t="array" ref="AR29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97" s="74" cm="1">
        <f t="array" ref="AS297">IFERROR(IF(tblPiNAnalysis[[#This Row],[ID]]="", "", INDEX(tblPiNHistorical[[SAMV]:[ASH]], MATCH(tblPiNAnalysis[[#This Row],[ID]],tblPiNHistorical[ID], 0),MATCH(_xlfn._xlws.FILTER(tblPiNAnalysis[[#Headers],[SAMV]:[ASH]], tblPiNAnalysis[[#This Row],[2º PiN más alto]]=tblPiNAnalysis[[#This Row],[SAMV]:[ASH]]), tblPiNHistorical[[#Headers],[SAMV]:[ASH]], 0))), "")</f>
        <v>-0.2</v>
      </c>
      <c r="AT297" s="100" t="str" cm="1">
        <f t="array" ref="AT29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97" s="219">
        <f>INDEX(tblSeverityAnalysis[Severidad final], MATCH(tblPiNAnalysis[[#This Row],[ID]],tblSeverityAnalysis[ID], 0))</f>
        <v>2</v>
      </c>
      <c r="AV297" s="220">
        <f>IF(tblPiNAnalysis[[#This Row],[Severidad]]&gt;2,tblPiNAnalysis[[#This Row],[PiN más alto]],)</f>
        <v>0</v>
      </c>
      <c r="AW297" s="54"/>
      <c r="AX297" s="55"/>
      <c r="AY297" s="56">
        <f>COUNTIFS(tblPiNAnalysis[[#This Row],[Número de PiN ausentes/cero superior al umbral - Calidad de los datos]:[Marcador manual]],"Flagged")</f>
        <v>2</v>
      </c>
      <c r="AZ297" s="34" t="str">
        <f>IF(tblPiNAnalysis[[#This Row],[Número de marcadores]]&gt;0, "Flagged", "")</f>
        <v>Flagged</v>
      </c>
      <c r="BA297" s="92">
        <f>tblPiNAnalysis[[#This Row],[PiN preliminar]]</f>
        <v>0</v>
      </c>
      <c r="BB297" s="97"/>
      <c r="BC297" s="70">
        <f>IFERROR(IF(tblPiNAnalysis[[#This Row],[Severidad]]=3,tblPiNAnalysis[[#This Row],[PiN final]]*Umbrales!$D$33,tblPiNAnalysis[[#This Row],[PiN final]]*Umbrales!$D$34),)</f>
        <v>0</v>
      </c>
      <c r="BD297" s="70">
        <f>IFERROR(IF(tblPiNAnalysis[[#This Row],[Severidad]]&gt;3,tblPiNAnalysis[[#This Row],[PiN final]]*Umbrales!$D$34,),)</f>
        <v>0</v>
      </c>
    </row>
    <row r="298" spans="1:56">
      <c r="A298" s="101" t="str">
        <f>IFERROR(_xlfn.CONCAT(IF(tblPiNAnalysis[[#This Row],[Grupo]]="", "",tblPiNAnalysis[[#This Row],[Grupo]] ),  _xlfn.IFS(tblPiNAnalysis[[#This Row],[Admin2PCODE]]&lt;&gt;"", tblPiNAnalysis[[#This Row],[Admin2PCODE]], tblPiNAnalysis[[#This Row],[Admin1PCODE]]&lt;&gt;"", tblPiNAnalysis[[#This Row],[Admin1PCODE]])),"")</f>
        <v>VenezolanosVE1804</v>
      </c>
      <c r="B298" s="105" t="s">
        <v>536</v>
      </c>
      <c r="C298" s="104" t="s">
        <v>537</v>
      </c>
      <c r="D298" s="119" t="s">
        <v>544</v>
      </c>
      <c r="E298" s="104" t="s">
        <v>545</v>
      </c>
      <c r="F298" s="358"/>
      <c r="G298" s="357">
        <v>196996</v>
      </c>
      <c r="H298" s="103" t="s">
        <v>102</v>
      </c>
      <c r="I298" s="60">
        <v>107958</v>
      </c>
      <c r="J298" s="134">
        <v>8696.0417474611477</v>
      </c>
      <c r="K298" s="57">
        <v>71903.539999999994</v>
      </c>
      <c r="L298" s="87">
        <v>17762.778481389076</v>
      </c>
      <c r="M298" s="87">
        <v>18690.063827590944</v>
      </c>
      <c r="N298" s="57">
        <v>0</v>
      </c>
      <c r="O298" s="57">
        <v>5980.8204248291022</v>
      </c>
      <c r="P298" s="57">
        <v>6541.5223396568299</v>
      </c>
      <c r="Q298" s="88">
        <f>IFERROR(IF(tblPiNAnalysis[[#This Row],[SAMV]]="", "", MROUND(tblPiNAnalysis[[#This Row],[SAMV]]/tblPiNAnalysis[[#This Row],[Población]], 0.05)), "")</f>
        <v>0.55000000000000004</v>
      </c>
      <c r="R298" s="89">
        <f>IFERROR(IF(tblPiNAnalysis[[#This Row],[NUT]]="", "", MROUND(tblPiNAnalysis[[#This Row],[NUT]]/tblPiNAnalysis[[#This Row],[Población]], 0.05)), "")</f>
        <v>0.05</v>
      </c>
      <c r="S298" s="89">
        <f>IFERROR(IF(tblPiNAnalysis[[#This Row],[SAL]]="", "", MROUND(tblPiNAnalysis[[#This Row],[SAL]]/tblPiNAnalysis[[#This Row],[Población]], 0.05)), "")</f>
        <v>0.35000000000000003</v>
      </c>
      <c r="T298" s="89">
        <f>IFERROR(IF(tblPiNAnalysis[[#This Row],[EDU]]="", "", MROUND(tblPiNAnalysis[[#This Row],[EDU]]/tblPiNAnalysis[[#This Row],[Población]], 0.05)), "")</f>
        <v>0.1</v>
      </c>
      <c r="U298" s="89">
        <f>IFERROR(IF(tblPiNAnalysis[[#This Row],[PRO]]="", "", MROUND(tblPiNAnalysis[[#This Row],[PRO]]/tblPiNAnalysis[[#This Row],[Población]], 0.05)), "")</f>
        <v>0.1</v>
      </c>
      <c r="V298" s="90">
        <f>IFERROR(IF(tblPiNAnalysis[[#This Row],[ASH]]="", "", MROUND(tblPiNAnalysis[[#This Row],[ASH]]/tblPiNAnalysis[[#This Row],[Población]], 0.05)), "")</f>
        <v>0</v>
      </c>
      <c r="W298" s="89">
        <f>IFERROR(MROUND(tblPiNAnalysis[[#This Row],[NNA]]/tblPiNAnalysis[[#This Row],[Población]], 0.05), "")</f>
        <v>0.05</v>
      </c>
      <c r="X298" s="89">
        <f>IFERROR(MROUND(tblPiNAnalysis[[#This Row],[VBG]]/tblPiNAnalysis[[#This Row],[Población]], 0.05), "")</f>
        <v>0.05</v>
      </c>
      <c r="Y298" s="91">
        <f>IFERROR(LARGE(tblPiNAnalysis[[#This Row],[SAMV]:[ASH]], 1), "")</f>
        <v>107958</v>
      </c>
      <c r="Z298" s="92" t="str" cm="1">
        <f t="array" ref="Z298">IF(tblPiNAnalysis[[#This Row],[PiN más alto]]="", "", _xlfn.TEXTJOIN(CHAR(10), TRUE, IF(tblPiNAnalysis[[#This Row],[PiN más alto]]=tblPiNAnalysis[[#This Row],[SAMV]:[ASH]], tblPiNAnalysis[[#Headers],[SAMV]:[ASH]], "")))</f>
        <v>SAMV</v>
      </c>
      <c r="AA298" s="93">
        <f>IF(tblPiNAnalysis[[#This Row],[PiN más alto]]="", "", tblPiNAnalysis[[#This Row],[PiN más alto]]/tblPiNAnalysis[[#This Row],[Población]])</f>
        <v>0.54802127961989078</v>
      </c>
      <c r="AB298" s="94" t="str">
        <f>IF(SUM(tblPiNAnalysis[[#This Row],[SAMV]:[ASH]])=0, "",IF(COUNTIF(tblPiNAnalysis[[#This Row],[SAMV]:[ASH]],"=0")+COUNTIF(tblPiNAnalysis[[#This Row],[SAMV]:[ASH]],"")&gt;=zero_pin_thresh, "Flagged", ""))</f>
        <v/>
      </c>
      <c r="AC298" s="95" t="str">
        <f>IFERROR(IF(tblPiNAnalysis[[#This Row],[PiN más alto]]="", "", IF(tblPiNAnalysis[[#This Row],[% PiN Sectores más altos]]&gt;=flag_pin_perc, "Flagged", "")), "")</f>
        <v/>
      </c>
      <c r="AD298" s="96" t="str" cm="1">
        <f t="array" ref="AD298">IF(tblPiNAnalysis[[#This Row],[PiN más alto]]=0, "",  IF(OR(COUNTIF(tblPiNAnalysis[[#This Row],[Sectores más altos]],tblSubSectorPopulation[Sector])), "Flagged", ""))</f>
        <v/>
      </c>
      <c r="AE298" s="16" cm="1">
        <f t="array" ref="AE29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71903.539999999994</v>
      </c>
      <c r="AF298" s="97" t="str" cm="1">
        <f t="array" ref="AF298">IF(tblPiNAnalysis[[#This Row],[2º PiN más alto]]="", "", _xlfn.TEXTJOIN(CHAR(10), TRUE, IF(tblPiNAnalysis[[#This Row],[2º PiN más alto]]=tblPiNAnalysis[[#This Row],[SAMV]:[ASH]], tblPiNAnalysis[[#Headers],[SAMV]:[ASH]], "")))</f>
        <v>SAL</v>
      </c>
      <c r="AG298" s="12">
        <f>IFERROR(tblPiNAnalysis[[#This Row],[2º PiN más alto]]/tblPiNAnalysis[[#This Row],[Población]], "")</f>
        <v>0.36499999999999999</v>
      </c>
      <c r="AH298" s="16">
        <f>IFERROR(tblPiNAnalysis[[#This Row],[PiN más alto]]-tblPiNAnalysis[[#This Row],[2º PiN más alto]], "")</f>
        <v>36054.460000000006</v>
      </c>
      <c r="AI298" s="14">
        <f>IFERROR(((tblPiNAnalysis[[#This Row],[PiN más alto]]-tblPiNAnalysis[[#This Row],[2º PiN más alto]])/tblPiNAnalysis[[#This Row],[2º PiN más alto]]),"")</f>
        <v>0.50142816334216656</v>
      </c>
      <c r="AJ298" s="14" t="str" cm="1">
        <f t="array" ref="AJ29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98" s="98" cm="1">
        <f t="array" ref="AK29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18690.063827590944</v>
      </c>
      <c r="AL298" s="53" t="str" cm="1">
        <f t="array" ref="AL298">IF(tblPiNAnalysis[[#This Row],[3º PiN más alto]]="", "", _xlfn.TEXTJOIN(CHAR(10), TRUE, IF(tblPiNAnalysis[[#This Row],[3º PiN más alto]]=tblPiNAnalysis[[#This Row],[SAMV]:[ASH]], tblPiNAnalysis[[#Headers],[SAMV]:[ASH]], "")))</f>
        <v>PRO</v>
      </c>
      <c r="AM298" s="53">
        <f>IFERROR(tblPiNAnalysis[[#This Row],[3º PiN más alto]]/tblPiNAnalysis[[#This Row],[Población]], "")</f>
        <v>9.4875346847605763E-2</v>
      </c>
      <c r="AN298" s="15">
        <f>IFERROR(tblPiNAnalysis[[#This Row],[PiN más alto]]-tblPiNAnalysis[[#This Row],[3º PiN más alto]],"")</f>
        <v>89267.936172409056</v>
      </c>
      <c r="AO298" s="14">
        <f>IFERROR(tblPiNAnalysis[[#This Row],[Diferencia de PiN entre el más alto y el 3º más alto]]/tblPiNAnalysis[[#This Row],[3º PiN más alto]], "")</f>
        <v>4.7762242545490148</v>
      </c>
      <c r="AP298" s="96" t="str" cm="1">
        <f t="array" ref="AP29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98" s="84" cm="1">
        <f t="array" ref="AQ298">IFERROR(IF(tblPiNAnalysis[[#This Row],[ID]]="", "", INDEX(tblPiNHistorical[[SAMV]:[ASH]], MATCH(tblPiNAnalysis[[#This Row],[ID]],tblPiNHistorical[ID], 0),MATCH(_xlfn._xlws.FILTER(tblPiNAnalysis[[#Headers],[SAMV]:[ASH]], tblPiNAnalysis[[#This Row],[PiN más alto]]=tblPiNAnalysis[[#This Row],[SAMV]:[ASH]]), tblPiNHistorical[[#Headers],[SAMV]:[ASH]], 0))), "")</f>
        <v>-0.9</v>
      </c>
      <c r="AR298" s="99" t="str" cm="1">
        <f t="array" ref="AR29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98" s="74" cm="1">
        <f t="array" ref="AS298">IFERROR(IF(tblPiNAnalysis[[#This Row],[ID]]="", "", INDEX(tblPiNHistorical[[SAMV]:[ASH]], MATCH(tblPiNAnalysis[[#This Row],[ID]],tblPiNHistorical[ID], 0),MATCH(_xlfn._xlws.FILTER(tblPiNAnalysis[[#Headers],[SAMV]:[ASH]], tblPiNAnalysis[[#This Row],[2º PiN más alto]]=tblPiNAnalysis[[#This Row],[SAMV]:[ASH]]), tblPiNHistorical[[#Headers],[SAMV]:[ASH]], 0))), "")</f>
        <v>-0.9</v>
      </c>
      <c r="AT298" s="100" t="str" cm="1">
        <f t="array" ref="AT29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98" s="219">
        <f>INDEX(tblSeverityAnalysis[Severidad final], MATCH(tblPiNAnalysis[[#This Row],[ID]],tblSeverityAnalysis[ID], 0))</f>
        <v>2</v>
      </c>
      <c r="AV298" s="220">
        <f>IF(tblPiNAnalysis[[#This Row],[Severidad]]&gt;2,tblPiNAnalysis[[#This Row],[PiN más alto]],)</f>
        <v>0</v>
      </c>
      <c r="AW298" s="54"/>
      <c r="AX298" s="55"/>
      <c r="AY298" s="56">
        <f>COUNTIFS(tblPiNAnalysis[[#This Row],[Número de PiN ausentes/cero superior al umbral - Calidad de los datos]:[Marcador manual]],"Flagged")</f>
        <v>2</v>
      </c>
      <c r="AZ298" s="34" t="str">
        <f>IF(tblPiNAnalysis[[#This Row],[Número de marcadores]]&gt;0, "Flagged", "")</f>
        <v>Flagged</v>
      </c>
      <c r="BA298" s="92">
        <f>tblPiNAnalysis[[#This Row],[PiN preliminar]]</f>
        <v>0</v>
      </c>
      <c r="BB298" s="97"/>
      <c r="BC298" s="70">
        <f>IFERROR(IF(tblPiNAnalysis[[#This Row],[Severidad]]=3,tblPiNAnalysis[[#This Row],[PiN final]]*Umbrales!$D$33,tblPiNAnalysis[[#This Row],[PiN final]]*Umbrales!$D$34),)</f>
        <v>0</v>
      </c>
      <c r="BD298" s="70">
        <f>IFERROR(IF(tblPiNAnalysis[[#This Row],[Severidad]]&gt;3,tblPiNAnalysis[[#This Row],[PiN final]]*Umbrales!$D$34,),)</f>
        <v>0</v>
      </c>
    </row>
    <row r="299" spans="1:56">
      <c r="A299" s="101" t="str">
        <f>IFERROR(_xlfn.CONCAT(IF(tblPiNAnalysis[[#This Row],[Grupo]]="", "",tblPiNAnalysis[[#This Row],[Grupo]] ),  _xlfn.IFS(tblPiNAnalysis[[#This Row],[Admin2PCODE]]&lt;&gt;"", tblPiNAnalysis[[#This Row],[Admin2PCODE]], tblPiNAnalysis[[#This Row],[Admin1PCODE]]&lt;&gt;"", tblPiNAnalysis[[#This Row],[Admin1PCODE]])),"")</f>
        <v>VenezolanosVE1805</v>
      </c>
      <c r="B299" s="105" t="s">
        <v>536</v>
      </c>
      <c r="C299" s="104" t="s">
        <v>537</v>
      </c>
      <c r="D299" s="119" t="s">
        <v>546</v>
      </c>
      <c r="E299" s="104" t="s">
        <v>547</v>
      </c>
      <c r="F299" s="358"/>
      <c r="G299" s="357">
        <v>38403</v>
      </c>
      <c r="H299" s="103" t="s">
        <v>102</v>
      </c>
      <c r="I299" s="60">
        <v>18840.6878</v>
      </c>
      <c r="J299" s="134">
        <v>1664.5379794024445</v>
      </c>
      <c r="K299" s="57">
        <v>14017.094999999999</v>
      </c>
      <c r="L299" s="87">
        <v>1829.0919414811497</v>
      </c>
      <c r="M299" s="87">
        <v>1214.4993149962011</v>
      </c>
      <c r="N299" s="57">
        <v>0</v>
      </c>
      <c r="O299" s="57">
        <v>388.63978079878439</v>
      </c>
      <c r="P299" s="57">
        <v>425.07476024867037</v>
      </c>
      <c r="Q299" s="88">
        <f>IFERROR(IF(tblPiNAnalysis[[#This Row],[SAMV]]="", "", MROUND(tblPiNAnalysis[[#This Row],[SAMV]]/tblPiNAnalysis[[#This Row],[Población]], 0.05)), "")</f>
        <v>0.5</v>
      </c>
      <c r="R299" s="89">
        <f>IFERROR(IF(tblPiNAnalysis[[#This Row],[NUT]]="", "", MROUND(tblPiNAnalysis[[#This Row],[NUT]]/tblPiNAnalysis[[#This Row],[Población]], 0.05)), "")</f>
        <v>0.05</v>
      </c>
      <c r="S299" s="89">
        <f>IFERROR(IF(tblPiNAnalysis[[#This Row],[SAL]]="", "", MROUND(tblPiNAnalysis[[#This Row],[SAL]]/tblPiNAnalysis[[#This Row],[Población]], 0.05)), "")</f>
        <v>0.35000000000000003</v>
      </c>
      <c r="T299" s="89">
        <f>IFERROR(IF(tblPiNAnalysis[[#This Row],[EDU]]="", "", MROUND(tblPiNAnalysis[[#This Row],[EDU]]/tblPiNAnalysis[[#This Row],[Población]], 0.05)), "")</f>
        <v>0.05</v>
      </c>
      <c r="U299" s="89">
        <f>IFERROR(IF(tblPiNAnalysis[[#This Row],[PRO]]="", "", MROUND(tblPiNAnalysis[[#This Row],[PRO]]/tblPiNAnalysis[[#This Row],[Población]], 0.05)), "")</f>
        <v>0.05</v>
      </c>
      <c r="V299" s="90">
        <f>IFERROR(IF(tblPiNAnalysis[[#This Row],[ASH]]="", "", MROUND(tblPiNAnalysis[[#This Row],[ASH]]/tblPiNAnalysis[[#This Row],[Población]], 0.05)), "")</f>
        <v>0</v>
      </c>
      <c r="W299" s="89">
        <f>IFERROR(MROUND(tblPiNAnalysis[[#This Row],[NNA]]/tblPiNAnalysis[[#This Row],[Población]], 0.05), "")</f>
        <v>0</v>
      </c>
      <c r="X299" s="89">
        <f>IFERROR(MROUND(tblPiNAnalysis[[#This Row],[VBG]]/tblPiNAnalysis[[#This Row],[Población]], 0.05), "")</f>
        <v>0</v>
      </c>
      <c r="Y299" s="91">
        <f>IFERROR(LARGE(tblPiNAnalysis[[#This Row],[SAMV]:[ASH]], 1), "")</f>
        <v>18840.6878</v>
      </c>
      <c r="Z299" s="92" t="str" cm="1">
        <f t="array" ref="Z299">IF(tblPiNAnalysis[[#This Row],[PiN más alto]]="", "", _xlfn.TEXTJOIN(CHAR(10), TRUE, IF(tblPiNAnalysis[[#This Row],[PiN más alto]]=tblPiNAnalysis[[#This Row],[SAMV]:[ASH]], tblPiNAnalysis[[#Headers],[SAMV]:[ASH]], "")))</f>
        <v>SAMV</v>
      </c>
      <c r="AA299" s="93">
        <f>IF(tblPiNAnalysis[[#This Row],[PiN más alto]]="", "", tblPiNAnalysis[[#This Row],[PiN más alto]]/tblPiNAnalysis[[#This Row],[Población]])</f>
        <v>0.49060458297528836</v>
      </c>
      <c r="AB299" s="94" t="str">
        <f>IF(SUM(tblPiNAnalysis[[#This Row],[SAMV]:[ASH]])=0, "",IF(COUNTIF(tblPiNAnalysis[[#This Row],[SAMV]:[ASH]],"=0")+COUNTIF(tblPiNAnalysis[[#This Row],[SAMV]:[ASH]],"")&gt;=zero_pin_thresh, "Flagged", ""))</f>
        <v/>
      </c>
      <c r="AC299" s="95" t="str">
        <f>IFERROR(IF(tblPiNAnalysis[[#This Row],[PiN más alto]]="", "", IF(tblPiNAnalysis[[#This Row],[% PiN Sectores más altos]]&gt;=flag_pin_perc, "Flagged", "")), "")</f>
        <v/>
      </c>
      <c r="AD299" s="96" t="str" cm="1">
        <f t="array" ref="AD299">IF(tblPiNAnalysis[[#This Row],[PiN más alto]]=0, "",  IF(OR(COUNTIF(tblPiNAnalysis[[#This Row],[Sectores más altos]],tblSubSectorPopulation[Sector])), "Flagged", ""))</f>
        <v/>
      </c>
      <c r="AE299" s="16" cm="1">
        <f t="array" ref="AE29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14017.094999999999</v>
      </c>
      <c r="AF299" s="97" t="str" cm="1">
        <f t="array" ref="AF299">IF(tblPiNAnalysis[[#This Row],[2º PiN más alto]]="", "", _xlfn.TEXTJOIN(CHAR(10), TRUE, IF(tblPiNAnalysis[[#This Row],[2º PiN más alto]]=tblPiNAnalysis[[#This Row],[SAMV]:[ASH]], tblPiNAnalysis[[#Headers],[SAMV]:[ASH]], "")))</f>
        <v>SAL</v>
      </c>
      <c r="AG299" s="12">
        <f>IFERROR(tblPiNAnalysis[[#This Row],[2º PiN más alto]]/tblPiNAnalysis[[#This Row],[Población]], "")</f>
        <v>0.36499999999999999</v>
      </c>
      <c r="AH299" s="16">
        <f>IFERROR(tblPiNAnalysis[[#This Row],[PiN más alto]]-tblPiNAnalysis[[#This Row],[2º PiN más alto]], "")</f>
        <v>4823.5928000000004</v>
      </c>
      <c r="AI299" s="14">
        <f>IFERROR(((tblPiNAnalysis[[#This Row],[PiN más alto]]-tblPiNAnalysis[[#This Row],[2º PiN más alto]])/tblPiNAnalysis[[#This Row],[2º PiN más alto]]),"")</f>
        <v>0.34412214513777645</v>
      </c>
      <c r="AJ299" s="14" t="str" cm="1">
        <f t="array" ref="AJ29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299" s="98" cm="1">
        <f t="array" ref="AK29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1829.0919414811497</v>
      </c>
      <c r="AL299" s="53" t="str" cm="1">
        <f t="array" ref="AL299">IF(tblPiNAnalysis[[#This Row],[3º PiN más alto]]="", "", _xlfn.TEXTJOIN(CHAR(10), TRUE, IF(tblPiNAnalysis[[#This Row],[3º PiN más alto]]=tblPiNAnalysis[[#This Row],[SAMV]:[ASH]], tblPiNAnalysis[[#Headers],[SAMV]:[ASH]], "")))</f>
        <v>EDU</v>
      </c>
      <c r="AM299" s="53">
        <f>IFERROR(tblPiNAnalysis[[#This Row],[3º PiN más alto]]/tblPiNAnalysis[[#This Row],[Población]], "")</f>
        <v>4.7628881636360434E-2</v>
      </c>
      <c r="AN299" s="15">
        <f>IFERROR(tblPiNAnalysis[[#This Row],[PiN más alto]]-tblPiNAnalysis[[#This Row],[3º PiN más alto]],"")</f>
        <v>17011.595858518849</v>
      </c>
      <c r="AO299" s="14">
        <f>IFERROR(tblPiNAnalysis[[#This Row],[Diferencia de PiN entre el más alto y el 3º más alto]]/tblPiNAnalysis[[#This Row],[3º PiN más alto]], "")</f>
        <v>9.3005690270240411</v>
      </c>
      <c r="AP299" s="96" t="str" cm="1">
        <f t="array" ref="AP29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299" s="84" cm="1">
        <f t="array" ref="AQ299">IFERROR(IF(tblPiNAnalysis[[#This Row],[ID]]="", "", INDEX(tblPiNHistorical[[SAMV]:[ASH]], MATCH(tblPiNAnalysis[[#This Row],[ID]],tblPiNHistorical[ID], 0),MATCH(_xlfn._xlws.FILTER(tblPiNAnalysis[[#Headers],[SAMV]:[ASH]], tblPiNAnalysis[[#This Row],[PiN más alto]]=tblPiNAnalysis[[#This Row],[SAMV]:[ASH]]), tblPiNHistorical[[#Headers],[SAMV]:[ASH]], 0))), "")</f>
        <v>-0.7</v>
      </c>
      <c r="AR299" s="99" t="str" cm="1">
        <f t="array" ref="AR29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299" s="74" cm="1">
        <f t="array" ref="AS299">IFERROR(IF(tblPiNAnalysis[[#This Row],[ID]]="", "", INDEX(tblPiNHistorical[[SAMV]:[ASH]], MATCH(tblPiNAnalysis[[#This Row],[ID]],tblPiNHistorical[ID], 0),MATCH(_xlfn._xlws.FILTER(tblPiNAnalysis[[#Headers],[SAMV]:[ASH]], tblPiNAnalysis[[#This Row],[2º PiN más alto]]=tblPiNAnalysis[[#This Row],[SAMV]:[ASH]]), tblPiNHistorical[[#Headers],[SAMV]:[ASH]], 0))), "")</f>
        <v>-0.8</v>
      </c>
      <c r="AT299" s="100" t="str" cm="1">
        <f t="array" ref="AT29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299" s="219">
        <f>INDEX(tblSeverityAnalysis[Severidad final], MATCH(tblPiNAnalysis[[#This Row],[ID]],tblSeverityAnalysis[ID], 0))</f>
        <v>2</v>
      </c>
      <c r="AV299" s="220">
        <f>IF(tblPiNAnalysis[[#This Row],[Severidad]]&gt;2,tblPiNAnalysis[[#This Row],[PiN más alto]],)</f>
        <v>0</v>
      </c>
      <c r="AW299" s="54"/>
      <c r="AX299" s="55"/>
      <c r="AY299" s="56">
        <f>COUNTIFS(tblPiNAnalysis[[#This Row],[Número de PiN ausentes/cero superior al umbral - Calidad de los datos]:[Marcador manual]],"Flagged")</f>
        <v>2</v>
      </c>
      <c r="AZ299" s="34" t="str">
        <f>IF(tblPiNAnalysis[[#This Row],[Número de marcadores]]&gt;0, "Flagged", "")</f>
        <v>Flagged</v>
      </c>
      <c r="BA299" s="92">
        <f>tblPiNAnalysis[[#This Row],[PiN preliminar]]</f>
        <v>0</v>
      </c>
      <c r="BB299" s="97"/>
      <c r="BC299" s="70">
        <f>IFERROR(IF(tblPiNAnalysis[[#This Row],[Severidad]]=3,tblPiNAnalysis[[#This Row],[PiN final]]*Umbrales!$D$33,tblPiNAnalysis[[#This Row],[PiN final]]*Umbrales!$D$34),)</f>
        <v>0</v>
      </c>
      <c r="BD299" s="70">
        <f>IFERROR(IF(tblPiNAnalysis[[#This Row],[Severidad]]&gt;3,tblPiNAnalysis[[#This Row],[PiN final]]*Umbrales!$D$34,),)</f>
        <v>0</v>
      </c>
    </row>
    <row r="300" spans="1:56">
      <c r="A300" s="101" t="str">
        <f>IFERROR(_xlfn.CONCAT(IF(tblPiNAnalysis[[#This Row],[Grupo]]="", "",tblPiNAnalysis[[#This Row],[Grupo]] ),  _xlfn.IFS(tblPiNAnalysis[[#This Row],[Admin2PCODE]]&lt;&gt;"", tblPiNAnalysis[[#This Row],[Admin2PCODE]], tblPiNAnalysis[[#This Row],[Admin1PCODE]]&lt;&gt;"", tblPiNAnalysis[[#This Row],[Admin1PCODE]])),"")</f>
        <v>VenezolanosVE1809</v>
      </c>
      <c r="B300" s="105" t="s">
        <v>536</v>
      </c>
      <c r="C300" s="104" t="s">
        <v>537</v>
      </c>
      <c r="D300" s="119" t="s">
        <v>553</v>
      </c>
      <c r="E300" s="104" t="s">
        <v>554</v>
      </c>
      <c r="F300" s="358"/>
      <c r="G300" s="357">
        <v>16550</v>
      </c>
      <c r="H300" s="103" t="s">
        <v>102</v>
      </c>
      <c r="I300" s="60">
        <v>7586</v>
      </c>
      <c r="J300" s="134">
        <v>898.4298243468595</v>
      </c>
      <c r="K300" s="57">
        <v>10100</v>
      </c>
      <c r="L300" s="87">
        <v>1075.9238296589212</v>
      </c>
      <c r="M300" s="87">
        <v>1570.1869903278748</v>
      </c>
      <c r="N300" s="57">
        <v>0</v>
      </c>
      <c r="O300" s="57">
        <v>504.03002389524778</v>
      </c>
      <c r="P300" s="57">
        <v>549.56544661475607</v>
      </c>
      <c r="Q300" s="88">
        <f>IFERROR(IF(tblPiNAnalysis[[#This Row],[SAMV]]="", "", MROUND(tblPiNAnalysis[[#This Row],[SAMV]]/tblPiNAnalysis[[#This Row],[Población]], 0.05)), "")</f>
        <v>0.45</v>
      </c>
      <c r="R300" s="89">
        <f>IFERROR(IF(tblPiNAnalysis[[#This Row],[NUT]]="", "", MROUND(tblPiNAnalysis[[#This Row],[NUT]]/tblPiNAnalysis[[#This Row],[Población]], 0.05)), "")</f>
        <v>0.05</v>
      </c>
      <c r="S300" s="89">
        <f>IFERROR(IF(tblPiNAnalysis[[#This Row],[SAL]]="", "", MROUND(tblPiNAnalysis[[#This Row],[SAL]]/tblPiNAnalysis[[#This Row],[Población]], 0.05)), "")</f>
        <v>0.60000000000000009</v>
      </c>
      <c r="T300" s="89">
        <f>IFERROR(IF(tblPiNAnalysis[[#This Row],[EDU]]="", "", MROUND(tblPiNAnalysis[[#This Row],[EDU]]/tblPiNAnalysis[[#This Row],[Población]], 0.05)), "")</f>
        <v>0.05</v>
      </c>
      <c r="U300" s="89">
        <f>IFERROR(IF(tblPiNAnalysis[[#This Row],[PRO]]="", "", MROUND(tblPiNAnalysis[[#This Row],[PRO]]/tblPiNAnalysis[[#This Row],[Población]], 0.05)), "")</f>
        <v>0.1</v>
      </c>
      <c r="V300" s="90">
        <f>IFERROR(IF(tblPiNAnalysis[[#This Row],[ASH]]="", "", MROUND(tblPiNAnalysis[[#This Row],[ASH]]/tblPiNAnalysis[[#This Row],[Población]], 0.05)), "")</f>
        <v>0</v>
      </c>
      <c r="W300" s="89">
        <f>IFERROR(MROUND(tblPiNAnalysis[[#This Row],[NNA]]/tblPiNAnalysis[[#This Row],[Población]], 0.05), "")</f>
        <v>0.05</v>
      </c>
      <c r="X300" s="89">
        <f>IFERROR(MROUND(tblPiNAnalysis[[#This Row],[VBG]]/tblPiNAnalysis[[#This Row],[Población]], 0.05), "")</f>
        <v>0.05</v>
      </c>
      <c r="Y300" s="91">
        <f>IFERROR(LARGE(tblPiNAnalysis[[#This Row],[SAMV]:[ASH]], 1), "")</f>
        <v>10100</v>
      </c>
      <c r="Z300" s="92" t="str" cm="1">
        <f t="array" ref="Z300">IF(tblPiNAnalysis[[#This Row],[PiN más alto]]="", "", _xlfn.TEXTJOIN(CHAR(10), TRUE, IF(tblPiNAnalysis[[#This Row],[PiN más alto]]=tblPiNAnalysis[[#This Row],[SAMV]:[ASH]], tblPiNAnalysis[[#Headers],[SAMV]:[ASH]], "")))</f>
        <v>SAL</v>
      </c>
      <c r="AA300" s="93">
        <f>IF(tblPiNAnalysis[[#This Row],[PiN más alto]]="", "", tblPiNAnalysis[[#This Row],[PiN más alto]]/tblPiNAnalysis[[#This Row],[Población]])</f>
        <v>0.61027190332326287</v>
      </c>
      <c r="AB300" s="94" t="str">
        <f>IF(SUM(tblPiNAnalysis[[#This Row],[SAMV]:[ASH]])=0, "",IF(COUNTIF(tblPiNAnalysis[[#This Row],[SAMV]:[ASH]],"=0")+COUNTIF(tblPiNAnalysis[[#This Row],[SAMV]:[ASH]],"")&gt;=zero_pin_thresh, "Flagged", ""))</f>
        <v/>
      </c>
      <c r="AC300" s="95" t="str">
        <f>IFERROR(IF(tblPiNAnalysis[[#This Row],[PiN más alto]]="", "", IF(tblPiNAnalysis[[#This Row],[% PiN Sectores más altos]]&gt;=flag_pin_perc, "Flagged", "")), "")</f>
        <v/>
      </c>
      <c r="AD300" s="96" t="str" cm="1">
        <f t="array" ref="AD300">IF(tblPiNAnalysis[[#This Row],[PiN más alto]]=0, "",  IF(OR(COUNTIF(tblPiNAnalysis[[#This Row],[Sectores más altos]],tblSubSectorPopulation[Sector])), "Flagged", ""))</f>
        <v/>
      </c>
      <c r="AE300" s="16" cm="1">
        <f t="array" ref="AE30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7586</v>
      </c>
      <c r="AF300" s="97" t="str" cm="1">
        <f t="array" ref="AF300">IF(tblPiNAnalysis[[#This Row],[2º PiN más alto]]="", "", _xlfn.TEXTJOIN(CHAR(10), TRUE, IF(tblPiNAnalysis[[#This Row],[2º PiN más alto]]=tblPiNAnalysis[[#This Row],[SAMV]:[ASH]], tblPiNAnalysis[[#Headers],[SAMV]:[ASH]], "")))</f>
        <v>SAMV</v>
      </c>
      <c r="AG300" s="12">
        <f>IFERROR(tblPiNAnalysis[[#This Row],[2º PiN más alto]]/tblPiNAnalysis[[#This Row],[Población]], "")</f>
        <v>0.45836858006042297</v>
      </c>
      <c r="AH300" s="16">
        <f>IFERROR(tblPiNAnalysis[[#This Row],[PiN más alto]]-tblPiNAnalysis[[#This Row],[2º PiN más alto]], "")</f>
        <v>2514</v>
      </c>
      <c r="AI300" s="14">
        <f>IFERROR(((tblPiNAnalysis[[#This Row],[PiN más alto]]-tblPiNAnalysis[[#This Row],[2º PiN más alto]])/tblPiNAnalysis[[#This Row],[2º PiN más alto]]),"")</f>
        <v>0.33139994727128924</v>
      </c>
      <c r="AJ300" s="14" t="str" cm="1">
        <f t="array" ref="AJ30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00" s="98" cm="1">
        <f t="array" ref="AK30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1570.1869903278748</v>
      </c>
      <c r="AL300" s="53" t="str" cm="1">
        <f t="array" ref="AL300">IF(tblPiNAnalysis[[#This Row],[3º PiN más alto]]="", "", _xlfn.TEXTJOIN(CHAR(10), TRUE, IF(tblPiNAnalysis[[#This Row],[3º PiN más alto]]=tblPiNAnalysis[[#This Row],[SAMV]:[ASH]], tblPiNAnalysis[[#Headers],[SAMV]:[ASH]], "")))</f>
        <v>PRO</v>
      </c>
      <c r="AM300" s="53">
        <f>IFERROR(tblPiNAnalysis[[#This Row],[3º PiN más alto]]/tblPiNAnalysis[[#This Row],[Población]], "")</f>
        <v>9.4875346847605735E-2</v>
      </c>
      <c r="AN300" s="15">
        <f>IFERROR(tblPiNAnalysis[[#This Row],[PiN más alto]]-tblPiNAnalysis[[#This Row],[3º PiN más alto]],"")</f>
        <v>8529.8130096721252</v>
      </c>
      <c r="AO300" s="14">
        <f>IFERROR(tblPiNAnalysis[[#This Row],[Diferencia de PiN entre el más alto y el 3º más alto]]/tblPiNAnalysis[[#This Row],[3º PiN más alto]], "")</f>
        <v>5.4323549120038201</v>
      </c>
      <c r="AP300" s="96" t="str" cm="1">
        <f t="array" ref="AP30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00" s="84" cm="1">
        <f t="array" ref="AQ300">IFERROR(IF(tblPiNAnalysis[[#This Row],[ID]]="", "", INDEX(tblPiNHistorical[[SAMV]:[ASH]], MATCH(tblPiNAnalysis[[#This Row],[ID]],tblPiNHistorical[ID], 0),MATCH(_xlfn._xlws.FILTER(tblPiNAnalysis[[#Headers],[SAMV]:[ASH]], tblPiNAnalysis[[#This Row],[PiN más alto]]=tblPiNAnalysis[[#This Row],[SAMV]:[ASH]]), tblPiNHistorical[[#Headers],[SAMV]:[ASH]], 0))), "")</f>
        <v>0.3</v>
      </c>
      <c r="AR300" s="99" t="str" cm="1">
        <f t="array" ref="AR30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00" s="74" cm="1">
        <f t="array" ref="AS300">IFERROR(IF(tblPiNAnalysis[[#This Row],[ID]]="", "", INDEX(tblPiNHistorical[[SAMV]:[ASH]], MATCH(tblPiNAnalysis[[#This Row],[ID]],tblPiNHistorical[ID], 0),MATCH(_xlfn._xlws.FILTER(tblPiNAnalysis[[#Headers],[SAMV]:[ASH]], tblPiNAnalysis[[#This Row],[2º PiN más alto]]=tblPiNAnalysis[[#This Row],[SAMV]:[ASH]]), tblPiNHistorical[[#Headers],[SAMV]:[ASH]], 0))), "")</f>
        <v>2.2999999999999998</v>
      </c>
      <c r="AT300" s="100" t="str" cm="1">
        <f t="array" ref="AT30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00" s="219">
        <f>INDEX(tblSeverityAnalysis[Severidad final], MATCH(tblPiNAnalysis[[#This Row],[ID]],tblSeverityAnalysis[ID], 0))</f>
        <v>2</v>
      </c>
      <c r="AV300" s="220">
        <f>IF(tblPiNAnalysis[[#This Row],[Severidad]]&gt;2,tblPiNAnalysis[[#This Row],[PiN más alto]],)</f>
        <v>0</v>
      </c>
      <c r="AW300" s="54"/>
      <c r="AX300" s="55"/>
      <c r="AY300" s="56">
        <f>COUNTIFS(tblPiNAnalysis[[#This Row],[Número de PiN ausentes/cero superior al umbral - Calidad de los datos]:[Marcador manual]],"Flagged")</f>
        <v>3</v>
      </c>
      <c r="AZ300" s="34" t="str">
        <f>IF(tblPiNAnalysis[[#This Row],[Número de marcadores]]&gt;0, "Flagged", "")</f>
        <v>Flagged</v>
      </c>
      <c r="BA300" s="92">
        <f>tblPiNAnalysis[[#This Row],[PiN preliminar]]</f>
        <v>0</v>
      </c>
      <c r="BB300" s="97"/>
      <c r="BC300" s="70">
        <f>IFERROR(IF(tblPiNAnalysis[[#This Row],[Severidad]]=3,tblPiNAnalysis[[#This Row],[PiN final]]*Umbrales!$D$33,tblPiNAnalysis[[#This Row],[PiN final]]*Umbrales!$D$34),)</f>
        <v>0</v>
      </c>
      <c r="BD300" s="70">
        <f>IFERROR(IF(tblPiNAnalysis[[#This Row],[Severidad]]&gt;3,tblPiNAnalysis[[#This Row],[PiN final]]*Umbrales!$D$34,),)</f>
        <v>0</v>
      </c>
    </row>
    <row r="301" spans="1:56">
      <c r="A301" s="101" t="str">
        <f>IFERROR(_xlfn.CONCAT(IF(tblPiNAnalysis[[#This Row],[Grupo]]="", "",tblPiNAnalysis[[#This Row],[Grupo]] ),  _xlfn.IFS(tblPiNAnalysis[[#This Row],[Admin2PCODE]]&lt;&gt;"", tblPiNAnalysis[[#This Row],[Admin2PCODE]], tblPiNAnalysis[[#This Row],[Admin1PCODE]]&lt;&gt;"", tblPiNAnalysis[[#This Row],[Admin1PCODE]])),"")</f>
        <v>VenezolanosVE1810</v>
      </c>
      <c r="B301" s="105" t="s">
        <v>536</v>
      </c>
      <c r="C301" s="104" t="s">
        <v>537</v>
      </c>
      <c r="D301" s="119" t="s">
        <v>833</v>
      </c>
      <c r="E301" s="104" t="s">
        <v>556</v>
      </c>
      <c r="F301" s="358"/>
      <c r="G301" s="357">
        <v>24296</v>
      </c>
      <c r="H301" s="103" t="s">
        <v>102</v>
      </c>
      <c r="I301" s="60">
        <v>8467</v>
      </c>
      <c r="J301" s="134">
        <v>1319.2623032302058</v>
      </c>
      <c r="K301" s="57">
        <v>8868.0400000000009</v>
      </c>
      <c r="L301" s="87">
        <v>1225.8096815621477</v>
      </c>
      <c r="M301" s="87">
        <v>2305.091427009429</v>
      </c>
      <c r="N301" s="57">
        <v>0</v>
      </c>
      <c r="O301" s="57">
        <v>737.62925664301724</v>
      </c>
      <c r="P301" s="57">
        <v>806.78199945330005</v>
      </c>
      <c r="Q301" s="88">
        <f>IFERROR(IF(tblPiNAnalysis[[#This Row],[SAMV]]="", "", MROUND(tblPiNAnalysis[[#This Row],[SAMV]]/tblPiNAnalysis[[#This Row],[Población]], 0.05)), "")</f>
        <v>0.35000000000000003</v>
      </c>
      <c r="R301" s="89">
        <f>IFERROR(IF(tblPiNAnalysis[[#This Row],[NUT]]="", "", MROUND(tblPiNAnalysis[[#This Row],[NUT]]/tblPiNAnalysis[[#This Row],[Población]], 0.05)), "")</f>
        <v>0.05</v>
      </c>
      <c r="S301" s="89">
        <f>IFERROR(IF(tblPiNAnalysis[[#This Row],[SAL]]="", "", MROUND(tblPiNAnalysis[[#This Row],[SAL]]/tblPiNAnalysis[[#This Row],[Población]], 0.05)), "")</f>
        <v>0.35000000000000003</v>
      </c>
      <c r="T301" s="89">
        <f>IFERROR(IF(tblPiNAnalysis[[#This Row],[EDU]]="", "", MROUND(tblPiNAnalysis[[#This Row],[EDU]]/tblPiNAnalysis[[#This Row],[Población]], 0.05)), "")</f>
        <v>0.05</v>
      </c>
      <c r="U301" s="89">
        <f>IFERROR(IF(tblPiNAnalysis[[#This Row],[PRO]]="", "", MROUND(tblPiNAnalysis[[#This Row],[PRO]]/tblPiNAnalysis[[#This Row],[Población]], 0.05)), "")</f>
        <v>0.1</v>
      </c>
      <c r="V301" s="90">
        <f>IFERROR(IF(tblPiNAnalysis[[#This Row],[ASH]]="", "", MROUND(tblPiNAnalysis[[#This Row],[ASH]]/tblPiNAnalysis[[#This Row],[Población]], 0.05)), "")</f>
        <v>0</v>
      </c>
      <c r="W301" s="89">
        <f>IFERROR(MROUND(tblPiNAnalysis[[#This Row],[NNA]]/tblPiNAnalysis[[#This Row],[Población]], 0.05), "")</f>
        <v>0.05</v>
      </c>
      <c r="X301" s="89">
        <f>IFERROR(MROUND(tblPiNAnalysis[[#This Row],[VBG]]/tblPiNAnalysis[[#This Row],[Población]], 0.05), "")</f>
        <v>0.05</v>
      </c>
      <c r="Y301" s="91">
        <f>IFERROR(LARGE(tblPiNAnalysis[[#This Row],[SAMV]:[ASH]], 1), "")</f>
        <v>8868.0400000000009</v>
      </c>
      <c r="Z301" s="92" t="str" cm="1">
        <f t="array" ref="Z301">IF(tblPiNAnalysis[[#This Row],[PiN más alto]]="", "", _xlfn.TEXTJOIN(CHAR(10), TRUE, IF(tblPiNAnalysis[[#This Row],[PiN más alto]]=tblPiNAnalysis[[#This Row],[SAMV]:[ASH]], tblPiNAnalysis[[#Headers],[SAMV]:[ASH]], "")))</f>
        <v>SAL</v>
      </c>
      <c r="AA301" s="93">
        <f>IF(tblPiNAnalysis[[#This Row],[PiN más alto]]="", "", tblPiNAnalysis[[#This Row],[PiN más alto]]/tblPiNAnalysis[[#This Row],[Población]])</f>
        <v>0.36500000000000005</v>
      </c>
      <c r="AB301" s="94" t="str">
        <f>IF(SUM(tblPiNAnalysis[[#This Row],[SAMV]:[ASH]])=0, "",IF(COUNTIF(tblPiNAnalysis[[#This Row],[SAMV]:[ASH]],"=0")+COUNTIF(tblPiNAnalysis[[#This Row],[SAMV]:[ASH]],"")&gt;=zero_pin_thresh, "Flagged", ""))</f>
        <v/>
      </c>
      <c r="AC301" s="95" t="str">
        <f>IFERROR(IF(tblPiNAnalysis[[#This Row],[PiN más alto]]="", "", IF(tblPiNAnalysis[[#This Row],[% PiN Sectores más altos]]&gt;=flag_pin_perc, "Flagged", "")), "")</f>
        <v/>
      </c>
      <c r="AD301" s="96" t="str" cm="1">
        <f t="array" ref="AD301">IF(tblPiNAnalysis[[#This Row],[PiN más alto]]=0, "",  IF(OR(COUNTIF(tblPiNAnalysis[[#This Row],[Sectores más altos]],tblSubSectorPopulation[Sector])), "Flagged", ""))</f>
        <v/>
      </c>
      <c r="AE301" s="16" cm="1">
        <f t="array" ref="AE30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8467</v>
      </c>
      <c r="AF301" s="97" t="str" cm="1">
        <f t="array" ref="AF301">IF(tblPiNAnalysis[[#This Row],[2º PiN más alto]]="", "", _xlfn.TEXTJOIN(CHAR(10), TRUE, IF(tblPiNAnalysis[[#This Row],[2º PiN más alto]]=tblPiNAnalysis[[#This Row],[SAMV]:[ASH]], tblPiNAnalysis[[#Headers],[SAMV]:[ASH]], "")))</f>
        <v>SAMV</v>
      </c>
      <c r="AG301" s="12">
        <f>IFERROR(tblPiNAnalysis[[#This Row],[2º PiN más alto]]/tblPiNAnalysis[[#This Row],[Población]], "")</f>
        <v>0.34849357918999013</v>
      </c>
      <c r="AH301" s="16">
        <f>IFERROR(tblPiNAnalysis[[#This Row],[PiN más alto]]-tblPiNAnalysis[[#This Row],[2º PiN más alto]], "")</f>
        <v>401.04000000000087</v>
      </c>
      <c r="AI301" s="14">
        <f>IFERROR(((tblPiNAnalysis[[#This Row],[PiN más alto]]-tblPiNAnalysis[[#This Row],[2º PiN más alto]])/tblPiNAnalysis[[#This Row],[2º PiN más alto]]),"")</f>
        <v>4.7365064367544688E-2</v>
      </c>
      <c r="AJ301" s="14" t="str" cm="1">
        <f t="array" ref="AJ30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01" s="98" cm="1">
        <f t="array" ref="AK30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2305.091427009429</v>
      </c>
      <c r="AL301" s="53" t="str" cm="1">
        <f t="array" ref="AL301">IF(tblPiNAnalysis[[#This Row],[3º PiN más alto]]="", "", _xlfn.TEXTJOIN(CHAR(10), TRUE, IF(tblPiNAnalysis[[#This Row],[3º PiN más alto]]=tblPiNAnalysis[[#This Row],[SAMV]:[ASH]], tblPiNAnalysis[[#Headers],[SAMV]:[ASH]], "")))</f>
        <v>PRO</v>
      </c>
      <c r="AM301" s="53">
        <f>IFERROR(tblPiNAnalysis[[#This Row],[3º PiN más alto]]/tblPiNAnalysis[[#This Row],[Población]], "")</f>
        <v>9.4875346847605735E-2</v>
      </c>
      <c r="AN301" s="15">
        <f>IFERROR(tblPiNAnalysis[[#This Row],[PiN más alto]]-tblPiNAnalysis[[#This Row],[3º PiN más alto]],"")</f>
        <v>6562.9485729905718</v>
      </c>
      <c r="AO301" s="14">
        <f>IFERROR(tblPiNAnalysis[[#This Row],[Diferencia de PiN entre el más alto y el 3º más alto]]/tblPiNAnalysis[[#This Row],[3º PiN más alto]], "")</f>
        <v>2.8471532608601064</v>
      </c>
      <c r="AP301" s="96" t="str" cm="1">
        <f t="array" ref="AP30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01" s="84" cm="1">
        <f t="array" ref="AQ301">IFERROR(IF(tblPiNAnalysis[[#This Row],[ID]]="", "", INDEX(tblPiNHistorical[[SAMV]:[ASH]], MATCH(tblPiNAnalysis[[#This Row],[ID]],tblPiNHistorical[ID], 0),MATCH(_xlfn._xlws.FILTER(tblPiNAnalysis[[#Headers],[SAMV]:[ASH]], tblPiNAnalysis[[#This Row],[PiN más alto]]=tblPiNAnalysis[[#This Row],[SAMV]:[ASH]]), tblPiNHistorical[[#Headers],[SAMV]:[ASH]], 0))), "")</f>
        <v>0.1</v>
      </c>
      <c r="AR301" s="99" t="str" cm="1">
        <f t="array" ref="AR30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01" s="74" cm="1">
        <f t="array" ref="AS301">IFERROR(IF(tblPiNAnalysis[[#This Row],[ID]]="", "", INDEX(tblPiNHistorical[[SAMV]:[ASH]], MATCH(tblPiNAnalysis[[#This Row],[ID]],tblPiNHistorical[ID], 0),MATCH(_xlfn._xlws.FILTER(tblPiNAnalysis[[#Headers],[SAMV]:[ASH]], tblPiNAnalysis[[#This Row],[2º PiN más alto]]=tblPiNAnalysis[[#This Row],[SAMV]:[ASH]]), tblPiNHistorical[[#Headers],[SAMV]:[ASH]], 0))), "")</f>
        <v>0.4</v>
      </c>
      <c r="AT301" s="100" t="str" cm="1">
        <f t="array" ref="AT30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01" s="219">
        <f>INDEX(tblSeverityAnalysis[Severidad final], MATCH(tblPiNAnalysis[[#This Row],[ID]],tblSeverityAnalysis[ID], 0))</f>
        <v>2</v>
      </c>
      <c r="AV301" s="220">
        <f>IF(tblPiNAnalysis[[#This Row],[Severidad]]&gt;2,tblPiNAnalysis[[#This Row],[PiN más alto]],)</f>
        <v>0</v>
      </c>
      <c r="AW301" s="54"/>
      <c r="AX301" s="55"/>
      <c r="AY301" s="56">
        <f>COUNTIFS(tblPiNAnalysis[[#This Row],[Número de PiN ausentes/cero superior al umbral - Calidad de los datos]:[Marcador manual]],"Flagged")</f>
        <v>1</v>
      </c>
      <c r="AZ301" s="34" t="str">
        <f>IF(tblPiNAnalysis[[#This Row],[Número de marcadores]]&gt;0, "Flagged", "")</f>
        <v>Flagged</v>
      </c>
      <c r="BA301" s="92">
        <f>tblPiNAnalysis[[#This Row],[PiN preliminar]]</f>
        <v>0</v>
      </c>
      <c r="BB301" s="97"/>
      <c r="BC301" s="70">
        <f>IFERROR(IF(tblPiNAnalysis[[#This Row],[Severidad]]=3,tblPiNAnalysis[[#This Row],[PiN final]]*Umbrales!$D$33,tblPiNAnalysis[[#This Row],[PiN final]]*Umbrales!$D$34),)</f>
        <v>0</v>
      </c>
      <c r="BD301" s="70">
        <f>IFERROR(IF(tblPiNAnalysis[[#This Row],[Severidad]]&gt;3,tblPiNAnalysis[[#This Row],[PiN final]]*Umbrales!$D$34,),)</f>
        <v>0</v>
      </c>
    </row>
    <row r="302" spans="1:56">
      <c r="A302" s="101" t="str">
        <f>IFERROR(_xlfn.CONCAT(IF(tblPiNAnalysis[[#This Row],[Grupo]]="", "",tblPiNAnalysis[[#This Row],[Grupo]] ),  _xlfn.IFS(tblPiNAnalysis[[#This Row],[Admin2PCODE]]&lt;&gt;"", tblPiNAnalysis[[#This Row],[Admin2PCODE]], tblPiNAnalysis[[#This Row],[Admin1PCODE]]&lt;&gt;"", tblPiNAnalysis[[#This Row],[Admin1PCODE]])),"")</f>
        <v>VenezolanosVE1811</v>
      </c>
      <c r="B302" s="105" t="s">
        <v>536</v>
      </c>
      <c r="C302" s="104" t="s">
        <v>537</v>
      </c>
      <c r="D302" s="119" t="s">
        <v>834</v>
      </c>
      <c r="E302" s="104" t="s">
        <v>558</v>
      </c>
      <c r="F302" s="358"/>
      <c r="G302" s="357">
        <v>18020</v>
      </c>
      <c r="H302" s="103" t="s">
        <v>102</v>
      </c>
      <c r="I302" s="60">
        <v>13015</v>
      </c>
      <c r="J302" s="134">
        <v>804.34030044827784</v>
      </c>
      <c r="K302" s="57">
        <v>6577.3</v>
      </c>
      <c r="L302" s="87">
        <v>936.40127438740296</v>
      </c>
      <c r="M302" s="87">
        <v>1709.6537501938551</v>
      </c>
      <c r="N302" s="57">
        <v>0</v>
      </c>
      <c r="O302" s="57">
        <v>547.08920006203368</v>
      </c>
      <c r="P302" s="57">
        <v>598.3788125678492</v>
      </c>
      <c r="Q302" s="88">
        <f>IFERROR(IF(tblPiNAnalysis[[#This Row],[SAMV]]="", "", MROUND(tblPiNAnalysis[[#This Row],[SAMV]]/tblPiNAnalysis[[#This Row],[Población]], 0.05)), "")</f>
        <v>0.70000000000000007</v>
      </c>
      <c r="R302" s="89">
        <f>IFERROR(IF(tblPiNAnalysis[[#This Row],[NUT]]="", "", MROUND(tblPiNAnalysis[[#This Row],[NUT]]/tblPiNAnalysis[[#This Row],[Población]], 0.05)), "")</f>
        <v>0.05</v>
      </c>
      <c r="S302" s="89">
        <f>IFERROR(IF(tblPiNAnalysis[[#This Row],[SAL]]="", "", MROUND(tblPiNAnalysis[[#This Row],[SAL]]/tblPiNAnalysis[[#This Row],[Población]], 0.05)), "")</f>
        <v>0.35000000000000003</v>
      </c>
      <c r="T302" s="89">
        <f>IFERROR(IF(tblPiNAnalysis[[#This Row],[EDU]]="", "", MROUND(tblPiNAnalysis[[#This Row],[EDU]]/tblPiNAnalysis[[#This Row],[Población]], 0.05)), "")</f>
        <v>0.05</v>
      </c>
      <c r="U302" s="89">
        <f>IFERROR(IF(tblPiNAnalysis[[#This Row],[PRO]]="", "", MROUND(tblPiNAnalysis[[#This Row],[PRO]]/tblPiNAnalysis[[#This Row],[Población]], 0.05)), "")</f>
        <v>0.1</v>
      </c>
      <c r="V302" s="90">
        <f>IFERROR(IF(tblPiNAnalysis[[#This Row],[ASH]]="", "", MROUND(tblPiNAnalysis[[#This Row],[ASH]]/tblPiNAnalysis[[#This Row],[Población]], 0.05)), "")</f>
        <v>0</v>
      </c>
      <c r="W302" s="89">
        <f>IFERROR(MROUND(tblPiNAnalysis[[#This Row],[NNA]]/tblPiNAnalysis[[#This Row],[Población]], 0.05), "")</f>
        <v>0.05</v>
      </c>
      <c r="X302" s="89">
        <f>IFERROR(MROUND(tblPiNAnalysis[[#This Row],[VBG]]/tblPiNAnalysis[[#This Row],[Población]], 0.05), "")</f>
        <v>0.05</v>
      </c>
      <c r="Y302" s="91">
        <f>IFERROR(LARGE(tblPiNAnalysis[[#This Row],[SAMV]:[ASH]], 1), "")</f>
        <v>13015</v>
      </c>
      <c r="Z302" s="92" t="str" cm="1">
        <f t="array" ref="Z302">IF(tblPiNAnalysis[[#This Row],[PiN más alto]]="", "", _xlfn.TEXTJOIN(CHAR(10), TRUE, IF(tblPiNAnalysis[[#This Row],[PiN más alto]]=tblPiNAnalysis[[#This Row],[SAMV]:[ASH]], tblPiNAnalysis[[#Headers],[SAMV]:[ASH]], "")))</f>
        <v>SAMV</v>
      </c>
      <c r="AA302" s="93">
        <f>IF(tblPiNAnalysis[[#This Row],[PiN más alto]]="", "", tblPiNAnalysis[[#This Row],[PiN más alto]]/tblPiNAnalysis[[#This Row],[Población]])</f>
        <v>0.72225305216426194</v>
      </c>
      <c r="AB302" s="94" t="str">
        <f>IF(SUM(tblPiNAnalysis[[#This Row],[SAMV]:[ASH]])=0, "",IF(COUNTIF(tblPiNAnalysis[[#This Row],[SAMV]:[ASH]],"=0")+COUNTIF(tblPiNAnalysis[[#This Row],[SAMV]:[ASH]],"")&gt;=zero_pin_thresh, "Flagged", ""))</f>
        <v/>
      </c>
      <c r="AC302" s="95" t="str">
        <f>IFERROR(IF(tblPiNAnalysis[[#This Row],[PiN más alto]]="", "", IF(tblPiNAnalysis[[#This Row],[% PiN Sectores más altos]]&gt;=flag_pin_perc, "Flagged", "")), "")</f>
        <v/>
      </c>
      <c r="AD302" s="96" t="str" cm="1">
        <f t="array" ref="AD302">IF(tblPiNAnalysis[[#This Row],[PiN más alto]]=0, "",  IF(OR(COUNTIF(tblPiNAnalysis[[#This Row],[Sectores más altos]],tblSubSectorPopulation[Sector])), "Flagged", ""))</f>
        <v/>
      </c>
      <c r="AE302" s="16" cm="1">
        <f t="array" ref="AE30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6577.3</v>
      </c>
      <c r="AF302" s="97" t="str" cm="1">
        <f t="array" ref="AF302">IF(tblPiNAnalysis[[#This Row],[2º PiN más alto]]="", "", _xlfn.TEXTJOIN(CHAR(10), TRUE, IF(tblPiNAnalysis[[#This Row],[2º PiN más alto]]=tblPiNAnalysis[[#This Row],[SAMV]:[ASH]], tblPiNAnalysis[[#Headers],[SAMV]:[ASH]], "")))</f>
        <v>SAL</v>
      </c>
      <c r="AG302" s="12">
        <f>IFERROR(tblPiNAnalysis[[#This Row],[2º PiN más alto]]/tblPiNAnalysis[[#This Row],[Población]], "")</f>
        <v>0.36499999999999999</v>
      </c>
      <c r="AH302" s="16">
        <f>IFERROR(tblPiNAnalysis[[#This Row],[PiN más alto]]-tblPiNAnalysis[[#This Row],[2º PiN más alto]], "")</f>
        <v>6437.7</v>
      </c>
      <c r="AI302" s="14">
        <f>IFERROR(((tblPiNAnalysis[[#This Row],[PiN más alto]]-tblPiNAnalysis[[#This Row],[2º PiN más alto]])/tblPiNAnalysis[[#This Row],[2º PiN más alto]]),"")</f>
        <v>0.97877548538153947</v>
      </c>
      <c r="AJ302" s="14" t="str" cm="1">
        <f t="array" ref="AJ30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02" s="98" cm="1">
        <f t="array" ref="AK30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1709.6537501938551</v>
      </c>
      <c r="AL302" s="53" t="str" cm="1">
        <f t="array" ref="AL302">IF(tblPiNAnalysis[[#This Row],[3º PiN más alto]]="", "", _xlfn.TEXTJOIN(CHAR(10), TRUE, IF(tblPiNAnalysis[[#This Row],[3º PiN más alto]]=tblPiNAnalysis[[#This Row],[SAMV]:[ASH]], tblPiNAnalysis[[#Headers],[SAMV]:[ASH]], "")))</f>
        <v>PRO</v>
      </c>
      <c r="AM302" s="53">
        <f>IFERROR(tblPiNAnalysis[[#This Row],[3º PiN más alto]]/tblPiNAnalysis[[#This Row],[Población]], "")</f>
        <v>9.4875346847605721E-2</v>
      </c>
      <c r="AN302" s="15">
        <f>IFERROR(tblPiNAnalysis[[#This Row],[PiN más alto]]-tblPiNAnalysis[[#This Row],[3º PiN más alto]],"")</f>
        <v>11305.346249806145</v>
      </c>
      <c r="AO302" s="14">
        <f>IFERROR(tblPiNAnalysis[[#This Row],[Diferencia de PiN entre el más alto y el 3º más alto]]/tblPiNAnalysis[[#This Row],[3º PiN más alto]], "")</f>
        <v>6.6126525610956302</v>
      </c>
      <c r="AP302" s="96" t="str" cm="1">
        <f t="array" ref="AP30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02" s="84" cm="1">
        <f t="array" ref="AQ302">IFERROR(IF(tblPiNAnalysis[[#This Row],[ID]]="", "", INDEX(tblPiNHistorical[[SAMV]:[ASH]], MATCH(tblPiNAnalysis[[#This Row],[ID]],tblPiNHistorical[ID], 0),MATCH(_xlfn._xlws.FILTER(tblPiNAnalysis[[#Headers],[SAMV]:[ASH]], tblPiNAnalysis[[#This Row],[PiN más alto]]=tblPiNAnalysis[[#This Row],[SAMV]:[ASH]]), tblPiNHistorical[[#Headers],[SAMV]:[ASH]], 0))), "")</f>
        <v>0.9</v>
      </c>
      <c r="AR302" s="99" t="str" cm="1">
        <f t="array" ref="AR30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02" s="74" cm="1">
        <f t="array" ref="AS302">IFERROR(IF(tblPiNAnalysis[[#This Row],[ID]]="", "", INDEX(tblPiNHistorical[[SAMV]:[ASH]], MATCH(tblPiNAnalysis[[#This Row],[ID]],tblPiNHistorical[ID], 0),MATCH(_xlfn._xlws.FILTER(tblPiNAnalysis[[#Headers],[SAMV]:[ASH]], tblPiNAnalysis[[#This Row],[2º PiN más alto]]=tblPiNAnalysis[[#This Row],[SAMV]:[ASH]]), tblPiNHistorical[[#Headers],[SAMV]:[ASH]], 0))), "")</f>
        <v>-0.3</v>
      </c>
      <c r="AT302" s="100" t="str" cm="1">
        <f t="array" ref="AT30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02" s="219">
        <f>INDEX(tblSeverityAnalysis[Severidad final], MATCH(tblPiNAnalysis[[#This Row],[ID]],tblSeverityAnalysis[ID], 0))</f>
        <v>2</v>
      </c>
      <c r="AV302" s="220">
        <f>IF(tblPiNAnalysis[[#This Row],[Severidad]]&gt;2,tblPiNAnalysis[[#This Row],[PiN más alto]],)</f>
        <v>0</v>
      </c>
      <c r="AW302" s="54"/>
      <c r="AX302" s="55"/>
      <c r="AY302" s="56">
        <f>COUNTIFS(tblPiNAnalysis[[#This Row],[Número de PiN ausentes/cero superior al umbral - Calidad de los datos]:[Marcador manual]],"Flagged")</f>
        <v>2</v>
      </c>
      <c r="AZ302" s="34" t="str">
        <f>IF(tblPiNAnalysis[[#This Row],[Número de marcadores]]&gt;0, "Flagged", "")</f>
        <v>Flagged</v>
      </c>
      <c r="BA302" s="92">
        <f>tblPiNAnalysis[[#This Row],[PiN preliminar]]</f>
        <v>0</v>
      </c>
      <c r="BB302" s="97"/>
      <c r="BC302" s="70">
        <f>IFERROR(IF(tblPiNAnalysis[[#This Row],[Severidad]]=3,tblPiNAnalysis[[#This Row],[PiN final]]*Umbrales!$D$33,tblPiNAnalysis[[#This Row],[PiN final]]*Umbrales!$D$34),)</f>
        <v>0</v>
      </c>
      <c r="BD302" s="70">
        <f>IFERROR(IF(tblPiNAnalysis[[#This Row],[Severidad]]&gt;3,tblPiNAnalysis[[#This Row],[PiN final]]*Umbrales!$D$34,),)</f>
        <v>0</v>
      </c>
    </row>
    <row r="303" spans="1:56">
      <c r="A303" s="101" t="str">
        <f>IFERROR(_xlfn.CONCAT(IF(tblPiNAnalysis[[#This Row],[Grupo]]="", "",tblPiNAnalysis[[#This Row],[Grupo]] ),  _xlfn.IFS(tblPiNAnalysis[[#This Row],[Admin2PCODE]]&lt;&gt;"", tblPiNAnalysis[[#This Row],[Admin2PCODE]], tblPiNAnalysis[[#This Row],[Admin1PCODE]]&lt;&gt;"", tblPiNAnalysis[[#This Row],[Admin1PCODE]])),"")</f>
        <v>VenezolanosVE1813</v>
      </c>
      <c r="B303" s="105" t="s">
        <v>536</v>
      </c>
      <c r="C303" s="104" t="s">
        <v>537</v>
      </c>
      <c r="D303" s="119" t="s">
        <v>203</v>
      </c>
      <c r="E303" s="104" t="s">
        <v>561</v>
      </c>
      <c r="F303" s="358"/>
      <c r="G303" s="357">
        <v>41965</v>
      </c>
      <c r="H303" s="103" t="s">
        <v>102</v>
      </c>
      <c r="I303" s="60">
        <v>22381</v>
      </c>
      <c r="J303" s="134">
        <v>1706.8130058593465</v>
      </c>
      <c r="K303" s="57">
        <v>15317.225</v>
      </c>
      <c r="L303" s="87">
        <v>1612.6245805246131</v>
      </c>
      <c r="M303" s="87">
        <v>3981.4439304597754</v>
      </c>
      <c r="N303" s="57">
        <v>0</v>
      </c>
      <c r="O303" s="57">
        <v>1274.0620577471282</v>
      </c>
      <c r="P303" s="57">
        <v>1393.5053756609209</v>
      </c>
      <c r="Q303" s="88">
        <f>IFERROR(IF(tblPiNAnalysis[[#This Row],[SAMV]]="", "", MROUND(tblPiNAnalysis[[#This Row],[SAMV]]/tblPiNAnalysis[[#This Row],[Población]], 0.05)), "")</f>
        <v>0.55000000000000004</v>
      </c>
      <c r="R303" s="89">
        <f>IFERROR(IF(tblPiNAnalysis[[#This Row],[NUT]]="", "", MROUND(tblPiNAnalysis[[#This Row],[NUT]]/tblPiNAnalysis[[#This Row],[Población]], 0.05)), "")</f>
        <v>0.05</v>
      </c>
      <c r="S303" s="89">
        <f>IFERROR(IF(tblPiNAnalysis[[#This Row],[SAL]]="", "", MROUND(tblPiNAnalysis[[#This Row],[SAL]]/tblPiNAnalysis[[#This Row],[Población]], 0.05)), "")</f>
        <v>0.35000000000000003</v>
      </c>
      <c r="T303" s="89">
        <f>IFERROR(IF(tblPiNAnalysis[[#This Row],[EDU]]="", "", MROUND(tblPiNAnalysis[[#This Row],[EDU]]/tblPiNAnalysis[[#This Row],[Población]], 0.05)), "")</f>
        <v>0.05</v>
      </c>
      <c r="U303" s="89">
        <f>IFERROR(IF(tblPiNAnalysis[[#This Row],[PRO]]="", "", MROUND(tblPiNAnalysis[[#This Row],[PRO]]/tblPiNAnalysis[[#This Row],[Población]], 0.05)), "")</f>
        <v>0.1</v>
      </c>
      <c r="V303" s="90">
        <f>IFERROR(IF(tblPiNAnalysis[[#This Row],[ASH]]="", "", MROUND(tblPiNAnalysis[[#This Row],[ASH]]/tblPiNAnalysis[[#This Row],[Población]], 0.05)), "")</f>
        <v>0</v>
      </c>
      <c r="W303" s="89">
        <f>IFERROR(MROUND(tblPiNAnalysis[[#This Row],[NNA]]/tblPiNAnalysis[[#This Row],[Población]], 0.05), "")</f>
        <v>0.05</v>
      </c>
      <c r="X303" s="89">
        <f>IFERROR(MROUND(tblPiNAnalysis[[#This Row],[VBG]]/tblPiNAnalysis[[#This Row],[Población]], 0.05), "")</f>
        <v>0.05</v>
      </c>
      <c r="Y303" s="91">
        <f>IFERROR(LARGE(tblPiNAnalysis[[#This Row],[SAMV]:[ASH]], 1), "")</f>
        <v>22381</v>
      </c>
      <c r="Z303" s="92" t="str" cm="1">
        <f t="array" ref="Z303">IF(tblPiNAnalysis[[#This Row],[PiN más alto]]="", "", _xlfn.TEXTJOIN(CHAR(10), TRUE, IF(tblPiNAnalysis[[#This Row],[PiN más alto]]=tblPiNAnalysis[[#This Row],[SAMV]:[ASH]], tblPiNAnalysis[[#Headers],[SAMV]:[ASH]], "")))</f>
        <v>SAMV</v>
      </c>
      <c r="AA303" s="93">
        <f>IF(tblPiNAnalysis[[#This Row],[PiN más alto]]="", "", tblPiNAnalysis[[#This Row],[PiN más alto]]/tblPiNAnalysis[[#This Row],[Población]])</f>
        <v>0.53332539020612413</v>
      </c>
      <c r="AB303" s="94" t="str">
        <f>IF(SUM(tblPiNAnalysis[[#This Row],[SAMV]:[ASH]])=0, "",IF(COUNTIF(tblPiNAnalysis[[#This Row],[SAMV]:[ASH]],"=0")+COUNTIF(tblPiNAnalysis[[#This Row],[SAMV]:[ASH]],"")&gt;=zero_pin_thresh, "Flagged", ""))</f>
        <v/>
      </c>
      <c r="AC303" s="95" t="str">
        <f>IFERROR(IF(tblPiNAnalysis[[#This Row],[PiN más alto]]="", "", IF(tblPiNAnalysis[[#This Row],[% PiN Sectores más altos]]&gt;=flag_pin_perc, "Flagged", "")), "")</f>
        <v/>
      </c>
      <c r="AD303" s="96" t="str" cm="1">
        <f t="array" ref="AD303">IF(tblPiNAnalysis[[#This Row],[PiN más alto]]=0, "",  IF(OR(COUNTIF(tblPiNAnalysis[[#This Row],[Sectores más altos]],tblSubSectorPopulation[Sector])), "Flagged", ""))</f>
        <v/>
      </c>
      <c r="AE303" s="16" cm="1">
        <f t="array" ref="AE30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15317.225</v>
      </c>
      <c r="AF303" s="97" t="str" cm="1">
        <f t="array" ref="AF303">IF(tblPiNAnalysis[[#This Row],[2º PiN más alto]]="", "", _xlfn.TEXTJOIN(CHAR(10), TRUE, IF(tblPiNAnalysis[[#This Row],[2º PiN más alto]]=tblPiNAnalysis[[#This Row],[SAMV]:[ASH]], tblPiNAnalysis[[#Headers],[SAMV]:[ASH]], "")))</f>
        <v>SAL</v>
      </c>
      <c r="AG303" s="12">
        <f>IFERROR(tblPiNAnalysis[[#This Row],[2º PiN más alto]]/tblPiNAnalysis[[#This Row],[Población]], "")</f>
        <v>0.36499999999999999</v>
      </c>
      <c r="AH303" s="16">
        <f>IFERROR(tblPiNAnalysis[[#This Row],[PiN más alto]]-tblPiNAnalysis[[#This Row],[2º PiN más alto]], "")</f>
        <v>7063.7749999999996</v>
      </c>
      <c r="AI303" s="14">
        <f>IFERROR(((tblPiNAnalysis[[#This Row],[PiN más alto]]-tblPiNAnalysis[[#This Row],[2º PiN más alto]])/tblPiNAnalysis[[#This Row],[2º PiN más alto]]),"")</f>
        <v>0.46116545261951819</v>
      </c>
      <c r="AJ303" s="14" t="str" cm="1">
        <f t="array" ref="AJ30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03" s="98" cm="1">
        <f t="array" ref="AK30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3981.4439304597754</v>
      </c>
      <c r="AL303" s="53" t="str" cm="1">
        <f t="array" ref="AL303">IF(tblPiNAnalysis[[#This Row],[3º PiN más alto]]="", "", _xlfn.TEXTJOIN(CHAR(10), TRUE, IF(tblPiNAnalysis[[#This Row],[3º PiN más alto]]=tblPiNAnalysis[[#This Row],[SAMV]:[ASH]], tblPiNAnalysis[[#Headers],[SAMV]:[ASH]], "")))</f>
        <v>PRO</v>
      </c>
      <c r="AM303" s="53">
        <f>IFERROR(tblPiNAnalysis[[#This Row],[3º PiN más alto]]/tblPiNAnalysis[[#This Row],[Población]], "")</f>
        <v>9.4875346847605749E-2</v>
      </c>
      <c r="AN303" s="15">
        <f>IFERROR(tblPiNAnalysis[[#This Row],[PiN más alto]]-tblPiNAnalysis[[#This Row],[3º PiN más alto]],"")</f>
        <v>18399.556069540224</v>
      </c>
      <c r="AO303" s="14">
        <f>IFERROR(tblPiNAnalysis[[#This Row],[Diferencia de PiN entre el más alto y el 3º más alto]]/tblPiNAnalysis[[#This Row],[3º PiN más alto]], "")</f>
        <v>4.6213274357013114</v>
      </c>
      <c r="AP303" s="96" t="str" cm="1">
        <f t="array" ref="AP30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03" s="84" cm="1">
        <f t="array" ref="AQ303">IFERROR(IF(tblPiNAnalysis[[#This Row],[ID]]="", "", INDEX(tblPiNHistorical[[SAMV]:[ASH]], MATCH(tblPiNAnalysis[[#This Row],[ID]],tblPiNHistorical[ID], 0),MATCH(_xlfn._xlws.FILTER(tblPiNAnalysis[[#Headers],[SAMV]:[ASH]], tblPiNAnalysis[[#This Row],[PiN más alto]]=tblPiNAnalysis[[#This Row],[SAMV]:[ASH]]), tblPiNHistorical[[#Headers],[SAMV]:[ASH]], 0))), "")</f>
        <v>-0.3</v>
      </c>
      <c r="AR303" s="99" t="str" cm="1">
        <f t="array" ref="AR30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03" s="74" cm="1">
        <f t="array" ref="AS303">IFERROR(IF(tblPiNAnalysis[[#This Row],[ID]]="", "", INDEX(tblPiNHistorical[[SAMV]:[ASH]], MATCH(tblPiNAnalysis[[#This Row],[ID]],tblPiNHistorical[ID], 0),MATCH(_xlfn._xlws.FILTER(tblPiNAnalysis[[#Headers],[SAMV]:[ASH]], tblPiNAnalysis[[#This Row],[2º PiN más alto]]=tblPiNAnalysis[[#This Row],[SAMV]:[ASH]]), tblPiNHistorical[[#Headers],[SAMV]:[ASH]], 0))), "")</f>
        <v>-0.4</v>
      </c>
      <c r="AT303" s="100" t="str" cm="1">
        <f t="array" ref="AT30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03" s="219">
        <f>INDEX(tblSeverityAnalysis[Severidad final], MATCH(tblPiNAnalysis[[#This Row],[ID]],tblSeverityAnalysis[ID], 0))</f>
        <v>2</v>
      </c>
      <c r="AV303" s="220">
        <f>IF(tblPiNAnalysis[[#This Row],[Severidad]]&gt;2,tblPiNAnalysis[[#This Row],[PiN más alto]],)</f>
        <v>0</v>
      </c>
      <c r="AW303" s="54"/>
      <c r="AX303" s="55"/>
      <c r="AY303" s="56">
        <f>COUNTIFS(tblPiNAnalysis[[#This Row],[Número de PiN ausentes/cero superior al umbral - Calidad de los datos]:[Marcador manual]],"Flagged")</f>
        <v>2</v>
      </c>
      <c r="AZ303" s="34" t="str">
        <f>IF(tblPiNAnalysis[[#This Row],[Número de marcadores]]&gt;0, "Flagged", "")</f>
        <v>Flagged</v>
      </c>
      <c r="BA303" s="92">
        <f>tblPiNAnalysis[[#This Row],[PiN preliminar]]</f>
        <v>0</v>
      </c>
      <c r="BB303" s="97"/>
      <c r="BC303" s="70">
        <f>IFERROR(IF(tblPiNAnalysis[[#This Row],[Severidad]]=3,tblPiNAnalysis[[#This Row],[PiN final]]*Umbrales!$D$33,tblPiNAnalysis[[#This Row],[PiN final]]*Umbrales!$D$34),)</f>
        <v>0</v>
      </c>
      <c r="BD303" s="70">
        <f>IFERROR(IF(tblPiNAnalysis[[#This Row],[Severidad]]&gt;3,tblPiNAnalysis[[#This Row],[PiN final]]*Umbrales!$D$34,),)</f>
        <v>0</v>
      </c>
    </row>
    <row r="304" spans="1:56">
      <c r="A304" s="101" t="str">
        <f>IFERROR(_xlfn.CONCAT(IF(tblPiNAnalysis[[#This Row],[Grupo]]="", "",tblPiNAnalysis[[#This Row],[Grupo]] ),  _xlfn.IFS(tblPiNAnalysis[[#This Row],[Admin2PCODE]]&lt;&gt;"", tblPiNAnalysis[[#This Row],[Admin2PCODE]], tblPiNAnalysis[[#This Row],[Admin1PCODE]]&lt;&gt;"", tblPiNAnalysis[[#This Row],[Admin1PCODE]])),"")</f>
        <v>VenezolanosVE1902</v>
      </c>
      <c r="B304" s="105" t="s">
        <v>203</v>
      </c>
      <c r="C304" s="104" t="s">
        <v>564</v>
      </c>
      <c r="D304" s="119" t="s">
        <v>566</v>
      </c>
      <c r="E304" s="104" t="s">
        <v>567</v>
      </c>
      <c r="F304" s="358"/>
      <c r="G304" s="357">
        <v>20531</v>
      </c>
      <c r="H304" s="103" t="s">
        <v>102</v>
      </c>
      <c r="I304" s="60">
        <v>6501</v>
      </c>
      <c r="J304" s="134">
        <v>1216.7153240588023</v>
      </c>
      <c r="K304" s="57">
        <v>7493.8149999999996</v>
      </c>
      <c r="L304" s="87">
        <v>774.02808328521144</v>
      </c>
      <c r="M304" s="87">
        <v>4914.8182192002769</v>
      </c>
      <c r="N304" s="57">
        <v>0</v>
      </c>
      <c r="O304" s="57">
        <v>1577.6566483632889</v>
      </c>
      <c r="P304" s="57">
        <v>1720.1863767200966</v>
      </c>
      <c r="Q304" s="88">
        <f>IFERROR(IF(tblPiNAnalysis[[#This Row],[SAMV]]="", "", MROUND(tblPiNAnalysis[[#This Row],[SAMV]]/tblPiNAnalysis[[#This Row],[Población]], 0.05)), "")</f>
        <v>0.30000000000000004</v>
      </c>
      <c r="R304" s="89">
        <f>IFERROR(IF(tblPiNAnalysis[[#This Row],[NUT]]="", "", MROUND(tblPiNAnalysis[[#This Row],[NUT]]/tblPiNAnalysis[[#This Row],[Población]], 0.05)), "")</f>
        <v>0.05</v>
      </c>
      <c r="S304" s="89">
        <f>IFERROR(IF(tblPiNAnalysis[[#This Row],[SAL]]="", "", MROUND(tblPiNAnalysis[[#This Row],[SAL]]/tblPiNAnalysis[[#This Row],[Población]], 0.05)), "")</f>
        <v>0.35000000000000003</v>
      </c>
      <c r="T304" s="89">
        <f>IFERROR(IF(tblPiNAnalysis[[#This Row],[EDU]]="", "", MROUND(tblPiNAnalysis[[#This Row],[EDU]]/tblPiNAnalysis[[#This Row],[Población]], 0.05)), "")</f>
        <v>0.05</v>
      </c>
      <c r="U304" s="89">
        <f>IFERROR(IF(tblPiNAnalysis[[#This Row],[PRO]]="", "", MROUND(tblPiNAnalysis[[#This Row],[PRO]]/tblPiNAnalysis[[#This Row],[Población]], 0.05)), "")</f>
        <v>0.25</v>
      </c>
      <c r="V304" s="90">
        <f>IFERROR(IF(tblPiNAnalysis[[#This Row],[ASH]]="", "", MROUND(tblPiNAnalysis[[#This Row],[ASH]]/tblPiNAnalysis[[#This Row],[Población]], 0.05)), "")</f>
        <v>0</v>
      </c>
      <c r="W304" s="89">
        <f>IFERROR(MROUND(tblPiNAnalysis[[#This Row],[NNA]]/tblPiNAnalysis[[#This Row],[Población]], 0.05), "")</f>
        <v>0.1</v>
      </c>
      <c r="X304" s="89">
        <f>IFERROR(MROUND(tblPiNAnalysis[[#This Row],[VBG]]/tblPiNAnalysis[[#This Row],[Población]], 0.05), "")</f>
        <v>0.1</v>
      </c>
      <c r="Y304" s="91">
        <f>IFERROR(LARGE(tblPiNAnalysis[[#This Row],[SAMV]:[ASH]], 1), "")</f>
        <v>7493.8149999999996</v>
      </c>
      <c r="Z304" s="92" t="str" cm="1">
        <f t="array" ref="Z304">IF(tblPiNAnalysis[[#This Row],[PiN más alto]]="", "", _xlfn.TEXTJOIN(CHAR(10), TRUE, IF(tblPiNAnalysis[[#This Row],[PiN más alto]]=tblPiNAnalysis[[#This Row],[SAMV]:[ASH]], tblPiNAnalysis[[#Headers],[SAMV]:[ASH]], "")))</f>
        <v>SAL</v>
      </c>
      <c r="AA304" s="93">
        <f>IF(tblPiNAnalysis[[#This Row],[PiN más alto]]="", "", tblPiNAnalysis[[#This Row],[PiN más alto]]/tblPiNAnalysis[[#This Row],[Población]])</f>
        <v>0.36499999999999999</v>
      </c>
      <c r="AB304" s="94" t="str">
        <f>IF(SUM(tblPiNAnalysis[[#This Row],[SAMV]:[ASH]])=0, "",IF(COUNTIF(tblPiNAnalysis[[#This Row],[SAMV]:[ASH]],"=0")+COUNTIF(tblPiNAnalysis[[#This Row],[SAMV]:[ASH]],"")&gt;=zero_pin_thresh, "Flagged", ""))</f>
        <v/>
      </c>
      <c r="AC304" s="95" t="str">
        <f>IFERROR(IF(tblPiNAnalysis[[#This Row],[PiN más alto]]="", "", IF(tblPiNAnalysis[[#This Row],[% PiN Sectores más altos]]&gt;=flag_pin_perc, "Flagged", "")), "")</f>
        <v/>
      </c>
      <c r="AD304" s="96" t="str" cm="1">
        <f t="array" ref="AD304">IF(tblPiNAnalysis[[#This Row],[PiN más alto]]=0, "",  IF(OR(COUNTIF(tblPiNAnalysis[[#This Row],[Sectores más altos]],tblSubSectorPopulation[Sector])), "Flagged", ""))</f>
        <v/>
      </c>
      <c r="AE304" s="16" cm="1">
        <f t="array" ref="AE30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6501</v>
      </c>
      <c r="AF304" s="97" t="str" cm="1">
        <f t="array" ref="AF304">IF(tblPiNAnalysis[[#This Row],[2º PiN más alto]]="", "", _xlfn.TEXTJOIN(CHAR(10), TRUE, IF(tblPiNAnalysis[[#This Row],[2º PiN más alto]]=tblPiNAnalysis[[#This Row],[SAMV]:[ASH]], tblPiNAnalysis[[#Headers],[SAMV]:[ASH]], "")))</f>
        <v>SAMV</v>
      </c>
      <c r="AG304" s="12">
        <f>IFERROR(tblPiNAnalysis[[#This Row],[2º PiN más alto]]/tblPiNAnalysis[[#This Row],[Población]], "")</f>
        <v>0.31664312503044179</v>
      </c>
      <c r="AH304" s="16">
        <f>IFERROR(tblPiNAnalysis[[#This Row],[PiN más alto]]-tblPiNAnalysis[[#This Row],[2º PiN más alto]], "")</f>
        <v>992.8149999999996</v>
      </c>
      <c r="AI304" s="14">
        <f>IFERROR(((tblPiNAnalysis[[#This Row],[PiN más alto]]-tblPiNAnalysis[[#This Row],[2º PiN más alto]])/tblPiNAnalysis[[#This Row],[2º PiN más alto]]),"")</f>
        <v>0.15271727426549755</v>
      </c>
      <c r="AJ304" s="14" t="str" cm="1">
        <f t="array" ref="AJ30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04" s="98" cm="1">
        <f t="array" ref="AK30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4914.8182192002769</v>
      </c>
      <c r="AL304" s="53" t="str" cm="1">
        <f t="array" ref="AL304">IF(tblPiNAnalysis[[#This Row],[3º PiN más alto]]="", "", _xlfn.TEXTJOIN(CHAR(10), TRUE, IF(tblPiNAnalysis[[#This Row],[3º PiN más alto]]=tblPiNAnalysis[[#This Row],[SAMV]:[ASH]], tblPiNAnalysis[[#Headers],[SAMV]:[ASH]], "")))</f>
        <v>PRO</v>
      </c>
      <c r="AM304" s="53">
        <f>IFERROR(tblPiNAnalysis[[#This Row],[3º PiN más alto]]/tblPiNAnalysis[[#This Row],[Población]], "")</f>
        <v>0.23938523302324666</v>
      </c>
      <c r="AN304" s="15">
        <f>IFERROR(tblPiNAnalysis[[#This Row],[PiN más alto]]-tblPiNAnalysis[[#This Row],[3º PiN más alto]],"")</f>
        <v>2578.9967807997227</v>
      </c>
      <c r="AO304" s="14">
        <f>IFERROR(tblPiNAnalysis[[#This Row],[Diferencia de PiN entre el más alto y el 3º más alto]]/tblPiNAnalysis[[#This Row],[3º PiN más alto]], "")</f>
        <v>0.52473899659698275</v>
      </c>
      <c r="AP304" s="96" t="str" cm="1">
        <f t="array" ref="AP30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04" s="84" cm="1">
        <f t="array" ref="AQ304">IFERROR(IF(tblPiNAnalysis[[#This Row],[ID]]="", "", INDEX(tblPiNHistorical[[SAMV]:[ASH]], MATCH(tblPiNAnalysis[[#This Row],[ID]],tblPiNHistorical[ID], 0),MATCH(_xlfn._xlws.FILTER(tblPiNAnalysis[[#Headers],[SAMV]:[ASH]], tblPiNAnalysis[[#This Row],[PiN más alto]]=tblPiNAnalysis[[#This Row],[SAMV]:[ASH]]), tblPiNHistorical[[#Headers],[SAMV]:[ASH]], 0))), "")</f>
        <v>2.5</v>
      </c>
      <c r="AR304" s="99" t="str" cm="1">
        <f t="array" ref="AR30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04" s="74" cm="1">
        <f t="array" ref="AS304">IFERROR(IF(tblPiNAnalysis[[#This Row],[ID]]="", "", INDEX(tblPiNHistorical[[SAMV]:[ASH]], MATCH(tblPiNAnalysis[[#This Row],[ID]],tblPiNHistorical[ID], 0),MATCH(_xlfn._xlws.FILTER(tblPiNAnalysis[[#Headers],[SAMV]:[ASH]], tblPiNAnalysis[[#This Row],[2º PiN más alto]]=tblPiNAnalysis[[#This Row],[SAMV]:[ASH]]), tblPiNHistorical[[#Headers],[SAMV]:[ASH]], 0))), "")</f>
        <v>2.9</v>
      </c>
      <c r="AT304" s="100" t="str" cm="1">
        <f t="array" ref="AT30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04" s="219">
        <f>INDEX(tblSeverityAnalysis[Severidad final], MATCH(tblPiNAnalysis[[#This Row],[ID]],tblSeverityAnalysis[ID], 0))</f>
        <v>2</v>
      </c>
      <c r="AV304" s="220">
        <f>IF(tblPiNAnalysis[[#This Row],[Severidad]]&gt;2,tblPiNAnalysis[[#This Row],[PiN más alto]],)</f>
        <v>0</v>
      </c>
      <c r="AW304" s="54"/>
      <c r="AX304" s="55"/>
      <c r="AY304" s="56">
        <f>COUNTIFS(tblPiNAnalysis[[#This Row],[Número de PiN ausentes/cero superior al umbral - Calidad de los datos]:[Marcador manual]],"Flagged")</f>
        <v>3</v>
      </c>
      <c r="AZ304" s="34" t="str">
        <f>IF(tblPiNAnalysis[[#This Row],[Número de marcadores]]&gt;0, "Flagged", "")</f>
        <v>Flagged</v>
      </c>
      <c r="BA304" s="92">
        <f>tblPiNAnalysis[[#This Row],[PiN preliminar]]</f>
        <v>0</v>
      </c>
      <c r="BB304" s="97"/>
      <c r="BC304" s="70">
        <f>IFERROR(IF(tblPiNAnalysis[[#This Row],[Severidad]]=3,tblPiNAnalysis[[#This Row],[PiN final]]*Umbrales!$D$33,tblPiNAnalysis[[#This Row],[PiN final]]*Umbrales!$D$34),)</f>
        <v>0</v>
      </c>
      <c r="BD304" s="70">
        <f>IFERROR(IF(tblPiNAnalysis[[#This Row],[Severidad]]&gt;3,tblPiNAnalysis[[#This Row],[PiN final]]*Umbrales!$D$34,),)</f>
        <v>0</v>
      </c>
    </row>
    <row r="305" spans="1:56">
      <c r="A305" s="101" t="str">
        <f>IFERROR(_xlfn.CONCAT(IF(tblPiNAnalysis[[#This Row],[Grupo]]="", "",tblPiNAnalysis[[#This Row],[Grupo]] ),  _xlfn.IFS(tblPiNAnalysis[[#This Row],[Admin2PCODE]]&lt;&gt;"", tblPiNAnalysis[[#This Row],[Admin2PCODE]], tblPiNAnalysis[[#This Row],[Admin1PCODE]]&lt;&gt;"", tblPiNAnalysis[[#This Row],[Admin1PCODE]])),"")</f>
        <v>VenezolanosVE2001</v>
      </c>
      <c r="B305" s="105" t="s">
        <v>589</v>
      </c>
      <c r="C305" s="104" t="s">
        <v>590</v>
      </c>
      <c r="D305" s="119" t="s">
        <v>415</v>
      </c>
      <c r="E305" s="104" t="s">
        <v>592</v>
      </c>
      <c r="F305" s="358"/>
      <c r="G305" s="357">
        <v>20820</v>
      </c>
      <c r="H305" s="103" t="s">
        <v>102</v>
      </c>
      <c r="I305" s="60">
        <v>5205</v>
      </c>
      <c r="J305" s="134">
        <v>617.64677181813954</v>
      </c>
      <c r="K305" s="57">
        <v>7599.3</v>
      </c>
      <c r="L305" s="87">
        <v>1512.7607018517988</v>
      </c>
      <c r="M305" s="87">
        <v>4167.6474701510706</v>
      </c>
      <c r="N305" s="57">
        <v>0</v>
      </c>
      <c r="O305" s="57">
        <v>1333.6471904483426</v>
      </c>
      <c r="P305" s="57">
        <v>1458.6766145528745</v>
      </c>
      <c r="Q305" s="88">
        <f>IFERROR(IF(tblPiNAnalysis[[#This Row],[SAMV]]="", "", MROUND(tblPiNAnalysis[[#This Row],[SAMV]]/tblPiNAnalysis[[#This Row],[Población]], 0.05)), "")</f>
        <v>0.25</v>
      </c>
      <c r="R305" s="89">
        <f>IFERROR(IF(tblPiNAnalysis[[#This Row],[NUT]]="", "", MROUND(tblPiNAnalysis[[#This Row],[NUT]]/tblPiNAnalysis[[#This Row],[Población]], 0.05)), "")</f>
        <v>0.05</v>
      </c>
      <c r="S305" s="89">
        <f>IFERROR(IF(tblPiNAnalysis[[#This Row],[SAL]]="", "", MROUND(tblPiNAnalysis[[#This Row],[SAL]]/tblPiNAnalysis[[#This Row],[Población]], 0.05)), "")</f>
        <v>0.35000000000000003</v>
      </c>
      <c r="T305" s="89">
        <f>IFERROR(IF(tblPiNAnalysis[[#This Row],[EDU]]="", "", MROUND(tblPiNAnalysis[[#This Row],[EDU]]/tblPiNAnalysis[[#This Row],[Población]], 0.05)), "")</f>
        <v>0.05</v>
      </c>
      <c r="U305" s="89">
        <f>IFERROR(IF(tblPiNAnalysis[[#This Row],[PRO]]="", "", MROUND(tblPiNAnalysis[[#This Row],[PRO]]/tblPiNAnalysis[[#This Row],[Población]], 0.05)), "")</f>
        <v>0.2</v>
      </c>
      <c r="V305" s="90">
        <f>IFERROR(IF(tblPiNAnalysis[[#This Row],[ASH]]="", "", MROUND(tblPiNAnalysis[[#This Row],[ASH]]/tblPiNAnalysis[[#This Row],[Población]], 0.05)), "")</f>
        <v>0</v>
      </c>
      <c r="W305" s="89">
        <f>IFERROR(MROUND(tblPiNAnalysis[[#This Row],[NNA]]/tblPiNAnalysis[[#This Row],[Población]], 0.05), "")</f>
        <v>0.05</v>
      </c>
      <c r="X305" s="89">
        <f>IFERROR(MROUND(tblPiNAnalysis[[#This Row],[VBG]]/tblPiNAnalysis[[#This Row],[Población]], 0.05), "")</f>
        <v>0.05</v>
      </c>
      <c r="Y305" s="91">
        <f>IFERROR(LARGE(tblPiNAnalysis[[#This Row],[SAMV]:[ASH]], 1), "")</f>
        <v>7599.3</v>
      </c>
      <c r="Z305" s="92" t="str" cm="1">
        <f t="array" ref="Z305">IF(tblPiNAnalysis[[#This Row],[PiN más alto]]="", "", _xlfn.TEXTJOIN(CHAR(10), TRUE, IF(tblPiNAnalysis[[#This Row],[PiN más alto]]=tblPiNAnalysis[[#This Row],[SAMV]:[ASH]], tblPiNAnalysis[[#Headers],[SAMV]:[ASH]], "")))</f>
        <v>SAL</v>
      </c>
      <c r="AA305" s="93">
        <f>IF(tblPiNAnalysis[[#This Row],[PiN más alto]]="", "", tblPiNAnalysis[[#This Row],[PiN más alto]]/tblPiNAnalysis[[#This Row],[Población]])</f>
        <v>0.36499999999999999</v>
      </c>
      <c r="AB305" s="94" t="str">
        <f>IF(SUM(tblPiNAnalysis[[#This Row],[SAMV]:[ASH]])=0, "",IF(COUNTIF(tblPiNAnalysis[[#This Row],[SAMV]:[ASH]],"=0")+COUNTIF(tblPiNAnalysis[[#This Row],[SAMV]:[ASH]],"")&gt;=zero_pin_thresh, "Flagged", ""))</f>
        <v/>
      </c>
      <c r="AC305" s="95" t="str">
        <f>IFERROR(IF(tblPiNAnalysis[[#This Row],[PiN más alto]]="", "", IF(tblPiNAnalysis[[#This Row],[% PiN Sectores más altos]]&gt;=flag_pin_perc, "Flagged", "")), "")</f>
        <v/>
      </c>
      <c r="AD305" s="96" t="str" cm="1">
        <f t="array" ref="AD305">IF(tblPiNAnalysis[[#This Row],[PiN más alto]]=0, "",  IF(OR(COUNTIF(tblPiNAnalysis[[#This Row],[Sectores más altos]],tblSubSectorPopulation[Sector])), "Flagged", ""))</f>
        <v/>
      </c>
      <c r="AE305" s="16" cm="1">
        <f t="array" ref="AE30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5205</v>
      </c>
      <c r="AF305" s="97" t="str" cm="1">
        <f t="array" ref="AF305">IF(tblPiNAnalysis[[#This Row],[2º PiN más alto]]="", "", _xlfn.TEXTJOIN(CHAR(10), TRUE, IF(tblPiNAnalysis[[#This Row],[2º PiN más alto]]=tblPiNAnalysis[[#This Row],[SAMV]:[ASH]], tblPiNAnalysis[[#Headers],[SAMV]:[ASH]], "")))</f>
        <v>SAMV</v>
      </c>
      <c r="AG305" s="12">
        <f>IFERROR(tblPiNAnalysis[[#This Row],[2º PiN más alto]]/tblPiNAnalysis[[#This Row],[Población]], "")</f>
        <v>0.25</v>
      </c>
      <c r="AH305" s="16">
        <f>IFERROR(tblPiNAnalysis[[#This Row],[PiN más alto]]-tblPiNAnalysis[[#This Row],[2º PiN más alto]], "")</f>
        <v>2394.3000000000002</v>
      </c>
      <c r="AI305" s="14">
        <f>IFERROR(((tblPiNAnalysis[[#This Row],[PiN más alto]]-tblPiNAnalysis[[#This Row],[2º PiN más alto]])/tblPiNAnalysis[[#This Row],[2º PiN más alto]]),"")</f>
        <v>0.46</v>
      </c>
      <c r="AJ305" s="14" t="str" cm="1">
        <f t="array" ref="AJ30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05" s="98" cm="1">
        <f t="array" ref="AK30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4167.6474701510706</v>
      </c>
      <c r="AL305" s="53" t="str" cm="1">
        <f t="array" ref="AL305">IF(tblPiNAnalysis[[#This Row],[3º PiN más alto]]="", "", _xlfn.TEXTJOIN(CHAR(10), TRUE, IF(tblPiNAnalysis[[#This Row],[3º PiN más alto]]=tblPiNAnalysis[[#This Row],[SAMV]:[ASH]], tblPiNAnalysis[[#Headers],[SAMV]:[ASH]], "")))</f>
        <v>PRO</v>
      </c>
      <c r="AM305" s="53">
        <f>IFERROR(tblPiNAnalysis[[#This Row],[3º PiN más alto]]/tblPiNAnalysis[[#This Row],[Población]], "")</f>
        <v>0.20017519068929254</v>
      </c>
      <c r="AN305" s="15">
        <f>IFERROR(tblPiNAnalysis[[#This Row],[PiN más alto]]-tblPiNAnalysis[[#This Row],[3º PiN más alto]],"")</f>
        <v>3431.6525298489296</v>
      </c>
      <c r="AO305" s="14">
        <f>IFERROR(tblPiNAnalysis[[#This Row],[Diferencia de PiN entre el más alto y el 3º más alto]]/tblPiNAnalysis[[#This Row],[3º PiN más alto]], "")</f>
        <v>0.82340278404702438</v>
      </c>
      <c r="AP305" s="96" t="str" cm="1">
        <f t="array" ref="AP30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05" s="84" cm="1">
        <f t="array" ref="AQ305">IFERROR(IF(tblPiNAnalysis[[#This Row],[ID]]="", "", INDEX(tblPiNHistorical[[SAMV]:[ASH]], MATCH(tblPiNAnalysis[[#This Row],[ID]],tblPiNHistorical[ID], 0),MATCH(_xlfn._xlws.FILTER(tblPiNAnalysis[[#Headers],[SAMV]:[ASH]], tblPiNAnalysis[[#This Row],[PiN más alto]]=tblPiNAnalysis[[#This Row],[SAMV]:[ASH]]), tblPiNHistorical[[#Headers],[SAMV]:[ASH]], 0))), "")</f>
        <v>2.4</v>
      </c>
      <c r="AR305" s="99" t="str" cm="1">
        <f t="array" ref="AR30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05" s="74" cm="1">
        <f t="array" ref="AS305">IFERROR(IF(tblPiNAnalysis[[#This Row],[ID]]="", "", INDEX(tblPiNHistorical[[SAMV]:[ASH]], MATCH(tblPiNAnalysis[[#This Row],[ID]],tblPiNHistorical[ID], 0),MATCH(_xlfn._xlws.FILTER(tblPiNAnalysis[[#Headers],[SAMV]:[ASH]], tblPiNAnalysis[[#This Row],[2º PiN más alto]]=tblPiNAnalysis[[#This Row],[SAMV]:[ASH]]), tblPiNHistorical[[#Headers],[SAMV]:[ASH]], 0))), "")</f>
        <v>1.4</v>
      </c>
      <c r="AT305" s="100" t="str" cm="1">
        <f t="array" ref="AT30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05" s="219">
        <f>INDEX(tblSeverityAnalysis[Severidad final], MATCH(tblPiNAnalysis[[#This Row],[ID]],tblSeverityAnalysis[ID], 0))</f>
        <v>2</v>
      </c>
      <c r="AV305" s="220">
        <f>IF(tblPiNAnalysis[[#This Row],[Severidad]]&gt;2,tblPiNAnalysis[[#This Row],[PiN más alto]],)</f>
        <v>0</v>
      </c>
      <c r="AW305" s="54"/>
      <c r="AX305" s="55"/>
      <c r="AY305" s="56">
        <f>COUNTIFS(tblPiNAnalysis[[#This Row],[Número de PiN ausentes/cero superior al umbral - Calidad de los datos]:[Marcador manual]],"Flagged")</f>
        <v>4</v>
      </c>
      <c r="AZ305" s="34" t="str">
        <f>IF(tblPiNAnalysis[[#This Row],[Número de marcadores]]&gt;0, "Flagged", "")</f>
        <v>Flagged</v>
      </c>
      <c r="BA305" s="92">
        <f>tblPiNAnalysis[[#This Row],[PiN preliminar]]</f>
        <v>0</v>
      </c>
      <c r="BB305" s="97"/>
      <c r="BC305" s="70">
        <f>IFERROR(IF(tblPiNAnalysis[[#This Row],[Severidad]]=3,tblPiNAnalysis[[#This Row],[PiN final]]*Umbrales!$D$33,tblPiNAnalysis[[#This Row],[PiN final]]*Umbrales!$D$34),)</f>
        <v>0</v>
      </c>
      <c r="BD305" s="70">
        <f>IFERROR(IF(tblPiNAnalysis[[#This Row],[Severidad]]&gt;3,tblPiNAnalysis[[#This Row],[PiN final]]*Umbrales!$D$34,),)</f>
        <v>0</v>
      </c>
    </row>
    <row r="306" spans="1:56">
      <c r="A306" s="101" t="str">
        <f>IFERROR(_xlfn.CONCAT(IF(tblPiNAnalysis[[#This Row],[Grupo]]="", "",tblPiNAnalysis[[#This Row],[Grupo]] ),  _xlfn.IFS(tblPiNAnalysis[[#This Row],[Admin2PCODE]]&lt;&gt;"", tblPiNAnalysis[[#This Row],[Admin2PCODE]], tblPiNAnalysis[[#This Row],[Admin1PCODE]]&lt;&gt;"", tblPiNAnalysis[[#This Row],[Admin1PCODE]])),"")</f>
        <v>VenezolanosVE2002</v>
      </c>
      <c r="B306" s="105" t="s">
        <v>589</v>
      </c>
      <c r="C306" s="104" t="s">
        <v>590</v>
      </c>
      <c r="D306" s="119" t="s">
        <v>835</v>
      </c>
      <c r="E306" s="104" t="s">
        <v>594</v>
      </c>
      <c r="F306" s="358"/>
      <c r="G306" s="357">
        <v>10284</v>
      </c>
      <c r="H306" s="103" t="s">
        <v>102</v>
      </c>
      <c r="I306" s="60">
        <v>3085</v>
      </c>
      <c r="J306" s="134">
        <v>411.79607385815615</v>
      </c>
      <c r="K306" s="57">
        <v>8200</v>
      </c>
      <c r="L306" s="87">
        <v>782.74782937169016</v>
      </c>
      <c r="M306" s="87">
        <v>1235.1609966292108</v>
      </c>
      <c r="N306" s="57">
        <v>0</v>
      </c>
      <c r="O306" s="57">
        <v>395.2515189213475</v>
      </c>
      <c r="P306" s="57">
        <v>432.30634882022372</v>
      </c>
      <c r="Q306" s="88">
        <f>IFERROR(IF(tblPiNAnalysis[[#This Row],[SAMV]]="", "", MROUND(tblPiNAnalysis[[#This Row],[SAMV]]/tblPiNAnalysis[[#This Row],[Población]], 0.05)), "")</f>
        <v>0.30000000000000004</v>
      </c>
      <c r="R306" s="89">
        <f>IFERROR(IF(tblPiNAnalysis[[#This Row],[NUT]]="", "", MROUND(tblPiNAnalysis[[#This Row],[NUT]]/tblPiNAnalysis[[#This Row],[Población]], 0.05)), "")</f>
        <v>0.05</v>
      </c>
      <c r="S306" s="89">
        <f>IFERROR(IF(tblPiNAnalysis[[#This Row],[SAL]]="", "", MROUND(tblPiNAnalysis[[#This Row],[SAL]]/tblPiNAnalysis[[#This Row],[Población]], 0.05)), "")</f>
        <v>0.8</v>
      </c>
      <c r="T306" s="89">
        <f>IFERROR(IF(tblPiNAnalysis[[#This Row],[EDU]]="", "", MROUND(tblPiNAnalysis[[#This Row],[EDU]]/tblPiNAnalysis[[#This Row],[Población]], 0.05)), "")</f>
        <v>0.1</v>
      </c>
      <c r="U306" s="89">
        <f>IFERROR(IF(tblPiNAnalysis[[#This Row],[PRO]]="", "", MROUND(tblPiNAnalysis[[#This Row],[PRO]]/tblPiNAnalysis[[#This Row],[Población]], 0.05)), "")</f>
        <v>0.1</v>
      </c>
      <c r="V306" s="90">
        <f>IFERROR(IF(tblPiNAnalysis[[#This Row],[ASH]]="", "", MROUND(tblPiNAnalysis[[#This Row],[ASH]]/tblPiNAnalysis[[#This Row],[Población]], 0.05)), "")</f>
        <v>0</v>
      </c>
      <c r="W306" s="89">
        <f>IFERROR(MROUND(tblPiNAnalysis[[#This Row],[NNA]]/tblPiNAnalysis[[#This Row],[Población]], 0.05), "")</f>
        <v>0.05</v>
      </c>
      <c r="X306" s="89">
        <f>IFERROR(MROUND(tblPiNAnalysis[[#This Row],[VBG]]/tblPiNAnalysis[[#This Row],[Población]], 0.05), "")</f>
        <v>0.05</v>
      </c>
      <c r="Y306" s="91">
        <f>IFERROR(LARGE(tblPiNAnalysis[[#This Row],[SAMV]:[ASH]], 1), "")</f>
        <v>8200</v>
      </c>
      <c r="Z306" s="92" t="str" cm="1">
        <f t="array" ref="Z306">IF(tblPiNAnalysis[[#This Row],[PiN más alto]]="", "", _xlfn.TEXTJOIN(CHAR(10), TRUE, IF(tblPiNAnalysis[[#This Row],[PiN más alto]]=tblPiNAnalysis[[#This Row],[SAMV]:[ASH]], tblPiNAnalysis[[#Headers],[SAMV]:[ASH]], "")))</f>
        <v>SAL</v>
      </c>
      <c r="AA306" s="93">
        <f>IF(tblPiNAnalysis[[#This Row],[PiN más alto]]="", "", tblPiNAnalysis[[#This Row],[PiN más alto]]/tblPiNAnalysis[[#This Row],[Población]])</f>
        <v>0.79735511474134579</v>
      </c>
      <c r="AB306" s="94" t="str">
        <f>IF(SUM(tblPiNAnalysis[[#This Row],[SAMV]:[ASH]])=0, "",IF(COUNTIF(tblPiNAnalysis[[#This Row],[SAMV]:[ASH]],"=0")+COUNTIF(tblPiNAnalysis[[#This Row],[SAMV]:[ASH]],"")&gt;=zero_pin_thresh, "Flagged", ""))</f>
        <v/>
      </c>
      <c r="AC306" s="95" t="str">
        <f>IFERROR(IF(tblPiNAnalysis[[#This Row],[PiN más alto]]="", "", IF(tblPiNAnalysis[[#This Row],[% PiN Sectores más altos]]&gt;=flag_pin_perc, "Flagged", "")), "")</f>
        <v/>
      </c>
      <c r="AD306" s="96" t="str" cm="1">
        <f t="array" ref="AD306">IF(tblPiNAnalysis[[#This Row],[PiN más alto]]=0, "",  IF(OR(COUNTIF(tblPiNAnalysis[[#This Row],[Sectores más altos]],tblSubSectorPopulation[Sector])), "Flagged", ""))</f>
        <v/>
      </c>
      <c r="AE306" s="16" cm="1">
        <f t="array" ref="AE30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3085</v>
      </c>
      <c r="AF306" s="97" t="str" cm="1">
        <f t="array" ref="AF306">IF(tblPiNAnalysis[[#This Row],[2º PiN más alto]]="", "", _xlfn.TEXTJOIN(CHAR(10), TRUE, IF(tblPiNAnalysis[[#This Row],[2º PiN más alto]]=tblPiNAnalysis[[#This Row],[SAMV]:[ASH]], tblPiNAnalysis[[#Headers],[SAMV]:[ASH]], "")))</f>
        <v>SAMV</v>
      </c>
      <c r="AG306" s="12">
        <f>IFERROR(tblPiNAnalysis[[#This Row],[2º PiN más alto]]/tblPiNAnalysis[[#This Row],[Población]], "")</f>
        <v>0.29998055231427462</v>
      </c>
      <c r="AH306" s="16">
        <f>IFERROR(tblPiNAnalysis[[#This Row],[PiN más alto]]-tblPiNAnalysis[[#This Row],[2º PiN más alto]], "")</f>
        <v>5115</v>
      </c>
      <c r="AI306" s="14">
        <f>IFERROR(((tblPiNAnalysis[[#This Row],[PiN más alto]]-tblPiNAnalysis[[#This Row],[2º PiN más alto]])/tblPiNAnalysis[[#This Row],[2º PiN más alto]]),"")</f>
        <v>1.6580226904376012</v>
      </c>
      <c r="AJ306" s="14" t="str" cm="1">
        <f t="array" ref="AJ30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06" s="98" cm="1">
        <f t="array" ref="AK30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1235.1609966292108</v>
      </c>
      <c r="AL306" s="53" t="str" cm="1">
        <f t="array" ref="AL306">IF(tblPiNAnalysis[[#This Row],[3º PiN más alto]]="", "", _xlfn.TEXTJOIN(CHAR(10), TRUE, IF(tblPiNAnalysis[[#This Row],[3º PiN más alto]]=tblPiNAnalysis[[#This Row],[SAMV]:[ASH]], tblPiNAnalysis[[#Headers],[SAMV]:[ASH]], "")))</f>
        <v>PRO</v>
      </c>
      <c r="AM306" s="53">
        <f>IFERROR(tblPiNAnalysis[[#This Row],[3º PiN más alto]]/tblPiNAnalysis[[#This Row],[Población]], "")</f>
        <v>0.12010511441357553</v>
      </c>
      <c r="AN306" s="15">
        <f>IFERROR(tblPiNAnalysis[[#This Row],[PiN más alto]]-tblPiNAnalysis[[#This Row],[3º PiN más alto]],"")</f>
        <v>6964.8390033707892</v>
      </c>
      <c r="AO306" s="14">
        <f>IFERROR(tblPiNAnalysis[[#This Row],[Diferencia de PiN entre el más alto y el 3º más alto]]/tblPiNAnalysis[[#This Row],[3º PiN más alto]], "")</f>
        <v>5.6388106670936269</v>
      </c>
      <c r="AP306" s="96" t="str" cm="1">
        <f t="array" ref="AP30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06" s="84" cm="1">
        <f t="array" ref="AQ306">IFERROR(IF(tblPiNAnalysis[[#This Row],[ID]]="", "", INDEX(tblPiNHistorical[[SAMV]:[ASH]], MATCH(tblPiNAnalysis[[#This Row],[ID]],tblPiNHistorical[ID], 0),MATCH(_xlfn._xlws.FILTER(tblPiNAnalysis[[#Headers],[SAMV]:[ASH]], tblPiNAnalysis[[#This Row],[PiN más alto]]=tblPiNAnalysis[[#This Row],[SAMV]:[ASH]]), tblPiNHistorical[[#Headers],[SAMV]:[ASH]], 0))), "")</f>
        <v>13.9</v>
      </c>
      <c r="AR306" s="99" t="str" cm="1">
        <f t="array" ref="AR30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06" s="74" cm="1">
        <f t="array" ref="AS306">IFERROR(IF(tblPiNAnalysis[[#This Row],[ID]]="", "", INDEX(tblPiNHistorical[[SAMV]:[ASH]], MATCH(tblPiNAnalysis[[#This Row],[ID]],tblPiNHistorical[ID], 0),MATCH(_xlfn._xlws.FILTER(tblPiNAnalysis[[#Headers],[SAMV]:[ASH]], tblPiNAnalysis[[#This Row],[2º PiN más alto]]=tblPiNAnalysis[[#This Row],[SAMV]:[ASH]]), tblPiNHistorical[[#Headers],[SAMV]:[ASH]], 0))), "")</f>
        <v>2.1</v>
      </c>
      <c r="AT306" s="100" t="str" cm="1">
        <f t="array" ref="AT30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06" s="219">
        <f>INDEX(tblSeverityAnalysis[Severidad final], MATCH(tblPiNAnalysis[[#This Row],[ID]],tblSeverityAnalysis[ID], 0))</f>
        <v>2</v>
      </c>
      <c r="AV306" s="220">
        <f>IF(tblPiNAnalysis[[#This Row],[Severidad]]&gt;2,tblPiNAnalysis[[#This Row],[PiN más alto]],)</f>
        <v>0</v>
      </c>
      <c r="AW306" s="54"/>
      <c r="AX306" s="55"/>
      <c r="AY306" s="56">
        <f>COUNTIFS(tblPiNAnalysis[[#This Row],[Número de PiN ausentes/cero superior al umbral - Calidad de los datos]:[Marcador manual]],"Flagged")</f>
        <v>4</v>
      </c>
      <c r="AZ306" s="34" t="str">
        <f>IF(tblPiNAnalysis[[#This Row],[Número de marcadores]]&gt;0, "Flagged", "")</f>
        <v>Flagged</v>
      </c>
      <c r="BA306" s="92">
        <f>tblPiNAnalysis[[#This Row],[PiN preliminar]]</f>
        <v>0</v>
      </c>
      <c r="BB306" s="97"/>
      <c r="BC306" s="70">
        <f>IFERROR(IF(tblPiNAnalysis[[#This Row],[Severidad]]=3,tblPiNAnalysis[[#This Row],[PiN final]]*Umbrales!$D$33,tblPiNAnalysis[[#This Row],[PiN final]]*Umbrales!$D$34),)</f>
        <v>0</v>
      </c>
      <c r="BD306" s="70">
        <f>IFERROR(IF(tblPiNAnalysis[[#This Row],[Severidad]]&gt;3,tblPiNAnalysis[[#This Row],[PiN final]]*Umbrales!$D$34,),)</f>
        <v>0</v>
      </c>
    </row>
    <row r="307" spans="1:56">
      <c r="A307" s="101" t="str">
        <f>IFERROR(_xlfn.CONCAT(IF(tblPiNAnalysis[[#This Row],[Grupo]]="", "",tblPiNAnalysis[[#This Row],[Grupo]] ),  _xlfn.IFS(tblPiNAnalysis[[#This Row],[Admin2PCODE]]&lt;&gt;"", tblPiNAnalysis[[#This Row],[Admin2PCODE]], tblPiNAnalysis[[#This Row],[Admin1PCODE]]&lt;&gt;"", tblPiNAnalysis[[#This Row],[Admin1PCODE]])),"")</f>
        <v>VenezolanosVE2005</v>
      </c>
      <c r="B307" s="105" t="s">
        <v>589</v>
      </c>
      <c r="C307" s="104" t="s">
        <v>590</v>
      </c>
      <c r="D307" s="119" t="s">
        <v>598</v>
      </c>
      <c r="E307" s="104" t="s">
        <v>599</v>
      </c>
      <c r="F307" s="358"/>
      <c r="G307" s="357">
        <v>124803</v>
      </c>
      <c r="H307" s="103" t="s">
        <v>102</v>
      </c>
      <c r="I307" s="60">
        <v>7664</v>
      </c>
      <c r="J307" s="134">
        <v>2855.4371760479462</v>
      </c>
      <c r="K307" s="57">
        <v>45553.095000000001</v>
      </c>
      <c r="L307" s="87">
        <v>21180.136763199589</v>
      </c>
      <c r="M307" s="87">
        <v>24982.464323595777</v>
      </c>
      <c r="N307" s="57">
        <v>0</v>
      </c>
      <c r="O307" s="57">
        <v>7994.3885835506489</v>
      </c>
      <c r="P307" s="57">
        <v>8743.8625132585203</v>
      </c>
      <c r="Q307" s="88">
        <f>IFERROR(IF(tblPiNAnalysis[[#This Row],[SAMV]]="", "", MROUND(tblPiNAnalysis[[#This Row],[SAMV]]/tblPiNAnalysis[[#This Row],[Población]], 0.05)), "")</f>
        <v>0.05</v>
      </c>
      <c r="R307" s="89">
        <f>IFERROR(IF(tblPiNAnalysis[[#This Row],[NUT]]="", "", MROUND(tblPiNAnalysis[[#This Row],[NUT]]/tblPiNAnalysis[[#This Row],[Población]], 0.05)), "")</f>
        <v>0</v>
      </c>
      <c r="S307" s="89">
        <f>IFERROR(IF(tblPiNAnalysis[[#This Row],[SAL]]="", "", MROUND(tblPiNAnalysis[[#This Row],[SAL]]/tblPiNAnalysis[[#This Row],[Población]], 0.05)), "")</f>
        <v>0.35000000000000003</v>
      </c>
      <c r="T307" s="89">
        <f>IFERROR(IF(tblPiNAnalysis[[#This Row],[EDU]]="", "", MROUND(tblPiNAnalysis[[#This Row],[EDU]]/tblPiNAnalysis[[#This Row],[Población]], 0.05)), "")</f>
        <v>0.15000000000000002</v>
      </c>
      <c r="U307" s="89">
        <f>IFERROR(IF(tblPiNAnalysis[[#This Row],[PRO]]="", "", MROUND(tblPiNAnalysis[[#This Row],[PRO]]/tblPiNAnalysis[[#This Row],[Población]], 0.05)), "")</f>
        <v>0.2</v>
      </c>
      <c r="V307" s="90">
        <f>IFERROR(IF(tblPiNAnalysis[[#This Row],[ASH]]="", "", MROUND(tblPiNAnalysis[[#This Row],[ASH]]/tblPiNAnalysis[[#This Row],[Población]], 0.05)), "")</f>
        <v>0</v>
      </c>
      <c r="W307" s="89">
        <f>IFERROR(MROUND(tblPiNAnalysis[[#This Row],[NNA]]/tblPiNAnalysis[[#This Row],[Población]], 0.05), "")</f>
        <v>0.05</v>
      </c>
      <c r="X307" s="89">
        <f>IFERROR(MROUND(tblPiNAnalysis[[#This Row],[VBG]]/tblPiNAnalysis[[#This Row],[Población]], 0.05), "")</f>
        <v>0.05</v>
      </c>
      <c r="Y307" s="91">
        <f>IFERROR(LARGE(tblPiNAnalysis[[#This Row],[SAMV]:[ASH]], 1), "")</f>
        <v>45553.095000000001</v>
      </c>
      <c r="Z307" s="92" t="str" cm="1">
        <f t="array" ref="Z307">IF(tblPiNAnalysis[[#This Row],[PiN más alto]]="", "", _xlfn.TEXTJOIN(CHAR(10), TRUE, IF(tblPiNAnalysis[[#This Row],[PiN más alto]]=tblPiNAnalysis[[#This Row],[SAMV]:[ASH]], tblPiNAnalysis[[#Headers],[SAMV]:[ASH]], "")))</f>
        <v>SAL</v>
      </c>
      <c r="AA307" s="93">
        <f>IF(tblPiNAnalysis[[#This Row],[PiN más alto]]="", "", tblPiNAnalysis[[#This Row],[PiN más alto]]/tblPiNAnalysis[[#This Row],[Población]])</f>
        <v>0.36499999999999999</v>
      </c>
      <c r="AB307" s="94" t="str">
        <f>IF(SUM(tblPiNAnalysis[[#This Row],[SAMV]:[ASH]])=0, "",IF(COUNTIF(tblPiNAnalysis[[#This Row],[SAMV]:[ASH]],"=0")+COUNTIF(tblPiNAnalysis[[#This Row],[SAMV]:[ASH]],"")&gt;=zero_pin_thresh, "Flagged", ""))</f>
        <v/>
      </c>
      <c r="AC307" s="95" t="str">
        <f>IFERROR(IF(tblPiNAnalysis[[#This Row],[PiN más alto]]="", "", IF(tblPiNAnalysis[[#This Row],[% PiN Sectores más altos]]&gt;=flag_pin_perc, "Flagged", "")), "")</f>
        <v/>
      </c>
      <c r="AD307" s="96" t="str" cm="1">
        <f t="array" ref="AD307">IF(tblPiNAnalysis[[#This Row],[PiN más alto]]=0, "",  IF(OR(COUNTIF(tblPiNAnalysis[[#This Row],[Sectores más altos]],tblSubSectorPopulation[Sector])), "Flagged", ""))</f>
        <v/>
      </c>
      <c r="AE307" s="16" cm="1">
        <f t="array" ref="AE30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24982.464323595777</v>
      </c>
      <c r="AF307" s="97" t="str" cm="1">
        <f t="array" ref="AF307">IF(tblPiNAnalysis[[#This Row],[2º PiN más alto]]="", "", _xlfn.TEXTJOIN(CHAR(10), TRUE, IF(tblPiNAnalysis[[#This Row],[2º PiN más alto]]=tblPiNAnalysis[[#This Row],[SAMV]:[ASH]], tblPiNAnalysis[[#Headers],[SAMV]:[ASH]], "")))</f>
        <v>PRO</v>
      </c>
      <c r="AG307" s="12">
        <f>IFERROR(tblPiNAnalysis[[#This Row],[2º PiN más alto]]/tblPiNAnalysis[[#This Row],[Población]], "")</f>
        <v>0.20017519068929254</v>
      </c>
      <c r="AH307" s="16">
        <f>IFERROR(tblPiNAnalysis[[#This Row],[PiN más alto]]-tblPiNAnalysis[[#This Row],[2º PiN más alto]], "")</f>
        <v>20570.630676404224</v>
      </c>
      <c r="AI307" s="14">
        <f>IFERROR(((tblPiNAnalysis[[#This Row],[PiN más alto]]-tblPiNAnalysis[[#This Row],[2º PiN más alto]])/tblPiNAnalysis[[#This Row],[2º PiN más alto]]),"")</f>
        <v>0.82340278404702438</v>
      </c>
      <c r="AJ307" s="14" t="str" cm="1">
        <f t="array" ref="AJ30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07" s="98" cm="1">
        <f t="array" ref="AK30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21180.136763199589</v>
      </c>
      <c r="AL307" s="53" t="str" cm="1">
        <f t="array" ref="AL307">IF(tblPiNAnalysis[[#This Row],[3º PiN más alto]]="", "", _xlfn.TEXTJOIN(CHAR(10), TRUE, IF(tblPiNAnalysis[[#This Row],[3º PiN más alto]]=tblPiNAnalysis[[#This Row],[SAMV]:[ASH]], tblPiNAnalysis[[#Headers],[SAMV]:[ASH]], "")))</f>
        <v>EDU</v>
      </c>
      <c r="AM307" s="53">
        <f>IFERROR(tblPiNAnalysis[[#This Row],[3º PiN más alto]]/tblPiNAnalysis[[#This Row],[Población]], "")</f>
        <v>0.1697085547879425</v>
      </c>
      <c r="AN307" s="15">
        <f>IFERROR(tblPiNAnalysis[[#This Row],[PiN más alto]]-tblPiNAnalysis[[#This Row],[3º PiN más alto]],"")</f>
        <v>24372.958236800412</v>
      </c>
      <c r="AO307" s="14">
        <f>IFERROR(tblPiNAnalysis[[#This Row],[Diferencia de PiN entre el más alto y el 3º más alto]]/tblPiNAnalysis[[#This Row],[3º PiN más alto]], "")</f>
        <v>1.1507460272470167</v>
      </c>
      <c r="AP307" s="96" t="str" cm="1">
        <f t="array" ref="AP30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07" s="84" cm="1">
        <f t="array" ref="AQ307">IFERROR(IF(tblPiNAnalysis[[#This Row],[ID]]="", "", INDEX(tblPiNHistorical[[SAMV]:[ASH]], MATCH(tblPiNAnalysis[[#This Row],[ID]],tblPiNHistorical[ID], 0),MATCH(_xlfn._xlws.FILTER(tblPiNAnalysis[[#Headers],[SAMV]:[ASH]], tblPiNAnalysis[[#This Row],[PiN más alto]]=tblPiNAnalysis[[#This Row],[SAMV]:[ASH]]), tblPiNHistorical[[#Headers],[SAMV]:[ASH]], 0))), "")</f>
        <v>-0.7</v>
      </c>
      <c r="AR307" s="99" t="str" cm="1">
        <f t="array" ref="AR30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07" s="74" cm="1">
        <f t="array" ref="AS307">IFERROR(IF(tblPiNAnalysis[[#This Row],[ID]]="", "", INDEX(tblPiNHistorical[[SAMV]:[ASH]], MATCH(tblPiNAnalysis[[#This Row],[ID]],tblPiNHistorical[ID], 0),MATCH(_xlfn._xlws.FILTER(tblPiNAnalysis[[#Headers],[SAMV]:[ASH]], tblPiNAnalysis[[#This Row],[2º PiN más alto]]=tblPiNAnalysis[[#This Row],[SAMV]:[ASH]]), tblPiNHistorical[[#Headers],[SAMV]:[ASH]], 0))), "")</f>
        <v>-0.3</v>
      </c>
      <c r="AT307" s="100" t="str" cm="1">
        <f t="array" ref="AT30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07" s="219">
        <f>INDEX(tblSeverityAnalysis[Severidad final], MATCH(tblPiNAnalysis[[#This Row],[ID]],tblSeverityAnalysis[ID], 0))</f>
        <v>2</v>
      </c>
      <c r="AV307" s="220">
        <f>IF(tblPiNAnalysis[[#This Row],[Severidad]]&gt;2,tblPiNAnalysis[[#This Row],[PiN más alto]],)</f>
        <v>0</v>
      </c>
      <c r="AW307" s="54"/>
      <c r="AX307" s="55"/>
      <c r="AY307" s="56">
        <f>COUNTIFS(tblPiNAnalysis[[#This Row],[Número de PiN ausentes/cero superior al umbral - Calidad de los datos]:[Marcador manual]],"Flagged")</f>
        <v>2</v>
      </c>
      <c r="AZ307" s="34" t="str">
        <f>IF(tblPiNAnalysis[[#This Row],[Número de marcadores]]&gt;0, "Flagged", "")</f>
        <v>Flagged</v>
      </c>
      <c r="BA307" s="92">
        <f>tblPiNAnalysis[[#This Row],[PiN preliminar]]</f>
        <v>0</v>
      </c>
      <c r="BB307" s="97"/>
      <c r="BC307" s="70">
        <f>IFERROR(IF(tblPiNAnalysis[[#This Row],[Severidad]]=3,tblPiNAnalysis[[#This Row],[PiN final]]*Umbrales!$D$33,tblPiNAnalysis[[#This Row],[PiN final]]*Umbrales!$D$34),)</f>
        <v>0</v>
      </c>
      <c r="BD307" s="70">
        <f>IFERROR(IF(tblPiNAnalysis[[#This Row],[Severidad]]&gt;3,tblPiNAnalysis[[#This Row],[PiN final]]*Umbrales!$D$34,),)</f>
        <v>0</v>
      </c>
    </row>
    <row r="308" spans="1:56">
      <c r="A308" s="101" t="str">
        <f>IFERROR(_xlfn.CONCAT(IF(tblPiNAnalysis[[#This Row],[Grupo]]="", "",tblPiNAnalysis[[#This Row],[Grupo]] ),  _xlfn.IFS(tblPiNAnalysis[[#This Row],[Admin2PCODE]]&lt;&gt;"", tblPiNAnalysis[[#This Row],[Admin2PCODE]], tblPiNAnalysis[[#This Row],[Admin1PCODE]]&lt;&gt;"", tblPiNAnalysis[[#This Row],[Admin1PCODE]])),"")</f>
        <v>VenezolanosVE2006</v>
      </c>
      <c r="B308" s="105" t="s">
        <v>589</v>
      </c>
      <c r="C308" s="104" t="s">
        <v>590</v>
      </c>
      <c r="D308" s="119" t="s">
        <v>600</v>
      </c>
      <c r="E308" s="104" t="s">
        <v>601</v>
      </c>
      <c r="F308" s="358"/>
      <c r="G308" s="357">
        <v>33872</v>
      </c>
      <c r="H308" s="103" t="s">
        <v>102</v>
      </c>
      <c r="I308" s="60">
        <v>806</v>
      </c>
      <c r="J308" s="134">
        <v>974.30231466457576</v>
      </c>
      <c r="K308" s="57">
        <v>12363.28</v>
      </c>
      <c r="L308" s="87">
        <v>5596.0528667103608</v>
      </c>
      <c r="M308" s="87">
        <v>4068.2004354166324</v>
      </c>
      <c r="N308" s="57">
        <v>0</v>
      </c>
      <c r="O308" s="57">
        <v>1305.892339768739</v>
      </c>
      <c r="P308" s="57">
        <v>1423.8701523958214</v>
      </c>
      <c r="Q308" s="88">
        <f>IFERROR(IF(tblPiNAnalysis[[#This Row],[SAMV]]="", "", MROUND(tblPiNAnalysis[[#This Row],[SAMV]]/tblPiNAnalysis[[#This Row],[Población]], 0.05)), "")</f>
        <v>0</v>
      </c>
      <c r="R308" s="89">
        <f>IFERROR(IF(tblPiNAnalysis[[#This Row],[NUT]]="", "", MROUND(tblPiNAnalysis[[#This Row],[NUT]]/tblPiNAnalysis[[#This Row],[Población]], 0.05)), "")</f>
        <v>0.05</v>
      </c>
      <c r="S308" s="89">
        <f>IFERROR(IF(tblPiNAnalysis[[#This Row],[SAL]]="", "", MROUND(tblPiNAnalysis[[#This Row],[SAL]]/tblPiNAnalysis[[#This Row],[Población]], 0.05)), "")</f>
        <v>0.35000000000000003</v>
      </c>
      <c r="T308" s="89">
        <f>IFERROR(IF(tblPiNAnalysis[[#This Row],[EDU]]="", "", MROUND(tblPiNAnalysis[[#This Row],[EDU]]/tblPiNAnalysis[[#This Row],[Población]], 0.05)), "")</f>
        <v>0.15000000000000002</v>
      </c>
      <c r="U308" s="89">
        <f>IFERROR(IF(tblPiNAnalysis[[#This Row],[PRO]]="", "", MROUND(tblPiNAnalysis[[#This Row],[PRO]]/tblPiNAnalysis[[#This Row],[Población]], 0.05)), "")</f>
        <v>0.1</v>
      </c>
      <c r="V308" s="90">
        <f>IFERROR(IF(tblPiNAnalysis[[#This Row],[ASH]]="", "", MROUND(tblPiNAnalysis[[#This Row],[ASH]]/tblPiNAnalysis[[#This Row],[Población]], 0.05)), "")</f>
        <v>0</v>
      </c>
      <c r="W308" s="89">
        <f>IFERROR(MROUND(tblPiNAnalysis[[#This Row],[NNA]]/tblPiNAnalysis[[#This Row],[Población]], 0.05), "")</f>
        <v>0.05</v>
      </c>
      <c r="X308" s="89">
        <f>IFERROR(MROUND(tblPiNAnalysis[[#This Row],[VBG]]/tblPiNAnalysis[[#This Row],[Población]], 0.05), "")</f>
        <v>0.05</v>
      </c>
      <c r="Y308" s="91">
        <f>IFERROR(LARGE(tblPiNAnalysis[[#This Row],[SAMV]:[ASH]], 1), "")</f>
        <v>12363.28</v>
      </c>
      <c r="Z308" s="92" t="str" cm="1">
        <f t="array" ref="Z308">IF(tblPiNAnalysis[[#This Row],[PiN más alto]]="", "", _xlfn.TEXTJOIN(CHAR(10), TRUE, IF(tblPiNAnalysis[[#This Row],[PiN más alto]]=tblPiNAnalysis[[#This Row],[SAMV]:[ASH]], tblPiNAnalysis[[#Headers],[SAMV]:[ASH]], "")))</f>
        <v>SAL</v>
      </c>
      <c r="AA308" s="93">
        <f>IF(tblPiNAnalysis[[#This Row],[PiN más alto]]="", "", tblPiNAnalysis[[#This Row],[PiN más alto]]/tblPiNAnalysis[[#This Row],[Población]])</f>
        <v>0.36500000000000005</v>
      </c>
      <c r="AB308" s="94" t="str">
        <f>IF(SUM(tblPiNAnalysis[[#This Row],[SAMV]:[ASH]])=0, "",IF(COUNTIF(tblPiNAnalysis[[#This Row],[SAMV]:[ASH]],"=0")+COUNTIF(tblPiNAnalysis[[#This Row],[SAMV]:[ASH]],"")&gt;=zero_pin_thresh, "Flagged", ""))</f>
        <v/>
      </c>
      <c r="AC308" s="95" t="str">
        <f>IFERROR(IF(tblPiNAnalysis[[#This Row],[PiN más alto]]="", "", IF(tblPiNAnalysis[[#This Row],[% PiN Sectores más altos]]&gt;=flag_pin_perc, "Flagged", "")), "")</f>
        <v/>
      </c>
      <c r="AD308" s="96" t="str" cm="1">
        <f t="array" ref="AD308">IF(tblPiNAnalysis[[#This Row],[PiN más alto]]=0, "",  IF(OR(COUNTIF(tblPiNAnalysis[[#This Row],[Sectores más altos]],tblSubSectorPopulation[Sector])), "Flagged", ""))</f>
        <v/>
      </c>
      <c r="AE308" s="16" cm="1">
        <f t="array" ref="AE30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5596.0528667103608</v>
      </c>
      <c r="AF308" s="97" t="str" cm="1">
        <f t="array" ref="AF308">IF(tblPiNAnalysis[[#This Row],[2º PiN más alto]]="", "", _xlfn.TEXTJOIN(CHAR(10), TRUE, IF(tblPiNAnalysis[[#This Row],[2º PiN más alto]]=tblPiNAnalysis[[#This Row],[SAMV]:[ASH]], tblPiNAnalysis[[#Headers],[SAMV]:[ASH]], "")))</f>
        <v>EDU</v>
      </c>
      <c r="AG308" s="12">
        <f>IFERROR(tblPiNAnalysis[[#This Row],[2º PiN más alto]]/tblPiNAnalysis[[#This Row],[Población]], "")</f>
        <v>0.16521176389673953</v>
      </c>
      <c r="AH308" s="16">
        <f>IFERROR(tblPiNAnalysis[[#This Row],[PiN más alto]]-tblPiNAnalysis[[#This Row],[2º PiN más alto]], "")</f>
        <v>6767.2271332896398</v>
      </c>
      <c r="AI308" s="14">
        <f>IFERROR(((tblPiNAnalysis[[#This Row],[PiN más alto]]-tblPiNAnalysis[[#This Row],[2º PiN más alto]])/tblPiNAnalysis[[#This Row],[2º PiN más alto]]),"")</f>
        <v>1.2092857759701177</v>
      </c>
      <c r="AJ308" s="14" t="str" cm="1">
        <f t="array" ref="AJ30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08" s="98" cm="1">
        <f t="array" ref="AK30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4068.2004354166324</v>
      </c>
      <c r="AL308" s="53" t="str" cm="1">
        <f t="array" ref="AL308">IF(tblPiNAnalysis[[#This Row],[3º PiN más alto]]="", "", _xlfn.TEXTJOIN(CHAR(10), TRUE, IF(tblPiNAnalysis[[#This Row],[3º PiN más alto]]=tblPiNAnalysis[[#This Row],[SAMV]:[ASH]], tblPiNAnalysis[[#Headers],[SAMV]:[ASH]], "")))</f>
        <v>PRO</v>
      </c>
      <c r="AM308" s="53">
        <f>IFERROR(tblPiNAnalysis[[#This Row],[3º PiN más alto]]/tblPiNAnalysis[[#This Row],[Población]], "")</f>
        <v>0.12010511441357559</v>
      </c>
      <c r="AN308" s="15">
        <f>IFERROR(tblPiNAnalysis[[#This Row],[PiN más alto]]-tblPiNAnalysis[[#This Row],[3º PiN más alto]],"")</f>
        <v>8295.0795645833678</v>
      </c>
      <c r="AO308" s="14">
        <f>IFERROR(tblPiNAnalysis[[#This Row],[Diferencia de PiN entre el más alto y el 3º más alto]]/tblPiNAnalysis[[#This Row],[3º PiN más alto]], "")</f>
        <v>2.0390046400783723</v>
      </c>
      <c r="AP308" s="96" t="str" cm="1">
        <f t="array" ref="AP30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08" s="84" cm="1">
        <f t="array" ref="AQ308">IFERROR(IF(tblPiNAnalysis[[#This Row],[ID]]="", "", INDEX(tblPiNHistorical[[SAMV]:[ASH]], MATCH(tblPiNAnalysis[[#This Row],[ID]],tblPiNHistorical[ID], 0),MATCH(_xlfn._xlws.FILTER(tblPiNAnalysis[[#Headers],[SAMV]:[ASH]], tblPiNAnalysis[[#This Row],[PiN más alto]]=tblPiNAnalysis[[#This Row],[SAMV]:[ASH]]), tblPiNHistorical[[#Headers],[SAMV]:[ASH]], 0))), "")</f>
        <v>0.1</v>
      </c>
      <c r="AR308" s="99" t="str" cm="1">
        <f t="array" ref="AR30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08" s="74" cm="1">
        <f t="array" ref="AS308">IFERROR(IF(tblPiNAnalysis[[#This Row],[ID]]="", "", INDEX(tblPiNHistorical[[SAMV]:[ASH]], MATCH(tblPiNAnalysis[[#This Row],[ID]],tblPiNHistorical[ID], 0),MATCH(_xlfn._xlws.FILTER(tblPiNAnalysis[[#Headers],[SAMV]:[ASH]], tblPiNAnalysis[[#This Row],[2º PiN más alto]]=tblPiNAnalysis[[#This Row],[SAMV]:[ASH]]), tblPiNHistorical[[#Headers],[SAMV]:[ASH]], 0))), "")</f>
        <v>0.9</v>
      </c>
      <c r="AT308" s="100" t="str" cm="1">
        <f t="array" ref="AT30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08" s="219">
        <f>INDEX(tblSeverityAnalysis[Severidad final], MATCH(tblPiNAnalysis[[#This Row],[ID]],tblSeverityAnalysis[ID], 0))</f>
        <v>2</v>
      </c>
      <c r="AV308" s="220">
        <f>IF(tblPiNAnalysis[[#This Row],[Severidad]]&gt;2,tblPiNAnalysis[[#This Row],[PiN más alto]],)</f>
        <v>0</v>
      </c>
      <c r="AW308" s="54"/>
      <c r="AX308" s="55"/>
      <c r="AY308" s="56">
        <f>COUNTIFS(tblPiNAnalysis[[#This Row],[Número de PiN ausentes/cero superior al umbral - Calidad de los datos]:[Marcador manual]],"Flagged")</f>
        <v>2</v>
      </c>
      <c r="AZ308" s="34" t="str">
        <f>IF(tblPiNAnalysis[[#This Row],[Número de marcadores]]&gt;0, "Flagged", "")</f>
        <v>Flagged</v>
      </c>
      <c r="BA308" s="92">
        <f>tblPiNAnalysis[[#This Row],[PiN preliminar]]</f>
        <v>0</v>
      </c>
      <c r="BB308" s="97"/>
      <c r="BC308" s="70">
        <f>IFERROR(IF(tblPiNAnalysis[[#This Row],[Severidad]]=3,tblPiNAnalysis[[#This Row],[PiN final]]*Umbrales!$D$33,tblPiNAnalysis[[#This Row],[PiN final]]*Umbrales!$D$34),)</f>
        <v>0</v>
      </c>
      <c r="BD308" s="70">
        <f>IFERROR(IF(tblPiNAnalysis[[#This Row],[Severidad]]&gt;3,tblPiNAnalysis[[#This Row],[PiN final]]*Umbrales!$D$34,),)</f>
        <v>0</v>
      </c>
    </row>
    <row r="309" spans="1:56">
      <c r="A309" s="101" t="str">
        <f>IFERROR(_xlfn.CONCAT(IF(tblPiNAnalysis[[#This Row],[Grupo]]="", "",tblPiNAnalysis[[#This Row],[Grupo]] ),  _xlfn.IFS(tblPiNAnalysis[[#This Row],[Admin2PCODE]]&lt;&gt;"", tblPiNAnalysis[[#This Row],[Admin2PCODE]], tblPiNAnalysis[[#This Row],[Admin1PCODE]]&lt;&gt;"", tblPiNAnalysis[[#This Row],[Admin1PCODE]])),"")</f>
        <v>VenezolanosVE2008</v>
      </c>
      <c r="B309" s="105" t="s">
        <v>589</v>
      </c>
      <c r="C309" s="104" t="s">
        <v>590</v>
      </c>
      <c r="D309" s="119" t="s">
        <v>806</v>
      </c>
      <c r="E309" s="104" t="s">
        <v>604</v>
      </c>
      <c r="F309" s="358"/>
      <c r="G309" s="357">
        <v>4224</v>
      </c>
      <c r="H309" s="103" t="s">
        <v>102</v>
      </c>
      <c r="I309" s="60">
        <v>0</v>
      </c>
      <c r="J309" s="134">
        <v>136.085768063969</v>
      </c>
      <c r="K309" s="57">
        <v>1541.76</v>
      </c>
      <c r="L309" s="87">
        <v>340.19368156891676</v>
      </c>
      <c r="M309" s="87">
        <v>507.32400328294295</v>
      </c>
      <c r="N309" s="57">
        <v>0</v>
      </c>
      <c r="O309" s="57">
        <v>162.34368105054176</v>
      </c>
      <c r="P309" s="57">
        <v>177.56340114903</v>
      </c>
      <c r="Q309" s="88">
        <f>IFERROR(IF(tblPiNAnalysis[[#This Row],[SAMV]]="", "", MROUND(tblPiNAnalysis[[#This Row],[SAMV]]/tblPiNAnalysis[[#This Row],[Población]], 0.05)), "")</f>
        <v>0</v>
      </c>
      <c r="R309" s="89">
        <f>IFERROR(IF(tblPiNAnalysis[[#This Row],[NUT]]="", "", MROUND(tblPiNAnalysis[[#This Row],[NUT]]/tblPiNAnalysis[[#This Row],[Población]], 0.05)), "")</f>
        <v>0.05</v>
      </c>
      <c r="S309" s="89">
        <f>IFERROR(IF(tblPiNAnalysis[[#This Row],[SAL]]="", "", MROUND(tblPiNAnalysis[[#This Row],[SAL]]/tblPiNAnalysis[[#This Row],[Población]], 0.05)), "")</f>
        <v>0.35000000000000003</v>
      </c>
      <c r="T309" s="89">
        <f>IFERROR(IF(tblPiNAnalysis[[#This Row],[EDU]]="", "", MROUND(tblPiNAnalysis[[#This Row],[EDU]]/tblPiNAnalysis[[#This Row],[Población]], 0.05)), "")</f>
        <v>0.1</v>
      </c>
      <c r="U309" s="89">
        <f>IFERROR(IF(tblPiNAnalysis[[#This Row],[PRO]]="", "", MROUND(tblPiNAnalysis[[#This Row],[PRO]]/tblPiNAnalysis[[#This Row],[Población]], 0.05)), "")</f>
        <v>0.1</v>
      </c>
      <c r="V309" s="90">
        <f>IFERROR(IF(tblPiNAnalysis[[#This Row],[ASH]]="", "", MROUND(tblPiNAnalysis[[#This Row],[ASH]]/tblPiNAnalysis[[#This Row],[Población]], 0.05)), "")</f>
        <v>0</v>
      </c>
      <c r="W309" s="89">
        <f>IFERROR(MROUND(tblPiNAnalysis[[#This Row],[NNA]]/tblPiNAnalysis[[#This Row],[Población]], 0.05), "")</f>
        <v>0.05</v>
      </c>
      <c r="X309" s="89">
        <f>IFERROR(MROUND(tblPiNAnalysis[[#This Row],[VBG]]/tblPiNAnalysis[[#This Row],[Población]], 0.05), "")</f>
        <v>0.05</v>
      </c>
      <c r="Y309" s="91">
        <f>IFERROR(LARGE(tblPiNAnalysis[[#This Row],[SAMV]:[ASH]], 1), "")</f>
        <v>1541.76</v>
      </c>
      <c r="Z309" s="92" t="str" cm="1">
        <f t="array" ref="Z309">IF(tblPiNAnalysis[[#This Row],[PiN más alto]]="", "", _xlfn.TEXTJOIN(CHAR(10), TRUE, IF(tblPiNAnalysis[[#This Row],[PiN más alto]]=tblPiNAnalysis[[#This Row],[SAMV]:[ASH]], tblPiNAnalysis[[#Headers],[SAMV]:[ASH]], "")))</f>
        <v>SAL</v>
      </c>
      <c r="AA309" s="93">
        <f>IF(tblPiNAnalysis[[#This Row],[PiN más alto]]="", "", tblPiNAnalysis[[#This Row],[PiN más alto]]/tblPiNAnalysis[[#This Row],[Población]])</f>
        <v>0.36499999999999999</v>
      </c>
      <c r="AB309" s="94" t="str">
        <f>IF(SUM(tblPiNAnalysis[[#This Row],[SAMV]:[ASH]])=0, "",IF(COUNTIF(tblPiNAnalysis[[#This Row],[SAMV]:[ASH]],"=0")+COUNTIF(tblPiNAnalysis[[#This Row],[SAMV]:[ASH]],"")&gt;=zero_pin_thresh, "Flagged", ""))</f>
        <v>Flagged</v>
      </c>
      <c r="AC309" s="95" t="str">
        <f>IFERROR(IF(tblPiNAnalysis[[#This Row],[PiN más alto]]="", "", IF(tblPiNAnalysis[[#This Row],[% PiN Sectores más altos]]&gt;=flag_pin_perc, "Flagged", "")), "")</f>
        <v/>
      </c>
      <c r="AD309" s="96" t="str" cm="1">
        <f t="array" ref="AD309">IF(tblPiNAnalysis[[#This Row],[PiN más alto]]=0, "",  IF(OR(COUNTIF(tblPiNAnalysis[[#This Row],[Sectores más altos]],tblSubSectorPopulation[Sector])), "Flagged", ""))</f>
        <v/>
      </c>
      <c r="AE309" s="16" cm="1">
        <f t="array" ref="AE30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507.32400328294295</v>
      </c>
      <c r="AF309" s="97" t="str" cm="1">
        <f t="array" ref="AF309">IF(tblPiNAnalysis[[#This Row],[2º PiN más alto]]="", "", _xlfn.TEXTJOIN(CHAR(10), TRUE, IF(tblPiNAnalysis[[#This Row],[2º PiN más alto]]=tblPiNAnalysis[[#This Row],[SAMV]:[ASH]], tblPiNAnalysis[[#Headers],[SAMV]:[ASH]], "")))</f>
        <v>PRO</v>
      </c>
      <c r="AG309" s="12">
        <f>IFERROR(tblPiNAnalysis[[#This Row],[2º PiN más alto]]/tblPiNAnalysis[[#This Row],[Población]], "")</f>
        <v>0.12010511441357551</v>
      </c>
      <c r="AH309" s="16">
        <f>IFERROR(tblPiNAnalysis[[#This Row],[PiN más alto]]-tblPiNAnalysis[[#This Row],[2º PiN más alto]], "")</f>
        <v>1034.4359967170572</v>
      </c>
      <c r="AI309" s="14">
        <f>IFERROR(((tblPiNAnalysis[[#This Row],[PiN más alto]]-tblPiNAnalysis[[#This Row],[2º PiN más alto]])/tblPiNAnalysis[[#This Row],[2º PiN más alto]]),"")</f>
        <v>2.0390046400783746</v>
      </c>
      <c r="AJ309" s="14" t="str" cm="1">
        <f t="array" ref="AJ30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09" s="98" cm="1">
        <f t="array" ref="AK30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340.19368156891676</v>
      </c>
      <c r="AL309" s="53" t="str" cm="1">
        <f t="array" ref="AL309">IF(tblPiNAnalysis[[#This Row],[3º PiN más alto]]="", "", _xlfn.TEXTJOIN(CHAR(10), TRUE, IF(tblPiNAnalysis[[#This Row],[3º PiN más alto]]=tblPiNAnalysis[[#This Row],[SAMV]:[ASH]], tblPiNAnalysis[[#Headers],[SAMV]:[ASH]], "")))</f>
        <v>EDU</v>
      </c>
      <c r="AM309" s="53">
        <f>IFERROR(tblPiNAnalysis[[#This Row],[3º PiN más alto]]/tblPiNAnalysis[[#This Row],[Población]], "")</f>
        <v>8.0538276886580676E-2</v>
      </c>
      <c r="AN309" s="15">
        <f>IFERROR(tblPiNAnalysis[[#This Row],[PiN más alto]]-tblPiNAnalysis[[#This Row],[3º PiN más alto]],"")</f>
        <v>1201.5663184310833</v>
      </c>
      <c r="AO309" s="14">
        <f>IFERROR(tblPiNAnalysis[[#This Row],[Diferencia de PiN entre el más alto y el 3º más alto]]/tblPiNAnalysis[[#This Row],[3º PiN más alto]], "")</f>
        <v>3.5320065701680852</v>
      </c>
      <c r="AP309" s="96" t="str" cm="1">
        <f t="array" ref="AP30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09" s="84" cm="1">
        <f t="array" ref="AQ309">IFERROR(IF(tblPiNAnalysis[[#This Row],[ID]]="", "", INDEX(tblPiNHistorical[[SAMV]:[ASH]], MATCH(tblPiNAnalysis[[#This Row],[ID]],tblPiNHistorical[ID], 0),MATCH(_xlfn._xlws.FILTER(tblPiNAnalysis[[#Headers],[SAMV]:[ASH]], tblPiNAnalysis[[#This Row],[PiN más alto]]=tblPiNAnalysis[[#This Row],[SAMV]:[ASH]]), tblPiNHistorical[[#Headers],[SAMV]:[ASH]], 0))), "")</f>
        <v>62.4</v>
      </c>
      <c r="AR309" s="99" t="str" cm="1">
        <f t="array" ref="AR30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09" s="74" cm="1">
        <f t="array" ref="AS309">IFERROR(IF(tblPiNAnalysis[[#This Row],[ID]]="", "", INDEX(tblPiNHistorical[[SAMV]:[ASH]], MATCH(tblPiNAnalysis[[#This Row],[ID]],tblPiNHistorical[ID], 0),MATCH(_xlfn._xlws.FILTER(tblPiNAnalysis[[#Headers],[SAMV]:[ASH]], tblPiNAnalysis[[#This Row],[2º PiN más alto]]=tblPiNAnalysis[[#This Row],[SAMV]:[ASH]]), tblPiNHistorical[[#Headers],[SAMV]:[ASH]], 0))), "")</f>
        <v>29.3</v>
      </c>
      <c r="AT309" s="100" t="str" cm="1">
        <f t="array" ref="AT30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09" s="219">
        <f>INDEX(tblSeverityAnalysis[Severidad final], MATCH(tblPiNAnalysis[[#This Row],[ID]],tblSeverityAnalysis[ID], 0))</f>
        <v>2</v>
      </c>
      <c r="AV309" s="220">
        <f>IF(tblPiNAnalysis[[#This Row],[Severidad]]&gt;2,tblPiNAnalysis[[#This Row],[PiN más alto]],)</f>
        <v>0</v>
      </c>
      <c r="AW309" s="54"/>
      <c r="AX309" s="55"/>
      <c r="AY309" s="56">
        <f>COUNTIFS(tblPiNAnalysis[[#This Row],[Número de PiN ausentes/cero superior al umbral - Calidad de los datos]:[Marcador manual]],"Flagged")</f>
        <v>5</v>
      </c>
      <c r="AZ309" s="34" t="str">
        <f>IF(tblPiNAnalysis[[#This Row],[Número de marcadores]]&gt;0, "Flagged", "")</f>
        <v>Flagged</v>
      </c>
      <c r="BA309" s="92">
        <f>tblPiNAnalysis[[#This Row],[PiN preliminar]]</f>
        <v>0</v>
      </c>
      <c r="BB309" s="97"/>
      <c r="BC309" s="70">
        <f>IFERROR(IF(tblPiNAnalysis[[#This Row],[Severidad]]=3,tblPiNAnalysis[[#This Row],[PiN final]]*Umbrales!$D$33,tblPiNAnalysis[[#This Row],[PiN final]]*Umbrales!$D$34),)</f>
        <v>0</v>
      </c>
      <c r="BD309" s="70">
        <f>IFERROR(IF(tblPiNAnalysis[[#This Row],[Severidad]]&gt;3,tblPiNAnalysis[[#This Row],[PiN final]]*Umbrales!$D$34,),)</f>
        <v>0</v>
      </c>
    </row>
    <row r="310" spans="1:56">
      <c r="A310" s="101" t="str">
        <f>IFERROR(_xlfn.CONCAT(IF(tblPiNAnalysis[[#This Row],[Grupo]]="", "",tblPiNAnalysis[[#This Row],[Grupo]] ),  _xlfn.IFS(tblPiNAnalysis[[#This Row],[Admin2PCODE]]&lt;&gt;"", tblPiNAnalysis[[#This Row],[Admin2PCODE]], tblPiNAnalysis[[#This Row],[Admin1PCODE]]&lt;&gt;"", tblPiNAnalysis[[#This Row],[Admin1PCODE]])),"")</f>
        <v>VenezolanosVE2012</v>
      </c>
      <c r="B310" s="105" t="s">
        <v>589</v>
      </c>
      <c r="C310" s="104" t="s">
        <v>590</v>
      </c>
      <c r="D310" s="119" t="s">
        <v>610</v>
      </c>
      <c r="E310" s="104" t="s">
        <v>611</v>
      </c>
      <c r="F310" s="358"/>
      <c r="G310" s="357">
        <v>41927</v>
      </c>
      <c r="H310" s="103" t="s">
        <v>102</v>
      </c>
      <c r="I310" s="60">
        <v>6988</v>
      </c>
      <c r="J310" s="134">
        <v>1314.45144744</v>
      </c>
      <c r="K310" s="57">
        <v>15303.355</v>
      </c>
      <c r="L310" s="87">
        <v>4054.6957429376753</v>
      </c>
      <c r="M310" s="87">
        <v>5035.6471320179826</v>
      </c>
      <c r="N310" s="57">
        <v>0</v>
      </c>
      <c r="O310" s="57">
        <v>1611.4070822457543</v>
      </c>
      <c r="P310" s="57">
        <v>1762.4764962062939</v>
      </c>
      <c r="Q310" s="88">
        <f>IFERROR(IF(tblPiNAnalysis[[#This Row],[SAMV]]="", "", MROUND(tblPiNAnalysis[[#This Row],[SAMV]]/tblPiNAnalysis[[#This Row],[Población]], 0.05)), "")</f>
        <v>0.15000000000000002</v>
      </c>
      <c r="R310" s="89">
        <f>IFERROR(IF(tblPiNAnalysis[[#This Row],[NUT]]="", "", MROUND(tblPiNAnalysis[[#This Row],[NUT]]/tblPiNAnalysis[[#This Row],[Población]], 0.05)), "")</f>
        <v>0.05</v>
      </c>
      <c r="S310" s="89">
        <f>IFERROR(IF(tblPiNAnalysis[[#This Row],[SAL]]="", "", MROUND(tblPiNAnalysis[[#This Row],[SAL]]/tblPiNAnalysis[[#This Row],[Población]], 0.05)), "")</f>
        <v>0.35000000000000003</v>
      </c>
      <c r="T310" s="89">
        <f>IFERROR(IF(tblPiNAnalysis[[#This Row],[EDU]]="", "", MROUND(tblPiNAnalysis[[#This Row],[EDU]]/tblPiNAnalysis[[#This Row],[Población]], 0.05)), "")</f>
        <v>0.1</v>
      </c>
      <c r="U310" s="89">
        <f>IFERROR(IF(tblPiNAnalysis[[#This Row],[PRO]]="", "", MROUND(tblPiNAnalysis[[#This Row],[PRO]]/tblPiNAnalysis[[#This Row],[Población]], 0.05)), "")</f>
        <v>0.1</v>
      </c>
      <c r="V310" s="90">
        <f>IFERROR(IF(tblPiNAnalysis[[#This Row],[ASH]]="", "", MROUND(tblPiNAnalysis[[#This Row],[ASH]]/tblPiNAnalysis[[#This Row],[Población]], 0.05)), "")</f>
        <v>0</v>
      </c>
      <c r="W310" s="89">
        <f>IFERROR(MROUND(tblPiNAnalysis[[#This Row],[NNA]]/tblPiNAnalysis[[#This Row],[Población]], 0.05), "")</f>
        <v>0.05</v>
      </c>
      <c r="X310" s="89">
        <f>IFERROR(MROUND(tblPiNAnalysis[[#This Row],[VBG]]/tblPiNAnalysis[[#This Row],[Población]], 0.05), "")</f>
        <v>0.05</v>
      </c>
      <c r="Y310" s="91">
        <f>IFERROR(LARGE(tblPiNAnalysis[[#This Row],[SAMV]:[ASH]], 1), "")</f>
        <v>15303.355</v>
      </c>
      <c r="Z310" s="92" t="str" cm="1">
        <f t="array" ref="Z310">IF(tblPiNAnalysis[[#This Row],[PiN más alto]]="", "", _xlfn.TEXTJOIN(CHAR(10), TRUE, IF(tblPiNAnalysis[[#This Row],[PiN más alto]]=tblPiNAnalysis[[#This Row],[SAMV]:[ASH]], tblPiNAnalysis[[#Headers],[SAMV]:[ASH]], "")))</f>
        <v>SAL</v>
      </c>
      <c r="AA310" s="93">
        <f>IF(tblPiNAnalysis[[#This Row],[PiN más alto]]="", "", tblPiNAnalysis[[#This Row],[PiN más alto]]/tblPiNAnalysis[[#This Row],[Población]])</f>
        <v>0.36499999999999999</v>
      </c>
      <c r="AB310" s="94" t="str">
        <f>IF(SUM(tblPiNAnalysis[[#This Row],[SAMV]:[ASH]])=0, "",IF(COUNTIF(tblPiNAnalysis[[#This Row],[SAMV]:[ASH]],"=0")+COUNTIF(tblPiNAnalysis[[#This Row],[SAMV]:[ASH]],"")&gt;=zero_pin_thresh, "Flagged", ""))</f>
        <v/>
      </c>
      <c r="AC310" s="95" t="str">
        <f>IFERROR(IF(tblPiNAnalysis[[#This Row],[PiN más alto]]="", "", IF(tblPiNAnalysis[[#This Row],[% PiN Sectores más altos]]&gt;=flag_pin_perc, "Flagged", "")), "")</f>
        <v/>
      </c>
      <c r="AD310" s="96" t="str" cm="1">
        <f t="array" ref="AD310">IF(tblPiNAnalysis[[#This Row],[PiN más alto]]=0, "",  IF(OR(COUNTIF(tblPiNAnalysis[[#This Row],[Sectores más altos]],tblSubSectorPopulation[Sector])), "Flagged", ""))</f>
        <v/>
      </c>
      <c r="AE310" s="16" cm="1">
        <f t="array" ref="AE31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6988</v>
      </c>
      <c r="AF310" s="97" t="str" cm="1">
        <f t="array" ref="AF310">IF(tblPiNAnalysis[[#This Row],[2º PiN más alto]]="", "", _xlfn.TEXTJOIN(CHAR(10), TRUE, IF(tblPiNAnalysis[[#This Row],[2º PiN más alto]]=tblPiNAnalysis[[#This Row],[SAMV]:[ASH]], tblPiNAnalysis[[#Headers],[SAMV]:[ASH]], "")))</f>
        <v>SAMV</v>
      </c>
      <c r="AG310" s="12">
        <f>IFERROR(tblPiNAnalysis[[#This Row],[2º PiN más alto]]/tblPiNAnalysis[[#This Row],[Población]], "")</f>
        <v>0.16667064182984712</v>
      </c>
      <c r="AH310" s="16">
        <f>IFERROR(tblPiNAnalysis[[#This Row],[PiN más alto]]-tblPiNAnalysis[[#This Row],[2º PiN más alto]], "")</f>
        <v>8315.3549999999996</v>
      </c>
      <c r="AI310" s="14">
        <f>IFERROR(((tblPiNAnalysis[[#This Row],[PiN más alto]]-tblPiNAnalysis[[#This Row],[2º PiN más alto]])/tblPiNAnalysis[[#This Row],[2º PiN más alto]]),"")</f>
        <v>1.1899477676016026</v>
      </c>
      <c r="AJ310" s="14" t="str" cm="1">
        <f t="array" ref="AJ31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10" s="98" cm="1">
        <f t="array" ref="AK31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5035.6471320179826</v>
      </c>
      <c r="AL310" s="53" t="str" cm="1">
        <f t="array" ref="AL310">IF(tblPiNAnalysis[[#This Row],[3º PiN más alto]]="", "", _xlfn.TEXTJOIN(CHAR(10), TRUE, IF(tblPiNAnalysis[[#This Row],[3º PiN más alto]]=tblPiNAnalysis[[#This Row],[SAMV]:[ASH]], tblPiNAnalysis[[#Headers],[SAMV]:[ASH]], "")))</f>
        <v>PRO</v>
      </c>
      <c r="AM310" s="53">
        <f>IFERROR(tblPiNAnalysis[[#This Row],[3º PiN más alto]]/tblPiNAnalysis[[#This Row],[Población]], "")</f>
        <v>0.12010511441357556</v>
      </c>
      <c r="AN310" s="15">
        <f>IFERROR(tblPiNAnalysis[[#This Row],[PiN más alto]]-tblPiNAnalysis[[#This Row],[3º PiN más alto]],"")</f>
        <v>10267.707867982017</v>
      </c>
      <c r="AO310" s="14">
        <f>IFERROR(tblPiNAnalysis[[#This Row],[Diferencia de PiN entre el más alto y el 3º más alto]]/tblPiNAnalysis[[#This Row],[3º PiN más alto]], "")</f>
        <v>2.0390046400783728</v>
      </c>
      <c r="AP310" s="96" t="str" cm="1">
        <f t="array" ref="AP31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10" s="84" cm="1">
        <f t="array" ref="AQ310">IFERROR(IF(tblPiNAnalysis[[#This Row],[ID]]="", "", INDEX(tblPiNHistorical[[SAMV]:[ASH]], MATCH(tblPiNAnalysis[[#This Row],[ID]],tblPiNHistorical[ID], 0),MATCH(_xlfn._xlws.FILTER(tblPiNAnalysis[[#Headers],[SAMV]:[ASH]], tblPiNAnalysis[[#This Row],[PiN más alto]]=tblPiNAnalysis[[#This Row],[SAMV]:[ASH]]), tblPiNHistorical[[#Headers],[SAMV]:[ASH]], 0))), "")</f>
        <v>2.4</v>
      </c>
      <c r="AR310" s="99" t="str" cm="1">
        <f t="array" ref="AR31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10" s="74" t="str" cm="1">
        <f t="array" ref="AS310">IFERROR(IF(tblPiNAnalysis[[#This Row],[ID]]="", "", INDEX(tblPiNHistorical[[SAMV]:[ASH]], MATCH(tblPiNAnalysis[[#This Row],[ID]],tblPiNHistorical[ID], 0),MATCH(_xlfn._xlws.FILTER(tblPiNAnalysis[[#Headers],[SAMV]:[ASH]], tblPiNAnalysis[[#This Row],[2º PiN más alto]]=tblPiNAnalysis[[#This Row],[SAMV]:[ASH]]), tblPiNHistorical[[#Headers],[SAMV]:[ASH]], 0))), "")</f>
        <v>NoPIN26 5467</v>
      </c>
      <c r="AT310" s="100" t="str" cm="1">
        <f t="array" ref="AT31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10" s="219">
        <f>INDEX(tblSeverityAnalysis[Severidad final], MATCH(tblPiNAnalysis[[#This Row],[ID]],tblSeverityAnalysis[ID], 0))</f>
        <v>2</v>
      </c>
      <c r="AV310" s="220">
        <f>IF(tblPiNAnalysis[[#This Row],[Severidad]]&gt;2,tblPiNAnalysis[[#This Row],[PiN más alto]],)</f>
        <v>0</v>
      </c>
      <c r="AW310" s="54"/>
      <c r="AX310" s="55"/>
      <c r="AY310" s="56">
        <f>COUNTIFS(tblPiNAnalysis[[#This Row],[Número de PiN ausentes/cero superior al umbral - Calidad de los datos]:[Marcador manual]],"Flagged")</f>
        <v>3</v>
      </c>
      <c r="AZ310" s="34" t="str">
        <f>IF(tblPiNAnalysis[[#This Row],[Número de marcadores]]&gt;0, "Flagged", "")</f>
        <v>Flagged</v>
      </c>
      <c r="BA310" s="92">
        <f>tblPiNAnalysis[[#This Row],[PiN preliminar]]</f>
        <v>0</v>
      </c>
      <c r="BB310" s="97"/>
      <c r="BC310" s="70">
        <f>IFERROR(IF(tblPiNAnalysis[[#This Row],[Severidad]]=3,tblPiNAnalysis[[#This Row],[PiN final]]*Umbrales!$D$33,tblPiNAnalysis[[#This Row],[PiN final]]*Umbrales!$D$34),)</f>
        <v>0</v>
      </c>
      <c r="BD310" s="70">
        <f>IFERROR(IF(tblPiNAnalysis[[#This Row],[Severidad]]&gt;3,tblPiNAnalysis[[#This Row],[PiN final]]*Umbrales!$D$34,),)</f>
        <v>0</v>
      </c>
    </row>
    <row r="311" spans="1:56">
      <c r="A311" s="101" t="str">
        <f>IFERROR(_xlfn.CONCAT(IF(tblPiNAnalysis[[#This Row],[Grupo]]="", "",tblPiNAnalysis[[#This Row],[Grupo]] ),  _xlfn.IFS(tblPiNAnalysis[[#This Row],[Admin2PCODE]]&lt;&gt;"", tblPiNAnalysis[[#This Row],[Admin2PCODE]], tblPiNAnalysis[[#This Row],[Admin1PCODE]]&lt;&gt;"", tblPiNAnalysis[[#This Row],[Admin1PCODE]])),"")</f>
        <v>VenezolanosVE2013</v>
      </c>
      <c r="B311" s="105" t="s">
        <v>589</v>
      </c>
      <c r="C311" s="104" t="s">
        <v>590</v>
      </c>
      <c r="D311" s="119" t="s">
        <v>612</v>
      </c>
      <c r="E311" s="104" t="s">
        <v>613</v>
      </c>
      <c r="F311" s="358"/>
      <c r="G311" s="357">
        <v>10097</v>
      </c>
      <c r="H311" s="103" t="s">
        <v>102</v>
      </c>
      <c r="I311" s="60">
        <v>337</v>
      </c>
      <c r="J311" s="134">
        <v>397.40872664439723</v>
      </c>
      <c r="K311" s="57">
        <v>3685.4050000000002</v>
      </c>
      <c r="L311" s="87">
        <v>676.12951401902478</v>
      </c>
      <c r="M311" s="87">
        <v>1212.7013402338721</v>
      </c>
      <c r="N311" s="57">
        <v>0</v>
      </c>
      <c r="O311" s="57">
        <v>388.06442887483911</v>
      </c>
      <c r="P311" s="57">
        <v>424.44546908185521</v>
      </c>
      <c r="Q311" s="88">
        <f>IFERROR(IF(tblPiNAnalysis[[#This Row],[SAMV]]="", "", MROUND(tblPiNAnalysis[[#This Row],[SAMV]]/tblPiNAnalysis[[#This Row],[Población]], 0.05)), "")</f>
        <v>0.05</v>
      </c>
      <c r="R311" s="89">
        <f>IFERROR(IF(tblPiNAnalysis[[#This Row],[NUT]]="", "", MROUND(tblPiNAnalysis[[#This Row],[NUT]]/tblPiNAnalysis[[#This Row],[Población]], 0.05)), "")</f>
        <v>0.05</v>
      </c>
      <c r="S311" s="89">
        <f>IFERROR(IF(tblPiNAnalysis[[#This Row],[SAL]]="", "", MROUND(tblPiNAnalysis[[#This Row],[SAL]]/tblPiNAnalysis[[#This Row],[Población]], 0.05)), "")</f>
        <v>0.35000000000000003</v>
      </c>
      <c r="T311" s="89">
        <f>IFERROR(IF(tblPiNAnalysis[[#This Row],[EDU]]="", "", MROUND(tblPiNAnalysis[[#This Row],[EDU]]/tblPiNAnalysis[[#This Row],[Población]], 0.05)), "")</f>
        <v>0.05</v>
      </c>
      <c r="U311" s="89">
        <f>IFERROR(IF(tblPiNAnalysis[[#This Row],[PRO]]="", "", MROUND(tblPiNAnalysis[[#This Row],[PRO]]/tblPiNAnalysis[[#This Row],[Población]], 0.05)), "")</f>
        <v>0.1</v>
      </c>
      <c r="V311" s="90">
        <f>IFERROR(IF(tblPiNAnalysis[[#This Row],[ASH]]="", "", MROUND(tblPiNAnalysis[[#This Row],[ASH]]/tblPiNAnalysis[[#This Row],[Población]], 0.05)), "")</f>
        <v>0</v>
      </c>
      <c r="W311" s="89">
        <f>IFERROR(MROUND(tblPiNAnalysis[[#This Row],[NNA]]/tblPiNAnalysis[[#This Row],[Población]], 0.05), "")</f>
        <v>0.05</v>
      </c>
      <c r="X311" s="89">
        <f>IFERROR(MROUND(tblPiNAnalysis[[#This Row],[VBG]]/tblPiNAnalysis[[#This Row],[Población]], 0.05), "")</f>
        <v>0.05</v>
      </c>
      <c r="Y311" s="91">
        <f>IFERROR(LARGE(tblPiNAnalysis[[#This Row],[SAMV]:[ASH]], 1), "")</f>
        <v>3685.4050000000002</v>
      </c>
      <c r="Z311" s="92" t="str" cm="1">
        <f t="array" ref="Z311">IF(tblPiNAnalysis[[#This Row],[PiN más alto]]="", "", _xlfn.TEXTJOIN(CHAR(10), TRUE, IF(tblPiNAnalysis[[#This Row],[PiN más alto]]=tblPiNAnalysis[[#This Row],[SAMV]:[ASH]], tblPiNAnalysis[[#Headers],[SAMV]:[ASH]], "")))</f>
        <v>SAL</v>
      </c>
      <c r="AA311" s="93">
        <f>IF(tblPiNAnalysis[[#This Row],[PiN más alto]]="", "", tblPiNAnalysis[[#This Row],[PiN más alto]]/tblPiNAnalysis[[#This Row],[Población]])</f>
        <v>0.36500000000000005</v>
      </c>
      <c r="AB311" s="94" t="str">
        <f>IF(SUM(tblPiNAnalysis[[#This Row],[SAMV]:[ASH]])=0, "",IF(COUNTIF(tblPiNAnalysis[[#This Row],[SAMV]:[ASH]],"=0")+COUNTIF(tblPiNAnalysis[[#This Row],[SAMV]:[ASH]],"")&gt;=zero_pin_thresh, "Flagged", ""))</f>
        <v/>
      </c>
      <c r="AC311" s="95" t="str">
        <f>IFERROR(IF(tblPiNAnalysis[[#This Row],[PiN más alto]]="", "", IF(tblPiNAnalysis[[#This Row],[% PiN Sectores más altos]]&gt;=flag_pin_perc, "Flagged", "")), "")</f>
        <v/>
      </c>
      <c r="AD311" s="96" t="str" cm="1">
        <f t="array" ref="AD311">IF(tblPiNAnalysis[[#This Row],[PiN más alto]]=0, "",  IF(OR(COUNTIF(tblPiNAnalysis[[#This Row],[Sectores más altos]],tblSubSectorPopulation[Sector])), "Flagged", ""))</f>
        <v/>
      </c>
      <c r="AE311" s="16" cm="1">
        <f t="array" ref="AE31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1212.7013402338721</v>
      </c>
      <c r="AF311" s="97" t="str" cm="1">
        <f t="array" ref="AF311">IF(tblPiNAnalysis[[#This Row],[2º PiN más alto]]="", "", _xlfn.TEXTJOIN(CHAR(10), TRUE, IF(tblPiNAnalysis[[#This Row],[2º PiN más alto]]=tblPiNAnalysis[[#This Row],[SAMV]:[ASH]], tblPiNAnalysis[[#Headers],[SAMV]:[ASH]], "")))</f>
        <v>PRO</v>
      </c>
      <c r="AG311" s="12">
        <f>IFERROR(tblPiNAnalysis[[#This Row],[2º PiN más alto]]/tblPiNAnalysis[[#This Row],[Población]], "")</f>
        <v>0.12010511441357552</v>
      </c>
      <c r="AH311" s="16">
        <f>IFERROR(tblPiNAnalysis[[#This Row],[PiN más alto]]-tblPiNAnalysis[[#This Row],[2º PiN más alto]], "")</f>
        <v>2472.7036597661281</v>
      </c>
      <c r="AI311" s="14">
        <f>IFERROR(((tblPiNAnalysis[[#This Row],[PiN más alto]]-tblPiNAnalysis[[#This Row],[2º PiN más alto]])/tblPiNAnalysis[[#This Row],[2º PiN más alto]]),"")</f>
        <v>2.0390046400783741</v>
      </c>
      <c r="AJ311" s="14" t="str" cm="1">
        <f t="array" ref="AJ31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11" s="98" cm="1">
        <f t="array" ref="AK31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676.12951401902478</v>
      </c>
      <c r="AL311" s="53" t="str" cm="1">
        <f t="array" ref="AL311">IF(tblPiNAnalysis[[#This Row],[3º PiN más alto]]="", "", _xlfn.TEXTJOIN(CHAR(10), TRUE, IF(tblPiNAnalysis[[#This Row],[3º PiN más alto]]=tblPiNAnalysis[[#This Row],[SAMV]:[ASH]], tblPiNAnalysis[[#Headers],[SAMV]:[ASH]], "")))</f>
        <v>EDU</v>
      </c>
      <c r="AM311" s="53">
        <f>IFERROR(tblPiNAnalysis[[#This Row],[3º PiN más alto]]/tblPiNAnalysis[[#This Row],[Población]], "")</f>
        <v>6.6963406360208449E-2</v>
      </c>
      <c r="AN311" s="15">
        <f>IFERROR(tblPiNAnalysis[[#This Row],[PiN más alto]]-tblPiNAnalysis[[#This Row],[3º PiN más alto]],"")</f>
        <v>3009.2754859809756</v>
      </c>
      <c r="AO311" s="14">
        <f>IFERROR(tblPiNAnalysis[[#This Row],[Diferencia de PiN entre el más alto y el 3º más alto]]/tblPiNAnalysis[[#This Row],[3º PiN más alto]], "")</f>
        <v>4.4507382440582255</v>
      </c>
      <c r="AP311" s="96" t="str" cm="1">
        <f t="array" ref="AP31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11" s="84" cm="1">
        <f t="array" ref="AQ311">IFERROR(IF(tblPiNAnalysis[[#This Row],[ID]]="", "", INDEX(tblPiNHistorical[[SAMV]:[ASH]], MATCH(tblPiNAnalysis[[#This Row],[ID]],tblPiNHistorical[ID], 0),MATCH(_xlfn._xlws.FILTER(tblPiNAnalysis[[#Headers],[SAMV]:[ASH]], tblPiNAnalysis[[#This Row],[PiN más alto]]=tblPiNAnalysis[[#This Row],[SAMV]:[ASH]]), tblPiNHistorical[[#Headers],[SAMV]:[ASH]], 0))), "")</f>
        <v>1.2</v>
      </c>
      <c r="AR311" s="99" t="str" cm="1">
        <f t="array" ref="AR31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11" s="74" cm="1">
        <f t="array" ref="AS311">IFERROR(IF(tblPiNAnalysis[[#This Row],[ID]]="", "", INDEX(tblPiNHistorical[[SAMV]:[ASH]], MATCH(tblPiNAnalysis[[#This Row],[ID]],tblPiNHistorical[ID], 0),MATCH(_xlfn._xlws.FILTER(tblPiNAnalysis[[#Headers],[SAMV]:[ASH]], tblPiNAnalysis[[#This Row],[2º PiN más alto]]=tblPiNAnalysis[[#This Row],[SAMV]:[ASH]]), tblPiNHistorical[[#Headers],[SAMV]:[ASH]], 0))), "")</f>
        <v>-0.4</v>
      </c>
      <c r="AT311" s="100" t="str" cm="1">
        <f t="array" ref="AT31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11" s="219">
        <f>INDEX(tblSeverityAnalysis[Severidad final], MATCH(tblPiNAnalysis[[#This Row],[ID]],tblSeverityAnalysis[ID], 0))</f>
        <v>2</v>
      </c>
      <c r="AV311" s="220">
        <f>IF(tblPiNAnalysis[[#This Row],[Severidad]]&gt;2,tblPiNAnalysis[[#This Row],[PiN más alto]],)</f>
        <v>0</v>
      </c>
      <c r="AW311" s="54"/>
      <c r="AX311" s="55"/>
      <c r="AY311" s="56">
        <f>COUNTIFS(tblPiNAnalysis[[#This Row],[Número de PiN ausentes/cero superior al umbral - Calidad de los datos]:[Marcador manual]],"Flagged")</f>
        <v>3</v>
      </c>
      <c r="AZ311" s="34" t="str">
        <f>IF(tblPiNAnalysis[[#This Row],[Número de marcadores]]&gt;0, "Flagged", "")</f>
        <v>Flagged</v>
      </c>
      <c r="BA311" s="92">
        <f>tblPiNAnalysis[[#This Row],[PiN preliminar]]</f>
        <v>0</v>
      </c>
      <c r="BB311" s="97"/>
      <c r="BC311" s="70">
        <f>IFERROR(IF(tblPiNAnalysis[[#This Row],[Severidad]]=3,tblPiNAnalysis[[#This Row],[PiN final]]*Umbrales!$D$33,tblPiNAnalysis[[#This Row],[PiN final]]*Umbrales!$D$34),)</f>
        <v>0</v>
      </c>
      <c r="BD311" s="70">
        <f>IFERROR(IF(tblPiNAnalysis[[#This Row],[Severidad]]&gt;3,tblPiNAnalysis[[#This Row],[PiN final]]*Umbrales!$D$34,),)</f>
        <v>0</v>
      </c>
    </row>
    <row r="312" spans="1:56">
      <c r="A312" s="101" t="str">
        <f>IFERROR(_xlfn.CONCAT(IF(tblPiNAnalysis[[#This Row],[Grupo]]="", "",tblPiNAnalysis[[#This Row],[Grupo]] ),  _xlfn.IFS(tblPiNAnalysis[[#This Row],[Admin2PCODE]]&lt;&gt;"", tblPiNAnalysis[[#This Row],[Admin2PCODE]], tblPiNAnalysis[[#This Row],[Admin1PCODE]]&lt;&gt;"", tblPiNAnalysis[[#This Row],[Admin1PCODE]])),"")</f>
        <v>VenezolanosVE2017</v>
      </c>
      <c r="B312" s="105" t="s">
        <v>589</v>
      </c>
      <c r="C312" s="104" t="s">
        <v>590</v>
      </c>
      <c r="D312" s="119" t="s">
        <v>618</v>
      </c>
      <c r="E312" s="104" t="s">
        <v>619</v>
      </c>
      <c r="F312" s="358"/>
      <c r="G312" s="357">
        <v>13862</v>
      </c>
      <c r="H312" s="103" t="s">
        <v>102</v>
      </c>
      <c r="I312" s="60">
        <v>4364</v>
      </c>
      <c r="J312" s="134">
        <v>328.35682092048978</v>
      </c>
      <c r="K312" s="57">
        <v>5059.63</v>
      </c>
      <c r="L312" s="87">
        <v>2079.4913569233327</v>
      </c>
      <c r="M312" s="87">
        <v>2774.8284933349732</v>
      </c>
      <c r="N312" s="57">
        <v>0</v>
      </c>
      <c r="O312" s="57">
        <v>887.94511786719136</v>
      </c>
      <c r="P312" s="57">
        <v>971.18997266724068</v>
      </c>
      <c r="Q312" s="88">
        <f>IFERROR(IF(tblPiNAnalysis[[#This Row],[SAMV]]="", "", MROUND(tblPiNAnalysis[[#This Row],[SAMV]]/tblPiNAnalysis[[#This Row],[Población]], 0.05)), "")</f>
        <v>0.30000000000000004</v>
      </c>
      <c r="R312" s="89">
        <f>IFERROR(IF(tblPiNAnalysis[[#This Row],[NUT]]="", "", MROUND(tblPiNAnalysis[[#This Row],[NUT]]/tblPiNAnalysis[[#This Row],[Población]], 0.05)), "")</f>
        <v>0</v>
      </c>
      <c r="S312" s="89">
        <f>IFERROR(IF(tblPiNAnalysis[[#This Row],[SAL]]="", "", MROUND(tblPiNAnalysis[[#This Row],[SAL]]/tblPiNAnalysis[[#This Row],[Población]], 0.05)), "")</f>
        <v>0.35000000000000003</v>
      </c>
      <c r="T312" s="89">
        <f>IFERROR(IF(tblPiNAnalysis[[#This Row],[EDU]]="", "", MROUND(tblPiNAnalysis[[#This Row],[EDU]]/tblPiNAnalysis[[#This Row],[Población]], 0.05)), "")</f>
        <v>0.15000000000000002</v>
      </c>
      <c r="U312" s="89">
        <f>IFERROR(IF(tblPiNAnalysis[[#This Row],[PRO]]="", "", MROUND(tblPiNAnalysis[[#This Row],[PRO]]/tblPiNAnalysis[[#This Row],[Población]], 0.05)), "")</f>
        <v>0.2</v>
      </c>
      <c r="V312" s="90">
        <f>IFERROR(IF(tblPiNAnalysis[[#This Row],[ASH]]="", "", MROUND(tblPiNAnalysis[[#This Row],[ASH]]/tblPiNAnalysis[[#This Row],[Población]], 0.05)), "")</f>
        <v>0</v>
      </c>
      <c r="W312" s="89">
        <f>IFERROR(MROUND(tblPiNAnalysis[[#This Row],[NNA]]/tblPiNAnalysis[[#This Row],[Población]], 0.05), "")</f>
        <v>0.05</v>
      </c>
      <c r="X312" s="89">
        <f>IFERROR(MROUND(tblPiNAnalysis[[#This Row],[VBG]]/tblPiNAnalysis[[#This Row],[Población]], 0.05), "")</f>
        <v>0.05</v>
      </c>
      <c r="Y312" s="91">
        <f>IFERROR(LARGE(tblPiNAnalysis[[#This Row],[SAMV]:[ASH]], 1), "")</f>
        <v>5059.63</v>
      </c>
      <c r="Z312" s="92" t="str" cm="1">
        <f t="array" ref="Z312">IF(tblPiNAnalysis[[#This Row],[PiN más alto]]="", "", _xlfn.TEXTJOIN(CHAR(10), TRUE, IF(tblPiNAnalysis[[#This Row],[PiN más alto]]=tblPiNAnalysis[[#This Row],[SAMV]:[ASH]], tblPiNAnalysis[[#Headers],[SAMV]:[ASH]], "")))</f>
        <v>SAL</v>
      </c>
      <c r="AA312" s="93">
        <f>IF(tblPiNAnalysis[[#This Row],[PiN más alto]]="", "", tblPiNAnalysis[[#This Row],[PiN más alto]]/tblPiNAnalysis[[#This Row],[Población]])</f>
        <v>0.36499999999999999</v>
      </c>
      <c r="AB312" s="94" t="str">
        <f>IF(SUM(tblPiNAnalysis[[#This Row],[SAMV]:[ASH]])=0, "",IF(COUNTIF(tblPiNAnalysis[[#This Row],[SAMV]:[ASH]],"=0")+COUNTIF(tblPiNAnalysis[[#This Row],[SAMV]:[ASH]],"")&gt;=zero_pin_thresh, "Flagged", ""))</f>
        <v/>
      </c>
      <c r="AC312" s="95" t="str">
        <f>IFERROR(IF(tblPiNAnalysis[[#This Row],[PiN más alto]]="", "", IF(tblPiNAnalysis[[#This Row],[% PiN Sectores más altos]]&gt;=flag_pin_perc, "Flagged", "")), "")</f>
        <v/>
      </c>
      <c r="AD312" s="96" t="str" cm="1">
        <f t="array" ref="AD312">IF(tblPiNAnalysis[[#This Row],[PiN más alto]]=0, "",  IF(OR(COUNTIF(tblPiNAnalysis[[#This Row],[Sectores más altos]],tblSubSectorPopulation[Sector])), "Flagged", ""))</f>
        <v/>
      </c>
      <c r="AE312" s="16" cm="1">
        <f t="array" ref="AE31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4364</v>
      </c>
      <c r="AF312" s="97" t="str" cm="1">
        <f t="array" ref="AF312">IF(tblPiNAnalysis[[#This Row],[2º PiN más alto]]="", "", _xlfn.TEXTJOIN(CHAR(10), TRUE, IF(tblPiNAnalysis[[#This Row],[2º PiN más alto]]=tblPiNAnalysis[[#This Row],[SAMV]:[ASH]], tblPiNAnalysis[[#Headers],[SAMV]:[ASH]], "")))</f>
        <v>SAMV</v>
      </c>
      <c r="AG312" s="12">
        <f>IFERROR(tblPiNAnalysis[[#This Row],[2º PiN más alto]]/tblPiNAnalysis[[#This Row],[Población]], "")</f>
        <v>0.31481748665416248</v>
      </c>
      <c r="AH312" s="16">
        <f>IFERROR(tblPiNAnalysis[[#This Row],[PiN más alto]]-tblPiNAnalysis[[#This Row],[2º PiN más alto]], "")</f>
        <v>695.63000000000011</v>
      </c>
      <c r="AI312" s="14">
        <f>IFERROR(((tblPiNAnalysis[[#This Row],[PiN más alto]]-tblPiNAnalysis[[#This Row],[2º PiN más alto]])/tblPiNAnalysis[[#This Row],[2º PiN más alto]]),"")</f>
        <v>0.15940192483959673</v>
      </c>
      <c r="AJ312" s="14" t="str" cm="1">
        <f t="array" ref="AJ31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12" s="98" cm="1">
        <f t="array" ref="AK31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2774.8284933349732</v>
      </c>
      <c r="AL312" s="53" t="str" cm="1">
        <f t="array" ref="AL312">IF(tblPiNAnalysis[[#This Row],[3º PiN más alto]]="", "", _xlfn.TEXTJOIN(CHAR(10), TRUE, IF(tblPiNAnalysis[[#This Row],[3º PiN más alto]]=tblPiNAnalysis[[#This Row],[SAMV]:[ASH]], tblPiNAnalysis[[#Headers],[SAMV]:[ASH]], "")))</f>
        <v>PRO</v>
      </c>
      <c r="AM312" s="53">
        <f>IFERROR(tblPiNAnalysis[[#This Row],[3º PiN más alto]]/tblPiNAnalysis[[#This Row],[Población]], "")</f>
        <v>0.20017519068929254</v>
      </c>
      <c r="AN312" s="15">
        <f>IFERROR(tblPiNAnalysis[[#This Row],[PiN más alto]]-tblPiNAnalysis[[#This Row],[3º PiN más alto]],"")</f>
        <v>2284.8015066650269</v>
      </c>
      <c r="AO312" s="14">
        <f>IFERROR(tblPiNAnalysis[[#This Row],[Diferencia de PiN entre el más alto y el 3º más alto]]/tblPiNAnalysis[[#This Row],[3º PiN más alto]], "")</f>
        <v>0.82340278404702438</v>
      </c>
      <c r="AP312" s="96" t="str" cm="1">
        <f t="array" ref="AP31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12" s="84" cm="1">
        <f t="array" ref="AQ312">IFERROR(IF(tblPiNAnalysis[[#This Row],[ID]]="", "", INDEX(tblPiNHistorical[[SAMV]:[ASH]], MATCH(tblPiNAnalysis[[#This Row],[ID]],tblPiNHistorical[ID], 0),MATCH(_xlfn._xlws.FILTER(tblPiNAnalysis[[#Headers],[SAMV]:[ASH]], tblPiNAnalysis[[#This Row],[PiN más alto]]=tblPiNAnalysis[[#This Row],[SAMV]:[ASH]]), tblPiNHistorical[[#Headers],[SAMV]:[ASH]], 0))), "")</f>
        <v>2.4</v>
      </c>
      <c r="AR312" s="99" t="str" cm="1">
        <f t="array" ref="AR31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12" s="74" cm="1">
        <f t="array" ref="AS312">IFERROR(IF(tblPiNAnalysis[[#This Row],[ID]]="", "", INDEX(tblPiNHistorical[[SAMV]:[ASH]], MATCH(tblPiNAnalysis[[#This Row],[ID]],tblPiNHistorical[ID], 0),MATCH(_xlfn._xlws.FILTER(tblPiNAnalysis[[#Headers],[SAMV]:[ASH]], tblPiNAnalysis[[#This Row],[2º PiN más alto]]=tblPiNAnalysis[[#This Row],[SAMV]:[ASH]]), tblPiNHistorical[[#Headers],[SAMV]:[ASH]], 0))), "")</f>
        <v>-0.6</v>
      </c>
      <c r="AT312" s="100" t="str" cm="1">
        <f t="array" ref="AT31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12" s="219">
        <f>INDEX(tblSeverityAnalysis[Severidad final], MATCH(tblPiNAnalysis[[#This Row],[ID]],tblSeverityAnalysis[ID], 0))</f>
        <v>2</v>
      </c>
      <c r="AV312" s="220">
        <f>IF(tblPiNAnalysis[[#This Row],[Severidad]]&gt;2,tblPiNAnalysis[[#This Row],[PiN más alto]],)</f>
        <v>0</v>
      </c>
      <c r="AW312" s="54"/>
      <c r="AX312" s="55"/>
      <c r="AY312" s="56">
        <f>COUNTIFS(tblPiNAnalysis[[#This Row],[Número de PiN ausentes/cero superior al umbral - Calidad de los datos]:[Marcador manual]],"Flagged")</f>
        <v>2</v>
      </c>
      <c r="AZ312" s="34" t="str">
        <f>IF(tblPiNAnalysis[[#This Row],[Número de marcadores]]&gt;0, "Flagged", "")</f>
        <v>Flagged</v>
      </c>
      <c r="BA312" s="92">
        <f>tblPiNAnalysis[[#This Row],[PiN preliminar]]</f>
        <v>0</v>
      </c>
      <c r="BB312" s="97"/>
      <c r="BC312" s="70">
        <f>IFERROR(IF(tblPiNAnalysis[[#This Row],[Severidad]]=3,tblPiNAnalysis[[#This Row],[PiN final]]*Umbrales!$D$33,tblPiNAnalysis[[#This Row],[PiN final]]*Umbrales!$D$34),)</f>
        <v>0</v>
      </c>
      <c r="BD312" s="70">
        <f>IFERROR(IF(tblPiNAnalysis[[#This Row],[Severidad]]&gt;3,tblPiNAnalysis[[#This Row],[PiN final]]*Umbrales!$D$34,),)</f>
        <v>0</v>
      </c>
    </row>
    <row r="313" spans="1:56">
      <c r="A313" s="101" t="str">
        <f>IFERROR(_xlfn.CONCAT(IF(tblPiNAnalysis[[#This Row],[Grupo]]="", "",tblPiNAnalysis[[#This Row],[Grupo]] ),  _xlfn.IFS(tblPiNAnalysis[[#This Row],[Admin2PCODE]]&lt;&gt;"", tblPiNAnalysis[[#This Row],[Admin2PCODE]], tblPiNAnalysis[[#This Row],[Admin1PCODE]]&lt;&gt;"", tblPiNAnalysis[[#This Row],[Admin1PCODE]])),"")</f>
        <v>VenezolanosVE2018</v>
      </c>
      <c r="B313" s="105" t="s">
        <v>589</v>
      </c>
      <c r="C313" s="104" t="s">
        <v>590</v>
      </c>
      <c r="D313" s="119" t="s">
        <v>620</v>
      </c>
      <c r="E313" s="104" t="s">
        <v>621</v>
      </c>
      <c r="F313" s="358"/>
      <c r="G313" s="357">
        <v>19993</v>
      </c>
      <c r="H313" s="103" t="s">
        <v>102</v>
      </c>
      <c r="I313" s="60">
        <v>6665</v>
      </c>
      <c r="J313" s="134">
        <v>606.48514632526735</v>
      </c>
      <c r="K313" s="57">
        <v>7297.4449999999997</v>
      </c>
      <c r="L313" s="87">
        <v>2442.2626103369207</v>
      </c>
      <c r="M313" s="87">
        <v>4002.1025874510265</v>
      </c>
      <c r="N313" s="57">
        <v>0</v>
      </c>
      <c r="O313" s="57">
        <v>1280.6728279843285</v>
      </c>
      <c r="P313" s="57">
        <v>1400.7359056078594</v>
      </c>
      <c r="Q313" s="88">
        <f>IFERROR(IF(tblPiNAnalysis[[#This Row],[SAMV]]="", "", MROUND(tblPiNAnalysis[[#This Row],[SAMV]]/tblPiNAnalysis[[#This Row],[Población]], 0.05)), "")</f>
        <v>0.35000000000000003</v>
      </c>
      <c r="R313" s="89">
        <f>IFERROR(IF(tblPiNAnalysis[[#This Row],[NUT]]="", "", MROUND(tblPiNAnalysis[[#This Row],[NUT]]/tblPiNAnalysis[[#This Row],[Población]], 0.05)), "")</f>
        <v>0.05</v>
      </c>
      <c r="S313" s="89">
        <f>IFERROR(IF(tblPiNAnalysis[[#This Row],[SAL]]="", "", MROUND(tblPiNAnalysis[[#This Row],[SAL]]/tblPiNAnalysis[[#This Row],[Población]], 0.05)), "")</f>
        <v>0.35000000000000003</v>
      </c>
      <c r="T313" s="89">
        <f>IFERROR(IF(tblPiNAnalysis[[#This Row],[EDU]]="", "", MROUND(tblPiNAnalysis[[#This Row],[EDU]]/tblPiNAnalysis[[#This Row],[Población]], 0.05)), "")</f>
        <v>0.1</v>
      </c>
      <c r="U313" s="89">
        <f>IFERROR(IF(tblPiNAnalysis[[#This Row],[PRO]]="", "", MROUND(tblPiNAnalysis[[#This Row],[PRO]]/tblPiNAnalysis[[#This Row],[Población]], 0.05)), "")</f>
        <v>0.2</v>
      </c>
      <c r="V313" s="90">
        <f>IFERROR(IF(tblPiNAnalysis[[#This Row],[ASH]]="", "", MROUND(tblPiNAnalysis[[#This Row],[ASH]]/tblPiNAnalysis[[#This Row],[Población]], 0.05)), "")</f>
        <v>0</v>
      </c>
      <c r="W313" s="89">
        <f>IFERROR(MROUND(tblPiNAnalysis[[#This Row],[NNA]]/tblPiNAnalysis[[#This Row],[Población]], 0.05), "")</f>
        <v>0.05</v>
      </c>
      <c r="X313" s="89">
        <f>IFERROR(MROUND(tblPiNAnalysis[[#This Row],[VBG]]/tblPiNAnalysis[[#This Row],[Población]], 0.05), "")</f>
        <v>0.05</v>
      </c>
      <c r="Y313" s="91">
        <f>IFERROR(LARGE(tblPiNAnalysis[[#This Row],[SAMV]:[ASH]], 1), "")</f>
        <v>7297.4449999999997</v>
      </c>
      <c r="Z313" s="92" t="str" cm="1">
        <f t="array" ref="Z313">IF(tblPiNAnalysis[[#This Row],[PiN más alto]]="", "", _xlfn.TEXTJOIN(CHAR(10), TRUE, IF(tblPiNAnalysis[[#This Row],[PiN más alto]]=tblPiNAnalysis[[#This Row],[SAMV]:[ASH]], tblPiNAnalysis[[#Headers],[SAMV]:[ASH]], "")))</f>
        <v>SAL</v>
      </c>
      <c r="AA313" s="93">
        <f>IF(tblPiNAnalysis[[#This Row],[PiN más alto]]="", "", tblPiNAnalysis[[#This Row],[PiN más alto]]/tblPiNAnalysis[[#This Row],[Población]])</f>
        <v>0.36499999999999999</v>
      </c>
      <c r="AB313" s="94" t="str">
        <f>IF(SUM(tblPiNAnalysis[[#This Row],[SAMV]:[ASH]])=0, "",IF(COUNTIF(tblPiNAnalysis[[#This Row],[SAMV]:[ASH]],"=0")+COUNTIF(tblPiNAnalysis[[#This Row],[SAMV]:[ASH]],"")&gt;=zero_pin_thresh, "Flagged", ""))</f>
        <v/>
      </c>
      <c r="AC313" s="95" t="str">
        <f>IFERROR(IF(tblPiNAnalysis[[#This Row],[PiN más alto]]="", "", IF(tblPiNAnalysis[[#This Row],[% PiN Sectores más altos]]&gt;=flag_pin_perc, "Flagged", "")), "")</f>
        <v/>
      </c>
      <c r="AD313" s="96" t="str" cm="1">
        <f t="array" ref="AD313">IF(tblPiNAnalysis[[#This Row],[PiN más alto]]=0, "",  IF(OR(COUNTIF(tblPiNAnalysis[[#This Row],[Sectores más altos]],tblSubSectorPopulation[Sector])), "Flagged", ""))</f>
        <v/>
      </c>
      <c r="AE313" s="16" cm="1">
        <f t="array" ref="AE31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6665</v>
      </c>
      <c r="AF313" s="97" t="str" cm="1">
        <f t="array" ref="AF313">IF(tblPiNAnalysis[[#This Row],[2º PiN más alto]]="", "", _xlfn.TEXTJOIN(CHAR(10), TRUE, IF(tblPiNAnalysis[[#This Row],[2º PiN más alto]]=tblPiNAnalysis[[#This Row],[SAMV]:[ASH]], tblPiNAnalysis[[#Headers],[SAMV]:[ASH]], "")))</f>
        <v>SAMV</v>
      </c>
      <c r="AG313" s="12">
        <f>IFERROR(tblPiNAnalysis[[#This Row],[2º PiN más alto]]/tblPiNAnalysis[[#This Row],[Población]], "")</f>
        <v>0.33336667833741812</v>
      </c>
      <c r="AH313" s="16">
        <f>IFERROR(tblPiNAnalysis[[#This Row],[PiN más alto]]-tblPiNAnalysis[[#This Row],[2º PiN más alto]], "")</f>
        <v>632.44499999999971</v>
      </c>
      <c r="AI313" s="14">
        <f>IFERROR(((tblPiNAnalysis[[#This Row],[PiN más alto]]-tblPiNAnalysis[[#This Row],[2º PiN más alto]])/tblPiNAnalysis[[#This Row],[2º PiN más alto]]),"")</f>
        <v>9.4890472618154489E-2</v>
      </c>
      <c r="AJ313" s="14" t="str" cm="1">
        <f t="array" ref="AJ31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13" s="98" cm="1">
        <f t="array" ref="AK31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4002.1025874510265</v>
      </c>
      <c r="AL313" s="53" t="str" cm="1">
        <f t="array" ref="AL313">IF(tblPiNAnalysis[[#This Row],[3º PiN más alto]]="", "", _xlfn.TEXTJOIN(CHAR(10), TRUE, IF(tblPiNAnalysis[[#This Row],[3º PiN más alto]]=tblPiNAnalysis[[#This Row],[SAMV]:[ASH]], tblPiNAnalysis[[#Headers],[SAMV]:[ASH]], "")))</f>
        <v>PRO</v>
      </c>
      <c r="AM313" s="53">
        <f>IFERROR(tblPiNAnalysis[[#This Row],[3º PiN más alto]]/tblPiNAnalysis[[#This Row],[Población]], "")</f>
        <v>0.20017519068929257</v>
      </c>
      <c r="AN313" s="15">
        <f>IFERROR(tblPiNAnalysis[[#This Row],[PiN más alto]]-tblPiNAnalysis[[#This Row],[3º PiN más alto]],"")</f>
        <v>3295.3424125489732</v>
      </c>
      <c r="AO313" s="14">
        <f>IFERROR(tblPiNAnalysis[[#This Row],[Diferencia de PiN entre el más alto y el 3º más alto]]/tblPiNAnalysis[[#This Row],[3º PiN más alto]], "")</f>
        <v>0.82340278404702394</v>
      </c>
      <c r="AP313" s="96" t="str" cm="1">
        <f t="array" ref="AP31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13" s="84" cm="1">
        <f t="array" ref="AQ313">IFERROR(IF(tblPiNAnalysis[[#This Row],[ID]]="", "", INDEX(tblPiNHistorical[[SAMV]:[ASH]], MATCH(tblPiNAnalysis[[#This Row],[ID]],tblPiNHistorical[ID], 0),MATCH(_xlfn._xlws.FILTER(tblPiNAnalysis[[#Headers],[SAMV]:[ASH]], tblPiNAnalysis[[#This Row],[PiN más alto]]=tblPiNAnalysis[[#This Row],[SAMV]:[ASH]]), tblPiNHistorical[[#Headers],[SAMV]:[ASH]], 0))), "")</f>
        <v>1</v>
      </c>
      <c r="AR313" s="99" t="str" cm="1">
        <f t="array" ref="AR31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13" s="74" cm="1">
        <f t="array" ref="AS313">IFERROR(IF(tblPiNAnalysis[[#This Row],[ID]]="", "", INDEX(tblPiNHistorical[[SAMV]:[ASH]], MATCH(tblPiNAnalysis[[#This Row],[ID]],tblPiNHistorical[ID], 0),MATCH(_xlfn._xlws.FILTER(tblPiNAnalysis[[#Headers],[SAMV]:[ASH]], tblPiNAnalysis[[#This Row],[2º PiN más alto]]=tblPiNAnalysis[[#This Row],[SAMV]:[ASH]]), tblPiNHistorical[[#Headers],[SAMV]:[ASH]], 0))), "")</f>
        <v>0.9</v>
      </c>
      <c r="AT313" s="100" t="str" cm="1">
        <f t="array" ref="AT31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13" s="219">
        <f>INDEX(tblSeverityAnalysis[Severidad final], MATCH(tblPiNAnalysis[[#This Row],[ID]],tblSeverityAnalysis[ID], 0))</f>
        <v>2</v>
      </c>
      <c r="AV313" s="220">
        <f>IF(tblPiNAnalysis[[#This Row],[Severidad]]&gt;2,tblPiNAnalysis[[#This Row],[PiN más alto]],)</f>
        <v>0</v>
      </c>
      <c r="AW313" s="54"/>
      <c r="AX313" s="55"/>
      <c r="AY313" s="56">
        <f>COUNTIFS(tblPiNAnalysis[[#This Row],[Número de PiN ausentes/cero superior al umbral - Calidad de los datos]:[Marcador manual]],"Flagged")</f>
        <v>2</v>
      </c>
      <c r="AZ313" s="34" t="str">
        <f>IF(tblPiNAnalysis[[#This Row],[Número de marcadores]]&gt;0, "Flagged", "")</f>
        <v>Flagged</v>
      </c>
      <c r="BA313" s="92">
        <f>tblPiNAnalysis[[#This Row],[PiN preliminar]]</f>
        <v>0</v>
      </c>
      <c r="BB313" s="97"/>
      <c r="BC313" s="70">
        <f>IFERROR(IF(tblPiNAnalysis[[#This Row],[Severidad]]=3,tblPiNAnalysis[[#This Row],[PiN final]]*Umbrales!$D$33,tblPiNAnalysis[[#This Row],[PiN final]]*Umbrales!$D$34),)</f>
        <v>0</v>
      </c>
      <c r="BD313" s="70">
        <f>IFERROR(IF(tblPiNAnalysis[[#This Row],[Severidad]]&gt;3,tblPiNAnalysis[[#This Row],[PiN final]]*Umbrales!$D$34,),)</f>
        <v>0</v>
      </c>
    </row>
    <row r="314" spans="1:56">
      <c r="A314" s="101" t="str">
        <f>IFERROR(_xlfn.CONCAT(IF(tblPiNAnalysis[[#This Row],[Grupo]]="", "",tblPiNAnalysis[[#This Row],[Grupo]] ),  _xlfn.IFS(tblPiNAnalysis[[#This Row],[Admin2PCODE]]&lt;&gt;"", tblPiNAnalysis[[#This Row],[Admin2PCODE]], tblPiNAnalysis[[#This Row],[Admin1PCODE]]&lt;&gt;"", tblPiNAnalysis[[#This Row],[Admin1PCODE]])),"")</f>
        <v>VenezolanosVE2021</v>
      </c>
      <c r="B314" s="105" t="s">
        <v>589</v>
      </c>
      <c r="C314" s="104" t="s">
        <v>590</v>
      </c>
      <c r="D314" s="119" t="s">
        <v>626</v>
      </c>
      <c r="E314" s="104" t="s">
        <v>627</v>
      </c>
      <c r="F314" s="358"/>
      <c r="G314" s="357">
        <v>6030</v>
      </c>
      <c r="H314" s="103" t="s">
        <v>102</v>
      </c>
      <c r="I314" s="60">
        <v>2010</v>
      </c>
      <c r="J314" s="134">
        <v>265.02125379108611</v>
      </c>
      <c r="K314" s="57">
        <v>2200.9499999999998</v>
      </c>
      <c r="L314" s="87">
        <v>658.45090590077473</v>
      </c>
      <c r="M314" s="87">
        <v>1207.0563998564339</v>
      </c>
      <c r="N314" s="57">
        <v>0</v>
      </c>
      <c r="O314" s="57">
        <v>386.25804795405884</v>
      </c>
      <c r="P314" s="57">
        <v>422.46973994975184</v>
      </c>
      <c r="Q314" s="88">
        <f>IFERROR(IF(tblPiNAnalysis[[#This Row],[SAMV]]="", "", MROUND(tblPiNAnalysis[[#This Row],[SAMV]]/tblPiNAnalysis[[#This Row],[Población]], 0.05)), "")</f>
        <v>0.35000000000000003</v>
      </c>
      <c r="R314" s="89">
        <f>IFERROR(IF(tblPiNAnalysis[[#This Row],[NUT]]="", "", MROUND(tblPiNAnalysis[[#This Row],[NUT]]/tblPiNAnalysis[[#This Row],[Población]], 0.05)), "")</f>
        <v>0.05</v>
      </c>
      <c r="S314" s="89">
        <f>IFERROR(IF(tblPiNAnalysis[[#This Row],[SAL]]="", "", MROUND(tblPiNAnalysis[[#This Row],[SAL]]/tblPiNAnalysis[[#This Row],[Población]], 0.05)), "")</f>
        <v>0.35000000000000003</v>
      </c>
      <c r="T314" s="89">
        <f>IFERROR(IF(tblPiNAnalysis[[#This Row],[EDU]]="", "", MROUND(tblPiNAnalysis[[#This Row],[EDU]]/tblPiNAnalysis[[#This Row],[Población]], 0.05)), "")</f>
        <v>0.1</v>
      </c>
      <c r="U314" s="89">
        <f>IFERROR(IF(tblPiNAnalysis[[#This Row],[PRO]]="", "", MROUND(tblPiNAnalysis[[#This Row],[PRO]]/tblPiNAnalysis[[#This Row],[Población]], 0.05)), "")</f>
        <v>0.2</v>
      </c>
      <c r="V314" s="90">
        <f>IFERROR(IF(tblPiNAnalysis[[#This Row],[ASH]]="", "", MROUND(tblPiNAnalysis[[#This Row],[ASH]]/tblPiNAnalysis[[#This Row],[Población]], 0.05)), "")</f>
        <v>0</v>
      </c>
      <c r="W314" s="89">
        <f>IFERROR(MROUND(tblPiNAnalysis[[#This Row],[NNA]]/tblPiNAnalysis[[#This Row],[Población]], 0.05), "")</f>
        <v>0.05</v>
      </c>
      <c r="X314" s="89">
        <f>IFERROR(MROUND(tblPiNAnalysis[[#This Row],[VBG]]/tblPiNAnalysis[[#This Row],[Población]], 0.05), "")</f>
        <v>0.05</v>
      </c>
      <c r="Y314" s="91">
        <f>IFERROR(LARGE(tblPiNAnalysis[[#This Row],[SAMV]:[ASH]], 1), "")</f>
        <v>2200.9499999999998</v>
      </c>
      <c r="Z314" s="92" t="str" cm="1">
        <f t="array" ref="Z314">IF(tblPiNAnalysis[[#This Row],[PiN más alto]]="", "", _xlfn.TEXTJOIN(CHAR(10), TRUE, IF(tblPiNAnalysis[[#This Row],[PiN más alto]]=tblPiNAnalysis[[#This Row],[SAMV]:[ASH]], tblPiNAnalysis[[#Headers],[SAMV]:[ASH]], "")))</f>
        <v>SAL</v>
      </c>
      <c r="AA314" s="93">
        <f>IF(tblPiNAnalysis[[#This Row],[PiN más alto]]="", "", tblPiNAnalysis[[#This Row],[PiN más alto]]/tblPiNAnalysis[[#This Row],[Población]])</f>
        <v>0.36499999999999999</v>
      </c>
      <c r="AB314" s="94" t="str">
        <f>IF(SUM(tblPiNAnalysis[[#This Row],[SAMV]:[ASH]])=0, "",IF(COUNTIF(tblPiNAnalysis[[#This Row],[SAMV]:[ASH]],"=0")+COUNTIF(tblPiNAnalysis[[#This Row],[SAMV]:[ASH]],"")&gt;=zero_pin_thresh, "Flagged", ""))</f>
        <v/>
      </c>
      <c r="AC314" s="95" t="str">
        <f>IFERROR(IF(tblPiNAnalysis[[#This Row],[PiN más alto]]="", "", IF(tblPiNAnalysis[[#This Row],[% PiN Sectores más altos]]&gt;=flag_pin_perc, "Flagged", "")), "")</f>
        <v/>
      </c>
      <c r="AD314" s="96" t="str" cm="1">
        <f t="array" ref="AD314">IF(tblPiNAnalysis[[#This Row],[PiN más alto]]=0, "",  IF(OR(COUNTIF(tblPiNAnalysis[[#This Row],[Sectores más altos]],tblSubSectorPopulation[Sector])), "Flagged", ""))</f>
        <v/>
      </c>
      <c r="AE314" s="16" cm="1">
        <f t="array" ref="AE31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2010</v>
      </c>
      <c r="AF314" s="97" t="str" cm="1">
        <f t="array" ref="AF314">IF(tblPiNAnalysis[[#This Row],[2º PiN más alto]]="", "", _xlfn.TEXTJOIN(CHAR(10), TRUE, IF(tblPiNAnalysis[[#This Row],[2º PiN más alto]]=tblPiNAnalysis[[#This Row],[SAMV]:[ASH]], tblPiNAnalysis[[#Headers],[SAMV]:[ASH]], "")))</f>
        <v>SAMV</v>
      </c>
      <c r="AG314" s="12">
        <f>IFERROR(tblPiNAnalysis[[#This Row],[2º PiN más alto]]/tblPiNAnalysis[[#This Row],[Población]], "")</f>
        <v>0.33333333333333331</v>
      </c>
      <c r="AH314" s="16">
        <f>IFERROR(tblPiNAnalysis[[#This Row],[PiN más alto]]-tblPiNAnalysis[[#This Row],[2º PiN más alto]], "")</f>
        <v>190.94999999999982</v>
      </c>
      <c r="AI314" s="14">
        <f>IFERROR(((tblPiNAnalysis[[#This Row],[PiN más alto]]-tblPiNAnalysis[[#This Row],[2º PiN más alto]])/tblPiNAnalysis[[#This Row],[2º PiN más alto]]),"")</f>
        <v>9.4999999999999904E-2</v>
      </c>
      <c r="AJ314" s="14" t="str" cm="1">
        <f t="array" ref="AJ31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14" s="98" cm="1">
        <f t="array" ref="AK31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1207.0563998564339</v>
      </c>
      <c r="AL314" s="53" t="str" cm="1">
        <f t="array" ref="AL314">IF(tblPiNAnalysis[[#This Row],[3º PiN más alto]]="", "", _xlfn.TEXTJOIN(CHAR(10), TRUE, IF(tblPiNAnalysis[[#This Row],[3º PiN más alto]]=tblPiNAnalysis[[#This Row],[SAMV]:[ASH]], tblPiNAnalysis[[#Headers],[SAMV]:[ASH]], "")))</f>
        <v>PRO</v>
      </c>
      <c r="AM314" s="53">
        <f>IFERROR(tblPiNAnalysis[[#This Row],[3º PiN más alto]]/tblPiNAnalysis[[#This Row],[Población]], "")</f>
        <v>0.20017519068929251</v>
      </c>
      <c r="AN314" s="15">
        <f>IFERROR(tblPiNAnalysis[[#This Row],[PiN más alto]]-tblPiNAnalysis[[#This Row],[3º PiN más alto]],"")</f>
        <v>993.89360014356589</v>
      </c>
      <c r="AO314" s="14">
        <f>IFERROR(tblPiNAnalysis[[#This Row],[Diferencia de PiN entre el más alto y el 3º más alto]]/tblPiNAnalysis[[#This Row],[3º PiN más alto]], "")</f>
        <v>0.82340278404702427</v>
      </c>
      <c r="AP314" s="96" t="str" cm="1">
        <f t="array" ref="AP31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14" s="84" cm="1">
        <f t="array" ref="AQ314">IFERROR(IF(tblPiNAnalysis[[#This Row],[ID]]="", "", INDEX(tblPiNHistorical[[SAMV]:[ASH]], MATCH(tblPiNAnalysis[[#This Row],[ID]],tblPiNHistorical[ID], 0),MATCH(_xlfn._xlws.FILTER(tblPiNAnalysis[[#Headers],[SAMV]:[ASH]], tblPiNAnalysis[[#This Row],[PiN más alto]]=tblPiNAnalysis[[#This Row],[SAMV]:[ASH]]), tblPiNHistorical[[#Headers],[SAMV]:[ASH]], 0))), "")</f>
        <v>8.1999999999999993</v>
      </c>
      <c r="AR314" s="99" t="str" cm="1">
        <f t="array" ref="AR31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14" s="74" cm="1">
        <f t="array" ref="AS314">IFERROR(IF(tblPiNAnalysis[[#This Row],[ID]]="", "", INDEX(tblPiNHistorical[[SAMV]:[ASH]], MATCH(tblPiNAnalysis[[#This Row],[ID]],tblPiNHistorical[ID], 0),MATCH(_xlfn._xlws.FILTER(tblPiNAnalysis[[#Headers],[SAMV]:[ASH]], tblPiNAnalysis[[#This Row],[2º PiN más alto]]=tblPiNAnalysis[[#This Row],[SAMV]:[ASH]]), tblPiNHistorical[[#Headers],[SAMV]:[ASH]], 0))), "")</f>
        <v>3.6</v>
      </c>
      <c r="AT314" s="100" t="str" cm="1">
        <f t="array" ref="AT31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14" s="219">
        <f>INDEX(tblSeverityAnalysis[Severidad final], MATCH(tblPiNAnalysis[[#This Row],[ID]],tblSeverityAnalysis[ID], 0))</f>
        <v>2</v>
      </c>
      <c r="AV314" s="220">
        <f>IF(tblPiNAnalysis[[#This Row],[Severidad]]&gt;2,tblPiNAnalysis[[#This Row],[PiN más alto]],)</f>
        <v>0</v>
      </c>
      <c r="AW314" s="54"/>
      <c r="AX314" s="55"/>
      <c r="AY314" s="56">
        <f>COUNTIFS(tblPiNAnalysis[[#This Row],[Número de PiN ausentes/cero superior al umbral - Calidad de los datos]:[Marcador manual]],"Flagged")</f>
        <v>3</v>
      </c>
      <c r="AZ314" s="34" t="str">
        <f>IF(tblPiNAnalysis[[#This Row],[Número de marcadores]]&gt;0, "Flagged", "")</f>
        <v>Flagged</v>
      </c>
      <c r="BA314" s="92">
        <f>tblPiNAnalysis[[#This Row],[PiN preliminar]]</f>
        <v>0</v>
      </c>
      <c r="BB314" s="97"/>
      <c r="BC314" s="70">
        <f>IFERROR(IF(tblPiNAnalysis[[#This Row],[Severidad]]=3,tblPiNAnalysis[[#This Row],[PiN final]]*Umbrales!$D$33,tblPiNAnalysis[[#This Row],[PiN final]]*Umbrales!$D$34),)</f>
        <v>0</v>
      </c>
      <c r="BD314" s="70">
        <f>IFERROR(IF(tblPiNAnalysis[[#This Row],[Severidad]]&gt;3,tblPiNAnalysis[[#This Row],[PiN final]]*Umbrales!$D$34,),)</f>
        <v>0</v>
      </c>
    </row>
    <row r="315" spans="1:56">
      <c r="A315" s="101" t="str">
        <f>IFERROR(_xlfn.CONCAT(IF(tblPiNAnalysis[[#This Row],[Grupo]]="", "",tblPiNAnalysis[[#This Row],[Grupo]] ),  _xlfn.IFS(tblPiNAnalysis[[#This Row],[Admin2PCODE]]&lt;&gt;"", tblPiNAnalysis[[#This Row],[Admin2PCODE]], tblPiNAnalysis[[#This Row],[Admin1PCODE]]&lt;&gt;"", tblPiNAnalysis[[#This Row],[Admin1PCODE]])),"")</f>
        <v>VenezolanosVE2024</v>
      </c>
      <c r="B315" s="105" t="s">
        <v>589</v>
      </c>
      <c r="C315" s="104" t="s">
        <v>590</v>
      </c>
      <c r="D315" s="119" t="s">
        <v>632</v>
      </c>
      <c r="E315" s="104" t="s">
        <v>633</v>
      </c>
      <c r="F315" s="358"/>
      <c r="G315" s="357">
        <v>10470</v>
      </c>
      <c r="H315" s="103" t="s">
        <v>102</v>
      </c>
      <c r="I315" s="60">
        <v>3839</v>
      </c>
      <c r="J315" s="134">
        <v>345.52603913440515</v>
      </c>
      <c r="K315" s="57">
        <v>3821.55</v>
      </c>
      <c r="L315" s="87">
        <v>994.09074375115142</v>
      </c>
      <c r="M315" s="87">
        <v>1257.500547910136</v>
      </c>
      <c r="N315" s="57">
        <v>0</v>
      </c>
      <c r="O315" s="57">
        <v>403.65767587915366</v>
      </c>
      <c r="P315" s="57">
        <v>440.1251917685475</v>
      </c>
      <c r="Q315" s="88">
        <f>IFERROR(IF(tblPiNAnalysis[[#This Row],[SAMV]]="", "", MROUND(tblPiNAnalysis[[#This Row],[SAMV]]/tblPiNAnalysis[[#This Row],[Población]], 0.05)), "")</f>
        <v>0.35000000000000003</v>
      </c>
      <c r="R315" s="89">
        <f>IFERROR(IF(tblPiNAnalysis[[#This Row],[NUT]]="", "", MROUND(tblPiNAnalysis[[#This Row],[NUT]]/tblPiNAnalysis[[#This Row],[Población]], 0.05)), "")</f>
        <v>0.05</v>
      </c>
      <c r="S315" s="89">
        <f>IFERROR(IF(tblPiNAnalysis[[#This Row],[SAL]]="", "", MROUND(tblPiNAnalysis[[#This Row],[SAL]]/tblPiNAnalysis[[#This Row],[Población]], 0.05)), "")</f>
        <v>0.35000000000000003</v>
      </c>
      <c r="T315" s="89">
        <f>IFERROR(IF(tblPiNAnalysis[[#This Row],[EDU]]="", "", MROUND(tblPiNAnalysis[[#This Row],[EDU]]/tblPiNAnalysis[[#This Row],[Población]], 0.05)), "")</f>
        <v>0.1</v>
      </c>
      <c r="U315" s="89">
        <f>IFERROR(IF(tblPiNAnalysis[[#This Row],[PRO]]="", "", MROUND(tblPiNAnalysis[[#This Row],[PRO]]/tblPiNAnalysis[[#This Row],[Población]], 0.05)), "")</f>
        <v>0.1</v>
      </c>
      <c r="V315" s="90">
        <f>IFERROR(IF(tblPiNAnalysis[[#This Row],[ASH]]="", "", MROUND(tblPiNAnalysis[[#This Row],[ASH]]/tblPiNAnalysis[[#This Row],[Población]], 0.05)), "")</f>
        <v>0</v>
      </c>
      <c r="W315" s="89">
        <f>IFERROR(MROUND(tblPiNAnalysis[[#This Row],[NNA]]/tblPiNAnalysis[[#This Row],[Población]], 0.05), "")</f>
        <v>0.05</v>
      </c>
      <c r="X315" s="89">
        <f>IFERROR(MROUND(tblPiNAnalysis[[#This Row],[VBG]]/tblPiNAnalysis[[#This Row],[Población]], 0.05), "")</f>
        <v>0.05</v>
      </c>
      <c r="Y315" s="91">
        <f>IFERROR(LARGE(tblPiNAnalysis[[#This Row],[SAMV]:[ASH]], 1), "")</f>
        <v>3839</v>
      </c>
      <c r="Z315" s="92" t="str" cm="1">
        <f t="array" ref="Z315">IF(tblPiNAnalysis[[#This Row],[PiN más alto]]="", "", _xlfn.TEXTJOIN(CHAR(10), TRUE, IF(tblPiNAnalysis[[#This Row],[PiN más alto]]=tblPiNAnalysis[[#This Row],[SAMV]:[ASH]], tblPiNAnalysis[[#Headers],[SAMV]:[ASH]], "")))</f>
        <v>SAMV</v>
      </c>
      <c r="AA315" s="93">
        <f>IF(tblPiNAnalysis[[#This Row],[PiN más alto]]="", "", tblPiNAnalysis[[#This Row],[PiN más alto]]/tblPiNAnalysis[[#This Row],[Población]])</f>
        <v>0.36666666666666664</v>
      </c>
      <c r="AB315" s="94" t="str">
        <f>IF(SUM(tblPiNAnalysis[[#This Row],[SAMV]:[ASH]])=0, "",IF(COUNTIF(tblPiNAnalysis[[#This Row],[SAMV]:[ASH]],"=0")+COUNTIF(tblPiNAnalysis[[#This Row],[SAMV]:[ASH]],"")&gt;=zero_pin_thresh, "Flagged", ""))</f>
        <v/>
      </c>
      <c r="AC315" s="95" t="str">
        <f>IFERROR(IF(tblPiNAnalysis[[#This Row],[PiN más alto]]="", "", IF(tblPiNAnalysis[[#This Row],[% PiN Sectores más altos]]&gt;=flag_pin_perc, "Flagged", "")), "")</f>
        <v/>
      </c>
      <c r="AD315" s="96" t="str" cm="1">
        <f t="array" ref="AD315">IF(tblPiNAnalysis[[#This Row],[PiN más alto]]=0, "",  IF(OR(COUNTIF(tblPiNAnalysis[[#This Row],[Sectores más altos]],tblSubSectorPopulation[Sector])), "Flagged", ""))</f>
        <v/>
      </c>
      <c r="AE315" s="16" cm="1">
        <f t="array" ref="AE31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3821.55</v>
      </c>
      <c r="AF315" s="97" t="str" cm="1">
        <f t="array" ref="AF315">IF(tblPiNAnalysis[[#This Row],[2º PiN más alto]]="", "", _xlfn.TEXTJOIN(CHAR(10), TRUE, IF(tblPiNAnalysis[[#This Row],[2º PiN más alto]]=tblPiNAnalysis[[#This Row],[SAMV]:[ASH]], tblPiNAnalysis[[#Headers],[SAMV]:[ASH]], "")))</f>
        <v>SAL</v>
      </c>
      <c r="AG315" s="12">
        <f>IFERROR(tblPiNAnalysis[[#This Row],[2º PiN más alto]]/tblPiNAnalysis[[#This Row],[Población]], "")</f>
        <v>0.36499999999999999</v>
      </c>
      <c r="AH315" s="16">
        <f>IFERROR(tblPiNAnalysis[[#This Row],[PiN más alto]]-tblPiNAnalysis[[#This Row],[2º PiN más alto]], "")</f>
        <v>17.449999999999818</v>
      </c>
      <c r="AI315" s="14">
        <f>IFERROR(((tblPiNAnalysis[[#This Row],[PiN más alto]]-tblPiNAnalysis[[#This Row],[2º PiN más alto]])/tblPiNAnalysis[[#This Row],[2º PiN más alto]]),"")</f>
        <v>4.5662100456620525E-3</v>
      </c>
      <c r="AJ315" s="14" t="str" cm="1">
        <f t="array" ref="AJ31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15" s="98" cm="1">
        <f t="array" ref="AK31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1257.500547910136</v>
      </c>
      <c r="AL315" s="53" t="str" cm="1">
        <f t="array" ref="AL315">IF(tblPiNAnalysis[[#This Row],[3º PiN más alto]]="", "", _xlfn.TEXTJOIN(CHAR(10), TRUE, IF(tblPiNAnalysis[[#This Row],[3º PiN más alto]]=tblPiNAnalysis[[#This Row],[SAMV]:[ASH]], tblPiNAnalysis[[#Headers],[SAMV]:[ASH]], "")))</f>
        <v>PRO</v>
      </c>
      <c r="AM315" s="53">
        <f>IFERROR(tblPiNAnalysis[[#This Row],[3º PiN más alto]]/tblPiNAnalysis[[#This Row],[Población]], "")</f>
        <v>0.12010511441357555</v>
      </c>
      <c r="AN315" s="15">
        <f>IFERROR(tblPiNAnalysis[[#This Row],[PiN más alto]]-tblPiNAnalysis[[#This Row],[3º PiN más alto]],"")</f>
        <v>2581.499452089864</v>
      </c>
      <c r="AO315" s="14">
        <f>IFERROR(tblPiNAnalysis[[#This Row],[Diferencia de PiN entre el más alto y el 3º más alto]]/tblPiNAnalysis[[#This Row],[3º PiN más alto]], "")</f>
        <v>2.0528813735947127</v>
      </c>
      <c r="AP315" s="96" t="str" cm="1">
        <f t="array" ref="AP31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15" s="84" cm="1">
        <f t="array" ref="AQ315">IFERROR(IF(tblPiNAnalysis[[#This Row],[ID]]="", "", INDEX(tblPiNHistorical[[SAMV]:[ASH]], MATCH(tblPiNAnalysis[[#This Row],[ID]],tblPiNHistorical[ID], 0),MATCH(_xlfn._xlws.FILTER(tblPiNAnalysis[[#Headers],[SAMV]:[ASH]], tblPiNAnalysis[[#This Row],[PiN más alto]]=tblPiNAnalysis[[#This Row],[SAMV]:[ASH]]), tblPiNHistorical[[#Headers],[SAMV]:[ASH]], 0))), "")</f>
        <v>0.7</v>
      </c>
      <c r="AR315" s="99" t="str" cm="1">
        <f t="array" ref="AR31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15" s="74" cm="1">
        <f t="array" ref="AS315">IFERROR(IF(tblPiNAnalysis[[#This Row],[ID]]="", "", INDEX(tblPiNHistorical[[SAMV]:[ASH]], MATCH(tblPiNAnalysis[[#This Row],[ID]],tblPiNHistorical[ID], 0),MATCH(_xlfn._xlws.FILTER(tblPiNAnalysis[[#Headers],[SAMV]:[ASH]], tblPiNAnalysis[[#This Row],[2º PiN más alto]]=tblPiNAnalysis[[#This Row],[SAMV]:[ASH]]), tblPiNHistorical[[#Headers],[SAMV]:[ASH]], 0))), "")</f>
        <v>2.1</v>
      </c>
      <c r="AT315" s="100" t="str" cm="1">
        <f t="array" ref="AT31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15" s="219">
        <f>INDEX(tblSeverityAnalysis[Severidad final], MATCH(tblPiNAnalysis[[#This Row],[ID]],tblSeverityAnalysis[ID], 0))</f>
        <v>2</v>
      </c>
      <c r="AV315" s="220">
        <f>IF(tblPiNAnalysis[[#This Row],[Severidad]]&gt;2,tblPiNAnalysis[[#This Row],[PiN más alto]],)</f>
        <v>0</v>
      </c>
      <c r="AW315" s="54"/>
      <c r="AX315" s="55"/>
      <c r="AY315" s="56">
        <f>COUNTIFS(tblPiNAnalysis[[#This Row],[Número de PiN ausentes/cero superior al umbral - Calidad de los datos]:[Marcador manual]],"Flagged")</f>
        <v>2</v>
      </c>
      <c r="AZ315" s="34" t="str">
        <f>IF(tblPiNAnalysis[[#This Row],[Número de marcadores]]&gt;0, "Flagged", "")</f>
        <v>Flagged</v>
      </c>
      <c r="BA315" s="92">
        <f>tblPiNAnalysis[[#This Row],[PiN preliminar]]</f>
        <v>0</v>
      </c>
      <c r="BB315" s="97"/>
      <c r="BC315" s="70">
        <f>IFERROR(IF(tblPiNAnalysis[[#This Row],[Severidad]]=3,tblPiNAnalysis[[#This Row],[PiN final]]*Umbrales!$D$33,tblPiNAnalysis[[#This Row],[PiN final]]*Umbrales!$D$34),)</f>
        <v>0</v>
      </c>
      <c r="BD315" s="70">
        <f>IFERROR(IF(tblPiNAnalysis[[#This Row],[Severidad]]&gt;3,tblPiNAnalysis[[#This Row],[PiN final]]*Umbrales!$D$34,),)</f>
        <v>0</v>
      </c>
    </row>
    <row r="316" spans="1:56">
      <c r="A316" s="101" t="str">
        <f>IFERROR(_xlfn.CONCAT(IF(tblPiNAnalysis[[#This Row],[Grupo]]="", "",tblPiNAnalysis[[#This Row],[Grupo]] ),  _xlfn.IFS(tblPiNAnalysis[[#This Row],[Admin2PCODE]]&lt;&gt;"", tblPiNAnalysis[[#This Row],[Admin2PCODE]], tblPiNAnalysis[[#This Row],[Admin1PCODE]]&lt;&gt;"", tblPiNAnalysis[[#This Row],[Admin1PCODE]])),"")</f>
        <v>VenezolanosVE2025</v>
      </c>
      <c r="B316" s="105" t="s">
        <v>589</v>
      </c>
      <c r="C316" s="104" t="s">
        <v>590</v>
      </c>
      <c r="D316" s="119" t="s">
        <v>157</v>
      </c>
      <c r="E316" s="104" t="s">
        <v>634</v>
      </c>
      <c r="F316" s="358"/>
      <c r="G316" s="357">
        <v>2498</v>
      </c>
      <c r="H316" s="103" t="s">
        <v>102</v>
      </c>
      <c r="I316" s="60">
        <v>416</v>
      </c>
      <c r="J316" s="134">
        <v>105.62325593337326</v>
      </c>
      <c r="K316" s="57">
        <v>1415.5263157894738</v>
      </c>
      <c r="L316" s="87">
        <v>202.30879295016928</v>
      </c>
      <c r="M316" s="87">
        <v>300.02257580511184</v>
      </c>
      <c r="N316" s="57">
        <v>0</v>
      </c>
      <c r="O316" s="57">
        <v>96.3072468334409</v>
      </c>
      <c r="P316" s="57">
        <v>105.00790153178914</v>
      </c>
      <c r="Q316" s="88">
        <f>IFERROR(IF(tblPiNAnalysis[[#This Row],[SAMV]]="", "", MROUND(tblPiNAnalysis[[#This Row],[SAMV]]/tblPiNAnalysis[[#This Row],[Población]], 0.05)), "")</f>
        <v>0.15000000000000002</v>
      </c>
      <c r="R316" s="89">
        <f>IFERROR(IF(tblPiNAnalysis[[#This Row],[NUT]]="", "", MROUND(tblPiNAnalysis[[#This Row],[NUT]]/tblPiNAnalysis[[#This Row],[Población]], 0.05)), "")</f>
        <v>0.05</v>
      </c>
      <c r="S316" s="89">
        <f>IFERROR(IF(tblPiNAnalysis[[#This Row],[SAL]]="", "", MROUND(tblPiNAnalysis[[#This Row],[SAL]]/tblPiNAnalysis[[#This Row],[Población]], 0.05)), "")</f>
        <v>0.55000000000000004</v>
      </c>
      <c r="T316" s="89">
        <f>IFERROR(IF(tblPiNAnalysis[[#This Row],[EDU]]="", "", MROUND(tblPiNAnalysis[[#This Row],[EDU]]/tblPiNAnalysis[[#This Row],[Población]], 0.05)), "")</f>
        <v>0.1</v>
      </c>
      <c r="U316" s="89">
        <f>IFERROR(IF(tblPiNAnalysis[[#This Row],[PRO]]="", "", MROUND(tblPiNAnalysis[[#This Row],[PRO]]/tblPiNAnalysis[[#This Row],[Población]], 0.05)), "")</f>
        <v>0.1</v>
      </c>
      <c r="V316" s="90">
        <f>IFERROR(IF(tblPiNAnalysis[[#This Row],[ASH]]="", "", MROUND(tblPiNAnalysis[[#This Row],[ASH]]/tblPiNAnalysis[[#This Row],[Población]], 0.05)), "")</f>
        <v>0</v>
      </c>
      <c r="W316" s="89">
        <f>IFERROR(MROUND(tblPiNAnalysis[[#This Row],[NNA]]/tblPiNAnalysis[[#This Row],[Población]], 0.05), "")</f>
        <v>0.05</v>
      </c>
      <c r="X316" s="89">
        <f>IFERROR(MROUND(tblPiNAnalysis[[#This Row],[VBG]]/tblPiNAnalysis[[#This Row],[Población]], 0.05), "")</f>
        <v>0.05</v>
      </c>
      <c r="Y316" s="91">
        <f>IFERROR(LARGE(tblPiNAnalysis[[#This Row],[SAMV]:[ASH]], 1), "")</f>
        <v>1415.5263157894738</v>
      </c>
      <c r="Z316" s="92" t="str" cm="1">
        <f t="array" ref="Z316">IF(tblPiNAnalysis[[#This Row],[PiN más alto]]="", "", _xlfn.TEXTJOIN(CHAR(10), TRUE, IF(tblPiNAnalysis[[#This Row],[PiN más alto]]=tblPiNAnalysis[[#This Row],[SAMV]:[ASH]], tblPiNAnalysis[[#Headers],[SAMV]:[ASH]], "")))</f>
        <v>SAL</v>
      </c>
      <c r="AA316" s="93">
        <f>IF(tblPiNAnalysis[[#This Row],[PiN más alto]]="", "", tblPiNAnalysis[[#This Row],[PiN más alto]]/tblPiNAnalysis[[#This Row],[Población]])</f>
        <v>0.56666385740171088</v>
      </c>
      <c r="AB316" s="94" t="str">
        <f>IF(SUM(tblPiNAnalysis[[#This Row],[SAMV]:[ASH]])=0, "",IF(COUNTIF(tblPiNAnalysis[[#This Row],[SAMV]:[ASH]],"=0")+COUNTIF(tblPiNAnalysis[[#This Row],[SAMV]:[ASH]],"")&gt;=zero_pin_thresh, "Flagged", ""))</f>
        <v/>
      </c>
      <c r="AC316" s="95" t="str">
        <f>IFERROR(IF(tblPiNAnalysis[[#This Row],[PiN más alto]]="", "", IF(tblPiNAnalysis[[#This Row],[% PiN Sectores más altos]]&gt;=flag_pin_perc, "Flagged", "")), "")</f>
        <v/>
      </c>
      <c r="AD316" s="96" t="str" cm="1">
        <f t="array" ref="AD316">IF(tblPiNAnalysis[[#This Row],[PiN más alto]]=0, "",  IF(OR(COUNTIF(tblPiNAnalysis[[#This Row],[Sectores más altos]],tblSubSectorPopulation[Sector])), "Flagged", ""))</f>
        <v/>
      </c>
      <c r="AE316" s="16" cm="1">
        <f t="array" ref="AE31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416</v>
      </c>
      <c r="AF316" s="97" t="str" cm="1">
        <f t="array" ref="AF316">IF(tblPiNAnalysis[[#This Row],[2º PiN más alto]]="", "", _xlfn.TEXTJOIN(CHAR(10), TRUE, IF(tblPiNAnalysis[[#This Row],[2º PiN más alto]]=tblPiNAnalysis[[#This Row],[SAMV]:[ASH]], tblPiNAnalysis[[#Headers],[SAMV]:[ASH]], "")))</f>
        <v>SAMV</v>
      </c>
      <c r="AG316" s="12">
        <f>IFERROR(tblPiNAnalysis[[#This Row],[2º PiN más alto]]/tblPiNAnalysis[[#This Row],[Población]], "")</f>
        <v>0.16653322658126501</v>
      </c>
      <c r="AH316" s="16">
        <f>IFERROR(tblPiNAnalysis[[#This Row],[PiN más alto]]-tblPiNAnalysis[[#This Row],[2º PiN más alto]], "")</f>
        <v>999.52631578947376</v>
      </c>
      <c r="AI316" s="14">
        <f>IFERROR(((tblPiNAnalysis[[#This Row],[PiN más alto]]-tblPiNAnalysis[[#This Row],[2º PiN más alto]])/tblPiNAnalysis[[#This Row],[2º PiN más alto]]),"")</f>
        <v>2.4027074898785425</v>
      </c>
      <c r="AJ316" s="14" t="str" cm="1">
        <f t="array" ref="AJ31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16" s="98" cm="1">
        <f t="array" ref="AK31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300.02257580511184</v>
      </c>
      <c r="AL316" s="53" t="str" cm="1">
        <f t="array" ref="AL316">IF(tblPiNAnalysis[[#This Row],[3º PiN más alto]]="", "", _xlfn.TEXTJOIN(CHAR(10), TRUE, IF(tblPiNAnalysis[[#This Row],[3º PiN más alto]]=tblPiNAnalysis[[#This Row],[SAMV]:[ASH]], tblPiNAnalysis[[#Headers],[SAMV]:[ASH]], "")))</f>
        <v>PRO</v>
      </c>
      <c r="AM316" s="53">
        <f>IFERROR(tblPiNAnalysis[[#This Row],[3º PiN más alto]]/tblPiNAnalysis[[#This Row],[Población]], "")</f>
        <v>0.1201051144135756</v>
      </c>
      <c r="AN316" s="15">
        <f>IFERROR(tblPiNAnalysis[[#This Row],[PiN más alto]]-tblPiNAnalysis[[#This Row],[3º PiN más alto]],"")</f>
        <v>1115.5037399843618</v>
      </c>
      <c r="AO316" s="14">
        <f>IFERROR(tblPiNAnalysis[[#This Row],[Diferencia de PiN entre el más alto y el 3º más alto]]/tblPiNAnalysis[[#This Row],[3º PiN más alto]], "")</f>
        <v>3.7180660055027621</v>
      </c>
      <c r="AP316" s="96" t="str" cm="1">
        <f t="array" ref="AP31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16" s="84" cm="1">
        <f t="array" ref="AQ316">IFERROR(IF(tblPiNAnalysis[[#This Row],[ID]]="", "", INDEX(tblPiNHistorical[[SAMV]:[ASH]], MATCH(tblPiNAnalysis[[#This Row],[ID]],tblPiNHistorical[ID], 0),MATCH(_xlfn._xlws.FILTER(tblPiNAnalysis[[#Headers],[SAMV]:[ASH]], tblPiNAnalysis[[#This Row],[PiN más alto]]=tblPiNAnalysis[[#This Row],[SAMV]:[ASH]]), tblPiNHistorical[[#Headers],[SAMV]:[ASH]], 0))), "")</f>
        <v>57.6</v>
      </c>
      <c r="AR316" s="99" t="str" cm="1">
        <f t="array" ref="AR31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16" s="74" cm="1">
        <f t="array" ref="AS316">IFERROR(IF(tblPiNAnalysis[[#This Row],[ID]]="", "", INDEX(tblPiNHistorical[[SAMV]:[ASH]], MATCH(tblPiNAnalysis[[#This Row],[ID]],tblPiNHistorical[ID], 0),MATCH(_xlfn._xlws.FILTER(tblPiNAnalysis[[#Headers],[SAMV]:[ASH]], tblPiNAnalysis[[#This Row],[2º PiN más alto]]=tblPiNAnalysis[[#This Row],[SAMV]:[ASH]]), tblPiNHistorical[[#Headers],[SAMV]:[ASH]], 0))), "")</f>
        <v>13.2</v>
      </c>
      <c r="AT316" s="100" t="str" cm="1">
        <f t="array" ref="AT31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16" s="219">
        <f>INDEX(tblSeverityAnalysis[Severidad final], MATCH(tblPiNAnalysis[[#This Row],[ID]],tblSeverityAnalysis[ID], 0))</f>
        <v>2</v>
      </c>
      <c r="AV316" s="220">
        <f>IF(tblPiNAnalysis[[#This Row],[Severidad]]&gt;2,tblPiNAnalysis[[#This Row],[PiN más alto]],)</f>
        <v>0</v>
      </c>
      <c r="AW316" s="54"/>
      <c r="AX316" s="55"/>
      <c r="AY316" s="56">
        <f>COUNTIFS(tblPiNAnalysis[[#This Row],[Número de PiN ausentes/cero superior al umbral - Calidad de los datos]:[Marcador manual]],"Flagged")</f>
        <v>4</v>
      </c>
      <c r="AZ316" s="34" t="str">
        <f>IF(tblPiNAnalysis[[#This Row],[Número de marcadores]]&gt;0, "Flagged", "")</f>
        <v>Flagged</v>
      </c>
      <c r="BA316" s="92">
        <f>tblPiNAnalysis[[#This Row],[PiN preliminar]]</f>
        <v>0</v>
      </c>
      <c r="BB316" s="97"/>
      <c r="BC316" s="70">
        <f>IFERROR(IF(tblPiNAnalysis[[#This Row],[Severidad]]=3,tblPiNAnalysis[[#This Row],[PiN final]]*Umbrales!$D$33,tblPiNAnalysis[[#This Row],[PiN final]]*Umbrales!$D$34),)</f>
        <v>0</v>
      </c>
      <c r="BD316" s="70">
        <f>IFERROR(IF(tblPiNAnalysis[[#This Row],[Severidad]]&gt;3,tblPiNAnalysis[[#This Row],[PiN final]]*Umbrales!$D$34,),)</f>
        <v>0</v>
      </c>
    </row>
    <row r="317" spans="1:56">
      <c r="A317" s="101" t="str">
        <f>IFERROR(_xlfn.CONCAT(IF(tblPiNAnalysis[[#This Row],[Grupo]]="", "",tblPiNAnalysis[[#This Row],[Grupo]] ),  _xlfn.IFS(tblPiNAnalysis[[#This Row],[Admin2PCODE]]&lt;&gt;"", tblPiNAnalysis[[#This Row],[Admin2PCODE]], tblPiNAnalysis[[#This Row],[Admin1PCODE]]&lt;&gt;"", tblPiNAnalysis[[#This Row],[Admin1PCODE]])),"")</f>
        <v>VenezolanosVE2026</v>
      </c>
      <c r="B317" s="105" t="s">
        <v>589</v>
      </c>
      <c r="C317" s="104" t="s">
        <v>590</v>
      </c>
      <c r="D317" s="119" t="s">
        <v>203</v>
      </c>
      <c r="E317" s="104" t="s">
        <v>635</v>
      </c>
      <c r="F317" s="358"/>
      <c r="G317" s="357">
        <v>7480</v>
      </c>
      <c r="H317" s="103" t="s">
        <v>102</v>
      </c>
      <c r="I317" s="60">
        <v>623</v>
      </c>
      <c r="J317" s="134">
        <v>252.1395101639344</v>
      </c>
      <c r="K317" s="57">
        <v>2883.6363636363635</v>
      </c>
      <c r="L317" s="87">
        <v>671.37460056665236</v>
      </c>
      <c r="M317" s="87">
        <v>898.38625581354472</v>
      </c>
      <c r="N317" s="57">
        <v>0</v>
      </c>
      <c r="O317" s="57">
        <v>287.48360186033426</v>
      </c>
      <c r="P317" s="57">
        <v>314.43518953474063</v>
      </c>
      <c r="Q317" s="88">
        <f>IFERROR(IF(tblPiNAnalysis[[#This Row],[SAMV]]="", "", MROUND(tblPiNAnalysis[[#This Row],[SAMV]]/tblPiNAnalysis[[#This Row],[Población]], 0.05)), "")</f>
        <v>0.1</v>
      </c>
      <c r="R317" s="89">
        <f>IFERROR(IF(tblPiNAnalysis[[#This Row],[NUT]]="", "", MROUND(tblPiNAnalysis[[#This Row],[NUT]]/tblPiNAnalysis[[#This Row],[Población]], 0.05)), "")</f>
        <v>0.05</v>
      </c>
      <c r="S317" s="89">
        <f>IFERROR(IF(tblPiNAnalysis[[#This Row],[SAL]]="", "", MROUND(tblPiNAnalysis[[#This Row],[SAL]]/tblPiNAnalysis[[#This Row],[Población]], 0.05)), "")</f>
        <v>0.4</v>
      </c>
      <c r="T317" s="89">
        <f>IFERROR(IF(tblPiNAnalysis[[#This Row],[EDU]]="", "", MROUND(tblPiNAnalysis[[#This Row],[EDU]]/tblPiNAnalysis[[#This Row],[Población]], 0.05)), "")</f>
        <v>0.1</v>
      </c>
      <c r="U317" s="89">
        <f>IFERROR(IF(tblPiNAnalysis[[#This Row],[PRO]]="", "", MROUND(tblPiNAnalysis[[#This Row],[PRO]]/tblPiNAnalysis[[#This Row],[Población]], 0.05)), "")</f>
        <v>0.1</v>
      </c>
      <c r="V317" s="90">
        <f>IFERROR(IF(tblPiNAnalysis[[#This Row],[ASH]]="", "", MROUND(tblPiNAnalysis[[#This Row],[ASH]]/tblPiNAnalysis[[#This Row],[Población]], 0.05)), "")</f>
        <v>0</v>
      </c>
      <c r="W317" s="89">
        <f>IFERROR(MROUND(tblPiNAnalysis[[#This Row],[NNA]]/tblPiNAnalysis[[#This Row],[Población]], 0.05), "")</f>
        <v>0.05</v>
      </c>
      <c r="X317" s="89">
        <f>IFERROR(MROUND(tblPiNAnalysis[[#This Row],[VBG]]/tblPiNAnalysis[[#This Row],[Población]], 0.05), "")</f>
        <v>0.05</v>
      </c>
      <c r="Y317" s="91">
        <f>IFERROR(LARGE(tblPiNAnalysis[[#This Row],[SAMV]:[ASH]], 1), "")</f>
        <v>2883.6363636363635</v>
      </c>
      <c r="Z317" s="92" t="str" cm="1">
        <f t="array" ref="Z317">IF(tblPiNAnalysis[[#This Row],[PiN más alto]]="", "", _xlfn.TEXTJOIN(CHAR(10), TRUE, IF(tblPiNAnalysis[[#This Row],[PiN más alto]]=tblPiNAnalysis[[#This Row],[SAMV]:[ASH]], tblPiNAnalysis[[#Headers],[SAMV]:[ASH]], "")))</f>
        <v>SAL</v>
      </c>
      <c r="AA317" s="93">
        <f>IF(tblPiNAnalysis[[#This Row],[PiN más alto]]="", "", tblPiNAnalysis[[#This Row],[PiN más alto]]/tblPiNAnalysis[[#This Row],[Población]])</f>
        <v>0.38551288283908602</v>
      </c>
      <c r="AB317" s="94" t="str">
        <f>IF(SUM(tblPiNAnalysis[[#This Row],[SAMV]:[ASH]])=0, "",IF(COUNTIF(tblPiNAnalysis[[#This Row],[SAMV]:[ASH]],"=0")+COUNTIF(tblPiNAnalysis[[#This Row],[SAMV]:[ASH]],"")&gt;=zero_pin_thresh, "Flagged", ""))</f>
        <v/>
      </c>
      <c r="AC317" s="95" t="str">
        <f>IFERROR(IF(tblPiNAnalysis[[#This Row],[PiN más alto]]="", "", IF(tblPiNAnalysis[[#This Row],[% PiN Sectores más altos]]&gt;=flag_pin_perc, "Flagged", "")), "")</f>
        <v/>
      </c>
      <c r="AD317" s="96" t="str" cm="1">
        <f t="array" ref="AD317">IF(tblPiNAnalysis[[#This Row],[PiN más alto]]=0, "",  IF(OR(COUNTIF(tblPiNAnalysis[[#This Row],[Sectores más altos]],tblSubSectorPopulation[Sector])), "Flagged", ""))</f>
        <v/>
      </c>
      <c r="AE317" s="16" cm="1">
        <f t="array" ref="AE31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898.38625581354472</v>
      </c>
      <c r="AF317" s="97" t="str" cm="1">
        <f t="array" ref="AF317">IF(tblPiNAnalysis[[#This Row],[2º PiN más alto]]="", "", _xlfn.TEXTJOIN(CHAR(10), TRUE, IF(tblPiNAnalysis[[#This Row],[2º PiN más alto]]=tblPiNAnalysis[[#This Row],[SAMV]:[ASH]], tblPiNAnalysis[[#Headers],[SAMV]:[ASH]], "")))</f>
        <v>PRO</v>
      </c>
      <c r="AG317" s="12">
        <f>IFERROR(tblPiNAnalysis[[#This Row],[2º PiN más alto]]/tblPiNAnalysis[[#This Row],[Población]], "")</f>
        <v>0.12010511441357549</v>
      </c>
      <c r="AH317" s="16">
        <f>IFERROR(tblPiNAnalysis[[#This Row],[PiN más alto]]-tblPiNAnalysis[[#This Row],[2º PiN más alto]], "")</f>
        <v>1985.2501078228188</v>
      </c>
      <c r="AI317" s="14">
        <f>IFERROR(((tblPiNAnalysis[[#This Row],[PiN más alto]]-tblPiNAnalysis[[#This Row],[2º PiN más alto]])/tblPiNAnalysis[[#This Row],[2º PiN más alto]]),"")</f>
        <v>2.2097957253643101</v>
      </c>
      <c r="AJ317" s="14" t="str" cm="1">
        <f t="array" ref="AJ31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17" s="98" cm="1">
        <f t="array" ref="AK31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671.37460056665236</v>
      </c>
      <c r="AL317" s="53" t="str" cm="1">
        <f t="array" ref="AL317">IF(tblPiNAnalysis[[#This Row],[3º PiN más alto]]="", "", _xlfn.TEXTJOIN(CHAR(10), TRUE, IF(tblPiNAnalysis[[#This Row],[3º PiN más alto]]=tblPiNAnalysis[[#This Row],[SAMV]:[ASH]], tblPiNAnalysis[[#Headers],[SAMV]:[ASH]], "")))</f>
        <v>EDU</v>
      </c>
      <c r="AM317" s="53">
        <f>IFERROR(tblPiNAnalysis[[#This Row],[3º PiN más alto]]/tblPiNAnalysis[[#This Row],[Población]], "")</f>
        <v>8.9755962642600579E-2</v>
      </c>
      <c r="AN317" s="15">
        <f>IFERROR(tblPiNAnalysis[[#This Row],[PiN más alto]]-tblPiNAnalysis[[#This Row],[3º PiN más alto]],"")</f>
        <v>2212.2617630697114</v>
      </c>
      <c r="AO317" s="14">
        <f>IFERROR(tblPiNAnalysis[[#This Row],[Diferencia de PiN entre el más alto y el 3º más alto]]/tblPiNAnalysis[[#This Row],[3º PiN más alto]], "")</f>
        <v>3.2951228140035718</v>
      </c>
      <c r="AP317" s="96" t="str" cm="1">
        <f t="array" ref="AP31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17" s="84" cm="1">
        <f t="array" ref="AQ317">IFERROR(IF(tblPiNAnalysis[[#This Row],[ID]]="", "", INDEX(tblPiNHistorical[[SAMV]:[ASH]], MATCH(tblPiNAnalysis[[#This Row],[ID]],tblPiNHistorical[ID], 0),MATCH(_xlfn._xlws.FILTER(tblPiNAnalysis[[#Headers],[SAMV]:[ASH]], tblPiNAnalysis[[#This Row],[PiN más alto]]=tblPiNAnalysis[[#This Row],[SAMV]:[ASH]]), tblPiNHistorical[[#Headers],[SAMV]:[ASH]], 0))), "")</f>
        <v>7.3</v>
      </c>
      <c r="AR317" s="99" t="str" cm="1">
        <f t="array" ref="AR31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17" s="74" cm="1">
        <f t="array" ref="AS317">IFERROR(IF(tblPiNAnalysis[[#This Row],[ID]]="", "", INDEX(tblPiNHistorical[[SAMV]:[ASH]], MATCH(tblPiNAnalysis[[#This Row],[ID]],tblPiNHistorical[ID], 0),MATCH(_xlfn._xlws.FILTER(tblPiNAnalysis[[#Headers],[SAMV]:[ASH]], tblPiNAnalysis[[#This Row],[2º PiN más alto]]=tblPiNAnalysis[[#This Row],[SAMV]:[ASH]]), tblPiNHistorical[[#Headers],[SAMV]:[ASH]], 0))), "")</f>
        <v>0.1</v>
      </c>
      <c r="AT317" s="100" t="str" cm="1">
        <f t="array" ref="AT31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17" s="219">
        <f>INDEX(tblSeverityAnalysis[Severidad final], MATCH(tblPiNAnalysis[[#This Row],[ID]],tblSeverityAnalysis[ID], 0))</f>
        <v>1</v>
      </c>
      <c r="AV317" s="220">
        <f>IF(tblPiNAnalysis[[#This Row],[Severidad]]&gt;2,tblPiNAnalysis[[#This Row],[PiN más alto]],)</f>
        <v>0</v>
      </c>
      <c r="AW317" s="54"/>
      <c r="AX317" s="55"/>
      <c r="AY317" s="56">
        <f>COUNTIFS(tblPiNAnalysis[[#This Row],[Número de PiN ausentes/cero superior al umbral - Calidad de los datos]:[Marcador manual]],"Flagged")</f>
        <v>3</v>
      </c>
      <c r="AZ317" s="34" t="str">
        <f>IF(tblPiNAnalysis[[#This Row],[Número de marcadores]]&gt;0, "Flagged", "")</f>
        <v>Flagged</v>
      </c>
      <c r="BA317" s="92">
        <f>tblPiNAnalysis[[#This Row],[PiN preliminar]]</f>
        <v>0</v>
      </c>
      <c r="BB317" s="97"/>
      <c r="BC317" s="70">
        <f>IFERROR(IF(tblPiNAnalysis[[#This Row],[Severidad]]=3,tblPiNAnalysis[[#This Row],[PiN final]]*Umbrales!$D$33,tblPiNAnalysis[[#This Row],[PiN final]]*Umbrales!$D$34),)</f>
        <v>0</v>
      </c>
      <c r="BD317" s="70">
        <f>IFERROR(IF(tblPiNAnalysis[[#This Row],[Severidad]]&gt;3,tblPiNAnalysis[[#This Row],[PiN final]]*Umbrales!$D$34,),)</f>
        <v>0</v>
      </c>
    </row>
    <row r="318" spans="1:56">
      <c r="A318" s="101" t="str">
        <f>IFERROR(_xlfn.CONCAT(IF(tblPiNAnalysis[[#This Row],[Grupo]]="", "",tblPiNAnalysis[[#This Row],[Grupo]] ),  _xlfn.IFS(tblPiNAnalysis[[#This Row],[Admin2PCODE]]&lt;&gt;"", tblPiNAnalysis[[#This Row],[Admin2PCODE]], tblPiNAnalysis[[#This Row],[Admin1PCODE]]&lt;&gt;"", tblPiNAnalysis[[#This Row],[Admin1PCODE]])),"")</f>
        <v>VenezolanosVE2028</v>
      </c>
      <c r="B318" s="105" t="s">
        <v>589</v>
      </c>
      <c r="C318" s="104" t="s">
        <v>590</v>
      </c>
      <c r="D318" s="119" t="s">
        <v>638</v>
      </c>
      <c r="E318" s="104" t="s">
        <v>639</v>
      </c>
      <c r="F318" s="358"/>
      <c r="G318" s="357">
        <v>20562</v>
      </c>
      <c r="H318" s="103" t="s">
        <v>102</v>
      </c>
      <c r="I318" s="60">
        <v>343</v>
      </c>
      <c r="J318" s="134">
        <v>856.51694393951448</v>
      </c>
      <c r="K318" s="57">
        <v>7505.13</v>
      </c>
      <c r="L318" s="87">
        <v>2268.489856391257</v>
      </c>
      <c r="M318" s="87">
        <v>2469.6013625719402</v>
      </c>
      <c r="N318" s="57">
        <v>0</v>
      </c>
      <c r="O318" s="57">
        <v>790.27243602302087</v>
      </c>
      <c r="P318" s="57">
        <v>864.36047690017892</v>
      </c>
      <c r="Q318" s="88">
        <f>IFERROR(IF(tblPiNAnalysis[[#This Row],[SAMV]]="", "", MROUND(tblPiNAnalysis[[#This Row],[SAMV]]/tblPiNAnalysis[[#This Row],[Población]], 0.05)), "")</f>
        <v>0</v>
      </c>
      <c r="R318" s="89">
        <f>IFERROR(IF(tblPiNAnalysis[[#This Row],[NUT]]="", "", MROUND(tblPiNAnalysis[[#This Row],[NUT]]/tblPiNAnalysis[[#This Row],[Población]], 0.05)), "")</f>
        <v>0.05</v>
      </c>
      <c r="S318" s="89">
        <f>IFERROR(IF(tblPiNAnalysis[[#This Row],[SAL]]="", "", MROUND(tblPiNAnalysis[[#This Row],[SAL]]/tblPiNAnalysis[[#This Row],[Población]], 0.05)), "")</f>
        <v>0.35000000000000003</v>
      </c>
      <c r="T318" s="89">
        <f>IFERROR(IF(tblPiNAnalysis[[#This Row],[EDU]]="", "", MROUND(tblPiNAnalysis[[#This Row],[EDU]]/tblPiNAnalysis[[#This Row],[Población]], 0.05)), "")</f>
        <v>0.1</v>
      </c>
      <c r="U318" s="89">
        <f>IFERROR(IF(tblPiNAnalysis[[#This Row],[PRO]]="", "", MROUND(tblPiNAnalysis[[#This Row],[PRO]]/tblPiNAnalysis[[#This Row],[Población]], 0.05)), "")</f>
        <v>0.1</v>
      </c>
      <c r="V318" s="90">
        <f>IFERROR(IF(tblPiNAnalysis[[#This Row],[ASH]]="", "", MROUND(tblPiNAnalysis[[#This Row],[ASH]]/tblPiNAnalysis[[#This Row],[Población]], 0.05)), "")</f>
        <v>0</v>
      </c>
      <c r="W318" s="89">
        <f>IFERROR(MROUND(tblPiNAnalysis[[#This Row],[NNA]]/tblPiNAnalysis[[#This Row],[Población]], 0.05), "")</f>
        <v>0.05</v>
      </c>
      <c r="X318" s="89">
        <f>IFERROR(MROUND(tblPiNAnalysis[[#This Row],[VBG]]/tblPiNAnalysis[[#This Row],[Población]], 0.05), "")</f>
        <v>0.05</v>
      </c>
      <c r="Y318" s="91">
        <f>IFERROR(LARGE(tblPiNAnalysis[[#This Row],[SAMV]:[ASH]], 1), "")</f>
        <v>7505.13</v>
      </c>
      <c r="Z318" s="92" t="str" cm="1">
        <f t="array" ref="Z318">IF(tblPiNAnalysis[[#This Row],[PiN más alto]]="", "", _xlfn.TEXTJOIN(CHAR(10), TRUE, IF(tblPiNAnalysis[[#This Row],[PiN más alto]]=tblPiNAnalysis[[#This Row],[SAMV]:[ASH]], tblPiNAnalysis[[#Headers],[SAMV]:[ASH]], "")))</f>
        <v>SAL</v>
      </c>
      <c r="AA318" s="93">
        <f>IF(tblPiNAnalysis[[#This Row],[PiN más alto]]="", "", tblPiNAnalysis[[#This Row],[PiN más alto]]/tblPiNAnalysis[[#This Row],[Población]])</f>
        <v>0.36499999999999999</v>
      </c>
      <c r="AB318" s="94" t="str">
        <f>IF(SUM(tblPiNAnalysis[[#This Row],[SAMV]:[ASH]])=0, "",IF(COUNTIF(tblPiNAnalysis[[#This Row],[SAMV]:[ASH]],"=0")+COUNTIF(tblPiNAnalysis[[#This Row],[SAMV]:[ASH]],"")&gt;=zero_pin_thresh, "Flagged", ""))</f>
        <v/>
      </c>
      <c r="AC318" s="95" t="str">
        <f>IFERROR(IF(tblPiNAnalysis[[#This Row],[PiN más alto]]="", "", IF(tblPiNAnalysis[[#This Row],[% PiN Sectores más altos]]&gt;=flag_pin_perc, "Flagged", "")), "")</f>
        <v/>
      </c>
      <c r="AD318" s="96" t="str" cm="1">
        <f t="array" ref="AD318">IF(tblPiNAnalysis[[#This Row],[PiN más alto]]=0, "",  IF(OR(COUNTIF(tblPiNAnalysis[[#This Row],[Sectores más altos]],tblSubSectorPopulation[Sector])), "Flagged", ""))</f>
        <v/>
      </c>
      <c r="AE318" s="16" cm="1">
        <f t="array" ref="AE31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2469.6013625719402</v>
      </c>
      <c r="AF318" s="97" t="str" cm="1">
        <f t="array" ref="AF318">IF(tblPiNAnalysis[[#This Row],[2º PiN más alto]]="", "", _xlfn.TEXTJOIN(CHAR(10), TRUE, IF(tblPiNAnalysis[[#This Row],[2º PiN más alto]]=tblPiNAnalysis[[#This Row],[SAMV]:[ASH]], tblPiNAnalysis[[#Headers],[SAMV]:[ASH]], "")))</f>
        <v>PRO</v>
      </c>
      <c r="AG318" s="12">
        <f>IFERROR(tblPiNAnalysis[[#This Row],[2º PiN más alto]]/tblPiNAnalysis[[#This Row],[Población]], "")</f>
        <v>0.12010511441357553</v>
      </c>
      <c r="AH318" s="16">
        <f>IFERROR(tblPiNAnalysis[[#This Row],[PiN más alto]]-tblPiNAnalysis[[#This Row],[2º PiN más alto]], "")</f>
        <v>5035.5286374280604</v>
      </c>
      <c r="AI318" s="14">
        <f>IFERROR(((tblPiNAnalysis[[#This Row],[PiN más alto]]-tblPiNAnalysis[[#This Row],[2º PiN más alto]])/tblPiNAnalysis[[#This Row],[2º PiN más alto]]),"")</f>
        <v>2.0390046400783737</v>
      </c>
      <c r="AJ318" s="14" t="str" cm="1">
        <f t="array" ref="AJ31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18" s="98" cm="1">
        <f t="array" ref="AK31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2268.489856391257</v>
      </c>
      <c r="AL318" s="53" t="str" cm="1">
        <f t="array" ref="AL318">IF(tblPiNAnalysis[[#This Row],[3º PiN más alto]]="", "", _xlfn.TEXTJOIN(CHAR(10), TRUE, IF(tblPiNAnalysis[[#This Row],[3º PiN más alto]]=tblPiNAnalysis[[#This Row],[SAMV]:[ASH]], tblPiNAnalysis[[#Headers],[SAMV]:[ASH]], "")))</f>
        <v>EDU</v>
      </c>
      <c r="AM318" s="53">
        <f>IFERROR(tblPiNAnalysis[[#This Row],[3º PiN más alto]]/tblPiNAnalysis[[#This Row],[Población]], "")</f>
        <v>0.11032437780329039</v>
      </c>
      <c r="AN318" s="15">
        <f>IFERROR(tblPiNAnalysis[[#This Row],[PiN más alto]]-tblPiNAnalysis[[#This Row],[3º PiN más alto]],"")</f>
        <v>5236.6401436087435</v>
      </c>
      <c r="AO318" s="14">
        <f>IFERROR(tblPiNAnalysis[[#This Row],[Diferencia de PiN entre el más alto y el 3º más alto]]/tblPiNAnalysis[[#This Row],[3º PiN más alto]], "")</f>
        <v>2.3084256378114287</v>
      </c>
      <c r="AP318" s="96" t="str" cm="1">
        <f t="array" ref="AP31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18" s="84" cm="1">
        <f t="array" ref="AQ318">IFERROR(IF(tblPiNAnalysis[[#This Row],[ID]]="", "", INDEX(tblPiNHistorical[[SAMV]:[ASH]], MATCH(tblPiNAnalysis[[#This Row],[ID]],tblPiNHistorical[ID], 0),MATCH(_xlfn._xlws.FILTER(tblPiNAnalysis[[#Headers],[SAMV]:[ASH]], tblPiNAnalysis[[#This Row],[PiN más alto]]=tblPiNAnalysis[[#This Row],[SAMV]:[ASH]]), tblPiNHistorical[[#Headers],[SAMV]:[ASH]], 0))), "")</f>
        <v>-0.1</v>
      </c>
      <c r="AR318" s="99" t="str" cm="1">
        <f t="array" ref="AR31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18" s="74" cm="1">
        <f t="array" ref="AS318">IFERROR(IF(tblPiNAnalysis[[#This Row],[ID]]="", "", INDEX(tblPiNHistorical[[SAMV]:[ASH]], MATCH(tblPiNAnalysis[[#This Row],[ID]],tblPiNHistorical[ID], 0),MATCH(_xlfn._xlws.FILTER(tblPiNAnalysis[[#Headers],[SAMV]:[ASH]], tblPiNAnalysis[[#This Row],[2º PiN más alto]]=tblPiNAnalysis[[#This Row],[SAMV]:[ASH]]), tblPiNHistorical[[#Headers],[SAMV]:[ASH]], 0))), "")</f>
        <v>-0.9</v>
      </c>
      <c r="AT318" s="100" t="str" cm="1">
        <f t="array" ref="AT31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18" s="219">
        <f>INDEX(tblSeverityAnalysis[Severidad final], MATCH(tblPiNAnalysis[[#This Row],[ID]],tblSeverityAnalysis[ID], 0))</f>
        <v>2</v>
      </c>
      <c r="AV318" s="220">
        <f>IF(tblPiNAnalysis[[#This Row],[Severidad]]&gt;2,tblPiNAnalysis[[#This Row],[PiN más alto]],)</f>
        <v>0</v>
      </c>
      <c r="AW318" s="54"/>
      <c r="AX318" s="55"/>
      <c r="AY318" s="56">
        <f>COUNTIFS(tblPiNAnalysis[[#This Row],[Número de PiN ausentes/cero superior al umbral - Calidad de los datos]:[Marcador manual]],"Flagged")</f>
        <v>2</v>
      </c>
      <c r="AZ318" s="34" t="str">
        <f>IF(tblPiNAnalysis[[#This Row],[Número de marcadores]]&gt;0, "Flagged", "")</f>
        <v>Flagged</v>
      </c>
      <c r="BA318" s="92">
        <f>tblPiNAnalysis[[#This Row],[PiN preliminar]]</f>
        <v>0</v>
      </c>
      <c r="BB318" s="97"/>
      <c r="BC318" s="70">
        <f>IFERROR(IF(tblPiNAnalysis[[#This Row],[Severidad]]=3,tblPiNAnalysis[[#This Row],[PiN final]]*Umbrales!$D$33,tblPiNAnalysis[[#This Row],[PiN final]]*Umbrales!$D$34),)</f>
        <v>0</v>
      </c>
      <c r="BD318" s="70">
        <f>IFERROR(IF(tblPiNAnalysis[[#This Row],[Severidad]]&gt;3,tblPiNAnalysis[[#This Row],[PiN final]]*Umbrales!$D$34,),)</f>
        <v>0</v>
      </c>
    </row>
    <row r="319" spans="1:56">
      <c r="A319" s="101" t="str">
        <f>IFERROR(_xlfn.CONCAT(IF(tblPiNAnalysis[[#This Row],[Grupo]]="", "",tblPiNAnalysis[[#This Row],[Grupo]] ),  _xlfn.IFS(tblPiNAnalysis[[#This Row],[Admin2PCODE]]&lt;&gt;"", tblPiNAnalysis[[#This Row],[Admin2PCODE]], tblPiNAnalysis[[#This Row],[Admin1PCODE]]&lt;&gt;"", tblPiNAnalysis[[#This Row],[Admin1PCODE]])),"")</f>
        <v>VenezolanosVE2029</v>
      </c>
      <c r="B319" s="105" t="s">
        <v>589</v>
      </c>
      <c r="C319" s="104" t="s">
        <v>590</v>
      </c>
      <c r="D319" s="119" t="s">
        <v>640</v>
      </c>
      <c r="E319" s="104" t="s">
        <v>641</v>
      </c>
      <c r="F319" s="358"/>
      <c r="G319" s="357">
        <v>7826</v>
      </c>
      <c r="H319" s="103" t="s">
        <v>102</v>
      </c>
      <c r="I319" s="60">
        <v>3261</v>
      </c>
      <c r="J319" s="134">
        <v>210.86653352856581</v>
      </c>
      <c r="K319" s="57">
        <v>2856.49</v>
      </c>
      <c r="L319" s="87">
        <v>531.95229840460456</v>
      </c>
      <c r="M319" s="87">
        <v>939.9426254006421</v>
      </c>
      <c r="N319" s="57">
        <v>0</v>
      </c>
      <c r="O319" s="57">
        <v>300.78164012820548</v>
      </c>
      <c r="P319" s="57">
        <v>328.97991889022472</v>
      </c>
      <c r="Q319" s="88">
        <f>IFERROR(IF(tblPiNAnalysis[[#This Row],[SAMV]]="", "", MROUND(tblPiNAnalysis[[#This Row],[SAMV]]/tblPiNAnalysis[[#This Row],[Población]], 0.05)), "")</f>
        <v>0.4</v>
      </c>
      <c r="R319" s="89">
        <f>IFERROR(IF(tblPiNAnalysis[[#This Row],[NUT]]="", "", MROUND(tblPiNAnalysis[[#This Row],[NUT]]/tblPiNAnalysis[[#This Row],[Población]], 0.05)), "")</f>
        <v>0.05</v>
      </c>
      <c r="S319" s="89">
        <f>IFERROR(IF(tblPiNAnalysis[[#This Row],[SAL]]="", "", MROUND(tblPiNAnalysis[[#This Row],[SAL]]/tblPiNAnalysis[[#This Row],[Población]], 0.05)), "")</f>
        <v>0.35000000000000003</v>
      </c>
      <c r="T319" s="89">
        <f>IFERROR(IF(tblPiNAnalysis[[#This Row],[EDU]]="", "", MROUND(tblPiNAnalysis[[#This Row],[EDU]]/tblPiNAnalysis[[#This Row],[Población]], 0.05)), "")</f>
        <v>0.05</v>
      </c>
      <c r="U319" s="89">
        <f>IFERROR(IF(tblPiNAnalysis[[#This Row],[PRO]]="", "", MROUND(tblPiNAnalysis[[#This Row],[PRO]]/tblPiNAnalysis[[#This Row],[Población]], 0.05)), "")</f>
        <v>0.1</v>
      </c>
      <c r="V319" s="90">
        <f>IFERROR(IF(tblPiNAnalysis[[#This Row],[ASH]]="", "", MROUND(tblPiNAnalysis[[#This Row],[ASH]]/tblPiNAnalysis[[#This Row],[Población]], 0.05)), "")</f>
        <v>0</v>
      </c>
      <c r="W319" s="89">
        <f>IFERROR(MROUND(tblPiNAnalysis[[#This Row],[NNA]]/tblPiNAnalysis[[#This Row],[Población]], 0.05), "")</f>
        <v>0.05</v>
      </c>
      <c r="X319" s="89">
        <f>IFERROR(MROUND(tblPiNAnalysis[[#This Row],[VBG]]/tblPiNAnalysis[[#This Row],[Población]], 0.05), "")</f>
        <v>0.05</v>
      </c>
      <c r="Y319" s="91">
        <f>IFERROR(LARGE(tblPiNAnalysis[[#This Row],[SAMV]:[ASH]], 1), "")</f>
        <v>3261</v>
      </c>
      <c r="Z319" s="92" t="str" cm="1">
        <f t="array" ref="Z319">IF(tblPiNAnalysis[[#This Row],[PiN más alto]]="", "", _xlfn.TEXTJOIN(CHAR(10), TRUE, IF(tblPiNAnalysis[[#This Row],[PiN más alto]]=tblPiNAnalysis[[#This Row],[SAMV]:[ASH]], tblPiNAnalysis[[#Headers],[SAMV]:[ASH]], "")))</f>
        <v>SAMV</v>
      </c>
      <c r="AA319" s="93">
        <f>IF(tblPiNAnalysis[[#This Row],[PiN más alto]]="", "", tblPiNAnalysis[[#This Row],[PiN más alto]]/tblPiNAnalysis[[#This Row],[Población]])</f>
        <v>0.41668796319959112</v>
      </c>
      <c r="AB319" s="94" t="str">
        <f>IF(SUM(tblPiNAnalysis[[#This Row],[SAMV]:[ASH]])=0, "",IF(COUNTIF(tblPiNAnalysis[[#This Row],[SAMV]:[ASH]],"=0")+COUNTIF(tblPiNAnalysis[[#This Row],[SAMV]:[ASH]],"")&gt;=zero_pin_thresh, "Flagged", ""))</f>
        <v/>
      </c>
      <c r="AC319" s="95" t="str">
        <f>IFERROR(IF(tblPiNAnalysis[[#This Row],[PiN más alto]]="", "", IF(tblPiNAnalysis[[#This Row],[% PiN Sectores más altos]]&gt;=flag_pin_perc, "Flagged", "")), "")</f>
        <v/>
      </c>
      <c r="AD319" s="96" t="str" cm="1">
        <f t="array" ref="AD319">IF(tblPiNAnalysis[[#This Row],[PiN más alto]]=0, "",  IF(OR(COUNTIF(tblPiNAnalysis[[#This Row],[Sectores más altos]],tblSubSectorPopulation[Sector])), "Flagged", ""))</f>
        <v/>
      </c>
      <c r="AE319" s="16" cm="1">
        <f t="array" ref="AE31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2856.49</v>
      </c>
      <c r="AF319" s="97" t="str" cm="1">
        <f t="array" ref="AF319">IF(tblPiNAnalysis[[#This Row],[2º PiN más alto]]="", "", _xlfn.TEXTJOIN(CHAR(10), TRUE, IF(tblPiNAnalysis[[#This Row],[2º PiN más alto]]=tblPiNAnalysis[[#This Row],[SAMV]:[ASH]], tblPiNAnalysis[[#Headers],[SAMV]:[ASH]], "")))</f>
        <v>SAL</v>
      </c>
      <c r="AG319" s="12">
        <f>IFERROR(tblPiNAnalysis[[#This Row],[2º PiN más alto]]/tblPiNAnalysis[[#This Row],[Población]], "")</f>
        <v>0.36499999999999999</v>
      </c>
      <c r="AH319" s="16">
        <f>IFERROR(tblPiNAnalysis[[#This Row],[PiN más alto]]-tblPiNAnalysis[[#This Row],[2º PiN más alto]], "")</f>
        <v>404.51000000000022</v>
      </c>
      <c r="AI319" s="14">
        <f>IFERROR(((tblPiNAnalysis[[#This Row],[PiN más alto]]-tblPiNAnalysis[[#This Row],[2º PiN más alto]])/tblPiNAnalysis[[#This Row],[2º PiN más alto]]),"")</f>
        <v>0.1416108580810716</v>
      </c>
      <c r="AJ319" s="14" t="str" cm="1">
        <f t="array" ref="AJ31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19" s="98" cm="1">
        <f t="array" ref="AK31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939.9426254006421</v>
      </c>
      <c r="AL319" s="53" t="str" cm="1">
        <f t="array" ref="AL319">IF(tblPiNAnalysis[[#This Row],[3º PiN más alto]]="", "", _xlfn.TEXTJOIN(CHAR(10), TRUE, IF(tblPiNAnalysis[[#This Row],[3º PiN más alto]]=tblPiNAnalysis[[#This Row],[SAMV]:[ASH]], tblPiNAnalysis[[#Headers],[SAMV]:[ASH]], "")))</f>
        <v>PRO</v>
      </c>
      <c r="AM319" s="53">
        <f>IFERROR(tblPiNAnalysis[[#This Row],[3º PiN más alto]]/tblPiNAnalysis[[#This Row],[Población]], "")</f>
        <v>0.12010511441357553</v>
      </c>
      <c r="AN319" s="15">
        <f>IFERROR(tblPiNAnalysis[[#This Row],[PiN más alto]]-tblPiNAnalysis[[#This Row],[3º PiN más alto]],"")</f>
        <v>2321.0573745993579</v>
      </c>
      <c r="AO319" s="14">
        <f>IFERROR(tblPiNAnalysis[[#This Row],[Diferencia de PiN entre el más alto y el 3º más alto]]/tblPiNAnalysis[[#This Row],[3º PiN más alto]], "")</f>
        <v>2.46936069487223</v>
      </c>
      <c r="AP319" s="96" t="str" cm="1">
        <f t="array" ref="AP31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19" s="84" cm="1">
        <f t="array" ref="AQ319">IFERROR(IF(tblPiNAnalysis[[#This Row],[ID]]="", "", INDEX(tblPiNHistorical[[SAMV]:[ASH]], MATCH(tblPiNAnalysis[[#This Row],[ID]],tblPiNHistorical[ID], 0),MATCH(_xlfn._xlws.FILTER(tblPiNAnalysis[[#Headers],[SAMV]:[ASH]], tblPiNAnalysis[[#This Row],[PiN más alto]]=tblPiNAnalysis[[#This Row],[SAMV]:[ASH]]), tblPiNHistorical[[#Headers],[SAMV]:[ASH]], 0))), "")</f>
        <v>1.5</v>
      </c>
      <c r="AR319" s="99" t="str" cm="1">
        <f t="array" ref="AR31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19" s="74" cm="1">
        <f t="array" ref="AS319">IFERROR(IF(tblPiNAnalysis[[#This Row],[ID]]="", "", INDEX(tblPiNHistorical[[SAMV]:[ASH]], MATCH(tblPiNAnalysis[[#This Row],[ID]],tblPiNHistorical[ID], 0),MATCH(_xlfn._xlws.FILTER(tblPiNAnalysis[[#Headers],[SAMV]:[ASH]], tblPiNAnalysis[[#This Row],[2º PiN más alto]]=tblPiNAnalysis[[#This Row],[SAMV]:[ASH]]), tblPiNHistorical[[#Headers],[SAMV]:[ASH]], 0))), "")</f>
        <v>1.7</v>
      </c>
      <c r="AT319" s="100" t="str" cm="1">
        <f t="array" ref="AT31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19" s="219">
        <f>INDEX(tblSeverityAnalysis[Severidad final], MATCH(tblPiNAnalysis[[#This Row],[ID]],tblSeverityAnalysis[ID], 0))</f>
        <v>2</v>
      </c>
      <c r="AV319" s="220">
        <f>IF(tblPiNAnalysis[[#This Row],[Severidad]]&gt;2,tblPiNAnalysis[[#This Row],[PiN más alto]],)</f>
        <v>0</v>
      </c>
      <c r="AW319" s="54"/>
      <c r="AX319" s="55"/>
      <c r="AY319" s="56">
        <f>COUNTIFS(tblPiNAnalysis[[#This Row],[Número de PiN ausentes/cero superior al umbral - Calidad de los datos]:[Marcador manual]],"Flagged")</f>
        <v>3</v>
      </c>
      <c r="AZ319" s="34" t="str">
        <f>IF(tblPiNAnalysis[[#This Row],[Número de marcadores]]&gt;0, "Flagged", "")</f>
        <v>Flagged</v>
      </c>
      <c r="BA319" s="92">
        <f>tblPiNAnalysis[[#This Row],[PiN preliminar]]</f>
        <v>0</v>
      </c>
      <c r="BB319" s="97"/>
      <c r="BC319" s="70">
        <f>IFERROR(IF(tblPiNAnalysis[[#This Row],[Severidad]]=3,tblPiNAnalysis[[#This Row],[PiN final]]*Umbrales!$D$33,tblPiNAnalysis[[#This Row],[PiN final]]*Umbrales!$D$34),)</f>
        <v>0</v>
      </c>
      <c r="BD319" s="70">
        <f>IFERROR(IF(tblPiNAnalysis[[#This Row],[Severidad]]&gt;3,tblPiNAnalysis[[#This Row],[PiN final]]*Umbrales!$D$34,),)</f>
        <v>0</v>
      </c>
    </row>
    <row r="320" spans="1:56">
      <c r="A320" s="101" t="str">
        <f>IFERROR(_xlfn.CONCAT(IF(tblPiNAnalysis[[#This Row],[Grupo]]="", "",tblPiNAnalysis[[#This Row],[Grupo]] ),  _xlfn.IFS(tblPiNAnalysis[[#This Row],[Admin2PCODE]]&lt;&gt;"", tblPiNAnalysis[[#This Row],[Admin2PCODE]], tblPiNAnalysis[[#This Row],[Admin1PCODE]]&lt;&gt;"", tblPiNAnalysis[[#This Row],[Admin1PCODE]])),"")</f>
        <v>VenezolanosVE2101</v>
      </c>
      <c r="B320" s="105" t="s">
        <v>642</v>
      </c>
      <c r="C320" s="104" t="s">
        <v>643</v>
      </c>
      <c r="D320" s="119" t="s">
        <v>415</v>
      </c>
      <c r="E320" s="104" t="s">
        <v>644</v>
      </c>
      <c r="F320" s="358"/>
      <c r="G320" s="357">
        <v>15030</v>
      </c>
      <c r="H320" s="103" t="s">
        <v>102</v>
      </c>
      <c r="I320" s="60">
        <v>939</v>
      </c>
      <c r="J320" s="134">
        <v>511.81434141098032</v>
      </c>
      <c r="K320" s="57">
        <v>8300</v>
      </c>
      <c r="L320" s="87">
        <v>754.88110316700897</v>
      </c>
      <c r="M320" s="87">
        <v>1818.061279817965</v>
      </c>
      <c r="N320" s="57">
        <v>0</v>
      </c>
      <c r="O320" s="57">
        <v>581.77960954174887</v>
      </c>
      <c r="P320" s="57">
        <v>636.32144793628777</v>
      </c>
      <c r="Q320" s="88">
        <f>IFERROR(IF(tblPiNAnalysis[[#This Row],[SAMV]]="", "", MROUND(tblPiNAnalysis[[#This Row],[SAMV]]/tblPiNAnalysis[[#This Row],[Población]], 0.05)), "")</f>
        <v>0.05</v>
      </c>
      <c r="R320" s="89">
        <f>IFERROR(IF(tblPiNAnalysis[[#This Row],[NUT]]="", "", MROUND(tblPiNAnalysis[[#This Row],[NUT]]/tblPiNAnalysis[[#This Row],[Población]], 0.05)), "")</f>
        <v>0.05</v>
      </c>
      <c r="S320" s="89">
        <f>IFERROR(IF(tblPiNAnalysis[[#This Row],[SAL]]="", "", MROUND(tblPiNAnalysis[[#This Row],[SAL]]/tblPiNAnalysis[[#This Row],[Población]], 0.05)), "")</f>
        <v>0.55000000000000004</v>
      </c>
      <c r="T320" s="89">
        <f>IFERROR(IF(tblPiNAnalysis[[#This Row],[EDU]]="", "", MROUND(tblPiNAnalysis[[#This Row],[EDU]]/tblPiNAnalysis[[#This Row],[Población]], 0.05)), "")</f>
        <v>0.05</v>
      </c>
      <c r="U320" s="89">
        <f>IFERROR(IF(tblPiNAnalysis[[#This Row],[PRO]]="", "", MROUND(tblPiNAnalysis[[#This Row],[PRO]]/tblPiNAnalysis[[#This Row],[Población]], 0.05)), "")</f>
        <v>0.1</v>
      </c>
      <c r="V320" s="90">
        <f>IFERROR(IF(tblPiNAnalysis[[#This Row],[ASH]]="", "", MROUND(tblPiNAnalysis[[#This Row],[ASH]]/tblPiNAnalysis[[#This Row],[Población]], 0.05)), "")</f>
        <v>0</v>
      </c>
      <c r="W320" s="89">
        <f>IFERROR(MROUND(tblPiNAnalysis[[#This Row],[NNA]]/tblPiNAnalysis[[#This Row],[Población]], 0.05), "")</f>
        <v>0.05</v>
      </c>
      <c r="X320" s="89">
        <f>IFERROR(MROUND(tblPiNAnalysis[[#This Row],[VBG]]/tblPiNAnalysis[[#This Row],[Población]], 0.05), "")</f>
        <v>0.05</v>
      </c>
      <c r="Y320" s="91">
        <f>IFERROR(LARGE(tblPiNAnalysis[[#This Row],[SAMV]:[ASH]], 1), "")</f>
        <v>8300</v>
      </c>
      <c r="Z320" s="92" t="str" cm="1">
        <f t="array" ref="Z320">IF(tblPiNAnalysis[[#This Row],[PiN más alto]]="", "", _xlfn.TEXTJOIN(CHAR(10), TRUE, IF(tblPiNAnalysis[[#This Row],[PiN más alto]]=tblPiNAnalysis[[#This Row],[SAMV]:[ASH]], tblPiNAnalysis[[#Headers],[SAMV]:[ASH]], "")))</f>
        <v>SAL</v>
      </c>
      <c r="AA320" s="93">
        <f>IF(tblPiNAnalysis[[#This Row],[PiN más alto]]="", "", tblPiNAnalysis[[#This Row],[PiN más alto]]/tblPiNAnalysis[[#This Row],[Población]])</f>
        <v>0.55222887558216904</v>
      </c>
      <c r="AB320" s="94" t="str">
        <f>IF(SUM(tblPiNAnalysis[[#This Row],[SAMV]:[ASH]])=0, "",IF(COUNTIF(tblPiNAnalysis[[#This Row],[SAMV]:[ASH]],"=0")+COUNTIF(tblPiNAnalysis[[#This Row],[SAMV]:[ASH]],"")&gt;=zero_pin_thresh, "Flagged", ""))</f>
        <v/>
      </c>
      <c r="AC320" s="95" t="str">
        <f>IFERROR(IF(tblPiNAnalysis[[#This Row],[PiN más alto]]="", "", IF(tblPiNAnalysis[[#This Row],[% PiN Sectores más altos]]&gt;=flag_pin_perc, "Flagged", "")), "")</f>
        <v/>
      </c>
      <c r="AD320" s="96" t="str" cm="1">
        <f t="array" ref="AD320">IF(tblPiNAnalysis[[#This Row],[PiN más alto]]=0, "",  IF(OR(COUNTIF(tblPiNAnalysis[[#This Row],[Sectores más altos]],tblSubSectorPopulation[Sector])), "Flagged", ""))</f>
        <v/>
      </c>
      <c r="AE320" s="16" cm="1">
        <f t="array" ref="AE32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1818.061279817965</v>
      </c>
      <c r="AF320" s="97" t="str" cm="1">
        <f t="array" ref="AF320">IF(tblPiNAnalysis[[#This Row],[2º PiN más alto]]="", "", _xlfn.TEXTJOIN(CHAR(10), TRUE, IF(tblPiNAnalysis[[#This Row],[2º PiN más alto]]=tblPiNAnalysis[[#This Row],[SAMV]:[ASH]], tblPiNAnalysis[[#Headers],[SAMV]:[ASH]], "")))</f>
        <v>PRO</v>
      </c>
      <c r="AG320" s="12">
        <f>IFERROR(tblPiNAnalysis[[#This Row],[2º PiN más alto]]/tblPiNAnalysis[[#This Row],[Población]], "")</f>
        <v>0.12096216099919926</v>
      </c>
      <c r="AH320" s="16">
        <f>IFERROR(tblPiNAnalysis[[#This Row],[PiN más alto]]-tblPiNAnalysis[[#This Row],[2º PiN más alto]], "")</f>
        <v>6481.9387201820355</v>
      </c>
      <c r="AI320" s="14">
        <f>IFERROR(((tblPiNAnalysis[[#This Row],[PiN más alto]]-tblPiNAnalysis[[#This Row],[2º PiN más alto]])/tblPiNAnalysis[[#This Row],[2º PiN más alto]]),"")</f>
        <v>3.5653026617623391</v>
      </c>
      <c r="AJ320" s="14" t="str" cm="1">
        <f t="array" ref="AJ32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20" s="98" cm="1">
        <f t="array" ref="AK32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939</v>
      </c>
      <c r="AL320" s="53" t="str" cm="1">
        <f t="array" ref="AL320">IF(tblPiNAnalysis[[#This Row],[3º PiN más alto]]="", "", _xlfn.TEXTJOIN(CHAR(10), TRUE, IF(tblPiNAnalysis[[#This Row],[3º PiN más alto]]=tblPiNAnalysis[[#This Row],[SAMV]:[ASH]], tblPiNAnalysis[[#Headers],[SAMV]:[ASH]], "")))</f>
        <v>SAMV</v>
      </c>
      <c r="AM320" s="53">
        <f>IFERROR(tblPiNAnalysis[[#This Row],[3º PiN más alto]]/tblPiNAnalysis[[#This Row],[Población]], "")</f>
        <v>6.24750499001996E-2</v>
      </c>
      <c r="AN320" s="15">
        <f>IFERROR(tblPiNAnalysis[[#This Row],[PiN más alto]]-tblPiNAnalysis[[#This Row],[3º PiN más alto]],"")</f>
        <v>7361</v>
      </c>
      <c r="AO320" s="14">
        <f>IFERROR(tblPiNAnalysis[[#This Row],[Diferencia de PiN entre el más alto y el 3º más alto]]/tblPiNAnalysis[[#This Row],[3º PiN más alto]], "")</f>
        <v>7.8391906283280086</v>
      </c>
      <c r="AP320" s="96" t="str" cm="1">
        <f t="array" ref="AP32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20" s="84" cm="1">
        <f t="array" ref="AQ320">IFERROR(IF(tblPiNAnalysis[[#This Row],[ID]]="", "", INDEX(tblPiNHistorical[[SAMV]:[ASH]], MATCH(tblPiNAnalysis[[#This Row],[ID]],tblPiNHistorical[ID], 0),MATCH(_xlfn._xlws.FILTER(tblPiNAnalysis[[#Headers],[SAMV]:[ASH]], tblPiNAnalysis[[#This Row],[PiN más alto]]=tblPiNAnalysis[[#This Row],[SAMV]:[ASH]]), tblPiNHistorical[[#Headers],[SAMV]:[ASH]], 0))), "")</f>
        <v>0.2</v>
      </c>
      <c r="AR320" s="99" t="str" cm="1">
        <f t="array" ref="AR32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20" s="74" cm="1">
        <f t="array" ref="AS320">IFERROR(IF(tblPiNAnalysis[[#This Row],[ID]]="", "", INDEX(tblPiNHistorical[[SAMV]:[ASH]], MATCH(tblPiNAnalysis[[#This Row],[ID]],tblPiNHistorical[ID], 0),MATCH(_xlfn._xlws.FILTER(tblPiNAnalysis[[#Headers],[SAMV]:[ASH]], tblPiNAnalysis[[#This Row],[2º PiN más alto]]=tblPiNAnalysis[[#This Row],[SAMV]:[ASH]]), tblPiNHistorical[[#Headers],[SAMV]:[ASH]], 0))), "")</f>
        <v>-1</v>
      </c>
      <c r="AT320" s="100" t="str" cm="1">
        <f t="array" ref="AT32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20" s="219">
        <f>INDEX(tblSeverityAnalysis[Severidad final], MATCH(tblPiNAnalysis[[#This Row],[ID]],tblSeverityAnalysis[ID], 0))</f>
        <v>2</v>
      </c>
      <c r="AV320" s="220">
        <f>IF(tblPiNAnalysis[[#This Row],[Severidad]]&gt;2,tblPiNAnalysis[[#This Row],[PiN más alto]],)</f>
        <v>0</v>
      </c>
      <c r="AW320" s="54"/>
      <c r="AX320" s="55"/>
      <c r="AY320" s="56">
        <f>COUNTIFS(tblPiNAnalysis[[#This Row],[Número de PiN ausentes/cero superior al umbral - Calidad de los datos]:[Marcador manual]],"Flagged")</f>
        <v>3</v>
      </c>
      <c r="AZ320" s="34" t="str">
        <f>IF(tblPiNAnalysis[[#This Row],[Número de marcadores]]&gt;0, "Flagged", "")</f>
        <v>Flagged</v>
      </c>
      <c r="BA320" s="92">
        <f>tblPiNAnalysis[[#This Row],[PiN preliminar]]</f>
        <v>0</v>
      </c>
      <c r="BB320" s="97"/>
      <c r="BC320" s="70">
        <f>IFERROR(IF(tblPiNAnalysis[[#This Row],[Severidad]]=3,tblPiNAnalysis[[#This Row],[PiN final]]*Umbrales!$D$33,tblPiNAnalysis[[#This Row],[PiN final]]*Umbrales!$D$34),)</f>
        <v>0</v>
      </c>
      <c r="BD320" s="70">
        <f>IFERROR(IF(tblPiNAnalysis[[#This Row],[Severidad]]&gt;3,tblPiNAnalysis[[#This Row],[PiN final]]*Umbrales!$D$34,),)</f>
        <v>0</v>
      </c>
    </row>
    <row r="321" spans="1:56">
      <c r="A321" s="101" t="str">
        <f>IFERROR(_xlfn.CONCAT(IF(tblPiNAnalysis[[#This Row],[Grupo]]="", "",tblPiNAnalysis[[#This Row],[Grupo]] ),  _xlfn.IFS(tblPiNAnalysis[[#This Row],[Admin2PCODE]]&lt;&gt;"", tblPiNAnalysis[[#This Row],[Admin2PCODE]], tblPiNAnalysis[[#This Row],[Admin1PCODE]]&lt;&gt;"", tblPiNAnalysis[[#This Row],[Admin1PCODE]])),"")</f>
        <v>VenezolanosVE2102</v>
      </c>
      <c r="B321" s="105" t="s">
        <v>642</v>
      </c>
      <c r="C321" s="104" t="s">
        <v>643</v>
      </c>
      <c r="D321" s="119" t="s">
        <v>645</v>
      </c>
      <c r="E321" s="104" t="s">
        <v>646</v>
      </c>
      <c r="F321" s="358"/>
      <c r="G321" s="357">
        <v>85054</v>
      </c>
      <c r="H321" s="103" t="s">
        <v>102</v>
      </c>
      <c r="I321" s="60">
        <v>8743</v>
      </c>
      <c r="J321" s="134">
        <v>2879.0113153763104</v>
      </c>
      <c r="K321" s="57">
        <v>37100</v>
      </c>
      <c r="L321" s="87">
        <v>7406.9908114573846</v>
      </c>
      <c r="M321" s="87">
        <v>20576.631283251783</v>
      </c>
      <c r="N321" s="57">
        <v>0</v>
      </c>
      <c r="O321" s="57">
        <v>6605.0986419238225</v>
      </c>
      <c r="P321" s="57">
        <v>7201.820949138124</v>
      </c>
      <c r="Q321" s="88">
        <f>IFERROR(IF(tblPiNAnalysis[[#This Row],[SAMV]]="", "", MROUND(tblPiNAnalysis[[#This Row],[SAMV]]/tblPiNAnalysis[[#This Row],[Población]], 0.05)), "")</f>
        <v>0.1</v>
      </c>
      <c r="R321" s="89">
        <f>IFERROR(IF(tblPiNAnalysis[[#This Row],[NUT]]="", "", MROUND(tblPiNAnalysis[[#This Row],[NUT]]/tblPiNAnalysis[[#This Row],[Población]], 0.05)), "")</f>
        <v>0.05</v>
      </c>
      <c r="S321" s="89">
        <f>IFERROR(IF(tblPiNAnalysis[[#This Row],[SAL]]="", "", MROUND(tblPiNAnalysis[[#This Row],[SAL]]/tblPiNAnalysis[[#This Row],[Población]], 0.05)), "")</f>
        <v>0.45</v>
      </c>
      <c r="T321" s="89">
        <f>IFERROR(IF(tblPiNAnalysis[[#This Row],[EDU]]="", "", MROUND(tblPiNAnalysis[[#This Row],[EDU]]/tblPiNAnalysis[[#This Row],[Población]], 0.05)), "")</f>
        <v>0.1</v>
      </c>
      <c r="U321" s="89">
        <f>IFERROR(IF(tblPiNAnalysis[[#This Row],[PRO]]="", "", MROUND(tblPiNAnalysis[[#This Row],[PRO]]/tblPiNAnalysis[[#This Row],[Población]], 0.05)), "")</f>
        <v>0.25</v>
      </c>
      <c r="V321" s="90">
        <f>IFERROR(IF(tblPiNAnalysis[[#This Row],[ASH]]="", "", MROUND(tblPiNAnalysis[[#This Row],[ASH]]/tblPiNAnalysis[[#This Row],[Población]], 0.05)), "")</f>
        <v>0</v>
      </c>
      <c r="W321" s="89">
        <f>IFERROR(MROUND(tblPiNAnalysis[[#This Row],[NNA]]/tblPiNAnalysis[[#This Row],[Población]], 0.05), "")</f>
        <v>0.1</v>
      </c>
      <c r="X321" s="89">
        <f>IFERROR(MROUND(tblPiNAnalysis[[#This Row],[VBG]]/tblPiNAnalysis[[#This Row],[Población]], 0.05), "")</f>
        <v>0.1</v>
      </c>
      <c r="Y321" s="91">
        <f>IFERROR(LARGE(tblPiNAnalysis[[#This Row],[SAMV]:[ASH]], 1), "")</f>
        <v>37100</v>
      </c>
      <c r="Z321" s="92" t="str" cm="1">
        <f t="array" ref="Z321">IF(tblPiNAnalysis[[#This Row],[PiN más alto]]="", "", _xlfn.TEXTJOIN(CHAR(10), TRUE, IF(tblPiNAnalysis[[#This Row],[PiN más alto]]=tblPiNAnalysis[[#This Row],[SAMV]:[ASH]], tblPiNAnalysis[[#Headers],[SAMV]:[ASH]], "")))</f>
        <v>SAL</v>
      </c>
      <c r="AA321" s="93">
        <f>IF(tblPiNAnalysis[[#This Row],[PiN más alto]]="", "", tblPiNAnalysis[[#This Row],[PiN más alto]]/tblPiNAnalysis[[#This Row],[Población]])</f>
        <v>0.43619347708514589</v>
      </c>
      <c r="AB321" s="94" t="str">
        <f>IF(SUM(tblPiNAnalysis[[#This Row],[SAMV]:[ASH]])=0, "",IF(COUNTIF(tblPiNAnalysis[[#This Row],[SAMV]:[ASH]],"=0")+COUNTIF(tblPiNAnalysis[[#This Row],[SAMV]:[ASH]],"")&gt;=zero_pin_thresh, "Flagged", ""))</f>
        <v/>
      </c>
      <c r="AC321" s="95" t="str">
        <f>IFERROR(IF(tblPiNAnalysis[[#This Row],[PiN más alto]]="", "", IF(tblPiNAnalysis[[#This Row],[% PiN Sectores más altos]]&gt;=flag_pin_perc, "Flagged", "")), "")</f>
        <v/>
      </c>
      <c r="AD321" s="96" t="str" cm="1">
        <f t="array" ref="AD321">IF(tblPiNAnalysis[[#This Row],[PiN más alto]]=0, "",  IF(OR(COUNTIF(tblPiNAnalysis[[#This Row],[Sectores más altos]],tblSubSectorPopulation[Sector])), "Flagged", ""))</f>
        <v/>
      </c>
      <c r="AE321" s="16" cm="1">
        <f t="array" ref="AE32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20576.631283251783</v>
      </c>
      <c r="AF321" s="97" t="str" cm="1">
        <f t="array" ref="AF321">IF(tblPiNAnalysis[[#This Row],[2º PiN más alto]]="", "", _xlfn.TEXTJOIN(CHAR(10), TRUE, IF(tblPiNAnalysis[[#This Row],[2º PiN más alto]]=tblPiNAnalysis[[#This Row],[SAMV]:[ASH]], tblPiNAnalysis[[#Headers],[SAMV]:[ASH]], "")))</f>
        <v>PRO</v>
      </c>
      <c r="AG321" s="12">
        <f>IFERROR(tblPiNAnalysis[[#This Row],[2º PiN más alto]]/tblPiNAnalysis[[#This Row],[Población]], "")</f>
        <v>0.24192432199839847</v>
      </c>
      <c r="AH321" s="16">
        <f>IFERROR(tblPiNAnalysis[[#This Row],[PiN más alto]]-tblPiNAnalysis[[#This Row],[2º PiN más alto]], "")</f>
        <v>16523.368716748217</v>
      </c>
      <c r="AI321" s="14">
        <f>IFERROR(((tblPiNAnalysis[[#This Row],[PiN más alto]]-tblPiNAnalysis[[#This Row],[2º PiN más alto]])/tblPiNAnalysis[[#This Row],[2º PiN más alto]]),"")</f>
        <v>0.8030162221061572</v>
      </c>
      <c r="AJ321" s="14" t="str" cm="1">
        <f t="array" ref="AJ32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21" s="98" cm="1">
        <f t="array" ref="AK32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8743</v>
      </c>
      <c r="AL321" s="53" t="str" cm="1">
        <f t="array" ref="AL321">IF(tblPiNAnalysis[[#This Row],[3º PiN más alto]]="", "", _xlfn.TEXTJOIN(CHAR(10), TRUE, IF(tblPiNAnalysis[[#This Row],[3º PiN más alto]]=tblPiNAnalysis[[#This Row],[SAMV]:[ASH]], tblPiNAnalysis[[#Headers],[SAMV]:[ASH]], "")))</f>
        <v>SAMV</v>
      </c>
      <c r="AM321" s="53">
        <f>IFERROR(tblPiNAnalysis[[#This Row],[3º PiN más alto]]/tblPiNAnalysis[[#This Row],[Población]], "")</f>
        <v>0.10279351941119759</v>
      </c>
      <c r="AN321" s="15">
        <f>IFERROR(tblPiNAnalysis[[#This Row],[PiN más alto]]-tblPiNAnalysis[[#This Row],[3º PiN más alto]],"")</f>
        <v>28357</v>
      </c>
      <c r="AO321" s="14">
        <f>IFERROR(tblPiNAnalysis[[#This Row],[Diferencia de PiN entre el más alto y el 3º más alto]]/tblPiNAnalysis[[#This Row],[3º PiN más alto]], "")</f>
        <v>3.243394715772618</v>
      </c>
      <c r="AP321" s="96" t="str" cm="1">
        <f t="array" ref="AP32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21" s="84" cm="1">
        <f t="array" ref="AQ321">IFERROR(IF(tblPiNAnalysis[[#This Row],[ID]]="", "", INDEX(tblPiNHistorical[[SAMV]:[ASH]], MATCH(tblPiNAnalysis[[#This Row],[ID]],tblPiNHistorical[ID], 0),MATCH(_xlfn._xlws.FILTER(tblPiNAnalysis[[#Headers],[SAMV]:[ASH]], tblPiNAnalysis[[#This Row],[PiN más alto]]=tblPiNAnalysis[[#This Row],[SAMV]:[ASH]]), tblPiNHistorical[[#Headers],[SAMV]:[ASH]], 0))), "")</f>
        <v>-0.6</v>
      </c>
      <c r="AR321" s="99" t="str" cm="1">
        <f t="array" ref="AR32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21" s="74" cm="1">
        <f t="array" ref="AS321">IFERROR(IF(tblPiNAnalysis[[#This Row],[ID]]="", "", INDEX(tblPiNHistorical[[SAMV]:[ASH]], MATCH(tblPiNAnalysis[[#This Row],[ID]],tblPiNHistorical[ID], 0),MATCH(_xlfn._xlws.FILTER(tblPiNAnalysis[[#Headers],[SAMV]:[ASH]], tblPiNAnalysis[[#This Row],[2º PiN más alto]]=tblPiNAnalysis[[#This Row],[SAMV]:[ASH]]), tblPiNHistorical[[#Headers],[SAMV]:[ASH]], 0))), "")</f>
        <v>-0.8</v>
      </c>
      <c r="AT321" s="100" t="str" cm="1">
        <f t="array" ref="AT32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21" s="219">
        <f>INDEX(tblSeverityAnalysis[Severidad final], MATCH(tblPiNAnalysis[[#This Row],[ID]],tblSeverityAnalysis[ID], 0))</f>
        <v>2</v>
      </c>
      <c r="AV321" s="220">
        <f>IF(tblPiNAnalysis[[#This Row],[Severidad]]&gt;2,tblPiNAnalysis[[#This Row],[PiN más alto]],)</f>
        <v>0</v>
      </c>
      <c r="AW321" s="54"/>
      <c r="AX321" s="55"/>
      <c r="AY321" s="56">
        <f>COUNTIFS(tblPiNAnalysis[[#This Row],[Número de PiN ausentes/cero superior al umbral - Calidad de los datos]:[Marcador manual]],"Flagged")</f>
        <v>2</v>
      </c>
      <c r="AZ321" s="34" t="str">
        <f>IF(tblPiNAnalysis[[#This Row],[Número de marcadores]]&gt;0, "Flagged", "")</f>
        <v>Flagged</v>
      </c>
      <c r="BA321" s="92">
        <f>tblPiNAnalysis[[#This Row],[PiN preliminar]]</f>
        <v>0</v>
      </c>
      <c r="BB321" s="97"/>
      <c r="BC321" s="70">
        <f>IFERROR(IF(tblPiNAnalysis[[#This Row],[Severidad]]=3,tblPiNAnalysis[[#This Row],[PiN final]]*Umbrales!$D$33,tblPiNAnalysis[[#This Row],[PiN final]]*Umbrales!$D$34),)</f>
        <v>0</v>
      </c>
      <c r="BD321" s="70">
        <f>IFERROR(IF(tblPiNAnalysis[[#This Row],[Severidad]]&gt;3,tblPiNAnalysis[[#This Row],[PiN final]]*Umbrales!$D$34,),)</f>
        <v>0</v>
      </c>
    </row>
    <row r="322" spans="1:56">
      <c r="A322" s="101" t="str">
        <f>IFERROR(_xlfn.CONCAT(IF(tblPiNAnalysis[[#This Row],[Grupo]]="", "",tblPiNAnalysis[[#This Row],[Grupo]] ),  _xlfn.IFS(tblPiNAnalysis[[#This Row],[Admin2PCODE]]&lt;&gt;"", tblPiNAnalysis[[#This Row],[Admin2PCODE]], tblPiNAnalysis[[#This Row],[Admin1PCODE]]&lt;&gt;"", tblPiNAnalysis[[#This Row],[Admin1PCODE]])),"")</f>
        <v>VenezolanosVE2104</v>
      </c>
      <c r="B322" s="105" t="s">
        <v>642</v>
      </c>
      <c r="C322" s="104" t="s">
        <v>643</v>
      </c>
      <c r="D322" s="119" t="s">
        <v>648</v>
      </c>
      <c r="E322" s="104" t="s">
        <v>649</v>
      </c>
      <c r="F322" s="358"/>
      <c r="G322" s="357">
        <v>28441</v>
      </c>
      <c r="H322" s="103" t="s">
        <v>102</v>
      </c>
      <c r="I322" s="60">
        <v>7657</v>
      </c>
      <c r="J322" s="134">
        <v>1001.228516096149</v>
      </c>
      <c r="K322" s="57">
        <v>10380.965</v>
      </c>
      <c r="L322" s="87">
        <v>2668.9726598559719</v>
      </c>
      <c r="M322" s="87">
        <v>3440.2848209782264</v>
      </c>
      <c r="N322" s="57">
        <v>0</v>
      </c>
      <c r="O322" s="57">
        <v>1104.3314275340108</v>
      </c>
      <c r="P322" s="57">
        <v>1204.0996873423794</v>
      </c>
      <c r="Q322" s="88">
        <f>IFERROR(IF(tblPiNAnalysis[[#This Row],[SAMV]]="", "", MROUND(tblPiNAnalysis[[#This Row],[SAMV]]/tblPiNAnalysis[[#This Row],[Población]], 0.05)), "")</f>
        <v>0.25</v>
      </c>
      <c r="R322" s="89">
        <f>IFERROR(IF(tblPiNAnalysis[[#This Row],[NUT]]="", "", MROUND(tblPiNAnalysis[[#This Row],[NUT]]/tblPiNAnalysis[[#This Row],[Población]], 0.05)), "")</f>
        <v>0.05</v>
      </c>
      <c r="S322" s="89">
        <f>IFERROR(IF(tblPiNAnalysis[[#This Row],[SAL]]="", "", MROUND(tblPiNAnalysis[[#This Row],[SAL]]/tblPiNAnalysis[[#This Row],[Población]], 0.05)), "")</f>
        <v>0.35000000000000003</v>
      </c>
      <c r="T322" s="89">
        <f>IFERROR(IF(tblPiNAnalysis[[#This Row],[EDU]]="", "", MROUND(tblPiNAnalysis[[#This Row],[EDU]]/tblPiNAnalysis[[#This Row],[Población]], 0.05)), "")</f>
        <v>0.1</v>
      </c>
      <c r="U322" s="89">
        <f>IFERROR(IF(tblPiNAnalysis[[#This Row],[PRO]]="", "", MROUND(tblPiNAnalysis[[#This Row],[PRO]]/tblPiNAnalysis[[#This Row],[Población]], 0.05)), "")</f>
        <v>0.1</v>
      </c>
      <c r="V322" s="90">
        <f>IFERROR(IF(tblPiNAnalysis[[#This Row],[ASH]]="", "", MROUND(tblPiNAnalysis[[#This Row],[ASH]]/tblPiNAnalysis[[#This Row],[Población]], 0.05)), "")</f>
        <v>0</v>
      </c>
      <c r="W322" s="89">
        <f>IFERROR(MROUND(tblPiNAnalysis[[#This Row],[NNA]]/tblPiNAnalysis[[#This Row],[Población]], 0.05), "")</f>
        <v>0.05</v>
      </c>
      <c r="X322" s="89">
        <f>IFERROR(MROUND(tblPiNAnalysis[[#This Row],[VBG]]/tblPiNAnalysis[[#This Row],[Población]], 0.05), "")</f>
        <v>0.05</v>
      </c>
      <c r="Y322" s="91">
        <f>IFERROR(LARGE(tblPiNAnalysis[[#This Row],[SAMV]:[ASH]], 1), "")</f>
        <v>10380.965</v>
      </c>
      <c r="Z322" s="92" t="str" cm="1">
        <f t="array" ref="Z322">IF(tblPiNAnalysis[[#This Row],[PiN más alto]]="", "", _xlfn.TEXTJOIN(CHAR(10), TRUE, IF(tblPiNAnalysis[[#This Row],[PiN más alto]]=tblPiNAnalysis[[#This Row],[SAMV]:[ASH]], tblPiNAnalysis[[#Headers],[SAMV]:[ASH]], "")))</f>
        <v>SAL</v>
      </c>
      <c r="AA322" s="93">
        <f>IF(tblPiNAnalysis[[#This Row],[PiN más alto]]="", "", tblPiNAnalysis[[#This Row],[PiN más alto]]/tblPiNAnalysis[[#This Row],[Población]])</f>
        <v>0.36499999999999999</v>
      </c>
      <c r="AB322" s="94" t="str">
        <f>IF(SUM(tblPiNAnalysis[[#This Row],[SAMV]:[ASH]])=0, "",IF(COUNTIF(tblPiNAnalysis[[#This Row],[SAMV]:[ASH]],"=0")+COUNTIF(tblPiNAnalysis[[#This Row],[SAMV]:[ASH]],"")&gt;=zero_pin_thresh, "Flagged", ""))</f>
        <v/>
      </c>
      <c r="AC322" s="95" t="str">
        <f>IFERROR(IF(tblPiNAnalysis[[#This Row],[PiN más alto]]="", "", IF(tblPiNAnalysis[[#This Row],[% PiN Sectores más altos]]&gt;=flag_pin_perc, "Flagged", "")), "")</f>
        <v/>
      </c>
      <c r="AD322" s="96" t="str" cm="1">
        <f t="array" ref="AD322">IF(tblPiNAnalysis[[#This Row],[PiN más alto]]=0, "",  IF(OR(COUNTIF(tblPiNAnalysis[[#This Row],[Sectores más altos]],tblSubSectorPopulation[Sector])), "Flagged", ""))</f>
        <v/>
      </c>
      <c r="AE322" s="16" cm="1">
        <f t="array" ref="AE32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7657</v>
      </c>
      <c r="AF322" s="97" t="str" cm="1">
        <f t="array" ref="AF322">IF(tblPiNAnalysis[[#This Row],[2º PiN más alto]]="", "", _xlfn.TEXTJOIN(CHAR(10), TRUE, IF(tblPiNAnalysis[[#This Row],[2º PiN más alto]]=tblPiNAnalysis[[#This Row],[SAMV]:[ASH]], tblPiNAnalysis[[#Headers],[SAMV]:[ASH]], "")))</f>
        <v>SAMV</v>
      </c>
      <c r="AG322" s="12">
        <f>IFERROR(tblPiNAnalysis[[#This Row],[2º PiN más alto]]/tblPiNAnalysis[[#This Row],[Población]], "")</f>
        <v>0.26922400759466969</v>
      </c>
      <c r="AH322" s="16">
        <f>IFERROR(tblPiNAnalysis[[#This Row],[PiN más alto]]-tblPiNAnalysis[[#This Row],[2º PiN más alto]], "")</f>
        <v>2723.9650000000001</v>
      </c>
      <c r="AI322" s="14">
        <f>IFERROR(((tblPiNAnalysis[[#This Row],[PiN más alto]]-tblPiNAnalysis[[#This Row],[2º PiN más alto]])/tblPiNAnalysis[[#This Row],[2º PiN más alto]]),"")</f>
        <v>0.35574833485699364</v>
      </c>
      <c r="AJ322" s="14" t="str" cm="1">
        <f t="array" ref="AJ32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22" s="98" cm="1">
        <f t="array" ref="AK32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3440.2848209782264</v>
      </c>
      <c r="AL322" s="53" t="str" cm="1">
        <f t="array" ref="AL322">IF(tblPiNAnalysis[[#This Row],[3º PiN más alto]]="", "", _xlfn.TEXTJOIN(CHAR(10), TRUE, IF(tblPiNAnalysis[[#This Row],[3º PiN más alto]]=tblPiNAnalysis[[#This Row],[SAMV]:[ASH]], tblPiNAnalysis[[#Headers],[SAMV]:[ASH]], "")))</f>
        <v>PRO</v>
      </c>
      <c r="AM322" s="53">
        <f>IFERROR(tblPiNAnalysis[[#This Row],[3º PiN más alto]]/tblPiNAnalysis[[#This Row],[Población]], "")</f>
        <v>0.12096216099919926</v>
      </c>
      <c r="AN322" s="15">
        <f>IFERROR(tblPiNAnalysis[[#This Row],[PiN más alto]]-tblPiNAnalysis[[#This Row],[3º PiN más alto]],"")</f>
        <v>6940.6801790217742</v>
      </c>
      <c r="AO322" s="14">
        <f>IFERROR(tblPiNAnalysis[[#This Row],[Diferencia de PiN entre el más alto y el 3º más alto]]/tblPiNAnalysis[[#This Row],[3º PiN más alto]], "")</f>
        <v>2.0174725466620607</v>
      </c>
      <c r="AP322" s="96" t="str" cm="1">
        <f t="array" ref="AP32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22" s="84" cm="1">
        <f t="array" ref="AQ322">IFERROR(IF(tblPiNAnalysis[[#This Row],[ID]]="", "", INDEX(tblPiNHistorical[[SAMV]:[ASH]], MATCH(tblPiNAnalysis[[#This Row],[ID]],tblPiNHistorical[ID], 0),MATCH(_xlfn._xlws.FILTER(tblPiNAnalysis[[#Headers],[SAMV]:[ASH]], tblPiNAnalysis[[#This Row],[PiN más alto]]=tblPiNAnalysis[[#This Row],[SAMV]:[ASH]]), tblPiNHistorical[[#Headers],[SAMV]:[ASH]], 0))), "")</f>
        <v>-0.6</v>
      </c>
      <c r="AR322" s="99" t="str" cm="1">
        <f t="array" ref="AR32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22" s="74" cm="1">
        <f t="array" ref="AS322">IFERROR(IF(tblPiNAnalysis[[#This Row],[ID]]="", "", INDEX(tblPiNHistorical[[SAMV]:[ASH]], MATCH(tblPiNAnalysis[[#This Row],[ID]],tblPiNHistorical[ID], 0),MATCH(_xlfn._xlws.FILTER(tblPiNAnalysis[[#Headers],[SAMV]:[ASH]], tblPiNAnalysis[[#This Row],[2º PiN más alto]]=tblPiNAnalysis[[#This Row],[SAMV]:[ASH]]), tblPiNHistorical[[#Headers],[SAMV]:[ASH]], 0))), "")</f>
        <v>-0.9</v>
      </c>
      <c r="AT322" s="100" t="str" cm="1">
        <f t="array" ref="AT32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22" s="219">
        <f>INDEX(tblSeverityAnalysis[Severidad final], MATCH(tblPiNAnalysis[[#This Row],[ID]],tblSeverityAnalysis[ID], 0))</f>
        <v>2</v>
      </c>
      <c r="AV322" s="220">
        <f>IF(tblPiNAnalysis[[#This Row],[Severidad]]&gt;2,tblPiNAnalysis[[#This Row],[PiN más alto]],)</f>
        <v>0</v>
      </c>
      <c r="AW322" s="54"/>
      <c r="AX322" s="55"/>
      <c r="AY322" s="56">
        <f>COUNTIFS(tblPiNAnalysis[[#This Row],[Número de PiN ausentes/cero superior al umbral - Calidad de los datos]:[Marcador manual]],"Flagged")</f>
        <v>2</v>
      </c>
      <c r="AZ322" s="34" t="str">
        <f>IF(tblPiNAnalysis[[#This Row],[Número de marcadores]]&gt;0, "Flagged", "")</f>
        <v>Flagged</v>
      </c>
      <c r="BA322" s="92">
        <f>tblPiNAnalysis[[#This Row],[PiN preliminar]]</f>
        <v>0</v>
      </c>
      <c r="BB322" s="97"/>
      <c r="BC322" s="70">
        <f>IFERROR(IF(tblPiNAnalysis[[#This Row],[Severidad]]=3,tblPiNAnalysis[[#This Row],[PiN final]]*Umbrales!$D$33,tblPiNAnalysis[[#This Row],[PiN final]]*Umbrales!$D$34),)</f>
        <v>0</v>
      </c>
      <c r="BD322" s="70">
        <f>IFERROR(IF(tblPiNAnalysis[[#This Row],[Severidad]]&gt;3,tblPiNAnalysis[[#This Row],[PiN final]]*Umbrales!$D$34,),)</f>
        <v>0</v>
      </c>
    </row>
    <row r="323" spans="1:56">
      <c r="A323" s="101" t="str">
        <f>IFERROR(_xlfn.CONCAT(IF(tblPiNAnalysis[[#This Row],[Grupo]]="", "",tblPiNAnalysis[[#This Row],[Grupo]] ),  _xlfn.IFS(tblPiNAnalysis[[#This Row],[Admin2PCODE]]&lt;&gt;"", tblPiNAnalysis[[#This Row],[Admin2PCODE]], tblPiNAnalysis[[#This Row],[Admin1PCODE]]&lt;&gt;"", tblPiNAnalysis[[#This Row],[Admin1PCODE]])),"")</f>
        <v>VenezolanosVE2107</v>
      </c>
      <c r="B323" s="105" t="s">
        <v>642</v>
      </c>
      <c r="C323" s="104" t="s">
        <v>643</v>
      </c>
      <c r="D323" s="119" t="s">
        <v>654</v>
      </c>
      <c r="E323" s="104" t="s">
        <v>655</v>
      </c>
      <c r="F323" s="358"/>
      <c r="G323" s="357">
        <v>4656</v>
      </c>
      <c r="H323" s="103" t="s">
        <v>102</v>
      </c>
      <c r="I323" s="60">
        <v>1108</v>
      </c>
      <c r="J323" s="134">
        <v>154.43348450889914</v>
      </c>
      <c r="K323" s="57">
        <v>1699.44</v>
      </c>
      <c r="L323" s="87">
        <v>937.93561225383792</v>
      </c>
      <c r="M323" s="87">
        <v>563.19982161227165</v>
      </c>
      <c r="N323" s="57">
        <v>0</v>
      </c>
      <c r="O323" s="57">
        <v>180.22394291592693</v>
      </c>
      <c r="P323" s="57">
        <v>197.11993756429504</v>
      </c>
      <c r="Q323" s="88">
        <f>IFERROR(IF(tblPiNAnalysis[[#This Row],[SAMV]]="", "", MROUND(tblPiNAnalysis[[#This Row],[SAMV]]/tblPiNAnalysis[[#This Row],[Población]], 0.05)), "")</f>
        <v>0.25</v>
      </c>
      <c r="R323" s="89">
        <f>IFERROR(IF(tblPiNAnalysis[[#This Row],[NUT]]="", "", MROUND(tblPiNAnalysis[[#This Row],[NUT]]/tblPiNAnalysis[[#This Row],[Población]], 0.05)), "")</f>
        <v>0.05</v>
      </c>
      <c r="S323" s="89">
        <f>IFERROR(IF(tblPiNAnalysis[[#This Row],[SAL]]="", "", MROUND(tblPiNAnalysis[[#This Row],[SAL]]/tblPiNAnalysis[[#This Row],[Población]], 0.05)), "")</f>
        <v>0.35000000000000003</v>
      </c>
      <c r="T323" s="89">
        <f>IFERROR(IF(tblPiNAnalysis[[#This Row],[EDU]]="", "", MROUND(tblPiNAnalysis[[#This Row],[EDU]]/tblPiNAnalysis[[#This Row],[Población]], 0.05)), "")</f>
        <v>0.2</v>
      </c>
      <c r="U323" s="89">
        <f>IFERROR(IF(tblPiNAnalysis[[#This Row],[PRO]]="", "", MROUND(tblPiNAnalysis[[#This Row],[PRO]]/tblPiNAnalysis[[#This Row],[Población]], 0.05)), "")</f>
        <v>0.1</v>
      </c>
      <c r="V323" s="90">
        <f>IFERROR(IF(tblPiNAnalysis[[#This Row],[ASH]]="", "", MROUND(tblPiNAnalysis[[#This Row],[ASH]]/tblPiNAnalysis[[#This Row],[Población]], 0.05)), "")</f>
        <v>0</v>
      </c>
      <c r="W323" s="89">
        <f>IFERROR(MROUND(tblPiNAnalysis[[#This Row],[NNA]]/tblPiNAnalysis[[#This Row],[Población]], 0.05), "")</f>
        <v>0.05</v>
      </c>
      <c r="X323" s="89">
        <f>IFERROR(MROUND(tblPiNAnalysis[[#This Row],[VBG]]/tblPiNAnalysis[[#This Row],[Población]], 0.05), "")</f>
        <v>0.05</v>
      </c>
      <c r="Y323" s="91">
        <f>IFERROR(LARGE(tblPiNAnalysis[[#This Row],[SAMV]:[ASH]], 1), "")</f>
        <v>1699.44</v>
      </c>
      <c r="Z323" s="92" t="str" cm="1">
        <f t="array" ref="Z323">IF(tblPiNAnalysis[[#This Row],[PiN más alto]]="", "", _xlfn.TEXTJOIN(CHAR(10), TRUE, IF(tblPiNAnalysis[[#This Row],[PiN más alto]]=tblPiNAnalysis[[#This Row],[SAMV]:[ASH]], tblPiNAnalysis[[#Headers],[SAMV]:[ASH]], "")))</f>
        <v>SAL</v>
      </c>
      <c r="AA323" s="93">
        <f>IF(tblPiNAnalysis[[#This Row],[PiN más alto]]="", "", tblPiNAnalysis[[#This Row],[PiN más alto]]/tblPiNAnalysis[[#This Row],[Población]])</f>
        <v>0.36499999999999999</v>
      </c>
      <c r="AB323" s="94" t="str">
        <f>IF(SUM(tblPiNAnalysis[[#This Row],[SAMV]:[ASH]])=0, "",IF(COUNTIF(tblPiNAnalysis[[#This Row],[SAMV]:[ASH]],"=0")+COUNTIF(tblPiNAnalysis[[#This Row],[SAMV]:[ASH]],"")&gt;=zero_pin_thresh, "Flagged", ""))</f>
        <v/>
      </c>
      <c r="AC323" s="95" t="str">
        <f>IFERROR(IF(tblPiNAnalysis[[#This Row],[PiN más alto]]="", "", IF(tblPiNAnalysis[[#This Row],[% PiN Sectores más altos]]&gt;=flag_pin_perc, "Flagged", "")), "")</f>
        <v/>
      </c>
      <c r="AD323" s="96" t="str" cm="1">
        <f t="array" ref="AD323">IF(tblPiNAnalysis[[#This Row],[PiN más alto]]=0, "",  IF(OR(COUNTIF(tblPiNAnalysis[[#This Row],[Sectores más altos]],tblSubSectorPopulation[Sector])), "Flagged", ""))</f>
        <v/>
      </c>
      <c r="AE323" s="16" cm="1">
        <f t="array" ref="AE32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1108</v>
      </c>
      <c r="AF323" s="97" t="str" cm="1">
        <f t="array" ref="AF323">IF(tblPiNAnalysis[[#This Row],[2º PiN más alto]]="", "", _xlfn.TEXTJOIN(CHAR(10), TRUE, IF(tblPiNAnalysis[[#This Row],[2º PiN más alto]]=tblPiNAnalysis[[#This Row],[SAMV]:[ASH]], tblPiNAnalysis[[#Headers],[SAMV]:[ASH]], "")))</f>
        <v>SAMV</v>
      </c>
      <c r="AG323" s="12">
        <f>IFERROR(tblPiNAnalysis[[#This Row],[2º PiN más alto]]/tblPiNAnalysis[[#This Row],[Población]], "")</f>
        <v>0.23797250859106528</v>
      </c>
      <c r="AH323" s="16">
        <f>IFERROR(tblPiNAnalysis[[#This Row],[PiN más alto]]-tblPiNAnalysis[[#This Row],[2º PiN más alto]], "")</f>
        <v>591.44000000000005</v>
      </c>
      <c r="AI323" s="14">
        <f>IFERROR(((tblPiNAnalysis[[#This Row],[PiN más alto]]-tblPiNAnalysis[[#This Row],[2º PiN más alto]])/tblPiNAnalysis[[#This Row],[2º PiN más alto]]),"")</f>
        <v>0.53379061371841163</v>
      </c>
      <c r="AJ323" s="14" t="str" cm="1">
        <f t="array" ref="AJ32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23" s="98" cm="1">
        <f t="array" ref="AK32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937.93561225383792</v>
      </c>
      <c r="AL323" s="53" t="str" cm="1">
        <f t="array" ref="AL323">IF(tblPiNAnalysis[[#This Row],[3º PiN más alto]]="", "", _xlfn.TEXTJOIN(CHAR(10), TRUE, IF(tblPiNAnalysis[[#This Row],[3º PiN más alto]]=tblPiNAnalysis[[#This Row],[SAMV]:[ASH]], tblPiNAnalysis[[#Headers],[SAMV]:[ASH]], "")))</f>
        <v>EDU</v>
      </c>
      <c r="AM323" s="53">
        <f>IFERROR(tblPiNAnalysis[[#This Row],[3º PiN más alto]]/tblPiNAnalysis[[#This Row],[Población]], "")</f>
        <v>0.20144665211637414</v>
      </c>
      <c r="AN323" s="15">
        <f>IFERROR(tblPiNAnalysis[[#This Row],[PiN más alto]]-tblPiNAnalysis[[#This Row],[3º PiN más alto]],"")</f>
        <v>761.50438774616214</v>
      </c>
      <c r="AO323" s="14">
        <f>IFERROR(tblPiNAnalysis[[#This Row],[Diferencia de PiN entre el más alto y el 3º más alto]]/tblPiNAnalysis[[#This Row],[3º PiN más alto]], "")</f>
        <v>0.81189409784354438</v>
      </c>
      <c r="AP323" s="96" t="str" cm="1">
        <f t="array" ref="AP32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23" s="84" cm="1">
        <f t="array" ref="AQ323">IFERROR(IF(tblPiNAnalysis[[#This Row],[ID]]="", "", INDEX(tblPiNHistorical[[SAMV]:[ASH]], MATCH(tblPiNAnalysis[[#This Row],[ID]],tblPiNHistorical[ID], 0),MATCH(_xlfn._xlws.FILTER(tblPiNAnalysis[[#Headers],[SAMV]:[ASH]], tblPiNAnalysis[[#This Row],[PiN más alto]]=tblPiNAnalysis[[#This Row],[SAMV]:[ASH]]), tblPiNHistorical[[#Headers],[SAMV]:[ASH]], 0))), "")</f>
        <v>20.5</v>
      </c>
      <c r="AR323" s="99" t="str" cm="1">
        <f t="array" ref="AR32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23" s="74" cm="1">
        <f t="array" ref="AS323">IFERROR(IF(tblPiNAnalysis[[#This Row],[ID]]="", "", INDEX(tblPiNHistorical[[SAMV]:[ASH]], MATCH(tblPiNAnalysis[[#This Row],[ID]],tblPiNHistorical[ID], 0),MATCH(_xlfn._xlws.FILTER(tblPiNAnalysis[[#Headers],[SAMV]:[ASH]], tblPiNAnalysis[[#This Row],[2º PiN más alto]]=tblPiNAnalysis[[#This Row],[SAMV]:[ASH]]), tblPiNHistorical[[#Headers],[SAMV]:[ASH]], 0))), "")</f>
        <v>-0.1</v>
      </c>
      <c r="AT323" s="100" t="str" cm="1">
        <f t="array" ref="AT32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23" s="219">
        <f>INDEX(tblSeverityAnalysis[Severidad final], MATCH(tblPiNAnalysis[[#This Row],[ID]],tblSeverityAnalysis[ID], 0))</f>
        <v>2</v>
      </c>
      <c r="AV323" s="220">
        <f>IF(tblPiNAnalysis[[#This Row],[Severidad]]&gt;2,tblPiNAnalysis[[#This Row],[PiN más alto]],)</f>
        <v>0</v>
      </c>
      <c r="AW323" s="54"/>
      <c r="AX323" s="55"/>
      <c r="AY323" s="56">
        <f>COUNTIFS(tblPiNAnalysis[[#This Row],[Número de PiN ausentes/cero superior al umbral - Calidad de los datos]:[Marcador manual]],"Flagged")</f>
        <v>3</v>
      </c>
      <c r="AZ323" s="34" t="str">
        <f>IF(tblPiNAnalysis[[#This Row],[Número de marcadores]]&gt;0, "Flagged", "")</f>
        <v>Flagged</v>
      </c>
      <c r="BA323" s="92">
        <f>tblPiNAnalysis[[#This Row],[PiN preliminar]]</f>
        <v>0</v>
      </c>
      <c r="BB323" s="97"/>
      <c r="BC323" s="70">
        <f>IFERROR(IF(tblPiNAnalysis[[#This Row],[Severidad]]=3,tblPiNAnalysis[[#This Row],[PiN final]]*Umbrales!$D$33,tblPiNAnalysis[[#This Row],[PiN final]]*Umbrales!$D$34),)</f>
        <v>0</v>
      </c>
      <c r="BD323" s="70">
        <f>IFERROR(IF(tblPiNAnalysis[[#This Row],[Severidad]]&gt;3,tblPiNAnalysis[[#This Row],[PiN final]]*Umbrales!$D$34,),)</f>
        <v>0</v>
      </c>
    </row>
    <row r="324" spans="1:56">
      <c r="A324" s="101" t="str">
        <f>IFERROR(_xlfn.CONCAT(IF(tblPiNAnalysis[[#This Row],[Grupo]]="", "",tblPiNAnalysis[[#This Row],[Grupo]] ),  _xlfn.IFS(tblPiNAnalysis[[#This Row],[Admin2PCODE]]&lt;&gt;"", tblPiNAnalysis[[#This Row],[Admin2PCODE]], tblPiNAnalysis[[#This Row],[Admin1PCODE]]&lt;&gt;"", tblPiNAnalysis[[#This Row],[Admin1PCODE]])),"")</f>
        <v>VenezolanosVE2108</v>
      </c>
      <c r="B324" s="105" t="s">
        <v>642</v>
      </c>
      <c r="C324" s="104" t="s">
        <v>643</v>
      </c>
      <c r="D324" s="119" t="s">
        <v>656</v>
      </c>
      <c r="E324" s="104" t="s">
        <v>657</v>
      </c>
      <c r="F324" s="358"/>
      <c r="G324" s="357">
        <v>5449</v>
      </c>
      <c r="H324" s="103" t="s">
        <v>102</v>
      </c>
      <c r="I324" s="60">
        <v>665</v>
      </c>
      <c r="J324" s="134">
        <v>191.19198544738322</v>
      </c>
      <c r="K324" s="57">
        <v>1988.885</v>
      </c>
      <c r="L324" s="87">
        <v>423.40729764383741</v>
      </c>
      <c r="M324" s="87">
        <v>659.12281528463677</v>
      </c>
      <c r="N324" s="57">
        <v>0</v>
      </c>
      <c r="O324" s="57">
        <v>210.91930089108376</v>
      </c>
      <c r="P324" s="57">
        <v>230.69298534962286</v>
      </c>
      <c r="Q324" s="88">
        <f>IFERROR(IF(tblPiNAnalysis[[#This Row],[SAMV]]="", "", MROUND(tblPiNAnalysis[[#This Row],[SAMV]]/tblPiNAnalysis[[#This Row],[Población]], 0.05)), "")</f>
        <v>0.1</v>
      </c>
      <c r="R324" s="89">
        <f>IFERROR(IF(tblPiNAnalysis[[#This Row],[NUT]]="", "", MROUND(tblPiNAnalysis[[#This Row],[NUT]]/tblPiNAnalysis[[#This Row],[Población]], 0.05)), "")</f>
        <v>0.05</v>
      </c>
      <c r="S324" s="89">
        <f>IFERROR(IF(tblPiNAnalysis[[#This Row],[SAL]]="", "", MROUND(tblPiNAnalysis[[#This Row],[SAL]]/tblPiNAnalysis[[#This Row],[Población]], 0.05)), "")</f>
        <v>0.35000000000000003</v>
      </c>
      <c r="T324" s="89">
        <f>IFERROR(IF(tblPiNAnalysis[[#This Row],[EDU]]="", "", MROUND(tblPiNAnalysis[[#This Row],[EDU]]/tblPiNAnalysis[[#This Row],[Población]], 0.05)), "")</f>
        <v>0.1</v>
      </c>
      <c r="U324" s="89">
        <f>IFERROR(IF(tblPiNAnalysis[[#This Row],[PRO]]="", "", MROUND(tblPiNAnalysis[[#This Row],[PRO]]/tblPiNAnalysis[[#This Row],[Población]], 0.05)), "")</f>
        <v>0.1</v>
      </c>
      <c r="V324" s="90">
        <f>IFERROR(IF(tblPiNAnalysis[[#This Row],[ASH]]="", "", MROUND(tblPiNAnalysis[[#This Row],[ASH]]/tblPiNAnalysis[[#This Row],[Población]], 0.05)), "")</f>
        <v>0</v>
      </c>
      <c r="W324" s="89">
        <f>IFERROR(MROUND(tblPiNAnalysis[[#This Row],[NNA]]/tblPiNAnalysis[[#This Row],[Población]], 0.05), "")</f>
        <v>0.05</v>
      </c>
      <c r="X324" s="89">
        <f>IFERROR(MROUND(tblPiNAnalysis[[#This Row],[VBG]]/tblPiNAnalysis[[#This Row],[Población]], 0.05), "")</f>
        <v>0.05</v>
      </c>
      <c r="Y324" s="91">
        <f>IFERROR(LARGE(tblPiNAnalysis[[#This Row],[SAMV]:[ASH]], 1), "")</f>
        <v>1988.885</v>
      </c>
      <c r="Z324" s="92" t="str" cm="1">
        <f t="array" ref="Z324">IF(tblPiNAnalysis[[#This Row],[PiN más alto]]="", "", _xlfn.TEXTJOIN(CHAR(10), TRUE, IF(tblPiNAnalysis[[#This Row],[PiN más alto]]=tblPiNAnalysis[[#This Row],[SAMV]:[ASH]], tblPiNAnalysis[[#Headers],[SAMV]:[ASH]], "")))</f>
        <v>SAL</v>
      </c>
      <c r="AA324" s="93">
        <f>IF(tblPiNAnalysis[[#This Row],[PiN más alto]]="", "", tblPiNAnalysis[[#This Row],[PiN más alto]]/tblPiNAnalysis[[#This Row],[Población]])</f>
        <v>0.36499999999999999</v>
      </c>
      <c r="AB324" s="94" t="str">
        <f>IF(SUM(tblPiNAnalysis[[#This Row],[SAMV]:[ASH]])=0, "",IF(COUNTIF(tblPiNAnalysis[[#This Row],[SAMV]:[ASH]],"=0")+COUNTIF(tblPiNAnalysis[[#This Row],[SAMV]:[ASH]],"")&gt;=zero_pin_thresh, "Flagged", ""))</f>
        <v/>
      </c>
      <c r="AC324" s="95" t="str">
        <f>IFERROR(IF(tblPiNAnalysis[[#This Row],[PiN más alto]]="", "", IF(tblPiNAnalysis[[#This Row],[% PiN Sectores más altos]]&gt;=flag_pin_perc, "Flagged", "")), "")</f>
        <v/>
      </c>
      <c r="AD324" s="96" t="str" cm="1">
        <f t="array" ref="AD324">IF(tblPiNAnalysis[[#This Row],[PiN más alto]]=0, "",  IF(OR(COUNTIF(tblPiNAnalysis[[#This Row],[Sectores más altos]],tblSubSectorPopulation[Sector])), "Flagged", ""))</f>
        <v/>
      </c>
      <c r="AE324" s="16" cm="1">
        <f t="array" ref="AE32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665</v>
      </c>
      <c r="AF324" s="97" t="str" cm="1">
        <f t="array" ref="AF324">IF(tblPiNAnalysis[[#This Row],[2º PiN más alto]]="", "", _xlfn.TEXTJOIN(CHAR(10), TRUE, IF(tblPiNAnalysis[[#This Row],[2º PiN más alto]]=tblPiNAnalysis[[#This Row],[SAMV]:[ASH]], tblPiNAnalysis[[#Headers],[SAMV]:[ASH]], "")))</f>
        <v>SAMV</v>
      </c>
      <c r="AG324" s="12">
        <f>IFERROR(tblPiNAnalysis[[#This Row],[2º PiN más alto]]/tblPiNAnalysis[[#This Row],[Población]], "")</f>
        <v>0.12204074142044412</v>
      </c>
      <c r="AH324" s="16">
        <f>IFERROR(tblPiNAnalysis[[#This Row],[PiN más alto]]-tblPiNAnalysis[[#This Row],[2º PiN más alto]], "")</f>
        <v>1323.885</v>
      </c>
      <c r="AI324" s="14">
        <f>IFERROR(((tblPiNAnalysis[[#This Row],[PiN más alto]]-tblPiNAnalysis[[#This Row],[2º PiN más alto]])/tblPiNAnalysis[[#This Row],[2º PiN más alto]]),"")</f>
        <v>1.9908045112781956</v>
      </c>
      <c r="AJ324" s="14" t="str" cm="1">
        <f t="array" ref="AJ32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24" s="98" cm="1">
        <f t="array" ref="AK32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659.12281528463677</v>
      </c>
      <c r="AL324" s="53" t="str" cm="1">
        <f t="array" ref="AL324">IF(tblPiNAnalysis[[#This Row],[3º PiN más alto]]="", "", _xlfn.TEXTJOIN(CHAR(10), TRUE, IF(tblPiNAnalysis[[#This Row],[3º PiN más alto]]=tblPiNAnalysis[[#This Row],[SAMV]:[ASH]], tblPiNAnalysis[[#Headers],[SAMV]:[ASH]], "")))</f>
        <v>PRO</v>
      </c>
      <c r="AM324" s="53">
        <f>IFERROR(tblPiNAnalysis[[#This Row],[3º PiN más alto]]/tblPiNAnalysis[[#This Row],[Población]], "")</f>
        <v>0.12096216099919926</v>
      </c>
      <c r="AN324" s="15">
        <f>IFERROR(tblPiNAnalysis[[#This Row],[PiN más alto]]-tblPiNAnalysis[[#This Row],[3º PiN más alto]],"")</f>
        <v>1329.7621847153632</v>
      </c>
      <c r="AO324" s="14">
        <f>IFERROR(tblPiNAnalysis[[#This Row],[Diferencia de PiN entre el más alto y el 3º más alto]]/tblPiNAnalysis[[#This Row],[3º PiN más alto]], "")</f>
        <v>2.0174725466620607</v>
      </c>
      <c r="AP324" s="96" t="str" cm="1">
        <f t="array" ref="AP32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24" s="84" cm="1">
        <f t="array" ref="AQ324">IFERROR(IF(tblPiNAnalysis[[#This Row],[ID]]="", "", INDEX(tblPiNHistorical[[SAMV]:[ASH]], MATCH(tblPiNAnalysis[[#This Row],[ID]],tblPiNHistorical[ID], 0),MATCH(_xlfn._xlws.FILTER(tblPiNAnalysis[[#Headers],[SAMV]:[ASH]], tblPiNAnalysis[[#This Row],[PiN más alto]]=tblPiNAnalysis[[#This Row],[SAMV]:[ASH]]), tblPiNHistorical[[#Headers],[SAMV]:[ASH]], 0))), "")</f>
        <v>55.5</v>
      </c>
      <c r="AR324" s="99" t="str" cm="1">
        <f t="array" ref="AR32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24" s="74" cm="1">
        <f t="array" ref="AS324">IFERROR(IF(tblPiNAnalysis[[#This Row],[ID]]="", "", INDEX(tblPiNHistorical[[SAMV]:[ASH]], MATCH(tblPiNAnalysis[[#This Row],[ID]],tblPiNHistorical[ID], 0),MATCH(_xlfn._xlws.FILTER(tblPiNAnalysis[[#Headers],[SAMV]:[ASH]], tblPiNAnalysis[[#This Row],[2º PiN más alto]]=tblPiNAnalysis[[#This Row],[SAMV]:[ASH]]), tblPiNHistorical[[#Headers],[SAMV]:[ASH]], 0))), "")</f>
        <v>5.3</v>
      </c>
      <c r="AT324" s="100" t="str" cm="1">
        <f t="array" ref="AT32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24" s="219">
        <f>INDEX(tblSeverityAnalysis[Severidad final], MATCH(tblPiNAnalysis[[#This Row],[ID]],tblSeverityAnalysis[ID], 0))</f>
        <v>2</v>
      </c>
      <c r="AV324" s="220">
        <f>IF(tblPiNAnalysis[[#This Row],[Severidad]]&gt;2,tblPiNAnalysis[[#This Row],[PiN más alto]],)</f>
        <v>0</v>
      </c>
      <c r="AW324" s="54"/>
      <c r="AX324" s="55"/>
      <c r="AY324" s="56">
        <f>COUNTIFS(tblPiNAnalysis[[#This Row],[Número de PiN ausentes/cero superior al umbral - Calidad de los datos]:[Marcador manual]],"Flagged")</f>
        <v>4</v>
      </c>
      <c r="AZ324" s="34" t="str">
        <f>IF(tblPiNAnalysis[[#This Row],[Número de marcadores]]&gt;0, "Flagged", "")</f>
        <v>Flagged</v>
      </c>
      <c r="BA324" s="92">
        <f>tblPiNAnalysis[[#This Row],[PiN preliminar]]</f>
        <v>0</v>
      </c>
      <c r="BB324" s="97"/>
      <c r="BC324" s="70">
        <f>IFERROR(IF(tblPiNAnalysis[[#This Row],[Severidad]]=3,tblPiNAnalysis[[#This Row],[PiN final]]*Umbrales!$D$33,tblPiNAnalysis[[#This Row],[PiN final]]*Umbrales!$D$34),)</f>
        <v>0</v>
      </c>
      <c r="BD324" s="70">
        <f>IFERROR(IF(tblPiNAnalysis[[#This Row],[Severidad]]&gt;3,tblPiNAnalysis[[#This Row],[PiN final]]*Umbrales!$D$34,),)</f>
        <v>0</v>
      </c>
    </row>
    <row r="325" spans="1:56">
      <c r="A325" s="101" t="str">
        <f>IFERROR(_xlfn.CONCAT(IF(tblPiNAnalysis[[#This Row],[Grupo]]="", "",tblPiNAnalysis[[#This Row],[Grupo]] ),  _xlfn.IFS(tblPiNAnalysis[[#This Row],[Admin2PCODE]]&lt;&gt;"", tblPiNAnalysis[[#This Row],[Admin2PCODE]], tblPiNAnalysis[[#This Row],[Admin1PCODE]]&lt;&gt;"", tblPiNAnalysis[[#This Row],[Admin1PCODE]])),"")</f>
        <v>VenezolanosVE2110</v>
      </c>
      <c r="B325" s="105" t="s">
        <v>642</v>
      </c>
      <c r="C325" s="104" t="s">
        <v>643</v>
      </c>
      <c r="D325" s="119" t="s">
        <v>276</v>
      </c>
      <c r="E325" s="104" t="s">
        <v>660</v>
      </c>
      <c r="F325" s="358"/>
      <c r="G325" s="357">
        <v>21776</v>
      </c>
      <c r="H325" s="103" t="s">
        <v>102</v>
      </c>
      <c r="I325" s="60">
        <v>259</v>
      </c>
      <c r="J325" s="134">
        <v>743.2191414822812</v>
      </c>
      <c r="K325" s="57">
        <v>7948.24</v>
      </c>
      <c r="L325" s="87">
        <v>1742.9427233950278</v>
      </c>
      <c r="M325" s="87">
        <v>2634.0720179185632</v>
      </c>
      <c r="N325" s="57">
        <v>0</v>
      </c>
      <c r="O325" s="57">
        <v>842.90304573394019</v>
      </c>
      <c r="P325" s="57">
        <v>921.92520627149713</v>
      </c>
      <c r="Q325" s="88">
        <f>IFERROR(IF(tblPiNAnalysis[[#This Row],[SAMV]]="", "", MROUND(tblPiNAnalysis[[#This Row],[SAMV]]/tblPiNAnalysis[[#This Row],[Población]], 0.05)), "")</f>
        <v>0</v>
      </c>
      <c r="R325" s="89">
        <f>IFERROR(IF(tblPiNAnalysis[[#This Row],[NUT]]="", "", MROUND(tblPiNAnalysis[[#This Row],[NUT]]/tblPiNAnalysis[[#This Row],[Población]], 0.05)), "")</f>
        <v>0.05</v>
      </c>
      <c r="S325" s="89">
        <f>IFERROR(IF(tblPiNAnalysis[[#This Row],[SAL]]="", "", MROUND(tblPiNAnalysis[[#This Row],[SAL]]/tblPiNAnalysis[[#This Row],[Población]], 0.05)), "")</f>
        <v>0.35000000000000003</v>
      </c>
      <c r="T325" s="89">
        <f>IFERROR(IF(tblPiNAnalysis[[#This Row],[EDU]]="", "", MROUND(tblPiNAnalysis[[#This Row],[EDU]]/tblPiNAnalysis[[#This Row],[Población]], 0.05)), "")</f>
        <v>0.1</v>
      </c>
      <c r="U325" s="89">
        <f>IFERROR(IF(tblPiNAnalysis[[#This Row],[PRO]]="", "", MROUND(tblPiNAnalysis[[#This Row],[PRO]]/tblPiNAnalysis[[#This Row],[Población]], 0.05)), "")</f>
        <v>0.1</v>
      </c>
      <c r="V325" s="90">
        <f>IFERROR(IF(tblPiNAnalysis[[#This Row],[ASH]]="", "", MROUND(tblPiNAnalysis[[#This Row],[ASH]]/tblPiNAnalysis[[#This Row],[Población]], 0.05)), "")</f>
        <v>0</v>
      </c>
      <c r="W325" s="89">
        <f>IFERROR(MROUND(tblPiNAnalysis[[#This Row],[NNA]]/tblPiNAnalysis[[#This Row],[Población]], 0.05), "")</f>
        <v>0.05</v>
      </c>
      <c r="X325" s="89">
        <f>IFERROR(MROUND(tblPiNAnalysis[[#This Row],[VBG]]/tblPiNAnalysis[[#This Row],[Población]], 0.05), "")</f>
        <v>0.05</v>
      </c>
      <c r="Y325" s="91">
        <f>IFERROR(LARGE(tblPiNAnalysis[[#This Row],[SAMV]:[ASH]], 1), "")</f>
        <v>7948.24</v>
      </c>
      <c r="Z325" s="92" t="str" cm="1">
        <f t="array" ref="Z325">IF(tblPiNAnalysis[[#This Row],[PiN más alto]]="", "", _xlfn.TEXTJOIN(CHAR(10), TRUE, IF(tblPiNAnalysis[[#This Row],[PiN más alto]]=tblPiNAnalysis[[#This Row],[SAMV]:[ASH]], tblPiNAnalysis[[#Headers],[SAMV]:[ASH]], "")))</f>
        <v>SAL</v>
      </c>
      <c r="AA325" s="93">
        <f>IF(tblPiNAnalysis[[#This Row],[PiN más alto]]="", "", tblPiNAnalysis[[#This Row],[PiN más alto]]/tblPiNAnalysis[[#This Row],[Población]])</f>
        <v>0.36499999999999999</v>
      </c>
      <c r="AB325" s="94" t="str">
        <f>IF(SUM(tblPiNAnalysis[[#This Row],[SAMV]:[ASH]])=0, "",IF(COUNTIF(tblPiNAnalysis[[#This Row],[SAMV]:[ASH]],"=0")+COUNTIF(tblPiNAnalysis[[#This Row],[SAMV]:[ASH]],"")&gt;=zero_pin_thresh, "Flagged", ""))</f>
        <v/>
      </c>
      <c r="AC325" s="95" t="str">
        <f>IFERROR(IF(tblPiNAnalysis[[#This Row],[PiN más alto]]="", "", IF(tblPiNAnalysis[[#This Row],[% PiN Sectores más altos]]&gt;=flag_pin_perc, "Flagged", "")), "")</f>
        <v/>
      </c>
      <c r="AD325" s="96" t="str" cm="1">
        <f t="array" ref="AD325">IF(tblPiNAnalysis[[#This Row],[PiN más alto]]=0, "",  IF(OR(COUNTIF(tblPiNAnalysis[[#This Row],[Sectores más altos]],tblSubSectorPopulation[Sector])), "Flagged", ""))</f>
        <v/>
      </c>
      <c r="AE325" s="16" cm="1">
        <f t="array" ref="AE32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2634.0720179185632</v>
      </c>
      <c r="AF325" s="97" t="str" cm="1">
        <f t="array" ref="AF325">IF(tblPiNAnalysis[[#This Row],[2º PiN más alto]]="", "", _xlfn.TEXTJOIN(CHAR(10), TRUE, IF(tblPiNAnalysis[[#This Row],[2º PiN más alto]]=tblPiNAnalysis[[#This Row],[SAMV]:[ASH]], tblPiNAnalysis[[#Headers],[SAMV]:[ASH]], "")))</f>
        <v>PRO</v>
      </c>
      <c r="AG325" s="12">
        <f>IFERROR(tblPiNAnalysis[[#This Row],[2º PiN más alto]]/tblPiNAnalysis[[#This Row],[Población]], "")</f>
        <v>0.12096216099919926</v>
      </c>
      <c r="AH325" s="16">
        <f>IFERROR(tblPiNAnalysis[[#This Row],[PiN más alto]]-tblPiNAnalysis[[#This Row],[2º PiN más alto]], "")</f>
        <v>5314.167982081437</v>
      </c>
      <c r="AI325" s="14">
        <f>IFERROR(((tblPiNAnalysis[[#This Row],[PiN más alto]]-tblPiNAnalysis[[#This Row],[2º PiN más alto]])/tblPiNAnalysis[[#This Row],[2º PiN más alto]]),"")</f>
        <v>2.0174725466620607</v>
      </c>
      <c r="AJ325" s="14" t="str" cm="1">
        <f t="array" ref="AJ32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25" s="98" cm="1">
        <f t="array" ref="AK32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1742.9427233950278</v>
      </c>
      <c r="AL325" s="53" t="str" cm="1">
        <f t="array" ref="AL325">IF(tblPiNAnalysis[[#This Row],[3º PiN más alto]]="", "", _xlfn.TEXTJOIN(CHAR(10), TRUE, IF(tblPiNAnalysis[[#This Row],[3º PiN más alto]]=tblPiNAnalysis[[#This Row],[SAMV]:[ASH]], tblPiNAnalysis[[#Headers],[SAMV]:[ASH]], "")))</f>
        <v>EDU</v>
      </c>
      <c r="AM325" s="53">
        <f>IFERROR(tblPiNAnalysis[[#This Row],[3º PiN más alto]]/tblPiNAnalysis[[#This Row],[Población]], "")</f>
        <v>8.0039618083900976E-2</v>
      </c>
      <c r="AN325" s="15">
        <f>IFERROR(tblPiNAnalysis[[#This Row],[PiN más alto]]-tblPiNAnalysis[[#This Row],[3º PiN más alto]],"")</f>
        <v>6205.2972766049716</v>
      </c>
      <c r="AO325" s="14">
        <f>IFERROR(tblPiNAnalysis[[#This Row],[Diferencia de PiN entre el más alto y el 3º más alto]]/tblPiNAnalysis[[#This Row],[3º PiN más alto]], "")</f>
        <v>3.5602416495464935</v>
      </c>
      <c r="AP325" s="96" t="str" cm="1">
        <f t="array" ref="AP32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25" s="84" cm="1">
        <f t="array" ref="AQ325">IFERROR(IF(tblPiNAnalysis[[#This Row],[ID]]="", "", INDEX(tblPiNHistorical[[SAMV]:[ASH]], MATCH(tblPiNAnalysis[[#This Row],[ID]],tblPiNHistorical[ID], 0),MATCH(_xlfn._xlws.FILTER(tblPiNAnalysis[[#Headers],[SAMV]:[ASH]], tblPiNAnalysis[[#This Row],[PiN más alto]]=tblPiNAnalysis[[#This Row],[SAMV]:[ASH]]), tblPiNHistorical[[#Headers],[SAMV]:[ASH]], 0))), "")</f>
        <v>0.9</v>
      </c>
      <c r="AR325" s="99" t="str" cm="1">
        <f t="array" ref="AR32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25" s="74" cm="1">
        <f t="array" ref="AS325">IFERROR(IF(tblPiNAnalysis[[#This Row],[ID]]="", "", INDEX(tblPiNHistorical[[SAMV]:[ASH]], MATCH(tblPiNAnalysis[[#This Row],[ID]],tblPiNHistorical[ID], 0),MATCH(_xlfn._xlws.FILTER(tblPiNAnalysis[[#Headers],[SAMV]:[ASH]], tblPiNAnalysis[[#This Row],[2º PiN más alto]]=tblPiNAnalysis[[#This Row],[SAMV]:[ASH]]), tblPiNHistorical[[#Headers],[SAMV]:[ASH]], 0))), "")</f>
        <v>-0.9</v>
      </c>
      <c r="AT325" s="100" t="str" cm="1">
        <f t="array" ref="AT32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25" s="219">
        <f>INDEX(tblSeverityAnalysis[Severidad final], MATCH(tblPiNAnalysis[[#This Row],[ID]],tblSeverityAnalysis[ID], 0))</f>
        <v>2</v>
      </c>
      <c r="AV325" s="220">
        <f>IF(tblPiNAnalysis[[#This Row],[Severidad]]&gt;2,tblPiNAnalysis[[#This Row],[PiN más alto]],)</f>
        <v>0</v>
      </c>
      <c r="AW325" s="54"/>
      <c r="AX325" s="55"/>
      <c r="AY325" s="56">
        <f>COUNTIFS(tblPiNAnalysis[[#This Row],[Número de PiN ausentes/cero superior al umbral - Calidad de los datos]:[Marcador manual]],"Flagged")</f>
        <v>2</v>
      </c>
      <c r="AZ325" s="34" t="str">
        <f>IF(tblPiNAnalysis[[#This Row],[Número de marcadores]]&gt;0, "Flagged", "")</f>
        <v>Flagged</v>
      </c>
      <c r="BA325" s="92">
        <f>tblPiNAnalysis[[#This Row],[PiN preliminar]]</f>
        <v>0</v>
      </c>
      <c r="BB325" s="97"/>
      <c r="BC325" s="70">
        <f>IFERROR(IF(tblPiNAnalysis[[#This Row],[Severidad]]=3,tblPiNAnalysis[[#This Row],[PiN final]]*Umbrales!$D$33,tblPiNAnalysis[[#This Row],[PiN final]]*Umbrales!$D$34),)</f>
        <v>0</v>
      </c>
      <c r="BD325" s="70">
        <f>IFERROR(IF(tblPiNAnalysis[[#This Row],[Severidad]]&gt;3,tblPiNAnalysis[[#This Row],[PiN final]]*Umbrales!$D$34,),)</f>
        <v>0</v>
      </c>
    </row>
    <row r="326" spans="1:56">
      <c r="A326" s="101" t="str">
        <f>IFERROR(_xlfn.CONCAT(IF(tblPiNAnalysis[[#This Row],[Grupo]]="", "",tblPiNAnalysis[[#This Row],[Grupo]] ),  _xlfn.IFS(tblPiNAnalysis[[#This Row],[Admin2PCODE]]&lt;&gt;"", tblPiNAnalysis[[#This Row],[Admin2PCODE]], tblPiNAnalysis[[#This Row],[Admin1PCODE]]&lt;&gt;"", tblPiNAnalysis[[#This Row],[Admin1PCODE]])),"")</f>
        <v>VenezolanosVE2111</v>
      </c>
      <c r="B326" s="105" t="s">
        <v>642</v>
      </c>
      <c r="C326" s="104" t="s">
        <v>643</v>
      </c>
      <c r="D326" s="119" t="s">
        <v>661</v>
      </c>
      <c r="E326" s="104" t="s">
        <v>662</v>
      </c>
      <c r="F326" s="358"/>
      <c r="G326" s="357">
        <v>12891</v>
      </c>
      <c r="H326" s="103" t="s">
        <v>102</v>
      </c>
      <c r="I326" s="60">
        <v>2241</v>
      </c>
      <c r="J326" s="134">
        <v>474.06319783198478</v>
      </c>
      <c r="K326" s="57">
        <v>9850</v>
      </c>
      <c r="L326" s="87">
        <v>1690.5300263777835</v>
      </c>
      <c r="M326" s="87">
        <v>1559.3232174406776</v>
      </c>
      <c r="N326" s="57">
        <v>870.14249999999993</v>
      </c>
      <c r="O326" s="57">
        <v>498.98342958101682</v>
      </c>
      <c r="P326" s="57">
        <v>545.76312610423713</v>
      </c>
      <c r="Q326" s="88">
        <f>IFERROR(IF(tblPiNAnalysis[[#This Row],[SAMV]]="", "", MROUND(tblPiNAnalysis[[#This Row],[SAMV]]/tblPiNAnalysis[[#This Row],[Población]], 0.05)), "")</f>
        <v>0.15000000000000002</v>
      </c>
      <c r="R326" s="89">
        <f>IFERROR(IF(tblPiNAnalysis[[#This Row],[NUT]]="", "", MROUND(tblPiNAnalysis[[#This Row],[NUT]]/tblPiNAnalysis[[#This Row],[Población]], 0.05)), "")</f>
        <v>0.05</v>
      </c>
      <c r="S326" s="89">
        <f>IFERROR(IF(tblPiNAnalysis[[#This Row],[SAL]]="", "", MROUND(tblPiNAnalysis[[#This Row],[SAL]]/tblPiNAnalysis[[#This Row],[Población]], 0.05)), "")</f>
        <v>0.75</v>
      </c>
      <c r="T326" s="89">
        <f>IFERROR(IF(tblPiNAnalysis[[#This Row],[EDU]]="", "", MROUND(tblPiNAnalysis[[#This Row],[EDU]]/tblPiNAnalysis[[#This Row],[Población]], 0.05)), "")</f>
        <v>0.15000000000000002</v>
      </c>
      <c r="U326" s="89">
        <f>IFERROR(IF(tblPiNAnalysis[[#This Row],[PRO]]="", "", MROUND(tblPiNAnalysis[[#This Row],[PRO]]/tblPiNAnalysis[[#This Row],[Población]], 0.05)), "")</f>
        <v>0.1</v>
      </c>
      <c r="V326" s="90">
        <f>IFERROR(IF(tblPiNAnalysis[[#This Row],[ASH]]="", "", MROUND(tblPiNAnalysis[[#This Row],[ASH]]/tblPiNAnalysis[[#This Row],[Población]], 0.05)), "")</f>
        <v>0.05</v>
      </c>
      <c r="W326" s="89">
        <f>IFERROR(MROUND(tblPiNAnalysis[[#This Row],[NNA]]/tblPiNAnalysis[[#This Row],[Población]], 0.05), "")</f>
        <v>0.05</v>
      </c>
      <c r="X326" s="89">
        <f>IFERROR(MROUND(tblPiNAnalysis[[#This Row],[VBG]]/tblPiNAnalysis[[#This Row],[Población]], 0.05), "")</f>
        <v>0.05</v>
      </c>
      <c r="Y326" s="91">
        <f>IFERROR(LARGE(tblPiNAnalysis[[#This Row],[SAMV]:[ASH]], 1), "")</f>
        <v>9850</v>
      </c>
      <c r="Z326" s="92" t="str" cm="1">
        <f t="array" ref="Z326">IF(tblPiNAnalysis[[#This Row],[PiN más alto]]="", "", _xlfn.TEXTJOIN(CHAR(10), TRUE, IF(tblPiNAnalysis[[#This Row],[PiN más alto]]=tblPiNAnalysis[[#This Row],[SAMV]:[ASH]], tblPiNAnalysis[[#Headers],[SAMV]:[ASH]], "")))</f>
        <v>SAL</v>
      </c>
      <c r="AA326" s="93">
        <f>IF(tblPiNAnalysis[[#This Row],[PiN más alto]]="", "", tblPiNAnalysis[[#This Row],[PiN más alto]]/tblPiNAnalysis[[#This Row],[Población]])</f>
        <v>0.76409898378713836</v>
      </c>
      <c r="AB326" s="94" t="str">
        <f>IF(SUM(tblPiNAnalysis[[#This Row],[SAMV]:[ASH]])=0, "",IF(COUNTIF(tblPiNAnalysis[[#This Row],[SAMV]:[ASH]],"=0")+COUNTIF(tblPiNAnalysis[[#This Row],[SAMV]:[ASH]],"")&gt;=zero_pin_thresh, "Flagged", ""))</f>
        <v/>
      </c>
      <c r="AC326" s="95" t="str">
        <f>IFERROR(IF(tblPiNAnalysis[[#This Row],[PiN más alto]]="", "", IF(tblPiNAnalysis[[#This Row],[% PiN Sectores más altos]]&gt;=flag_pin_perc, "Flagged", "")), "")</f>
        <v/>
      </c>
      <c r="AD326" s="96" t="str" cm="1">
        <f t="array" ref="AD326">IF(tblPiNAnalysis[[#This Row],[PiN más alto]]=0, "",  IF(OR(COUNTIF(tblPiNAnalysis[[#This Row],[Sectores más altos]],tblSubSectorPopulation[Sector])), "Flagged", ""))</f>
        <v/>
      </c>
      <c r="AE326" s="16" cm="1">
        <f t="array" ref="AE32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2241</v>
      </c>
      <c r="AF326" s="97" t="str" cm="1">
        <f t="array" ref="AF326">IF(tblPiNAnalysis[[#This Row],[2º PiN más alto]]="", "", _xlfn.TEXTJOIN(CHAR(10), TRUE, IF(tblPiNAnalysis[[#This Row],[2º PiN más alto]]=tblPiNAnalysis[[#This Row],[SAMV]:[ASH]], tblPiNAnalysis[[#Headers],[SAMV]:[ASH]], "")))</f>
        <v>SAMV</v>
      </c>
      <c r="AG326" s="12">
        <f>IFERROR(tblPiNAnalysis[[#This Row],[2º PiN más alto]]/tblPiNAnalysis[[#This Row],[Población]], "")</f>
        <v>0.17384221549918547</v>
      </c>
      <c r="AH326" s="16">
        <f>IFERROR(tblPiNAnalysis[[#This Row],[PiN más alto]]-tblPiNAnalysis[[#This Row],[2º PiN más alto]], "")</f>
        <v>7609</v>
      </c>
      <c r="AI326" s="14">
        <f>IFERROR(((tblPiNAnalysis[[#This Row],[PiN más alto]]-tblPiNAnalysis[[#This Row],[2º PiN más alto]])/tblPiNAnalysis[[#This Row],[2º PiN más alto]]),"")</f>
        <v>3.395359214636323</v>
      </c>
      <c r="AJ326" s="14" t="str" cm="1">
        <f t="array" ref="AJ32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26" s="98" cm="1">
        <f t="array" ref="AK32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1690.5300263777835</v>
      </c>
      <c r="AL326" s="53" t="str" cm="1">
        <f t="array" ref="AL326">IF(tblPiNAnalysis[[#This Row],[3º PiN más alto]]="", "", _xlfn.TEXTJOIN(CHAR(10), TRUE, IF(tblPiNAnalysis[[#This Row],[3º PiN más alto]]=tblPiNAnalysis[[#This Row],[SAMV]:[ASH]], tblPiNAnalysis[[#Headers],[SAMV]:[ASH]], "")))</f>
        <v>EDU</v>
      </c>
      <c r="AM326" s="53">
        <f>IFERROR(tblPiNAnalysis[[#This Row],[3º PiN más alto]]/tblPiNAnalysis[[#This Row],[Población]], "")</f>
        <v>0.13114033250933083</v>
      </c>
      <c r="AN326" s="15">
        <f>IFERROR(tblPiNAnalysis[[#This Row],[PiN más alto]]-tblPiNAnalysis[[#This Row],[3º PiN más alto]],"")</f>
        <v>8159.4699736222165</v>
      </c>
      <c r="AO326" s="14">
        <f>IFERROR(tblPiNAnalysis[[#This Row],[Diferencia de PiN entre el más alto y el 3º más alto]]/tblPiNAnalysis[[#This Row],[3º PiN más alto]], "")</f>
        <v>4.8265750068368298</v>
      </c>
      <c r="AP326" s="96" t="str" cm="1">
        <f t="array" ref="AP32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26" s="84" cm="1">
        <f t="array" ref="AQ326">IFERROR(IF(tblPiNAnalysis[[#This Row],[ID]]="", "", INDEX(tblPiNHistorical[[SAMV]:[ASH]], MATCH(tblPiNAnalysis[[#This Row],[ID]],tblPiNHistorical[ID], 0),MATCH(_xlfn._xlws.FILTER(tblPiNAnalysis[[#Headers],[SAMV]:[ASH]], tblPiNAnalysis[[#This Row],[PiN más alto]]=tblPiNAnalysis[[#This Row],[SAMV]:[ASH]]), tblPiNHistorical[[#Headers],[SAMV]:[ASH]], 0))), "")</f>
        <v>3.6</v>
      </c>
      <c r="AR326" s="99" t="str" cm="1">
        <f t="array" ref="AR32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26" s="74" cm="1">
        <f t="array" ref="AS326">IFERROR(IF(tblPiNAnalysis[[#This Row],[ID]]="", "", INDEX(tblPiNHistorical[[SAMV]:[ASH]], MATCH(tblPiNAnalysis[[#This Row],[ID]],tblPiNHistorical[ID], 0),MATCH(_xlfn._xlws.FILTER(tblPiNAnalysis[[#Headers],[SAMV]:[ASH]], tblPiNAnalysis[[#This Row],[2º PiN más alto]]=tblPiNAnalysis[[#This Row],[SAMV]:[ASH]]), tblPiNHistorical[[#Headers],[SAMV]:[ASH]], 0))), "")</f>
        <v>1.6</v>
      </c>
      <c r="AT326" s="100" t="str" cm="1">
        <f t="array" ref="AT32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26" s="219">
        <f>INDEX(tblSeverityAnalysis[Severidad final], MATCH(tblPiNAnalysis[[#This Row],[ID]],tblSeverityAnalysis[ID], 0))</f>
        <v>2</v>
      </c>
      <c r="AV326" s="220">
        <f>IF(tblPiNAnalysis[[#This Row],[Severidad]]&gt;2,tblPiNAnalysis[[#This Row],[PiN más alto]],)</f>
        <v>0</v>
      </c>
      <c r="AW326" s="54"/>
      <c r="AX326" s="55"/>
      <c r="AY326" s="56">
        <f>COUNTIFS(tblPiNAnalysis[[#This Row],[Número de PiN ausentes/cero superior al umbral - Calidad de los datos]:[Marcador manual]],"Flagged")</f>
        <v>4</v>
      </c>
      <c r="AZ326" s="34" t="str">
        <f>IF(tblPiNAnalysis[[#This Row],[Número de marcadores]]&gt;0, "Flagged", "")</f>
        <v>Flagged</v>
      </c>
      <c r="BA326" s="92">
        <f>tblPiNAnalysis[[#This Row],[PiN preliminar]]</f>
        <v>0</v>
      </c>
      <c r="BB326" s="97"/>
      <c r="BC326" s="70">
        <f>IFERROR(IF(tblPiNAnalysis[[#This Row],[Severidad]]=3,tblPiNAnalysis[[#This Row],[PiN final]]*Umbrales!$D$33,tblPiNAnalysis[[#This Row],[PiN final]]*Umbrales!$D$34),)</f>
        <v>0</v>
      </c>
      <c r="BD326" s="70">
        <f>IFERROR(IF(tblPiNAnalysis[[#This Row],[Severidad]]&gt;3,tblPiNAnalysis[[#This Row],[PiN final]]*Umbrales!$D$34,),)</f>
        <v>0</v>
      </c>
    </row>
    <row r="327" spans="1:56">
      <c r="A327" s="101" t="str">
        <f>IFERROR(_xlfn.CONCAT(IF(tblPiNAnalysis[[#This Row],[Grupo]]="", "",tblPiNAnalysis[[#This Row],[Grupo]] ),  _xlfn.IFS(tblPiNAnalysis[[#This Row],[Admin2PCODE]]&lt;&gt;"", tblPiNAnalysis[[#This Row],[Admin2PCODE]], tblPiNAnalysis[[#This Row],[Admin1PCODE]]&lt;&gt;"", tblPiNAnalysis[[#This Row],[Admin1PCODE]])),"")</f>
        <v>VenezolanosVE2113</v>
      </c>
      <c r="B327" s="105" t="s">
        <v>642</v>
      </c>
      <c r="C327" s="104" t="s">
        <v>643</v>
      </c>
      <c r="D327" s="119" t="s">
        <v>665</v>
      </c>
      <c r="E327" s="104" t="s">
        <v>666</v>
      </c>
      <c r="F327" s="358"/>
      <c r="G327" s="357">
        <v>48623</v>
      </c>
      <c r="H327" s="103" t="s">
        <v>102</v>
      </c>
      <c r="I327" s="60">
        <v>2917</v>
      </c>
      <c r="J327" s="134">
        <v>1571.4522412250521</v>
      </c>
      <c r="K327" s="57">
        <v>17747.395</v>
      </c>
      <c r="L327" s="87">
        <v>4229.6640949479497</v>
      </c>
      <c r="M327" s="87">
        <v>5881.5431542640636</v>
      </c>
      <c r="N327" s="57">
        <v>0</v>
      </c>
      <c r="O327" s="57">
        <v>1882.0938093645004</v>
      </c>
      <c r="P327" s="57">
        <v>2058.5401039924218</v>
      </c>
      <c r="Q327" s="88">
        <f>IFERROR(IF(tblPiNAnalysis[[#This Row],[SAMV]]="", "", MROUND(tblPiNAnalysis[[#This Row],[SAMV]]/tblPiNAnalysis[[#This Row],[Población]], 0.05)), "")</f>
        <v>0.05</v>
      </c>
      <c r="R327" s="89">
        <f>IFERROR(IF(tblPiNAnalysis[[#This Row],[NUT]]="", "", MROUND(tblPiNAnalysis[[#This Row],[NUT]]/tblPiNAnalysis[[#This Row],[Población]], 0.05)), "")</f>
        <v>0.05</v>
      </c>
      <c r="S327" s="89">
        <f>IFERROR(IF(tblPiNAnalysis[[#This Row],[SAL]]="", "", MROUND(tblPiNAnalysis[[#This Row],[SAL]]/tblPiNAnalysis[[#This Row],[Población]], 0.05)), "")</f>
        <v>0.35000000000000003</v>
      </c>
      <c r="T327" s="89">
        <f>IFERROR(IF(tblPiNAnalysis[[#This Row],[EDU]]="", "", MROUND(tblPiNAnalysis[[#This Row],[EDU]]/tblPiNAnalysis[[#This Row],[Población]], 0.05)), "")</f>
        <v>0.1</v>
      </c>
      <c r="U327" s="89">
        <f>IFERROR(IF(tblPiNAnalysis[[#This Row],[PRO]]="", "", MROUND(tblPiNAnalysis[[#This Row],[PRO]]/tblPiNAnalysis[[#This Row],[Población]], 0.05)), "")</f>
        <v>0.1</v>
      </c>
      <c r="V327" s="90">
        <f>IFERROR(IF(tblPiNAnalysis[[#This Row],[ASH]]="", "", MROUND(tblPiNAnalysis[[#This Row],[ASH]]/tblPiNAnalysis[[#This Row],[Población]], 0.05)), "")</f>
        <v>0</v>
      </c>
      <c r="W327" s="89">
        <f>IFERROR(MROUND(tblPiNAnalysis[[#This Row],[NNA]]/tblPiNAnalysis[[#This Row],[Población]], 0.05), "")</f>
        <v>0.05</v>
      </c>
      <c r="X327" s="89">
        <f>IFERROR(MROUND(tblPiNAnalysis[[#This Row],[VBG]]/tblPiNAnalysis[[#This Row],[Población]], 0.05), "")</f>
        <v>0.05</v>
      </c>
      <c r="Y327" s="91">
        <f>IFERROR(LARGE(tblPiNAnalysis[[#This Row],[SAMV]:[ASH]], 1), "")</f>
        <v>17747.395</v>
      </c>
      <c r="Z327" s="92" t="str" cm="1">
        <f t="array" ref="Z327">IF(tblPiNAnalysis[[#This Row],[PiN más alto]]="", "", _xlfn.TEXTJOIN(CHAR(10), TRUE, IF(tblPiNAnalysis[[#This Row],[PiN más alto]]=tblPiNAnalysis[[#This Row],[SAMV]:[ASH]], tblPiNAnalysis[[#Headers],[SAMV]:[ASH]], "")))</f>
        <v>SAL</v>
      </c>
      <c r="AA327" s="93">
        <f>IF(tblPiNAnalysis[[#This Row],[PiN más alto]]="", "", tblPiNAnalysis[[#This Row],[PiN más alto]]/tblPiNAnalysis[[#This Row],[Población]])</f>
        <v>0.36499999999999999</v>
      </c>
      <c r="AB327" s="94" t="str">
        <f>IF(SUM(tblPiNAnalysis[[#This Row],[SAMV]:[ASH]])=0, "",IF(COUNTIF(tblPiNAnalysis[[#This Row],[SAMV]:[ASH]],"=0")+COUNTIF(tblPiNAnalysis[[#This Row],[SAMV]:[ASH]],"")&gt;=zero_pin_thresh, "Flagged", ""))</f>
        <v/>
      </c>
      <c r="AC327" s="95" t="str">
        <f>IFERROR(IF(tblPiNAnalysis[[#This Row],[PiN más alto]]="", "", IF(tblPiNAnalysis[[#This Row],[% PiN Sectores más altos]]&gt;=flag_pin_perc, "Flagged", "")), "")</f>
        <v/>
      </c>
      <c r="AD327" s="96" t="str" cm="1">
        <f t="array" ref="AD327">IF(tblPiNAnalysis[[#This Row],[PiN más alto]]=0, "",  IF(OR(COUNTIF(tblPiNAnalysis[[#This Row],[Sectores más altos]],tblSubSectorPopulation[Sector])), "Flagged", ""))</f>
        <v/>
      </c>
      <c r="AE327" s="16" cm="1">
        <f t="array" ref="AE32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5881.5431542640636</v>
      </c>
      <c r="AF327" s="97" t="str" cm="1">
        <f t="array" ref="AF327">IF(tblPiNAnalysis[[#This Row],[2º PiN más alto]]="", "", _xlfn.TEXTJOIN(CHAR(10), TRUE, IF(tblPiNAnalysis[[#This Row],[2º PiN más alto]]=tblPiNAnalysis[[#This Row],[SAMV]:[ASH]], tblPiNAnalysis[[#Headers],[SAMV]:[ASH]], "")))</f>
        <v>PRO</v>
      </c>
      <c r="AG327" s="12">
        <f>IFERROR(tblPiNAnalysis[[#This Row],[2º PiN más alto]]/tblPiNAnalysis[[#This Row],[Población]], "")</f>
        <v>0.12096216099919922</v>
      </c>
      <c r="AH327" s="16">
        <f>IFERROR(tblPiNAnalysis[[#This Row],[PiN más alto]]-tblPiNAnalysis[[#This Row],[2º PiN más alto]], "")</f>
        <v>11865.851845735937</v>
      </c>
      <c r="AI327" s="14">
        <f>IFERROR(((tblPiNAnalysis[[#This Row],[PiN más alto]]-tblPiNAnalysis[[#This Row],[2º PiN más alto]])/tblPiNAnalysis[[#This Row],[2º PiN más alto]]),"")</f>
        <v>2.017472546662062</v>
      </c>
      <c r="AJ327" s="14" t="str" cm="1">
        <f t="array" ref="AJ32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27" s="98" cm="1">
        <f t="array" ref="AK32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4229.6640949479497</v>
      </c>
      <c r="AL327" s="53" t="str" cm="1">
        <f t="array" ref="AL327">IF(tblPiNAnalysis[[#This Row],[3º PiN más alto]]="", "", _xlfn.TEXTJOIN(CHAR(10), TRUE, IF(tblPiNAnalysis[[#This Row],[3º PiN más alto]]=tblPiNAnalysis[[#This Row],[SAMV]:[ASH]], tblPiNAnalysis[[#Headers],[SAMV]:[ASH]], "")))</f>
        <v>EDU</v>
      </c>
      <c r="AM327" s="53">
        <f>IFERROR(tblPiNAnalysis[[#This Row],[3º PiN más alto]]/tblPiNAnalysis[[#This Row],[Población]], "")</f>
        <v>8.6988957796679547E-2</v>
      </c>
      <c r="AN327" s="15">
        <f>IFERROR(tblPiNAnalysis[[#This Row],[PiN más alto]]-tblPiNAnalysis[[#This Row],[3º PiN más alto]],"")</f>
        <v>13517.730905052051</v>
      </c>
      <c r="AO327" s="14">
        <f>IFERROR(tblPiNAnalysis[[#This Row],[Diferencia de PiN entre el más alto y el 3º más alto]]/tblPiNAnalysis[[#This Row],[3º PiN más alto]], "")</f>
        <v>3.1959348547791477</v>
      </c>
      <c r="AP327" s="96" t="str" cm="1">
        <f t="array" ref="AP32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27" s="84" cm="1">
        <f t="array" ref="AQ327">IFERROR(IF(tblPiNAnalysis[[#This Row],[ID]]="", "", INDEX(tblPiNHistorical[[SAMV]:[ASH]], MATCH(tblPiNAnalysis[[#This Row],[ID]],tblPiNHistorical[ID], 0),MATCH(_xlfn._xlws.FILTER(tblPiNAnalysis[[#Headers],[SAMV]:[ASH]], tblPiNAnalysis[[#This Row],[PiN más alto]]=tblPiNAnalysis[[#This Row],[SAMV]:[ASH]]), tblPiNHistorical[[#Headers],[SAMV]:[ASH]], 0))), "")</f>
        <v>0.1</v>
      </c>
      <c r="AR327" s="99" t="str" cm="1">
        <f t="array" ref="AR32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27" s="74" cm="1">
        <f t="array" ref="AS327">IFERROR(IF(tblPiNAnalysis[[#This Row],[ID]]="", "", INDEX(tblPiNHistorical[[SAMV]:[ASH]], MATCH(tblPiNAnalysis[[#This Row],[ID]],tblPiNHistorical[ID], 0),MATCH(_xlfn._xlws.FILTER(tblPiNAnalysis[[#Headers],[SAMV]:[ASH]], tblPiNAnalysis[[#This Row],[2º PiN más alto]]=tblPiNAnalysis[[#This Row],[SAMV]:[ASH]]), tblPiNHistorical[[#Headers],[SAMV]:[ASH]], 0))), "")</f>
        <v>-0.8</v>
      </c>
      <c r="AT327" s="100" t="str" cm="1">
        <f t="array" ref="AT32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27" s="219">
        <f>INDEX(tblSeverityAnalysis[Severidad final], MATCH(tblPiNAnalysis[[#This Row],[ID]],tblSeverityAnalysis[ID], 0))</f>
        <v>2</v>
      </c>
      <c r="AV327" s="220">
        <f>IF(tblPiNAnalysis[[#This Row],[Severidad]]&gt;2,tblPiNAnalysis[[#This Row],[PiN más alto]],)</f>
        <v>0</v>
      </c>
      <c r="AW327" s="54"/>
      <c r="AX327" s="55"/>
      <c r="AY327" s="56">
        <f>COUNTIFS(tblPiNAnalysis[[#This Row],[Número de PiN ausentes/cero superior al umbral - Calidad de los datos]:[Marcador manual]],"Flagged")</f>
        <v>2</v>
      </c>
      <c r="AZ327" s="34" t="str">
        <f>IF(tblPiNAnalysis[[#This Row],[Número de marcadores]]&gt;0, "Flagged", "")</f>
        <v>Flagged</v>
      </c>
      <c r="BA327" s="92">
        <f>tblPiNAnalysis[[#This Row],[PiN preliminar]]</f>
        <v>0</v>
      </c>
      <c r="BB327" s="97"/>
      <c r="BC327" s="70">
        <f>IFERROR(IF(tblPiNAnalysis[[#This Row],[Severidad]]=3,tblPiNAnalysis[[#This Row],[PiN final]]*Umbrales!$D$33,tblPiNAnalysis[[#This Row],[PiN final]]*Umbrales!$D$34),)</f>
        <v>0</v>
      </c>
      <c r="BD327" s="70">
        <f>IFERROR(IF(tblPiNAnalysis[[#This Row],[Severidad]]&gt;3,tblPiNAnalysis[[#This Row],[PiN final]]*Umbrales!$D$34,),)</f>
        <v>0</v>
      </c>
    </row>
    <row r="328" spans="1:56">
      <c r="A328" s="101" t="str">
        <f>IFERROR(_xlfn.CONCAT(IF(tblPiNAnalysis[[#This Row],[Grupo]]="", "",tblPiNAnalysis[[#This Row],[Grupo]] ),  _xlfn.IFS(tblPiNAnalysis[[#This Row],[Admin2PCODE]]&lt;&gt;"", tblPiNAnalysis[[#This Row],[Admin2PCODE]], tblPiNAnalysis[[#This Row],[Admin1PCODE]]&lt;&gt;"", tblPiNAnalysis[[#This Row],[Admin1PCODE]])),"")</f>
        <v>VenezolanosVE2114</v>
      </c>
      <c r="B328" s="105" t="s">
        <v>642</v>
      </c>
      <c r="C328" s="104" t="s">
        <v>643</v>
      </c>
      <c r="D328" s="119" t="s">
        <v>667</v>
      </c>
      <c r="E328" s="104" t="s">
        <v>668</v>
      </c>
      <c r="F328" s="358"/>
      <c r="G328" s="357">
        <v>29160</v>
      </c>
      <c r="H328" s="103" t="s">
        <v>102</v>
      </c>
      <c r="I328" s="60">
        <v>663</v>
      </c>
      <c r="J328" s="134">
        <v>869.01905017355637</v>
      </c>
      <c r="K328" s="57">
        <v>10643.4</v>
      </c>
      <c r="L328" s="87">
        <v>3570.5693405609359</v>
      </c>
      <c r="M328" s="87">
        <v>5878.7610245610849</v>
      </c>
      <c r="N328" s="57">
        <v>0</v>
      </c>
      <c r="O328" s="57">
        <v>1887.0822888841083</v>
      </c>
      <c r="P328" s="57">
        <v>2057.5663585963794</v>
      </c>
      <c r="Q328" s="88">
        <f>IFERROR(IF(tblPiNAnalysis[[#This Row],[SAMV]]="", "", MROUND(tblPiNAnalysis[[#This Row],[SAMV]]/tblPiNAnalysis[[#This Row],[Población]], 0.05)), "")</f>
        <v>0</v>
      </c>
      <c r="R328" s="89">
        <f>IFERROR(IF(tblPiNAnalysis[[#This Row],[NUT]]="", "", MROUND(tblPiNAnalysis[[#This Row],[NUT]]/tblPiNAnalysis[[#This Row],[Población]], 0.05)), "")</f>
        <v>0.05</v>
      </c>
      <c r="S328" s="89">
        <f>IFERROR(IF(tblPiNAnalysis[[#This Row],[SAL]]="", "", MROUND(tblPiNAnalysis[[#This Row],[SAL]]/tblPiNAnalysis[[#This Row],[Población]], 0.05)), "")</f>
        <v>0.35000000000000003</v>
      </c>
      <c r="T328" s="89">
        <f>IFERROR(IF(tblPiNAnalysis[[#This Row],[EDU]]="", "", MROUND(tblPiNAnalysis[[#This Row],[EDU]]/tblPiNAnalysis[[#This Row],[Población]], 0.05)), "")</f>
        <v>0.1</v>
      </c>
      <c r="U328" s="89">
        <f>IFERROR(IF(tblPiNAnalysis[[#This Row],[PRO]]="", "", MROUND(tblPiNAnalysis[[#This Row],[PRO]]/tblPiNAnalysis[[#This Row],[Población]], 0.05)), "")</f>
        <v>0.2</v>
      </c>
      <c r="V328" s="90">
        <f>IFERROR(IF(tblPiNAnalysis[[#This Row],[ASH]]="", "", MROUND(tblPiNAnalysis[[#This Row],[ASH]]/tblPiNAnalysis[[#This Row],[Población]], 0.05)), "")</f>
        <v>0</v>
      </c>
      <c r="W328" s="89">
        <f>IFERROR(MROUND(tblPiNAnalysis[[#This Row],[NNA]]/tblPiNAnalysis[[#This Row],[Población]], 0.05), "")</f>
        <v>0.05</v>
      </c>
      <c r="X328" s="89">
        <f>IFERROR(MROUND(tblPiNAnalysis[[#This Row],[VBG]]/tblPiNAnalysis[[#This Row],[Población]], 0.05), "")</f>
        <v>0.05</v>
      </c>
      <c r="Y328" s="91">
        <f>IFERROR(LARGE(tblPiNAnalysis[[#This Row],[SAMV]:[ASH]], 1), "")</f>
        <v>10643.4</v>
      </c>
      <c r="Z328" s="92" t="str" cm="1">
        <f t="array" ref="Z328">IF(tblPiNAnalysis[[#This Row],[PiN más alto]]="", "", _xlfn.TEXTJOIN(CHAR(10), TRUE, IF(tblPiNAnalysis[[#This Row],[PiN más alto]]=tblPiNAnalysis[[#This Row],[SAMV]:[ASH]], tblPiNAnalysis[[#Headers],[SAMV]:[ASH]], "")))</f>
        <v>SAL</v>
      </c>
      <c r="AA328" s="93">
        <f>IF(tblPiNAnalysis[[#This Row],[PiN más alto]]="", "", tblPiNAnalysis[[#This Row],[PiN más alto]]/tblPiNAnalysis[[#This Row],[Población]])</f>
        <v>0.36499999999999999</v>
      </c>
      <c r="AB328" s="94" t="str">
        <f>IF(SUM(tblPiNAnalysis[[#This Row],[SAMV]:[ASH]])=0, "",IF(COUNTIF(tblPiNAnalysis[[#This Row],[SAMV]:[ASH]],"=0")+COUNTIF(tblPiNAnalysis[[#This Row],[SAMV]:[ASH]],"")&gt;=zero_pin_thresh, "Flagged", ""))</f>
        <v/>
      </c>
      <c r="AC328" s="95" t="str">
        <f>IFERROR(IF(tblPiNAnalysis[[#This Row],[PiN más alto]]="", "", IF(tblPiNAnalysis[[#This Row],[% PiN Sectores más altos]]&gt;=flag_pin_perc, "Flagged", "")), "")</f>
        <v/>
      </c>
      <c r="AD328" s="96" t="str" cm="1">
        <f t="array" ref="AD328">IF(tblPiNAnalysis[[#This Row],[PiN más alto]]=0, "",  IF(OR(COUNTIF(tblPiNAnalysis[[#This Row],[Sectores más altos]],tblSubSectorPopulation[Sector])), "Flagged", ""))</f>
        <v/>
      </c>
      <c r="AE328" s="16" cm="1">
        <f t="array" ref="AE32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5878.7610245610849</v>
      </c>
      <c r="AF328" s="97" t="str" cm="1">
        <f t="array" ref="AF328">IF(tblPiNAnalysis[[#This Row],[2º PiN más alto]]="", "", _xlfn.TEXTJOIN(CHAR(10), TRUE, IF(tblPiNAnalysis[[#This Row],[2º PiN más alto]]=tblPiNAnalysis[[#This Row],[SAMV]:[ASH]], tblPiNAnalysis[[#Headers],[SAMV]:[ASH]], "")))</f>
        <v>PRO</v>
      </c>
      <c r="AG328" s="12">
        <f>IFERROR(tblPiNAnalysis[[#This Row],[2º PiN más alto]]/tblPiNAnalysis[[#This Row],[Población]], "")</f>
        <v>0.20160360166533214</v>
      </c>
      <c r="AH328" s="16">
        <f>IFERROR(tblPiNAnalysis[[#This Row],[PiN más alto]]-tblPiNAnalysis[[#This Row],[2º PiN más alto]], "")</f>
        <v>4764.6389754389147</v>
      </c>
      <c r="AI328" s="14">
        <f>IFERROR(((tblPiNAnalysis[[#This Row],[PiN más alto]]-tblPiNAnalysis[[#This Row],[2º PiN más alto]])/tblPiNAnalysis[[#This Row],[2º PiN más alto]]),"")</f>
        <v>0.81048352799723611</v>
      </c>
      <c r="AJ328" s="14" t="str" cm="1">
        <f t="array" ref="AJ32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28" s="98" cm="1">
        <f t="array" ref="AK32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3570.5693405609359</v>
      </c>
      <c r="AL328" s="53" t="str" cm="1">
        <f t="array" ref="AL328">IF(tblPiNAnalysis[[#This Row],[3º PiN más alto]]="", "", _xlfn.TEXTJOIN(CHAR(10), TRUE, IF(tblPiNAnalysis[[#This Row],[3º PiN más alto]]=tblPiNAnalysis[[#This Row],[SAMV]:[ASH]], tblPiNAnalysis[[#Headers],[SAMV]:[ASH]], "")))</f>
        <v>EDU</v>
      </c>
      <c r="AM328" s="53">
        <f>IFERROR(tblPiNAnalysis[[#This Row],[3º PiN más alto]]/tblPiNAnalysis[[#This Row],[Población]], "")</f>
        <v>0.12244750824968915</v>
      </c>
      <c r="AN328" s="15">
        <f>IFERROR(tblPiNAnalysis[[#This Row],[PiN más alto]]-tblPiNAnalysis[[#This Row],[3º PiN más alto]],"")</f>
        <v>7072.8306594390633</v>
      </c>
      <c r="AO328" s="14">
        <f>IFERROR(tblPiNAnalysis[[#This Row],[Diferencia de PiN entre el más alto y el 3º más alto]]/tblPiNAnalysis[[#This Row],[3º PiN más alto]], "")</f>
        <v>1.9808691513404197</v>
      </c>
      <c r="AP328" s="96" t="str" cm="1">
        <f t="array" ref="AP32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28" s="84" cm="1">
        <f t="array" ref="AQ328">IFERROR(IF(tblPiNAnalysis[[#This Row],[ID]]="", "", INDEX(tblPiNHistorical[[SAMV]:[ASH]], MATCH(tblPiNAnalysis[[#This Row],[ID]],tblPiNHistorical[ID], 0),MATCH(_xlfn._xlws.FILTER(tblPiNAnalysis[[#Headers],[SAMV]:[ASH]], tblPiNAnalysis[[#This Row],[PiN más alto]]=tblPiNAnalysis[[#This Row],[SAMV]:[ASH]]), tblPiNHistorical[[#Headers],[SAMV]:[ASH]], 0))), "")</f>
        <v>3.9</v>
      </c>
      <c r="AR328" s="99" t="str" cm="1">
        <f t="array" ref="AR32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28" s="74" cm="1">
        <f t="array" ref="AS328">IFERROR(IF(tblPiNAnalysis[[#This Row],[ID]]="", "", INDEX(tblPiNHistorical[[SAMV]:[ASH]], MATCH(tblPiNAnalysis[[#This Row],[ID]],tblPiNHistorical[ID], 0),MATCH(_xlfn._xlws.FILTER(tblPiNAnalysis[[#Headers],[SAMV]:[ASH]], tblPiNAnalysis[[#This Row],[2º PiN más alto]]=tblPiNAnalysis[[#This Row],[SAMV]:[ASH]]), tblPiNHistorical[[#Headers],[SAMV]:[ASH]], 0))), "")</f>
        <v>0.8</v>
      </c>
      <c r="AT328" s="100" t="str" cm="1">
        <f t="array" ref="AT32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28" s="219">
        <f>INDEX(tblSeverityAnalysis[Severidad final], MATCH(tblPiNAnalysis[[#This Row],[ID]],tblSeverityAnalysis[ID], 0))</f>
        <v>2</v>
      </c>
      <c r="AV328" s="220">
        <f>IF(tblPiNAnalysis[[#This Row],[Severidad]]&gt;2,tblPiNAnalysis[[#This Row],[PiN más alto]],)</f>
        <v>0</v>
      </c>
      <c r="AW328" s="54"/>
      <c r="AX328" s="55"/>
      <c r="AY328" s="56">
        <f>COUNTIFS(tblPiNAnalysis[[#This Row],[Número de PiN ausentes/cero superior al umbral - Calidad de los datos]:[Marcador manual]],"Flagged")</f>
        <v>3</v>
      </c>
      <c r="AZ328" s="34" t="str">
        <f>IF(tblPiNAnalysis[[#This Row],[Número de marcadores]]&gt;0, "Flagged", "")</f>
        <v>Flagged</v>
      </c>
      <c r="BA328" s="92">
        <f>tblPiNAnalysis[[#This Row],[PiN preliminar]]</f>
        <v>0</v>
      </c>
      <c r="BB328" s="97"/>
      <c r="BC328" s="70">
        <f>IFERROR(IF(tblPiNAnalysis[[#This Row],[Severidad]]=3,tblPiNAnalysis[[#This Row],[PiN final]]*Umbrales!$D$33,tblPiNAnalysis[[#This Row],[PiN final]]*Umbrales!$D$34),)</f>
        <v>0</v>
      </c>
      <c r="BD328" s="70">
        <f>IFERROR(IF(tblPiNAnalysis[[#This Row],[Severidad]]&gt;3,tblPiNAnalysis[[#This Row],[PiN final]]*Umbrales!$D$34,),)</f>
        <v>0</v>
      </c>
    </row>
    <row r="329" spans="1:56">
      <c r="A329" s="101" t="str">
        <f>IFERROR(_xlfn.CONCAT(IF(tblPiNAnalysis[[#This Row],[Grupo]]="", "",tblPiNAnalysis[[#This Row],[Grupo]] ),  _xlfn.IFS(tblPiNAnalysis[[#This Row],[Admin2PCODE]]&lt;&gt;"", tblPiNAnalysis[[#This Row],[Admin2PCODE]], tblPiNAnalysis[[#This Row],[Admin1PCODE]]&lt;&gt;"", tblPiNAnalysis[[#This Row],[Admin1PCODE]])),"")</f>
        <v>VenezolanosVE2116</v>
      </c>
      <c r="B329" s="105" t="s">
        <v>642</v>
      </c>
      <c r="C329" s="104" t="s">
        <v>643</v>
      </c>
      <c r="D329" s="119" t="s">
        <v>836</v>
      </c>
      <c r="E329" s="104" t="s">
        <v>672</v>
      </c>
      <c r="F329" s="358"/>
      <c r="G329" s="357">
        <v>56658</v>
      </c>
      <c r="H329" s="103" t="s">
        <v>102</v>
      </c>
      <c r="I329" s="60">
        <v>1836</v>
      </c>
      <c r="J329" s="134">
        <v>2694.311065042511</v>
      </c>
      <c r="K329" s="57">
        <v>20680.169999999998</v>
      </c>
      <c r="L329" s="87">
        <v>8724.4156836071579</v>
      </c>
      <c r="M329" s="87">
        <v>13706.948235785261</v>
      </c>
      <c r="N329" s="57">
        <v>0</v>
      </c>
      <c r="O329" s="57">
        <v>4386.2234354512839</v>
      </c>
      <c r="P329" s="57">
        <v>4797.4318825248411</v>
      </c>
      <c r="Q329" s="88">
        <f>IFERROR(IF(tblPiNAnalysis[[#This Row],[SAMV]]="", "", MROUND(tblPiNAnalysis[[#This Row],[SAMV]]/tblPiNAnalysis[[#This Row],[Población]], 0.05)), "")</f>
        <v>0.05</v>
      </c>
      <c r="R329" s="89">
        <f>IFERROR(IF(tblPiNAnalysis[[#This Row],[NUT]]="", "", MROUND(tblPiNAnalysis[[#This Row],[NUT]]/tblPiNAnalysis[[#This Row],[Población]], 0.05)), "")</f>
        <v>0.05</v>
      </c>
      <c r="S329" s="89">
        <f>IFERROR(IF(tblPiNAnalysis[[#This Row],[SAL]]="", "", MROUND(tblPiNAnalysis[[#This Row],[SAL]]/tblPiNAnalysis[[#This Row],[Población]], 0.05)), "")</f>
        <v>0.35000000000000003</v>
      </c>
      <c r="T329" s="89">
        <f>IFERROR(IF(tblPiNAnalysis[[#This Row],[EDU]]="", "", MROUND(tblPiNAnalysis[[#This Row],[EDU]]/tblPiNAnalysis[[#This Row],[Población]], 0.05)), "")</f>
        <v>0.15000000000000002</v>
      </c>
      <c r="U329" s="89">
        <f>IFERROR(IF(tblPiNAnalysis[[#This Row],[PRO]]="", "", MROUND(tblPiNAnalysis[[#This Row],[PRO]]/tblPiNAnalysis[[#This Row],[Población]], 0.05)), "")</f>
        <v>0.25</v>
      </c>
      <c r="V329" s="90">
        <f>IFERROR(IF(tblPiNAnalysis[[#This Row],[ASH]]="", "", MROUND(tblPiNAnalysis[[#This Row],[ASH]]/tblPiNAnalysis[[#This Row],[Población]], 0.05)), "")</f>
        <v>0</v>
      </c>
      <c r="W329" s="89">
        <f>IFERROR(MROUND(tblPiNAnalysis[[#This Row],[NNA]]/tblPiNAnalysis[[#This Row],[Población]], 0.05), "")</f>
        <v>0.1</v>
      </c>
      <c r="X329" s="89">
        <f>IFERROR(MROUND(tblPiNAnalysis[[#This Row],[VBG]]/tblPiNAnalysis[[#This Row],[Población]], 0.05), "")</f>
        <v>0.1</v>
      </c>
      <c r="Y329" s="91">
        <f>IFERROR(LARGE(tblPiNAnalysis[[#This Row],[SAMV]:[ASH]], 1), "")</f>
        <v>20680.169999999998</v>
      </c>
      <c r="Z329" s="92" t="str" cm="1">
        <f t="array" ref="Z329">IF(tblPiNAnalysis[[#This Row],[PiN más alto]]="", "", _xlfn.TEXTJOIN(CHAR(10), TRUE, IF(tblPiNAnalysis[[#This Row],[PiN más alto]]=tblPiNAnalysis[[#This Row],[SAMV]:[ASH]], tblPiNAnalysis[[#Headers],[SAMV]:[ASH]], "")))</f>
        <v>SAL</v>
      </c>
      <c r="AA329" s="93">
        <f>IF(tblPiNAnalysis[[#This Row],[PiN más alto]]="", "", tblPiNAnalysis[[#This Row],[PiN más alto]]/tblPiNAnalysis[[#This Row],[Población]])</f>
        <v>0.36499999999999999</v>
      </c>
      <c r="AB329" s="94" t="str">
        <f>IF(SUM(tblPiNAnalysis[[#This Row],[SAMV]:[ASH]])=0, "",IF(COUNTIF(tblPiNAnalysis[[#This Row],[SAMV]:[ASH]],"=0")+COUNTIF(tblPiNAnalysis[[#This Row],[SAMV]:[ASH]],"")&gt;=zero_pin_thresh, "Flagged", ""))</f>
        <v/>
      </c>
      <c r="AC329" s="95" t="str">
        <f>IFERROR(IF(tblPiNAnalysis[[#This Row],[PiN más alto]]="", "", IF(tblPiNAnalysis[[#This Row],[% PiN Sectores más altos]]&gt;=flag_pin_perc, "Flagged", "")), "")</f>
        <v/>
      </c>
      <c r="AD329" s="96" t="str" cm="1">
        <f t="array" ref="AD329">IF(tblPiNAnalysis[[#This Row],[PiN más alto]]=0, "",  IF(OR(COUNTIF(tblPiNAnalysis[[#This Row],[Sectores más altos]],tblSubSectorPopulation[Sector])), "Flagged", ""))</f>
        <v/>
      </c>
      <c r="AE329" s="16" cm="1">
        <f t="array" ref="AE329">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13706.948235785261</v>
      </c>
      <c r="AF329" s="97" t="str" cm="1">
        <f t="array" ref="AF329">IF(tblPiNAnalysis[[#This Row],[2º PiN más alto]]="", "", _xlfn.TEXTJOIN(CHAR(10), TRUE, IF(tblPiNAnalysis[[#This Row],[2º PiN más alto]]=tblPiNAnalysis[[#This Row],[SAMV]:[ASH]], tblPiNAnalysis[[#Headers],[SAMV]:[ASH]], "")))</f>
        <v>PRO</v>
      </c>
      <c r="AG329" s="12">
        <f>IFERROR(tblPiNAnalysis[[#This Row],[2º PiN más alto]]/tblPiNAnalysis[[#This Row],[Población]], "")</f>
        <v>0.24192432199839847</v>
      </c>
      <c r="AH329" s="16">
        <f>IFERROR(tblPiNAnalysis[[#This Row],[PiN más alto]]-tblPiNAnalysis[[#This Row],[2º PiN más alto]], "")</f>
        <v>6973.221764214737</v>
      </c>
      <c r="AI329" s="14">
        <f>IFERROR(((tblPiNAnalysis[[#This Row],[PiN más alto]]-tblPiNAnalysis[[#This Row],[2º PiN más alto]])/tblPiNAnalysis[[#This Row],[2º PiN más alto]]),"")</f>
        <v>0.50873627333103055</v>
      </c>
      <c r="AJ329" s="14" t="str" cm="1">
        <f t="array" ref="AJ329">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29" s="98" cm="1">
        <f t="array" ref="AK329">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8724.4156836071579</v>
      </c>
      <c r="AL329" s="53" t="str" cm="1">
        <f t="array" ref="AL329">IF(tblPiNAnalysis[[#This Row],[3º PiN más alto]]="", "", _xlfn.TEXTJOIN(CHAR(10), TRUE, IF(tblPiNAnalysis[[#This Row],[3º PiN más alto]]=tblPiNAnalysis[[#This Row],[SAMV]:[ASH]], tblPiNAnalysis[[#Headers],[SAMV]:[ASH]], "")))</f>
        <v>EDU</v>
      </c>
      <c r="AM329" s="53">
        <f>IFERROR(tblPiNAnalysis[[#This Row],[3º PiN más alto]]/tblPiNAnalysis[[#This Row],[Población]], "")</f>
        <v>0.1539838272372332</v>
      </c>
      <c r="AN329" s="15">
        <f>IFERROR(tblPiNAnalysis[[#This Row],[PiN más alto]]-tblPiNAnalysis[[#This Row],[3º PiN más alto]],"")</f>
        <v>11955.75431639284</v>
      </c>
      <c r="AO329" s="14">
        <f>IFERROR(tblPiNAnalysis[[#This Row],[Diferencia de PiN entre el más alto y el 3º más alto]]/tblPiNAnalysis[[#This Row],[3º PiN más alto]], "")</f>
        <v>1.3703788024288255</v>
      </c>
      <c r="AP329" s="96" t="str" cm="1">
        <f t="array" ref="AP329">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29" s="84" cm="1">
        <f t="array" ref="AQ329">IFERROR(IF(tblPiNAnalysis[[#This Row],[ID]]="", "", INDEX(tblPiNHistorical[[SAMV]:[ASH]], MATCH(tblPiNAnalysis[[#This Row],[ID]],tblPiNHistorical[ID], 0),MATCH(_xlfn._xlws.FILTER(tblPiNAnalysis[[#Headers],[SAMV]:[ASH]], tblPiNAnalysis[[#This Row],[PiN más alto]]=tblPiNAnalysis[[#This Row],[SAMV]:[ASH]]), tblPiNHistorical[[#Headers],[SAMV]:[ASH]], 0))), "")</f>
        <v>4</v>
      </c>
      <c r="AR329" s="99" t="str" cm="1">
        <f t="array" ref="AR329">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29" s="74" cm="1">
        <f t="array" ref="AS329">IFERROR(IF(tblPiNAnalysis[[#This Row],[ID]]="", "", INDEX(tblPiNHistorical[[SAMV]:[ASH]], MATCH(tblPiNAnalysis[[#This Row],[ID]],tblPiNHistorical[ID], 0),MATCH(_xlfn._xlws.FILTER(tblPiNAnalysis[[#Headers],[SAMV]:[ASH]], tblPiNAnalysis[[#This Row],[2º PiN más alto]]=tblPiNAnalysis[[#This Row],[SAMV]:[ASH]]), tblPiNHistorical[[#Headers],[SAMV]:[ASH]], 0))), "")</f>
        <v>1</v>
      </c>
      <c r="AT329" s="100" t="str" cm="1">
        <f t="array" ref="AT329">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29" s="219">
        <f>INDEX(tblSeverityAnalysis[Severidad final], MATCH(tblPiNAnalysis[[#This Row],[ID]],tblSeverityAnalysis[ID], 0))</f>
        <v>2</v>
      </c>
      <c r="AV329" s="220">
        <f>IF(tblPiNAnalysis[[#This Row],[Severidad]]&gt;2,tblPiNAnalysis[[#This Row],[PiN más alto]],)</f>
        <v>0</v>
      </c>
      <c r="AW329" s="54"/>
      <c r="AX329" s="55"/>
      <c r="AY329" s="56">
        <f>COUNTIFS(tblPiNAnalysis[[#This Row],[Número de PiN ausentes/cero superior al umbral - Calidad de los datos]:[Marcador manual]],"Flagged")</f>
        <v>4</v>
      </c>
      <c r="AZ329" s="34" t="str">
        <f>IF(tblPiNAnalysis[[#This Row],[Número de marcadores]]&gt;0, "Flagged", "")</f>
        <v>Flagged</v>
      </c>
      <c r="BA329" s="92">
        <f>tblPiNAnalysis[[#This Row],[PiN preliminar]]</f>
        <v>0</v>
      </c>
      <c r="BB329" s="97"/>
      <c r="BC329" s="70">
        <f>IFERROR(IF(tblPiNAnalysis[[#This Row],[Severidad]]=3,tblPiNAnalysis[[#This Row],[PiN final]]*Umbrales!$D$33,tblPiNAnalysis[[#This Row],[PiN final]]*Umbrales!$D$34),)</f>
        <v>0</v>
      </c>
      <c r="BD329" s="70">
        <f>IFERROR(IF(tblPiNAnalysis[[#This Row],[Severidad]]&gt;3,tblPiNAnalysis[[#This Row],[PiN final]]*Umbrales!$D$34,),)</f>
        <v>0</v>
      </c>
    </row>
    <row r="330" spans="1:56">
      <c r="A330" s="101" t="str">
        <f>IFERROR(_xlfn.CONCAT(IF(tblPiNAnalysis[[#This Row],[Grupo]]="", "",tblPiNAnalysis[[#This Row],[Grupo]] ),  _xlfn.IFS(tblPiNAnalysis[[#This Row],[Admin2PCODE]]&lt;&gt;"", tblPiNAnalysis[[#This Row],[Admin2PCODE]], tblPiNAnalysis[[#This Row],[Admin1PCODE]]&lt;&gt;"", tblPiNAnalysis[[#This Row],[Admin1PCODE]])),"")</f>
        <v>VenezolanosVE2119</v>
      </c>
      <c r="B330" s="105" t="s">
        <v>642</v>
      </c>
      <c r="C330" s="104" t="s">
        <v>643</v>
      </c>
      <c r="D330" s="119" t="s">
        <v>207</v>
      </c>
      <c r="E330" s="104" t="s">
        <v>675</v>
      </c>
      <c r="F330" s="358"/>
      <c r="G330" s="357">
        <v>34380</v>
      </c>
      <c r="H330" s="103" t="s">
        <v>102</v>
      </c>
      <c r="I330" s="60">
        <v>12824</v>
      </c>
      <c r="J330" s="134">
        <v>1187.199274164188</v>
      </c>
      <c r="K330" s="57">
        <v>12548.7</v>
      </c>
      <c r="L330" s="87">
        <v>2620.5657708745589</v>
      </c>
      <c r="M330" s="87">
        <v>8317.358190304938</v>
      </c>
      <c r="N330" s="57">
        <v>0</v>
      </c>
      <c r="O330" s="57">
        <v>2661.5546208975802</v>
      </c>
      <c r="P330" s="57">
        <v>2911.075366606728</v>
      </c>
      <c r="Q330" s="88">
        <f>IFERROR(IF(tblPiNAnalysis[[#This Row],[SAMV]]="", "", MROUND(tblPiNAnalysis[[#This Row],[SAMV]]/tblPiNAnalysis[[#This Row],[Población]], 0.05)), "")</f>
        <v>0.35000000000000003</v>
      </c>
      <c r="R330" s="89">
        <f>IFERROR(IF(tblPiNAnalysis[[#This Row],[NUT]]="", "", MROUND(tblPiNAnalysis[[#This Row],[NUT]]/tblPiNAnalysis[[#This Row],[Población]], 0.05)), "")</f>
        <v>0.05</v>
      </c>
      <c r="S330" s="89">
        <f>IFERROR(IF(tblPiNAnalysis[[#This Row],[SAL]]="", "", MROUND(tblPiNAnalysis[[#This Row],[SAL]]/tblPiNAnalysis[[#This Row],[Población]], 0.05)), "")</f>
        <v>0.35000000000000003</v>
      </c>
      <c r="T330" s="89">
        <f>IFERROR(IF(tblPiNAnalysis[[#This Row],[EDU]]="", "", MROUND(tblPiNAnalysis[[#This Row],[EDU]]/tblPiNAnalysis[[#This Row],[Población]], 0.05)), "")</f>
        <v>0.1</v>
      </c>
      <c r="U330" s="89">
        <f>IFERROR(IF(tblPiNAnalysis[[#This Row],[PRO]]="", "", MROUND(tblPiNAnalysis[[#This Row],[PRO]]/tblPiNAnalysis[[#This Row],[Población]], 0.05)), "")</f>
        <v>0.25</v>
      </c>
      <c r="V330" s="90">
        <f>IFERROR(IF(tblPiNAnalysis[[#This Row],[ASH]]="", "", MROUND(tblPiNAnalysis[[#This Row],[ASH]]/tblPiNAnalysis[[#This Row],[Población]], 0.05)), "")</f>
        <v>0</v>
      </c>
      <c r="W330" s="89">
        <f>IFERROR(MROUND(tblPiNAnalysis[[#This Row],[NNA]]/tblPiNAnalysis[[#This Row],[Población]], 0.05), "")</f>
        <v>0.1</v>
      </c>
      <c r="X330" s="89">
        <f>IFERROR(MROUND(tblPiNAnalysis[[#This Row],[VBG]]/tblPiNAnalysis[[#This Row],[Población]], 0.05), "")</f>
        <v>0.1</v>
      </c>
      <c r="Y330" s="91">
        <f>IFERROR(LARGE(tblPiNAnalysis[[#This Row],[SAMV]:[ASH]], 1), "")</f>
        <v>12824</v>
      </c>
      <c r="Z330" s="92" t="str" cm="1">
        <f t="array" ref="Z330">IF(tblPiNAnalysis[[#This Row],[PiN más alto]]="", "", _xlfn.TEXTJOIN(CHAR(10), TRUE, IF(tblPiNAnalysis[[#This Row],[PiN más alto]]=tblPiNAnalysis[[#This Row],[SAMV]:[ASH]], tblPiNAnalysis[[#Headers],[SAMV]:[ASH]], "")))</f>
        <v>SAMV</v>
      </c>
      <c r="AA330" s="93">
        <f>IF(tblPiNAnalysis[[#This Row],[PiN más alto]]="", "", tblPiNAnalysis[[#This Row],[PiN más alto]]/tblPiNAnalysis[[#This Row],[Población]])</f>
        <v>0.37300756253635836</v>
      </c>
      <c r="AB330" s="94" t="str">
        <f>IF(SUM(tblPiNAnalysis[[#This Row],[SAMV]:[ASH]])=0, "",IF(COUNTIF(tblPiNAnalysis[[#This Row],[SAMV]:[ASH]],"=0")+COUNTIF(tblPiNAnalysis[[#This Row],[SAMV]:[ASH]],"")&gt;=zero_pin_thresh, "Flagged", ""))</f>
        <v/>
      </c>
      <c r="AC330" s="95" t="str">
        <f>IFERROR(IF(tblPiNAnalysis[[#This Row],[PiN más alto]]="", "", IF(tblPiNAnalysis[[#This Row],[% PiN Sectores más altos]]&gt;=flag_pin_perc, "Flagged", "")), "")</f>
        <v/>
      </c>
      <c r="AD330" s="96" t="str" cm="1">
        <f t="array" ref="AD330">IF(tblPiNAnalysis[[#This Row],[PiN más alto]]=0, "",  IF(OR(COUNTIF(tblPiNAnalysis[[#This Row],[Sectores más altos]],tblSubSectorPopulation[Sector])), "Flagged", ""))</f>
        <v/>
      </c>
      <c r="AE330" s="16" cm="1">
        <f t="array" ref="AE330">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12548.7</v>
      </c>
      <c r="AF330" s="97" t="str" cm="1">
        <f t="array" ref="AF330">IF(tblPiNAnalysis[[#This Row],[2º PiN más alto]]="", "", _xlfn.TEXTJOIN(CHAR(10), TRUE, IF(tblPiNAnalysis[[#This Row],[2º PiN más alto]]=tblPiNAnalysis[[#This Row],[SAMV]:[ASH]], tblPiNAnalysis[[#Headers],[SAMV]:[ASH]], "")))</f>
        <v>SAL</v>
      </c>
      <c r="AG330" s="12">
        <f>IFERROR(tblPiNAnalysis[[#This Row],[2º PiN más alto]]/tblPiNAnalysis[[#This Row],[Población]], "")</f>
        <v>0.36500000000000005</v>
      </c>
      <c r="AH330" s="16">
        <f>IFERROR(tblPiNAnalysis[[#This Row],[PiN más alto]]-tblPiNAnalysis[[#This Row],[2º PiN más alto]], "")</f>
        <v>275.29999999999927</v>
      </c>
      <c r="AI330" s="14">
        <f>IFERROR(((tblPiNAnalysis[[#This Row],[PiN más alto]]-tblPiNAnalysis[[#This Row],[2º PiN más alto]])/tblPiNAnalysis[[#This Row],[2º PiN más alto]]),"")</f>
        <v>2.1938527496872126E-2</v>
      </c>
      <c r="AJ330" s="14" t="str" cm="1">
        <f t="array" ref="AJ330">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30" s="98" cm="1">
        <f t="array" ref="AK330">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8317.358190304938</v>
      </c>
      <c r="AL330" s="53" t="str" cm="1">
        <f t="array" ref="AL330">IF(tblPiNAnalysis[[#This Row],[3º PiN más alto]]="", "", _xlfn.TEXTJOIN(CHAR(10), TRUE, IF(tblPiNAnalysis[[#This Row],[3º PiN más alto]]=tblPiNAnalysis[[#This Row],[SAMV]:[ASH]], tblPiNAnalysis[[#Headers],[SAMV]:[ASH]], "")))</f>
        <v>PRO</v>
      </c>
      <c r="AM330" s="53">
        <f>IFERROR(tblPiNAnalysis[[#This Row],[3º PiN más alto]]/tblPiNAnalysis[[#This Row],[Población]], "")</f>
        <v>0.24192432199839842</v>
      </c>
      <c r="AN330" s="15">
        <f>IFERROR(tblPiNAnalysis[[#This Row],[PiN más alto]]-tblPiNAnalysis[[#This Row],[3º PiN más alto]],"")</f>
        <v>4506.641809695062</v>
      </c>
      <c r="AO330" s="14">
        <f>IFERROR(tblPiNAnalysis[[#This Row],[Diferencia de PiN entre el más alto y el 3º más alto]]/tblPiNAnalysis[[#This Row],[3º PiN más alto]], "")</f>
        <v>0.54183572554903225</v>
      </c>
      <c r="AP330" s="96" t="str" cm="1">
        <f t="array" ref="AP330">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30" s="84" cm="1">
        <f t="array" ref="AQ330">IFERROR(IF(tblPiNAnalysis[[#This Row],[ID]]="", "", INDEX(tblPiNHistorical[[SAMV]:[ASH]], MATCH(tblPiNAnalysis[[#This Row],[ID]],tblPiNHistorical[ID], 0),MATCH(_xlfn._xlws.FILTER(tblPiNAnalysis[[#Headers],[SAMV]:[ASH]], tblPiNAnalysis[[#This Row],[PiN más alto]]=tblPiNAnalysis[[#This Row],[SAMV]:[ASH]]), tblPiNHistorical[[#Headers],[SAMV]:[ASH]], 0))), "")</f>
        <v>0.6</v>
      </c>
      <c r="AR330" s="99" t="str" cm="1">
        <f t="array" ref="AR330">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30" s="74" cm="1">
        <f t="array" ref="AS330">IFERROR(IF(tblPiNAnalysis[[#This Row],[ID]]="", "", INDEX(tblPiNHistorical[[SAMV]:[ASH]], MATCH(tblPiNAnalysis[[#This Row],[ID]],tblPiNHistorical[ID], 0),MATCH(_xlfn._xlws.FILTER(tblPiNAnalysis[[#Headers],[SAMV]:[ASH]], tblPiNAnalysis[[#This Row],[2º PiN más alto]]=tblPiNAnalysis[[#This Row],[SAMV]:[ASH]]), tblPiNHistorical[[#Headers],[SAMV]:[ASH]], 0))), "")</f>
        <v>0</v>
      </c>
      <c r="AT330" s="100" t="str" cm="1">
        <f t="array" ref="AT330">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30" s="219">
        <f>INDEX(tblSeverityAnalysis[Severidad final], MATCH(tblPiNAnalysis[[#This Row],[ID]],tblSeverityAnalysis[ID], 0))</f>
        <v>2</v>
      </c>
      <c r="AV330" s="220">
        <f>IF(tblPiNAnalysis[[#This Row],[Severidad]]&gt;2,tblPiNAnalysis[[#This Row],[PiN más alto]],)</f>
        <v>0</v>
      </c>
      <c r="AW330" s="54"/>
      <c r="AX330" s="55"/>
      <c r="AY330" s="56">
        <f>COUNTIFS(tblPiNAnalysis[[#This Row],[Número de PiN ausentes/cero superior al umbral - Calidad de los datos]:[Marcador manual]],"Flagged")</f>
        <v>1</v>
      </c>
      <c r="AZ330" s="34" t="str">
        <f>IF(tblPiNAnalysis[[#This Row],[Número de marcadores]]&gt;0, "Flagged", "")</f>
        <v>Flagged</v>
      </c>
      <c r="BA330" s="92">
        <f>tblPiNAnalysis[[#This Row],[PiN preliminar]]</f>
        <v>0</v>
      </c>
      <c r="BB330" s="97"/>
      <c r="BC330" s="70">
        <f>IFERROR(IF(tblPiNAnalysis[[#This Row],[Severidad]]=3,tblPiNAnalysis[[#This Row],[PiN final]]*Umbrales!$D$33,tblPiNAnalysis[[#This Row],[PiN final]]*Umbrales!$D$34),)</f>
        <v>0</v>
      </c>
      <c r="BD330" s="70">
        <f>IFERROR(IF(tblPiNAnalysis[[#This Row],[Severidad]]&gt;3,tblPiNAnalysis[[#This Row],[PiN final]]*Umbrales!$D$34,),)</f>
        <v>0</v>
      </c>
    </row>
    <row r="331" spans="1:56">
      <c r="A331" s="101" t="str">
        <f>IFERROR(_xlfn.CONCAT(IF(tblPiNAnalysis[[#This Row],[Grupo]]="", "",tblPiNAnalysis[[#This Row],[Grupo]] ),  _xlfn.IFS(tblPiNAnalysis[[#This Row],[Admin2PCODE]]&lt;&gt;"", tblPiNAnalysis[[#This Row],[Admin2PCODE]], tblPiNAnalysis[[#This Row],[Admin1PCODE]]&lt;&gt;"", tblPiNAnalysis[[#This Row],[Admin1PCODE]])),"")</f>
        <v>VenezolanosVE2201</v>
      </c>
      <c r="B331" s="105" t="s">
        <v>678</v>
      </c>
      <c r="C331" s="104" t="s">
        <v>679</v>
      </c>
      <c r="D331" s="119" t="s">
        <v>680</v>
      </c>
      <c r="E331" s="104" t="s">
        <v>681</v>
      </c>
      <c r="F331" s="358"/>
      <c r="G331" s="357">
        <v>20943</v>
      </c>
      <c r="H331" s="103" t="s">
        <v>102</v>
      </c>
      <c r="I331" s="60">
        <v>4654</v>
      </c>
      <c r="J331" s="134">
        <v>575.83036183599347</v>
      </c>
      <c r="K331" s="57">
        <v>9830</v>
      </c>
      <c r="L331" s="87">
        <v>1494.9659260213348</v>
      </c>
      <c r="M331" s="87">
        <v>4163.1709137784565</v>
      </c>
      <c r="N331" s="57">
        <v>0</v>
      </c>
      <c r="O331" s="57">
        <v>1332.2146924091062</v>
      </c>
      <c r="P331" s="57">
        <v>1457.1098198224595</v>
      </c>
      <c r="Q331" s="88">
        <f>IFERROR(IF(tblPiNAnalysis[[#This Row],[SAMV]]="", "", MROUND(tblPiNAnalysis[[#This Row],[SAMV]]/tblPiNAnalysis[[#This Row],[Población]], 0.05)), "")</f>
        <v>0.2</v>
      </c>
      <c r="R331" s="89">
        <f>IFERROR(IF(tblPiNAnalysis[[#This Row],[NUT]]="", "", MROUND(tblPiNAnalysis[[#This Row],[NUT]]/tblPiNAnalysis[[#This Row],[Población]], 0.05)), "")</f>
        <v>0.05</v>
      </c>
      <c r="S331" s="89">
        <f>IFERROR(IF(tblPiNAnalysis[[#This Row],[SAL]]="", "", MROUND(tblPiNAnalysis[[#This Row],[SAL]]/tblPiNAnalysis[[#This Row],[Población]], 0.05)), "")</f>
        <v>0.45</v>
      </c>
      <c r="T331" s="89">
        <f>IFERROR(IF(tblPiNAnalysis[[#This Row],[EDU]]="", "", MROUND(tblPiNAnalysis[[#This Row],[EDU]]/tblPiNAnalysis[[#This Row],[Población]], 0.05)), "")</f>
        <v>0.05</v>
      </c>
      <c r="U331" s="89">
        <f>IFERROR(IF(tblPiNAnalysis[[#This Row],[PRO]]="", "", MROUND(tblPiNAnalysis[[#This Row],[PRO]]/tblPiNAnalysis[[#This Row],[Población]], 0.05)), "")</f>
        <v>0.2</v>
      </c>
      <c r="V331" s="90">
        <f>IFERROR(IF(tblPiNAnalysis[[#This Row],[ASH]]="", "", MROUND(tblPiNAnalysis[[#This Row],[ASH]]/tblPiNAnalysis[[#This Row],[Población]], 0.05)), "")</f>
        <v>0</v>
      </c>
      <c r="W331" s="89">
        <f>IFERROR(MROUND(tblPiNAnalysis[[#This Row],[NNA]]/tblPiNAnalysis[[#This Row],[Población]], 0.05), "")</f>
        <v>0.05</v>
      </c>
      <c r="X331" s="89">
        <f>IFERROR(MROUND(tblPiNAnalysis[[#This Row],[VBG]]/tblPiNAnalysis[[#This Row],[Población]], 0.05), "")</f>
        <v>0.05</v>
      </c>
      <c r="Y331" s="91">
        <f>IFERROR(LARGE(tblPiNAnalysis[[#This Row],[SAMV]:[ASH]], 1), "")</f>
        <v>9830</v>
      </c>
      <c r="Z331" s="92" t="str" cm="1">
        <f t="array" ref="Z331">IF(tblPiNAnalysis[[#This Row],[PiN más alto]]="", "", _xlfn.TEXTJOIN(CHAR(10), TRUE, IF(tblPiNAnalysis[[#This Row],[PiN más alto]]=tblPiNAnalysis[[#This Row],[SAMV]:[ASH]], tblPiNAnalysis[[#Headers],[SAMV]:[ASH]], "")))</f>
        <v>SAL</v>
      </c>
      <c r="AA331" s="93">
        <f>IF(tblPiNAnalysis[[#This Row],[PiN más alto]]="", "", tblPiNAnalysis[[#This Row],[PiN más alto]]/tblPiNAnalysis[[#This Row],[Población]])</f>
        <v>0.46936924031896099</v>
      </c>
      <c r="AB331" s="94" t="str">
        <f>IF(SUM(tblPiNAnalysis[[#This Row],[SAMV]:[ASH]])=0, "",IF(COUNTIF(tblPiNAnalysis[[#This Row],[SAMV]:[ASH]],"=0")+COUNTIF(tblPiNAnalysis[[#This Row],[SAMV]:[ASH]],"")&gt;=zero_pin_thresh, "Flagged", ""))</f>
        <v/>
      </c>
      <c r="AC331" s="95" t="str">
        <f>IFERROR(IF(tblPiNAnalysis[[#This Row],[PiN más alto]]="", "", IF(tblPiNAnalysis[[#This Row],[% PiN Sectores más altos]]&gt;=flag_pin_perc, "Flagged", "")), "")</f>
        <v/>
      </c>
      <c r="AD331" s="96" t="str" cm="1">
        <f t="array" ref="AD331">IF(tblPiNAnalysis[[#This Row],[PiN más alto]]=0, "",  IF(OR(COUNTIF(tblPiNAnalysis[[#This Row],[Sectores más altos]],tblSubSectorPopulation[Sector])), "Flagged", ""))</f>
        <v/>
      </c>
      <c r="AE331" s="16" cm="1">
        <f t="array" ref="AE331">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4654</v>
      </c>
      <c r="AF331" s="97" t="str" cm="1">
        <f t="array" ref="AF331">IF(tblPiNAnalysis[[#This Row],[2º PiN más alto]]="", "", _xlfn.TEXTJOIN(CHAR(10), TRUE, IF(tblPiNAnalysis[[#This Row],[2º PiN más alto]]=tblPiNAnalysis[[#This Row],[SAMV]:[ASH]], tblPiNAnalysis[[#Headers],[SAMV]:[ASH]], "")))</f>
        <v>SAMV</v>
      </c>
      <c r="AG331" s="12">
        <f>IFERROR(tblPiNAnalysis[[#This Row],[2º PiN más alto]]/tblPiNAnalysis[[#This Row],[Población]], "")</f>
        <v>0.22222222222222221</v>
      </c>
      <c r="AH331" s="16">
        <f>IFERROR(tblPiNAnalysis[[#This Row],[PiN más alto]]-tblPiNAnalysis[[#This Row],[2º PiN más alto]], "")</f>
        <v>5176</v>
      </c>
      <c r="AI331" s="14">
        <f>IFERROR(((tblPiNAnalysis[[#This Row],[PiN más alto]]-tblPiNAnalysis[[#This Row],[2º PiN más alto]])/tblPiNAnalysis[[#This Row],[2º PiN más alto]]),"")</f>
        <v>1.1121615814353245</v>
      </c>
      <c r="AJ331" s="14" t="str" cm="1">
        <f t="array" ref="AJ331">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31" s="98" cm="1">
        <f t="array" ref="AK331">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4163.1709137784565</v>
      </c>
      <c r="AL331" s="53" t="str" cm="1">
        <f t="array" ref="AL331">IF(tblPiNAnalysis[[#This Row],[3º PiN más alto]]="", "", _xlfn.TEXTJOIN(CHAR(10), TRUE, IF(tblPiNAnalysis[[#This Row],[3º PiN más alto]]=tblPiNAnalysis[[#This Row],[SAMV]:[ASH]], tblPiNAnalysis[[#Headers],[SAMV]:[ASH]], "")))</f>
        <v>PRO</v>
      </c>
      <c r="AM331" s="53">
        <f>IFERROR(tblPiNAnalysis[[#This Row],[3º PiN más alto]]/tblPiNAnalysis[[#This Row],[Población]], "")</f>
        <v>0.19878579543420027</v>
      </c>
      <c r="AN331" s="15">
        <f>IFERROR(tblPiNAnalysis[[#This Row],[PiN más alto]]-tblPiNAnalysis[[#This Row],[3º PiN más alto]],"")</f>
        <v>5666.8290862215435</v>
      </c>
      <c r="AO331" s="14">
        <f>IFERROR(tblPiNAnalysis[[#This Row],[Diferencia de PiN entre el más alto y el 3º más alto]]/tblPiNAnalysis[[#This Row],[3º PiN más alto]], "")</f>
        <v>1.3611809852597141</v>
      </c>
      <c r="AP331" s="96" t="str" cm="1">
        <f t="array" ref="AP331">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31" s="84" cm="1">
        <f t="array" ref="AQ331">IFERROR(IF(tblPiNAnalysis[[#This Row],[ID]]="", "", INDEX(tblPiNHistorical[[SAMV]:[ASH]], MATCH(tblPiNAnalysis[[#This Row],[ID]],tblPiNHistorical[ID], 0),MATCH(_xlfn._xlws.FILTER(tblPiNAnalysis[[#Headers],[SAMV]:[ASH]], tblPiNAnalysis[[#This Row],[PiN más alto]]=tblPiNAnalysis[[#This Row],[SAMV]:[ASH]]), tblPiNHistorical[[#Headers],[SAMV]:[ASH]], 0))), "")</f>
        <v>1.9</v>
      </c>
      <c r="AR331" s="99" t="str" cm="1">
        <f t="array" ref="AR331">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31" s="74" cm="1">
        <f t="array" ref="AS331">IFERROR(IF(tblPiNAnalysis[[#This Row],[ID]]="", "", INDEX(tblPiNHistorical[[SAMV]:[ASH]], MATCH(tblPiNAnalysis[[#This Row],[ID]],tblPiNHistorical[ID], 0),MATCH(_xlfn._xlws.FILTER(tblPiNAnalysis[[#Headers],[SAMV]:[ASH]], tblPiNAnalysis[[#This Row],[2º PiN más alto]]=tblPiNAnalysis[[#This Row],[SAMV]:[ASH]]), tblPiNHistorical[[#Headers],[SAMV]:[ASH]], 0))), "")</f>
        <v>6.1</v>
      </c>
      <c r="AT331" s="100" t="str" cm="1">
        <f t="array" ref="AT331">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31" s="219">
        <f>INDEX(tblSeverityAnalysis[Severidad final], MATCH(tblPiNAnalysis[[#This Row],[ID]],tblSeverityAnalysis[ID], 0))</f>
        <v>2</v>
      </c>
      <c r="AV331" s="220">
        <f>IF(tblPiNAnalysis[[#This Row],[Severidad]]&gt;2,tblPiNAnalysis[[#This Row],[PiN más alto]],)</f>
        <v>0</v>
      </c>
      <c r="AW331" s="54"/>
      <c r="AX331" s="55"/>
      <c r="AY331" s="56">
        <f>COUNTIFS(tblPiNAnalysis[[#This Row],[Número de PiN ausentes/cero superior al umbral - Calidad de los datos]:[Marcador manual]],"Flagged")</f>
        <v>4</v>
      </c>
      <c r="AZ331" s="34" t="str">
        <f>IF(tblPiNAnalysis[[#This Row],[Número de marcadores]]&gt;0, "Flagged", "")</f>
        <v>Flagged</v>
      </c>
      <c r="BA331" s="92">
        <f>tblPiNAnalysis[[#This Row],[PiN preliminar]]</f>
        <v>0</v>
      </c>
      <c r="BB331" s="97"/>
      <c r="BC331" s="70">
        <f>IFERROR(IF(tblPiNAnalysis[[#This Row],[Severidad]]=3,tblPiNAnalysis[[#This Row],[PiN final]]*Umbrales!$D$33,tblPiNAnalysis[[#This Row],[PiN final]]*Umbrales!$D$34),)</f>
        <v>0</v>
      </c>
      <c r="BD331" s="70">
        <f>IFERROR(IF(tblPiNAnalysis[[#This Row],[Severidad]]&gt;3,tblPiNAnalysis[[#This Row],[PiN final]]*Umbrales!$D$34,),)</f>
        <v>0</v>
      </c>
    </row>
    <row r="332" spans="1:56">
      <c r="A332" s="101" t="str">
        <f>IFERROR(_xlfn.CONCAT(IF(tblPiNAnalysis[[#This Row],[Grupo]]="", "",tblPiNAnalysis[[#This Row],[Grupo]] ),  _xlfn.IFS(tblPiNAnalysis[[#This Row],[Admin2PCODE]]&lt;&gt;"", tblPiNAnalysis[[#This Row],[Admin2PCODE]], tblPiNAnalysis[[#This Row],[Admin1PCODE]]&lt;&gt;"", tblPiNAnalysis[[#This Row],[Admin1PCODE]])),"")</f>
        <v>VenezolanosVE2202</v>
      </c>
      <c r="B332" s="105" t="s">
        <v>678</v>
      </c>
      <c r="C332" s="104" t="s">
        <v>679</v>
      </c>
      <c r="D332" s="119" t="s">
        <v>180</v>
      </c>
      <c r="E332" s="104" t="s">
        <v>682</v>
      </c>
      <c r="F332" s="358"/>
      <c r="G332" s="357">
        <v>31883</v>
      </c>
      <c r="H332" s="103" t="s">
        <v>102</v>
      </c>
      <c r="I332" s="60">
        <v>4637</v>
      </c>
      <c r="J332" s="134">
        <v>817.84521050715773</v>
      </c>
      <c r="K332" s="57">
        <v>11637.295</v>
      </c>
      <c r="L332" s="87">
        <v>1700.2718086262826</v>
      </c>
      <c r="M332" s="87">
        <v>6337.8875158286055</v>
      </c>
      <c r="N332" s="57">
        <v>0</v>
      </c>
      <c r="O332" s="57">
        <v>2028.1240050651536</v>
      </c>
      <c r="P332" s="57">
        <v>2218.2606305400118</v>
      </c>
      <c r="Q332" s="88">
        <f>IFERROR(IF(tblPiNAnalysis[[#This Row],[SAMV]]="", "", MROUND(tblPiNAnalysis[[#This Row],[SAMV]]/tblPiNAnalysis[[#This Row],[Población]], 0.05)), "")</f>
        <v>0.15000000000000002</v>
      </c>
      <c r="R332" s="89">
        <f>IFERROR(IF(tblPiNAnalysis[[#This Row],[NUT]]="", "", MROUND(tblPiNAnalysis[[#This Row],[NUT]]/tblPiNAnalysis[[#This Row],[Población]], 0.05)), "")</f>
        <v>0.05</v>
      </c>
      <c r="S332" s="89">
        <f>IFERROR(IF(tblPiNAnalysis[[#This Row],[SAL]]="", "", MROUND(tblPiNAnalysis[[#This Row],[SAL]]/tblPiNAnalysis[[#This Row],[Población]], 0.05)), "")</f>
        <v>0.35000000000000003</v>
      </c>
      <c r="T332" s="89">
        <f>IFERROR(IF(tblPiNAnalysis[[#This Row],[EDU]]="", "", MROUND(tblPiNAnalysis[[#This Row],[EDU]]/tblPiNAnalysis[[#This Row],[Población]], 0.05)), "")</f>
        <v>0.05</v>
      </c>
      <c r="U332" s="89">
        <f>IFERROR(IF(tblPiNAnalysis[[#This Row],[PRO]]="", "", MROUND(tblPiNAnalysis[[#This Row],[PRO]]/tblPiNAnalysis[[#This Row],[Población]], 0.05)), "")</f>
        <v>0.2</v>
      </c>
      <c r="V332" s="90">
        <f>IFERROR(IF(tblPiNAnalysis[[#This Row],[ASH]]="", "", MROUND(tblPiNAnalysis[[#This Row],[ASH]]/tblPiNAnalysis[[#This Row],[Población]], 0.05)), "")</f>
        <v>0</v>
      </c>
      <c r="W332" s="89">
        <f>IFERROR(MROUND(tblPiNAnalysis[[#This Row],[NNA]]/tblPiNAnalysis[[#This Row],[Población]], 0.05), "")</f>
        <v>0.05</v>
      </c>
      <c r="X332" s="89">
        <f>IFERROR(MROUND(tblPiNAnalysis[[#This Row],[VBG]]/tblPiNAnalysis[[#This Row],[Población]], 0.05), "")</f>
        <v>0.05</v>
      </c>
      <c r="Y332" s="91">
        <f>IFERROR(LARGE(tblPiNAnalysis[[#This Row],[SAMV]:[ASH]], 1), "")</f>
        <v>11637.295</v>
      </c>
      <c r="Z332" s="92" t="str" cm="1">
        <f t="array" ref="Z332">IF(tblPiNAnalysis[[#This Row],[PiN más alto]]="", "", _xlfn.TEXTJOIN(CHAR(10), TRUE, IF(tblPiNAnalysis[[#This Row],[PiN más alto]]=tblPiNAnalysis[[#This Row],[SAMV]:[ASH]], tblPiNAnalysis[[#Headers],[SAMV]:[ASH]], "")))</f>
        <v>SAL</v>
      </c>
      <c r="AA332" s="93">
        <f>IF(tblPiNAnalysis[[#This Row],[PiN más alto]]="", "", tblPiNAnalysis[[#This Row],[PiN más alto]]/tblPiNAnalysis[[#This Row],[Población]])</f>
        <v>0.36499999999999999</v>
      </c>
      <c r="AB332" s="94" t="str">
        <f>IF(SUM(tblPiNAnalysis[[#This Row],[SAMV]:[ASH]])=0, "",IF(COUNTIF(tblPiNAnalysis[[#This Row],[SAMV]:[ASH]],"=0")+COUNTIF(tblPiNAnalysis[[#This Row],[SAMV]:[ASH]],"")&gt;=zero_pin_thresh, "Flagged", ""))</f>
        <v/>
      </c>
      <c r="AC332" s="95" t="str">
        <f>IFERROR(IF(tblPiNAnalysis[[#This Row],[PiN más alto]]="", "", IF(tblPiNAnalysis[[#This Row],[% PiN Sectores más altos]]&gt;=flag_pin_perc, "Flagged", "")), "")</f>
        <v/>
      </c>
      <c r="AD332" s="96" t="str" cm="1">
        <f t="array" ref="AD332">IF(tblPiNAnalysis[[#This Row],[PiN más alto]]=0, "",  IF(OR(COUNTIF(tblPiNAnalysis[[#This Row],[Sectores más altos]],tblSubSectorPopulation[Sector])), "Flagged", ""))</f>
        <v/>
      </c>
      <c r="AE332" s="16" cm="1">
        <f t="array" ref="AE332">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6337.8875158286055</v>
      </c>
      <c r="AF332" s="97" t="str" cm="1">
        <f t="array" ref="AF332">IF(tblPiNAnalysis[[#This Row],[2º PiN más alto]]="", "", _xlfn.TEXTJOIN(CHAR(10), TRUE, IF(tblPiNAnalysis[[#This Row],[2º PiN más alto]]=tblPiNAnalysis[[#This Row],[SAMV]:[ASH]], tblPiNAnalysis[[#Headers],[SAMV]:[ASH]], "")))</f>
        <v>PRO</v>
      </c>
      <c r="AG332" s="12">
        <f>IFERROR(tblPiNAnalysis[[#This Row],[2º PiN más alto]]/tblPiNAnalysis[[#This Row],[Población]], "")</f>
        <v>0.19878579543420022</v>
      </c>
      <c r="AH332" s="16">
        <f>IFERROR(tblPiNAnalysis[[#This Row],[PiN más alto]]-tblPiNAnalysis[[#This Row],[2º PiN más alto]], "")</f>
        <v>5299.4074841713946</v>
      </c>
      <c r="AI332" s="14">
        <f>IFERROR(((tblPiNAnalysis[[#This Row],[PiN más alto]]-tblPiNAnalysis[[#This Row],[2º PiN más alto]])/tblPiNAnalysis[[#This Row],[2º PiN más alto]]),"")</f>
        <v>0.83614729212791317</v>
      </c>
      <c r="AJ332" s="14" t="str" cm="1">
        <f t="array" ref="AJ332">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32" s="98" cm="1">
        <f t="array" ref="AK332">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4637</v>
      </c>
      <c r="AL332" s="53" t="str" cm="1">
        <f t="array" ref="AL332">IF(tblPiNAnalysis[[#This Row],[3º PiN más alto]]="", "", _xlfn.TEXTJOIN(CHAR(10), TRUE, IF(tblPiNAnalysis[[#This Row],[3º PiN más alto]]=tblPiNAnalysis[[#This Row],[SAMV]:[ASH]], tblPiNAnalysis[[#Headers],[SAMV]:[ASH]], "")))</f>
        <v>SAMV</v>
      </c>
      <c r="AM332" s="53">
        <f>IFERROR(tblPiNAnalysis[[#This Row],[3º PiN más alto]]/tblPiNAnalysis[[#This Row],[Población]], "")</f>
        <v>0.14543800771571055</v>
      </c>
      <c r="AN332" s="15">
        <f>IFERROR(tblPiNAnalysis[[#This Row],[PiN más alto]]-tblPiNAnalysis[[#This Row],[3º PiN más alto]],"")</f>
        <v>7000.2950000000001</v>
      </c>
      <c r="AO332" s="14">
        <f>IFERROR(tblPiNAnalysis[[#This Row],[Diferencia de PiN entre el más alto y el 3º más alto]]/tblPiNAnalysis[[#This Row],[3º PiN más alto]], "")</f>
        <v>1.5096603407375457</v>
      </c>
      <c r="AP332" s="96" t="str" cm="1">
        <f t="array" ref="AP332">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32" s="84" cm="1">
        <f t="array" ref="AQ332">IFERROR(IF(tblPiNAnalysis[[#This Row],[ID]]="", "", INDEX(tblPiNHistorical[[SAMV]:[ASH]], MATCH(tblPiNAnalysis[[#This Row],[ID]],tblPiNHistorical[ID], 0),MATCH(_xlfn._xlws.FILTER(tblPiNAnalysis[[#Headers],[SAMV]:[ASH]], tblPiNAnalysis[[#This Row],[PiN más alto]]=tblPiNAnalysis[[#This Row],[SAMV]:[ASH]]), tblPiNHistorical[[#Headers],[SAMV]:[ASH]], 0))), "")</f>
        <v>-0.1</v>
      </c>
      <c r="AR332" s="99" t="str" cm="1">
        <f t="array" ref="AR332">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32" s="74" cm="1">
        <f t="array" ref="AS332">IFERROR(IF(tblPiNAnalysis[[#This Row],[ID]]="", "", INDEX(tblPiNHistorical[[SAMV]:[ASH]], MATCH(tblPiNAnalysis[[#This Row],[ID]],tblPiNHistorical[ID], 0),MATCH(_xlfn._xlws.FILTER(tblPiNAnalysis[[#Headers],[SAMV]:[ASH]], tblPiNAnalysis[[#This Row],[2º PiN más alto]]=tblPiNAnalysis[[#This Row],[SAMV]:[ASH]]), tblPiNHistorical[[#Headers],[SAMV]:[ASH]], 0))), "")</f>
        <v>-0.4</v>
      </c>
      <c r="AT332" s="100" t="str" cm="1">
        <f t="array" ref="AT332">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32" s="219">
        <f>INDEX(tblSeverityAnalysis[Severidad final], MATCH(tblPiNAnalysis[[#This Row],[ID]],tblSeverityAnalysis[ID], 0))</f>
        <v>2</v>
      </c>
      <c r="AV332" s="220">
        <f>IF(tblPiNAnalysis[[#This Row],[Severidad]]&gt;2,tblPiNAnalysis[[#This Row],[PiN más alto]],)</f>
        <v>0</v>
      </c>
      <c r="AW332" s="54"/>
      <c r="AX332" s="55"/>
      <c r="AY332" s="56">
        <f>COUNTIFS(tblPiNAnalysis[[#This Row],[Número de PiN ausentes/cero superior al umbral - Calidad de los datos]:[Marcador manual]],"Flagged")</f>
        <v>2</v>
      </c>
      <c r="AZ332" s="34" t="str">
        <f>IF(tblPiNAnalysis[[#This Row],[Número de marcadores]]&gt;0, "Flagged", "")</f>
        <v>Flagged</v>
      </c>
      <c r="BA332" s="92">
        <f>tblPiNAnalysis[[#This Row],[PiN preliminar]]</f>
        <v>0</v>
      </c>
      <c r="BB332" s="97"/>
      <c r="BC332" s="70">
        <f>IFERROR(IF(tblPiNAnalysis[[#This Row],[Severidad]]=3,tblPiNAnalysis[[#This Row],[PiN final]]*Umbrales!$D$33,tblPiNAnalysis[[#This Row],[PiN final]]*Umbrales!$D$34),)</f>
        <v>0</v>
      </c>
      <c r="BD332" s="70">
        <f>IFERROR(IF(tblPiNAnalysis[[#This Row],[Severidad]]&gt;3,tblPiNAnalysis[[#This Row],[PiN final]]*Umbrales!$D$34,),)</f>
        <v>0</v>
      </c>
    </row>
    <row r="333" spans="1:56">
      <c r="A333" s="101" t="str">
        <f>IFERROR(_xlfn.CONCAT(IF(tblPiNAnalysis[[#This Row],[Grupo]]="", "",tblPiNAnalysis[[#This Row],[Grupo]] ),  _xlfn.IFS(tblPiNAnalysis[[#This Row],[Admin2PCODE]]&lt;&gt;"", tblPiNAnalysis[[#This Row],[Admin2PCODE]], tblPiNAnalysis[[#This Row],[Admin1PCODE]]&lt;&gt;"", tblPiNAnalysis[[#This Row],[Admin1PCODE]])),"")</f>
        <v>VenezolanosVE2204</v>
      </c>
      <c r="B333" s="105" t="s">
        <v>678</v>
      </c>
      <c r="C333" s="104" t="s">
        <v>679</v>
      </c>
      <c r="D333" s="119" t="s">
        <v>685</v>
      </c>
      <c r="E333" s="104" t="s">
        <v>686</v>
      </c>
      <c r="F333" s="358"/>
      <c r="G333" s="357">
        <v>42416</v>
      </c>
      <c r="H333" s="103" t="s">
        <v>102</v>
      </c>
      <c r="I333" s="60">
        <v>2693</v>
      </c>
      <c r="J333" s="134">
        <v>1058.7697482615831</v>
      </c>
      <c r="K333" s="57">
        <v>19200</v>
      </c>
      <c r="L333" s="87">
        <v>4953.3977725632158</v>
      </c>
      <c r="M333" s="87">
        <v>8431.6982991370351</v>
      </c>
      <c r="N333" s="57">
        <v>0</v>
      </c>
      <c r="O333" s="57">
        <v>2698.1434557238513</v>
      </c>
      <c r="P333" s="57">
        <v>2951.0944046979625</v>
      </c>
      <c r="Q333" s="88">
        <f>IFERROR(IF(tblPiNAnalysis[[#This Row],[SAMV]]="", "", MROUND(tblPiNAnalysis[[#This Row],[SAMV]]/tblPiNAnalysis[[#This Row],[Población]], 0.05)), "")</f>
        <v>0.05</v>
      </c>
      <c r="R333" s="89">
        <f>IFERROR(IF(tblPiNAnalysis[[#This Row],[NUT]]="", "", MROUND(tblPiNAnalysis[[#This Row],[NUT]]/tblPiNAnalysis[[#This Row],[Población]], 0.05)), "")</f>
        <v>0</v>
      </c>
      <c r="S333" s="89">
        <f>IFERROR(IF(tblPiNAnalysis[[#This Row],[SAL]]="", "", MROUND(tblPiNAnalysis[[#This Row],[SAL]]/tblPiNAnalysis[[#This Row],[Población]], 0.05)), "")</f>
        <v>0.45</v>
      </c>
      <c r="T333" s="89">
        <f>IFERROR(IF(tblPiNAnalysis[[#This Row],[EDU]]="", "", MROUND(tblPiNAnalysis[[#This Row],[EDU]]/tblPiNAnalysis[[#This Row],[Población]], 0.05)), "")</f>
        <v>0.1</v>
      </c>
      <c r="U333" s="89">
        <f>IFERROR(IF(tblPiNAnalysis[[#This Row],[PRO]]="", "", MROUND(tblPiNAnalysis[[#This Row],[PRO]]/tblPiNAnalysis[[#This Row],[Población]], 0.05)), "")</f>
        <v>0.2</v>
      </c>
      <c r="V333" s="90">
        <f>IFERROR(IF(tblPiNAnalysis[[#This Row],[ASH]]="", "", MROUND(tblPiNAnalysis[[#This Row],[ASH]]/tblPiNAnalysis[[#This Row],[Población]], 0.05)), "")</f>
        <v>0</v>
      </c>
      <c r="W333" s="89">
        <f>IFERROR(MROUND(tblPiNAnalysis[[#This Row],[NNA]]/tblPiNAnalysis[[#This Row],[Población]], 0.05), "")</f>
        <v>0.05</v>
      </c>
      <c r="X333" s="89">
        <f>IFERROR(MROUND(tblPiNAnalysis[[#This Row],[VBG]]/tblPiNAnalysis[[#This Row],[Población]], 0.05), "")</f>
        <v>0.05</v>
      </c>
      <c r="Y333" s="91">
        <f>IFERROR(LARGE(tblPiNAnalysis[[#This Row],[SAMV]:[ASH]], 1), "")</f>
        <v>19200</v>
      </c>
      <c r="Z333" s="92" t="str" cm="1">
        <f t="array" ref="Z333">IF(tblPiNAnalysis[[#This Row],[PiN más alto]]="", "", _xlfn.TEXTJOIN(CHAR(10), TRUE, IF(tblPiNAnalysis[[#This Row],[PiN más alto]]=tblPiNAnalysis[[#This Row],[SAMV]:[ASH]], tblPiNAnalysis[[#Headers],[SAMV]:[ASH]], "")))</f>
        <v>SAL</v>
      </c>
      <c r="AA333" s="93">
        <f>IF(tblPiNAnalysis[[#This Row],[PiN más alto]]="", "", tblPiNAnalysis[[#This Row],[PiN más alto]]/tblPiNAnalysis[[#This Row],[Población]])</f>
        <v>0.45265937382119953</v>
      </c>
      <c r="AB333" s="94" t="str">
        <f>IF(SUM(tblPiNAnalysis[[#This Row],[SAMV]:[ASH]])=0, "",IF(COUNTIF(tblPiNAnalysis[[#This Row],[SAMV]:[ASH]],"=0")+COUNTIF(tblPiNAnalysis[[#This Row],[SAMV]:[ASH]],"")&gt;=zero_pin_thresh, "Flagged", ""))</f>
        <v/>
      </c>
      <c r="AC333" s="95" t="str">
        <f>IFERROR(IF(tblPiNAnalysis[[#This Row],[PiN más alto]]="", "", IF(tblPiNAnalysis[[#This Row],[% PiN Sectores más altos]]&gt;=flag_pin_perc, "Flagged", "")), "")</f>
        <v/>
      </c>
      <c r="AD333" s="96" t="str" cm="1">
        <f t="array" ref="AD333">IF(tblPiNAnalysis[[#This Row],[PiN más alto]]=0, "",  IF(OR(COUNTIF(tblPiNAnalysis[[#This Row],[Sectores más altos]],tblSubSectorPopulation[Sector])), "Flagged", ""))</f>
        <v/>
      </c>
      <c r="AE333" s="16" cm="1">
        <f t="array" ref="AE333">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8431.6982991370351</v>
      </c>
      <c r="AF333" s="97" t="str" cm="1">
        <f t="array" ref="AF333">IF(tblPiNAnalysis[[#This Row],[2º PiN más alto]]="", "", _xlfn.TEXTJOIN(CHAR(10), TRUE, IF(tblPiNAnalysis[[#This Row],[2º PiN más alto]]=tblPiNAnalysis[[#This Row],[SAMV]:[ASH]], tblPiNAnalysis[[#Headers],[SAMV]:[ASH]], "")))</f>
        <v>PRO</v>
      </c>
      <c r="AG333" s="12">
        <f>IFERROR(tblPiNAnalysis[[#This Row],[2º PiN más alto]]/tblPiNAnalysis[[#This Row],[Población]], "")</f>
        <v>0.19878579543420019</v>
      </c>
      <c r="AH333" s="16">
        <f>IFERROR(tblPiNAnalysis[[#This Row],[PiN más alto]]-tblPiNAnalysis[[#This Row],[2º PiN más alto]], "")</f>
        <v>10768.301700862965</v>
      </c>
      <c r="AI333" s="14">
        <f>IFERROR(((tblPiNAnalysis[[#This Row],[PiN más alto]]-tblPiNAnalysis[[#This Row],[2º PiN más alto]])/tblPiNAnalysis[[#This Row],[2º PiN más alto]]),"")</f>
        <v>1.2771213246523629</v>
      </c>
      <c r="AJ333" s="14" t="str" cm="1">
        <f t="array" ref="AJ333">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33" s="98" cm="1">
        <f t="array" ref="AK333">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4953.3977725632158</v>
      </c>
      <c r="AL333" s="53" t="str" cm="1">
        <f t="array" ref="AL333">IF(tblPiNAnalysis[[#This Row],[3º PiN más alto]]="", "", _xlfn.TEXTJOIN(CHAR(10), TRUE, IF(tblPiNAnalysis[[#This Row],[3º PiN más alto]]=tblPiNAnalysis[[#This Row],[SAMV]:[ASH]], tblPiNAnalysis[[#Headers],[SAMV]:[ASH]], "")))</f>
        <v>EDU</v>
      </c>
      <c r="AM333" s="53">
        <f>IFERROR(tblPiNAnalysis[[#This Row],[3º PiN más alto]]/tblPiNAnalysis[[#This Row],[Población]], "")</f>
        <v>0.11678135072998906</v>
      </c>
      <c r="AN333" s="15">
        <f>IFERROR(tblPiNAnalysis[[#This Row],[PiN más alto]]-tblPiNAnalysis[[#This Row],[3º PiN más alto]],"")</f>
        <v>14246.602227436784</v>
      </c>
      <c r="AO333" s="14">
        <f>IFERROR(tblPiNAnalysis[[#This Row],[Diferencia de PiN entre el más alto y el 3º más alto]]/tblPiNAnalysis[[#This Row],[3º PiN más alto]], "")</f>
        <v>2.8761272325732583</v>
      </c>
      <c r="AP333" s="96" t="str" cm="1">
        <f t="array" ref="AP333">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33" s="84" cm="1">
        <f t="array" ref="AQ333">IFERROR(IF(tblPiNAnalysis[[#This Row],[ID]]="", "", INDEX(tblPiNHistorical[[SAMV]:[ASH]], MATCH(tblPiNAnalysis[[#This Row],[ID]],tblPiNHistorical[ID], 0),MATCH(_xlfn._xlws.FILTER(tblPiNAnalysis[[#Headers],[SAMV]:[ASH]], tblPiNAnalysis[[#This Row],[PiN más alto]]=tblPiNAnalysis[[#This Row],[SAMV]:[ASH]]), tblPiNHistorical[[#Headers],[SAMV]:[ASH]], 0))), "")</f>
        <v>-0.2</v>
      </c>
      <c r="AR333" s="99" t="str" cm="1">
        <f t="array" ref="AR333">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33" s="74" cm="1">
        <f t="array" ref="AS333">IFERROR(IF(tblPiNAnalysis[[#This Row],[ID]]="", "", INDEX(tblPiNHistorical[[SAMV]:[ASH]], MATCH(tblPiNAnalysis[[#This Row],[ID]],tblPiNHistorical[ID], 0),MATCH(_xlfn._xlws.FILTER(tblPiNAnalysis[[#Headers],[SAMV]:[ASH]], tblPiNAnalysis[[#This Row],[2º PiN más alto]]=tblPiNAnalysis[[#This Row],[SAMV]:[ASH]]), tblPiNHistorical[[#Headers],[SAMV]:[ASH]], 0))), "")</f>
        <v>-0.8</v>
      </c>
      <c r="AT333" s="100" t="str" cm="1">
        <f t="array" ref="AT333">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33" s="219">
        <f>INDEX(tblSeverityAnalysis[Severidad final], MATCH(tblPiNAnalysis[[#This Row],[ID]],tblSeverityAnalysis[ID], 0))</f>
        <v>2</v>
      </c>
      <c r="AV333" s="220">
        <f>IF(tblPiNAnalysis[[#This Row],[Severidad]]&gt;2,tblPiNAnalysis[[#This Row],[PiN más alto]],)</f>
        <v>0</v>
      </c>
      <c r="AW333" s="54"/>
      <c r="AX333" s="55"/>
      <c r="AY333" s="56">
        <f>COUNTIFS(tblPiNAnalysis[[#This Row],[Número de PiN ausentes/cero superior al umbral - Calidad de los datos]:[Marcador manual]],"Flagged")</f>
        <v>2</v>
      </c>
      <c r="AZ333" s="34" t="str">
        <f>IF(tblPiNAnalysis[[#This Row],[Número de marcadores]]&gt;0, "Flagged", "")</f>
        <v>Flagged</v>
      </c>
      <c r="BA333" s="92">
        <f>tblPiNAnalysis[[#This Row],[PiN preliminar]]</f>
        <v>0</v>
      </c>
      <c r="BB333" s="97"/>
      <c r="BC333" s="70">
        <f>IFERROR(IF(tblPiNAnalysis[[#This Row],[Severidad]]=3,tblPiNAnalysis[[#This Row],[PiN final]]*Umbrales!$D$33,tblPiNAnalysis[[#This Row],[PiN final]]*Umbrales!$D$34),)</f>
        <v>0</v>
      </c>
      <c r="BD333" s="70">
        <f>IFERROR(IF(tblPiNAnalysis[[#This Row],[Severidad]]&gt;3,tblPiNAnalysis[[#This Row],[PiN final]]*Umbrales!$D$34,),)</f>
        <v>0</v>
      </c>
    </row>
    <row r="334" spans="1:56">
      <c r="A334" s="101" t="str">
        <f>IFERROR(_xlfn.CONCAT(IF(tblPiNAnalysis[[#This Row],[Grupo]]="", "",tblPiNAnalysis[[#This Row],[Grupo]] ),  _xlfn.IFS(tblPiNAnalysis[[#This Row],[Admin2PCODE]]&lt;&gt;"", tblPiNAnalysis[[#This Row],[Admin2PCODE]], tblPiNAnalysis[[#This Row],[Admin1PCODE]]&lt;&gt;"", tblPiNAnalysis[[#This Row],[Admin1PCODE]])),"")</f>
        <v>VenezolanosVE2208</v>
      </c>
      <c r="B334" s="105" t="s">
        <v>678</v>
      </c>
      <c r="C334" s="104" t="s">
        <v>679</v>
      </c>
      <c r="D334" s="119" t="s">
        <v>692</v>
      </c>
      <c r="E334" s="104" t="s">
        <v>693</v>
      </c>
      <c r="F334" s="358"/>
      <c r="G334" s="357">
        <v>13474</v>
      </c>
      <c r="H334" s="103" t="s">
        <v>102</v>
      </c>
      <c r="I334" s="60">
        <v>1892</v>
      </c>
      <c r="J334" s="134">
        <v>315.33108204809508</v>
      </c>
      <c r="K334" s="57">
        <v>11600</v>
      </c>
      <c r="L334" s="87">
        <v>1779.1048479114643</v>
      </c>
      <c r="M334" s="87">
        <v>3214.1277692164963</v>
      </c>
      <c r="N334" s="57">
        <v>0</v>
      </c>
      <c r="O334" s="57">
        <v>1031.7350139184955</v>
      </c>
      <c r="P334" s="57">
        <v>1124.9447192257737</v>
      </c>
      <c r="Q334" s="88">
        <f>IFERROR(IF(tblPiNAnalysis[[#This Row],[SAMV]]="", "", MROUND(tblPiNAnalysis[[#This Row],[SAMV]]/tblPiNAnalysis[[#This Row],[Población]], 0.05)), "")</f>
        <v>0.15000000000000002</v>
      </c>
      <c r="R334" s="89">
        <f>IFERROR(IF(tblPiNAnalysis[[#This Row],[NUT]]="", "", MROUND(tblPiNAnalysis[[#This Row],[NUT]]/tblPiNAnalysis[[#This Row],[Población]], 0.05)), "")</f>
        <v>0</v>
      </c>
      <c r="S334" s="89">
        <f>IFERROR(IF(tblPiNAnalysis[[#This Row],[SAL]]="", "", MROUND(tblPiNAnalysis[[#This Row],[SAL]]/tblPiNAnalysis[[#This Row],[Población]], 0.05)), "")</f>
        <v>0.85000000000000009</v>
      </c>
      <c r="T334" s="89">
        <f>IFERROR(IF(tblPiNAnalysis[[#This Row],[EDU]]="", "", MROUND(tblPiNAnalysis[[#This Row],[EDU]]/tblPiNAnalysis[[#This Row],[Población]], 0.05)), "")</f>
        <v>0.15000000000000002</v>
      </c>
      <c r="U334" s="89">
        <f>IFERROR(IF(tblPiNAnalysis[[#This Row],[PRO]]="", "", MROUND(tblPiNAnalysis[[#This Row],[PRO]]/tblPiNAnalysis[[#This Row],[Población]], 0.05)), "")</f>
        <v>0.25</v>
      </c>
      <c r="V334" s="90">
        <f>IFERROR(IF(tblPiNAnalysis[[#This Row],[ASH]]="", "", MROUND(tblPiNAnalysis[[#This Row],[ASH]]/tblPiNAnalysis[[#This Row],[Población]], 0.05)), "")</f>
        <v>0</v>
      </c>
      <c r="W334" s="89">
        <f>IFERROR(MROUND(tblPiNAnalysis[[#This Row],[NNA]]/tblPiNAnalysis[[#This Row],[Población]], 0.05), "")</f>
        <v>0.1</v>
      </c>
      <c r="X334" s="89">
        <f>IFERROR(MROUND(tblPiNAnalysis[[#This Row],[VBG]]/tblPiNAnalysis[[#This Row],[Población]], 0.05), "")</f>
        <v>0.1</v>
      </c>
      <c r="Y334" s="91">
        <f>IFERROR(LARGE(tblPiNAnalysis[[#This Row],[SAMV]:[ASH]], 1), "")</f>
        <v>11600</v>
      </c>
      <c r="Z334" s="92" t="str" cm="1">
        <f t="array" ref="Z334">IF(tblPiNAnalysis[[#This Row],[PiN más alto]]="", "", _xlfn.TEXTJOIN(CHAR(10), TRUE, IF(tblPiNAnalysis[[#This Row],[PiN más alto]]=tblPiNAnalysis[[#This Row],[SAMV]:[ASH]], tblPiNAnalysis[[#Headers],[SAMV]:[ASH]], "")))</f>
        <v>SAL</v>
      </c>
      <c r="AA334" s="93">
        <f>IF(tblPiNAnalysis[[#This Row],[PiN más alto]]="", "", tblPiNAnalysis[[#This Row],[PiN más alto]]/tblPiNAnalysis[[#This Row],[Población]])</f>
        <v>0.86091732225025974</v>
      </c>
      <c r="AB334" s="94" t="str">
        <f>IF(SUM(tblPiNAnalysis[[#This Row],[SAMV]:[ASH]])=0, "",IF(COUNTIF(tblPiNAnalysis[[#This Row],[SAMV]:[ASH]],"=0")+COUNTIF(tblPiNAnalysis[[#This Row],[SAMV]:[ASH]],"")&gt;=zero_pin_thresh, "Flagged", ""))</f>
        <v/>
      </c>
      <c r="AC334" s="95" t="str">
        <f>IFERROR(IF(tblPiNAnalysis[[#This Row],[PiN más alto]]="", "", IF(tblPiNAnalysis[[#This Row],[% PiN Sectores más altos]]&gt;=flag_pin_perc, "Flagged", "")), "")</f>
        <v/>
      </c>
      <c r="AD334" s="96" t="str" cm="1">
        <f t="array" ref="AD334">IF(tblPiNAnalysis[[#This Row],[PiN más alto]]=0, "",  IF(OR(COUNTIF(tblPiNAnalysis[[#This Row],[Sectores más altos]],tblSubSectorPopulation[Sector])), "Flagged", ""))</f>
        <v/>
      </c>
      <c r="AE334" s="16" cm="1">
        <f t="array" ref="AE334">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3214.1277692164963</v>
      </c>
      <c r="AF334" s="97" t="str" cm="1">
        <f t="array" ref="AF334">IF(tblPiNAnalysis[[#This Row],[2º PiN más alto]]="", "", _xlfn.TEXTJOIN(CHAR(10), TRUE, IF(tblPiNAnalysis[[#This Row],[2º PiN más alto]]=tblPiNAnalysis[[#This Row],[SAMV]:[ASH]], tblPiNAnalysis[[#Headers],[SAMV]:[ASH]], "")))</f>
        <v>PRO</v>
      </c>
      <c r="AG334" s="12">
        <f>IFERROR(tblPiNAnalysis[[#This Row],[2º PiN más alto]]/tblPiNAnalysis[[#This Row],[Población]], "")</f>
        <v>0.23854295452104024</v>
      </c>
      <c r="AH334" s="16">
        <f>IFERROR(tblPiNAnalysis[[#This Row],[PiN más alto]]-tblPiNAnalysis[[#This Row],[2º PiN más alto]], "")</f>
        <v>8385.8722307835033</v>
      </c>
      <c r="AI334" s="14">
        <f>IFERROR(((tblPiNAnalysis[[#This Row],[PiN más alto]]-tblPiNAnalysis[[#This Row],[2º PiN más alto]])/tblPiNAnalysis[[#This Row],[2º PiN más alto]]),"")</f>
        <v>2.6090662328671881</v>
      </c>
      <c r="AJ334" s="14" t="str" cm="1">
        <f t="array" ref="AJ334">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34" s="98" cm="1">
        <f t="array" ref="AK334">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1892</v>
      </c>
      <c r="AL334" s="53" t="str" cm="1">
        <f t="array" ref="AL334">IF(tblPiNAnalysis[[#This Row],[3º PiN más alto]]="", "", _xlfn.TEXTJOIN(CHAR(10), TRUE, IF(tblPiNAnalysis[[#This Row],[3º PiN más alto]]=tblPiNAnalysis[[#This Row],[SAMV]:[ASH]], tblPiNAnalysis[[#Headers],[SAMV]:[ASH]], "")))</f>
        <v>SAMV</v>
      </c>
      <c r="AM334" s="53">
        <f>IFERROR(tblPiNAnalysis[[#This Row],[3º PiN más alto]]/tblPiNAnalysis[[#This Row],[Población]], "")</f>
        <v>0.14041858393943893</v>
      </c>
      <c r="AN334" s="15">
        <f>IFERROR(tblPiNAnalysis[[#This Row],[PiN más alto]]-tblPiNAnalysis[[#This Row],[3º PiN más alto]],"")</f>
        <v>9708</v>
      </c>
      <c r="AO334" s="14">
        <f>IFERROR(tblPiNAnalysis[[#This Row],[Diferencia de PiN entre el más alto y el 3º más alto]]/tblPiNAnalysis[[#This Row],[3º PiN más alto]], "")</f>
        <v>5.1310782241014801</v>
      </c>
      <c r="AP334" s="96" t="str" cm="1">
        <f t="array" ref="AP334">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34" s="84" cm="1">
        <f t="array" ref="AQ334">IFERROR(IF(tblPiNAnalysis[[#This Row],[ID]]="", "", INDEX(tblPiNHistorical[[SAMV]:[ASH]], MATCH(tblPiNAnalysis[[#This Row],[ID]],tblPiNHistorical[ID], 0),MATCH(_xlfn._xlws.FILTER(tblPiNAnalysis[[#Headers],[SAMV]:[ASH]], tblPiNAnalysis[[#This Row],[PiN más alto]]=tblPiNAnalysis[[#This Row],[SAMV]:[ASH]]), tblPiNHistorical[[#Headers],[SAMV]:[ASH]], 0))), "")</f>
        <v>3.5</v>
      </c>
      <c r="AR334" s="99" t="str" cm="1">
        <f t="array" ref="AR334">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34" s="74" cm="1">
        <f t="array" ref="AS334">IFERROR(IF(tblPiNAnalysis[[#This Row],[ID]]="", "", INDEX(tblPiNHistorical[[SAMV]:[ASH]], MATCH(tblPiNAnalysis[[#This Row],[ID]],tblPiNHistorical[ID], 0),MATCH(_xlfn._xlws.FILTER(tblPiNAnalysis[[#Headers],[SAMV]:[ASH]], tblPiNAnalysis[[#This Row],[2º PiN más alto]]=tblPiNAnalysis[[#This Row],[SAMV]:[ASH]]), tblPiNHistorical[[#Headers],[SAMV]:[ASH]], 0))), "")</f>
        <v>-0.2</v>
      </c>
      <c r="AT334" s="100" t="str" cm="1">
        <f t="array" ref="AT334">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34" s="219">
        <f>INDEX(tblSeverityAnalysis[Severidad final], MATCH(tblPiNAnalysis[[#This Row],[ID]],tblSeverityAnalysis[ID], 0))</f>
        <v>2</v>
      </c>
      <c r="AV334" s="220">
        <f>IF(tblPiNAnalysis[[#This Row],[Severidad]]&gt;2,tblPiNAnalysis[[#This Row],[PiN más alto]],)</f>
        <v>0</v>
      </c>
      <c r="AW334" s="54"/>
      <c r="AX334" s="55"/>
      <c r="AY334" s="56">
        <f>COUNTIFS(tblPiNAnalysis[[#This Row],[Número de PiN ausentes/cero superior al umbral - Calidad de los datos]:[Marcador manual]],"Flagged")</f>
        <v>3</v>
      </c>
      <c r="AZ334" s="34" t="str">
        <f>IF(tblPiNAnalysis[[#This Row],[Número de marcadores]]&gt;0, "Flagged", "")</f>
        <v>Flagged</v>
      </c>
      <c r="BA334" s="92">
        <f>tblPiNAnalysis[[#This Row],[PiN preliminar]]</f>
        <v>0</v>
      </c>
      <c r="BB334" s="97"/>
      <c r="BC334" s="70">
        <f>IFERROR(IF(tblPiNAnalysis[[#This Row],[Severidad]]=3,tblPiNAnalysis[[#This Row],[PiN final]]*Umbrales!$D$33,tblPiNAnalysis[[#This Row],[PiN final]]*Umbrales!$D$34),)</f>
        <v>0</v>
      </c>
      <c r="BD334" s="70">
        <f>IFERROR(IF(tblPiNAnalysis[[#This Row],[Severidad]]&gt;3,tblPiNAnalysis[[#This Row],[PiN final]]*Umbrales!$D$34,),)</f>
        <v>0</v>
      </c>
    </row>
    <row r="335" spans="1:56">
      <c r="A335" s="101" t="str">
        <f>IFERROR(_xlfn.CONCAT(IF(tblPiNAnalysis[[#This Row],[Grupo]]="", "",tblPiNAnalysis[[#This Row],[Grupo]] ),  _xlfn.IFS(tblPiNAnalysis[[#This Row],[Admin2PCODE]]&lt;&gt;"", tblPiNAnalysis[[#This Row],[Admin2PCODE]], tblPiNAnalysis[[#This Row],[Admin1PCODE]]&lt;&gt;"", tblPiNAnalysis[[#This Row],[Admin1PCODE]])),"")</f>
        <v>VenezolanosVE2210</v>
      </c>
      <c r="B335" s="105" t="s">
        <v>678</v>
      </c>
      <c r="C335" s="104" t="s">
        <v>679</v>
      </c>
      <c r="D335" s="119" t="s">
        <v>696</v>
      </c>
      <c r="E335" s="104" t="s">
        <v>697</v>
      </c>
      <c r="F335" s="358"/>
      <c r="G335" s="357">
        <v>103917</v>
      </c>
      <c r="H335" s="103" t="s">
        <v>102</v>
      </c>
      <c r="I335" s="60">
        <v>32561</v>
      </c>
      <c r="J335" s="134">
        <v>3623.5597150443477</v>
      </c>
      <c r="K335" s="57">
        <v>37929.705000000002</v>
      </c>
      <c r="L335" s="87">
        <v>11254.360580322158</v>
      </c>
      <c r="M335" s="87">
        <v>24788.668204962938</v>
      </c>
      <c r="N335" s="57">
        <v>0</v>
      </c>
      <c r="O335" s="57">
        <v>7932.3738255881408</v>
      </c>
      <c r="P335" s="57">
        <v>8676.0338717370269</v>
      </c>
      <c r="Q335" s="88">
        <f>IFERROR(IF(tblPiNAnalysis[[#This Row],[SAMV]]="", "", MROUND(tblPiNAnalysis[[#This Row],[SAMV]]/tblPiNAnalysis[[#This Row],[Población]], 0.05)), "")</f>
        <v>0.30000000000000004</v>
      </c>
      <c r="R335" s="89">
        <f>IFERROR(IF(tblPiNAnalysis[[#This Row],[NUT]]="", "", MROUND(tblPiNAnalysis[[#This Row],[NUT]]/tblPiNAnalysis[[#This Row],[Población]], 0.05)), "")</f>
        <v>0.05</v>
      </c>
      <c r="S335" s="89">
        <f>IFERROR(IF(tblPiNAnalysis[[#This Row],[SAL]]="", "", MROUND(tblPiNAnalysis[[#This Row],[SAL]]/tblPiNAnalysis[[#This Row],[Población]], 0.05)), "")</f>
        <v>0.35000000000000003</v>
      </c>
      <c r="T335" s="89">
        <f>IFERROR(IF(tblPiNAnalysis[[#This Row],[EDU]]="", "", MROUND(tblPiNAnalysis[[#This Row],[EDU]]/tblPiNAnalysis[[#This Row],[Población]], 0.05)), "")</f>
        <v>0.1</v>
      </c>
      <c r="U335" s="89">
        <f>IFERROR(IF(tblPiNAnalysis[[#This Row],[PRO]]="", "", MROUND(tblPiNAnalysis[[#This Row],[PRO]]/tblPiNAnalysis[[#This Row],[Población]], 0.05)), "")</f>
        <v>0.25</v>
      </c>
      <c r="V335" s="90">
        <f>IFERROR(IF(tblPiNAnalysis[[#This Row],[ASH]]="", "", MROUND(tblPiNAnalysis[[#This Row],[ASH]]/tblPiNAnalysis[[#This Row],[Población]], 0.05)), "")</f>
        <v>0</v>
      </c>
      <c r="W335" s="89">
        <f>IFERROR(MROUND(tblPiNAnalysis[[#This Row],[NNA]]/tblPiNAnalysis[[#This Row],[Población]], 0.05), "")</f>
        <v>0.1</v>
      </c>
      <c r="X335" s="89">
        <f>IFERROR(MROUND(tblPiNAnalysis[[#This Row],[VBG]]/tblPiNAnalysis[[#This Row],[Población]], 0.05), "")</f>
        <v>0.1</v>
      </c>
      <c r="Y335" s="91">
        <f>IFERROR(LARGE(tblPiNAnalysis[[#This Row],[SAMV]:[ASH]], 1), "")</f>
        <v>37929.705000000002</v>
      </c>
      <c r="Z335" s="92" t="str" cm="1">
        <f t="array" ref="Z335">IF(tblPiNAnalysis[[#This Row],[PiN más alto]]="", "", _xlfn.TEXTJOIN(CHAR(10), TRUE, IF(tblPiNAnalysis[[#This Row],[PiN más alto]]=tblPiNAnalysis[[#This Row],[SAMV]:[ASH]], tblPiNAnalysis[[#Headers],[SAMV]:[ASH]], "")))</f>
        <v>SAL</v>
      </c>
      <c r="AA335" s="93">
        <f>IF(tblPiNAnalysis[[#This Row],[PiN más alto]]="", "", tblPiNAnalysis[[#This Row],[PiN más alto]]/tblPiNAnalysis[[#This Row],[Población]])</f>
        <v>0.36499999999999999</v>
      </c>
      <c r="AB335" s="94" t="str">
        <f>IF(SUM(tblPiNAnalysis[[#This Row],[SAMV]:[ASH]])=0, "",IF(COUNTIF(tblPiNAnalysis[[#This Row],[SAMV]:[ASH]],"=0")+COUNTIF(tblPiNAnalysis[[#This Row],[SAMV]:[ASH]],"")&gt;=zero_pin_thresh, "Flagged", ""))</f>
        <v/>
      </c>
      <c r="AC335" s="95" t="str">
        <f>IFERROR(IF(tblPiNAnalysis[[#This Row],[PiN más alto]]="", "", IF(tblPiNAnalysis[[#This Row],[% PiN Sectores más altos]]&gt;=flag_pin_perc, "Flagged", "")), "")</f>
        <v/>
      </c>
      <c r="AD335" s="96" t="str" cm="1">
        <f t="array" ref="AD335">IF(tblPiNAnalysis[[#This Row],[PiN más alto]]=0, "",  IF(OR(COUNTIF(tblPiNAnalysis[[#This Row],[Sectores más altos]],tblSubSectorPopulation[Sector])), "Flagged", ""))</f>
        <v/>
      </c>
      <c r="AE335" s="16" cm="1">
        <f t="array" ref="AE335">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32561</v>
      </c>
      <c r="AF335" s="97" t="str" cm="1">
        <f t="array" ref="AF335">IF(tblPiNAnalysis[[#This Row],[2º PiN más alto]]="", "", _xlfn.TEXTJOIN(CHAR(10), TRUE, IF(tblPiNAnalysis[[#This Row],[2º PiN más alto]]=tblPiNAnalysis[[#This Row],[SAMV]:[ASH]], tblPiNAnalysis[[#Headers],[SAMV]:[ASH]], "")))</f>
        <v>SAMV</v>
      </c>
      <c r="AG335" s="12">
        <f>IFERROR(tblPiNAnalysis[[#This Row],[2º PiN más alto]]/tblPiNAnalysis[[#This Row],[Población]], "")</f>
        <v>0.31333660517528411</v>
      </c>
      <c r="AH335" s="16">
        <f>IFERROR(tblPiNAnalysis[[#This Row],[PiN más alto]]-tblPiNAnalysis[[#This Row],[2º PiN más alto]], "")</f>
        <v>5368.7050000000017</v>
      </c>
      <c r="AI335" s="14">
        <f>IFERROR(((tblPiNAnalysis[[#This Row],[PiN más alto]]-tblPiNAnalysis[[#This Row],[2º PiN más alto]])/tblPiNAnalysis[[#This Row],[2º PiN más alto]]),"")</f>
        <v>0.16488145327231971</v>
      </c>
      <c r="AJ335" s="14" t="str" cm="1">
        <f t="array" ref="AJ335">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
      </c>
      <c r="AK335" s="98" cm="1">
        <f t="array" ref="AK335">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24788.668204962938</v>
      </c>
      <c r="AL335" s="53" t="str" cm="1">
        <f t="array" ref="AL335">IF(tblPiNAnalysis[[#This Row],[3º PiN más alto]]="", "", _xlfn.TEXTJOIN(CHAR(10), TRUE, IF(tblPiNAnalysis[[#This Row],[3º PiN más alto]]=tblPiNAnalysis[[#This Row],[SAMV]:[ASH]], tblPiNAnalysis[[#Headers],[SAMV]:[ASH]], "")))</f>
        <v>PRO</v>
      </c>
      <c r="AM335" s="53">
        <f>IFERROR(tblPiNAnalysis[[#This Row],[3º PiN más alto]]/tblPiNAnalysis[[#This Row],[Población]], "")</f>
        <v>0.23854295452104024</v>
      </c>
      <c r="AN335" s="15">
        <f>IFERROR(tblPiNAnalysis[[#This Row],[PiN más alto]]-tblPiNAnalysis[[#This Row],[3º PiN más alto]],"")</f>
        <v>13141.036795037064</v>
      </c>
      <c r="AO335" s="14">
        <f>IFERROR(tblPiNAnalysis[[#This Row],[Diferencia de PiN entre el más alto y el 3º más alto]]/tblPiNAnalysis[[#This Row],[3º PiN más alto]], "")</f>
        <v>0.53012274343992782</v>
      </c>
      <c r="AP335" s="96" t="str" cm="1">
        <f t="array" ref="AP335">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35" s="84" cm="1">
        <f t="array" ref="AQ335">IFERROR(IF(tblPiNAnalysis[[#This Row],[ID]]="", "", INDEX(tblPiNHistorical[[SAMV]:[ASH]], MATCH(tblPiNAnalysis[[#This Row],[ID]],tblPiNHistorical[ID], 0),MATCH(_xlfn._xlws.FILTER(tblPiNAnalysis[[#Headers],[SAMV]:[ASH]], tblPiNAnalysis[[#This Row],[PiN más alto]]=tblPiNAnalysis[[#This Row],[SAMV]:[ASH]]), tblPiNHistorical[[#Headers],[SAMV]:[ASH]], 0))), "")</f>
        <v>-0.8</v>
      </c>
      <c r="AR335" s="99" t="str" cm="1">
        <f t="array" ref="AR335">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35" s="74" cm="1">
        <f t="array" ref="AS335">IFERROR(IF(tblPiNAnalysis[[#This Row],[ID]]="", "", INDEX(tblPiNHistorical[[SAMV]:[ASH]], MATCH(tblPiNAnalysis[[#This Row],[ID]],tblPiNHistorical[ID], 0),MATCH(_xlfn._xlws.FILTER(tblPiNAnalysis[[#Headers],[SAMV]:[ASH]], tblPiNAnalysis[[#This Row],[2º PiN más alto]]=tblPiNAnalysis[[#This Row],[SAMV]:[ASH]]), tblPiNHistorical[[#Headers],[SAMV]:[ASH]], 0))), "")</f>
        <v>-0.7</v>
      </c>
      <c r="AT335" s="100" t="str" cm="1">
        <f t="array" ref="AT335">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35" s="219">
        <f>INDEX(tblSeverityAnalysis[Severidad final], MATCH(tblPiNAnalysis[[#This Row],[ID]],tblSeverityAnalysis[ID], 0))</f>
        <v>2</v>
      </c>
      <c r="AV335" s="220">
        <f>IF(tblPiNAnalysis[[#This Row],[Severidad]]&gt;2,tblPiNAnalysis[[#This Row],[PiN más alto]],)</f>
        <v>0</v>
      </c>
      <c r="AW335" s="54"/>
      <c r="AX335" s="55"/>
      <c r="AY335" s="56">
        <f>COUNTIFS(tblPiNAnalysis[[#This Row],[Número de PiN ausentes/cero superior al umbral - Calidad de los datos]:[Marcador manual]],"Flagged")</f>
        <v>1</v>
      </c>
      <c r="AZ335" s="34" t="str">
        <f>IF(tblPiNAnalysis[[#This Row],[Número de marcadores]]&gt;0, "Flagged", "")</f>
        <v>Flagged</v>
      </c>
      <c r="BA335" s="92">
        <f>tblPiNAnalysis[[#This Row],[PiN preliminar]]</f>
        <v>0</v>
      </c>
      <c r="BB335" s="97"/>
      <c r="BC335" s="70">
        <f>IFERROR(IF(tblPiNAnalysis[[#This Row],[Severidad]]=3,tblPiNAnalysis[[#This Row],[PiN final]]*Umbrales!$D$33,tblPiNAnalysis[[#This Row],[PiN final]]*Umbrales!$D$34),)</f>
        <v>0</v>
      </c>
      <c r="BD335" s="70">
        <f>IFERROR(IF(tblPiNAnalysis[[#This Row],[Severidad]]&gt;3,tblPiNAnalysis[[#This Row],[PiN final]]*Umbrales!$D$34,),)</f>
        <v>0</v>
      </c>
    </row>
    <row r="336" spans="1:56">
      <c r="A336" s="101" t="str">
        <f>IFERROR(_xlfn.CONCAT(IF(tblPiNAnalysis[[#This Row],[Grupo]]="", "",tblPiNAnalysis[[#This Row],[Grupo]] ),  _xlfn.IFS(tblPiNAnalysis[[#This Row],[Admin2PCODE]]&lt;&gt;"", tblPiNAnalysis[[#This Row],[Admin2PCODE]], tblPiNAnalysis[[#This Row],[Admin1PCODE]]&lt;&gt;"", tblPiNAnalysis[[#This Row],[Admin1PCODE]])),"")</f>
        <v>VenezolanosVE2211</v>
      </c>
      <c r="B336" s="105" t="s">
        <v>678</v>
      </c>
      <c r="C336" s="104" t="s">
        <v>679</v>
      </c>
      <c r="D336" s="119" t="s">
        <v>698</v>
      </c>
      <c r="E336" s="104" t="s">
        <v>699</v>
      </c>
      <c r="F336" s="358"/>
      <c r="G336" s="357">
        <v>103036</v>
      </c>
      <c r="H336" s="103" t="s">
        <v>102</v>
      </c>
      <c r="I336" s="60">
        <v>1762</v>
      </c>
      <c r="J336" s="134">
        <v>3848.9964002932934</v>
      </c>
      <c r="K336" s="57">
        <v>37608.14</v>
      </c>
      <c r="L336" s="87">
        <v>4886.9141415836402</v>
      </c>
      <c r="M336" s="87">
        <v>24578.511862029907</v>
      </c>
      <c r="N336" s="57">
        <v>0</v>
      </c>
      <c r="O336" s="57">
        <v>7889.702307711601</v>
      </c>
      <c r="P336" s="57">
        <v>8602.4791517104677</v>
      </c>
      <c r="Q336" s="88">
        <f>IFERROR(IF(tblPiNAnalysis[[#This Row],[SAMV]]="", "", MROUND(tblPiNAnalysis[[#This Row],[SAMV]]/tblPiNAnalysis[[#This Row],[Población]], 0.05)), "")</f>
        <v>0</v>
      </c>
      <c r="R336" s="89">
        <f>IFERROR(IF(tblPiNAnalysis[[#This Row],[NUT]]="", "", MROUND(tblPiNAnalysis[[#This Row],[NUT]]/tblPiNAnalysis[[#This Row],[Población]], 0.05)), "")</f>
        <v>0.05</v>
      </c>
      <c r="S336" s="89">
        <f>IFERROR(IF(tblPiNAnalysis[[#This Row],[SAL]]="", "", MROUND(tblPiNAnalysis[[#This Row],[SAL]]/tblPiNAnalysis[[#This Row],[Población]], 0.05)), "")</f>
        <v>0.35000000000000003</v>
      </c>
      <c r="T336" s="89">
        <f>IFERROR(IF(tblPiNAnalysis[[#This Row],[EDU]]="", "", MROUND(tblPiNAnalysis[[#This Row],[EDU]]/tblPiNAnalysis[[#This Row],[Población]], 0.05)), "")</f>
        <v>0.05</v>
      </c>
      <c r="U336" s="89">
        <f>IFERROR(IF(tblPiNAnalysis[[#This Row],[PRO]]="", "", MROUND(tblPiNAnalysis[[#This Row],[PRO]]/tblPiNAnalysis[[#This Row],[Población]], 0.05)), "")</f>
        <v>0.25</v>
      </c>
      <c r="V336" s="90">
        <f>IFERROR(IF(tblPiNAnalysis[[#This Row],[ASH]]="", "", MROUND(tblPiNAnalysis[[#This Row],[ASH]]/tblPiNAnalysis[[#This Row],[Población]], 0.05)), "")</f>
        <v>0</v>
      </c>
      <c r="W336" s="89">
        <f>IFERROR(MROUND(tblPiNAnalysis[[#This Row],[NNA]]/tblPiNAnalysis[[#This Row],[Población]], 0.05), "")</f>
        <v>0.1</v>
      </c>
      <c r="X336" s="89">
        <f>IFERROR(MROUND(tblPiNAnalysis[[#This Row],[VBG]]/tblPiNAnalysis[[#This Row],[Población]], 0.05), "")</f>
        <v>0.1</v>
      </c>
      <c r="Y336" s="91">
        <f>IFERROR(LARGE(tblPiNAnalysis[[#This Row],[SAMV]:[ASH]], 1), "")</f>
        <v>37608.14</v>
      </c>
      <c r="Z336" s="92" t="str" cm="1">
        <f t="array" ref="Z336">IF(tblPiNAnalysis[[#This Row],[PiN más alto]]="", "", _xlfn.TEXTJOIN(CHAR(10), TRUE, IF(tblPiNAnalysis[[#This Row],[PiN más alto]]=tblPiNAnalysis[[#This Row],[SAMV]:[ASH]], tblPiNAnalysis[[#Headers],[SAMV]:[ASH]], "")))</f>
        <v>SAL</v>
      </c>
      <c r="AA336" s="93">
        <f>IF(tblPiNAnalysis[[#This Row],[PiN más alto]]="", "", tblPiNAnalysis[[#This Row],[PiN más alto]]/tblPiNAnalysis[[#This Row],[Población]])</f>
        <v>0.36499999999999999</v>
      </c>
      <c r="AB336" s="94" t="str">
        <f>IF(SUM(tblPiNAnalysis[[#This Row],[SAMV]:[ASH]])=0, "",IF(COUNTIF(tblPiNAnalysis[[#This Row],[SAMV]:[ASH]],"=0")+COUNTIF(tblPiNAnalysis[[#This Row],[SAMV]:[ASH]],"")&gt;=zero_pin_thresh, "Flagged", ""))</f>
        <v/>
      </c>
      <c r="AC336" s="95" t="str">
        <f>IFERROR(IF(tblPiNAnalysis[[#This Row],[PiN más alto]]="", "", IF(tblPiNAnalysis[[#This Row],[% PiN Sectores más altos]]&gt;=flag_pin_perc, "Flagged", "")), "")</f>
        <v/>
      </c>
      <c r="AD336" s="96" t="str" cm="1">
        <f t="array" ref="AD336">IF(tblPiNAnalysis[[#This Row],[PiN más alto]]=0, "",  IF(OR(COUNTIF(tblPiNAnalysis[[#This Row],[Sectores más altos]],tblSubSectorPopulation[Sector])), "Flagged", ""))</f>
        <v/>
      </c>
      <c r="AE336" s="16" cm="1">
        <f t="array" ref="AE336">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24578.511862029907</v>
      </c>
      <c r="AF336" s="97" t="str" cm="1">
        <f t="array" ref="AF336">IF(tblPiNAnalysis[[#This Row],[2º PiN más alto]]="", "", _xlfn.TEXTJOIN(CHAR(10), TRUE, IF(tblPiNAnalysis[[#This Row],[2º PiN más alto]]=tblPiNAnalysis[[#This Row],[SAMV]:[ASH]], tblPiNAnalysis[[#Headers],[SAMV]:[ASH]], "")))</f>
        <v>PRO</v>
      </c>
      <c r="AG336" s="12">
        <f>IFERROR(tblPiNAnalysis[[#This Row],[2º PiN más alto]]/tblPiNAnalysis[[#This Row],[Población]], "")</f>
        <v>0.2385429545210403</v>
      </c>
      <c r="AH336" s="16">
        <f>IFERROR(tblPiNAnalysis[[#This Row],[PiN más alto]]-tblPiNAnalysis[[#This Row],[2º PiN más alto]], "")</f>
        <v>13029.628137970092</v>
      </c>
      <c r="AI336" s="14">
        <f>IFERROR(((tblPiNAnalysis[[#This Row],[PiN más alto]]-tblPiNAnalysis[[#This Row],[2º PiN más alto]])/tblPiNAnalysis[[#This Row],[2º PiN más alto]]),"")</f>
        <v>0.53012274343992738</v>
      </c>
      <c r="AJ336" s="14" t="str" cm="1">
        <f t="array" ref="AJ336">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36" s="98" cm="1">
        <f t="array" ref="AK336">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4886.9141415836402</v>
      </c>
      <c r="AL336" s="53" t="str" cm="1">
        <f t="array" ref="AL336">IF(tblPiNAnalysis[[#This Row],[3º PiN más alto]]="", "", _xlfn.TEXTJOIN(CHAR(10), TRUE, IF(tblPiNAnalysis[[#This Row],[3º PiN más alto]]=tblPiNAnalysis[[#This Row],[SAMV]:[ASH]], tblPiNAnalysis[[#Headers],[SAMV]:[ASH]], "")))</f>
        <v>EDU</v>
      </c>
      <c r="AM336" s="53">
        <f>IFERROR(tblPiNAnalysis[[#This Row],[3º PiN más alto]]/tblPiNAnalysis[[#This Row],[Población]], "")</f>
        <v>4.7429191171858773E-2</v>
      </c>
      <c r="AN336" s="15">
        <f>IFERROR(tblPiNAnalysis[[#This Row],[PiN más alto]]-tblPiNAnalysis[[#This Row],[3º PiN más alto]],"")</f>
        <v>32721.225858416357</v>
      </c>
      <c r="AO336" s="14">
        <f>IFERROR(tblPiNAnalysis[[#This Row],[Diferencia de PiN entre el más alto y el 3º más alto]]/tblPiNAnalysis[[#This Row],[3º PiN más alto]], "")</f>
        <v>6.6956825739960317</v>
      </c>
      <c r="AP336" s="96" t="str" cm="1">
        <f t="array" ref="AP336">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36" s="84" cm="1">
        <f t="array" ref="AQ336">IFERROR(IF(tblPiNAnalysis[[#This Row],[ID]]="", "", INDEX(tblPiNHistorical[[SAMV]:[ASH]], MATCH(tblPiNAnalysis[[#This Row],[ID]],tblPiNHistorical[ID], 0),MATCH(_xlfn._xlws.FILTER(tblPiNAnalysis[[#Headers],[SAMV]:[ASH]], tblPiNAnalysis[[#This Row],[PiN más alto]]=tblPiNAnalysis[[#This Row],[SAMV]:[ASH]]), tblPiNHistorical[[#Headers],[SAMV]:[ASH]], 0))), "")</f>
        <v>-0.7</v>
      </c>
      <c r="AR336" s="99" t="str" cm="1">
        <f t="array" ref="AR336">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36" s="74" cm="1">
        <f t="array" ref="AS336">IFERROR(IF(tblPiNAnalysis[[#This Row],[ID]]="", "", INDEX(tblPiNHistorical[[SAMV]:[ASH]], MATCH(tblPiNAnalysis[[#This Row],[ID]],tblPiNHistorical[ID], 0),MATCH(_xlfn._xlws.FILTER(tblPiNAnalysis[[#Headers],[SAMV]:[ASH]], tblPiNAnalysis[[#This Row],[2º PiN más alto]]=tblPiNAnalysis[[#This Row],[SAMV]:[ASH]]), tblPiNHistorical[[#Headers],[SAMV]:[ASH]], 0))), "")</f>
        <v>-0.5</v>
      </c>
      <c r="AT336" s="100" t="str" cm="1">
        <f t="array" ref="AT336">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36" s="219">
        <f>INDEX(tblSeverityAnalysis[Severidad final], MATCH(tblPiNAnalysis[[#This Row],[ID]],tblSeverityAnalysis[ID], 0))</f>
        <v>2</v>
      </c>
      <c r="AV336" s="220">
        <f>IF(tblPiNAnalysis[[#This Row],[Severidad]]&gt;2,tblPiNAnalysis[[#This Row],[PiN más alto]],)</f>
        <v>0</v>
      </c>
      <c r="AW336" s="54"/>
      <c r="AX336" s="55"/>
      <c r="AY336" s="56">
        <f>COUNTIFS(tblPiNAnalysis[[#This Row],[Número de PiN ausentes/cero superior al umbral - Calidad de los datos]:[Marcador manual]],"Flagged")</f>
        <v>2</v>
      </c>
      <c r="AZ336" s="34" t="str">
        <f>IF(tblPiNAnalysis[[#This Row],[Número de marcadores]]&gt;0, "Flagged", "")</f>
        <v>Flagged</v>
      </c>
      <c r="BA336" s="92">
        <f>tblPiNAnalysis[[#This Row],[PiN preliminar]]</f>
        <v>0</v>
      </c>
      <c r="BB336" s="97"/>
      <c r="BC336" s="70">
        <f>IFERROR(IF(tblPiNAnalysis[[#This Row],[Severidad]]=3,tblPiNAnalysis[[#This Row],[PiN final]]*Umbrales!$D$33,tblPiNAnalysis[[#This Row],[PiN final]]*Umbrales!$D$34),)</f>
        <v>0</v>
      </c>
      <c r="BD336" s="70">
        <f>IFERROR(IF(tblPiNAnalysis[[#This Row],[Severidad]]&gt;3,tblPiNAnalysis[[#This Row],[PiN final]]*Umbrales!$D$34,),)</f>
        <v>0</v>
      </c>
    </row>
    <row r="337" spans="1:56">
      <c r="A337" s="101" t="str">
        <f>IFERROR(_xlfn.CONCAT(IF(tblPiNAnalysis[[#This Row],[Grupo]]="", "",tblPiNAnalysis[[#This Row],[Grupo]] ),  _xlfn.IFS(tblPiNAnalysis[[#This Row],[Admin2PCODE]]&lt;&gt;"", tblPiNAnalysis[[#This Row],[Admin2PCODE]], tblPiNAnalysis[[#This Row],[Admin1PCODE]]&lt;&gt;"", tblPiNAnalysis[[#This Row],[Admin1PCODE]])),"")</f>
        <v>VenezolanosVE2214</v>
      </c>
      <c r="B337" s="105" t="s">
        <v>678</v>
      </c>
      <c r="C337" s="104" t="s">
        <v>679</v>
      </c>
      <c r="D337" s="119" t="s">
        <v>703</v>
      </c>
      <c r="E337" s="104" t="s">
        <v>704</v>
      </c>
      <c r="F337" s="358"/>
      <c r="G337" s="357">
        <v>28466</v>
      </c>
      <c r="H337" s="103" t="s">
        <v>102</v>
      </c>
      <c r="I337" s="60">
        <v>4744</v>
      </c>
      <c r="J337" s="134">
        <v>619.609644587086</v>
      </c>
      <c r="K337" s="57">
        <v>10390.09</v>
      </c>
      <c r="L337" s="87">
        <v>1742.9051091990448</v>
      </c>
      <c r="M337" s="87">
        <v>5658.6364528299455</v>
      </c>
      <c r="N337" s="57">
        <v>0</v>
      </c>
      <c r="O337" s="57">
        <v>1810.7636649055826</v>
      </c>
      <c r="P337" s="57">
        <v>1980.5227584904806</v>
      </c>
      <c r="Q337" s="88">
        <f>IFERROR(IF(tblPiNAnalysis[[#This Row],[SAMV]]="", "", MROUND(tblPiNAnalysis[[#This Row],[SAMV]]/tblPiNAnalysis[[#This Row],[Población]], 0.05)), "")</f>
        <v>0.15000000000000002</v>
      </c>
      <c r="R337" s="89">
        <f>IFERROR(IF(tblPiNAnalysis[[#This Row],[NUT]]="", "", MROUND(tblPiNAnalysis[[#This Row],[NUT]]/tblPiNAnalysis[[#This Row],[Población]], 0.05)), "")</f>
        <v>0</v>
      </c>
      <c r="S337" s="89">
        <f>IFERROR(IF(tblPiNAnalysis[[#This Row],[SAL]]="", "", MROUND(tblPiNAnalysis[[#This Row],[SAL]]/tblPiNAnalysis[[#This Row],[Población]], 0.05)), "")</f>
        <v>0.35000000000000003</v>
      </c>
      <c r="T337" s="89">
        <f>IFERROR(IF(tblPiNAnalysis[[#This Row],[EDU]]="", "", MROUND(tblPiNAnalysis[[#This Row],[EDU]]/tblPiNAnalysis[[#This Row],[Población]], 0.05)), "")</f>
        <v>0.05</v>
      </c>
      <c r="U337" s="89">
        <f>IFERROR(IF(tblPiNAnalysis[[#This Row],[PRO]]="", "", MROUND(tblPiNAnalysis[[#This Row],[PRO]]/tblPiNAnalysis[[#This Row],[Población]], 0.05)), "")</f>
        <v>0.2</v>
      </c>
      <c r="V337" s="90">
        <f>IFERROR(IF(tblPiNAnalysis[[#This Row],[ASH]]="", "", MROUND(tblPiNAnalysis[[#This Row],[ASH]]/tblPiNAnalysis[[#This Row],[Población]], 0.05)), "")</f>
        <v>0</v>
      </c>
      <c r="W337" s="89">
        <f>IFERROR(MROUND(tblPiNAnalysis[[#This Row],[NNA]]/tblPiNAnalysis[[#This Row],[Población]], 0.05), "")</f>
        <v>0.05</v>
      </c>
      <c r="X337" s="89">
        <f>IFERROR(MROUND(tblPiNAnalysis[[#This Row],[VBG]]/tblPiNAnalysis[[#This Row],[Población]], 0.05), "")</f>
        <v>0.05</v>
      </c>
      <c r="Y337" s="91">
        <f>IFERROR(LARGE(tblPiNAnalysis[[#This Row],[SAMV]:[ASH]], 1), "")</f>
        <v>10390.09</v>
      </c>
      <c r="Z337" s="92" t="str" cm="1">
        <f t="array" ref="Z337">IF(tblPiNAnalysis[[#This Row],[PiN más alto]]="", "", _xlfn.TEXTJOIN(CHAR(10), TRUE, IF(tblPiNAnalysis[[#This Row],[PiN más alto]]=tblPiNAnalysis[[#This Row],[SAMV]:[ASH]], tblPiNAnalysis[[#Headers],[SAMV]:[ASH]], "")))</f>
        <v>SAL</v>
      </c>
      <c r="AA337" s="93">
        <f>IF(tblPiNAnalysis[[#This Row],[PiN más alto]]="", "", tblPiNAnalysis[[#This Row],[PiN más alto]]/tblPiNAnalysis[[#This Row],[Población]])</f>
        <v>0.36499999999999999</v>
      </c>
      <c r="AB337" s="94" t="str">
        <f>IF(SUM(tblPiNAnalysis[[#This Row],[SAMV]:[ASH]])=0, "",IF(COUNTIF(tblPiNAnalysis[[#This Row],[SAMV]:[ASH]],"=0")+COUNTIF(tblPiNAnalysis[[#This Row],[SAMV]:[ASH]],"")&gt;=zero_pin_thresh, "Flagged", ""))</f>
        <v/>
      </c>
      <c r="AC337" s="95" t="str">
        <f>IFERROR(IF(tblPiNAnalysis[[#This Row],[PiN más alto]]="", "", IF(tblPiNAnalysis[[#This Row],[% PiN Sectores más altos]]&gt;=flag_pin_perc, "Flagged", "")), "")</f>
        <v/>
      </c>
      <c r="AD337" s="96" t="str" cm="1">
        <f t="array" ref="AD337">IF(tblPiNAnalysis[[#This Row],[PiN más alto]]=0, "",  IF(OR(COUNTIF(tblPiNAnalysis[[#This Row],[Sectores más altos]],tblSubSectorPopulation[Sector])), "Flagged", ""))</f>
        <v/>
      </c>
      <c r="AE337" s="16" cm="1">
        <f t="array" ref="AE337">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5658.6364528299455</v>
      </c>
      <c r="AF337" s="97" t="str" cm="1">
        <f t="array" ref="AF337">IF(tblPiNAnalysis[[#This Row],[2º PiN más alto]]="", "", _xlfn.TEXTJOIN(CHAR(10), TRUE, IF(tblPiNAnalysis[[#This Row],[2º PiN más alto]]=tblPiNAnalysis[[#This Row],[SAMV]:[ASH]], tblPiNAnalysis[[#Headers],[SAMV]:[ASH]], "")))</f>
        <v>PRO</v>
      </c>
      <c r="AG337" s="12">
        <f>IFERROR(tblPiNAnalysis[[#This Row],[2º PiN más alto]]/tblPiNAnalysis[[#This Row],[Población]], "")</f>
        <v>0.1987857954342003</v>
      </c>
      <c r="AH337" s="16">
        <f>IFERROR(tblPiNAnalysis[[#This Row],[PiN más alto]]-tblPiNAnalysis[[#This Row],[2º PiN más alto]], "")</f>
        <v>4731.4535471700547</v>
      </c>
      <c r="AI337" s="14">
        <f>IFERROR(((tblPiNAnalysis[[#This Row],[PiN más alto]]-tblPiNAnalysis[[#This Row],[2º PiN más alto]])/tblPiNAnalysis[[#This Row],[2º PiN más alto]]),"")</f>
        <v>0.83614729212791239</v>
      </c>
      <c r="AJ337" s="14" t="str" cm="1">
        <f t="array" ref="AJ337">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37" s="98" cm="1">
        <f t="array" ref="AK337">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4744</v>
      </c>
      <c r="AL337" s="53" t="str" cm="1">
        <f t="array" ref="AL337">IF(tblPiNAnalysis[[#This Row],[3º PiN más alto]]="", "", _xlfn.TEXTJOIN(CHAR(10), TRUE, IF(tblPiNAnalysis[[#This Row],[3º PiN más alto]]=tblPiNAnalysis[[#This Row],[SAMV]:[ASH]], tblPiNAnalysis[[#Headers],[SAMV]:[ASH]], "")))</f>
        <v>SAMV</v>
      </c>
      <c r="AM337" s="53">
        <f>IFERROR(tblPiNAnalysis[[#This Row],[3º PiN más alto]]/tblPiNAnalysis[[#This Row],[Población]], "")</f>
        <v>0.16665495679055717</v>
      </c>
      <c r="AN337" s="15">
        <f>IFERROR(tblPiNAnalysis[[#This Row],[PiN más alto]]-tblPiNAnalysis[[#This Row],[3º PiN más alto]],"")</f>
        <v>5646.09</v>
      </c>
      <c r="AO337" s="14">
        <f>IFERROR(tblPiNAnalysis[[#This Row],[Diferencia de PiN entre el más alto y el 3º más alto]]/tblPiNAnalysis[[#This Row],[3º PiN más alto]], "")</f>
        <v>1.190153878583474</v>
      </c>
      <c r="AP337" s="96" t="str" cm="1">
        <f t="array" ref="AP337">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37" s="84" cm="1">
        <f t="array" ref="AQ337">IFERROR(IF(tblPiNAnalysis[[#This Row],[ID]]="", "", INDEX(tblPiNHistorical[[SAMV]:[ASH]], MATCH(tblPiNAnalysis[[#This Row],[ID]],tblPiNHistorical[ID], 0),MATCH(_xlfn._xlws.FILTER(tblPiNAnalysis[[#Headers],[SAMV]:[ASH]], tblPiNAnalysis[[#This Row],[PiN más alto]]=tblPiNAnalysis[[#This Row],[SAMV]:[ASH]]), tblPiNHistorical[[#Headers],[SAMV]:[ASH]], 0))), "")</f>
        <v>-0.8</v>
      </c>
      <c r="AR337" s="99" t="str" cm="1">
        <f t="array" ref="AR337">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
      </c>
      <c r="AS337" s="74" cm="1">
        <f t="array" ref="AS337">IFERROR(IF(tblPiNAnalysis[[#This Row],[ID]]="", "", INDEX(tblPiNHistorical[[SAMV]:[ASH]], MATCH(tblPiNAnalysis[[#This Row],[ID]],tblPiNHistorical[ID], 0),MATCH(_xlfn._xlws.FILTER(tblPiNAnalysis[[#Headers],[SAMV]:[ASH]], tblPiNAnalysis[[#This Row],[2º PiN más alto]]=tblPiNAnalysis[[#This Row],[SAMV]:[ASH]]), tblPiNHistorical[[#Headers],[SAMV]:[ASH]], 0))), "")</f>
        <v>-1</v>
      </c>
      <c r="AT337" s="100" t="str" cm="1">
        <f t="array" ref="AT337">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Flagged</v>
      </c>
      <c r="AU337" s="219">
        <f>INDEX(tblSeverityAnalysis[Severidad final], MATCH(tblPiNAnalysis[[#This Row],[ID]],tblSeverityAnalysis[ID], 0))</f>
        <v>3</v>
      </c>
      <c r="AV337" s="220">
        <f>IF(tblPiNAnalysis[[#This Row],[Severidad]]&gt;2,tblPiNAnalysis[[#This Row],[PiN más alto]],)</f>
        <v>10390.09</v>
      </c>
      <c r="AW337" s="54"/>
      <c r="AX337" s="55"/>
      <c r="AY337" s="56">
        <f>COUNTIFS(tblPiNAnalysis[[#This Row],[Número de PiN ausentes/cero superior al umbral - Calidad de los datos]:[Marcador manual]],"Flagged")</f>
        <v>3</v>
      </c>
      <c r="AZ337" s="34" t="str">
        <f>IF(tblPiNAnalysis[[#This Row],[Número de marcadores]]&gt;0, "Flagged", "")</f>
        <v>Flagged</v>
      </c>
      <c r="BA337" s="92">
        <f>tblPiNAnalysis[[#This Row],[PiN preliminar]]</f>
        <v>10390.09</v>
      </c>
      <c r="BB337" s="97"/>
      <c r="BC337" s="70">
        <f>IFERROR(IF(tblPiNAnalysis[[#This Row],[Severidad]]=3,tblPiNAnalysis[[#This Row],[PiN final]]*Umbrales!$D$33,tblPiNAnalysis[[#This Row],[PiN final]]*Umbrales!$D$34),)</f>
        <v>5195.0450000000001</v>
      </c>
      <c r="BD337" s="70">
        <f>IFERROR(IF(tblPiNAnalysis[[#This Row],[Severidad]]&gt;3,tblPiNAnalysis[[#This Row],[PiN final]]*Umbrales!$D$34,),)</f>
        <v>0</v>
      </c>
    </row>
    <row r="338" spans="1:56">
      <c r="A338" s="101" t="str">
        <f>IFERROR(_xlfn.CONCAT(IF(tblPiNAnalysis[[#This Row],[Grupo]]="", "",tblPiNAnalysis[[#This Row],[Grupo]] ),  _xlfn.IFS(tblPiNAnalysis[[#This Row],[Admin2PCODE]]&lt;&gt;"", tblPiNAnalysis[[#This Row],[Admin2PCODE]], tblPiNAnalysis[[#This Row],[Admin1PCODE]]&lt;&gt;"", tblPiNAnalysis[[#This Row],[Admin1PCODE]])),"")</f>
        <v>VenezolanosVE2320</v>
      </c>
      <c r="B338" s="105" t="s">
        <v>705</v>
      </c>
      <c r="C338" s="104" t="s">
        <v>706</v>
      </c>
      <c r="D338" s="119" t="s">
        <v>203</v>
      </c>
      <c r="E338" s="104" t="s">
        <v>742</v>
      </c>
      <c r="F338" s="358"/>
      <c r="G338" s="357">
        <v>62202</v>
      </c>
      <c r="H338" s="103" t="s">
        <v>102</v>
      </c>
      <c r="I338" s="60">
        <v>691</v>
      </c>
      <c r="J338" s="134">
        <v>2649.657498886203</v>
      </c>
      <c r="K338" s="57">
        <v>22703.73</v>
      </c>
      <c r="L338" s="87">
        <v>8064.0540727214702</v>
      </c>
      <c r="M338" s="87">
        <v>14825.386229830176</v>
      </c>
      <c r="N338" s="57">
        <v>0</v>
      </c>
      <c r="O338" s="57">
        <v>4758.9489797754868</v>
      </c>
      <c r="P338" s="57">
        <v>5188.8851804405604</v>
      </c>
      <c r="Q338" s="88">
        <f>IFERROR(IF(tblPiNAnalysis[[#This Row],[SAMV]]="", "", MROUND(tblPiNAnalysis[[#This Row],[SAMV]]/tblPiNAnalysis[[#This Row],[Población]], 0.05)), "")</f>
        <v>0</v>
      </c>
      <c r="R338" s="89">
        <f>IFERROR(IF(tblPiNAnalysis[[#This Row],[NUT]]="", "", MROUND(tblPiNAnalysis[[#This Row],[NUT]]/tblPiNAnalysis[[#This Row],[Población]], 0.05)), "")</f>
        <v>0.05</v>
      </c>
      <c r="S338" s="89">
        <f>IFERROR(IF(tblPiNAnalysis[[#This Row],[SAL]]="", "", MROUND(tblPiNAnalysis[[#This Row],[SAL]]/tblPiNAnalysis[[#This Row],[Población]], 0.05)), "")</f>
        <v>0.35000000000000003</v>
      </c>
      <c r="T338" s="89">
        <f>IFERROR(IF(tblPiNAnalysis[[#This Row],[EDU]]="", "", MROUND(tblPiNAnalysis[[#This Row],[EDU]]/tblPiNAnalysis[[#This Row],[Población]], 0.05)), "")</f>
        <v>0.15000000000000002</v>
      </c>
      <c r="U338" s="89">
        <f>IFERROR(IF(tblPiNAnalysis[[#This Row],[PRO]]="", "", MROUND(tblPiNAnalysis[[#This Row],[PRO]]/tblPiNAnalysis[[#This Row],[Población]], 0.05)), "")</f>
        <v>0.25</v>
      </c>
      <c r="V338" s="90">
        <f>IFERROR(IF(tblPiNAnalysis[[#This Row],[ASH]]="", "", MROUND(tblPiNAnalysis[[#This Row],[ASH]]/tblPiNAnalysis[[#This Row],[Población]], 0.05)), "")</f>
        <v>0</v>
      </c>
      <c r="W338" s="89">
        <f>IFERROR(MROUND(tblPiNAnalysis[[#This Row],[NNA]]/tblPiNAnalysis[[#This Row],[Población]], 0.05), "")</f>
        <v>0.1</v>
      </c>
      <c r="X338" s="89">
        <f>IFERROR(MROUND(tblPiNAnalysis[[#This Row],[VBG]]/tblPiNAnalysis[[#This Row],[Población]], 0.05), "")</f>
        <v>0.1</v>
      </c>
      <c r="Y338" s="91">
        <f>IFERROR(LARGE(tblPiNAnalysis[[#This Row],[SAMV]:[ASH]], 1), "")</f>
        <v>22703.73</v>
      </c>
      <c r="Z338" s="92" t="str" cm="1">
        <f t="array" ref="Z338">IF(tblPiNAnalysis[[#This Row],[PiN más alto]]="", "", _xlfn.TEXTJOIN(CHAR(10), TRUE, IF(tblPiNAnalysis[[#This Row],[PiN más alto]]=tblPiNAnalysis[[#This Row],[SAMV]:[ASH]], tblPiNAnalysis[[#Headers],[SAMV]:[ASH]], "")))</f>
        <v>SAL</v>
      </c>
      <c r="AA338" s="93">
        <f>IF(tblPiNAnalysis[[#This Row],[PiN más alto]]="", "", tblPiNAnalysis[[#This Row],[PiN más alto]]/tblPiNAnalysis[[#This Row],[Población]])</f>
        <v>0.36499999999999999</v>
      </c>
      <c r="AB338" s="94" t="str">
        <f>IF(SUM(tblPiNAnalysis[[#This Row],[SAMV]:[ASH]])=0, "",IF(COUNTIF(tblPiNAnalysis[[#This Row],[SAMV]:[ASH]],"=0")+COUNTIF(tblPiNAnalysis[[#This Row],[SAMV]:[ASH]],"")&gt;=zero_pin_thresh, "Flagged", ""))</f>
        <v/>
      </c>
      <c r="AC338" s="95" t="str">
        <f>IFERROR(IF(tblPiNAnalysis[[#This Row],[PiN más alto]]="", "", IF(tblPiNAnalysis[[#This Row],[% PiN Sectores más altos]]&gt;=flag_pin_perc, "Flagged", "")), "")</f>
        <v/>
      </c>
      <c r="AD338" s="96" t="str" cm="1">
        <f t="array" ref="AD338">IF(tblPiNAnalysis[[#This Row],[PiN más alto]]=0, "",  IF(OR(COUNTIF(tblPiNAnalysis[[#This Row],[Sectores más altos]],tblSubSectorPopulation[Sector])), "Flagged", ""))</f>
        <v/>
      </c>
      <c r="AE338" s="16" cm="1">
        <f t="array" ref="AE338">IFERROR(_xlfn.IFS(tblPiNAnalysis[[#This Row],[PiN más alto]]="", "", LARGE(tblPiNAnalysis[[#This Row],[SAMV]:[ASH]], 2) &lt; tblPiNAnalysis[[#This Row],[PiN más alto]], LARGE(tblPiNAnalysis[[#This Row],[SAMV]:[ASH]], 2), LARGE(tblPiNAnalysis[[#This Row],[SAMV]:[ASH]], 3) &lt; tblPiNAnalysis[[#This Row],[PiN más alto]], LARGE(tblPiNAnalysis[[#This Row],[SAMV]:[ASH]], 3), LARGE(tblPiNAnalysis[[#This Row],[SAMV]:[ASH]], 4) &lt; tblPiNAnalysis[[#This Row],[PiN más alto]], LARGE(tblPiNAnalysis[[#This Row],[SAMV]:[ASH]], 4), LARGE(tblPiNAnalysis[[#This Row],[SAMV]:[ASH]], 5) &lt; tblPiNAnalysis[[#This Row],[PiN más alto]], LARGE(tblPiNAnalysis[[#This Row],[SAMV]:[ASH]], 5), LARGE(tblPiNAnalysis[[#This Row],[SAMV]:[ASH]], 6) &lt; tblPiNAnalysis[[#This Row],[PiN más alto]], LARGE(tblPiNAnalysis[[#This Row],[SAMV]:[ASH]], 6), LARGE(tblPiNAnalysis[[#This Row],[SAMV]:[ASH]], 7) &lt;tblPiNAnalysis[[#This Row],[PiN más alto]], LARGE(tblPiNAnalysis[[#This Row],[SAMV]:[ASH]], 7), LARGE(tblPiNAnalysis[[#This Row],[SAMV]:[ASH]], 8) &lt;= tblPiNAnalysis[[#This Row],[PiN más alto]], LARGE(tblPiNAnalysis[[#This Row],[SAMV]:[ASH]], 8)), "NA")</f>
        <v>14825.386229830176</v>
      </c>
      <c r="AF338" s="97" t="str" cm="1">
        <f t="array" ref="AF338">IF(tblPiNAnalysis[[#This Row],[2º PiN más alto]]="", "", _xlfn.TEXTJOIN(CHAR(10), TRUE, IF(tblPiNAnalysis[[#This Row],[2º PiN más alto]]=tblPiNAnalysis[[#This Row],[SAMV]:[ASH]], tblPiNAnalysis[[#Headers],[SAMV]:[ASH]], "")))</f>
        <v>PRO</v>
      </c>
      <c r="AG338" s="12">
        <f>IFERROR(tblPiNAnalysis[[#This Row],[2º PiN más alto]]/tblPiNAnalysis[[#This Row],[Población]], "")</f>
        <v>0.2383425971806401</v>
      </c>
      <c r="AH338" s="16">
        <f>IFERROR(tblPiNAnalysis[[#This Row],[PiN más alto]]-tblPiNAnalysis[[#This Row],[2º PiN más alto]], "")</f>
        <v>7878.343770169824</v>
      </c>
      <c r="AI338" s="14">
        <f>IFERROR(((tblPiNAnalysis[[#This Row],[PiN más alto]]-tblPiNAnalysis[[#This Row],[2º PiN más alto]])/tblPiNAnalysis[[#This Row],[2º PiN más alto]]),"")</f>
        <v>0.5314090066886622</v>
      </c>
      <c r="AJ338" s="14" t="str" cm="1">
        <f t="array" ref="AJ338">_xlfn.IFS(tblPiNAnalysis[[#This Row],[% Diferencia entre el más alto y el segundo más alto]]="", "", SUM(IF(IF(tblPiNAnalysis[[#This Row],[PiN más alto]]=tblPiNAnalysis[[#This Row],[SAMV]:[ASH]], tblPiNAnalysis[[#Headers],[SAMV]:[ASH]], "")&lt;&gt;"", 1, 0))&gt;1, "",tblPiNAnalysis[[#This Row],[% Diferencia entre el más alto y el segundo más alto]]&gt;=perc_1st_2nd, "Flagged", TRUE(), "")</f>
        <v>Flagged</v>
      </c>
      <c r="AK338" s="98" cm="1">
        <f t="array" ref="AK338">IFERROR(_xlfn.IFS(tblPiNAnalysis[[#This Row],[2º PiN más alto]]="", "", LARGE(tblPiNAnalysis[[#This Row],[SAMV]:[ASH]], 3) &lt; tblPiNAnalysis[[#This Row],[2º PiN más alto]], LARGE(tblPiNAnalysis[[#This Row],[SAMV]:[ASH]], 3), LARGE(tblPiNAnalysis[[#This Row],[SAMV]:[ASH]], 4) &lt; tblPiNAnalysis[[#This Row],[2º PiN más alto]], LARGE(tblPiNAnalysis[[#This Row],[SAMV]:[ASH]], 4), LARGE(tblPiNAnalysis[[#This Row],[SAMV]:[ASH]], 5) &lt; tblPiNAnalysis[[#This Row],[2º PiN más alto]], LARGE(tblPiNAnalysis[[#This Row],[SAMV]:[ASH]], 5), LARGE(tblPiNAnalysis[[#This Row],[SAMV]:[ASH]], 6) &lt; tblPiNAnalysis[[#This Row],[2º PiN más alto]], LARGE(tblPiNAnalysis[[#This Row],[SAMV]:[ASH]], 6), LARGE(tblPiNAnalysis[[#This Row],[SAMV]:[ASH]], 7) &lt;tblPiNAnalysis[[#This Row],[2º PiN más alto]], LARGE(tblPiNAnalysis[[#This Row],[SAMV]:[ASH]], 7), LARGE(tblPiNAnalysis[[#This Row],[SAMV]:[ASH]], 8) &lt;= tblPiNAnalysis[[#This Row],[2º PiN más alto]], LARGE(tblPiNAnalysis[[#This Row],[SAMV]:[ASH]], 8)), "NA")</f>
        <v>8064.0540727214702</v>
      </c>
      <c r="AL338" s="53" t="str" cm="1">
        <f t="array" ref="AL338">IF(tblPiNAnalysis[[#This Row],[3º PiN más alto]]="", "", _xlfn.TEXTJOIN(CHAR(10), TRUE, IF(tblPiNAnalysis[[#This Row],[3º PiN más alto]]=tblPiNAnalysis[[#This Row],[SAMV]:[ASH]], tblPiNAnalysis[[#Headers],[SAMV]:[ASH]], "")))</f>
        <v>EDU</v>
      </c>
      <c r="AM338" s="53">
        <f>IFERROR(tblPiNAnalysis[[#This Row],[3º PiN más alto]]/tblPiNAnalysis[[#This Row],[Población]], "")</f>
        <v>0.12964300300185638</v>
      </c>
      <c r="AN338" s="15">
        <f>IFERROR(tblPiNAnalysis[[#This Row],[PiN más alto]]-tblPiNAnalysis[[#This Row],[3º PiN más alto]],"")</f>
        <v>14639.675927278529</v>
      </c>
      <c r="AO338" s="14">
        <f>IFERROR(tblPiNAnalysis[[#This Row],[Diferencia de PiN entre el más alto y el 3º más alto]]/tblPiNAnalysis[[#This Row],[3º PiN más alto]], "")</f>
        <v>1.8154238296591565</v>
      </c>
      <c r="AP338" s="96" t="str" cm="1">
        <f t="array" ref="AP338">_xlfn.IFS(tblPiNAnalysis[[#This Row],[Diferencia de PiN entre el más alto y el 3º más alto]]="", "", SUM(IF(IF(tblPiNAnalysis[[#This Row],[PiN más alto]]=tblPiNAnalysis[[#This Row],[SAMV]:[ASH]], tblPiNAnalysis[[#Headers],[SAMV]:[ASH]], "")&lt;&gt;"", 1, 0))&gt;1, "",tblPiNAnalysis[[#This Row],[Porcentaje de diferencia entre el más alto y el 3º más alto]]&gt;=perc_1st_3rd, "Flagged", 1=1, "")</f>
        <v>Flagged</v>
      </c>
      <c r="AQ338" s="84" cm="1">
        <f t="array" ref="AQ338">IFERROR(IF(tblPiNAnalysis[[#This Row],[ID]]="", "", INDEX(tblPiNHistorical[[SAMV]:[ASH]], MATCH(tblPiNAnalysis[[#This Row],[ID]],tblPiNHistorical[ID], 0),MATCH(_xlfn._xlws.FILTER(tblPiNAnalysis[[#Headers],[SAMV]:[ASH]], tblPiNAnalysis[[#This Row],[PiN más alto]]=tblPiNAnalysis[[#This Row],[SAMV]:[ASH]]), tblPiNHistorical[[#Headers],[SAMV]:[ASH]], 0))), "")</f>
        <v>1.4</v>
      </c>
      <c r="AR338" s="99" t="str" cm="1">
        <f t="array" ref="AR338">IFERROR(IF(SUM(IF(ABS(INDEX(tblPiNHistorical[[SAMV]:[ASH]], MATCH(tblPiNAnalysis[[#This Row],[ID]],tblPiNHistorical[ID], 0),MATCH(_xlfn._xlws.FILTER(tblPiNAnalysis[[#Headers],[SAMV]:[ASH]], tblPiNAnalysis[[#This Row],[PiN más alto]]=tblPiNAnalysis[[#This Row],[SAMV]:[ASH]]), tblPiNHistorical[[#Headers],[SAMV]:[ASH]], 0)))&gt;=flag_pin_historical, 1, 0))&gt;0, "Flagged", ""), "")</f>
        <v>Flagged</v>
      </c>
      <c r="AS338" s="74" cm="1">
        <f t="array" ref="AS338">IFERROR(IF(tblPiNAnalysis[[#This Row],[ID]]="", "", INDEX(tblPiNHistorical[[SAMV]:[ASH]], MATCH(tblPiNAnalysis[[#This Row],[ID]],tblPiNHistorical[ID], 0),MATCH(_xlfn._xlws.FILTER(tblPiNAnalysis[[#Headers],[SAMV]:[ASH]], tblPiNAnalysis[[#This Row],[2º PiN más alto]]=tblPiNAnalysis[[#This Row],[SAMV]:[ASH]]), tblPiNHistorical[[#Headers],[SAMV]:[ASH]], 0))), "")</f>
        <v>-0.5</v>
      </c>
      <c r="AT338" s="100" t="str" cm="1">
        <f t="array" ref="AT338">IFERROR(IF(SUM(IF(ABS(INDEX(tblPiNHistorical[[SAMV]:[ASH]], MATCH(tblPiNAnalysis[[#This Row],[ID]],tblPiNHistorical[ID], 0),MATCH(_xlfn._xlws.FILTER(tblPiNAnalysis[[#Headers],[SAMV]:[ASH]], tblPiNAnalysis[[#This Row],[2º PiN más alto]]=tblPiNAnalysis[[#This Row],[SAMV]:[ASH]]), tblPiNHistorical[[#Headers],[SAMV]:[ASH]], 0)))&gt;=flag_pin_historical, 1, 0))&gt;0, "Flagged", ""), "")</f>
        <v/>
      </c>
      <c r="AU338" s="219">
        <f>INDEX(tblSeverityAnalysis[Severidad final], MATCH(tblPiNAnalysis[[#This Row],[ID]],tblSeverityAnalysis[ID], 0))</f>
        <v>3</v>
      </c>
      <c r="AV338" s="220">
        <f>IF(tblPiNAnalysis[[#This Row],[Severidad]]&gt;2,tblPiNAnalysis[[#This Row],[PiN más alto]],)</f>
        <v>22703.73</v>
      </c>
      <c r="AW338" s="54"/>
      <c r="AX338" s="55"/>
      <c r="AY338" s="56">
        <f>COUNTIFS(tblPiNAnalysis[[#This Row],[Número de PiN ausentes/cero superior al umbral - Calidad de los datos]:[Marcador manual]],"Flagged")</f>
        <v>3</v>
      </c>
      <c r="AZ338" s="34" t="str">
        <f>IF(tblPiNAnalysis[[#This Row],[Número de marcadores]]&gt;0, "Flagged", "")</f>
        <v>Flagged</v>
      </c>
      <c r="BA338" s="92">
        <f>tblPiNAnalysis[[#This Row],[PiN preliminar]]</f>
        <v>22703.73</v>
      </c>
      <c r="BB338" s="97"/>
      <c r="BC338" s="70">
        <f>IFERROR(IF(tblPiNAnalysis[[#This Row],[Severidad]]=3,tblPiNAnalysis[[#This Row],[PiN final]]*Umbrales!$D$33,tblPiNAnalysis[[#This Row],[PiN final]]*Umbrales!$D$34),)</f>
        <v>11351.865</v>
      </c>
      <c r="BD338" s="70">
        <f>IFERROR(IF(tblPiNAnalysis[[#This Row],[Severidad]]&gt;3,tblPiNAnalysis[[#This Row],[PiN final]]*Umbrales!$D$34,),)</f>
        <v>0</v>
      </c>
    </row>
    <row r="340" spans="1:56">
      <c r="A340" s="29"/>
      <c r="B340" s="35"/>
      <c r="C340" s="35"/>
      <c r="D340" s="35"/>
      <c r="E340" s="35"/>
      <c r="F340" s="35"/>
      <c r="G340" s="7"/>
      <c r="H340" s="7"/>
      <c r="J340" s="7"/>
      <c r="K340" s="7"/>
      <c r="L340" s="7"/>
      <c r="M340" s="7"/>
      <c r="N340" s="7"/>
      <c r="O340" s="7"/>
      <c r="P340" s="7"/>
      <c r="Q340" s="7"/>
      <c r="R340" s="7"/>
      <c r="S340" s="7"/>
      <c r="T340" s="7"/>
      <c r="U340" s="7"/>
      <c r="X340" s="7"/>
      <c r="Y340" s="7"/>
      <c r="Z340" s="7"/>
      <c r="AA340" s="7"/>
      <c r="AB340" s="5"/>
      <c r="AC340" s="7"/>
      <c r="AF340" s="5"/>
      <c r="AH340" s="5"/>
      <c r="AI340" s="5"/>
      <c r="AK340" s="267"/>
      <c r="AL340" s="5"/>
      <c r="AN340" s="5"/>
      <c r="AZ340" s="5"/>
      <c r="BA340" s="7"/>
    </row>
    <row r="341" spans="1:56">
      <c r="A341" s="29"/>
      <c r="B341" s="35"/>
      <c r="C341" s="35"/>
      <c r="D341" s="35"/>
      <c r="E341" s="35"/>
      <c r="F341" s="35"/>
      <c r="G341" s="7"/>
      <c r="H341" s="7"/>
      <c r="I341" s="6"/>
      <c r="J341" s="7"/>
      <c r="K341" s="7"/>
      <c r="L341" s="7"/>
      <c r="M341" s="7"/>
      <c r="N341" s="7"/>
      <c r="O341" s="7"/>
      <c r="P341" s="7"/>
      <c r="Q341" s="7"/>
      <c r="R341" s="7"/>
      <c r="S341" s="7"/>
      <c r="T341" s="7"/>
      <c r="U341" s="7"/>
      <c r="X341" s="7"/>
      <c r="Y341" s="7"/>
      <c r="Z341" s="7"/>
      <c r="AA341" s="7"/>
      <c r="AB341" s="5"/>
      <c r="AC341" s="7"/>
      <c r="AF341" s="5"/>
      <c r="AH341" s="5"/>
      <c r="AI341" s="5"/>
      <c r="AK341" s="267"/>
      <c r="AL341" s="5"/>
      <c r="AN341" s="5"/>
      <c r="AZ341" s="5"/>
      <c r="BA341" s="7"/>
    </row>
    <row r="343" spans="1:56">
      <c r="A343" s="29"/>
      <c r="B343" s="35"/>
      <c r="C343" s="35"/>
      <c r="D343" s="35"/>
      <c r="E343" s="35"/>
      <c r="F343" s="35"/>
      <c r="G343" s="7"/>
      <c r="H343" s="7"/>
      <c r="J343" s="7"/>
      <c r="K343" s="7">
        <f>SUM(K346:K680)</f>
        <v>10537415.136965143</v>
      </c>
      <c r="L343" s="7"/>
      <c r="M343" s="124">
        <v>6900000</v>
      </c>
      <c r="N343" s="7"/>
      <c r="O343" s="7">
        <f>K1</f>
        <v>10537415.136965141</v>
      </c>
      <c r="P343" s="7"/>
      <c r="Q343" s="7"/>
      <c r="R343" s="7"/>
      <c r="S343" s="7"/>
      <c r="T343" s="7"/>
      <c r="U343" s="7"/>
      <c r="X343" s="7"/>
      <c r="Y343" s="7"/>
      <c r="Z343" s="7"/>
      <c r="AA343" s="7"/>
      <c r="AB343" s="5"/>
      <c r="AC343" s="7"/>
      <c r="AF343" s="5"/>
      <c r="AH343" s="5"/>
      <c r="AI343" s="5"/>
      <c r="AK343" s="267"/>
      <c r="AL343" s="5"/>
      <c r="AN343" s="5"/>
      <c r="AZ343" s="5"/>
      <c r="BA343" s="7"/>
    </row>
    <row r="344" spans="1:56">
      <c r="A344" s="29"/>
      <c r="B344" s="35"/>
      <c r="C344" s="35"/>
      <c r="D344" s="35"/>
      <c r="E344" s="35"/>
      <c r="F344" s="35"/>
      <c r="G344" s="7"/>
      <c r="H344" s="7"/>
      <c r="J344" s="7"/>
      <c r="K344" s="7"/>
      <c r="L344" s="7"/>
      <c r="M344" s="7"/>
      <c r="N344" s="7"/>
      <c r="O344" s="7">
        <f>BA1</f>
        <v>9599374.3966150656</v>
      </c>
      <c r="P344" s="7"/>
      <c r="Q344" s="7"/>
      <c r="R344" s="7"/>
      <c r="S344" s="7"/>
      <c r="T344" s="7"/>
      <c r="U344" s="7"/>
      <c r="X344" s="7"/>
      <c r="Y344" s="7"/>
      <c r="Z344" s="7"/>
      <c r="AA344" s="7"/>
      <c r="AB344" s="5"/>
      <c r="AC344" s="7"/>
      <c r="AF344" s="5"/>
      <c r="AH344" s="5"/>
      <c r="AI344" s="5"/>
      <c r="AK344" s="267"/>
      <c r="AL344" s="5"/>
      <c r="AN344" s="5"/>
      <c r="AZ344" s="5"/>
      <c r="BA344" s="7"/>
    </row>
    <row r="345" spans="1:56" ht="15" thickBot="1">
      <c r="A345" s="29"/>
      <c r="B345" s="35"/>
      <c r="C345" s="35"/>
      <c r="D345" s="35"/>
      <c r="E345" s="35"/>
      <c r="F345" s="35"/>
      <c r="G345" s="7"/>
      <c r="H345" s="7"/>
      <c r="J345" s="7"/>
      <c r="K345" s="293" t="s">
        <v>94</v>
      </c>
      <c r="L345" s="7"/>
      <c r="M345" s="7"/>
      <c r="N345" s="7"/>
      <c r="O345" s="7"/>
      <c r="P345" s="7"/>
      <c r="Q345" s="7"/>
      <c r="R345" s="7"/>
      <c r="S345" s="7"/>
      <c r="T345" s="7"/>
      <c r="U345" s="7"/>
      <c r="X345" s="7"/>
      <c r="Y345" s="7"/>
      <c r="Z345" s="7"/>
      <c r="AA345" s="7"/>
      <c r="AB345" s="5"/>
      <c r="AC345" s="7"/>
      <c r="AF345" s="5"/>
      <c r="AH345" s="5"/>
      <c r="AI345" s="5"/>
      <c r="AK345" s="267"/>
      <c r="AL345" s="5"/>
      <c r="AN345" s="5"/>
      <c r="AZ345" s="5"/>
      <c r="BA345" s="7"/>
    </row>
    <row r="346" spans="1:56" ht="15" thickTop="1">
      <c r="A346" s="29"/>
      <c r="B346" s="35"/>
      <c r="C346" s="35"/>
      <c r="D346" s="35"/>
      <c r="E346" s="35"/>
      <c r="F346" s="35"/>
      <c r="G346" s="7"/>
      <c r="H346" s="7"/>
      <c r="J346" s="7"/>
      <c r="K346" s="57">
        <v>725544.08</v>
      </c>
      <c r="L346" s="7">
        <f>K346/$K$343</f>
        <v>6.8854085235267884E-2</v>
      </c>
      <c r="M346" s="7">
        <f>L346*$M$343</f>
        <v>475093.1881233484</v>
      </c>
      <c r="N346" s="7"/>
      <c r="O346" s="7"/>
      <c r="P346" s="7"/>
      <c r="Q346" s="7"/>
      <c r="R346" s="7"/>
      <c r="S346" s="7"/>
      <c r="T346" s="7"/>
      <c r="U346" s="7"/>
      <c r="X346" s="7"/>
      <c r="Y346" s="7"/>
      <c r="Z346" s="7"/>
      <c r="AA346" s="7"/>
      <c r="AB346" s="5"/>
      <c r="AC346" s="7"/>
      <c r="AF346" s="5"/>
      <c r="AH346" s="5"/>
      <c r="AI346" s="5"/>
      <c r="AK346" s="267"/>
      <c r="AL346" s="5"/>
      <c r="AN346" s="5"/>
      <c r="AZ346" s="5"/>
      <c r="BA346" s="7"/>
    </row>
    <row r="347" spans="1:56">
      <c r="A347" s="29"/>
      <c r="B347" s="35"/>
      <c r="C347" s="35"/>
      <c r="D347" s="35"/>
      <c r="E347" s="35"/>
      <c r="F347" s="35"/>
      <c r="G347" s="7"/>
      <c r="H347" s="7"/>
      <c r="J347" s="7"/>
      <c r="K347" s="57">
        <v>9100</v>
      </c>
      <c r="L347" s="7">
        <f t="shared" ref="L347:L410" si="0">K347/$K$343</f>
        <v>8.6358939851171798E-4</v>
      </c>
      <c r="M347" s="7">
        <f t="shared" ref="M347:M410" si="1">L347*$M$343</f>
        <v>5958.7668497308541</v>
      </c>
      <c r="N347" s="7"/>
      <c r="O347" s="7"/>
      <c r="P347" s="7"/>
      <c r="Q347" s="7"/>
      <c r="R347" s="7"/>
      <c r="S347" s="7"/>
      <c r="T347" s="7"/>
      <c r="U347" s="7"/>
      <c r="X347" s="7"/>
      <c r="Y347" s="7"/>
      <c r="Z347" s="7"/>
      <c r="AA347" s="7"/>
      <c r="AB347" s="5"/>
      <c r="AC347" s="7"/>
      <c r="AF347" s="5"/>
      <c r="AH347" s="5"/>
      <c r="AI347" s="5"/>
      <c r="AK347" s="267"/>
      <c r="AL347" s="5"/>
      <c r="AN347" s="5"/>
      <c r="AZ347" s="5"/>
      <c r="BA347" s="7"/>
    </row>
    <row r="348" spans="1:56">
      <c r="A348" s="29"/>
      <c r="B348" s="35"/>
      <c r="C348" s="35"/>
      <c r="D348" s="35"/>
      <c r="E348" s="35"/>
      <c r="F348" s="35"/>
      <c r="G348" s="7"/>
      <c r="H348" s="7"/>
      <c r="J348" s="7"/>
      <c r="K348" s="57">
        <v>7700</v>
      </c>
      <c r="L348" s="7">
        <f t="shared" si="0"/>
        <v>7.3072949104837671E-4</v>
      </c>
      <c r="M348" s="7">
        <f t="shared" si="1"/>
        <v>5042.0334882337993</v>
      </c>
      <c r="N348" s="7"/>
      <c r="O348" s="7"/>
      <c r="P348" s="7"/>
      <c r="Q348" s="7"/>
      <c r="R348" s="7"/>
      <c r="S348" s="7"/>
      <c r="T348" s="7"/>
      <c r="U348" s="7"/>
      <c r="X348" s="7"/>
      <c r="Y348" s="7"/>
      <c r="Z348" s="7"/>
      <c r="AA348" s="7"/>
      <c r="AB348" s="5"/>
      <c r="AC348" s="7"/>
      <c r="AF348" s="5"/>
      <c r="AH348" s="5"/>
      <c r="AI348" s="5"/>
      <c r="AK348" s="267"/>
      <c r="AL348" s="5"/>
      <c r="AN348" s="5"/>
      <c r="AZ348" s="5"/>
      <c r="BA348" s="7"/>
    </row>
    <row r="349" spans="1:56">
      <c r="A349" s="29"/>
      <c r="B349" s="35"/>
      <c r="C349" s="35"/>
      <c r="D349" s="35"/>
      <c r="E349" s="35"/>
      <c r="F349" s="35"/>
      <c r="G349" s="7"/>
      <c r="H349" s="7"/>
      <c r="J349" s="7"/>
      <c r="K349" s="57">
        <v>38900.605000000003</v>
      </c>
      <c r="L349" s="7">
        <f t="shared" si="0"/>
        <v>3.6916648432628496E-3</v>
      </c>
      <c r="M349" s="7">
        <f t="shared" si="1"/>
        <v>25472.487418513661</v>
      </c>
      <c r="N349" s="7"/>
      <c r="O349" s="7"/>
      <c r="P349" s="7"/>
      <c r="Q349" s="7"/>
      <c r="R349" s="7"/>
      <c r="S349" s="7"/>
      <c r="T349" s="7"/>
      <c r="U349" s="7"/>
      <c r="X349" s="7"/>
      <c r="Y349" s="7"/>
      <c r="Z349" s="7"/>
      <c r="AA349" s="7"/>
      <c r="AB349" s="5"/>
      <c r="AC349" s="7"/>
      <c r="AF349" s="5"/>
      <c r="AH349" s="5"/>
      <c r="AI349" s="5"/>
      <c r="AK349" s="267"/>
      <c r="AL349" s="5"/>
      <c r="AN349" s="5"/>
      <c r="AU349" s="295" t="s">
        <v>837</v>
      </c>
      <c r="AV349" t="s">
        <v>838</v>
      </c>
      <c r="AW349" t="s">
        <v>839</v>
      </c>
      <c r="AZ349" s="5"/>
      <c r="BA349" s="7"/>
    </row>
    <row r="350" spans="1:56">
      <c r="A350" s="29"/>
      <c r="B350" s="35"/>
      <c r="C350" s="35"/>
      <c r="D350" s="35"/>
      <c r="E350" s="35"/>
      <c r="F350" s="35"/>
      <c r="G350" s="7"/>
      <c r="H350" s="7"/>
      <c r="J350" s="7"/>
      <c r="K350" s="57">
        <v>7500</v>
      </c>
      <c r="L350" s="7">
        <f t="shared" si="0"/>
        <v>7.1174950426789948E-4</v>
      </c>
      <c r="M350" s="7">
        <f t="shared" si="1"/>
        <v>4911.0715794485068</v>
      </c>
      <c r="N350" s="7"/>
      <c r="O350" s="7"/>
      <c r="P350" s="7"/>
      <c r="Q350" s="7"/>
      <c r="R350" s="7"/>
      <c r="S350" s="7"/>
      <c r="T350" s="7"/>
      <c r="U350" s="7"/>
      <c r="X350" s="7"/>
      <c r="Y350" s="7"/>
      <c r="Z350" s="7"/>
      <c r="AA350" s="7"/>
      <c r="AB350" s="5"/>
      <c r="AC350" s="7"/>
      <c r="AF350" s="5"/>
      <c r="AH350" s="5"/>
      <c r="AI350" s="5"/>
      <c r="AK350" s="267"/>
      <c r="AL350" s="5"/>
      <c r="AN350" s="5"/>
      <c r="AU350" s="296">
        <v>5</v>
      </c>
      <c r="AV350">
        <v>2</v>
      </c>
      <c r="AW350" s="268">
        <v>43852.95</v>
      </c>
      <c r="AZ350" s="5"/>
      <c r="BA350" s="7"/>
    </row>
    <row r="351" spans="1:56">
      <c r="A351" s="29"/>
      <c r="B351" s="35"/>
      <c r="C351" s="35"/>
      <c r="D351" s="35"/>
      <c r="E351" s="35"/>
      <c r="F351" s="35"/>
      <c r="G351" s="7"/>
      <c r="H351" s="7"/>
      <c r="J351" s="7"/>
      <c r="K351" s="57">
        <v>1800</v>
      </c>
      <c r="L351" s="7">
        <f t="shared" si="0"/>
        <v>1.7081988102429587E-4</v>
      </c>
      <c r="M351" s="7">
        <f t="shared" si="1"/>
        <v>1178.6571790676414</v>
      </c>
      <c r="N351" s="7"/>
      <c r="O351" s="7"/>
      <c r="P351" s="7"/>
      <c r="Q351" s="7"/>
      <c r="R351" s="7"/>
      <c r="S351" s="7"/>
      <c r="T351" s="7"/>
      <c r="U351" s="7"/>
      <c r="X351" s="7"/>
      <c r="Y351" s="7"/>
      <c r="Z351" s="7"/>
      <c r="AA351" s="7"/>
      <c r="AB351" s="5"/>
      <c r="AC351" s="7"/>
      <c r="AF351" s="5"/>
      <c r="AH351" s="5"/>
      <c r="AI351" s="5"/>
      <c r="AK351" s="267"/>
      <c r="AL351" s="5"/>
      <c r="AN351" s="5"/>
      <c r="AU351" s="296">
        <v>4</v>
      </c>
      <c r="AV351">
        <v>31</v>
      </c>
      <c r="AW351" s="268">
        <v>1981006.1045541507</v>
      </c>
      <c r="AZ351" s="5"/>
      <c r="BA351" s="7"/>
    </row>
    <row r="352" spans="1:56">
      <c r="A352" s="29"/>
      <c r="B352" s="35"/>
      <c r="C352" s="35"/>
      <c r="D352" s="35"/>
      <c r="E352" s="35"/>
      <c r="F352" s="35"/>
      <c r="G352" s="7"/>
      <c r="H352" s="7"/>
      <c r="J352" s="7"/>
      <c r="K352" s="57">
        <v>2882.04</v>
      </c>
      <c r="L352" s="7">
        <f t="shared" si="0"/>
        <v>2.7350540550403427E-4</v>
      </c>
      <c r="M352" s="7">
        <f t="shared" si="1"/>
        <v>1887.1872979778366</v>
      </c>
      <c r="N352" s="7"/>
      <c r="O352" s="7"/>
      <c r="P352" s="7"/>
      <c r="Q352" s="7"/>
      <c r="R352" s="7"/>
      <c r="S352" s="7"/>
      <c r="T352" s="7"/>
      <c r="U352" s="7"/>
      <c r="X352" s="7"/>
      <c r="Y352" s="7"/>
      <c r="Z352" s="7"/>
      <c r="AA352" s="7"/>
      <c r="AB352" s="5"/>
      <c r="AC352" s="7"/>
      <c r="AF352" s="5"/>
      <c r="AH352" s="5"/>
      <c r="AI352" s="5"/>
      <c r="AK352" s="267"/>
      <c r="AL352" s="5"/>
      <c r="AN352" s="5"/>
      <c r="AU352" s="296">
        <v>3</v>
      </c>
      <c r="AV352">
        <v>196</v>
      </c>
      <c r="AW352" s="268">
        <v>6156036.9565181015</v>
      </c>
      <c r="AZ352" s="5"/>
      <c r="BA352" s="7"/>
    </row>
    <row r="353" spans="11:49">
      <c r="K353" s="57">
        <v>2000</v>
      </c>
      <c r="L353" s="7">
        <f t="shared" si="0"/>
        <v>1.8979986780477318E-4</v>
      </c>
      <c r="M353" s="7">
        <f t="shared" si="1"/>
        <v>1309.6190878529349</v>
      </c>
      <c r="N353" s="7"/>
      <c r="O353" s="7"/>
      <c r="P353" s="7"/>
      <c r="Q353" s="7"/>
      <c r="R353" s="7"/>
      <c r="S353" s="7"/>
      <c r="T353" s="7"/>
      <c r="U353" s="7"/>
      <c r="X353" s="7"/>
      <c r="Y353" s="7"/>
      <c r="Z353" s="7"/>
      <c r="AA353" s="7"/>
      <c r="AB353" s="5"/>
      <c r="AC353" s="7"/>
      <c r="AF353" s="5"/>
      <c r="AH353" s="5"/>
      <c r="AI353" s="5"/>
      <c r="AK353" s="267"/>
      <c r="AL353" s="5"/>
      <c r="AN353" s="5"/>
      <c r="AU353" s="296">
        <v>2</v>
      </c>
      <c r="AV353">
        <v>104</v>
      </c>
      <c r="AW353" s="268">
        <v>0</v>
      </c>
    </row>
    <row r="354" spans="11:49">
      <c r="K354" s="57">
        <v>45771.73</v>
      </c>
      <c r="L354" s="7">
        <f t="shared" si="0"/>
        <v>4.3437341515978854E-3</v>
      </c>
      <c r="M354" s="7">
        <f t="shared" si="1"/>
        <v>29971.765646025411</v>
      </c>
      <c r="N354" s="7"/>
      <c r="O354" s="7"/>
      <c r="P354" s="7"/>
      <c r="Q354" s="7"/>
      <c r="R354" s="7"/>
      <c r="S354" s="7"/>
      <c r="T354" s="7"/>
      <c r="U354" s="7"/>
      <c r="X354" s="7"/>
      <c r="Y354" s="7"/>
      <c r="Z354" s="7"/>
      <c r="AA354" s="7"/>
      <c r="AB354" s="5"/>
      <c r="AC354" s="7"/>
      <c r="AF354" s="5"/>
      <c r="AH354" s="5"/>
      <c r="AI354" s="5"/>
      <c r="AK354" s="267"/>
      <c r="AL354" s="5"/>
      <c r="AN354" s="5"/>
      <c r="AU354" s="296">
        <v>1</v>
      </c>
      <c r="AV354">
        <v>2</v>
      </c>
      <c r="AW354" s="268">
        <v>0</v>
      </c>
    </row>
    <row r="355" spans="11:49">
      <c r="K355" s="57">
        <v>10885.03</v>
      </c>
      <c r="L355" s="7">
        <f t="shared" si="0"/>
        <v>1.0329886275254952E-3</v>
      </c>
      <c r="M355" s="7">
        <f t="shared" si="1"/>
        <v>7127.6215299259165</v>
      </c>
      <c r="N355" s="7"/>
      <c r="O355" s="7"/>
      <c r="P355" s="7"/>
      <c r="Q355" s="7"/>
      <c r="R355" s="7"/>
      <c r="S355" s="7"/>
      <c r="T355" s="7"/>
      <c r="U355" s="7"/>
      <c r="X355" s="7"/>
      <c r="Y355" s="7"/>
      <c r="Z355" s="7"/>
      <c r="AA355" s="7"/>
      <c r="AB355" s="5"/>
      <c r="AC355" s="7"/>
      <c r="AF355" s="5"/>
      <c r="AH355" s="5"/>
      <c r="AI355" s="5"/>
      <c r="AK355" s="267"/>
      <c r="AL355" s="5"/>
      <c r="AN355" s="5"/>
      <c r="AU355" s="296" t="s">
        <v>840</v>
      </c>
      <c r="AV355">
        <v>335</v>
      </c>
      <c r="AW355" s="268">
        <v>8180896.0110722492</v>
      </c>
    </row>
    <row r="356" spans="11:49">
      <c r="K356" s="57">
        <v>12477.89</v>
      </c>
      <c r="L356" s="7">
        <f t="shared" si="0"/>
        <v>1.1841509362412507E-3</v>
      </c>
      <c r="M356" s="7">
        <f t="shared" si="1"/>
        <v>8170.6414600646294</v>
      </c>
      <c r="N356" s="7"/>
      <c r="O356" s="7"/>
      <c r="P356" s="7"/>
      <c r="Q356" s="7"/>
      <c r="R356" s="7"/>
      <c r="S356" s="7"/>
      <c r="T356" s="7"/>
      <c r="U356" s="7"/>
      <c r="X356" s="7"/>
      <c r="Y356" s="7"/>
      <c r="Z356" s="7"/>
      <c r="AA356" s="7"/>
      <c r="AB356" s="5"/>
      <c r="AC356" s="7"/>
      <c r="AF356" s="5"/>
      <c r="AH356" s="5"/>
      <c r="AI356" s="5"/>
      <c r="AK356" s="267"/>
      <c r="AL356" s="5"/>
      <c r="AN356" s="5"/>
      <c r="AV356"/>
    </row>
    <row r="357" spans="11:49">
      <c r="K357" s="57">
        <v>5600</v>
      </c>
      <c r="L357" s="7">
        <f t="shared" si="0"/>
        <v>5.3143962985336497E-4</v>
      </c>
      <c r="M357" s="7">
        <f t="shared" si="1"/>
        <v>3666.9334459882184</v>
      </c>
      <c r="N357" s="7"/>
      <c r="O357" s="7"/>
      <c r="P357" s="7"/>
      <c r="Q357" s="7"/>
      <c r="R357" s="7"/>
      <c r="S357" s="7"/>
      <c r="T357" s="7"/>
      <c r="U357" s="7"/>
      <c r="X357" s="7"/>
      <c r="Y357" s="7"/>
      <c r="Z357" s="7"/>
      <c r="AA357" s="7"/>
      <c r="AB357" s="5"/>
      <c r="AC357" s="7"/>
      <c r="AF357" s="5"/>
      <c r="AH357" s="5"/>
      <c r="AI357" s="5"/>
      <c r="AK357" s="267"/>
      <c r="AL357" s="5"/>
      <c r="AN357" s="5"/>
      <c r="AV357"/>
    </row>
    <row r="358" spans="11:49">
      <c r="K358" s="57">
        <v>16111.83</v>
      </c>
      <c r="L358" s="7">
        <f t="shared" si="0"/>
        <v>1.5290116020464893E-3</v>
      </c>
      <c r="M358" s="7">
        <f t="shared" si="1"/>
        <v>10550.180054120776</v>
      </c>
      <c r="N358" s="7"/>
      <c r="O358" s="7"/>
      <c r="P358" s="7"/>
      <c r="Q358" s="7"/>
      <c r="R358" s="7"/>
      <c r="S358" s="7"/>
      <c r="T358" s="7"/>
      <c r="U358" s="7"/>
      <c r="X358" s="7"/>
      <c r="Y358" s="7"/>
      <c r="Z358" s="7"/>
      <c r="AA358" s="7"/>
      <c r="AB358" s="5"/>
      <c r="AC358" s="7"/>
      <c r="AF358" s="5"/>
      <c r="AH358" s="5"/>
      <c r="AI358" s="5"/>
      <c r="AK358" s="267"/>
      <c r="AL358" s="5"/>
      <c r="AN358" s="5"/>
      <c r="AV358"/>
    </row>
    <row r="359" spans="11:49">
      <c r="K359" s="57">
        <v>11530.715</v>
      </c>
      <c r="L359" s="7">
        <f t="shared" si="0"/>
        <v>1.0942640913472576E-3</v>
      </c>
      <c r="M359" s="7">
        <f t="shared" si="1"/>
        <v>7550.4222302960779</v>
      </c>
      <c r="N359" s="7"/>
      <c r="O359" s="7"/>
      <c r="P359" s="7"/>
      <c r="Q359" s="7"/>
      <c r="R359" s="7"/>
      <c r="S359" s="7"/>
      <c r="T359" s="7"/>
      <c r="U359" s="7"/>
      <c r="X359" s="7"/>
      <c r="Y359" s="7"/>
      <c r="Z359" s="7"/>
      <c r="AA359" s="7"/>
      <c r="AB359" s="5"/>
      <c r="AC359" s="7"/>
      <c r="AF359" s="5"/>
      <c r="AH359" s="5"/>
      <c r="AI359" s="5"/>
      <c r="AK359" s="267"/>
      <c r="AL359" s="5"/>
      <c r="AN359" s="5"/>
      <c r="AV359"/>
    </row>
    <row r="360" spans="11:49">
      <c r="K360" s="57">
        <v>11204.405000000001</v>
      </c>
      <c r="L360" s="7">
        <f t="shared" si="0"/>
        <v>1.06329729391557E-3</v>
      </c>
      <c r="M360" s="7">
        <f t="shared" si="1"/>
        <v>7336.7513280174326</v>
      </c>
      <c r="N360" s="7"/>
      <c r="O360" s="7"/>
      <c r="P360" s="7"/>
      <c r="Q360" s="7"/>
      <c r="R360" s="7"/>
      <c r="S360" s="7"/>
      <c r="T360" s="7"/>
      <c r="U360" s="7"/>
      <c r="X360" s="7"/>
      <c r="Y360" s="7"/>
      <c r="Z360" s="7"/>
      <c r="AA360" s="7"/>
      <c r="AB360" s="5"/>
      <c r="AC360" s="7"/>
      <c r="AF360" s="5"/>
      <c r="AH360" s="5"/>
      <c r="AI360" s="5"/>
      <c r="AK360" s="267"/>
      <c r="AL360" s="5"/>
      <c r="AN360" s="5"/>
      <c r="AV360"/>
    </row>
    <row r="361" spans="11:49">
      <c r="K361" s="57">
        <v>91340.52</v>
      </c>
      <c r="L361" s="7">
        <f t="shared" si="0"/>
        <v>8.668209310609621E-3</v>
      </c>
      <c r="M361" s="7">
        <f t="shared" si="1"/>
        <v>59810.644243206385</v>
      </c>
      <c r="N361" s="7"/>
      <c r="O361" s="7"/>
      <c r="P361" s="7"/>
      <c r="Q361" s="7"/>
      <c r="R361" s="7"/>
      <c r="S361" s="7"/>
      <c r="T361" s="7"/>
      <c r="U361" s="7"/>
      <c r="X361" s="7"/>
      <c r="Y361" s="7"/>
      <c r="Z361" s="7"/>
      <c r="AA361" s="7"/>
      <c r="AB361" s="5"/>
      <c r="AC361" s="7"/>
      <c r="AF361" s="5"/>
      <c r="AH361" s="5"/>
      <c r="AI361" s="5"/>
      <c r="AK361" s="267"/>
      <c r="AL361" s="5"/>
      <c r="AN361" s="5"/>
      <c r="AV361"/>
    </row>
    <row r="362" spans="11:49">
      <c r="K362" s="57">
        <v>11200</v>
      </c>
      <c r="L362" s="7">
        <f t="shared" si="0"/>
        <v>1.0628792597067299E-3</v>
      </c>
      <c r="M362" s="7">
        <f t="shared" si="1"/>
        <v>7333.8668919764368</v>
      </c>
      <c r="N362" s="7"/>
      <c r="O362" s="7"/>
      <c r="P362" s="7"/>
      <c r="Q362" s="7"/>
      <c r="R362" s="7"/>
      <c r="S362" s="7"/>
      <c r="T362" s="7"/>
      <c r="U362" s="7"/>
      <c r="X362" s="7"/>
      <c r="Y362" s="7"/>
      <c r="Z362" s="7"/>
      <c r="AA362" s="7"/>
      <c r="AB362" s="5"/>
      <c r="AC362" s="7"/>
      <c r="AF362" s="5"/>
      <c r="AH362" s="5"/>
      <c r="AI362" s="5"/>
      <c r="AK362" s="267"/>
      <c r="AL362" s="5"/>
      <c r="AN362" s="5"/>
      <c r="AV362"/>
    </row>
    <row r="363" spans="11:49">
      <c r="K363" s="57">
        <v>14000</v>
      </c>
      <c r="L363" s="7">
        <f t="shared" si="0"/>
        <v>1.3285990746334123E-3</v>
      </c>
      <c r="M363" s="7">
        <f t="shared" si="1"/>
        <v>9167.3336149705447</v>
      </c>
      <c r="N363" s="7"/>
      <c r="O363" s="7"/>
      <c r="P363" s="7"/>
      <c r="Q363" s="7"/>
      <c r="R363" s="7"/>
      <c r="S363" s="7"/>
      <c r="T363" s="7"/>
      <c r="U363" s="7"/>
      <c r="X363" s="7"/>
      <c r="Y363" s="7"/>
      <c r="Z363" s="7"/>
      <c r="AA363" s="7"/>
      <c r="AB363" s="5"/>
      <c r="AC363" s="7"/>
      <c r="AF363" s="5"/>
      <c r="AH363" s="5"/>
      <c r="AI363" s="5"/>
      <c r="AK363" s="267"/>
      <c r="AL363" s="5"/>
      <c r="AN363" s="5"/>
      <c r="AV363"/>
    </row>
    <row r="364" spans="11:49">
      <c r="K364" s="57">
        <v>7000</v>
      </c>
      <c r="L364" s="7">
        <f t="shared" si="0"/>
        <v>6.6429953731670613E-4</v>
      </c>
      <c r="M364" s="7">
        <f t="shared" si="1"/>
        <v>4583.6668074852723</v>
      </c>
      <c r="N364" s="7"/>
      <c r="O364" s="7"/>
      <c r="P364" s="7"/>
      <c r="Q364" s="7"/>
      <c r="R364" s="7"/>
      <c r="S364" s="7"/>
      <c r="T364" s="7"/>
      <c r="U364" s="7"/>
      <c r="X364" s="7"/>
      <c r="Y364" s="7"/>
      <c r="Z364" s="7"/>
      <c r="AA364" s="7"/>
      <c r="AB364" s="5"/>
      <c r="AC364" s="7"/>
      <c r="AF364" s="5"/>
      <c r="AH364" s="5"/>
      <c r="AI364" s="5"/>
      <c r="AK364" s="267"/>
      <c r="AL364" s="5"/>
      <c r="AN364" s="5"/>
      <c r="AV364"/>
    </row>
    <row r="365" spans="11:49">
      <c r="K365" s="57">
        <v>18200</v>
      </c>
      <c r="L365" s="7">
        <f t="shared" si="0"/>
        <v>1.727178797023436E-3</v>
      </c>
      <c r="M365" s="7">
        <f t="shared" si="1"/>
        <v>11917.533699461708</v>
      </c>
      <c r="N365" s="7"/>
      <c r="O365" s="7"/>
      <c r="P365" s="7"/>
      <c r="Q365" s="7"/>
      <c r="R365" s="7"/>
      <c r="S365" s="7"/>
      <c r="T365" s="7"/>
      <c r="U365" s="7"/>
      <c r="X365" s="7"/>
      <c r="Y365" s="7"/>
      <c r="Z365" s="7"/>
      <c r="AA365" s="7"/>
      <c r="AB365" s="5"/>
      <c r="AC365" s="7"/>
      <c r="AF365" s="5"/>
      <c r="AH365" s="5"/>
      <c r="AI365" s="5"/>
      <c r="AK365" s="267"/>
      <c r="AL365" s="5"/>
      <c r="AN365" s="5"/>
      <c r="AV365"/>
    </row>
    <row r="366" spans="11:49">
      <c r="K366" s="57">
        <v>27293.24</v>
      </c>
      <c r="L366" s="7">
        <f t="shared" si="0"/>
        <v>2.5901266719819739E-3</v>
      </c>
      <c r="M366" s="7">
        <f t="shared" si="1"/>
        <v>17871.874036675621</v>
      </c>
      <c r="N366" s="7"/>
      <c r="O366" s="7"/>
      <c r="P366" s="7"/>
      <c r="Q366" s="7"/>
      <c r="R366" s="7"/>
      <c r="S366" s="7"/>
      <c r="T366" s="7"/>
      <c r="U366" s="7"/>
      <c r="X366" s="7"/>
      <c r="Y366" s="7"/>
      <c r="Z366" s="7"/>
      <c r="AA366" s="7"/>
      <c r="AB366" s="5"/>
      <c r="AC366" s="7"/>
      <c r="AF366" s="5"/>
      <c r="AH366" s="5"/>
      <c r="AI366" s="5"/>
      <c r="AK366" s="267"/>
      <c r="AL366" s="5"/>
      <c r="AN366" s="5"/>
      <c r="AV366"/>
    </row>
    <row r="367" spans="11:49">
      <c r="K367" s="57">
        <v>9800</v>
      </c>
      <c r="L367" s="7">
        <f t="shared" si="0"/>
        <v>9.3001935224338857E-4</v>
      </c>
      <c r="M367" s="7">
        <f t="shared" si="1"/>
        <v>6417.1335304793811</v>
      </c>
      <c r="N367" s="7"/>
      <c r="O367" s="7"/>
      <c r="P367" s="7"/>
      <c r="Q367" s="7"/>
      <c r="R367" s="7"/>
      <c r="S367" s="7"/>
      <c r="T367" s="7"/>
      <c r="U367" s="7"/>
      <c r="X367" s="7"/>
      <c r="Y367" s="7"/>
      <c r="Z367" s="7"/>
      <c r="AA367" s="7"/>
      <c r="AB367" s="5"/>
      <c r="AC367" s="7"/>
      <c r="AF367" s="5"/>
      <c r="AH367" s="5"/>
      <c r="AI367" s="5"/>
      <c r="AK367" s="267"/>
      <c r="AL367" s="5"/>
      <c r="AN367" s="5"/>
    </row>
    <row r="368" spans="11:49">
      <c r="K368" s="57">
        <v>28513.07</v>
      </c>
      <c r="L368" s="7">
        <f t="shared" si="0"/>
        <v>2.7058884583541221E-3</v>
      </c>
      <c r="M368" s="7">
        <f t="shared" si="1"/>
        <v>18670.630362643442</v>
      </c>
      <c r="N368" s="7"/>
      <c r="O368" s="7"/>
      <c r="P368" s="7"/>
      <c r="Q368" s="7"/>
      <c r="R368" s="7"/>
      <c r="S368" s="7"/>
      <c r="T368" s="7"/>
      <c r="U368" s="7"/>
      <c r="X368" s="7"/>
      <c r="Y368" s="7"/>
      <c r="Z368" s="7"/>
      <c r="AA368" s="7"/>
      <c r="AB368" s="5"/>
      <c r="AC368" s="7"/>
      <c r="AF368" s="5"/>
      <c r="AH368" s="5"/>
      <c r="AI368" s="5"/>
      <c r="AK368" s="267"/>
      <c r="AL368" s="5"/>
      <c r="AN368" s="5"/>
    </row>
    <row r="369" spans="11:13">
      <c r="K369" s="57">
        <v>3378.8049999999998</v>
      </c>
      <c r="L369" s="7">
        <f t="shared" si="0"/>
        <v>3.2064837116905332E-4</v>
      </c>
      <c r="M369" s="7">
        <f t="shared" si="1"/>
        <v>2212.4737610664679</v>
      </c>
    </row>
    <row r="370" spans="11:13">
      <c r="K370" s="57">
        <v>3592.6950000000002</v>
      </c>
      <c r="L370" s="7">
        <f t="shared" si="0"/>
        <v>3.4094651803143482E-4</v>
      </c>
      <c r="M370" s="7">
        <f t="shared" si="1"/>
        <v>2352.5309744169003</v>
      </c>
    </row>
    <row r="371" spans="11:13">
      <c r="K371" s="57">
        <v>157292.37</v>
      </c>
      <c r="L371" s="7">
        <f t="shared" si="0"/>
        <v>1.4927035516349735E-2</v>
      </c>
      <c r="M371" s="7">
        <f t="shared" si="1"/>
        <v>102996.54506281318</v>
      </c>
    </row>
    <row r="372" spans="11:13">
      <c r="K372" s="57">
        <v>68107.175000000003</v>
      </c>
      <c r="L372" s="7">
        <f t="shared" si="0"/>
        <v>6.4633664057782772E-3</v>
      </c>
      <c r="M372" s="7">
        <f t="shared" si="1"/>
        <v>44597.228199870115</v>
      </c>
    </row>
    <row r="373" spans="11:13">
      <c r="K373" s="57">
        <v>3645.9850000000001</v>
      </c>
      <c r="L373" s="7">
        <f t="shared" si="0"/>
        <v>3.4600373550909298E-4</v>
      </c>
      <c r="M373" s="7">
        <f t="shared" si="1"/>
        <v>2387.4257750127417</v>
      </c>
    </row>
    <row r="374" spans="11:13">
      <c r="K374" s="57">
        <v>14120.39</v>
      </c>
      <c r="L374" s="7">
        <f t="shared" si="0"/>
        <v>1.3400240776759206E-3</v>
      </c>
      <c r="M374" s="7">
        <f t="shared" si="1"/>
        <v>9246.1661359638529</v>
      </c>
    </row>
    <row r="375" spans="11:13">
      <c r="K375" s="57">
        <v>27200</v>
      </c>
      <c r="L375" s="7">
        <f t="shared" si="0"/>
        <v>2.5812782021449152E-3</v>
      </c>
      <c r="M375" s="7">
        <f t="shared" si="1"/>
        <v>17810.819594799916</v>
      </c>
    </row>
    <row r="376" spans="11:13">
      <c r="K376" s="57">
        <v>27300</v>
      </c>
      <c r="L376" s="7">
        <f t="shared" si="0"/>
        <v>2.5907681955351538E-3</v>
      </c>
      <c r="M376" s="7">
        <f t="shared" si="1"/>
        <v>17876.300549192561</v>
      </c>
    </row>
    <row r="377" spans="11:13">
      <c r="K377" s="57">
        <v>10278.764999999999</v>
      </c>
      <c r="L377" s="7">
        <f t="shared" si="0"/>
        <v>9.7545411909816465E-4</v>
      </c>
      <c r="M377" s="7">
        <f t="shared" si="1"/>
        <v>6730.6334217773365</v>
      </c>
    </row>
    <row r="378" spans="11:13">
      <c r="K378" s="57">
        <v>37370.89</v>
      </c>
      <c r="L378" s="7">
        <f t="shared" si="0"/>
        <v>3.5464949908733602E-3</v>
      </c>
      <c r="M378" s="7">
        <f t="shared" si="1"/>
        <v>24470.815437026187</v>
      </c>
    </row>
    <row r="379" spans="11:13">
      <c r="K379" s="57">
        <v>11200</v>
      </c>
      <c r="L379" s="7">
        <f t="shared" si="0"/>
        <v>1.0628792597067299E-3</v>
      </c>
      <c r="M379" s="7">
        <f t="shared" si="1"/>
        <v>7333.8668919764368</v>
      </c>
    </row>
    <row r="380" spans="11:13">
      <c r="K380" s="57">
        <v>12100</v>
      </c>
      <c r="L380" s="7">
        <f t="shared" si="0"/>
        <v>1.1482892002188778E-3</v>
      </c>
      <c r="M380" s="7">
        <f t="shared" si="1"/>
        <v>7923.1954815102563</v>
      </c>
    </row>
    <row r="381" spans="11:13">
      <c r="K381" s="57">
        <v>61633.9</v>
      </c>
      <c r="L381" s="7">
        <f t="shared" si="0"/>
        <v>5.8490530361463055E-3</v>
      </c>
      <c r="M381" s="7">
        <f t="shared" si="1"/>
        <v>40358.46594940951</v>
      </c>
    </row>
    <row r="382" spans="11:13">
      <c r="K382" s="57">
        <v>14200.325000000001</v>
      </c>
      <c r="L382" s="7">
        <f t="shared" si="0"/>
        <v>1.347609903892408E-3</v>
      </c>
      <c r="M382" s="7">
        <f t="shared" si="1"/>
        <v>9298.5083368576161</v>
      </c>
    </row>
    <row r="383" spans="11:13">
      <c r="K383" s="57">
        <v>6204.6350000000002</v>
      </c>
      <c r="L383" s="7">
        <f t="shared" si="0"/>
        <v>5.8881945138843442E-4</v>
      </c>
      <c r="M383" s="7">
        <f t="shared" si="1"/>
        <v>4062.8542145801975</v>
      </c>
    </row>
    <row r="384" spans="11:13">
      <c r="K384" s="57">
        <v>151950.23000000001</v>
      </c>
      <c r="L384" s="7">
        <f t="shared" si="0"/>
        <v>1.4420066783452441E-2</v>
      </c>
      <c r="M384" s="7">
        <f t="shared" si="1"/>
        <v>99498.460805821844</v>
      </c>
    </row>
    <row r="385" spans="11:13">
      <c r="K385" s="57">
        <v>12309.26</v>
      </c>
      <c r="L385" s="7">
        <f t="shared" si="0"/>
        <v>1.1681479603872912E-3</v>
      </c>
      <c r="M385" s="7">
        <f t="shared" si="1"/>
        <v>8060.2209266723094</v>
      </c>
    </row>
    <row r="386" spans="11:13">
      <c r="K386" s="57">
        <v>53558.64</v>
      </c>
      <c r="L386" s="7">
        <f t="shared" si="0"/>
        <v>5.0827113959017187E-3</v>
      </c>
      <c r="M386" s="7">
        <f t="shared" si="1"/>
        <v>35070.708631721856</v>
      </c>
    </row>
    <row r="387" spans="11:13">
      <c r="K387" s="57">
        <v>18212.404999999999</v>
      </c>
      <c r="L387" s="7">
        <f t="shared" si="0"/>
        <v>1.728356030703495E-3</v>
      </c>
      <c r="M387" s="7">
        <f t="shared" si="1"/>
        <v>11925.656611854116</v>
      </c>
    </row>
    <row r="388" spans="11:13">
      <c r="K388" s="57">
        <v>42683.1</v>
      </c>
      <c r="L388" s="7">
        <f t="shared" si="0"/>
        <v>4.0506233687489573E-3</v>
      </c>
      <c r="M388" s="7">
        <f t="shared" si="1"/>
        <v>27949.301244367805</v>
      </c>
    </row>
    <row r="389" spans="11:13">
      <c r="K389" s="57">
        <v>37269.055</v>
      </c>
      <c r="L389" s="7">
        <f t="shared" si="0"/>
        <v>3.5368308561044108E-3</v>
      </c>
      <c r="M389" s="7">
        <f t="shared" si="1"/>
        <v>24404.132907120435</v>
      </c>
    </row>
    <row r="390" spans="11:13">
      <c r="K390" s="57">
        <v>11100</v>
      </c>
      <c r="L390" s="7">
        <f t="shared" si="0"/>
        <v>1.0533892663164913E-3</v>
      </c>
      <c r="M390" s="7">
        <f t="shared" si="1"/>
        <v>7268.3859375837901</v>
      </c>
    </row>
    <row r="391" spans="11:13">
      <c r="K391" s="57">
        <v>8689.5550000000003</v>
      </c>
      <c r="L391" s="7">
        <f t="shared" si="0"/>
        <v>8.2463819514115295E-4</v>
      </c>
      <c r="M391" s="7">
        <f t="shared" si="1"/>
        <v>5690.0035464739558</v>
      </c>
    </row>
    <row r="392" spans="11:13">
      <c r="K392" s="57">
        <v>78758.97</v>
      </c>
      <c r="L392" s="7">
        <f t="shared" si="0"/>
        <v>7.4742210472200487E-3</v>
      </c>
      <c r="M392" s="7">
        <f t="shared" si="1"/>
        <v>51572.125225818338</v>
      </c>
    </row>
    <row r="393" spans="11:13">
      <c r="K393" s="57">
        <v>14396.33</v>
      </c>
      <c r="L393" s="7">
        <f t="shared" si="0"/>
        <v>1.3662107654369452E-3</v>
      </c>
      <c r="M393" s="7">
        <f t="shared" si="1"/>
        <v>9426.8542815149231</v>
      </c>
    </row>
    <row r="394" spans="11:13">
      <c r="K394" s="57">
        <v>42740.404999999999</v>
      </c>
      <c r="L394" s="7">
        <f t="shared" si="0"/>
        <v>4.0560616094612338E-3</v>
      </c>
      <c r="M394" s="7">
        <f t="shared" si="1"/>
        <v>27986.825105282514</v>
      </c>
    </row>
    <row r="395" spans="11:13">
      <c r="K395" s="57">
        <v>6300</v>
      </c>
      <c r="L395" s="7">
        <f t="shared" si="0"/>
        <v>5.9786958358503555E-4</v>
      </c>
      <c r="M395" s="7">
        <f t="shared" si="1"/>
        <v>4125.3001267367454</v>
      </c>
    </row>
    <row r="396" spans="11:13">
      <c r="K396" s="57">
        <v>8400</v>
      </c>
      <c r="L396" s="7">
        <f t="shared" si="0"/>
        <v>7.971594447800474E-4</v>
      </c>
      <c r="M396" s="7">
        <f t="shared" si="1"/>
        <v>5500.4001689823272</v>
      </c>
    </row>
    <row r="397" spans="11:13">
      <c r="K397" s="57">
        <v>54030.584999999999</v>
      </c>
      <c r="L397" s="7">
        <f t="shared" si="0"/>
        <v>5.1274989452072808E-3</v>
      </c>
      <c r="M397" s="7">
        <f t="shared" si="1"/>
        <v>35379.742721930241</v>
      </c>
    </row>
    <row r="398" spans="11:13">
      <c r="K398" s="57">
        <v>45953.864999999998</v>
      </c>
      <c r="L398" s="7">
        <f t="shared" si="0"/>
        <v>4.3610187510591961E-3</v>
      </c>
      <c r="M398" s="7">
        <f t="shared" si="1"/>
        <v>30091.029382308454</v>
      </c>
    </row>
    <row r="399" spans="11:13">
      <c r="K399" s="57">
        <v>5200</v>
      </c>
      <c r="L399" s="7">
        <f t="shared" si="0"/>
        <v>4.9347965629241029E-4</v>
      </c>
      <c r="M399" s="7">
        <f t="shared" si="1"/>
        <v>3405.0096284176311</v>
      </c>
    </row>
    <row r="400" spans="11:13">
      <c r="K400" s="57">
        <v>21900</v>
      </c>
      <c r="L400" s="7">
        <f t="shared" si="0"/>
        <v>2.0783085524622665E-3</v>
      </c>
      <c r="M400" s="7">
        <f t="shared" si="1"/>
        <v>14340.329011989639</v>
      </c>
    </row>
    <row r="401" spans="11:13">
      <c r="K401" s="57">
        <v>30480.055</v>
      </c>
      <c r="L401" s="7">
        <f t="shared" si="0"/>
        <v>2.8925552048411078E-3</v>
      </c>
      <c r="M401" s="7">
        <f t="shared" si="1"/>
        <v>19958.630913403646</v>
      </c>
    </row>
    <row r="402" spans="11:13">
      <c r="K402" s="57">
        <v>11200</v>
      </c>
      <c r="L402" s="7">
        <f t="shared" si="0"/>
        <v>1.0628792597067299E-3</v>
      </c>
      <c r="M402" s="7">
        <f t="shared" si="1"/>
        <v>7333.8668919764368</v>
      </c>
    </row>
    <row r="403" spans="11:13">
      <c r="K403" s="57">
        <v>132073.06</v>
      </c>
      <c r="L403" s="7">
        <f t="shared" si="0"/>
        <v>1.2533724664285938E-2</v>
      </c>
      <c r="M403" s="7">
        <f t="shared" si="1"/>
        <v>86482.700183572975</v>
      </c>
    </row>
    <row r="404" spans="11:13">
      <c r="K404" s="57">
        <v>47700</v>
      </c>
      <c r="L404" s="7">
        <f t="shared" si="0"/>
        <v>4.5267268471438403E-3</v>
      </c>
      <c r="M404" s="7">
        <f t="shared" si="1"/>
        <v>31234.415245292497</v>
      </c>
    </row>
    <row r="405" spans="11:13">
      <c r="K405" s="57">
        <v>21000</v>
      </c>
      <c r="L405" s="7">
        <f t="shared" si="0"/>
        <v>1.9928986119501185E-3</v>
      </c>
      <c r="M405" s="7">
        <f t="shared" si="1"/>
        <v>13751.000422455818</v>
      </c>
    </row>
    <row r="406" spans="11:13">
      <c r="K406" s="57">
        <v>19997.255000000001</v>
      </c>
      <c r="L406" s="7">
        <f t="shared" si="0"/>
        <v>1.8977381777291699E-3</v>
      </c>
      <c r="M406" s="7">
        <f t="shared" si="1"/>
        <v>13094.393426331271</v>
      </c>
    </row>
    <row r="407" spans="11:13">
      <c r="K407" s="57">
        <v>13995.56</v>
      </c>
      <c r="L407" s="7">
        <f t="shared" si="0"/>
        <v>1.3281777189268857E-3</v>
      </c>
      <c r="M407" s="7">
        <f t="shared" si="1"/>
        <v>9164.4262605955118</v>
      </c>
    </row>
    <row r="408" spans="11:13">
      <c r="K408" s="57">
        <v>24408.645</v>
      </c>
      <c r="L408" s="7">
        <f t="shared" si="0"/>
        <v>2.3163787971468191E-3</v>
      </c>
      <c r="M408" s="7">
        <f t="shared" si="1"/>
        <v>15983.013700313051</v>
      </c>
    </row>
    <row r="409" spans="11:13">
      <c r="K409" s="57">
        <v>18900</v>
      </c>
      <c r="L409" s="7">
        <f t="shared" si="0"/>
        <v>1.7936087507551067E-3</v>
      </c>
      <c r="M409" s="7">
        <f t="shared" si="1"/>
        <v>12375.900380210236</v>
      </c>
    </row>
    <row r="410" spans="11:13">
      <c r="K410" s="57">
        <v>11200</v>
      </c>
      <c r="L410" s="7">
        <f t="shared" si="0"/>
        <v>1.0628792597067299E-3</v>
      </c>
      <c r="M410" s="7">
        <f t="shared" si="1"/>
        <v>7333.8668919764368</v>
      </c>
    </row>
    <row r="411" spans="11:13">
      <c r="K411" s="57">
        <v>9800</v>
      </c>
      <c r="L411" s="7">
        <f t="shared" ref="L411:L474" si="2">K411/$K$343</f>
        <v>9.3001935224338857E-4</v>
      </c>
      <c r="M411" s="7">
        <f t="shared" ref="M411:M474" si="3">L411*$M$343</f>
        <v>6417.1335304793811</v>
      </c>
    </row>
    <row r="412" spans="11:13">
      <c r="K412" s="57">
        <v>263785.86499999999</v>
      </c>
      <c r="L412" s="7">
        <f t="shared" si="2"/>
        <v>2.5033261152883873E-2</v>
      </c>
      <c r="M412" s="7">
        <f t="shared" si="3"/>
        <v>172729.50195489873</v>
      </c>
    </row>
    <row r="413" spans="11:13">
      <c r="K413" s="57">
        <v>38500</v>
      </c>
      <c r="L413" s="7">
        <f t="shared" si="2"/>
        <v>3.653647455241884E-3</v>
      </c>
      <c r="M413" s="7">
        <f t="shared" si="3"/>
        <v>25210.167441169</v>
      </c>
    </row>
    <row r="414" spans="11:13">
      <c r="K414" s="57">
        <v>8125.9949999999999</v>
      </c>
      <c r="L414" s="7">
        <f t="shared" si="2"/>
        <v>7.711563883911239E-4</v>
      </c>
      <c r="M414" s="7">
        <f t="shared" si="3"/>
        <v>5320.9790798987551</v>
      </c>
    </row>
    <row r="415" spans="11:13">
      <c r="K415" s="57">
        <v>22400</v>
      </c>
      <c r="L415" s="7">
        <f t="shared" si="2"/>
        <v>2.1257585194134599E-3</v>
      </c>
      <c r="M415" s="7">
        <f t="shared" si="3"/>
        <v>14667.733783952874</v>
      </c>
    </row>
    <row r="416" spans="11:13">
      <c r="K416" s="57">
        <v>127753.65</v>
      </c>
      <c r="L416" s="7">
        <f t="shared" si="2"/>
        <v>1.212381294078863E-2</v>
      </c>
      <c r="M416" s="7">
        <f t="shared" si="3"/>
        <v>83654.309291441547</v>
      </c>
    </row>
    <row r="417" spans="11:13">
      <c r="K417" s="57">
        <v>36678.120000000003</v>
      </c>
      <c r="L417" s="7">
        <f t="shared" si="2"/>
        <v>3.4807511636638041E-3</v>
      </c>
      <c r="M417" s="7">
        <f t="shared" si="3"/>
        <v>24017.183029280248</v>
      </c>
    </row>
    <row r="418" spans="11:13">
      <c r="K418" s="57">
        <v>28000</v>
      </c>
      <c r="L418" s="7">
        <f t="shared" si="2"/>
        <v>2.6571981492668245E-3</v>
      </c>
      <c r="M418" s="7">
        <f t="shared" si="3"/>
        <v>18334.667229941089</v>
      </c>
    </row>
    <row r="419" spans="11:13">
      <c r="K419" s="57">
        <v>8120.52</v>
      </c>
      <c r="L419" s="7">
        <f t="shared" si="2"/>
        <v>7.7063681125300845E-4</v>
      </c>
      <c r="M419" s="7">
        <f t="shared" si="3"/>
        <v>5317.3939976457586</v>
      </c>
    </row>
    <row r="420" spans="11:13">
      <c r="K420" s="57">
        <v>38767</v>
      </c>
      <c r="L420" s="7">
        <f t="shared" si="2"/>
        <v>3.6789857375938212E-3</v>
      </c>
      <c r="M420" s="7">
        <f t="shared" si="3"/>
        <v>25385.001589397365</v>
      </c>
    </row>
    <row r="421" spans="11:13">
      <c r="K421" s="57">
        <v>18200</v>
      </c>
      <c r="L421" s="7">
        <f t="shared" si="2"/>
        <v>1.727178797023436E-3</v>
      </c>
      <c r="M421" s="7">
        <f t="shared" si="3"/>
        <v>11917.533699461708</v>
      </c>
    </row>
    <row r="422" spans="11:13">
      <c r="K422" s="57">
        <v>6300</v>
      </c>
      <c r="L422" s="7">
        <f t="shared" si="2"/>
        <v>5.9786958358503555E-4</v>
      </c>
      <c r="M422" s="7">
        <f t="shared" si="3"/>
        <v>4125.3001267367454</v>
      </c>
    </row>
    <row r="423" spans="11:13">
      <c r="K423" s="57">
        <v>18115.314999999999</v>
      </c>
      <c r="L423" s="7">
        <f t="shared" si="2"/>
        <v>1.7191421961209124E-3</v>
      </c>
      <c r="M423" s="7">
        <f t="shared" si="3"/>
        <v>11862.081153234296</v>
      </c>
    </row>
    <row r="424" spans="11:13">
      <c r="K424" s="57">
        <v>56087.724999999999</v>
      </c>
      <c r="L424" s="7">
        <f t="shared" si="2"/>
        <v>5.3227213952352359E-3</v>
      </c>
      <c r="M424" s="7">
        <f t="shared" si="3"/>
        <v>36726.777627123127</v>
      </c>
    </row>
    <row r="425" spans="11:13">
      <c r="K425" s="57">
        <v>39015.945</v>
      </c>
      <c r="L425" s="7">
        <f t="shared" si="2"/>
        <v>3.7026106016391507E-3</v>
      </c>
      <c r="M425" s="7">
        <f t="shared" si="3"/>
        <v>25548.013151310141</v>
      </c>
    </row>
    <row r="426" spans="11:13">
      <c r="K426" s="57">
        <v>65773</v>
      </c>
      <c r="L426" s="7">
        <f t="shared" si="2"/>
        <v>6.2418533525616738E-3</v>
      </c>
      <c r="M426" s="7">
        <f t="shared" si="3"/>
        <v>43068.788132675552</v>
      </c>
    </row>
    <row r="427" spans="11:13">
      <c r="K427" s="57">
        <v>25842</v>
      </c>
      <c r="L427" s="7">
        <f t="shared" si="2"/>
        <v>2.4524040919054742E-3</v>
      </c>
      <c r="M427" s="7">
        <f t="shared" si="3"/>
        <v>16921.58823414777</v>
      </c>
    </row>
    <row r="428" spans="11:13">
      <c r="K428" s="57">
        <v>62017.88</v>
      </c>
      <c r="L428" s="7">
        <f t="shared" si="2"/>
        <v>5.885492712766143E-3</v>
      </c>
      <c r="M428" s="7">
        <f t="shared" si="3"/>
        <v>40609.899718086388</v>
      </c>
    </row>
    <row r="429" spans="11:13">
      <c r="K429" s="57">
        <v>55838.794999999998</v>
      </c>
      <c r="L429" s="7">
        <f t="shared" si="2"/>
        <v>5.2990979546889147E-3</v>
      </c>
      <c r="M429" s="7">
        <f t="shared" si="3"/>
        <v>36563.775887353513</v>
      </c>
    </row>
    <row r="430" spans="11:13">
      <c r="K430" s="57">
        <v>10858.385</v>
      </c>
      <c r="L430" s="7">
        <f t="shared" si="2"/>
        <v>1.030460018786666E-3</v>
      </c>
      <c r="M430" s="7">
        <f t="shared" si="3"/>
        <v>7110.1741296279952</v>
      </c>
    </row>
    <row r="431" spans="11:13">
      <c r="K431" s="57">
        <v>9295.82</v>
      </c>
      <c r="L431" s="7">
        <f t="shared" si="2"/>
        <v>8.8217270356848328E-4</v>
      </c>
      <c r="M431" s="7">
        <f t="shared" si="3"/>
        <v>6086.991654622535</v>
      </c>
    </row>
    <row r="432" spans="11:13">
      <c r="K432" s="57">
        <v>58761.714999999997</v>
      </c>
      <c r="L432" s="7">
        <f t="shared" si="2"/>
        <v>5.5764828694908784E-3</v>
      </c>
      <c r="M432" s="7">
        <f t="shared" si="3"/>
        <v>38477.731799487061</v>
      </c>
    </row>
    <row r="433" spans="11:13">
      <c r="K433" s="57">
        <v>68117.03</v>
      </c>
      <c r="L433" s="7">
        <f t="shared" si="2"/>
        <v>6.4643016446268844E-3</v>
      </c>
      <c r="M433" s="7">
        <f t="shared" si="3"/>
        <v>44603.6813479255</v>
      </c>
    </row>
    <row r="434" spans="11:13">
      <c r="K434" s="57">
        <v>34808.955000000002</v>
      </c>
      <c r="L434" s="7">
        <f t="shared" si="2"/>
        <v>3.3033675287111493E-3</v>
      </c>
      <c r="M434" s="7">
        <f t="shared" si="3"/>
        <v>22793.235948106929</v>
      </c>
    </row>
    <row r="435" spans="11:13">
      <c r="K435" s="57">
        <v>23934.875</v>
      </c>
      <c r="L435" s="7">
        <f t="shared" si="2"/>
        <v>2.2714180554618854E-3</v>
      </c>
      <c r="M435" s="7">
        <f t="shared" si="3"/>
        <v>15672.784582687009</v>
      </c>
    </row>
    <row r="436" spans="11:13">
      <c r="K436" s="57">
        <v>309735.34999999998</v>
      </c>
      <c r="L436" s="7">
        <f t="shared" si="2"/>
        <v>2.9393864242232576E-2</v>
      </c>
      <c r="M436" s="7">
        <f t="shared" si="3"/>
        <v>202817.66327140477</v>
      </c>
    </row>
    <row r="437" spans="11:13">
      <c r="K437" s="57">
        <v>7700</v>
      </c>
      <c r="L437" s="7">
        <f t="shared" si="2"/>
        <v>7.3072949104837671E-4</v>
      </c>
      <c r="M437" s="7">
        <f t="shared" si="3"/>
        <v>5042.0334882337993</v>
      </c>
    </row>
    <row r="438" spans="11:13">
      <c r="K438" s="57">
        <v>36460.945</v>
      </c>
      <c r="L438" s="7">
        <f t="shared" si="2"/>
        <v>3.4601412705185528E-3</v>
      </c>
      <c r="M438" s="7">
        <f t="shared" si="3"/>
        <v>23874.974766578016</v>
      </c>
    </row>
    <row r="439" spans="11:13">
      <c r="K439" s="57">
        <v>5600</v>
      </c>
      <c r="L439" s="7">
        <f t="shared" si="2"/>
        <v>5.3143962985336497E-4</v>
      </c>
      <c r="M439" s="7">
        <f t="shared" si="3"/>
        <v>3666.9334459882184</v>
      </c>
    </row>
    <row r="440" spans="11:13">
      <c r="K440" s="57">
        <v>6300</v>
      </c>
      <c r="L440" s="7">
        <f t="shared" si="2"/>
        <v>5.9786958358503555E-4</v>
      </c>
      <c r="M440" s="7">
        <f t="shared" si="3"/>
        <v>4125.3001267367454</v>
      </c>
    </row>
    <row r="441" spans="11:13">
      <c r="K441" s="57">
        <v>11200</v>
      </c>
      <c r="L441" s="7">
        <f t="shared" si="2"/>
        <v>1.0628792597067299E-3</v>
      </c>
      <c r="M441" s="7">
        <f t="shared" si="3"/>
        <v>7333.8668919764368</v>
      </c>
    </row>
    <row r="442" spans="11:13">
      <c r="K442" s="57">
        <v>7700</v>
      </c>
      <c r="L442" s="7">
        <f t="shared" si="2"/>
        <v>7.3072949104837671E-4</v>
      </c>
      <c r="M442" s="7">
        <f t="shared" si="3"/>
        <v>5042.0334882337993</v>
      </c>
    </row>
    <row r="443" spans="11:13">
      <c r="K443" s="57">
        <v>7700</v>
      </c>
      <c r="L443" s="7">
        <f t="shared" si="2"/>
        <v>7.3072949104837671E-4</v>
      </c>
      <c r="M443" s="7">
        <f t="shared" si="3"/>
        <v>5042.0334882337993</v>
      </c>
    </row>
    <row r="444" spans="11:13">
      <c r="K444" s="57">
        <v>39845.955000000002</v>
      </c>
      <c r="L444" s="7">
        <f t="shared" si="2"/>
        <v>3.7813784957774709E-3</v>
      </c>
      <c r="M444" s="7">
        <f t="shared" si="3"/>
        <v>26091.511620864549</v>
      </c>
    </row>
    <row r="445" spans="11:13">
      <c r="K445" s="57">
        <v>12153.405000000001</v>
      </c>
      <c r="L445" s="7">
        <f t="shared" si="2"/>
        <v>1.1533573311889348E-3</v>
      </c>
      <c r="M445" s="7">
        <f t="shared" si="3"/>
        <v>7958.1655852036502</v>
      </c>
    </row>
    <row r="446" spans="11:13">
      <c r="K446" s="57">
        <v>22400</v>
      </c>
      <c r="L446" s="7">
        <f t="shared" si="2"/>
        <v>2.1257585194134599E-3</v>
      </c>
      <c r="M446" s="7">
        <f t="shared" si="3"/>
        <v>14667.733783952874</v>
      </c>
    </row>
    <row r="447" spans="11:13">
      <c r="K447" s="57">
        <v>11030.665000000001</v>
      </c>
      <c r="L447" s="7">
        <f t="shared" si="2"/>
        <v>1.0468093793993692E-3</v>
      </c>
      <c r="M447" s="7">
        <f t="shared" si="3"/>
        <v>7222.9847178556474</v>
      </c>
    </row>
    <row r="448" spans="11:13">
      <c r="K448" s="57">
        <v>2800</v>
      </c>
      <c r="L448" s="7">
        <f t="shared" si="2"/>
        <v>2.6571981492668249E-4</v>
      </c>
      <c r="M448" s="7">
        <f t="shared" si="3"/>
        <v>1833.4667229941092</v>
      </c>
    </row>
    <row r="449" spans="11:13">
      <c r="K449" s="57">
        <v>43800</v>
      </c>
      <c r="L449" s="7">
        <f t="shared" si="2"/>
        <v>4.1566171049245331E-3</v>
      </c>
      <c r="M449" s="7">
        <f t="shared" si="3"/>
        <v>28680.658023979278</v>
      </c>
    </row>
    <row r="450" spans="11:13">
      <c r="K450" s="57">
        <v>9100</v>
      </c>
      <c r="L450" s="7">
        <f t="shared" si="2"/>
        <v>8.6358939851171798E-4</v>
      </c>
      <c r="M450" s="7">
        <f t="shared" si="3"/>
        <v>5958.7668497308541</v>
      </c>
    </row>
    <row r="451" spans="11:13">
      <c r="K451" s="57">
        <v>7700</v>
      </c>
      <c r="L451" s="7">
        <f t="shared" si="2"/>
        <v>7.3072949104837671E-4</v>
      </c>
      <c r="M451" s="7">
        <f t="shared" si="3"/>
        <v>5042.0334882337993</v>
      </c>
    </row>
    <row r="452" spans="11:13">
      <c r="K452" s="57">
        <v>8547.9349999999995</v>
      </c>
      <c r="L452" s="7">
        <f t="shared" si="2"/>
        <v>8.1119846650189685E-4</v>
      </c>
      <c r="M452" s="7">
        <f t="shared" si="3"/>
        <v>5597.2694188630885</v>
      </c>
    </row>
    <row r="453" spans="11:13">
      <c r="K453" s="57">
        <v>4055.15</v>
      </c>
      <c r="L453" s="7">
        <f t="shared" si="2"/>
        <v>3.84833466964263E-4</v>
      </c>
      <c r="M453" s="7">
        <f t="shared" si="3"/>
        <v>2655.3509220534147</v>
      </c>
    </row>
    <row r="454" spans="11:13">
      <c r="K454" s="57">
        <v>89372.44</v>
      </c>
      <c r="L454" s="7">
        <f t="shared" si="2"/>
        <v>8.4814386486950118E-3</v>
      </c>
      <c r="M454" s="7">
        <f t="shared" si="3"/>
        <v>58521.926675995579</v>
      </c>
    </row>
    <row r="455" spans="11:13">
      <c r="K455" s="57">
        <v>15491.33</v>
      </c>
      <c r="L455" s="7">
        <f t="shared" si="2"/>
        <v>1.4701261930600586E-3</v>
      </c>
      <c r="M455" s="7">
        <f t="shared" si="3"/>
        <v>10143.870732114405</v>
      </c>
    </row>
    <row r="456" spans="11:13">
      <c r="K456" s="57">
        <v>8731.1650000000009</v>
      </c>
      <c r="L456" s="7">
        <f t="shared" si="2"/>
        <v>8.2858698139083131E-4</v>
      </c>
      <c r="M456" s="7">
        <f t="shared" si="3"/>
        <v>5717.2501715967364</v>
      </c>
    </row>
    <row r="457" spans="11:13">
      <c r="K457" s="57">
        <v>7000</v>
      </c>
      <c r="L457" s="7">
        <f t="shared" si="2"/>
        <v>6.6429953731670613E-4</v>
      </c>
      <c r="M457" s="7">
        <f t="shared" si="3"/>
        <v>4583.6668074852723</v>
      </c>
    </row>
    <row r="458" spans="11:13">
      <c r="K458" s="57">
        <v>17249.900000000001</v>
      </c>
      <c r="L458" s="7">
        <f t="shared" si="2"/>
        <v>1.6370143698227787E-3</v>
      </c>
      <c r="M458" s="7">
        <f t="shared" si="3"/>
        <v>11295.399151777174</v>
      </c>
    </row>
    <row r="459" spans="11:13">
      <c r="K459" s="57">
        <v>10916.42</v>
      </c>
      <c r="L459" s="7">
        <f t="shared" si="2"/>
        <v>1.035967536450691E-3</v>
      </c>
      <c r="M459" s="7">
        <f t="shared" si="3"/>
        <v>7148.176001509768</v>
      </c>
    </row>
    <row r="460" spans="11:13">
      <c r="K460" s="57">
        <v>4191.66</v>
      </c>
      <c r="L460" s="7">
        <f t="shared" si="2"/>
        <v>3.9778825694127776E-4</v>
      </c>
      <c r="M460" s="7">
        <f t="shared" si="3"/>
        <v>2744.7389728948165</v>
      </c>
    </row>
    <row r="461" spans="11:13">
      <c r="K461" s="57">
        <v>15518.705</v>
      </c>
      <c r="L461" s="7">
        <f t="shared" si="2"/>
        <v>1.4727240787506363E-3</v>
      </c>
      <c r="M461" s="7">
        <f t="shared" si="3"/>
        <v>10161.796143379392</v>
      </c>
    </row>
    <row r="462" spans="11:13">
      <c r="K462" s="57">
        <v>11200</v>
      </c>
      <c r="L462" s="7">
        <f t="shared" si="2"/>
        <v>1.0628792597067299E-3</v>
      </c>
      <c r="M462" s="7">
        <f t="shared" si="3"/>
        <v>7333.8668919764368</v>
      </c>
    </row>
    <row r="463" spans="11:13">
      <c r="K463" s="57">
        <v>78955.34</v>
      </c>
      <c r="L463" s="7">
        <f t="shared" si="2"/>
        <v>7.4928565472404595E-3</v>
      </c>
      <c r="M463" s="7">
        <f t="shared" si="3"/>
        <v>51700.710175959168</v>
      </c>
    </row>
    <row r="464" spans="11:13">
      <c r="K464" s="57">
        <v>7205.1</v>
      </c>
      <c r="L464" s="7">
        <f t="shared" si="2"/>
        <v>6.8376351376008568E-4</v>
      </c>
      <c r="M464" s="7">
        <f t="shared" si="3"/>
        <v>4717.9682449445909</v>
      </c>
    </row>
    <row r="465" spans="11:13">
      <c r="K465" s="57">
        <v>2800</v>
      </c>
      <c r="L465" s="7">
        <f t="shared" si="2"/>
        <v>2.6571981492668249E-4</v>
      </c>
      <c r="M465" s="7">
        <f t="shared" si="3"/>
        <v>1833.4667229941092</v>
      </c>
    </row>
    <row r="466" spans="11:13">
      <c r="K466" s="57">
        <v>7700</v>
      </c>
      <c r="L466" s="7">
        <f t="shared" si="2"/>
        <v>7.3072949104837671E-4</v>
      </c>
      <c r="M466" s="7">
        <f t="shared" si="3"/>
        <v>5042.0334882337993</v>
      </c>
    </row>
    <row r="467" spans="11:13">
      <c r="K467" s="57">
        <v>8400</v>
      </c>
      <c r="L467" s="7">
        <f t="shared" si="2"/>
        <v>7.971594447800474E-4</v>
      </c>
      <c r="M467" s="7">
        <f t="shared" si="3"/>
        <v>5500.4001689823272</v>
      </c>
    </row>
    <row r="468" spans="11:13">
      <c r="K468" s="57">
        <v>4900</v>
      </c>
      <c r="L468" s="7">
        <f t="shared" si="2"/>
        <v>4.6500967612169428E-4</v>
      </c>
      <c r="M468" s="7">
        <f t="shared" si="3"/>
        <v>3208.5667652396905</v>
      </c>
    </row>
    <row r="469" spans="11:13">
      <c r="K469" s="57">
        <v>12017.625</v>
      </c>
      <c r="L469" s="7">
        <f t="shared" si="2"/>
        <v>1.1404718181636686E-3</v>
      </c>
      <c r="M469" s="7">
        <f t="shared" si="3"/>
        <v>7869.2555453293135</v>
      </c>
    </row>
    <row r="470" spans="11:13">
      <c r="K470" s="57">
        <v>2800</v>
      </c>
      <c r="L470" s="7">
        <f t="shared" si="2"/>
        <v>2.6571981492668249E-4</v>
      </c>
      <c r="M470" s="7">
        <f t="shared" si="3"/>
        <v>1833.4667229941092</v>
      </c>
    </row>
    <row r="471" spans="11:13">
      <c r="K471" s="57">
        <v>2060.79</v>
      </c>
      <c r="L471" s="7">
        <f t="shared" si="2"/>
        <v>1.9556883478669926E-4</v>
      </c>
      <c r="M471" s="7">
        <f t="shared" si="3"/>
        <v>1349.4249600282249</v>
      </c>
    </row>
    <row r="472" spans="11:13">
      <c r="K472" s="57">
        <v>8400</v>
      </c>
      <c r="L472" s="7">
        <f t="shared" si="2"/>
        <v>7.971594447800474E-4</v>
      </c>
      <c r="M472" s="7">
        <f t="shared" si="3"/>
        <v>5500.4001689823272</v>
      </c>
    </row>
    <row r="473" spans="11:13">
      <c r="K473" s="57">
        <v>7000</v>
      </c>
      <c r="L473" s="7">
        <f t="shared" si="2"/>
        <v>6.6429953731670613E-4</v>
      </c>
      <c r="M473" s="7">
        <f t="shared" si="3"/>
        <v>4583.6668074852723</v>
      </c>
    </row>
    <row r="474" spans="11:13">
      <c r="K474" s="57">
        <v>12397.955</v>
      </c>
      <c r="L474" s="7">
        <f t="shared" si="2"/>
        <v>1.1765651100247635E-3</v>
      </c>
      <c r="M474" s="7">
        <f t="shared" si="3"/>
        <v>8118.299259170868</v>
      </c>
    </row>
    <row r="475" spans="11:13">
      <c r="K475" s="57">
        <v>9900</v>
      </c>
      <c r="L475" s="7">
        <f t="shared" ref="L475:L538" si="4">K475/$K$343</f>
        <v>9.3950934563362723E-4</v>
      </c>
      <c r="M475" s="7">
        <f t="shared" ref="M475:M538" si="5">L475*$M$343</f>
        <v>6482.6144848720278</v>
      </c>
    </row>
    <row r="476" spans="11:13">
      <c r="K476" s="57">
        <v>6300</v>
      </c>
      <c r="L476" s="7">
        <f t="shared" si="4"/>
        <v>5.9786958358503555E-4</v>
      </c>
      <c r="M476" s="7">
        <f t="shared" si="5"/>
        <v>4125.3001267367454</v>
      </c>
    </row>
    <row r="477" spans="11:13">
      <c r="K477" s="57">
        <v>7700</v>
      </c>
      <c r="L477" s="7">
        <f t="shared" si="4"/>
        <v>7.3072949104837671E-4</v>
      </c>
      <c r="M477" s="7">
        <f t="shared" si="5"/>
        <v>5042.0334882337993</v>
      </c>
    </row>
    <row r="478" spans="11:13">
      <c r="K478" s="57">
        <v>7541.2650000000003</v>
      </c>
      <c r="L478" s="7">
        <f t="shared" si="4"/>
        <v>7.156655500403815E-4</v>
      </c>
      <c r="M478" s="7">
        <f t="shared" si="5"/>
        <v>4938.0922952786323</v>
      </c>
    </row>
    <row r="479" spans="11:13">
      <c r="K479" s="57">
        <v>45122.03</v>
      </c>
      <c r="L479" s="7">
        <f t="shared" si="4"/>
        <v>4.2820776645415047E-3</v>
      </c>
      <c r="M479" s="7">
        <f t="shared" si="5"/>
        <v>29546.335885336382</v>
      </c>
    </row>
    <row r="480" spans="11:13">
      <c r="K480" s="57">
        <v>12326.05</v>
      </c>
      <c r="L480" s="7">
        <f t="shared" si="4"/>
        <v>1.1697413302775121E-3</v>
      </c>
      <c r="M480" s="7">
        <f t="shared" si="5"/>
        <v>8071.2151789148338</v>
      </c>
    </row>
    <row r="481" spans="11:13">
      <c r="K481" s="57">
        <v>10326.215</v>
      </c>
      <c r="L481" s="7">
        <f t="shared" si="4"/>
        <v>9.7995712096183305E-4</v>
      </c>
      <c r="M481" s="7">
        <f t="shared" si="5"/>
        <v>6761.7041346366477</v>
      </c>
    </row>
    <row r="482" spans="11:13">
      <c r="K482" s="57">
        <v>52995.81</v>
      </c>
      <c r="L482" s="7">
        <f t="shared" si="4"/>
        <v>5.0292988661034379E-3</v>
      </c>
      <c r="M482" s="7">
        <f t="shared" si="5"/>
        <v>34702.162176113721</v>
      </c>
    </row>
    <row r="483" spans="11:13">
      <c r="K483" s="57">
        <v>27829.79</v>
      </c>
      <c r="L483" s="7">
        <f t="shared" si="4"/>
        <v>2.6410452315172995E-3</v>
      </c>
      <c r="M483" s="7">
        <f t="shared" si="5"/>
        <v>18223.212097469368</v>
      </c>
    </row>
    <row r="484" spans="11:13">
      <c r="K484" s="57">
        <v>8862.5650000000005</v>
      </c>
      <c r="L484" s="7">
        <f t="shared" si="4"/>
        <v>8.4105683270560485E-4</v>
      </c>
      <c r="M484" s="7">
        <f t="shared" si="5"/>
        <v>5803.2921456686736</v>
      </c>
    </row>
    <row r="485" spans="11:13">
      <c r="K485" s="57">
        <v>14337.93</v>
      </c>
      <c r="L485" s="7">
        <f t="shared" si="4"/>
        <v>1.3606686092970458E-3</v>
      </c>
      <c r="M485" s="7">
        <f t="shared" si="5"/>
        <v>9388.6134041496152</v>
      </c>
    </row>
    <row r="486" spans="11:13">
      <c r="K486" s="57">
        <v>47095.22</v>
      </c>
      <c r="L486" s="7">
        <f t="shared" si="4"/>
        <v>4.469333265118355E-3</v>
      </c>
      <c r="M486" s="7">
        <f t="shared" si="5"/>
        <v>30838.399529316648</v>
      </c>
    </row>
    <row r="487" spans="11:13">
      <c r="K487" s="57">
        <v>5600</v>
      </c>
      <c r="L487" s="7">
        <f t="shared" si="4"/>
        <v>5.3143962985336497E-4</v>
      </c>
      <c r="M487" s="7">
        <f t="shared" si="5"/>
        <v>3666.9334459882184</v>
      </c>
    </row>
    <row r="488" spans="11:13">
      <c r="K488" s="57">
        <v>5600</v>
      </c>
      <c r="L488" s="7">
        <f t="shared" si="4"/>
        <v>5.3143962985336497E-4</v>
      </c>
      <c r="M488" s="7">
        <f t="shared" si="5"/>
        <v>3666.9334459882184</v>
      </c>
    </row>
    <row r="489" spans="11:13">
      <c r="K489" s="57">
        <v>23150.49</v>
      </c>
      <c r="L489" s="7">
        <f t="shared" si="4"/>
        <v>2.196979970807862E-3</v>
      </c>
      <c r="M489" s="7">
        <f t="shared" si="5"/>
        <v>15159.161798574249</v>
      </c>
    </row>
    <row r="490" spans="11:13">
      <c r="K490" s="57">
        <v>17634.244999999999</v>
      </c>
      <c r="L490" s="7">
        <f t="shared" si="4"/>
        <v>1.6734886849184912E-3</v>
      </c>
      <c r="M490" s="7">
        <f t="shared" si="5"/>
        <v>11547.071925937589</v>
      </c>
    </row>
    <row r="491" spans="11:13">
      <c r="K491" s="57">
        <v>18643.834999999999</v>
      </c>
      <c r="L491" s="7">
        <f t="shared" si="4"/>
        <v>1.7692987091870018E-3</v>
      </c>
      <c r="M491" s="7">
        <f t="shared" si="5"/>
        <v>12208.161093390312</v>
      </c>
    </row>
    <row r="492" spans="11:13">
      <c r="K492" s="57">
        <v>371835.72</v>
      </c>
      <c r="L492" s="7">
        <f t="shared" si="4"/>
        <v>3.5287185250546325E-2</v>
      </c>
      <c r="M492" s="7">
        <f t="shared" si="5"/>
        <v>243481.57822876965</v>
      </c>
    </row>
    <row r="493" spans="11:13">
      <c r="K493" s="57">
        <v>37697.199999999997</v>
      </c>
      <c r="L493" s="7">
        <f t="shared" si="4"/>
        <v>3.5774617883050476E-3</v>
      </c>
      <c r="M493" s="7">
        <f t="shared" si="5"/>
        <v>24684.486339304829</v>
      </c>
    </row>
    <row r="494" spans="11:13">
      <c r="K494" s="57">
        <v>46236.375</v>
      </c>
      <c r="L494" s="7">
        <f t="shared" si="4"/>
        <v>4.3878289313859595E-3</v>
      </c>
      <c r="M494" s="7">
        <f t="shared" si="5"/>
        <v>30276.01962656312</v>
      </c>
    </row>
    <row r="495" spans="11:13">
      <c r="K495" s="57">
        <v>64982.775000000001</v>
      </c>
      <c r="L495" s="7">
        <f t="shared" si="4"/>
        <v>6.1668610522936599E-3</v>
      </c>
      <c r="M495" s="7">
        <f t="shared" si="5"/>
        <v>42551.341260826252</v>
      </c>
    </row>
    <row r="496" spans="11:13">
      <c r="K496" s="57">
        <v>14200</v>
      </c>
      <c r="L496" s="7">
        <f t="shared" si="4"/>
        <v>1.3475790614138896E-3</v>
      </c>
      <c r="M496" s="7">
        <f t="shared" si="5"/>
        <v>9298.2955237558381</v>
      </c>
    </row>
    <row r="497" spans="11:13">
      <c r="K497" s="57">
        <v>69153.63</v>
      </c>
      <c r="L497" s="7">
        <f t="shared" si="4"/>
        <v>6.5626749161100994E-3</v>
      </c>
      <c r="M497" s="7">
        <f t="shared" si="5"/>
        <v>45282.456921159683</v>
      </c>
    </row>
    <row r="498" spans="11:13">
      <c r="K498" s="57">
        <v>24500</v>
      </c>
      <c r="L498" s="7">
        <f t="shared" si="4"/>
        <v>2.3250483806084715E-3</v>
      </c>
      <c r="M498" s="7">
        <f t="shared" si="5"/>
        <v>16042.833826198454</v>
      </c>
    </row>
    <row r="499" spans="11:13">
      <c r="K499" s="57">
        <v>49524.294999999998</v>
      </c>
      <c r="L499" s="7">
        <f t="shared" si="4"/>
        <v>4.6998523220622944E-3</v>
      </c>
      <c r="M499" s="7">
        <f t="shared" si="5"/>
        <v>32428.981022229833</v>
      </c>
    </row>
    <row r="500" spans="11:13">
      <c r="K500" s="57">
        <v>6300</v>
      </c>
      <c r="L500" s="7">
        <f t="shared" si="4"/>
        <v>5.9786958358503555E-4</v>
      </c>
      <c r="M500" s="7">
        <f t="shared" si="5"/>
        <v>4125.3001267367454</v>
      </c>
    </row>
    <row r="501" spans="11:13">
      <c r="K501" s="57">
        <v>17400</v>
      </c>
      <c r="L501" s="7">
        <f t="shared" si="4"/>
        <v>1.6512588499015268E-3</v>
      </c>
      <c r="M501" s="7">
        <f t="shared" si="5"/>
        <v>11393.686064320535</v>
      </c>
    </row>
    <row r="502" spans="11:13">
      <c r="K502" s="57">
        <v>3500</v>
      </c>
      <c r="L502" s="7">
        <f t="shared" si="4"/>
        <v>3.3214976865835307E-4</v>
      </c>
      <c r="M502" s="7">
        <f t="shared" si="5"/>
        <v>2291.8334037426362</v>
      </c>
    </row>
    <row r="503" spans="11:13">
      <c r="K503" s="57">
        <v>8400</v>
      </c>
      <c r="L503" s="7">
        <f t="shared" si="4"/>
        <v>7.971594447800474E-4</v>
      </c>
      <c r="M503" s="7">
        <f t="shared" si="5"/>
        <v>5500.4001689823272</v>
      </c>
    </row>
    <row r="504" spans="11:13">
      <c r="K504" s="57">
        <v>37278.544999999998</v>
      </c>
      <c r="L504" s="7">
        <f t="shared" si="4"/>
        <v>3.537731456477144E-3</v>
      </c>
      <c r="M504" s="7">
        <f t="shared" si="5"/>
        <v>24410.347049692293</v>
      </c>
    </row>
    <row r="505" spans="11:13">
      <c r="K505" s="57">
        <v>15789.714285714284</v>
      </c>
      <c r="L505" s="7">
        <f t="shared" si="4"/>
        <v>1.4984428420518549E-3</v>
      </c>
      <c r="M505" s="7">
        <f t="shared" si="5"/>
        <v>10339.255610157799</v>
      </c>
    </row>
    <row r="506" spans="11:13">
      <c r="K506" s="57">
        <v>3524.0749999999998</v>
      </c>
      <c r="L506" s="7">
        <f t="shared" si="4"/>
        <v>3.3443448456705303E-4</v>
      </c>
      <c r="M506" s="7">
        <f t="shared" si="5"/>
        <v>2307.597943512666</v>
      </c>
    </row>
    <row r="507" spans="11:13">
      <c r="K507" s="57">
        <v>4900</v>
      </c>
      <c r="L507" s="7">
        <f t="shared" si="4"/>
        <v>4.6500967612169428E-4</v>
      </c>
      <c r="M507" s="7">
        <f t="shared" si="5"/>
        <v>3208.5667652396905</v>
      </c>
    </row>
    <row r="508" spans="11:13">
      <c r="K508" s="57">
        <v>5473.54</v>
      </c>
      <c r="L508" s="7">
        <f t="shared" si="4"/>
        <v>5.1943858421206913E-4</v>
      </c>
      <c r="M508" s="7">
        <f t="shared" si="5"/>
        <v>3584.1262310632769</v>
      </c>
    </row>
    <row r="509" spans="11:13">
      <c r="K509" s="57">
        <v>4495</v>
      </c>
      <c r="L509" s="7">
        <f t="shared" si="4"/>
        <v>4.2657520289122775E-4</v>
      </c>
      <c r="M509" s="7">
        <f t="shared" si="5"/>
        <v>2943.3688999494716</v>
      </c>
    </row>
    <row r="510" spans="11:13">
      <c r="K510" s="57">
        <v>81194.615000000005</v>
      </c>
      <c r="L510" s="7">
        <f t="shared" si="4"/>
        <v>7.7053635967297279E-3</v>
      </c>
      <c r="M510" s="7">
        <f t="shared" si="5"/>
        <v>53167.008817435126</v>
      </c>
    </row>
    <row r="511" spans="11:13">
      <c r="K511" s="57">
        <v>8165.05</v>
      </c>
      <c r="L511" s="7">
        <f t="shared" si="4"/>
        <v>7.7486270530968172E-4</v>
      </c>
      <c r="M511" s="7">
        <f t="shared" si="5"/>
        <v>5346.5526666368041</v>
      </c>
    </row>
    <row r="512" spans="11:13">
      <c r="K512" s="57">
        <v>9248.3700000000008</v>
      </c>
      <c r="L512" s="7">
        <f t="shared" si="4"/>
        <v>8.7766970170481521E-4</v>
      </c>
      <c r="M512" s="7">
        <f t="shared" si="5"/>
        <v>6055.9209417632246</v>
      </c>
    </row>
    <row r="513" spans="11:13">
      <c r="K513" s="57">
        <v>2550.4</v>
      </c>
      <c r="L513" s="7">
        <f t="shared" si="4"/>
        <v>2.4203279142464678E-4</v>
      </c>
      <c r="M513" s="7">
        <f t="shared" si="5"/>
        <v>1670.0262608300627</v>
      </c>
    </row>
    <row r="514" spans="11:13">
      <c r="K514" s="57">
        <v>4900</v>
      </c>
      <c r="L514" s="7">
        <f t="shared" si="4"/>
        <v>4.6500967612169428E-4</v>
      </c>
      <c r="M514" s="7">
        <f t="shared" si="5"/>
        <v>3208.5667652396905</v>
      </c>
    </row>
    <row r="515" spans="11:13">
      <c r="K515" s="57">
        <v>14000</v>
      </c>
      <c r="L515" s="7">
        <f t="shared" si="4"/>
        <v>1.3285990746334123E-3</v>
      </c>
      <c r="M515" s="7">
        <f t="shared" si="5"/>
        <v>9167.3336149705447</v>
      </c>
    </row>
    <row r="516" spans="11:13">
      <c r="K516" s="57">
        <v>7512.0649999999996</v>
      </c>
      <c r="L516" s="7">
        <f t="shared" si="4"/>
        <v>7.1289447197043175E-4</v>
      </c>
      <c r="M516" s="7">
        <f t="shared" si="5"/>
        <v>4918.9718565959793</v>
      </c>
    </row>
    <row r="517" spans="11:13">
      <c r="K517" s="57">
        <v>7700</v>
      </c>
      <c r="L517" s="7">
        <f t="shared" si="4"/>
        <v>7.3072949104837671E-4</v>
      </c>
      <c r="M517" s="7">
        <f t="shared" si="5"/>
        <v>5042.0334882337993</v>
      </c>
    </row>
    <row r="518" spans="11:13">
      <c r="K518" s="57">
        <v>20840.04</v>
      </c>
      <c r="L518" s="7">
        <f t="shared" si="4"/>
        <v>1.9777184185230928E-3</v>
      </c>
      <c r="M518" s="7">
        <f t="shared" si="5"/>
        <v>13646.257087809339</v>
      </c>
    </row>
    <row r="519" spans="11:13">
      <c r="K519" s="57">
        <v>14355.45</v>
      </c>
      <c r="L519" s="7">
        <f t="shared" si="4"/>
        <v>1.3623312561390156E-3</v>
      </c>
      <c r="M519" s="7">
        <f t="shared" si="5"/>
        <v>9400.0856673592079</v>
      </c>
    </row>
    <row r="520" spans="11:13">
      <c r="K520" s="57">
        <v>13300</v>
      </c>
      <c r="L520" s="7">
        <f t="shared" si="4"/>
        <v>1.2621691209017418E-3</v>
      </c>
      <c r="M520" s="7">
        <f t="shared" si="5"/>
        <v>8708.9669342220186</v>
      </c>
    </row>
    <row r="521" spans="11:13">
      <c r="K521" s="57">
        <v>4165.7449999999999</v>
      </c>
      <c r="L521" s="7">
        <f t="shared" si="4"/>
        <v>3.9532892515419741E-4</v>
      </c>
      <c r="M521" s="7">
        <f t="shared" si="5"/>
        <v>2727.769583563962</v>
      </c>
    </row>
    <row r="522" spans="11:13">
      <c r="K522" s="57">
        <v>37100</v>
      </c>
      <c r="L522" s="7">
        <f t="shared" si="4"/>
        <v>3.5207875477785426E-3</v>
      </c>
      <c r="M522" s="7">
        <f t="shared" si="5"/>
        <v>24293.434079671944</v>
      </c>
    </row>
    <row r="523" spans="11:13">
      <c r="K523" s="57">
        <v>10500</v>
      </c>
      <c r="L523" s="7">
        <f t="shared" si="4"/>
        <v>9.9644930597505925E-4</v>
      </c>
      <c r="M523" s="7">
        <f t="shared" si="5"/>
        <v>6875.5002112279089</v>
      </c>
    </row>
    <row r="524" spans="11:13">
      <c r="K524" s="57">
        <v>92919.5</v>
      </c>
      <c r="L524" s="7">
        <f t="shared" si="4"/>
        <v>8.8180544082428116E-3</v>
      </c>
      <c r="M524" s="7">
        <f t="shared" si="5"/>
        <v>60844.575416875399</v>
      </c>
    </row>
    <row r="525" spans="11:13">
      <c r="K525" s="57">
        <v>22500</v>
      </c>
      <c r="L525" s="7">
        <f t="shared" si="4"/>
        <v>2.1352485128036986E-3</v>
      </c>
      <c r="M525" s="7">
        <f t="shared" si="5"/>
        <v>14733.214738345519</v>
      </c>
    </row>
    <row r="526" spans="11:13">
      <c r="K526" s="57">
        <v>11900</v>
      </c>
      <c r="L526" s="7">
        <f t="shared" si="4"/>
        <v>1.1293092134384004E-3</v>
      </c>
      <c r="M526" s="7">
        <f t="shared" si="5"/>
        <v>7792.2335727249629</v>
      </c>
    </row>
    <row r="527" spans="11:13">
      <c r="K527" s="57">
        <v>19300.105</v>
      </c>
      <c r="L527" s="7">
        <f t="shared" si="4"/>
        <v>1.831578688809121E-3</v>
      </c>
      <c r="M527" s="7">
        <f t="shared" si="5"/>
        <v>12637.892952782935</v>
      </c>
    </row>
    <row r="528" spans="11:13">
      <c r="K528" s="57">
        <v>22847.904999999999</v>
      </c>
      <c r="L528" s="7">
        <f t="shared" si="4"/>
        <v>2.1682646743080079E-3</v>
      </c>
      <c r="M528" s="7">
        <f t="shared" si="5"/>
        <v>14961.026252725254</v>
      </c>
    </row>
    <row r="529" spans="11:13">
      <c r="K529" s="57">
        <v>44001.845000000001</v>
      </c>
      <c r="L529" s="7">
        <f t="shared" si="4"/>
        <v>4.1757721820830599E-3</v>
      </c>
      <c r="M529" s="7">
        <f t="shared" si="5"/>
        <v>28812.828056373113</v>
      </c>
    </row>
    <row r="530" spans="11:13">
      <c r="K530" s="57">
        <v>21705.455000000002</v>
      </c>
      <c r="L530" s="7">
        <f t="shared" si="4"/>
        <v>2.0598462448212268E-3</v>
      </c>
      <c r="M530" s="7">
        <f t="shared" si="5"/>
        <v>14212.939089266465</v>
      </c>
    </row>
    <row r="531" spans="11:13">
      <c r="K531" s="57">
        <v>94146.274999999994</v>
      </c>
      <c r="L531" s="7">
        <f t="shared" si="4"/>
        <v>8.9344752746559116E-3</v>
      </c>
      <c r="M531" s="7">
        <f t="shared" si="5"/>
        <v>61647.87939512579</v>
      </c>
    </row>
    <row r="532" spans="11:13">
      <c r="K532" s="57">
        <v>51798.245000000003</v>
      </c>
      <c r="L532" s="7">
        <f t="shared" si="4"/>
        <v>4.9156500267596272E-3</v>
      </c>
      <c r="M532" s="7">
        <f t="shared" si="5"/>
        <v>33917.985184641431</v>
      </c>
    </row>
    <row r="533" spans="11:13">
      <c r="K533" s="57">
        <v>54099.57</v>
      </c>
      <c r="L533" s="7">
        <f t="shared" si="4"/>
        <v>5.1340456171475365E-3</v>
      </c>
      <c r="M533" s="7">
        <f t="shared" si="5"/>
        <v>35424.914758318002</v>
      </c>
    </row>
    <row r="534" spans="11:13">
      <c r="K534" s="57">
        <v>25472.255000000001</v>
      </c>
      <c r="L534" s="7">
        <f t="shared" si="4"/>
        <v>2.4173153158447364E-3</v>
      </c>
      <c r="M534" s="7">
        <f t="shared" si="5"/>
        <v>16679.47567932868</v>
      </c>
    </row>
    <row r="535" spans="11:13">
      <c r="K535" s="57">
        <v>14161.27</v>
      </c>
      <c r="L535" s="7">
        <f t="shared" si="4"/>
        <v>1.3439035869738502E-3</v>
      </c>
      <c r="M535" s="7">
        <f t="shared" si="5"/>
        <v>9272.9347501195662</v>
      </c>
    </row>
    <row r="536" spans="11:13">
      <c r="K536" s="57">
        <v>41502.69</v>
      </c>
      <c r="L536" s="7">
        <f t="shared" si="4"/>
        <v>3.938602537771241E-3</v>
      </c>
      <c r="M536" s="7">
        <f t="shared" si="5"/>
        <v>27176.357510621561</v>
      </c>
    </row>
    <row r="537" spans="11:13">
      <c r="K537" s="57">
        <v>12600</v>
      </c>
      <c r="L537" s="7">
        <f t="shared" si="4"/>
        <v>1.1957391671700711E-3</v>
      </c>
      <c r="M537" s="7">
        <f t="shared" si="5"/>
        <v>8250.6002534734907</v>
      </c>
    </row>
    <row r="538" spans="11:13">
      <c r="K538" s="57">
        <v>78378.64</v>
      </c>
      <c r="L538" s="7">
        <f t="shared" si="4"/>
        <v>7.4381277553589543E-3</v>
      </c>
      <c r="M538" s="7">
        <f t="shared" si="5"/>
        <v>51323.081511976787</v>
      </c>
    </row>
    <row r="539" spans="11:13">
      <c r="K539" s="57">
        <v>18000</v>
      </c>
      <c r="L539" s="7">
        <f t="shared" ref="L539:L602" si="6">K539/$K$343</f>
        <v>1.7081988102429586E-3</v>
      </c>
      <c r="M539" s="7">
        <f t="shared" ref="M539:M602" si="7">L539*$M$343</f>
        <v>11786.571790676415</v>
      </c>
    </row>
    <row r="540" spans="11:13">
      <c r="K540" s="57">
        <v>224074.23</v>
      </c>
      <c r="L540" s="7">
        <f t="shared" si="6"/>
        <v>2.1264629616228173E-2</v>
      </c>
      <c r="M540" s="7">
        <f t="shared" si="7"/>
        <v>146725.94435197438</v>
      </c>
    </row>
    <row r="541" spans="11:13">
      <c r="K541" s="57">
        <v>50548.485000000001</v>
      </c>
      <c r="L541" s="7">
        <f t="shared" si="6"/>
        <v>4.7970478853657803E-3</v>
      </c>
      <c r="M541" s="7">
        <f t="shared" si="7"/>
        <v>33099.630409023885</v>
      </c>
    </row>
    <row r="542" spans="11:13">
      <c r="K542" s="57">
        <v>69824.5</v>
      </c>
      <c r="L542" s="7">
        <f t="shared" si="6"/>
        <v>6.6263404347671924E-3</v>
      </c>
      <c r="M542" s="7">
        <f t="shared" si="7"/>
        <v>45721.748999893629</v>
      </c>
    </row>
    <row r="543" spans="11:13">
      <c r="K543" s="57">
        <v>12600</v>
      </c>
      <c r="L543" s="7">
        <f t="shared" si="6"/>
        <v>1.1957391671700711E-3</v>
      </c>
      <c r="M543" s="7">
        <f t="shared" si="7"/>
        <v>8250.6002534734907</v>
      </c>
    </row>
    <row r="544" spans="11:13">
      <c r="K544" s="57">
        <v>10000</v>
      </c>
      <c r="L544" s="7">
        <f t="shared" si="6"/>
        <v>9.489993390238659E-4</v>
      </c>
      <c r="M544" s="7">
        <f t="shared" si="7"/>
        <v>6548.0954392646745</v>
      </c>
    </row>
    <row r="545" spans="11:13">
      <c r="K545" s="57">
        <v>14425.53</v>
      </c>
      <c r="L545" s="7">
        <f t="shared" si="6"/>
        <v>1.368981843506895E-3</v>
      </c>
      <c r="M545" s="7">
        <f t="shared" si="7"/>
        <v>9445.9747201975752</v>
      </c>
    </row>
    <row r="546" spans="11:13">
      <c r="K546" s="57">
        <v>12591.04</v>
      </c>
      <c r="L546" s="7">
        <f t="shared" si="6"/>
        <v>1.1948888637623057E-3</v>
      </c>
      <c r="M546" s="7">
        <f t="shared" si="7"/>
        <v>8244.7331599599092</v>
      </c>
    </row>
    <row r="547" spans="11:13">
      <c r="K547" s="57">
        <v>12864.424999999999</v>
      </c>
      <c r="L547" s="7">
        <f t="shared" si="6"/>
        <v>1.2208330821922096E-3</v>
      </c>
      <c r="M547" s="7">
        <f t="shared" si="7"/>
        <v>8423.748267126246</v>
      </c>
    </row>
    <row r="548" spans="11:13">
      <c r="K548" s="57">
        <v>23423.875</v>
      </c>
      <c r="L548" s="7">
        <f t="shared" si="6"/>
        <v>2.2229241892377659E-3</v>
      </c>
      <c r="M548" s="7">
        <f t="shared" si="7"/>
        <v>15338.176905740585</v>
      </c>
    </row>
    <row r="549" spans="11:13">
      <c r="K549" s="57">
        <v>16897.674999999999</v>
      </c>
      <c r="L549" s="7">
        <f t="shared" si="6"/>
        <v>1.6035882406040102E-3</v>
      </c>
      <c r="M549" s="7">
        <f t="shared" si="7"/>
        <v>11064.758860167671</v>
      </c>
    </row>
    <row r="550" spans="11:13">
      <c r="K550" s="57">
        <v>202395.05499999999</v>
      </c>
      <c r="L550" s="7">
        <f t="shared" si="6"/>
        <v>1.9207277341669899E-2</v>
      </c>
      <c r="M550" s="7">
        <f t="shared" si="7"/>
        <v>132530.21365752231</v>
      </c>
    </row>
    <row r="551" spans="11:13">
      <c r="K551" s="57">
        <v>17395.900000000001</v>
      </c>
      <c r="L551" s="7">
        <f t="shared" si="6"/>
        <v>1.650869760172527E-3</v>
      </c>
      <c r="M551" s="7">
        <f t="shared" si="7"/>
        <v>11391.001345190436</v>
      </c>
    </row>
    <row r="552" spans="11:13">
      <c r="K552" s="57">
        <v>10436.81</v>
      </c>
      <c r="L552" s="7">
        <f t="shared" si="6"/>
        <v>9.904525791517673E-4</v>
      </c>
      <c r="M552" s="7">
        <f t="shared" si="7"/>
        <v>6834.1227961471941</v>
      </c>
    </row>
    <row r="553" spans="11:13">
      <c r="K553" s="57">
        <v>8800</v>
      </c>
      <c r="L553" s="7">
        <f t="shared" si="6"/>
        <v>8.3511941834100197E-4</v>
      </c>
      <c r="M553" s="7">
        <f t="shared" si="7"/>
        <v>5762.323986552914</v>
      </c>
    </row>
    <row r="554" spans="11:13">
      <c r="K554" s="57">
        <v>9820</v>
      </c>
      <c r="L554" s="7">
        <f t="shared" si="6"/>
        <v>9.3191735092143632E-4</v>
      </c>
      <c r="M554" s="7">
        <f t="shared" si="7"/>
        <v>6430.2297213579104</v>
      </c>
    </row>
    <row r="555" spans="11:13">
      <c r="K555" s="57">
        <v>7720</v>
      </c>
      <c r="L555" s="7">
        <f t="shared" si="6"/>
        <v>7.3262748972642447E-4</v>
      </c>
      <c r="M555" s="7">
        <f t="shared" si="7"/>
        <v>5055.1296791123286</v>
      </c>
    </row>
    <row r="556" spans="11:13">
      <c r="K556" s="57">
        <v>10559.45</v>
      </c>
      <c r="L556" s="7">
        <f t="shared" si="6"/>
        <v>1.0020911070455561E-3</v>
      </c>
      <c r="M556" s="7">
        <f t="shared" si="7"/>
        <v>6914.4286386143367</v>
      </c>
    </row>
    <row r="557" spans="11:13">
      <c r="K557" s="57">
        <v>10566.02</v>
      </c>
      <c r="L557" s="7">
        <f t="shared" si="6"/>
        <v>1.0027145996112949E-3</v>
      </c>
      <c r="M557" s="7">
        <f t="shared" si="7"/>
        <v>6918.7307373179347</v>
      </c>
    </row>
    <row r="558" spans="11:13">
      <c r="K558" s="57">
        <v>26673.47</v>
      </c>
      <c r="L558" s="7">
        <f t="shared" si="6"/>
        <v>2.5313105399472919E-3</v>
      </c>
      <c r="M558" s="7">
        <f t="shared" si="7"/>
        <v>17466.042725636315</v>
      </c>
    </row>
    <row r="559" spans="11:13">
      <c r="K559" s="57">
        <v>25564.965</v>
      </c>
      <c r="L559" s="7">
        <f t="shared" si="6"/>
        <v>2.4261134887168267E-3</v>
      </c>
      <c r="M559" s="7">
        <f t="shared" si="7"/>
        <v>16740.183072146105</v>
      </c>
    </row>
    <row r="560" spans="11:13">
      <c r="K560" s="57">
        <v>15082.895</v>
      </c>
      <c r="L560" s="7">
        <f t="shared" si="6"/>
        <v>1.4313657385566373E-3</v>
      </c>
      <c r="M560" s="7">
        <f t="shared" si="7"/>
        <v>9876.4235960407968</v>
      </c>
    </row>
    <row r="561" spans="11:13">
      <c r="K561" s="57">
        <v>18268.25</v>
      </c>
      <c r="L561" s="7">
        <f t="shared" si="6"/>
        <v>1.7336557175122739E-3</v>
      </c>
      <c r="M561" s="7">
        <f t="shared" si="7"/>
        <v>11962.22445083469</v>
      </c>
    </row>
    <row r="562" spans="11:13">
      <c r="K562" s="57">
        <v>13321.04</v>
      </c>
      <c r="L562" s="7">
        <f t="shared" si="6"/>
        <v>1.2641658155110481E-3</v>
      </c>
      <c r="M562" s="7">
        <f t="shared" si="7"/>
        <v>8722.7441270262316</v>
      </c>
    </row>
    <row r="563" spans="11:13">
      <c r="K563" s="57">
        <v>36451.455000000002</v>
      </c>
      <c r="L563" s="7">
        <f t="shared" si="6"/>
        <v>3.4592406701458196E-3</v>
      </c>
      <c r="M563" s="7">
        <f t="shared" si="7"/>
        <v>23868.760624006154</v>
      </c>
    </row>
    <row r="564" spans="11:13">
      <c r="K564" s="57">
        <v>9863.3950000000004</v>
      </c>
      <c r="L564" s="7">
        <f t="shared" si="6"/>
        <v>9.3603553355313049E-4</v>
      </c>
      <c r="M564" s="7">
        <f t="shared" si="7"/>
        <v>6458.6451815166001</v>
      </c>
    </row>
    <row r="565" spans="11:13">
      <c r="K565" s="57">
        <v>13781.67</v>
      </c>
      <c r="L565" s="7">
        <f t="shared" si="6"/>
        <v>1.3078795720645043E-3</v>
      </c>
      <c r="M565" s="7">
        <f t="shared" si="7"/>
        <v>9024.3690472450799</v>
      </c>
    </row>
    <row r="566" spans="11:13">
      <c r="K566" s="57">
        <v>4800</v>
      </c>
      <c r="L566" s="7">
        <f t="shared" si="6"/>
        <v>4.5551968273145567E-4</v>
      </c>
      <c r="M566" s="7">
        <f t="shared" si="7"/>
        <v>3143.0858108470443</v>
      </c>
    </row>
    <row r="567" spans="11:13">
      <c r="K567" s="57">
        <v>7732.5249999999996</v>
      </c>
      <c r="L567" s="7">
        <f t="shared" si="6"/>
        <v>7.3381611139855182E-4</v>
      </c>
      <c r="M567" s="7">
        <f t="shared" si="7"/>
        <v>5063.3311686500074</v>
      </c>
    </row>
    <row r="568" spans="11:13">
      <c r="K568" s="57">
        <v>56482.654999999999</v>
      </c>
      <c r="L568" s="7">
        <f t="shared" si="6"/>
        <v>5.3602002261313054E-3</v>
      </c>
      <c r="M568" s="7">
        <f t="shared" si="7"/>
        <v>36985.381560306007</v>
      </c>
    </row>
    <row r="569" spans="11:13">
      <c r="K569" s="57">
        <v>16777.224999999999</v>
      </c>
      <c r="L569" s="7">
        <f t="shared" si="6"/>
        <v>1.5921575435654677E-3</v>
      </c>
      <c r="M569" s="7">
        <f t="shared" si="7"/>
        <v>10985.887050601727</v>
      </c>
    </row>
    <row r="570" spans="11:13">
      <c r="K570" s="57">
        <v>71903.539999999994</v>
      </c>
      <c r="L570" s="7">
        <f t="shared" si="6"/>
        <v>6.8236411933476097E-3</v>
      </c>
      <c r="M570" s="7">
        <f t="shared" si="7"/>
        <v>47083.124234098505</v>
      </c>
    </row>
    <row r="571" spans="11:13">
      <c r="K571" s="57">
        <v>14017.094999999999</v>
      </c>
      <c r="L571" s="7">
        <f t="shared" si="6"/>
        <v>1.3302213890034735E-3</v>
      </c>
      <c r="M571" s="7">
        <f t="shared" si="7"/>
        <v>9178.5275841239672</v>
      </c>
    </row>
    <row r="572" spans="11:13">
      <c r="K572" s="57">
        <v>8864.7549999999992</v>
      </c>
      <c r="L572" s="7">
        <f t="shared" si="6"/>
        <v>8.41264663560851E-4</v>
      </c>
      <c r="M572" s="7">
        <f t="shared" si="7"/>
        <v>5804.726178569872</v>
      </c>
    </row>
    <row r="573" spans="11:13">
      <c r="K573" s="57">
        <v>18371.91</v>
      </c>
      <c r="L573" s="7">
        <f t="shared" si="6"/>
        <v>1.7434930446605954E-3</v>
      </c>
      <c r="M573" s="7">
        <f t="shared" si="7"/>
        <v>12030.102008158108</v>
      </c>
    </row>
    <row r="574" spans="11:13">
      <c r="K574" s="57">
        <v>66126.684999999998</v>
      </c>
      <c r="L574" s="7">
        <f t="shared" si="6"/>
        <v>6.2754180356839389E-3</v>
      </c>
      <c r="M574" s="7">
        <f t="shared" si="7"/>
        <v>43300.384446219177</v>
      </c>
    </row>
    <row r="575" spans="11:13">
      <c r="K575" s="57">
        <v>10100</v>
      </c>
      <c r="L575" s="7">
        <f t="shared" si="6"/>
        <v>9.5848933241410457E-4</v>
      </c>
      <c r="M575" s="7">
        <f t="shared" si="7"/>
        <v>6613.5763936573212</v>
      </c>
    </row>
    <row r="576" spans="11:13">
      <c r="K576" s="57">
        <v>8868.0400000000009</v>
      </c>
      <c r="L576" s="7">
        <f t="shared" si="6"/>
        <v>8.4157640984372051E-4</v>
      </c>
      <c r="M576" s="7">
        <f t="shared" si="7"/>
        <v>5806.8772279216719</v>
      </c>
    </row>
    <row r="577" spans="11:13">
      <c r="K577" s="57">
        <v>6577.3</v>
      </c>
      <c r="L577" s="7">
        <f t="shared" si="6"/>
        <v>6.2418533525616731E-4</v>
      </c>
      <c r="M577" s="7">
        <f t="shared" si="7"/>
        <v>4306.8788132675545</v>
      </c>
    </row>
    <row r="578" spans="11:13">
      <c r="K578" s="57">
        <v>6570.73</v>
      </c>
      <c r="L578" s="7">
        <f t="shared" si="6"/>
        <v>6.2356184269042863E-4</v>
      </c>
      <c r="M578" s="7">
        <f t="shared" si="7"/>
        <v>4302.5767145639575</v>
      </c>
    </row>
    <row r="579" spans="11:13">
      <c r="K579" s="57">
        <v>15317.225</v>
      </c>
      <c r="L579" s="7">
        <f t="shared" si="6"/>
        <v>1.4536036400679836E-3</v>
      </c>
      <c r="M579" s="7">
        <f t="shared" si="7"/>
        <v>10029.865116469087</v>
      </c>
    </row>
    <row r="580" spans="11:13">
      <c r="K580" s="57">
        <v>23494.32</v>
      </c>
      <c r="L580" s="7">
        <f t="shared" si="6"/>
        <v>2.2296094150815195E-3</v>
      </c>
      <c r="M580" s="7">
        <f t="shared" si="7"/>
        <v>15384.304964062485</v>
      </c>
    </row>
    <row r="581" spans="11:13">
      <c r="K581" s="57">
        <v>9573.2199999999993</v>
      </c>
      <c r="L581" s="7">
        <f t="shared" si="6"/>
        <v>9.0849794523300534E-4</v>
      </c>
      <c r="M581" s="7">
        <f t="shared" si="7"/>
        <v>6268.6358221077371</v>
      </c>
    </row>
    <row r="582" spans="11:13">
      <c r="K582" s="57">
        <v>7493.8149999999996</v>
      </c>
      <c r="L582" s="7">
        <f t="shared" si="6"/>
        <v>7.1116254817671311E-4</v>
      </c>
      <c r="M582" s="7">
        <f t="shared" si="7"/>
        <v>4907.0215824193201</v>
      </c>
    </row>
    <row r="583" spans="11:13">
      <c r="K583" s="57">
        <v>17617.82</v>
      </c>
      <c r="L583" s="7">
        <f t="shared" si="6"/>
        <v>1.6719299535041445E-3</v>
      </c>
      <c r="M583" s="7">
        <f t="shared" si="7"/>
        <v>11536.316679178597</v>
      </c>
    </row>
    <row r="584" spans="11:13">
      <c r="K584" s="57">
        <v>11610.285</v>
      </c>
      <c r="L584" s="7">
        <f t="shared" si="6"/>
        <v>1.1018152790878706E-3</v>
      </c>
      <c r="M584" s="7">
        <f t="shared" si="7"/>
        <v>7602.525425706307</v>
      </c>
    </row>
    <row r="585" spans="11:13">
      <c r="K585" s="57">
        <v>51805.18</v>
      </c>
      <c r="L585" s="7">
        <f t="shared" si="6"/>
        <v>4.9163081578012403E-3</v>
      </c>
      <c r="M585" s="7">
        <f t="shared" si="7"/>
        <v>33922.526288828558</v>
      </c>
    </row>
    <row r="586" spans="11:13">
      <c r="K586" s="57">
        <v>8163.2250000000004</v>
      </c>
      <c r="L586" s="7">
        <f t="shared" si="6"/>
        <v>7.7468951293030983E-4</v>
      </c>
      <c r="M586" s="7">
        <f t="shared" si="7"/>
        <v>5345.357639219138</v>
      </c>
    </row>
    <row r="587" spans="11:13">
      <c r="K587" s="57">
        <v>7804.0649999999996</v>
      </c>
      <c r="L587" s="7">
        <f t="shared" si="6"/>
        <v>7.4060525266992857E-4</v>
      </c>
      <c r="M587" s="7">
        <f t="shared" si="7"/>
        <v>5110.1762434225075</v>
      </c>
    </row>
    <row r="588" spans="11:13">
      <c r="K588" s="57">
        <v>13041.815000000001</v>
      </c>
      <c r="L588" s="7">
        <f t="shared" si="6"/>
        <v>1.2376673814671541E-3</v>
      </c>
      <c r="M588" s="7">
        <f t="shared" si="7"/>
        <v>8539.9049321233633</v>
      </c>
    </row>
    <row r="589" spans="11:13">
      <c r="K589" s="57">
        <v>3575.54</v>
      </c>
      <c r="L589" s="7">
        <f t="shared" si="6"/>
        <v>3.3931850966533936E-4</v>
      </c>
      <c r="M589" s="7">
        <f t="shared" si="7"/>
        <v>2341.2977166908418</v>
      </c>
    </row>
    <row r="590" spans="11:13">
      <c r="K590" s="57">
        <v>8335.8700000000008</v>
      </c>
      <c r="L590" s="7">
        <f t="shared" si="6"/>
        <v>7.9107351201888746E-4</v>
      </c>
      <c r="M590" s="7">
        <f t="shared" si="7"/>
        <v>5458.4072329303235</v>
      </c>
    </row>
    <row r="591" spans="11:13">
      <c r="K591" s="57">
        <v>5338.8549999999996</v>
      </c>
      <c r="L591" s="7">
        <f t="shared" si="6"/>
        <v>5.0665698661442608E-4</v>
      </c>
      <c r="M591" s="7">
        <f t="shared" si="7"/>
        <v>3495.9332076395399</v>
      </c>
    </row>
    <row r="592" spans="11:13">
      <c r="K592" s="57">
        <v>20112.96</v>
      </c>
      <c r="L592" s="7">
        <f t="shared" si="6"/>
        <v>1.9087185745813454E-3</v>
      </c>
      <c r="M592" s="7">
        <f t="shared" si="7"/>
        <v>13170.158164611283</v>
      </c>
    </row>
    <row r="593" spans="11:13">
      <c r="K593" s="57">
        <v>21720.42</v>
      </c>
      <c r="L593" s="7">
        <f t="shared" si="6"/>
        <v>2.0612664223320755E-3</v>
      </c>
      <c r="M593" s="7">
        <f t="shared" si="7"/>
        <v>14222.738314091321</v>
      </c>
    </row>
    <row r="594" spans="11:13">
      <c r="K594" s="57">
        <v>133963.39499999999</v>
      </c>
      <c r="L594" s="7">
        <f t="shared" si="6"/>
        <v>1.2713117330839305E-2</v>
      </c>
      <c r="M594" s="7">
        <f t="shared" si="7"/>
        <v>87720.509582791201</v>
      </c>
    </row>
    <row r="595" spans="11:13">
      <c r="K595" s="57">
        <v>14372.605</v>
      </c>
      <c r="L595" s="7">
        <f t="shared" si="6"/>
        <v>1.363959264505111E-3</v>
      </c>
      <c r="M595" s="7">
        <f t="shared" si="7"/>
        <v>9411.3189250852665</v>
      </c>
    </row>
    <row r="596" spans="11:13">
      <c r="K596" s="57">
        <v>7599.3</v>
      </c>
      <c r="L596" s="7">
        <f t="shared" si="6"/>
        <v>7.2117306770440651E-4</v>
      </c>
      <c r="M596" s="7">
        <f t="shared" si="7"/>
        <v>4976.094167160405</v>
      </c>
    </row>
    <row r="597" spans="11:13">
      <c r="K597" s="57">
        <v>8200</v>
      </c>
      <c r="L597" s="7">
        <f t="shared" si="6"/>
        <v>7.7817945799957006E-4</v>
      </c>
      <c r="M597" s="7">
        <f t="shared" si="7"/>
        <v>5369.4382601970337</v>
      </c>
    </row>
    <row r="598" spans="11:13">
      <c r="K598" s="57">
        <v>22147.47</v>
      </c>
      <c r="L598" s="7">
        <f t="shared" si="6"/>
        <v>2.1017934391050902E-3</v>
      </c>
      <c r="M598" s="7">
        <f t="shared" si="7"/>
        <v>14502.374729825122</v>
      </c>
    </row>
    <row r="599" spans="11:13">
      <c r="K599" s="57">
        <v>23002.3</v>
      </c>
      <c r="L599" s="7">
        <f t="shared" si="6"/>
        <v>2.1829167496028672E-3</v>
      </c>
      <c r="M599" s="7">
        <f t="shared" si="7"/>
        <v>15062.125572259783</v>
      </c>
    </row>
    <row r="600" spans="11:13">
      <c r="K600" s="57">
        <v>45553.095000000001</v>
      </c>
      <c r="L600" s="7">
        <f t="shared" si="6"/>
        <v>4.3229857045491375E-3</v>
      </c>
      <c r="M600" s="7">
        <f t="shared" si="7"/>
        <v>29828.60136138905</v>
      </c>
    </row>
    <row r="601" spans="11:13">
      <c r="K601" s="57">
        <v>12363.28</v>
      </c>
      <c r="L601" s="7">
        <f t="shared" si="6"/>
        <v>1.1732744548166982E-3</v>
      </c>
      <c r="M601" s="7">
        <f t="shared" si="7"/>
        <v>8095.5937382352176</v>
      </c>
    </row>
    <row r="602" spans="11:13">
      <c r="K602" s="57">
        <v>17126.895</v>
      </c>
      <c r="L602" s="7">
        <f t="shared" si="6"/>
        <v>1.6253412034531154E-3</v>
      </c>
      <c r="M602" s="7">
        <f t="shared" si="7"/>
        <v>11214.854303826496</v>
      </c>
    </row>
    <row r="603" spans="11:13">
      <c r="K603" s="57">
        <v>1541.76</v>
      </c>
      <c r="L603" s="7">
        <f t="shared" ref="L603:L666" si="8">K603/$K$343</f>
        <v>1.4631292209334355E-4</v>
      </c>
      <c r="M603" s="7">
        <f t="shared" ref="M603:M666" si="9">L603*$M$343</f>
        <v>1009.5591624440705</v>
      </c>
    </row>
    <row r="604" spans="11:13">
      <c r="K604" s="57">
        <v>18093.05</v>
      </c>
      <c r="L604" s="7">
        <f t="shared" si="8"/>
        <v>1.7170292490925757E-3</v>
      </c>
      <c r="M604" s="7">
        <f t="shared" si="9"/>
        <v>11847.501818738772</v>
      </c>
    </row>
    <row r="605" spans="11:13">
      <c r="K605" s="57">
        <v>17085.5</v>
      </c>
      <c r="L605" s="7">
        <f t="shared" si="8"/>
        <v>1.6214128206892262E-3</v>
      </c>
      <c r="M605" s="7">
        <f t="shared" si="9"/>
        <v>11187.748462755661</v>
      </c>
    </row>
    <row r="606" spans="11:13">
      <c r="K606" s="57">
        <v>13795.905000000001</v>
      </c>
      <c r="L606" s="7">
        <f t="shared" si="8"/>
        <v>1.3092304726236047E-3</v>
      </c>
      <c r="M606" s="7">
        <f t="shared" si="9"/>
        <v>9033.6902611028727</v>
      </c>
    </row>
    <row r="607" spans="11:13">
      <c r="K607" s="57">
        <v>15303.355</v>
      </c>
      <c r="L607" s="7">
        <f t="shared" si="8"/>
        <v>1.4522873779847574E-3</v>
      </c>
      <c r="M607" s="7">
        <f t="shared" si="9"/>
        <v>10020.782908094827</v>
      </c>
    </row>
    <row r="608" spans="11:13">
      <c r="K608" s="57">
        <v>3685.4050000000002</v>
      </c>
      <c r="L608" s="7">
        <f t="shared" si="8"/>
        <v>3.4974469090352507E-4</v>
      </c>
      <c r="M608" s="7">
        <f t="shared" si="9"/>
        <v>2413.2383672343231</v>
      </c>
    </row>
    <row r="609" spans="11:13">
      <c r="K609" s="57">
        <v>30111.404999999999</v>
      </c>
      <c r="L609" s="7">
        <f t="shared" si="8"/>
        <v>2.8575703442079931E-3</v>
      </c>
      <c r="M609" s="7">
        <f t="shared" si="9"/>
        <v>19717.235375035154</v>
      </c>
    </row>
    <row r="610" spans="11:13">
      <c r="K610" s="57">
        <v>10280.955</v>
      </c>
      <c r="L610" s="7">
        <f t="shared" si="8"/>
        <v>9.7566194995341092E-4</v>
      </c>
      <c r="M610" s="7">
        <f t="shared" si="9"/>
        <v>6732.0674546785349</v>
      </c>
    </row>
    <row r="611" spans="11:13">
      <c r="K611" s="57">
        <v>8386.24</v>
      </c>
      <c r="L611" s="7">
        <f t="shared" si="8"/>
        <v>7.9585362168955055E-4</v>
      </c>
      <c r="M611" s="7">
        <f t="shared" si="9"/>
        <v>5491.3899896578987</v>
      </c>
    </row>
    <row r="612" spans="11:13">
      <c r="K612" s="57">
        <v>5059.63</v>
      </c>
      <c r="L612" s="7">
        <f t="shared" si="8"/>
        <v>4.8015855257053231E-4</v>
      </c>
      <c r="M612" s="7">
        <f t="shared" si="9"/>
        <v>3313.094012736673</v>
      </c>
    </row>
    <row r="613" spans="11:13">
      <c r="K613" s="57">
        <v>7297.4449999999997</v>
      </c>
      <c r="L613" s="7">
        <f t="shared" si="8"/>
        <v>6.925270481563015E-4</v>
      </c>
      <c r="M613" s="7">
        <f t="shared" si="9"/>
        <v>4778.4366322784799</v>
      </c>
    </row>
    <row r="614" spans="11:13">
      <c r="K614" s="57">
        <v>12008.865</v>
      </c>
      <c r="L614" s="7">
        <f t="shared" si="8"/>
        <v>1.1396404947426838E-3</v>
      </c>
      <c r="M614" s="7">
        <f t="shared" si="9"/>
        <v>7863.519413724518</v>
      </c>
    </row>
    <row r="615" spans="11:13">
      <c r="K615" s="57">
        <v>19362.884999999998</v>
      </c>
      <c r="L615" s="7">
        <f t="shared" si="8"/>
        <v>1.8375365066595126E-3</v>
      </c>
      <c r="M615" s="7">
        <f t="shared" si="9"/>
        <v>12679.001895950636</v>
      </c>
    </row>
    <row r="616" spans="11:13">
      <c r="K616" s="57">
        <v>2200.9499999999998</v>
      </c>
      <c r="L616" s="7">
        <f t="shared" si="8"/>
        <v>2.0887000952245774E-4</v>
      </c>
      <c r="M616" s="7">
        <f t="shared" si="9"/>
        <v>1441.2030657049584</v>
      </c>
    </row>
    <row r="617" spans="11:13">
      <c r="K617" s="57">
        <v>6685.34</v>
      </c>
      <c r="L617" s="7">
        <f t="shared" si="8"/>
        <v>6.3443832411498125E-4</v>
      </c>
      <c r="M617" s="7">
        <f t="shared" si="9"/>
        <v>4377.6244363933702</v>
      </c>
    </row>
    <row r="618" spans="11:13">
      <c r="K618" s="57">
        <v>98447.8</v>
      </c>
      <c r="L618" s="7">
        <f t="shared" si="8"/>
        <v>9.3426897128353753E-3</v>
      </c>
      <c r="M618" s="7">
        <f t="shared" si="9"/>
        <v>64464.55901856409</v>
      </c>
    </row>
    <row r="619" spans="11:13">
      <c r="K619" s="57">
        <v>3821.55</v>
      </c>
      <c r="L619" s="7">
        <f t="shared" si="8"/>
        <v>3.6266484240466551E-4</v>
      </c>
      <c r="M619" s="7">
        <f t="shared" si="9"/>
        <v>2502.387412592192</v>
      </c>
    </row>
    <row r="620" spans="11:13">
      <c r="K620" s="57">
        <v>1415.5263157894738</v>
      </c>
      <c r="L620" s="7">
        <f t="shared" si="8"/>
        <v>1.3433335380550986E-4</v>
      </c>
      <c r="M620" s="7">
        <f t="shared" si="9"/>
        <v>926.90014125801804</v>
      </c>
    </row>
    <row r="621" spans="11:13">
      <c r="K621" s="57">
        <v>2883.6363636363635</v>
      </c>
      <c r="L621" s="7">
        <f t="shared" si="8"/>
        <v>2.7365690030760933E-4</v>
      </c>
      <c r="M621" s="7">
        <f t="shared" si="9"/>
        <v>1888.2326121225044</v>
      </c>
    </row>
    <row r="622" spans="11:13">
      <c r="K622" s="57">
        <v>18502.945</v>
      </c>
      <c r="L622" s="7">
        <f t="shared" si="8"/>
        <v>1.7559282574994945E-3</v>
      </c>
      <c r="M622" s="7">
        <f t="shared" si="9"/>
        <v>12115.904976746513</v>
      </c>
    </row>
    <row r="623" spans="11:13">
      <c r="K623" s="57">
        <v>7505.13</v>
      </c>
      <c r="L623" s="7">
        <f t="shared" si="8"/>
        <v>7.1223634092881869E-4</v>
      </c>
      <c r="M623" s="7">
        <f t="shared" si="9"/>
        <v>4914.430752408849</v>
      </c>
    </row>
    <row r="624" spans="11:13">
      <c r="K624" s="57">
        <v>2856.49</v>
      </c>
      <c r="L624" s="7">
        <f t="shared" si="8"/>
        <v>2.7108071219282824E-4</v>
      </c>
      <c r="M624" s="7">
        <f t="shared" si="9"/>
        <v>1870.4569141305149</v>
      </c>
    </row>
    <row r="625" spans="11:13">
      <c r="K625" s="57">
        <v>8300</v>
      </c>
      <c r="L625" s="7">
        <f t="shared" si="8"/>
        <v>7.8766945138980873E-4</v>
      </c>
      <c r="M625" s="7">
        <f t="shared" si="9"/>
        <v>5434.9192145896805</v>
      </c>
    </row>
    <row r="626" spans="11:13">
      <c r="K626" s="57">
        <v>37100</v>
      </c>
      <c r="L626" s="7">
        <f t="shared" si="8"/>
        <v>3.5207875477785426E-3</v>
      </c>
      <c r="M626" s="7">
        <f t="shared" si="9"/>
        <v>24293.434079671944</v>
      </c>
    </row>
    <row r="627" spans="11:13">
      <c r="K627" s="57">
        <v>5706.7749999999996</v>
      </c>
      <c r="L627" s="7">
        <f t="shared" si="8"/>
        <v>5.4157257029579218E-4</v>
      </c>
      <c r="M627" s="7">
        <f t="shared" si="9"/>
        <v>3736.8507350409659</v>
      </c>
    </row>
    <row r="628" spans="11:13">
      <c r="K628" s="57">
        <v>10380.965</v>
      </c>
      <c r="L628" s="7">
        <f t="shared" si="8"/>
        <v>9.8515289234298855E-4</v>
      </c>
      <c r="M628" s="7">
        <f t="shared" si="9"/>
        <v>6797.5549571666206</v>
      </c>
    </row>
    <row r="629" spans="11:13">
      <c r="K629" s="57">
        <v>11400</v>
      </c>
      <c r="L629" s="7">
        <f t="shared" si="8"/>
        <v>1.0818592464872071E-3</v>
      </c>
      <c r="M629" s="7">
        <f t="shared" si="9"/>
        <v>7464.8288007617284</v>
      </c>
    </row>
    <row r="630" spans="11:13">
      <c r="K630" s="57">
        <v>10124.735000000001</v>
      </c>
      <c r="L630" s="7">
        <f t="shared" si="8"/>
        <v>9.6083668227918016E-4</v>
      </c>
      <c r="M630" s="7">
        <f t="shared" si="9"/>
        <v>6629.7731077263434</v>
      </c>
    </row>
    <row r="631" spans="11:13">
      <c r="K631" s="57">
        <v>1699.44</v>
      </c>
      <c r="L631" s="7">
        <f t="shared" si="8"/>
        <v>1.6127674367107187E-4</v>
      </c>
      <c r="M631" s="7">
        <f t="shared" si="9"/>
        <v>1112.8095313303959</v>
      </c>
    </row>
    <row r="632" spans="11:13">
      <c r="K632" s="57">
        <v>1988.885</v>
      </c>
      <c r="L632" s="7">
        <f t="shared" si="8"/>
        <v>1.8874505503944816E-4</v>
      </c>
      <c r="M632" s="7">
        <f t="shared" si="9"/>
        <v>1302.3408797721922</v>
      </c>
    </row>
    <row r="633" spans="11:13">
      <c r="K633" s="57">
        <v>7102.9</v>
      </c>
      <c r="L633" s="7">
        <f t="shared" si="8"/>
        <v>6.7406474051526168E-4</v>
      </c>
      <c r="M633" s="7">
        <f t="shared" si="9"/>
        <v>4651.0467095553058</v>
      </c>
    </row>
    <row r="634" spans="11:13">
      <c r="K634" s="57">
        <v>7948.24</v>
      </c>
      <c r="L634" s="7">
        <f t="shared" si="8"/>
        <v>7.5428745064030521E-4</v>
      </c>
      <c r="M634" s="7">
        <f t="shared" si="9"/>
        <v>5204.5834094181055</v>
      </c>
    </row>
    <row r="635" spans="11:13">
      <c r="K635" s="57">
        <v>9850</v>
      </c>
      <c r="L635" s="7">
        <f t="shared" si="8"/>
        <v>9.347643489385079E-4</v>
      </c>
      <c r="M635" s="7">
        <f t="shared" si="9"/>
        <v>6449.8740076757049</v>
      </c>
    </row>
    <row r="636" spans="11:13">
      <c r="K636" s="57">
        <v>7379.57</v>
      </c>
      <c r="L636" s="7">
        <f t="shared" si="8"/>
        <v>7.0032070522803498E-4</v>
      </c>
      <c r="M636" s="7">
        <f t="shared" si="9"/>
        <v>4832.2128660734415</v>
      </c>
    </row>
    <row r="637" spans="11:13">
      <c r="K637" s="57">
        <v>17747.395</v>
      </c>
      <c r="L637" s="7">
        <f t="shared" si="8"/>
        <v>1.6842266124395464E-3</v>
      </c>
      <c r="M637" s="7">
        <f t="shared" si="9"/>
        <v>11621.163625832871</v>
      </c>
    </row>
    <row r="638" spans="11:13">
      <c r="K638" s="57">
        <v>10643.4</v>
      </c>
      <c r="L638" s="7">
        <f t="shared" si="8"/>
        <v>1.0100579564966614E-3</v>
      </c>
      <c r="M638" s="7">
        <f t="shared" si="9"/>
        <v>6969.3998998269635</v>
      </c>
    </row>
    <row r="639" spans="11:13">
      <c r="K639" s="57">
        <v>8266.8850000000002</v>
      </c>
      <c r="L639" s="7">
        <f t="shared" si="8"/>
        <v>7.8452684007863124E-4</v>
      </c>
      <c r="M639" s="7">
        <f t="shared" si="9"/>
        <v>5413.235196542556</v>
      </c>
    </row>
    <row r="640" spans="11:13">
      <c r="K640" s="57">
        <v>20680.169999999998</v>
      </c>
      <c r="L640" s="7">
        <f t="shared" si="8"/>
        <v>1.9625467660901179E-3</v>
      </c>
      <c r="M640" s="7">
        <f t="shared" si="9"/>
        <v>13541.572686021813</v>
      </c>
    </row>
    <row r="641" spans="11:13">
      <c r="K641" s="57">
        <v>11465.38</v>
      </c>
      <c r="L641" s="7">
        <f t="shared" si="8"/>
        <v>1.0880638041657451E-3</v>
      </c>
      <c r="M641" s="7">
        <f t="shared" si="9"/>
        <v>7507.6402487436408</v>
      </c>
    </row>
    <row r="642" spans="11:13">
      <c r="K642" s="57">
        <v>20232.314999999999</v>
      </c>
      <c r="L642" s="7">
        <f t="shared" si="8"/>
        <v>1.9200453561922647E-3</v>
      </c>
      <c r="M642" s="7">
        <f t="shared" si="9"/>
        <v>13248.312957726626</v>
      </c>
    </row>
    <row r="643" spans="11:13">
      <c r="K643" s="57">
        <v>12548.7</v>
      </c>
      <c r="L643" s="7">
        <f t="shared" si="8"/>
        <v>1.1908708005608788E-3</v>
      </c>
      <c r="M643" s="7">
        <f t="shared" si="9"/>
        <v>8217.0085238700631</v>
      </c>
    </row>
    <row r="644" spans="11:13">
      <c r="K644" s="57">
        <v>50809.46</v>
      </c>
      <c r="L644" s="7">
        <f t="shared" si="8"/>
        <v>4.8218143956159556E-3</v>
      </c>
      <c r="M644" s="7">
        <f t="shared" si="9"/>
        <v>33270.519329750095</v>
      </c>
    </row>
    <row r="645" spans="11:13">
      <c r="K645" s="57">
        <v>9830</v>
      </c>
      <c r="L645" s="7">
        <f t="shared" si="8"/>
        <v>9.3286635026046025E-4</v>
      </c>
      <c r="M645" s="7">
        <f t="shared" si="9"/>
        <v>6436.7778167971755</v>
      </c>
    </row>
    <row r="646" spans="11:13">
      <c r="K646" s="57">
        <v>11637.295</v>
      </c>
      <c r="L646" s="7">
        <f t="shared" si="8"/>
        <v>1.104378526302574E-3</v>
      </c>
      <c r="M646" s="7">
        <f t="shared" si="9"/>
        <v>7620.2118314877607</v>
      </c>
    </row>
    <row r="647" spans="11:13">
      <c r="K647" s="57">
        <v>26028.514999999999</v>
      </c>
      <c r="L647" s="7">
        <f t="shared" si="8"/>
        <v>2.4701043530772778E-3</v>
      </c>
      <c r="M647" s="7">
        <f t="shared" si="9"/>
        <v>17043.720036233215</v>
      </c>
    </row>
    <row r="648" spans="11:13">
      <c r="K648" s="57">
        <v>19200</v>
      </c>
      <c r="L648" s="7">
        <f t="shared" si="8"/>
        <v>1.8220787309258227E-3</v>
      </c>
      <c r="M648" s="7">
        <f t="shared" si="9"/>
        <v>12572.343243388177</v>
      </c>
    </row>
    <row r="649" spans="11:13">
      <c r="K649" s="57">
        <v>21576.61</v>
      </c>
      <c r="L649" s="7">
        <f t="shared" si="8"/>
        <v>2.0476188628375737E-3</v>
      </c>
      <c r="M649" s="7">
        <f t="shared" si="9"/>
        <v>14128.570153579258</v>
      </c>
    </row>
    <row r="650" spans="11:13">
      <c r="K650" s="57">
        <v>9600</v>
      </c>
      <c r="L650" s="7">
        <f t="shared" si="8"/>
        <v>9.1103936546291133E-4</v>
      </c>
      <c r="M650" s="7">
        <f t="shared" si="9"/>
        <v>6286.1716216940886</v>
      </c>
    </row>
    <row r="651" spans="11:13">
      <c r="K651" s="57">
        <v>6418.89</v>
      </c>
      <c r="L651" s="7">
        <f t="shared" si="8"/>
        <v>6.0915223672669029E-4</v>
      </c>
      <c r="M651" s="7">
        <f t="shared" si="9"/>
        <v>4203.1504334141628</v>
      </c>
    </row>
    <row r="652" spans="11:13">
      <c r="K652" s="57">
        <v>11600</v>
      </c>
      <c r="L652" s="7">
        <f t="shared" si="8"/>
        <v>1.1008392332676844E-3</v>
      </c>
      <c r="M652" s="7">
        <f t="shared" si="9"/>
        <v>7595.7907095470227</v>
      </c>
    </row>
    <row r="653" spans="11:13">
      <c r="K653" s="57">
        <v>21993.075000000001</v>
      </c>
      <c r="L653" s="7">
        <f t="shared" si="8"/>
        <v>2.0871413638102309E-3</v>
      </c>
      <c r="M653" s="7">
        <f t="shared" si="9"/>
        <v>14401.275410290593</v>
      </c>
    </row>
    <row r="654" spans="11:13">
      <c r="K654" s="57">
        <v>37929.705000000002</v>
      </c>
      <c r="L654" s="7">
        <f t="shared" si="8"/>
        <v>3.5995264974370226E-3</v>
      </c>
      <c r="M654" s="7">
        <f t="shared" si="9"/>
        <v>24836.732832315454</v>
      </c>
    </row>
    <row r="655" spans="11:13">
      <c r="K655" s="57">
        <v>37608.14</v>
      </c>
      <c r="L655" s="7">
        <f t="shared" si="8"/>
        <v>3.5690100001917013E-3</v>
      </c>
      <c r="M655" s="7">
        <f t="shared" si="9"/>
        <v>24626.169001322738</v>
      </c>
    </row>
    <row r="656" spans="11:13">
      <c r="K656" s="57">
        <v>8600</v>
      </c>
      <c r="L656" s="7">
        <f t="shared" si="8"/>
        <v>8.1613943156052474E-4</v>
      </c>
      <c r="M656" s="7">
        <f t="shared" si="9"/>
        <v>5631.3620777676206</v>
      </c>
    </row>
    <row r="657" spans="11:13">
      <c r="K657" s="57">
        <v>8198.6299999999992</v>
      </c>
      <c r="L657" s="7">
        <f t="shared" si="8"/>
        <v>7.7804944509012367E-4</v>
      </c>
      <c r="M657" s="7">
        <f t="shared" si="9"/>
        <v>5368.541171121853</v>
      </c>
    </row>
    <row r="658" spans="11:13">
      <c r="K658" s="57">
        <v>10390.09</v>
      </c>
      <c r="L658" s="7">
        <f t="shared" si="8"/>
        <v>9.8601885423984788E-4</v>
      </c>
      <c r="M658" s="7">
        <f t="shared" si="9"/>
        <v>6803.5300942549502</v>
      </c>
    </row>
    <row r="659" spans="11:13">
      <c r="K659" s="57">
        <v>7500</v>
      </c>
      <c r="L659" s="7">
        <f t="shared" si="8"/>
        <v>7.1174950426789948E-4</v>
      </c>
      <c r="M659" s="7">
        <f t="shared" si="9"/>
        <v>4911.0715794485068</v>
      </c>
    </row>
    <row r="660" spans="11:13">
      <c r="K660" s="57">
        <v>33534.375</v>
      </c>
      <c r="L660" s="7">
        <f t="shared" si="8"/>
        <v>3.1824099709578456E-3</v>
      </c>
      <c r="M660" s="7">
        <f t="shared" si="9"/>
        <v>21958.628799609134</v>
      </c>
    </row>
    <row r="661" spans="11:13">
      <c r="K661" s="57">
        <v>98180.62</v>
      </c>
      <c r="L661" s="7">
        <f t="shared" si="8"/>
        <v>9.3173343484953351E-3</v>
      </c>
      <c r="M661" s="7">
        <f t="shared" si="9"/>
        <v>64289.607004617814</v>
      </c>
    </row>
    <row r="662" spans="11:13">
      <c r="K662" s="57">
        <v>15189.84</v>
      </c>
      <c r="L662" s="7">
        <f t="shared" si="8"/>
        <v>1.441514811987828E-3</v>
      </c>
      <c r="M662" s="7">
        <f t="shared" si="9"/>
        <v>9946.4522027160128</v>
      </c>
    </row>
    <row r="663" spans="11:13">
      <c r="K663" s="57">
        <v>48047.504999999997</v>
      </c>
      <c r="L663" s="7">
        <f t="shared" si="8"/>
        <v>4.5597050486745894E-3</v>
      </c>
      <c r="M663" s="7">
        <f t="shared" si="9"/>
        <v>31461.964835854666</v>
      </c>
    </row>
    <row r="664" spans="11:13">
      <c r="K664" s="57">
        <v>12669.15</v>
      </c>
      <c r="L664" s="7">
        <f t="shared" si="8"/>
        <v>1.2023014975994211E-3</v>
      </c>
      <c r="M664" s="7">
        <f t="shared" si="9"/>
        <v>8295.8803334360055</v>
      </c>
    </row>
    <row r="665" spans="11:13">
      <c r="K665" s="57">
        <v>44321.95</v>
      </c>
      <c r="L665" s="7">
        <f t="shared" si="8"/>
        <v>4.2061501254248828E-3</v>
      </c>
      <c r="M665" s="7">
        <f t="shared" si="9"/>
        <v>29022.435865431693</v>
      </c>
    </row>
    <row r="666" spans="11:13">
      <c r="K666" s="57">
        <v>11378.875</v>
      </c>
      <c r="L666" s="7">
        <f t="shared" si="8"/>
        <v>1.0798544853835193E-3</v>
      </c>
      <c r="M666" s="7">
        <f t="shared" si="9"/>
        <v>7450.9959491462832</v>
      </c>
    </row>
    <row r="667" spans="11:13">
      <c r="K667" s="57">
        <v>30683.360000000001</v>
      </c>
      <c r="L667" s="7">
        <f t="shared" ref="L667:L680" si="10">K667/$K$343</f>
        <v>2.9118488359031326E-3</v>
      </c>
      <c r="M667" s="7">
        <f t="shared" ref="M667:M680" si="11">L667*$M$343</f>
        <v>20091.756967731613</v>
      </c>
    </row>
    <row r="668" spans="11:13">
      <c r="K668" s="57">
        <v>75929.125</v>
      </c>
      <c r="L668" s="7">
        <f t="shared" si="10"/>
        <v>7.2056689437660498E-3</v>
      </c>
      <c r="M668" s="7">
        <f t="shared" si="11"/>
        <v>49719.115711985745</v>
      </c>
    </row>
    <row r="669" spans="11:13">
      <c r="K669" s="57">
        <v>45807.864999999998</v>
      </c>
      <c r="L669" s="7">
        <f t="shared" si="10"/>
        <v>4.3471633607094478E-3</v>
      </c>
      <c r="M669" s="7">
        <f t="shared" si="11"/>
        <v>29995.427188895188</v>
      </c>
    </row>
    <row r="670" spans="11:13">
      <c r="K670" s="57">
        <v>77342.77</v>
      </c>
      <c r="L670" s="7">
        <f t="shared" si="10"/>
        <v>7.3398237608274892E-3</v>
      </c>
      <c r="M670" s="7">
        <f t="shared" si="11"/>
        <v>50644.783949709672</v>
      </c>
    </row>
    <row r="671" spans="11:13">
      <c r="K671" s="57">
        <v>544725.63500000001</v>
      </c>
      <c r="L671" s="7">
        <f t="shared" si="10"/>
        <v>5.1694426756435569E-2</v>
      </c>
      <c r="M671" s="7">
        <f t="shared" si="11"/>
        <v>356691.54461940541</v>
      </c>
    </row>
    <row r="672" spans="11:13">
      <c r="K672" s="57">
        <v>36377.724999999999</v>
      </c>
      <c r="L672" s="7">
        <f t="shared" si="10"/>
        <v>3.4522436980191961E-3</v>
      </c>
      <c r="M672" s="7">
        <f t="shared" si="11"/>
        <v>23820.481516332453</v>
      </c>
    </row>
    <row r="673" spans="11:13">
      <c r="K673" s="57">
        <v>25600</v>
      </c>
      <c r="L673" s="7">
        <f t="shared" si="10"/>
        <v>2.4294383079010969E-3</v>
      </c>
      <c r="M673" s="7">
        <f t="shared" si="11"/>
        <v>16763.124324517568</v>
      </c>
    </row>
    <row r="674" spans="11:13">
      <c r="K674" s="57">
        <v>31726.895</v>
      </c>
      <c r="L674" s="7">
        <f t="shared" si="10"/>
        <v>3.0108802384279597E-3</v>
      </c>
      <c r="M674" s="7">
        <f t="shared" si="11"/>
        <v>20775.073645152923</v>
      </c>
    </row>
    <row r="675" spans="11:13">
      <c r="K675" s="57">
        <v>166747.69500000001</v>
      </c>
      <c r="L675" s="7">
        <f t="shared" si="10"/>
        <v>1.5824345233875318E-2</v>
      </c>
      <c r="M675" s="7">
        <f t="shared" si="11"/>
        <v>109187.98211373969</v>
      </c>
    </row>
    <row r="676" spans="11:13">
      <c r="K676" s="57">
        <v>22342.744999999999</v>
      </c>
      <c r="L676" s="7">
        <f t="shared" si="10"/>
        <v>2.1203250236978785E-3</v>
      </c>
      <c r="M676" s="7">
        <f t="shared" si="11"/>
        <v>14630.242663515361</v>
      </c>
    </row>
    <row r="677" spans="11:13">
      <c r="K677" s="57">
        <v>18000</v>
      </c>
      <c r="L677" s="7">
        <f t="shared" si="10"/>
        <v>1.7081988102429586E-3</v>
      </c>
      <c r="M677" s="7">
        <f t="shared" si="11"/>
        <v>11786.571790676415</v>
      </c>
    </row>
    <row r="678" spans="11:13">
      <c r="K678" s="57">
        <v>22703.73</v>
      </c>
      <c r="L678" s="7">
        <f t="shared" si="10"/>
        <v>2.1545824763376316E-3</v>
      </c>
      <c r="M678" s="7">
        <f t="shared" si="11"/>
        <v>14866.619086729657</v>
      </c>
    </row>
    <row r="679" spans="11:13">
      <c r="K679" s="57">
        <v>19641.38</v>
      </c>
      <c r="L679" s="7">
        <f t="shared" si="10"/>
        <v>1.863965663751658E-3</v>
      </c>
      <c r="M679" s="7">
        <f t="shared" si="11"/>
        <v>12861.36307988644</v>
      </c>
    </row>
    <row r="680" spans="11:13">
      <c r="K680" s="57">
        <v>131724.12</v>
      </c>
      <c r="L680" s="7">
        <f t="shared" si="10"/>
        <v>1.2500610281350039E-2</v>
      </c>
      <c r="M680" s="7">
        <f t="shared" si="11"/>
        <v>86254.210941315265</v>
      </c>
    </row>
  </sheetData>
  <mergeCells count="18">
    <mergeCell ref="AU2:AV2"/>
    <mergeCell ref="AQ2:AT2"/>
    <mergeCell ref="BC2:BD2"/>
    <mergeCell ref="AY1:AZ1"/>
    <mergeCell ref="B2:E2"/>
    <mergeCell ref="G2:H2"/>
    <mergeCell ref="BA2:BB2"/>
    <mergeCell ref="I2:N2"/>
    <mergeCell ref="AE2:AG2"/>
    <mergeCell ref="AW2:AX2"/>
    <mergeCell ref="AH2:AJ2"/>
    <mergeCell ref="AY2:AZ2"/>
    <mergeCell ref="AK2:AM2"/>
    <mergeCell ref="AN2:AP2"/>
    <mergeCell ref="Y2:AD2"/>
    <mergeCell ref="O2:P2"/>
    <mergeCell ref="Q2:V2"/>
    <mergeCell ref="W2:X2"/>
  </mergeCells>
  <phoneticPr fontId="8" type="noConversion"/>
  <conditionalFormatting sqref="AB4:AT338 AW4:AZ338">
    <cfRule type="containsText" dxfId="296" priority="6" operator="containsText" text="Flagged">
      <formula>NOT(ISERROR(SEARCH("Flagged",AB4)))</formula>
    </cfRule>
  </conditionalFormatting>
  <conditionalFormatting sqref="AU4:AV338">
    <cfRule type="containsText" dxfId="295" priority="2" operator="containsText" text="Flagged">
      <formula>NOT(ISERROR(SEARCH("Flagged",AU4)))</formula>
    </cfRule>
  </conditionalFormatting>
  <pageMargins left="0.7" right="0.7" top="0.75" bottom="0.75" header="0.3" footer="0.3"/>
  <pageSetup paperSize="9"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3003-12C3-4852-B30E-5B980E3C4427}">
  <sheetPr codeName="Sheet7">
    <tabColor rgb="FFBDD7EE"/>
  </sheetPr>
  <dimension ref="A1:AY343"/>
  <sheetViews>
    <sheetView tabSelected="1" topLeftCell="AE1" zoomScale="70" zoomScaleNormal="70" workbookViewId="0">
      <selection activeCell="AP344" sqref="AP344"/>
    </sheetView>
  </sheetViews>
  <sheetFormatPr defaultColWidth="14.7109375" defaultRowHeight="14.45"/>
  <cols>
    <col min="1" max="1" width="14.7109375" style="340" customWidth="1"/>
    <col min="2" max="3" width="16.140625" style="341"/>
    <col min="4" max="4" width="16.140625" style="341" bestFit="1" customWidth="1"/>
    <col min="5" max="6" width="16.140625" style="341"/>
    <col min="7" max="8" width="16.140625" style="342"/>
    <col min="9" max="9" width="16.140625" style="343"/>
    <col min="10" max="13" width="16.140625" style="342"/>
    <col min="14" max="15" width="16.140625"/>
    <col min="16" max="21" width="16.140625" style="342"/>
    <col min="22" max="25" width="16.140625" style="344"/>
    <col min="26" max="27" width="16.140625"/>
    <col min="28" max="28" width="16.140625" style="345"/>
    <col min="29" max="33" width="16.140625" style="344"/>
    <col min="34" max="37" width="16.140625"/>
    <col min="38" max="38" width="16.140625" style="211"/>
    <col min="39" max="39" width="16.140625"/>
    <col min="40" max="40" width="16.140625" style="321"/>
    <col min="41" max="41" width="16.140625" style="211"/>
    <col min="42" max="42" width="38.85546875" customWidth="1"/>
    <col min="43" max="43" width="16.140625" style="1"/>
    <col min="44" max="44" width="16.140625" style="211"/>
    <col min="45" max="45" width="16.140625"/>
  </cols>
  <sheetData>
    <row r="1" spans="1:51" ht="33.75" customHeight="1" thickBot="1">
      <c r="A1" s="326"/>
      <c r="B1" s="473"/>
      <c r="C1" s="473"/>
      <c r="D1" s="473"/>
      <c r="E1" s="473"/>
      <c r="F1" s="473"/>
      <c r="G1" s="473"/>
      <c r="H1" s="473"/>
      <c r="I1" s="483" t="s">
        <v>841</v>
      </c>
      <c r="J1" s="483"/>
      <c r="K1" s="483"/>
      <c r="L1" s="483"/>
      <c r="M1" s="483"/>
      <c r="N1" s="483"/>
      <c r="O1" s="483"/>
      <c r="P1" s="483"/>
      <c r="Q1" s="483"/>
      <c r="R1" s="483"/>
      <c r="S1" s="483"/>
      <c r="T1" s="483"/>
      <c r="U1" s="483"/>
      <c r="V1" s="483"/>
      <c r="W1" s="493" t="s">
        <v>842</v>
      </c>
      <c r="X1" s="493"/>
      <c r="Y1" s="493"/>
      <c r="Z1" s="493"/>
      <c r="AA1" s="493"/>
      <c r="AB1" s="327"/>
      <c r="AC1" s="328"/>
      <c r="AD1" s="329"/>
      <c r="AE1" s="328"/>
      <c r="AF1" s="5"/>
      <c r="AG1" s="488"/>
      <c r="AH1" s="488"/>
      <c r="AI1" s="213"/>
      <c r="AJ1" s="213"/>
      <c r="AK1" s="214"/>
      <c r="AL1" s="214"/>
      <c r="AM1" s="214"/>
      <c r="AN1" s="85"/>
      <c r="AO1" s="328"/>
      <c r="AP1" s="328"/>
      <c r="AQ1"/>
      <c r="AR1"/>
    </row>
    <row r="2" spans="1:51" ht="33" customHeight="1" thickTop="1" thickBot="1">
      <c r="A2" s="330"/>
      <c r="B2" s="490" t="s">
        <v>61</v>
      </c>
      <c r="C2" s="491"/>
      <c r="D2" s="491"/>
      <c r="E2" s="491"/>
      <c r="F2" s="361"/>
      <c r="G2" s="476" t="s">
        <v>62</v>
      </c>
      <c r="H2" s="476"/>
      <c r="I2" s="368"/>
      <c r="J2" s="369"/>
      <c r="K2" s="369"/>
      <c r="L2" s="370"/>
      <c r="M2" s="370"/>
      <c r="N2" s="370"/>
      <c r="O2" s="369"/>
      <c r="P2" s="369"/>
      <c r="Q2" s="477" t="s">
        <v>843</v>
      </c>
      <c r="R2" s="478"/>
      <c r="S2" s="478"/>
      <c r="T2" s="478"/>
      <c r="U2" s="479"/>
      <c r="V2" s="371"/>
      <c r="W2" s="484" t="s">
        <v>844</v>
      </c>
      <c r="X2" s="485"/>
      <c r="Y2" s="485"/>
      <c r="Z2" s="485" t="s">
        <v>845</v>
      </c>
      <c r="AA2" s="492"/>
      <c r="AB2" s="480" t="s">
        <v>846</v>
      </c>
      <c r="AC2" s="481"/>
      <c r="AD2" s="481"/>
      <c r="AE2" s="481"/>
      <c r="AF2" s="482"/>
      <c r="AG2" s="486" t="s">
        <v>847</v>
      </c>
      <c r="AH2" s="487"/>
      <c r="AI2" s="489" t="s">
        <v>848</v>
      </c>
      <c r="AJ2" s="489"/>
      <c r="AK2" s="489" t="s">
        <v>45</v>
      </c>
      <c r="AL2" s="489"/>
      <c r="AM2" s="489"/>
      <c r="AN2" s="402" t="str">
        <f>_xlfn.CONCAT("# of units flagged: ",COUNTIF(AN6:AN7,"&gt;=1"))</f>
        <v># of units flagged: 0</v>
      </c>
      <c r="AO2" s="474" t="s">
        <v>849</v>
      </c>
      <c r="AP2" s="475"/>
      <c r="AQ2"/>
      <c r="AR2"/>
    </row>
    <row r="3" spans="1:51" ht="45" customHeight="1">
      <c r="A3" s="331" t="s">
        <v>67</v>
      </c>
      <c r="B3" s="362" t="s">
        <v>68</v>
      </c>
      <c r="C3" s="332" t="s">
        <v>69</v>
      </c>
      <c r="D3" s="332" t="s">
        <v>70</v>
      </c>
      <c r="E3" s="332" t="s">
        <v>71</v>
      </c>
      <c r="F3" s="332" t="s">
        <v>72</v>
      </c>
      <c r="G3" s="333" t="s">
        <v>62</v>
      </c>
      <c r="H3" s="332" t="s">
        <v>73</v>
      </c>
      <c r="I3" s="372" t="s">
        <v>92</v>
      </c>
      <c r="J3" s="334" t="s">
        <v>93</v>
      </c>
      <c r="K3" s="334" t="s">
        <v>94</v>
      </c>
      <c r="L3" s="334" t="s">
        <v>95</v>
      </c>
      <c r="M3" s="334" t="s">
        <v>96</v>
      </c>
      <c r="N3" s="334" t="s">
        <v>97</v>
      </c>
      <c r="O3" s="233" t="s">
        <v>766</v>
      </c>
      <c r="P3" s="233" t="s">
        <v>767</v>
      </c>
      <c r="Q3" s="372" t="s">
        <v>850</v>
      </c>
      <c r="R3" s="334" t="s">
        <v>851</v>
      </c>
      <c r="S3" s="334" t="s">
        <v>852</v>
      </c>
      <c r="T3" s="334" t="s">
        <v>853</v>
      </c>
      <c r="U3" s="381" t="s">
        <v>854</v>
      </c>
      <c r="V3" s="373" t="s">
        <v>855</v>
      </c>
      <c r="W3" s="386" t="s">
        <v>856</v>
      </c>
      <c r="X3" s="212" t="s">
        <v>857</v>
      </c>
      <c r="Y3" s="212" t="s">
        <v>858</v>
      </c>
      <c r="Z3" s="212" t="s">
        <v>859</v>
      </c>
      <c r="AA3" s="387" t="s">
        <v>860</v>
      </c>
      <c r="AB3" s="395" t="s">
        <v>861</v>
      </c>
      <c r="AC3" s="335" t="s">
        <v>862</v>
      </c>
      <c r="AD3" s="336" t="s">
        <v>863</v>
      </c>
      <c r="AE3" s="335" t="s">
        <v>864</v>
      </c>
      <c r="AF3" s="396" t="s">
        <v>865</v>
      </c>
      <c r="AG3" s="403" t="s">
        <v>866</v>
      </c>
      <c r="AH3" s="337" t="s">
        <v>867</v>
      </c>
      <c r="AI3" s="338" t="s">
        <v>868</v>
      </c>
      <c r="AJ3" s="338" t="s">
        <v>869</v>
      </c>
      <c r="AK3" s="339" t="s">
        <v>45</v>
      </c>
      <c r="AL3" s="339" t="s">
        <v>870</v>
      </c>
      <c r="AM3" s="339" t="s">
        <v>796</v>
      </c>
      <c r="AN3" s="404" t="s">
        <v>871</v>
      </c>
      <c r="AO3" s="414" t="s">
        <v>872</v>
      </c>
      <c r="AP3" s="415" t="s">
        <v>800</v>
      </c>
      <c r="AQ3" s="424" t="s">
        <v>873</v>
      </c>
      <c r="AR3" s="425" t="s">
        <v>874</v>
      </c>
    </row>
    <row r="4" spans="1:51" hidden="1">
      <c r="A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VenezolanosVE0101</v>
      </c>
      <c r="B4" s="363" t="s">
        <v>98</v>
      </c>
      <c r="C4" s="323" t="s">
        <v>99</v>
      </c>
      <c r="D4" s="322" t="s">
        <v>100</v>
      </c>
      <c r="E4" s="323" t="s">
        <v>101</v>
      </c>
      <c r="F4" s="323"/>
      <c r="G4" s="324">
        <v>1943901</v>
      </c>
      <c r="H4" s="324" t="s">
        <v>102</v>
      </c>
      <c r="I4" s="374">
        <v>2</v>
      </c>
      <c r="J4" s="237">
        <v>2</v>
      </c>
      <c r="K4" s="237">
        <v>3</v>
      </c>
      <c r="L4" s="237">
        <v>4</v>
      </c>
      <c r="M4" s="237">
        <v>4</v>
      </c>
      <c r="N4" s="237">
        <v>3</v>
      </c>
      <c r="O4" s="237">
        <v>4</v>
      </c>
      <c r="P4" s="237">
        <v>4</v>
      </c>
      <c r="Q4" s="382" t="str">
        <f>IF(COUNTIF(tblSeverityAnalysis[[#This Row],[SAMV]:[ASH]], 1)=0, "", COUNTIF(tblSeverityAnalysis[[#This Row],[SAMV]:[ASH]], 1))</f>
        <v/>
      </c>
      <c r="R4" s="325">
        <f>IF(COUNTIF(tblSeverityAnalysis[[#This Row],[SAMV]:[ASH]], 2)=0, "", COUNTIF(tblSeverityAnalysis[[#This Row],[SAMV]:[ASH]], 2))</f>
        <v>2</v>
      </c>
      <c r="S4" s="325">
        <f>IF(COUNTIF(tblSeverityAnalysis[[#This Row],[SAMV]:[ASH]], 3)=0, "", COUNTIF(tblSeverityAnalysis[[#This Row],[SAMV]:[ASH]], 3))</f>
        <v>2</v>
      </c>
      <c r="T4" s="325">
        <f>IF(COUNTIF(tblSeverityAnalysis[[#This Row],[SAMV]:[ASH]], 4)=0, "", COUNTIF(tblSeverityAnalysis[[#This Row],[SAMV]:[ASH]], 4))</f>
        <v>2</v>
      </c>
      <c r="U4" s="383" t="str">
        <f>IF(COUNTIF(tblSeverityAnalysis[[#This Row],[SAMV]:[ASH]], 5)=0, "", COUNTIF(tblSeverityAnalysis[[#This Row],[SAMV]:[ASH]], 5))</f>
        <v/>
      </c>
      <c r="V4" s="375" cm="1">
        <f t="array" ref="V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4" s="388"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4" s="237" t="str">
        <f>IFERROR(IF(INDEX(tblSeverityReference[Severidad de la desnutrición],MATCH(tblSeverityAnalysis[[#This Row],[ID]], tblSeverityReference[ID], 0))= "", "",INDEX(tblSeverityReference[Severidad de la desnutrición],MATCH(tblSeverityAnalysis[[#This Row],[ID]], tblSeverityReference[ID], 0)) ), "")</f>
        <v/>
      </c>
      <c r="Y4" s="237" t="str">
        <f>IFERROR(IF(INDEX(tblSeverityReference[Severidad epidémica],MATCH(tblSeverityAnalysis[[#This Row],[ID]], tblSeverityReference[ID], 0))= "", "",INDEX(tblSeverityReference[Severidad epidémica],MATCH(tblSeverityAnalysis[[#This Row],[ID]], tblSeverityReference[ID], 0)) ), "")</f>
        <v/>
      </c>
      <c r="Z4" s="237"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4" s="389" t="str">
        <f>IFERROR(IF(INDEX(tblSeverityReference[HR/IHL Violation],MATCH(tblSeverityAnalysis[[#This Row],[ID]], tblSeverityReference[ID], 0))= "", "",INDEX(tblSeverityReference[HR/IHL Violation],MATCH(tblSeverityAnalysis[[#This Row],[ID]], tblSeverityReference[ID], 0)) ), "")</f>
        <v/>
      </c>
      <c r="AB4" s="397">
        <f>IFERROR(AVERAGE(tblSeverityAnalysis[[#This Row],[SAMV]:[ASH]]), "")</f>
        <v>3</v>
      </c>
      <c r="AC4" s="346">
        <f>IF(SUM(tblSeverityAnalysis[[#This Row],[SAMV]:[ASH]])=0, "", MAX(tblSeverityAnalysis[[#This Row],[SAMV]:[ASH]]))</f>
        <v>4</v>
      </c>
      <c r="AD4" s="319" t="str" cm="1">
        <f t="array" ref="AD4">IFERROR(IF(tblSeverityAnalysis[[#This Row],[Severidad máxima]]="", "", _xlfn.TEXTJOIN(CHAR(10), TRUE, IF(tblSeverityAnalysis[[#This Row],[SAMV]:[ASH]]=tblSeverityAnalysis[[#This Row],[Severidad máxima]], tblSeverityAnalysis[[#Headers],[SAMV]:[ASH]], ""), "")), "")</f>
        <v>EDU
PRO</v>
      </c>
      <c r="AE4" s="346" cm="1">
        <f t="array" ref="AE4">IFERROR(MAX(_xlfn._xlws.FILTER(tblSeverityAnalysis[[#This Row],[SAMV]:[ASH]], tblSeverityAnalysis[[#This Row],[SAMV]:[ASH]]&lt;tblSeverityAnalysis[[#This Row],[Severidad máxima]])), "")</f>
        <v>3</v>
      </c>
      <c r="AF4" s="263" t="str" cm="1">
        <f t="array" ref="AF4">IFERROR(IF(tblSeverityAnalysis[[#This Row],[2ª mayor severidad]]="", "", _xlfn.TEXTJOIN(CHAR(10), TRUE, IF(tblSeverityAnalysis[[#This Row],[SAMV]:[ASH]]=tblSeverityAnalysis[[#This Row],[2ª mayor severidad]], tblSeverityAnalysis[[#Headers],[SAMV]:[ASH]], ""), "")), "")</f>
        <v>SAL
ASH</v>
      </c>
      <c r="AG4" s="405" t="str">
        <f>IFERROR(IF(AND(tblSeverityAnalysis[[#This Row],[5]] &lt;&gt; "", tblSeverityAnalysis[[#This Row],[5]]&gt;=sectors_sev_5), "Flagged", ""), "")</f>
        <v/>
      </c>
      <c r="AH4" s="348" t="str">
        <f>IFERROR(IF(AND(tblSeverityAnalysis[[#This Row],[Severidad preliminar basada en la superposición de privaciones sectoriales]]=5, SUM(tblSeverityAnalysis[[#This Row],[ 1 ]:[ 4 ]])&gt;=sectors_sev_5), "Flagged", ""), "")</f>
        <v/>
      </c>
      <c r="AI4" s="348" t="str" cm="1">
        <f t="array" ref="AI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4" s="319"/>
      <c r="AL4" s="319"/>
      <c r="AM4" s="319"/>
      <c r="AN4" s="406">
        <f>COUNTIF(tblSeverityAnalysis[[#This Row],[1 sectores en fase de severidad 5 '[modificar el umbral']]:[Marcador manual]], "Flagged")</f>
        <v>0</v>
      </c>
      <c r="AO4" s="416">
        <f>tblSeverityAnalysis[[#This Row],[Severidad preliminar basada en la superposición de privaciones sectoriales]]</f>
        <v>3</v>
      </c>
      <c r="AP4" s="417"/>
      <c r="AQ4" s="421" t="s">
        <v>875</v>
      </c>
      <c r="AR4" s="417">
        <v>3</v>
      </c>
    </row>
    <row r="5" spans="1:51" hidden="1">
      <c r="A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VenezolanosVE0201</v>
      </c>
      <c r="B5" s="363" t="s">
        <v>103</v>
      </c>
      <c r="C5" s="323" t="s">
        <v>104</v>
      </c>
      <c r="D5" s="322" t="s">
        <v>105</v>
      </c>
      <c r="E5" s="323" t="s">
        <v>106</v>
      </c>
      <c r="F5" s="323"/>
      <c r="G5" s="324">
        <v>12687</v>
      </c>
      <c r="H5" s="324" t="s">
        <v>102</v>
      </c>
      <c r="I5" s="374">
        <v>4</v>
      </c>
      <c r="J5" s="237">
        <v>2</v>
      </c>
      <c r="K5" s="237">
        <v>4</v>
      </c>
      <c r="L5" s="237">
        <v>3</v>
      </c>
      <c r="M5" s="237">
        <v>3</v>
      </c>
      <c r="N5" s="237">
        <v>4</v>
      </c>
      <c r="O5" s="237">
        <v>3</v>
      </c>
      <c r="P5" s="237">
        <v>3</v>
      </c>
      <c r="Q5" s="382" t="str">
        <f>IF(COUNTIF(tblSeverityAnalysis[[#This Row],[SAMV]:[ASH]], 1)=0, "", COUNTIF(tblSeverityAnalysis[[#This Row],[SAMV]:[ASH]], 1))</f>
        <v/>
      </c>
      <c r="R5" s="325">
        <f>IF(COUNTIF(tblSeverityAnalysis[[#This Row],[SAMV]:[ASH]], 2)=0, "", COUNTIF(tblSeverityAnalysis[[#This Row],[SAMV]:[ASH]], 2))</f>
        <v>1</v>
      </c>
      <c r="S5" s="325">
        <f>IF(COUNTIF(tblSeverityAnalysis[[#This Row],[SAMV]:[ASH]], 3)=0, "", COUNTIF(tblSeverityAnalysis[[#This Row],[SAMV]:[ASH]], 3))</f>
        <v>2</v>
      </c>
      <c r="T5" s="325">
        <f>IF(COUNTIF(tblSeverityAnalysis[[#This Row],[SAMV]:[ASH]], 4)=0, "", COUNTIF(tblSeverityAnalysis[[#This Row],[SAMV]:[ASH]], 4))</f>
        <v>3</v>
      </c>
      <c r="U5" s="383" t="str">
        <f>IF(COUNTIF(tblSeverityAnalysis[[#This Row],[SAMV]:[ASH]], 5)=0, "", COUNTIF(tblSeverityAnalysis[[#This Row],[SAMV]:[ASH]], 5))</f>
        <v/>
      </c>
      <c r="V5" s="375" cm="1">
        <f t="array" ref="V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5" s="388"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5" s="237" t="str">
        <f>IFERROR(IF(INDEX(tblSeverityReference[Severidad de la desnutrición],MATCH(tblSeverityAnalysis[[#This Row],[ID]], tblSeverityReference[ID], 0))= "", "",INDEX(tblSeverityReference[Severidad de la desnutrición],MATCH(tblSeverityAnalysis[[#This Row],[ID]], tblSeverityReference[ID], 0)) ), "")</f>
        <v/>
      </c>
      <c r="Y5" s="237" t="str">
        <f>IFERROR(IF(INDEX(tblSeverityReference[Severidad epidémica],MATCH(tblSeverityAnalysis[[#This Row],[ID]], tblSeverityReference[ID], 0))= "", "",INDEX(tblSeverityReference[Severidad epidémica],MATCH(tblSeverityAnalysis[[#This Row],[ID]], tblSeverityReference[ID], 0)) ), "")</f>
        <v/>
      </c>
      <c r="Z5" s="237"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5" s="389" t="str">
        <f>IFERROR(IF(INDEX(tblSeverityReference[HR/IHL Violation],MATCH(tblSeverityAnalysis[[#This Row],[ID]], tblSeverityReference[ID], 0))= "", "",INDEX(tblSeverityReference[HR/IHL Violation],MATCH(tblSeverityAnalysis[[#This Row],[ID]], tblSeverityReference[ID], 0)) ), "")</f>
        <v/>
      </c>
      <c r="AB5" s="397">
        <f>IFERROR(AVERAGE(tblSeverityAnalysis[[#This Row],[SAMV]:[ASH]]), "")</f>
        <v>3.3333333333333335</v>
      </c>
      <c r="AC5" s="346">
        <f>IF(SUM(tblSeverityAnalysis[[#This Row],[SAMV]:[ASH]])=0, "", MAX(tblSeverityAnalysis[[#This Row],[SAMV]:[ASH]]))</f>
        <v>4</v>
      </c>
      <c r="AD5" s="319" t="str" cm="1">
        <f t="array" ref="AD5">IFERROR(IF(tblSeverityAnalysis[[#This Row],[Severidad máxima]]="", "", _xlfn.TEXTJOIN(CHAR(10), TRUE, IF(tblSeverityAnalysis[[#This Row],[SAMV]:[ASH]]=tblSeverityAnalysis[[#This Row],[Severidad máxima]], tblSeverityAnalysis[[#Headers],[SAMV]:[ASH]], ""), "")), "")</f>
        <v>SAMV
SAL
ASH</v>
      </c>
      <c r="AE5" s="346" cm="1">
        <f t="array" ref="AE5">IFERROR(MAX(_xlfn._xlws.FILTER(tblSeverityAnalysis[[#This Row],[SAMV]:[ASH]], tblSeverityAnalysis[[#This Row],[SAMV]:[ASH]]&lt;tblSeverityAnalysis[[#This Row],[Severidad máxima]])), "")</f>
        <v>3</v>
      </c>
      <c r="AF5" s="263" t="str" cm="1">
        <f t="array" ref="AF5">IFERROR(IF(tblSeverityAnalysis[[#This Row],[2ª mayor severidad]]="", "", _xlfn.TEXTJOIN(CHAR(10), TRUE, IF(tblSeverityAnalysis[[#This Row],[SAMV]:[ASH]]=tblSeverityAnalysis[[#This Row],[2ª mayor severidad]], tblSeverityAnalysis[[#Headers],[SAMV]:[ASH]], ""), "")), "")</f>
        <v>EDU
PRO</v>
      </c>
      <c r="AG5" s="405" t="str">
        <f>IFERROR(IF(AND(tblSeverityAnalysis[[#This Row],[5]] &lt;&gt; "", tblSeverityAnalysis[[#This Row],[5]]&gt;=sectors_sev_5), "Flagged", ""), "")</f>
        <v/>
      </c>
      <c r="AH5" s="348" t="str">
        <f>IFERROR(IF(AND(tblSeverityAnalysis[[#This Row],[Severidad preliminar basada en la superposición de privaciones sectoriales]]=5, SUM(tblSeverityAnalysis[[#This Row],[ 1 ]:[ 4 ]])&gt;=sectors_sev_5), "Flagged", ""), "")</f>
        <v/>
      </c>
      <c r="AI5" s="348" t="str" cm="1">
        <f t="array" ref="AI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5" s="319"/>
      <c r="AL5" s="319"/>
      <c r="AM5" s="319"/>
      <c r="AN5" s="406">
        <f>COUNTIF(tblSeverityAnalysis[[#This Row],[1 sectores en fase de severidad 5 '[modificar el umbral']]:[Marcador manual]], "Flagged")</f>
        <v>0</v>
      </c>
      <c r="AO5" s="416">
        <f>tblSeverityAnalysis[[#This Row],[Severidad preliminar basada en la superposición de privaciones sectoriales]]</f>
        <v>3</v>
      </c>
      <c r="AP5" s="417"/>
      <c r="AQ5" s="421" t="s">
        <v>876</v>
      </c>
      <c r="AR5" s="417">
        <v>4</v>
      </c>
    </row>
    <row r="6" spans="1:51" s="59" customFormat="1" hidden="1">
      <c r="A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VenezolanosVE0202</v>
      </c>
      <c r="B6" s="363" t="s">
        <v>103</v>
      </c>
      <c r="C6" s="323" t="s">
        <v>104</v>
      </c>
      <c r="D6" s="322" t="s">
        <v>107</v>
      </c>
      <c r="E6" s="323" t="s">
        <v>108</v>
      </c>
      <c r="F6" s="323"/>
      <c r="G6" s="324">
        <v>9169</v>
      </c>
      <c r="H6" s="324" t="s">
        <v>102</v>
      </c>
      <c r="I6" s="374">
        <v>3</v>
      </c>
      <c r="J6" s="237">
        <v>2</v>
      </c>
      <c r="K6" s="237">
        <v>4</v>
      </c>
      <c r="L6" s="237">
        <v>3</v>
      </c>
      <c r="M6" s="237">
        <v>4</v>
      </c>
      <c r="N6" s="237">
        <v>4</v>
      </c>
      <c r="O6" s="237">
        <v>4</v>
      </c>
      <c r="P6" s="237">
        <v>4</v>
      </c>
      <c r="Q6" s="382" t="str">
        <f>IF(COUNTIF(tblSeverityAnalysis[[#This Row],[SAMV]:[ASH]], 1)=0, "", COUNTIF(tblSeverityAnalysis[[#This Row],[SAMV]:[ASH]], 1))</f>
        <v/>
      </c>
      <c r="R6" s="325">
        <f>IF(COUNTIF(tblSeverityAnalysis[[#This Row],[SAMV]:[ASH]], 2)=0, "", COUNTIF(tblSeverityAnalysis[[#This Row],[SAMV]:[ASH]], 2))</f>
        <v>1</v>
      </c>
      <c r="S6" s="325">
        <f>IF(COUNTIF(tblSeverityAnalysis[[#This Row],[SAMV]:[ASH]], 3)=0, "", COUNTIF(tblSeverityAnalysis[[#This Row],[SAMV]:[ASH]], 3))</f>
        <v>2</v>
      </c>
      <c r="T6" s="325">
        <f>IF(COUNTIF(tblSeverityAnalysis[[#This Row],[SAMV]:[ASH]], 4)=0, "", COUNTIF(tblSeverityAnalysis[[#This Row],[SAMV]:[ASH]], 4))</f>
        <v>3</v>
      </c>
      <c r="U6" s="383" t="str">
        <f>IF(COUNTIF(tblSeverityAnalysis[[#This Row],[SAMV]:[ASH]], 5)=0, "", COUNTIF(tblSeverityAnalysis[[#This Row],[SAMV]:[ASH]], 5))</f>
        <v/>
      </c>
      <c r="V6" s="375" cm="1">
        <f t="array" ref="V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6" s="239"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6" s="238" t="str">
        <f>IFERROR(IF(INDEX(tblSeverityReference[Severidad de la desnutrición],MATCH(tblSeverityAnalysis[[#This Row],[ID]], tblSeverityReference[ID], 0))= "", "",INDEX(tblSeverityReference[Severidad de la desnutrición],MATCH(tblSeverityAnalysis[[#This Row],[ID]], tblSeverityReference[ID], 0)) ), "")</f>
        <v/>
      </c>
      <c r="Y6" s="238" t="str">
        <f>IFERROR(IF(INDEX(tblSeverityReference[Severidad epidémica],MATCH(tblSeverityAnalysis[[#This Row],[ID]], tblSeverityReference[ID], 0))= "", "",INDEX(tblSeverityReference[Severidad epidémica],MATCH(tblSeverityAnalysis[[#This Row],[ID]], tblSeverityReference[ID], 0)) ), "")</f>
        <v/>
      </c>
      <c r="Z6" s="238"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6" s="240" t="str">
        <f>IFERROR(IF(INDEX(tblSeverityReference[HR/IHL Violation],MATCH(tblSeverityAnalysis[[#This Row],[ID]], tblSeverityReference[ID], 0))= "", "",INDEX(tblSeverityReference[HR/IHL Violation],MATCH(tblSeverityAnalysis[[#This Row],[ID]], tblSeverityReference[ID], 0)) ), "")</f>
        <v/>
      </c>
      <c r="AB6" s="241">
        <f>IFERROR(AVERAGE(tblSeverityAnalysis[[#This Row],[SAMV]:[ASH]]), "")</f>
        <v>3.3333333333333335</v>
      </c>
      <c r="AC6" s="242">
        <f>IF(SUM(tblSeverityAnalysis[[#This Row],[SAMV]:[ASH]])=0, "", MAX(tblSeverityAnalysis[[#This Row],[SAMV]:[ASH]]))</f>
        <v>4</v>
      </c>
      <c r="AD6" s="320" t="str" cm="1">
        <f t="array" ref="AD6">IFERROR(IF(tblSeverityAnalysis[[#This Row],[Severidad máxima]]="", "", _xlfn.TEXTJOIN(CHAR(10), TRUE, IF(tblSeverityAnalysis[[#This Row],[SAMV]:[ASH]]=tblSeverityAnalysis[[#This Row],[Severidad máxima]], tblSeverityAnalysis[[#Headers],[SAMV]:[ASH]], ""), "")), "")</f>
        <v>SAL
PRO
ASH</v>
      </c>
      <c r="AE6" s="242" cm="1">
        <f t="array" ref="AE6">IFERROR(MAX(_xlfn._xlws.FILTER(tblSeverityAnalysis[[#This Row],[SAMV]:[ASH]], tblSeverityAnalysis[[#This Row],[SAMV]:[ASH]]&lt;tblSeverityAnalysis[[#This Row],[Severidad máxima]])), "")</f>
        <v>3</v>
      </c>
      <c r="AF6" s="263" t="str" cm="1">
        <f t="array" ref="AF6">IFERROR(IF(tblSeverityAnalysis[[#This Row],[2ª mayor severidad]]="", "", _xlfn.TEXTJOIN(CHAR(10), TRUE, IF(tblSeverityAnalysis[[#This Row],[SAMV]:[ASH]]=tblSeverityAnalysis[[#This Row],[2ª mayor severidad]], tblSeverityAnalysis[[#Headers],[SAMV]:[ASH]], ""), "")), "")</f>
        <v>SAMV
EDU</v>
      </c>
      <c r="AG6" s="405" t="str">
        <f>IFERROR(IF(AND(tblSeverityAnalysis[[#This Row],[5]] &lt;&gt; "", tblSeverityAnalysis[[#This Row],[5]]&gt;=sectors_sev_5), "Flagged", ""), "")</f>
        <v/>
      </c>
      <c r="AH6" s="348" t="str">
        <f>IFERROR(IF(AND(tblSeverityAnalysis[[#This Row],[Severidad preliminar basada en la superposición de privaciones sectoriales]]=5, SUM(tblSeverityAnalysis[[#This Row],[ 1 ]:[ 4 ]])&gt;=sectors_sev_5), "Flagged", ""), "")</f>
        <v/>
      </c>
      <c r="AI6" s="348" t="str" cm="1">
        <f t="array" ref="AI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6" s="319"/>
      <c r="AL6" s="319"/>
      <c r="AM6" s="319"/>
      <c r="AN6" s="406">
        <f>COUNTIF(tblSeverityAnalysis[[#This Row],[1 sectores en fase de severidad 5 '[modificar el umbral']]:[Marcador manual]], "Flagged")</f>
        <v>0</v>
      </c>
      <c r="AO6" s="243">
        <f>tblSeverityAnalysis[[#This Row],[Severidad preliminar basada en la superposición de privaciones sectoriales]]</f>
        <v>3</v>
      </c>
      <c r="AP6" s="244"/>
      <c r="AQ6" s="421" t="s">
        <v>876</v>
      </c>
      <c r="AR6" s="417">
        <v>4</v>
      </c>
      <c r="AT6"/>
      <c r="AU6"/>
      <c r="AV6"/>
      <c r="AW6"/>
      <c r="AX6"/>
      <c r="AY6"/>
    </row>
    <row r="7" spans="1:51" s="59" customFormat="1" hidden="1">
      <c r="A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VenezolanosVE0203</v>
      </c>
      <c r="B7" s="363" t="s">
        <v>103</v>
      </c>
      <c r="C7" s="323" t="s">
        <v>104</v>
      </c>
      <c r="D7" s="322" t="s">
        <v>109</v>
      </c>
      <c r="E7" s="323" t="s">
        <v>110</v>
      </c>
      <c r="F7" s="323"/>
      <c r="G7" s="324">
        <v>104228</v>
      </c>
      <c r="H7" s="324" t="s">
        <v>102</v>
      </c>
      <c r="I7" s="374">
        <v>3</v>
      </c>
      <c r="J7" s="237">
        <v>2</v>
      </c>
      <c r="K7" s="237">
        <v>3</v>
      </c>
      <c r="L7" s="237">
        <v>4</v>
      </c>
      <c r="M7" s="237">
        <v>4</v>
      </c>
      <c r="N7" s="237">
        <v>3</v>
      </c>
      <c r="O7" s="237">
        <v>4</v>
      </c>
      <c r="P7" s="237">
        <v>4</v>
      </c>
      <c r="Q7" s="382" t="str">
        <f>IF(COUNTIF(tblSeverityAnalysis[[#This Row],[SAMV]:[ASH]], 1)=0, "", COUNTIF(tblSeverityAnalysis[[#This Row],[SAMV]:[ASH]], 1))</f>
        <v/>
      </c>
      <c r="R7" s="325">
        <f>IF(COUNTIF(tblSeverityAnalysis[[#This Row],[SAMV]:[ASH]], 2)=0, "", COUNTIF(tblSeverityAnalysis[[#This Row],[SAMV]:[ASH]], 2))</f>
        <v>1</v>
      </c>
      <c r="S7" s="325">
        <f>IF(COUNTIF(tblSeverityAnalysis[[#This Row],[SAMV]:[ASH]], 3)=0, "", COUNTIF(tblSeverityAnalysis[[#This Row],[SAMV]:[ASH]], 3))</f>
        <v>3</v>
      </c>
      <c r="T7" s="325">
        <f>IF(COUNTIF(tblSeverityAnalysis[[#This Row],[SAMV]:[ASH]], 4)=0, "", COUNTIF(tblSeverityAnalysis[[#This Row],[SAMV]:[ASH]], 4))</f>
        <v>2</v>
      </c>
      <c r="U7" s="383" t="str">
        <f>IF(COUNTIF(tblSeverityAnalysis[[#This Row],[SAMV]:[ASH]], 5)=0, "", COUNTIF(tblSeverityAnalysis[[#This Row],[SAMV]:[ASH]], 5))</f>
        <v/>
      </c>
      <c r="V7" s="375" cm="1">
        <f t="array" ref="V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7" s="239"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7" s="238" t="str">
        <f>IFERROR(IF(INDEX(tblSeverityReference[Severidad de la desnutrición],MATCH(tblSeverityAnalysis[[#This Row],[ID]], tblSeverityReference[ID], 0))= "", "",INDEX(tblSeverityReference[Severidad de la desnutrición],MATCH(tblSeverityAnalysis[[#This Row],[ID]], tblSeverityReference[ID], 0)) ), "")</f>
        <v/>
      </c>
      <c r="Y7" s="238" t="str">
        <f>IFERROR(IF(INDEX(tblSeverityReference[Severidad epidémica],MATCH(tblSeverityAnalysis[[#This Row],[ID]], tblSeverityReference[ID], 0))= "", "",INDEX(tblSeverityReference[Severidad epidémica],MATCH(tblSeverityAnalysis[[#This Row],[ID]], tblSeverityReference[ID], 0)) ), "")</f>
        <v/>
      </c>
      <c r="Z7" s="238"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7" s="240" t="str">
        <f>IFERROR(IF(INDEX(tblSeverityReference[HR/IHL Violation],MATCH(tblSeverityAnalysis[[#This Row],[ID]], tblSeverityReference[ID], 0))= "", "",INDEX(tblSeverityReference[HR/IHL Violation],MATCH(tblSeverityAnalysis[[#This Row],[ID]], tblSeverityReference[ID], 0)) ), "")</f>
        <v/>
      </c>
      <c r="AB7" s="241">
        <f>IFERROR(AVERAGE(tblSeverityAnalysis[[#This Row],[SAMV]:[ASH]]), "")</f>
        <v>3.1666666666666665</v>
      </c>
      <c r="AC7" s="242">
        <f>IF(SUM(tblSeverityAnalysis[[#This Row],[SAMV]:[ASH]])=0, "", MAX(tblSeverityAnalysis[[#This Row],[SAMV]:[ASH]]))</f>
        <v>4</v>
      </c>
      <c r="AD7" s="320" t="str" cm="1">
        <f t="array" ref="AD7">IFERROR(IF(tblSeverityAnalysis[[#This Row],[Severidad máxima]]="", "", _xlfn.TEXTJOIN(CHAR(10), TRUE, IF(tblSeverityAnalysis[[#This Row],[SAMV]:[ASH]]=tblSeverityAnalysis[[#This Row],[Severidad máxima]], tblSeverityAnalysis[[#Headers],[SAMV]:[ASH]], ""), "")), "")</f>
        <v>EDU
PRO</v>
      </c>
      <c r="AE7" s="242" cm="1">
        <f t="array" ref="AE7">IFERROR(MAX(_xlfn._xlws.FILTER(tblSeverityAnalysis[[#This Row],[SAMV]:[ASH]], tblSeverityAnalysis[[#This Row],[SAMV]:[ASH]]&lt;tblSeverityAnalysis[[#This Row],[Severidad máxima]])), "")</f>
        <v>3</v>
      </c>
      <c r="AF7" s="263" t="str" cm="1">
        <f t="array" ref="AF7">IFERROR(IF(tblSeverityAnalysis[[#This Row],[2ª mayor severidad]]="", "", _xlfn.TEXTJOIN(CHAR(10), TRUE, IF(tblSeverityAnalysis[[#This Row],[SAMV]:[ASH]]=tblSeverityAnalysis[[#This Row],[2ª mayor severidad]], tblSeverityAnalysis[[#Headers],[SAMV]:[ASH]], ""), "")), "")</f>
        <v>SAMV
SAL
ASH</v>
      </c>
      <c r="AG7" s="405" t="str">
        <f>IFERROR(IF(AND(tblSeverityAnalysis[[#This Row],[5]] &lt;&gt; "", tblSeverityAnalysis[[#This Row],[5]]&gt;=sectors_sev_5), "Flagged", ""), "")</f>
        <v/>
      </c>
      <c r="AH7" s="348" t="str">
        <f>IFERROR(IF(AND(tblSeverityAnalysis[[#This Row],[Severidad preliminar basada en la superposición de privaciones sectoriales]]=5, SUM(tblSeverityAnalysis[[#This Row],[ 1 ]:[ 4 ]])&gt;=sectors_sev_5), "Flagged", ""), "")</f>
        <v/>
      </c>
      <c r="AI7" s="348" t="str" cm="1">
        <f t="array" ref="AI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7" s="319"/>
      <c r="AL7" s="319"/>
      <c r="AM7" s="319"/>
      <c r="AN7" s="406">
        <f>COUNTIF(tblSeverityAnalysis[[#This Row],[1 sectores en fase de severidad 5 '[modificar el umbral']]:[Marcador manual]], "Flagged")</f>
        <v>0</v>
      </c>
      <c r="AO7" s="243">
        <f>tblSeverityAnalysis[[#This Row],[Severidad preliminar basada en la superposición de privaciones sectoriales]]</f>
        <v>3</v>
      </c>
      <c r="AP7" s="244"/>
      <c r="AQ7" s="421" t="s">
        <v>875</v>
      </c>
      <c r="AR7" s="417">
        <v>4</v>
      </c>
      <c r="AT7"/>
      <c r="AU7"/>
      <c r="AV7"/>
      <c r="AW7"/>
      <c r="AX7"/>
      <c r="AY7"/>
    </row>
    <row r="8" spans="1:51" hidden="1">
      <c r="A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VenezolanosVE0204</v>
      </c>
      <c r="B8" s="363" t="s">
        <v>103</v>
      </c>
      <c r="C8" s="323" t="s">
        <v>104</v>
      </c>
      <c r="D8" s="322" t="s">
        <v>111</v>
      </c>
      <c r="E8" s="323" t="s">
        <v>112</v>
      </c>
      <c r="F8" s="323"/>
      <c r="G8" s="324">
        <v>8352</v>
      </c>
      <c r="H8" s="324" t="s">
        <v>102</v>
      </c>
      <c r="I8" s="374">
        <v>3</v>
      </c>
      <c r="J8" s="237">
        <v>2</v>
      </c>
      <c r="K8" s="237">
        <v>4</v>
      </c>
      <c r="L8" s="237">
        <v>4</v>
      </c>
      <c r="M8" s="237">
        <v>4</v>
      </c>
      <c r="N8" s="237">
        <v>3</v>
      </c>
      <c r="O8" s="237">
        <v>4</v>
      </c>
      <c r="P8" s="237">
        <v>4</v>
      </c>
      <c r="Q8" s="382" t="str">
        <f>IF(COUNTIF(tblSeverityAnalysis[[#This Row],[SAMV]:[ASH]], 1)=0, "", COUNTIF(tblSeverityAnalysis[[#This Row],[SAMV]:[ASH]], 1))</f>
        <v/>
      </c>
      <c r="R8" s="325">
        <f>IF(COUNTIF(tblSeverityAnalysis[[#This Row],[SAMV]:[ASH]], 2)=0, "", COUNTIF(tblSeverityAnalysis[[#This Row],[SAMV]:[ASH]], 2))</f>
        <v>1</v>
      </c>
      <c r="S8" s="325">
        <f>IF(COUNTIF(tblSeverityAnalysis[[#This Row],[SAMV]:[ASH]], 3)=0, "", COUNTIF(tblSeverityAnalysis[[#This Row],[SAMV]:[ASH]], 3))</f>
        <v>2</v>
      </c>
      <c r="T8" s="325">
        <f>IF(COUNTIF(tblSeverityAnalysis[[#This Row],[SAMV]:[ASH]], 4)=0, "", COUNTIF(tblSeverityAnalysis[[#This Row],[SAMV]:[ASH]], 4))</f>
        <v>3</v>
      </c>
      <c r="U8" s="383" t="str">
        <f>IF(COUNTIF(tblSeverityAnalysis[[#This Row],[SAMV]:[ASH]], 5)=0, "", COUNTIF(tblSeverityAnalysis[[#This Row],[SAMV]:[ASH]], 5))</f>
        <v/>
      </c>
      <c r="V8" s="375" cm="1">
        <f t="array" ref="V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8" s="237" t="str">
        <f>IFERROR(IF(INDEX(tblSeverityReference[Severidad de la desnutrición],MATCH(tblSeverityAnalysis[[#This Row],[ID]], tblSeverityReference[ID], 0))= "", "",INDEX(tblSeverityReference[Severidad de la desnutrición],MATCH(tblSeverityAnalysis[[#This Row],[ID]], tblSeverityReference[ID], 0)) ), "")</f>
        <v/>
      </c>
      <c r="Y8" s="349" t="str">
        <f>IFERROR(IF(INDEX(tblSeverityReference[Severidad epidémica],MATCH(tblSeverityAnalysis[[#This Row],[ID]], tblSeverityReference[ID], 0))= "", "",INDEX(tblSeverityReference[Severidad epidémica],MATCH(tblSeverityAnalysis[[#This Row],[ID]], tblSeverityReference[ID], 0)) ), "")</f>
        <v/>
      </c>
      <c r="Z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8" s="391" t="str">
        <f>IFERROR(IF(INDEX(tblSeverityReference[HR/IHL Violation],MATCH(tblSeverityAnalysis[[#This Row],[ID]], tblSeverityReference[ID], 0))= "", "",INDEX(tblSeverityReference[HR/IHL Violation],MATCH(tblSeverityAnalysis[[#This Row],[ID]], tblSeverityReference[ID], 0)) ), "")</f>
        <v/>
      </c>
      <c r="AB8" s="397">
        <f>IFERROR(AVERAGE(tblSeverityAnalysis[[#This Row],[SAMV]:[ASH]]), "")</f>
        <v>3.3333333333333335</v>
      </c>
      <c r="AC8" s="346">
        <f>IF(SUM(tblSeverityAnalysis[[#This Row],[SAMV]:[ASH]])=0, "", MAX(tblSeverityAnalysis[[#This Row],[SAMV]:[ASH]]))</f>
        <v>4</v>
      </c>
      <c r="AD8" s="261" t="str" cm="1">
        <f t="array" ref="AD8">IFERROR(IF(tblSeverityAnalysis[[#This Row],[Severidad máxima]]="", "", _xlfn.TEXTJOIN(CHAR(10), TRUE, IF(tblSeverityAnalysis[[#This Row],[SAMV]:[ASH]]=tblSeverityAnalysis[[#This Row],[Severidad máxima]], tblSeverityAnalysis[[#Headers],[SAMV]:[ASH]], ""), "")), "")</f>
        <v>SAL
EDU
PRO</v>
      </c>
      <c r="AE8" s="346" cm="1">
        <f t="array" ref="AE8">IFERROR(MAX(_xlfn._xlws.FILTER(tblSeverityAnalysis[[#This Row],[SAMV]:[ASH]], tblSeverityAnalysis[[#This Row],[SAMV]:[ASH]]&lt;tblSeverityAnalysis[[#This Row],[Severidad máxima]])), "")</f>
        <v>3</v>
      </c>
      <c r="AF8" s="398" t="str" cm="1">
        <f t="array" ref="AF8">IFERROR(IF(tblSeverityAnalysis[[#This Row],[2ª mayor severidad]]="", "", _xlfn.TEXTJOIN(CHAR(10), TRUE, IF(tblSeverityAnalysis[[#This Row],[SAMV]:[ASH]]=tblSeverityAnalysis[[#This Row],[2ª mayor severidad]], tblSeverityAnalysis[[#Headers],[SAMV]:[ASH]], ""), "")), "")</f>
        <v>SAMV
ASH</v>
      </c>
      <c r="AG8" s="405" t="str">
        <f>IFERROR(IF(AND(tblSeverityAnalysis[[#This Row],[5]] &lt;&gt; "", tblSeverityAnalysis[[#This Row],[5]]&gt;=sectors_sev_5), "Flagged", ""), "")</f>
        <v/>
      </c>
      <c r="AH8" s="347" t="str">
        <f>IFERROR(IF(AND(tblSeverityAnalysis[[#This Row],[Severidad preliminar basada en la superposición de privaciones sectoriales]]=5, SUM(tblSeverityAnalysis[[#This Row],[ 1 ]:[ 4 ]])&gt;=sectors_sev_5), "Flagged", ""), "")</f>
        <v/>
      </c>
      <c r="AI8" s="348" t="str" cm="1">
        <f t="array" ref="AI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8" s="350"/>
      <c r="AL8" s="351"/>
      <c r="AM8" s="350"/>
      <c r="AN8" s="407">
        <f>COUNTIF(tblSeverityAnalysis[[#This Row],[1 sectores en fase de severidad 5 '[modificar el umbral']]:[Marcador manual]], "Flagged")</f>
        <v>0</v>
      </c>
      <c r="AO8" s="418">
        <f>tblSeverityAnalysis[[#This Row],[Severidad preliminar basada en la superposición de privaciones sectoriales]]</f>
        <v>3</v>
      </c>
      <c r="AP8" s="417"/>
      <c r="AQ8" s="421" t="s">
        <v>876</v>
      </c>
      <c r="AR8" s="417">
        <v>4</v>
      </c>
    </row>
    <row r="9" spans="1:51" hidden="1">
      <c r="A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VenezolanosVE0205</v>
      </c>
      <c r="B9" s="363" t="s">
        <v>103</v>
      </c>
      <c r="C9" s="323" t="s">
        <v>104</v>
      </c>
      <c r="D9" s="322" t="s">
        <v>113</v>
      </c>
      <c r="E9" s="323" t="s">
        <v>114</v>
      </c>
      <c r="F9" s="323"/>
      <c r="G9" s="324">
        <v>2029</v>
      </c>
      <c r="H9" s="324" t="s">
        <v>102</v>
      </c>
      <c r="I9" s="374">
        <v>4</v>
      </c>
      <c r="J9" s="237">
        <v>2</v>
      </c>
      <c r="K9" s="237">
        <v>4</v>
      </c>
      <c r="L9" s="237">
        <v>3</v>
      </c>
      <c r="M9" s="237">
        <v>4</v>
      </c>
      <c r="N9" s="237">
        <v>5</v>
      </c>
      <c r="O9" s="237">
        <v>4</v>
      </c>
      <c r="P9" s="237">
        <v>4</v>
      </c>
      <c r="Q9" s="382" t="str">
        <f>IF(COUNTIF(tblSeverityAnalysis[[#This Row],[SAMV]:[ASH]], 1)=0, "", COUNTIF(tblSeverityAnalysis[[#This Row],[SAMV]:[ASH]], 1))</f>
        <v/>
      </c>
      <c r="R9" s="325">
        <f>IF(COUNTIF(tblSeverityAnalysis[[#This Row],[SAMV]:[ASH]], 2)=0, "", COUNTIF(tblSeverityAnalysis[[#This Row],[SAMV]:[ASH]], 2))</f>
        <v>1</v>
      </c>
      <c r="S9" s="325">
        <f>IF(COUNTIF(tblSeverityAnalysis[[#This Row],[SAMV]:[ASH]], 3)=0, "", COUNTIF(tblSeverityAnalysis[[#This Row],[SAMV]:[ASH]], 3))</f>
        <v>1</v>
      </c>
      <c r="T9" s="325">
        <f>IF(COUNTIF(tblSeverityAnalysis[[#This Row],[SAMV]:[ASH]], 4)=0, "", COUNTIF(tblSeverityAnalysis[[#This Row],[SAMV]:[ASH]], 4))</f>
        <v>3</v>
      </c>
      <c r="U9" s="383">
        <f>IF(COUNTIF(tblSeverityAnalysis[[#This Row],[SAMV]:[ASH]], 5)=0, "", COUNTIF(tblSeverityAnalysis[[#This Row],[SAMV]:[ASH]], 5))</f>
        <v>1</v>
      </c>
      <c r="V9" s="375" cm="1">
        <f t="array" ref="V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9" s="237" t="str">
        <f>IFERROR(IF(INDEX(tblSeverityReference[Severidad de la desnutrición],MATCH(tblSeverityAnalysis[[#This Row],[ID]], tblSeverityReference[ID], 0))= "", "",INDEX(tblSeverityReference[Severidad de la desnutrición],MATCH(tblSeverityAnalysis[[#This Row],[ID]], tblSeverityReference[ID], 0)) ), "")</f>
        <v/>
      </c>
      <c r="Y9" s="349" t="str">
        <f>IFERROR(IF(INDEX(tblSeverityReference[Severidad epidémica],MATCH(tblSeverityAnalysis[[#This Row],[ID]], tblSeverityReference[ID], 0))= "", "",INDEX(tblSeverityReference[Severidad epidémica],MATCH(tblSeverityAnalysis[[#This Row],[ID]], tblSeverityReference[ID], 0)) ), "")</f>
        <v/>
      </c>
      <c r="Z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9" s="391" t="str">
        <f>IFERROR(IF(INDEX(tblSeverityReference[HR/IHL Violation],MATCH(tblSeverityAnalysis[[#This Row],[ID]], tblSeverityReference[ID], 0))= "", "",INDEX(tblSeverityReference[HR/IHL Violation],MATCH(tblSeverityAnalysis[[#This Row],[ID]], tblSeverityReference[ID], 0)) ), "")</f>
        <v/>
      </c>
      <c r="AB9" s="397">
        <f>IFERROR(AVERAGE(tblSeverityAnalysis[[#This Row],[SAMV]:[ASH]]), "")</f>
        <v>3.6666666666666665</v>
      </c>
      <c r="AC9" s="346">
        <f>IF(SUM(tblSeverityAnalysis[[#This Row],[SAMV]:[ASH]])=0, "", MAX(tblSeverityAnalysis[[#This Row],[SAMV]:[ASH]]))</f>
        <v>5</v>
      </c>
      <c r="AD9" s="261" t="str" cm="1">
        <f t="array" ref="AD9">IFERROR(IF(tblSeverityAnalysis[[#This Row],[Severidad máxima]]="", "", _xlfn.TEXTJOIN(CHAR(10), TRUE, IF(tblSeverityAnalysis[[#This Row],[SAMV]:[ASH]]=tblSeverityAnalysis[[#This Row],[Severidad máxima]], tblSeverityAnalysis[[#Headers],[SAMV]:[ASH]], ""), "")), "")</f>
        <v>ASH</v>
      </c>
      <c r="AE9" s="346" cm="1">
        <f t="array" ref="AE9">IFERROR(MAX(_xlfn._xlws.FILTER(tblSeverityAnalysis[[#This Row],[SAMV]:[ASH]], tblSeverityAnalysis[[#This Row],[SAMV]:[ASH]]&lt;tblSeverityAnalysis[[#This Row],[Severidad máxima]])), "")</f>
        <v>4</v>
      </c>
      <c r="AF9" s="398" t="str" cm="1">
        <f t="array" ref="AF9">IFERROR(IF(tblSeverityAnalysis[[#This Row],[2ª mayor severidad]]="", "", _xlfn.TEXTJOIN(CHAR(10), TRUE, IF(tblSeverityAnalysis[[#This Row],[SAMV]:[ASH]]=tblSeverityAnalysis[[#This Row],[2ª mayor severidad]], tblSeverityAnalysis[[#Headers],[SAMV]:[ASH]], ""), "")), "")</f>
        <v>SAMV
SAL
PRO</v>
      </c>
      <c r="AG9" s="405" t="str">
        <f>IFERROR(IF(AND(tblSeverityAnalysis[[#This Row],[5]] &lt;&gt; "", tblSeverityAnalysis[[#This Row],[5]]&gt;=sectors_sev_5), "Flagged", ""), "")</f>
        <v/>
      </c>
      <c r="AH9" s="347" t="str">
        <f>IFERROR(IF(AND(tblSeverityAnalysis[[#This Row],[Severidad preliminar basada en la superposición de privaciones sectoriales]]=5, SUM(tblSeverityAnalysis[[#This Row],[ 1 ]:[ 4 ]])&gt;=sectors_sev_5), "Flagged", ""), "")</f>
        <v/>
      </c>
      <c r="AI9" s="348" t="str" cm="1">
        <f t="array" ref="AI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9" s="350"/>
      <c r="AL9" s="351"/>
      <c r="AM9" s="350"/>
      <c r="AN9" s="407">
        <f>COUNTIF(tblSeverityAnalysis[[#This Row],[1 sectores en fase de severidad 5 '[modificar el umbral']]:[Marcador manual]], "Flagged")</f>
        <v>0</v>
      </c>
      <c r="AO9" s="418">
        <f>tblSeverityAnalysis[[#This Row],[Severidad preliminar basada en la superposición de privaciones sectoriales]]</f>
        <v>4</v>
      </c>
      <c r="AP9" s="417"/>
      <c r="AQ9" s="421" t="s">
        <v>876</v>
      </c>
      <c r="AR9" s="417">
        <v>4</v>
      </c>
    </row>
    <row r="10" spans="1:51" hidden="1">
      <c r="A1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VenezolanosVE0206</v>
      </c>
      <c r="B10" s="363" t="s">
        <v>103</v>
      </c>
      <c r="C10" s="323" t="s">
        <v>104</v>
      </c>
      <c r="D10" s="429" t="s">
        <v>115</v>
      </c>
      <c r="E10" s="323" t="s">
        <v>116</v>
      </c>
      <c r="F10" s="323"/>
      <c r="G10" s="324">
        <v>7715</v>
      </c>
      <c r="H10" s="324" t="s">
        <v>102</v>
      </c>
      <c r="I10" s="374">
        <v>3</v>
      </c>
      <c r="J10" s="237">
        <v>4</v>
      </c>
      <c r="K10" s="237">
        <v>4</v>
      </c>
      <c r="L10" s="237">
        <v>3</v>
      </c>
      <c r="M10" s="237">
        <v>3</v>
      </c>
      <c r="N10" s="237">
        <v>4</v>
      </c>
      <c r="O10" s="237">
        <v>3</v>
      </c>
      <c r="P10" s="237">
        <v>3</v>
      </c>
      <c r="Q10" s="382" t="str">
        <f>IF(COUNTIF(tblSeverityAnalysis[[#This Row],[SAMV]:[ASH]], 1)=0, "", COUNTIF(tblSeverityAnalysis[[#This Row],[SAMV]:[ASH]], 1))</f>
        <v/>
      </c>
      <c r="R10" s="325" t="str">
        <f>IF(COUNTIF(tblSeverityAnalysis[[#This Row],[SAMV]:[ASH]], 2)=0, "", COUNTIF(tblSeverityAnalysis[[#This Row],[SAMV]:[ASH]], 2))</f>
        <v/>
      </c>
      <c r="S10" s="325">
        <f>IF(COUNTIF(tblSeverityAnalysis[[#This Row],[SAMV]:[ASH]], 3)=0, "", COUNTIF(tblSeverityAnalysis[[#This Row],[SAMV]:[ASH]], 3))</f>
        <v>3</v>
      </c>
      <c r="T10" s="325">
        <f>IF(COUNTIF(tblSeverityAnalysis[[#This Row],[SAMV]:[ASH]], 4)=0, "", COUNTIF(tblSeverityAnalysis[[#This Row],[SAMV]:[ASH]], 4))</f>
        <v>3</v>
      </c>
      <c r="U10" s="383" t="str">
        <f>IF(COUNTIF(tblSeverityAnalysis[[#This Row],[SAMV]:[ASH]], 5)=0, "", COUNTIF(tblSeverityAnalysis[[#This Row],[SAMV]:[ASH]], 5))</f>
        <v/>
      </c>
      <c r="V10" s="376">
        <v>4</v>
      </c>
      <c r="W1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0" s="237" t="str">
        <f>IFERROR(IF(INDEX(tblSeverityReference[Severidad de la desnutrición],MATCH(tblSeverityAnalysis[[#This Row],[ID]], tblSeverityReference[ID], 0))= "", "",INDEX(tblSeverityReference[Severidad de la desnutrición],MATCH(tblSeverityAnalysis[[#This Row],[ID]], tblSeverityReference[ID], 0)) ), "")</f>
        <v/>
      </c>
      <c r="Y10" s="349" t="str">
        <f>IFERROR(IF(INDEX(tblSeverityReference[Severidad epidémica],MATCH(tblSeverityAnalysis[[#This Row],[ID]], tblSeverityReference[ID], 0))= "", "",INDEX(tblSeverityReference[Severidad epidémica],MATCH(tblSeverityAnalysis[[#This Row],[ID]], tblSeverityReference[ID], 0)) ), "")</f>
        <v/>
      </c>
      <c r="Z1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0" s="391" t="str">
        <f>IFERROR(IF(INDEX(tblSeverityReference[HR/IHL Violation],MATCH(tblSeverityAnalysis[[#This Row],[ID]], tblSeverityReference[ID], 0))= "", "",INDEX(tblSeverityReference[HR/IHL Violation],MATCH(tblSeverityAnalysis[[#This Row],[ID]], tblSeverityReference[ID], 0)) ), "")</f>
        <v/>
      </c>
      <c r="AB10" s="397">
        <f>IFERROR(AVERAGE(tblSeverityAnalysis[[#This Row],[SAMV]:[ASH]]), "")</f>
        <v>3.5</v>
      </c>
      <c r="AC10" s="346">
        <f>IF(SUM(tblSeverityAnalysis[[#This Row],[SAMV]:[ASH]])=0, "", MAX(tblSeverityAnalysis[[#This Row],[SAMV]:[ASH]]))</f>
        <v>4</v>
      </c>
      <c r="AD10" s="261" t="str" cm="1">
        <f t="array" ref="AD10">IFERROR(IF(tblSeverityAnalysis[[#This Row],[Severidad máxima]]="", "", _xlfn.TEXTJOIN(CHAR(10), TRUE, IF(tblSeverityAnalysis[[#This Row],[SAMV]:[ASH]]=tblSeverityAnalysis[[#This Row],[Severidad máxima]], tblSeverityAnalysis[[#Headers],[SAMV]:[ASH]], ""), "")), "")</f>
        <v>NUT
SAL
ASH</v>
      </c>
      <c r="AE10" s="346" cm="1">
        <f t="array" ref="AE10">IFERROR(MAX(_xlfn._xlws.FILTER(tblSeverityAnalysis[[#This Row],[SAMV]:[ASH]], tblSeverityAnalysis[[#This Row],[SAMV]:[ASH]]&lt;tblSeverityAnalysis[[#This Row],[Severidad máxima]])), "")</f>
        <v>3</v>
      </c>
      <c r="AF10" s="398" t="str" cm="1">
        <f t="array" ref="AF10">IFERROR(IF(tblSeverityAnalysis[[#This Row],[2ª mayor severidad]]="", "", _xlfn.TEXTJOIN(CHAR(10), TRUE, IF(tblSeverityAnalysis[[#This Row],[SAMV]:[ASH]]=tblSeverityAnalysis[[#This Row],[2ª mayor severidad]], tblSeverityAnalysis[[#Headers],[SAMV]:[ASH]], ""), "")), "")</f>
        <v>SAMV
EDU
PRO</v>
      </c>
      <c r="AG10" s="405" t="str">
        <f>IFERROR(IF(AND(tblSeverityAnalysis[[#This Row],[5]] &lt;&gt; "", tblSeverityAnalysis[[#This Row],[5]]&gt;=sectors_sev_5), "Flagged", ""), "")</f>
        <v/>
      </c>
      <c r="AH10" s="347" t="str">
        <f>IFERROR(IF(AND(tblSeverityAnalysis[[#This Row],[Severidad preliminar basada en la superposición de privaciones sectoriales]]=5, SUM(tblSeverityAnalysis[[#This Row],[ 1 ]:[ 4 ]])&gt;=sectors_sev_5), "Flagged", ""), "")</f>
        <v/>
      </c>
      <c r="AI10" s="348" t="str" cm="1">
        <f t="array" ref="AI1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0" s="350"/>
      <c r="AL10" s="351"/>
      <c r="AM10" s="350"/>
      <c r="AN10" s="407">
        <f>COUNTIF(tblSeverityAnalysis[[#This Row],[1 sectores en fase de severidad 5 '[modificar el umbral']]:[Marcador manual]], "Flagged")</f>
        <v>0</v>
      </c>
      <c r="AO10" s="418">
        <f>tblSeverityAnalysis[[#This Row],[Severidad preliminar basada en la superposición de privaciones sectoriales]]</f>
        <v>4</v>
      </c>
      <c r="AP10" s="417" t="s">
        <v>877</v>
      </c>
      <c r="AQ10" s="421" t="s">
        <v>876</v>
      </c>
      <c r="AR10" s="417">
        <v>4</v>
      </c>
    </row>
    <row r="11" spans="1:51" hidden="1">
      <c r="A1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VenezolanosVE0207</v>
      </c>
      <c r="B11" s="363" t="s">
        <v>103</v>
      </c>
      <c r="C11" s="323" t="s">
        <v>104</v>
      </c>
      <c r="D11" s="322" t="s">
        <v>117</v>
      </c>
      <c r="E11" s="323" t="s">
        <v>118</v>
      </c>
      <c r="F11" s="323"/>
      <c r="G11" s="324">
        <v>2300</v>
      </c>
      <c r="H11" s="324" t="s">
        <v>102</v>
      </c>
      <c r="I11" s="374">
        <v>4</v>
      </c>
      <c r="J11" s="237">
        <v>3</v>
      </c>
      <c r="K11" s="237">
        <v>4</v>
      </c>
      <c r="L11" s="237">
        <v>3</v>
      </c>
      <c r="M11" s="237">
        <v>4</v>
      </c>
      <c r="N11" s="237">
        <v>5</v>
      </c>
      <c r="O11" s="237">
        <v>4</v>
      </c>
      <c r="P11" s="237">
        <v>4</v>
      </c>
      <c r="Q11" s="382" t="str">
        <f>IF(COUNTIF(tblSeverityAnalysis[[#This Row],[SAMV]:[ASH]], 1)=0, "", COUNTIF(tblSeverityAnalysis[[#This Row],[SAMV]:[ASH]], 1))</f>
        <v/>
      </c>
      <c r="R11" s="325" t="str">
        <f>IF(COUNTIF(tblSeverityAnalysis[[#This Row],[SAMV]:[ASH]], 2)=0, "", COUNTIF(tblSeverityAnalysis[[#This Row],[SAMV]:[ASH]], 2))</f>
        <v/>
      </c>
      <c r="S11" s="325">
        <f>IF(COUNTIF(tblSeverityAnalysis[[#This Row],[SAMV]:[ASH]], 3)=0, "", COUNTIF(tblSeverityAnalysis[[#This Row],[SAMV]:[ASH]], 3))</f>
        <v>2</v>
      </c>
      <c r="T11" s="325">
        <f>IF(COUNTIF(tblSeverityAnalysis[[#This Row],[SAMV]:[ASH]], 4)=0, "", COUNTIF(tblSeverityAnalysis[[#This Row],[SAMV]:[ASH]], 4))</f>
        <v>3</v>
      </c>
      <c r="U11" s="383">
        <f>IF(COUNTIF(tblSeverityAnalysis[[#This Row],[SAMV]:[ASH]], 5)=0, "", COUNTIF(tblSeverityAnalysis[[#This Row],[SAMV]:[ASH]], 5))</f>
        <v>1</v>
      </c>
      <c r="V11" s="375" cm="1">
        <f t="array" ref="V1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1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1" s="237" t="str">
        <f>IFERROR(IF(INDEX(tblSeverityReference[Severidad de la desnutrición],MATCH(tblSeverityAnalysis[[#This Row],[ID]], tblSeverityReference[ID], 0))= "", "",INDEX(tblSeverityReference[Severidad de la desnutrición],MATCH(tblSeverityAnalysis[[#This Row],[ID]], tblSeverityReference[ID], 0)) ), "")</f>
        <v/>
      </c>
      <c r="Y11" s="349" t="str">
        <f>IFERROR(IF(INDEX(tblSeverityReference[Severidad epidémica],MATCH(tblSeverityAnalysis[[#This Row],[ID]], tblSeverityReference[ID], 0))= "", "",INDEX(tblSeverityReference[Severidad epidémica],MATCH(tblSeverityAnalysis[[#This Row],[ID]], tblSeverityReference[ID], 0)) ), "")</f>
        <v/>
      </c>
      <c r="Z1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1" s="391" t="str">
        <f>IFERROR(IF(INDEX(tblSeverityReference[HR/IHL Violation],MATCH(tblSeverityAnalysis[[#This Row],[ID]], tblSeverityReference[ID], 0))= "", "",INDEX(tblSeverityReference[HR/IHL Violation],MATCH(tblSeverityAnalysis[[#This Row],[ID]], tblSeverityReference[ID], 0)) ), "")</f>
        <v/>
      </c>
      <c r="AB11" s="397">
        <f>IFERROR(AVERAGE(tblSeverityAnalysis[[#This Row],[SAMV]:[ASH]]), "")</f>
        <v>3.8333333333333335</v>
      </c>
      <c r="AC11" s="346">
        <f>IF(SUM(tblSeverityAnalysis[[#This Row],[SAMV]:[ASH]])=0, "", MAX(tblSeverityAnalysis[[#This Row],[SAMV]:[ASH]]))</f>
        <v>5</v>
      </c>
      <c r="AD11" s="261" t="str" cm="1">
        <f t="array" ref="AD11">IFERROR(IF(tblSeverityAnalysis[[#This Row],[Severidad máxima]]="", "", _xlfn.TEXTJOIN(CHAR(10), TRUE, IF(tblSeverityAnalysis[[#This Row],[SAMV]:[ASH]]=tblSeverityAnalysis[[#This Row],[Severidad máxima]], tblSeverityAnalysis[[#Headers],[SAMV]:[ASH]], ""), "")), "")</f>
        <v>ASH</v>
      </c>
      <c r="AE11" s="346" cm="1">
        <f t="array" ref="AE11">IFERROR(MAX(_xlfn._xlws.FILTER(tblSeverityAnalysis[[#This Row],[SAMV]:[ASH]], tblSeverityAnalysis[[#This Row],[SAMV]:[ASH]]&lt;tblSeverityAnalysis[[#This Row],[Severidad máxima]])), "")</f>
        <v>4</v>
      </c>
      <c r="AF11" s="398" t="str" cm="1">
        <f t="array" ref="AF11">IFERROR(IF(tblSeverityAnalysis[[#This Row],[2ª mayor severidad]]="", "", _xlfn.TEXTJOIN(CHAR(10), TRUE, IF(tblSeverityAnalysis[[#This Row],[SAMV]:[ASH]]=tblSeverityAnalysis[[#This Row],[2ª mayor severidad]], tblSeverityAnalysis[[#Headers],[SAMV]:[ASH]], ""), "")), "")</f>
        <v>SAMV
SAL
PRO</v>
      </c>
      <c r="AG11" s="405" t="str">
        <f>IFERROR(IF(AND(tblSeverityAnalysis[[#This Row],[5]] &lt;&gt; "", tblSeverityAnalysis[[#This Row],[5]]&gt;=sectors_sev_5), "Flagged", ""), "")</f>
        <v/>
      </c>
      <c r="AH11" s="347" t="str">
        <f>IFERROR(IF(AND(tblSeverityAnalysis[[#This Row],[Severidad preliminar basada en la superposición de privaciones sectoriales]]=5, SUM(tblSeverityAnalysis[[#This Row],[ 1 ]:[ 4 ]])&gt;=sectors_sev_5), "Flagged", ""), "")</f>
        <v/>
      </c>
      <c r="AI11" s="348" t="str" cm="1">
        <f t="array" ref="AI1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1" s="350"/>
      <c r="AL11" s="351"/>
      <c r="AM11" s="350"/>
      <c r="AN11" s="407">
        <f>COUNTIF(tblSeverityAnalysis[[#This Row],[1 sectores en fase de severidad 5 '[modificar el umbral']]:[Marcador manual]], "Flagged")</f>
        <v>0</v>
      </c>
      <c r="AO11" s="418">
        <f>tblSeverityAnalysis[[#This Row],[Severidad preliminar basada en la superposición de privaciones sectoriales]]</f>
        <v>4</v>
      </c>
      <c r="AP11" s="417"/>
      <c r="AQ11" s="421" t="s">
        <v>876</v>
      </c>
      <c r="AR11" s="417">
        <v>4</v>
      </c>
    </row>
    <row r="12" spans="1:51" hidden="1">
      <c r="A1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VenezolanosVE0301</v>
      </c>
      <c r="B12" s="363" t="s">
        <v>119</v>
      </c>
      <c r="C12" s="323" t="s">
        <v>120</v>
      </c>
      <c r="D12" s="322" t="s">
        <v>121</v>
      </c>
      <c r="E12" s="323" t="s">
        <v>122</v>
      </c>
      <c r="F12" s="323"/>
      <c r="G12" s="324">
        <v>122634</v>
      </c>
      <c r="H12" s="324" t="s">
        <v>102</v>
      </c>
      <c r="I12" s="374">
        <v>3</v>
      </c>
      <c r="J12" s="237">
        <v>3</v>
      </c>
      <c r="K12" s="237">
        <v>3</v>
      </c>
      <c r="L12" s="237">
        <v>3</v>
      </c>
      <c r="M12" s="237">
        <v>4</v>
      </c>
      <c r="N12" s="237">
        <v>3</v>
      </c>
      <c r="O12" s="237">
        <v>4</v>
      </c>
      <c r="P12" s="237">
        <v>4</v>
      </c>
      <c r="Q12" s="382" t="str">
        <f>IF(COUNTIF(tblSeverityAnalysis[[#This Row],[SAMV]:[ASH]], 1)=0, "", COUNTIF(tblSeverityAnalysis[[#This Row],[SAMV]:[ASH]], 1))</f>
        <v/>
      </c>
      <c r="R12" s="325" t="str">
        <f>IF(COUNTIF(tblSeverityAnalysis[[#This Row],[SAMV]:[ASH]], 2)=0, "", COUNTIF(tblSeverityAnalysis[[#This Row],[SAMV]:[ASH]], 2))</f>
        <v/>
      </c>
      <c r="S12" s="325">
        <f>IF(COUNTIF(tblSeverityAnalysis[[#This Row],[SAMV]:[ASH]], 3)=0, "", COUNTIF(tblSeverityAnalysis[[#This Row],[SAMV]:[ASH]], 3))</f>
        <v>5</v>
      </c>
      <c r="T12" s="325">
        <f>IF(COUNTIF(tblSeverityAnalysis[[#This Row],[SAMV]:[ASH]], 4)=0, "", COUNTIF(tblSeverityAnalysis[[#This Row],[SAMV]:[ASH]], 4))</f>
        <v>1</v>
      </c>
      <c r="U12" s="383" t="str">
        <f>IF(COUNTIF(tblSeverityAnalysis[[#This Row],[SAMV]:[ASH]], 5)=0, "", COUNTIF(tblSeverityAnalysis[[#This Row],[SAMV]:[ASH]], 5))</f>
        <v/>
      </c>
      <c r="V12" s="375" cm="1">
        <f t="array" ref="V1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2" s="237" t="str">
        <f>IFERROR(IF(INDEX(tblSeverityReference[Severidad de la desnutrición],MATCH(tblSeverityAnalysis[[#This Row],[ID]], tblSeverityReference[ID], 0))= "", "",INDEX(tblSeverityReference[Severidad de la desnutrición],MATCH(tblSeverityAnalysis[[#This Row],[ID]], tblSeverityReference[ID], 0)) ), "")</f>
        <v/>
      </c>
      <c r="Y12" s="349" t="str">
        <f>IFERROR(IF(INDEX(tblSeverityReference[Severidad epidémica],MATCH(tblSeverityAnalysis[[#This Row],[ID]], tblSeverityReference[ID], 0))= "", "",INDEX(tblSeverityReference[Severidad epidémica],MATCH(tblSeverityAnalysis[[#This Row],[ID]], tblSeverityReference[ID], 0)) ), "")</f>
        <v/>
      </c>
      <c r="Z1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2" s="391" t="str">
        <f>IFERROR(IF(INDEX(tblSeverityReference[HR/IHL Violation],MATCH(tblSeverityAnalysis[[#This Row],[ID]], tblSeverityReference[ID], 0))= "", "",INDEX(tblSeverityReference[HR/IHL Violation],MATCH(tblSeverityAnalysis[[#This Row],[ID]], tblSeverityReference[ID], 0)) ), "")</f>
        <v/>
      </c>
      <c r="AB12" s="397">
        <f>IFERROR(AVERAGE(tblSeverityAnalysis[[#This Row],[SAMV]:[ASH]]), "")</f>
        <v>3.1666666666666665</v>
      </c>
      <c r="AC12" s="346">
        <f>IF(SUM(tblSeverityAnalysis[[#This Row],[SAMV]:[ASH]])=0, "", MAX(tblSeverityAnalysis[[#This Row],[SAMV]:[ASH]]))</f>
        <v>4</v>
      </c>
      <c r="AD12" s="261" t="str" cm="1">
        <f t="array" ref="AD12">IFERROR(IF(tblSeverityAnalysis[[#This Row],[Severidad máxima]]="", "", _xlfn.TEXTJOIN(CHAR(10), TRUE, IF(tblSeverityAnalysis[[#This Row],[SAMV]:[ASH]]=tblSeverityAnalysis[[#This Row],[Severidad máxima]], tblSeverityAnalysis[[#Headers],[SAMV]:[ASH]], ""), "")), "")</f>
        <v>PRO</v>
      </c>
      <c r="AE12" s="346" cm="1">
        <f t="array" ref="AE12">IFERROR(MAX(_xlfn._xlws.FILTER(tblSeverityAnalysis[[#This Row],[SAMV]:[ASH]], tblSeverityAnalysis[[#This Row],[SAMV]:[ASH]]&lt;tblSeverityAnalysis[[#This Row],[Severidad máxima]])), "")</f>
        <v>3</v>
      </c>
      <c r="AF12" s="398" t="str" cm="1">
        <f t="array" ref="AF12">IFERROR(IF(tblSeverityAnalysis[[#This Row],[2ª mayor severidad]]="", "", _xlfn.TEXTJOIN(CHAR(10), TRUE, IF(tblSeverityAnalysis[[#This Row],[SAMV]:[ASH]]=tblSeverityAnalysis[[#This Row],[2ª mayor severidad]], tblSeverityAnalysis[[#Headers],[SAMV]:[ASH]], ""), "")), "")</f>
        <v>SAMV
NUT
SAL
EDU
ASH</v>
      </c>
      <c r="AG12" s="405" t="str">
        <f>IFERROR(IF(AND(tblSeverityAnalysis[[#This Row],[5]] &lt;&gt; "", tblSeverityAnalysis[[#This Row],[5]]&gt;=sectors_sev_5), "Flagged", ""), "")</f>
        <v/>
      </c>
      <c r="AH12" s="347" t="str">
        <f>IFERROR(IF(AND(tblSeverityAnalysis[[#This Row],[Severidad preliminar basada en la superposición de privaciones sectoriales]]=5, SUM(tblSeverityAnalysis[[#This Row],[ 1 ]:[ 4 ]])&gt;=sectors_sev_5), "Flagged", ""), "")</f>
        <v/>
      </c>
      <c r="AI12" s="348" t="str" cm="1">
        <f t="array" ref="AI1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2" s="350"/>
      <c r="AL12" s="351"/>
      <c r="AM12" s="350"/>
      <c r="AN12" s="407">
        <f>COUNTIF(tblSeverityAnalysis[[#This Row],[1 sectores en fase de severidad 5 '[modificar el umbral']]:[Marcador manual]], "Flagged")</f>
        <v>0</v>
      </c>
      <c r="AO12" s="418">
        <f>tblSeverityAnalysis[[#This Row],[Severidad preliminar basada en la superposición de privaciones sectoriales]]</f>
        <v>3</v>
      </c>
      <c r="AP12" s="417"/>
      <c r="AQ12" s="421" t="s">
        <v>876</v>
      </c>
      <c r="AR12" s="417">
        <v>3</v>
      </c>
    </row>
    <row r="13" spans="1:51" hidden="1">
      <c r="A1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VenezolanosVE0302</v>
      </c>
      <c r="B13" s="363" t="s">
        <v>119</v>
      </c>
      <c r="C13" s="323" t="s">
        <v>120</v>
      </c>
      <c r="D13" s="322" t="s">
        <v>123</v>
      </c>
      <c r="E13" s="323" t="s">
        <v>124</v>
      </c>
      <c r="F13" s="323"/>
      <c r="G13" s="324">
        <v>29168</v>
      </c>
      <c r="H13" s="324" t="s">
        <v>102</v>
      </c>
      <c r="I13" s="374">
        <v>3</v>
      </c>
      <c r="J13" s="237">
        <v>1</v>
      </c>
      <c r="K13" s="237">
        <v>3</v>
      </c>
      <c r="L13" s="237">
        <v>3</v>
      </c>
      <c r="M13" s="237">
        <v>2</v>
      </c>
      <c r="N13" s="237">
        <v>4</v>
      </c>
      <c r="O13" s="237">
        <v>2</v>
      </c>
      <c r="P13" s="237">
        <v>2</v>
      </c>
      <c r="Q13" s="382">
        <f>IF(COUNTIF(tblSeverityAnalysis[[#This Row],[SAMV]:[ASH]], 1)=0, "", COUNTIF(tblSeverityAnalysis[[#This Row],[SAMV]:[ASH]], 1))</f>
        <v>1</v>
      </c>
      <c r="R13" s="325">
        <f>IF(COUNTIF(tblSeverityAnalysis[[#This Row],[SAMV]:[ASH]], 2)=0, "", COUNTIF(tblSeverityAnalysis[[#This Row],[SAMV]:[ASH]], 2))</f>
        <v>1</v>
      </c>
      <c r="S13" s="325">
        <f>IF(COUNTIF(tblSeverityAnalysis[[#This Row],[SAMV]:[ASH]], 3)=0, "", COUNTIF(tblSeverityAnalysis[[#This Row],[SAMV]:[ASH]], 3))</f>
        <v>3</v>
      </c>
      <c r="T13" s="325">
        <f>IF(COUNTIF(tblSeverityAnalysis[[#This Row],[SAMV]:[ASH]], 4)=0, "", COUNTIF(tblSeverityAnalysis[[#This Row],[SAMV]:[ASH]], 4))</f>
        <v>1</v>
      </c>
      <c r="U13" s="383" t="str">
        <f>IF(COUNTIF(tblSeverityAnalysis[[#This Row],[SAMV]:[ASH]], 5)=0, "", COUNTIF(tblSeverityAnalysis[[#This Row],[SAMV]:[ASH]], 5))</f>
        <v/>
      </c>
      <c r="V13" s="375" cm="1">
        <f t="array" ref="V1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3" s="237" t="str">
        <f>IFERROR(IF(INDEX(tblSeverityReference[Severidad de la desnutrición],MATCH(tblSeverityAnalysis[[#This Row],[ID]], tblSeverityReference[ID], 0))= "", "",INDEX(tblSeverityReference[Severidad de la desnutrición],MATCH(tblSeverityAnalysis[[#This Row],[ID]], tblSeverityReference[ID], 0)) ), "")</f>
        <v/>
      </c>
      <c r="Y13" s="349" t="str">
        <f>IFERROR(IF(INDEX(tblSeverityReference[Severidad epidémica],MATCH(tblSeverityAnalysis[[#This Row],[ID]], tblSeverityReference[ID], 0))= "", "",INDEX(tblSeverityReference[Severidad epidémica],MATCH(tblSeverityAnalysis[[#This Row],[ID]], tblSeverityReference[ID], 0)) ), "")</f>
        <v/>
      </c>
      <c r="Z1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3" s="391" t="str">
        <f>IFERROR(IF(INDEX(tblSeverityReference[HR/IHL Violation],MATCH(tblSeverityAnalysis[[#This Row],[ID]], tblSeverityReference[ID], 0))= "", "",INDEX(tblSeverityReference[HR/IHL Violation],MATCH(tblSeverityAnalysis[[#This Row],[ID]], tblSeverityReference[ID], 0)) ), "")</f>
        <v/>
      </c>
      <c r="AB13" s="397">
        <f>IFERROR(AVERAGE(tblSeverityAnalysis[[#This Row],[SAMV]:[ASH]]), "")</f>
        <v>2.6666666666666665</v>
      </c>
      <c r="AC13" s="346">
        <f>IF(SUM(tblSeverityAnalysis[[#This Row],[SAMV]:[ASH]])=0, "", MAX(tblSeverityAnalysis[[#This Row],[SAMV]:[ASH]]))</f>
        <v>4</v>
      </c>
      <c r="AD13" s="261" t="str" cm="1">
        <f t="array" ref="AD13">IFERROR(IF(tblSeverityAnalysis[[#This Row],[Severidad máxima]]="", "", _xlfn.TEXTJOIN(CHAR(10), TRUE, IF(tblSeverityAnalysis[[#This Row],[SAMV]:[ASH]]=tblSeverityAnalysis[[#This Row],[Severidad máxima]], tblSeverityAnalysis[[#Headers],[SAMV]:[ASH]], ""), "")), "")</f>
        <v>ASH</v>
      </c>
      <c r="AE13" s="346" cm="1">
        <f t="array" ref="AE13">IFERROR(MAX(_xlfn._xlws.FILTER(tblSeverityAnalysis[[#This Row],[SAMV]:[ASH]], tblSeverityAnalysis[[#This Row],[SAMV]:[ASH]]&lt;tblSeverityAnalysis[[#This Row],[Severidad máxima]])), "")</f>
        <v>3</v>
      </c>
      <c r="AF13" s="398" t="str" cm="1">
        <f t="array" ref="AF13">IFERROR(IF(tblSeverityAnalysis[[#This Row],[2ª mayor severidad]]="", "", _xlfn.TEXTJOIN(CHAR(10), TRUE, IF(tblSeverityAnalysis[[#This Row],[SAMV]:[ASH]]=tblSeverityAnalysis[[#This Row],[2ª mayor severidad]], tblSeverityAnalysis[[#Headers],[SAMV]:[ASH]], ""), "")), "")</f>
        <v>SAMV
SAL
EDU</v>
      </c>
      <c r="AG13" s="405" t="str">
        <f>IFERROR(IF(AND(tblSeverityAnalysis[[#This Row],[5]] &lt;&gt; "", tblSeverityAnalysis[[#This Row],[5]]&gt;=sectors_sev_5), "Flagged", ""), "")</f>
        <v/>
      </c>
      <c r="AH13" s="347" t="str">
        <f>IFERROR(IF(AND(tblSeverityAnalysis[[#This Row],[Severidad preliminar basada en la superposición de privaciones sectoriales]]=5, SUM(tblSeverityAnalysis[[#This Row],[ 1 ]:[ 4 ]])&gt;=sectors_sev_5), "Flagged", ""), "")</f>
        <v/>
      </c>
      <c r="AI13" s="348" t="str" cm="1">
        <f t="array" ref="AI1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3" s="350"/>
      <c r="AL13" s="351"/>
      <c r="AM13" s="350"/>
      <c r="AN13" s="407">
        <f>COUNTIF(tblSeverityAnalysis[[#This Row],[1 sectores en fase de severidad 5 '[modificar el umbral']]:[Marcador manual]], "Flagged")</f>
        <v>0</v>
      </c>
      <c r="AO13" s="418">
        <f>tblSeverityAnalysis[[#This Row],[Severidad preliminar basada en la superposición de privaciones sectoriales]]</f>
        <v>3</v>
      </c>
      <c r="AP13" s="417"/>
      <c r="AQ13" s="421" t="s">
        <v>876</v>
      </c>
      <c r="AR13" s="417">
        <v>3</v>
      </c>
    </row>
    <row r="14" spans="1:51" hidden="1">
      <c r="A1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VenezolanosVE0303</v>
      </c>
      <c r="B14" s="363" t="s">
        <v>119</v>
      </c>
      <c r="C14" s="323" t="s">
        <v>120</v>
      </c>
      <c r="D14" s="322" t="s">
        <v>125</v>
      </c>
      <c r="E14" s="323" t="s">
        <v>126</v>
      </c>
      <c r="F14" s="323"/>
      <c r="G14" s="324">
        <v>33437</v>
      </c>
      <c r="H14" s="324" t="s">
        <v>102</v>
      </c>
      <c r="I14" s="374">
        <v>3</v>
      </c>
      <c r="J14" s="237">
        <v>2</v>
      </c>
      <c r="K14" s="237">
        <v>3</v>
      </c>
      <c r="L14" s="237">
        <v>3</v>
      </c>
      <c r="M14" s="237">
        <v>3</v>
      </c>
      <c r="N14" s="237">
        <v>4</v>
      </c>
      <c r="O14" s="237">
        <v>3</v>
      </c>
      <c r="P14" s="237">
        <v>3</v>
      </c>
      <c r="Q14" s="382" t="str">
        <f>IF(COUNTIF(tblSeverityAnalysis[[#This Row],[SAMV]:[ASH]], 1)=0, "", COUNTIF(tblSeverityAnalysis[[#This Row],[SAMV]:[ASH]], 1))</f>
        <v/>
      </c>
      <c r="R14" s="325">
        <f>IF(COUNTIF(tblSeverityAnalysis[[#This Row],[SAMV]:[ASH]], 2)=0, "", COUNTIF(tblSeverityAnalysis[[#This Row],[SAMV]:[ASH]], 2))</f>
        <v>1</v>
      </c>
      <c r="S14" s="325">
        <f>IF(COUNTIF(tblSeverityAnalysis[[#This Row],[SAMV]:[ASH]], 3)=0, "", COUNTIF(tblSeverityAnalysis[[#This Row],[SAMV]:[ASH]], 3))</f>
        <v>4</v>
      </c>
      <c r="T14" s="325">
        <f>IF(COUNTIF(tblSeverityAnalysis[[#This Row],[SAMV]:[ASH]], 4)=0, "", COUNTIF(tblSeverityAnalysis[[#This Row],[SAMV]:[ASH]], 4))</f>
        <v>1</v>
      </c>
      <c r="U14" s="383" t="str">
        <f>IF(COUNTIF(tblSeverityAnalysis[[#This Row],[SAMV]:[ASH]], 5)=0, "", COUNTIF(tblSeverityAnalysis[[#This Row],[SAMV]:[ASH]], 5))</f>
        <v/>
      </c>
      <c r="V14" s="375" cm="1">
        <f t="array" ref="V1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4" s="237" t="str">
        <f>IFERROR(IF(INDEX(tblSeverityReference[Severidad de la desnutrición],MATCH(tblSeverityAnalysis[[#This Row],[ID]], tblSeverityReference[ID], 0))= "", "",INDEX(tblSeverityReference[Severidad de la desnutrición],MATCH(tblSeverityAnalysis[[#This Row],[ID]], tblSeverityReference[ID], 0)) ), "")</f>
        <v/>
      </c>
      <c r="Y14" s="349" t="str">
        <f>IFERROR(IF(INDEX(tblSeverityReference[Severidad epidémica],MATCH(tblSeverityAnalysis[[#This Row],[ID]], tblSeverityReference[ID], 0))= "", "",INDEX(tblSeverityReference[Severidad epidémica],MATCH(tblSeverityAnalysis[[#This Row],[ID]], tblSeverityReference[ID], 0)) ), "")</f>
        <v/>
      </c>
      <c r="Z1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4" s="391" t="str">
        <f>IFERROR(IF(INDEX(tblSeverityReference[HR/IHL Violation],MATCH(tblSeverityAnalysis[[#This Row],[ID]], tblSeverityReference[ID], 0))= "", "",INDEX(tblSeverityReference[HR/IHL Violation],MATCH(tblSeverityAnalysis[[#This Row],[ID]], tblSeverityReference[ID], 0)) ), "")</f>
        <v/>
      </c>
      <c r="AB14" s="397">
        <f>IFERROR(AVERAGE(tblSeverityAnalysis[[#This Row],[SAMV]:[ASH]]), "")</f>
        <v>3</v>
      </c>
      <c r="AC14" s="346">
        <f>IF(SUM(tblSeverityAnalysis[[#This Row],[SAMV]:[ASH]])=0, "", MAX(tblSeverityAnalysis[[#This Row],[SAMV]:[ASH]]))</f>
        <v>4</v>
      </c>
      <c r="AD14" s="261" t="str" cm="1">
        <f t="array" ref="AD14">IFERROR(IF(tblSeverityAnalysis[[#This Row],[Severidad máxima]]="", "", _xlfn.TEXTJOIN(CHAR(10), TRUE, IF(tblSeverityAnalysis[[#This Row],[SAMV]:[ASH]]=tblSeverityAnalysis[[#This Row],[Severidad máxima]], tblSeverityAnalysis[[#Headers],[SAMV]:[ASH]], ""), "")), "")</f>
        <v>ASH</v>
      </c>
      <c r="AE14" s="346" cm="1">
        <f t="array" ref="AE14">IFERROR(MAX(_xlfn._xlws.FILTER(tblSeverityAnalysis[[#This Row],[SAMV]:[ASH]], tblSeverityAnalysis[[#This Row],[SAMV]:[ASH]]&lt;tblSeverityAnalysis[[#This Row],[Severidad máxima]])), "")</f>
        <v>3</v>
      </c>
      <c r="AF14" s="398" t="str" cm="1">
        <f t="array" ref="AF14">IFERROR(IF(tblSeverityAnalysis[[#This Row],[2ª mayor severidad]]="", "", _xlfn.TEXTJOIN(CHAR(10), TRUE, IF(tblSeverityAnalysis[[#This Row],[SAMV]:[ASH]]=tblSeverityAnalysis[[#This Row],[2ª mayor severidad]], tblSeverityAnalysis[[#Headers],[SAMV]:[ASH]], ""), "")), "")</f>
        <v>SAMV
SAL
EDU
PRO</v>
      </c>
      <c r="AG14" s="405" t="str">
        <f>IFERROR(IF(AND(tblSeverityAnalysis[[#This Row],[5]] &lt;&gt; "", tblSeverityAnalysis[[#This Row],[5]]&gt;=sectors_sev_5), "Flagged", ""), "")</f>
        <v/>
      </c>
      <c r="AH14" s="347" t="str">
        <f>IFERROR(IF(AND(tblSeverityAnalysis[[#This Row],[Severidad preliminar basada en la superposición de privaciones sectoriales]]=5, SUM(tblSeverityAnalysis[[#This Row],[ 1 ]:[ 4 ]])&gt;=sectors_sev_5), "Flagged", ""), "")</f>
        <v/>
      </c>
      <c r="AI14" s="348" t="str" cm="1">
        <f t="array" ref="AI1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4" s="350"/>
      <c r="AL14" s="351"/>
      <c r="AM14" s="350"/>
      <c r="AN14" s="407">
        <f>COUNTIF(tblSeverityAnalysis[[#This Row],[1 sectores en fase de severidad 5 '[modificar el umbral']]:[Marcador manual]], "Flagged")</f>
        <v>0</v>
      </c>
      <c r="AO14" s="418">
        <f>tblSeverityAnalysis[[#This Row],[Severidad preliminar basada en la superposición de privaciones sectoriales]]</f>
        <v>3</v>
      </c>
      <c r="AP14" s="417"/>
      <c r="AQ14" s="421" t="s">
        <v>876</v>
      </c>
      <c r="AR14" s="417">
        <v>3</v>
      </c>
    </row>
    <row r="15" spans="1:51" hidden="1">
      <c r="A1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VenezolanosVE0304</v>
      </c>
      <c r="B15" s="363" t="s">
        <v>119</v>
      </c>
      <c r="C15" s="323" t="s">
        <v>120</v>
      </c>
      <c r="D15" s="322" t="s">
        <v>127</v>
      </c>
      <c r="E15" s="323" t="s">
        <v>128</v>
      </c>
      <c r="F15" s="323"/>
      <c r="G15" s="324">
        <v>14653</v>
      </c>
      <c r="H15" s="324" t="s">
        <v>102</v>
      </c>
      <c r="I15" s="374">
        <v>4</v>
      </c>
      <c r="J15" s="237">
        <v>1</v>
      </c>
      <c r="K15" s="237">
        <v>3</v>
      </c>
      <c r="L15" s="237">
        <v>3</v>
      </c>
      <c r="M15" s="237">
        <v>2</v>
      </c>
      <c r="N15" s="237">
        <v>2</v>
      </c>
      <c r="O15" s="237">
        <v>2</v>
      </c>
      <c r="P15" s="237">
        <v>2</v>
      </c>
      <c r="Q15" s="382">
        <f>IF(COUNTIF(tblSeverityAnalysis[[#This Row],[SAMV]:[ASH]], 1)=0, "", COUNTIF(tblSeverityAnalysis[[#This Row],[SAMV]:[ASH]], 1))</f>
        <v>1</v>
      </c>
      <c r="R15" s="325">
        <f>IF(COUNTIF(tblSeverityAnalysis[[#This Row],[SAMV]:[ASH]], 2)=0, "", COUNTIF(tblSeverityAnalysis[[#This Row],[SAMV]:[ASH]], 2))</f>
        <v>2</v>
      </c>
      <c r="S15" s="325">
        <f>IF(COUNTIF(tblSeverityAnalysis[[#This Row],[SAMV]:[ASH]], 3)=0, "", COUNTIF(tblSeverityAnalysis[[#This Row],[SAMV]:[ASH]], 3))</f>
        <v>2</v>
      </c>
      <c r="T15" s="325">
        <f>IF(COUNTIF(tblSeverityAnalysis[[#This Row],[SAMV]:[ASH]], 4)=0, "", COUNTIF(tblSeverityAnalysis[[#This Row],[SAMV]:[ASH]], 4))</f>
        <v>1</v>
      </c>
      <c r="U15" s="383" t="str">
        <f>IF(COUNTIF(tblSeverityAnalysis[[#This Row],[SAMV]:[ASH]], 5)=0, "", COUNTIF(tblSeverityAnalysis[[#This Row],[SAMV]:[ASH]], 5))</f>
        <v/>
      </c>
      <c r="V15" s="375" cm="1">
        <f t="array" ref="V1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5" s="237" t="str">
        <f>IFERROR(IF(INDEX(tblSeverityReference[Severidad de la desnutrición],MATCH(tblSeverityAnalysis[[#This Row],[ID]], tblSeverityReference[ID], 0))= "", "",INDEX(tblSeverityReference[Severidad de la desnutrición],MATCH(tblSeverityAnalysis[[#This Row],[ID]], tblSeverityReference[ID], 0)) ), "")</f>
        <v/>
      </c>
      <c r="Y15" s="349" t="str">
        <f>IFERROR(IF(INDEX(tblSeverityReference[Severidad epidémica],MATCH(tblSeverityAnalysis[[#This Row],[ID]], tblSeverityReference[ID], 0))= "", "",INDEX(tblSeverityReference[Severidad epidémica],MATCH(tblSeverityAnalysis[[#This Row],[ID]], tblSeverityReference[ID], 0)) ), "")</f>
        <v/>
      </c>
      <c r="Z1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5" s="391" t="str">
        <f>IFERROR(IF(INDEX(tblSeverityReference[HR/IHL Violation],MATCH(tblSeverityAnalysis[[#This Row],[ID]], tblSeverityReference[ID], 0))= "", "",INDEX(tblSeverityReference[HR/IHL Violation],MATCH(tblSeverityAnalysis[[#This Row],[ID]], tblSeverityReference[ID], 0)) ), "")</f>
        <v/>
      </c>
      <c r="AB15" s="397">
        <f>IFERROR(AVERAGE(tblSeverityAnalysis[[#This Row],[SAMV]:[ASH]]), "")</f>
        <v>2.5</v>
      </c>
      <c r="AC15" s="346">
        <f>IF(SUM(tblSeverityAnalysis[[#This Row],[SAMV]:[ASH]])=0, "", MAX(tblSeverityAnalysis[[#This Row],[SAMV]:[ASH]]))</f>
        <v>4</v>
      </c>
      <c r="AD15" s="261" t="str" cm="1">
        <f t="array" ref="AD15">IFERROR(IF(tblSeverityAnalysis[[#This Row],[Severidad máxima]]="", "", _xlfn.TEXTJOIN(CHAR(10), TRUE, IF(tblSeverityAnalysis[[#This Row],[SAMV]:[ASH]]=tblSeverityAnalysis[[#This Row],[Severidad máxima]], tblSeverityAnalysis[[#Headers],[SAMV]:[ASH]], ""), "")), "")</f>
        <v>SAMV</v>
      </c>
      <c r="AE15" s="346" cm="1">
        <f t="array" ref="AE15">IFERROR(MAX(_xlfn._xlws.FILTER(tblSeverityAnalysis[[#This Row],[SAMV]:[ASH]], tblSeverityAnalysis[[#This Row],[SAMV]:[ASH]]&lt;tblSeverityAnalysis[[#This Row],[Severidad máxima]])), "")</f>
        <v>3</v>
      </c>
      <c r="AF15" s="398" t="str" cm="1">
        <f t="array" ref="AF15">IFERROR(IF(tblSeverityAnalysis[[#This Row],[2ª mayor severidad]]="", "", _xlfn.TEXTJOIN(CHAR(10), TRUE, IF(tblSeverityAnalysis[[#This Row],[SAMV]:[ASH]]=tblSeverityAnalysis[[#This Row],[2ª mayor severidad]], tblSeverityAnalysis[[#Headers],[SAMV]:[ASH]], ""), "")), "")</f>
        <v>SAL
EDU</v>
      </c>
      <c r="AG15" s="405" t="str">
        <f>IFERROR(IF(AND(tblSeverityAnalysis[[#This Row],[5]] &lt;&gt; "", tblSeverityAnalysis[[#This Row],[5]]&gt;=sectors_sev_5), "Flagged", ""), "")</f>
        <v/>
      </c>
      <c r="AH15" s="347" t="str">
        <f>IFERROR(IF(AND(tblSeverityAnalysis[[#This Row],[Severidad preliminar basada en la superposición de privaciones sectoriales]]=5, SUM(tblSeverityAnalysis[[#This Row],[ 1 ]:[ 4 ]])&gt;=sectors_sev_5), "Flagged", ""), "")</f>
        <v/>
      </c>
      <c r="AI15" s="348" t="str" cm="1">
        <f t="array" ref="AI1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5" s="350"/>
      <c r="AL15" s="351"/>
      <c r="AM15" s="350"/>
      <c r="AN15" s="407">
        <f>COUNTIF(tblSeverityAnalysis[[#This Row],[1 sectores en fase de severidad 5 '[modificar el umbral']]:[Marcador manual]], "Flagged")</f>
        <v>0</v>
      </c>
      <c r="AO15" s="418">
        <f>tblSeverityAnalysis[[#This Row],[Severidad preliminar basada en la superposición de privaciones sectoriales]]</f>
        <v>2</v>
      </c>
      <c r="AP15" s="417"/>
      <c r="AQ15" s="421" t="s">
        <v>876</v>
      </c>
      <c r="AR15" s="417">
        <v>3</v>
      </c>
    </row>
    <row r="16" spans="1:51" hidden="1">
      <c r="A1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VenezolanosVE0305</v>
      </c>
      <c r="B16" s="363" t="s">
        <v>119</v>
      </c>
      <c r="C16" s="323" t="s">
        <v>120</v>
      </c>
      <c r="D16" s="322" t="s">
        <v>129</v>
      </c>
      <c r="E16" s="323" t="s">
        <v>130</v>
      </c>
      <c r="F16" s="323"/>
      <c r="G16" s="324">
        <v>43173</v>
      </c>
      <c r="H16" s="324" t="s">
        <v>102</v>
      </c>
      <c r="I16" s="374">
        <v>4</v>
      </c>
      <c r="J16" s="237">
        <v>1</v>
      </c>
      <c r="K16" s="237">
        <v>3</v>
      </c>
      <c r="L16" s="237">
        <v>3</v>
      </c>
      <c r="M16" s="237">
        <v>2</v>
      </c>
      <c r="N16" s="237">
        <v>3</v>
      </c>
      <c r="O16" s="237">
        <v>2</v>
      </c>
      <c r="P16" s="237">
        <v>2</v>
      </c>
      <c r="Q16" s="382">
        <f>IF(COUNTIF(tblSeverityAnalysis[[#This Row],[SAMV]:[ASH]], 1)=0, "", COUNTIF(tblSeverityAnalysis[[#This Row],[SAMV]:[ASH]], 1))</f>
        <v>1</v>
      </c>
      <c r="R16" s="325">
        <f>IF(COUNTIF(tblSeverityAnalysis[[#This Row],[SAMV]:[ASH]], 2)=0, "", COUNTIF(tblSeverityAnalysis[[#This Row],[SAMV]:[ASH]], 2))</f>
        <v>1</v>
      </c>
      <c r="S16" s="325">
        <f>IF(COUNTIF(tblSeverityAnalysis[[#This Row],[SAMV]:[ASH]], 3)=0, "", COUNTIF(tblSeverityAnalysis[[#This Row],[SAMV]:[ASH]], 3))</f>
        <v>3</v>
      </c>
      <c r="T16" s="325">
        <f>IF(COUNTIF(tblSeverityAnalysis[[#This Row],[SAMV]:[ASH]], 4)=0, "", COUNTIF(tblSeverityAnalysis[[#This Row],[SAMV]:[ASH]], 4))</f>
        <v>1</v>
      </c>
      <c r="U16" s="383" t="str">
        <f>IF(COUNTIF(tblSeverityAnalysis[[#This Row],[SAMV]:[ASH]], 5)=0, "", COUNTIF(tblSeverityAnalysis[[#This Row],[SAMV]:[ASH]], 5))</f>
        <v/>
      </c>
      <c r="V16" s="375" cm="1">
        <f t="array" ref="V1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6" s="237" t="str">
        <f>IFERROR(IF(INDEX(tblSeverityReference[Severidad de la desnutrición],MATCH(tblSeverityAnalysis[[#This Row],[ID]], tblSeverityReference[ID], 0))= "", "",INDEX(tblSeverityReference[Severidad de la desnutrición],MATCH(tblSeverityAnalysis[[#This Row],[ID]], tblSeverityReference[ID], 0)) ), "")</f>
        <v/>
      </c>
      <c r="Y16" s="349" t="str">
        <f>IFERROR(IF(INDEX(tblSeverityReference[Severidad epidémica],MATCH(tblSeverityAnalysis[[#This Row],[ID]], tblSeverityReference[ID], 0))= "", "",INDEX(tblSeverityReference[Severidad epidémica],MATCH(tblSeverityAnalysis[[#This Row],[ID]], tblSeverityReference[ID], 0)) ), "")</f>
        <v/>
      </c>
      <c r="Z1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6" s="391" t="str">
        <f>IFERROR(IF(INDEX(tblSeverityReference[HR/IHL Violation],MATCH(tblSeverityAnalysis[[#This Row],[ID]], tblSeverityReference[ID], 0))= "", "",INDEX(tblSeverityReference[HR/IHL Violation],MATCH(tblSeverityAnalysis[[#This Row],[ID]], tblSeverityReference[ID], 0)) ), "")</f>
        <v/>
      </c>
      <c r="AB16" s="397">
        <f>IFERROR(AVERAGE(tblSeverityAnalysis[[#This Row],[SAMV]:[ASH]]), "")</f>
        <v>2.6666666666666665</v>
      </c>
      <c r="AC16" s="346">
        <f>IF(SUM(tblSeverityAnalysis[[#This Row],[SAMV]:[ASH]])=0, "", MAX(tblSeverityAnalysis[[#This Row],[SAMV]:[ASH]]))</f>
        <v>4</v>
      </c>
      <c r="AD16" s="261" t="str" cm="1">
        <f t="array" ref="AD16">IFERROR(IF(tblSeverityAnalysis[[#This Row],[Severidad máxima]]="", "", _xlfn.TEXTJOIN(CHAR(10), TRUE, IF(tblSeverityAnalysis[[#This Row],[SAMV]:[ASH]]=tblSeverityAnalysis[[#This Row],[Severidad máxima]], tblSeverityAnalysis[[#Headers],[SAMV]:[ASH]], ""), "")), "")</f>
        <v>SAMV</v>
      </c>
      <c r="AE16" s="346" cm="1">
        <f t="array" ref="AE16">IFERROR(MAX(_xlfn._xlws.FILTER(tblSeverityAnalysis[[#This Row],[SAMV]:[ASH]], tblSeverityAnalysis[[#This Row],[SAMV]:[ASH]]&lt;tblSeverityAnalysis[[#This Row],[Severidad máxima]])), "")</f>
        <v>3</v>
      </c>
      <c r="AF16" s="398" t="str" cm="1">
        <f t="array" ref="AF16">IFERROR(IF(tblSeverityAnalysis[[#This Row],[2ª mayor severidad]]="", "", _xlfn.TEXTJOIN(CHAR(10), TRUE, IF(tblSeverityAnalysis[[#This Row],[SAMV]:[ASH]]=tblSeverityAnalysis[[#This Row],[2ª mayor severidad]], tblSeverityAnalysis[[#Headers],[SAMV]:[ASH]], ""), "")), "")</f>
        <v>SAL
EDU
ASH</v>
      </c>
      <c r="AG16" s="405" t="str">
        <f>IFERROR(IF(AND(tblSeverityAnalysis[[#This Row],[5]] &lt;&gt; "", tblSeverityAnalysis[[#This Row],[5]]&gt;=sectors_sev_5), "Flagged", ""), "")</f>
        <v/>
      </c>
      <c r="AH16" s="347" t="str">
        <f>IFERROR(IF(AND(tblSeverityAnalysis[[#This Row],[Severidad preliminar basada en la superposición de privaciones sectoriales]]=5, SUM(tblSeverityAnalysis[[#This Row],[ 1 ]:[ 4 ]])&gt;=sectors_sev_5), "Flagged", ""), "")</f>
        <v/>
      </c>
      <c r="AI16" s="348" t="str" cm="1">
        <f t="array" ref="AI1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6" s="350"/>
      <c r="AL16" s="351"/>
      <c r="AM16" s="350"/>
      <c r="AN16" s="407">
        <f>COUNTIF(tblSeverityAnalysis[[#This Row],[1 sectores en fase de severidad 5 '[modificar el umbral']]:[Marcador manual]], "Flagged")</f>
        <v>0</v>
      </c>
      <c r="AO16" s="418">
        <f>tblSeverityAnalysis[[#This Row],[Severidad preliminar basada en la superposición de privaciones sectoriales]]</f>
        <v>3</v>
      </c>
      <c r="AP16" s="417"/>
      <c r="AQ16" s="421" t="s">
        <v>876</v>
      </c>
      <c r="AR16" s="417">
        <v>3</v>
      </c>
    </row>
    <row r="17" spans="1:44" hidden="1">
      <c r="A1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VenezolanosVE0306</v>
      </c>
      <c r="B17" s="363" t="s">
        <v>119</v>
      </c>
      <c r="C17" s="323" t="s">
        <v>120</v>
      </c>
      <c r="D17" s="322" t="s">
        <v>131</v>
      </c>
      <c r="E17" s="323" t="s">
        <v>132</v>
      </c>
      <c r="F17" s="323"/>
      <c r="G17" s="324">
        <v>30891</v>
      </c>
      <c r="H17" s="324" t="s">
        <v>102</v>
      </c>
      <c r="I17" s="374">
        <v>3</v>
      </c>
      <c r="J17" s="237">
        <v>2</v>
      </c>
      <c r="K17" s="237">
        <v>3</v>
      </c>
      <c r="L17" s="237">
        <v>4</v>
      </c>
      <c r="M17" s="237">
        <v>3</v>
      </c>
      <c r="N17" s="237">
        <v>3</v>
      </c>
      <c r="O17" s="237">
        <v>3</v>
      </c>
      <c r="P17" s="237">
        <v>3</v>
      </c>
      <c r="Q17" s="382" t="str">
        <f>IF(COUNTIF(tblSeverityAnalysis[[#This Row],[SAMV]:[ASH]], 1)=0, "", COUNTIF(tblSeverityAnalysis[[#This Row],[SAMV]:[ASH]], 1))</f>
        <v/>
      </c>
      <c r="R17" s="325">
        <f>IF(COUNTIF(tblSeverityAnalysis[[#This Row],[SAMV]:[ASH]], 2)=0, "", COUNTIF(tblSeverityAnalysis[[#This Row],[SAMV]:[ASH]], 2))</f>
        <v>1</v>
      </c>
      <c r="S17" s="325">
        <f>IF(COUNTIF(tblSeverityAnalysis[[#This Row],[SAMV]:[ASH]], 3)=0, "", COUNTIF(tblSeverityAnalysis[[#This Row],[SAMV]:[ASH]], 3))</f>
        <v>4</v>
      </c>
      <c r="T17" s="325">
        <f>IF(COUNTIF(tblSeverityAnalysis[[#This Row],[SAMV]:[ASH]], 4)=0, "", COUNTIF(tblSeverityAnalysis[[#This Row],[SAMV]:[ASH]], 4))</f>
        <v>1</v>
      </c>
      <c r="U17" s="383" t="str">
        <f>IF(COUNTIF(tblSeverityAnalysis[[#This Row],[SAMV]:[ASH]], 5)=0, "", COUNTIF(tblSeverityAnalysis[[#This Row],[SAMV]:[ASH]], 5))</f>
        <v/>
      </c>
      <c r="V17" s="375" cm="1">
        <f t="array" ref="V1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7" s="237" t="str">
        <f>IFERROR(IF(INDEX(tblSeverityReference[Severidad de la desnutrición],MATCH(tblSeverityAnalysis[[#This Row],[ID]], tblSeverityReference[ID], 0))= "", "",INDEX(tblSeverityReference[Severidad de la desnutrición],MATCH(tblSeverityAnalysis[[#This Row],[ID]], tblSeverityReference[ID], 0)) ), "")</f>
        <v/>
      </c>
      <c r="Y17" s="349" t="str">
        <f>IFERROR(IF(INDEX(tblSeverityReference[Severidad epidémica],MATCH(tblSeverityAnalysis[[#This Row],[ID]], tblSeverityReference[ID], 0))= "", "",INDEX(tblSeverityReference[Severidad epidémica],MATCH(tblSeverityAnalysis[[#This Row],[ID]], tblSeverityReference[ID], 0)) ), "")</f>
        <v/>
      </c>
      <c r="Z1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7" s="391" t="str">
        <f>IFERROR(IF(INDEX(tblSeverityReference[HR/IHL Violation],MATCH(tblSeverityAnalysis[[#This Row],[ID]], tblSeverityReference[ID], 0))= "", "",INDEX(tblSeverityReference[HR/IHL Violation],MATCH(tblSeverityAnalysis[[#This Row],[ID]], tblSeverityReference[ID], 0)) ), "")</f>
        <v/>
      </c>
      <c r="AB17" s="397">
        <f>IFERROR(AVERAGE(tblSeverityAnalysis[[#This Row],[SAMV]:[ASH]]), "")</f>
        <v>3</v>
      </c>
      <c r="AC17" s="346">
        <f>IF(SUM(tblSeverityAnalysis[[#This Row],[SAMV]:[ASH]])=0, "", MAX(tblSeverityAnalysis[[#This Row],[SAMV]:[ASH]]))</f>
        <v>4</v>
      </c>
      <c r="AD17" s="261" t="str" cm="1">
        <f t="array" ref="AD17">IFERROR(IF(tblSeverityAnalysis[[#This Row],[Severidad máxima]]="", "", _xlfn.TEXTJOIN(CHAR(10), TRUE, IF(tblSeverityAnalysis[[#This Row],[SAMV]:[ASH]]=tblSeverityAnalysis[[#This Row],[Severidad máxima]], tblSeverityAnalysis[[#Headers],[SAMV]:[ASH]], ""), "")), "")</f>
        <v>EDU</v>
      </c>
      <c r="AE17" s="346" cm="1">
        <f t="array" ref="AE17">IFERROR(MAX(_xlfn._xlws.FILTER(tblSeverityAnalysis[[#This Row],[SAMV]:[ASH]], tblSeverityAnalysis[[#This Row],[SAMV]:[ASH]]&lt;tblSeverityAnalysis[[#This Row],[Severidad máxima]])), "")</f>
        <v>3</v>
      </c>
      <c r="AF17" s="398" t="str" cm="1">
        <f t="array" ref="AF17">IFERROR(IF(tblSeverityAnalysis[[#This Row],[2ª mayor severidad]]="", "", _xlfn.TEXTJOIN(CHAR(10), TRUE, IF(tblSeverityAnalysis[[#This Row],[SAMV]:[ASH]]=tblSeverityAnalysis[[#This Row],[2ª mayor severidad]], tblSeverityAnalysis[[#Headers],[SAMV]:[ASH]], ""), "")), "")</f>
        <v>SAMV
SAL
PRO
ASH</v>
      </c>
      <c r="AG17" s="405" t="str">
        <f>IFERROR(IF(AND(tblSeverityAnalysis[[#This Row],[5]] &lt;&gt; "", tblSeverityAnalysis[[#This Row],[5]]&gt;=sectors_sev_5), "Flagged", ""), "")</f>
        <v/>
      </c>
      <c r="AH17" s="347" t="str">
        <f>IFERROR(IF(AND(tblSeverityAnalysis[[#This Row],[Severidad preliminar basada en la superposición de privaciones sectoriales]]=5, SUM(tblSeverityAnalysis[[#This Row],[ 1 ]:[ 4 ]])&gt;=sectors_sev_5), "Flagged", ""), "")</f>
        <v/>
      </c>
      <c r="AI17" s="348" t="str" cm="1">
        <f t="array" ref="AI1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7" s="350"/>
      <c r="AL17" s="351"/>
      <c r="AM17" s="350"/>
      <c r="AN17" s="407">
        <f>COUNTIF(tblSeverityAnalysis[[#This Row],[1 sectores en fase de severidad 5 '[modificar el umbral']]:[Marcador manual]], "Flagged")</f>
        <v>0</v>
      </c>
      <c r="AO17" s="418">
        <f>tblSeverityAnalysis[[#This Row],[Severidad preliminar basada en la superposición de privaciones sectoriales]]</f>
        <v>3</v>
      </c>
      <c r="AP17" s="417"/>
      <c r="AQ17" s="421" t="s">
        <v>876</v>
      </c>
      <c r="AR17" s="417">
        <v>3</v>
      </c>
    </row>
    <row r="18" spans="1:44" hidden="1">
      <c r="A1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VenezolanosVE0307</v>
      </c>
      <c r="B18" s="363" t="s">
        <v>119</v>
      </c>
      <c r="C18" s="323" t="s">
        <v>120</v>
      </c>
      <c r="D18" s="322" t="s">
        <v>133</v>
      </c>
      <c r="E18" s="323" t="s">
        <v>134</v>
      </c>
      <c r="F18" s="323"/>
      <c r="G18" s="324">
        <v>30016</v>
      </c>
      <c r="H18" s="324" t="s">
        <v>102</v>
      </c>
      <c r="I18" s="374">
        <v>3</v>
      </c>
      <c r="J18" s="237">
        <v>1</v>
      </c>
      <c r="K18" s="237">
        <v>3</v>
      </c>
      <c r="L18" s="237">
        <v>4</v>
      </c>
      <c r="M18" s="237">
        <v>3</v>
      </c>
      <c r="N18" s="237">
        <v>2</v>
      </c>
      <c r="O18" s="237">
        <v>3</v>
      </c>
      <c r="P18" s="237">
        <v>3</v>
      </c>
      <c r="Q18" s="382">
        <f>IF(COUNTIF(tblSeverityAnalysis[[#This Row],[SAMV]:[ASH]], 1)=0, "", COUNTIF(tblSeverityAnalysis[[#This Row],[SAMV]:[ASH]], 1))</f>
        <v>1</v>
      </c>
      <c r="R18" s="325">
        <f>IF(COUNTIF(tblSeverityAnalysis[[#This Row],[SAMV]:[ASH]], 2)=0, "", COUNTIF(tblSeverityAnalysis[[#This Row],[SAMV]:[ASH]], 2))</f>
        <v>1</v>
      </c>
      <c r="S18" s="325">
        <f>IF(COUNTIF(tblSeverityAnalysis[[#This Row],[SAMV]:[ASH]], 3)=0, "", COUNTIF(tblSeverityAnalysis[[#This Row],[SAMV]:[ASH]], 3))</f>
        <v>3</v>
      </c>
      <c r="T18" s="325">
        <f>IF(COUNTIF(tblSeverityAnalysis[[#This Row],[SAMV]:[ASH]], 4)=0, "", COUNTIF(tblSeverityAnalysis[[#This Row],[SAMV]:[ASH]], 4))</f>
        <v>1</v>
      </c>
      <c r="U18" s="383" t="str">
        <f>IF(COUNTIF(tblSeverityAnalysis[[#This Row],[SAMV]:[ASH]], 5)=0, "", COUNTIF(tblSeverityAnalysis[[#This Row],[SAMV]:[ASH]], 5))</f>
        <v/>
      </c>
      <c r="V18" s="375" cm="1">
        <f t="array" ref="V1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8" s="237" t="str">
        <f>IFERROR(IF(INDEX(tblSeverityReference[Severidad de la desnutrición],MATCH(tblSeverityAnalysis[[#This Row],[ID]], tblSeverityReference[ID], 0))= "", "",INDEX(tblSeverityReference[Severidad de la desnutrición],MATCH(tblSeverityAnalysis[[#This Row],[ID]], tblSeverityReference[ID], 0)) ), "")</f>
        <v/>
      </c>
      <c r="Y18" s="349" t="str">
        <f>IFERROR(IF(INDEX(tblSeverityReference[Severidad epidémica],MATCH(tblSeverityAnalysis[[#This Row],[ID]], tblSeverityReference[ID], 0))= "", "",INDEX(tblSeverityReference[Severidad epidémica],MATCH(tblSeverityAnalysis[[#This Row],[ID]], tblSeverityReference[ID], 0)) ), "")</f>
        <v/>
      </c>
      <c r="Z1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8" s="391" t="str">
        <f>IFERROR(IF(INDEX(tblSeverityReference[HR/IHL Violation],MATCH(tblSeverityAnalysis[[#This Row],[ID]], tblSeverityReference[ID], 0))= "", "",INDEX(tblSeverityReference[HR/IHL Violation],MATCH(tblSeverityAnalysis[[#This Row],[ID]], tblSeverityReference[ID], 0)) ), "")</f>
        <v/>
      </c>
      <c r="AB18" s="397">
        <f>IFERROR(AVERAGE(tblSeverityAnalysis[[#This Row],[SAMV]:[ASH]]), "")</f>
        <v>2.6666666666666665</v>
      </c>
      <c r="AC18" s="346">
        <f>IF(SUM(tblSeverityAnalysis[[#This Row],[SAMV]:[ASH]])=0, "", MAX(tblSeverityAnalysis[[#This Row],[SAMV]:[ASH]]))</f>
        <v>4</v>
      </c>
      <c r="AD18" s="261" t="str" cm="1">
        <f t="array" ref="AD18">IFERROR(IF(tblSeverityAnalysis[[#This Row],[Severidad máxima]]="", "", _xlfn.TEXTJOIN(CHAR(10), TRUE, IF(tblSeverityAnalysis[[#This Row],[SAMV]:[ASH]]=tblSeverityAnalysis[[#This Row],[Severidad máxima]], tblSeverityAnalysis[[#Headers],[SAMV]:[ASH]], ""), "")), "")</f>
        <v>EDU</v>
      </c>
      <c r="AE18" s="346" cm="1">
        <f t="array" ref="AE18">IFERROR(MAX(_xlfn._xlws.FILTER(tblSeverityAnalysis[[#This Row],[SAMV]:[ASH]], tblSeverityAnalysis[[#This Row],[SAMV]:[ASH]]&lt;tblSeverityAnalysis[[#This Row],[Severidad máxima]])), "")</f>
        <v>3</v>
      </c>
      <c r="AF18" s="398" t="str" cm="1">
        <f t="array" ref="AF18">IFERROR(IF(tblSeverityAnalysis[[#This Row],[2ª mayor severidad]]="", "", _xlfn.TEXTJOIN(CHAR(10), TRUE, IF(tblSeverityAnalysis[[#This Row],[SAMV]:[ASH]]=tblSeverityAnalysis[[#This Row],[2ª mayor severidad]], tblSeverityAnalysis[[#Headers],[SAMV]:[ASH]], ""), "")), "")</f>
        <v>SAMV
SAL
PRO</v>
      </c>
      <c r="AG18" s="405" t="str">
        <f>IFERROR(IF(AND(tblSeverityAnalysis[[#This Row],[5]] &lt;&gt; "", tblSeverityAnalysis[[#This Row],[5]]&gt;=sectors_sev_5), "Flagged", ""), "")</f>
        <v/>
      </c>
      <c r="AH18" s="347" t="str">
        <f>IFERROR(IF(AND(tblSeverityAnalysis[[#This Row],[Severidad preliminar basada en la superposición de privaciones sectoriales]]=5, SUM(tblSeverityAnalysis[[#This Row],[ 1 ]:[ 4 ]])&gt;=sectors_sev_5), "Flagged", ""), "")</f>
        <v/>
      </c>
      <c r="AI18" s="348" t="str" cm="1">
        <f t="array" ref="AI1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8" s="350"/>
      <c r="AL18" s="351"/>
      <c r="AM18" s="350"/>
      <c r="AN18" s="407">
        <f>COUNTIF(tblSeverityAnalysis[[#This Row],[1 sectores en fase de severidad 5 '[modificar el umbral']]:[Marcador manual]], "Flagged")</f>
        <v>0</v>
      </c>
      <c r="AO18" s="418">
        <f>tblSeverityAnalysis[[#This Row],[Severidad preliminar basada en la superposición de privaciones sectoriales]]</f>
        <v>3</v>
      </c>
      <c r="AP18" s="417"/>
      <c r="AQ18" s="421" t="s">
        <v>876</v>
      </c>
      <c r="AR18" s="417">
        <v>3</v>
      </c>
    </row>
    <row r="19" spans="1:44" hidden="1">
      <c r="A1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VenezolanosVE0308</v>
      </c>
      <c r="B19" s="363" t="s">
        <v>119</v>
      </c>
      <c r="C19" s="323" t="s">
        <v>120</v>
      </c>
      <c r="D19" s="322" t="s">
        <v>135</v>
      </c>
      <c r="E19" s="323" t="s">
        <v>136</v>
      </c>
      <c r="F19" s="323"/>
      <c r="G19" s="324">
        <v>244728</v>
      </c>
      <c r="H19" s="324" t="s">
        <v>102</v>
      </c>
      <c r="I19" s="374">
        <v>3</v>
      </c>
      <c r="J19" s="237">
        <v>2</v>
      </c>
      <c r="K19" s="237">
        <v>3</v>
      </c>
      <c r="L19" s="237">
        <v>4</v>
      </c>
      <c r="M19" s="237">
        <v>4</v>
      </c>
      <c r="N19" s="237">
        <v>2</v>
      </c>
      <c r="O19" s="237">
        <v>4</v>
      </c>
      <c r="P19" s="237">
        <v>4</v>
      </c>
      <c r="Q19" s="382" t="str">
        <f>IF(COUNTIF(tblSeverityAnalysis[[#This Row],[SAMV]:[ASH]], 1)=0, "", COUNTIF(tblSeverityAnalysis[[#This Row],[SAMV]:[ASH]], 1))</f>
        <v/>
      </c>
      <c r="R19" s="325">
        <f>IF(COUNTIF(tblSeverityAnalysis[[#This Row],[SAMV]:[ASH]], 2)=0, "", COUNTIF(tblSeverityAnalysis[[#This Row],[SAMV]:[ASH]], 2))</f>
        <v>2</v>
      </c>
      <c r="S19" s="325">
        <f>IF(COUNTIF(tblSeverityAnalysis[[#This Row],[SAMV]:[ASH]], 3)=0, "", COUNTIF(tblSeverityAnalysis[[#This Row],[SAMV]:[ASH]], 3))</f>
        <v>2</v>
      </c>
      <c r="T19" s="325">
        <f>IF(COUNTIF(tblSeverityAnalysis[[#This Row],[SAMV]:[ASH]], 4)=0, "", COUNTIF(tblSeverityAnalysis[[#This Row],[SAMV]:[ASH]], 4))</f>
        <v>2</v>
      </c>
      <c r="U19" s="383" t="str">
        <f>IF(COUNTIF(tblSeverityAnalysis[[#This Row],[SAMV]:[ASH]], 5)=0, "", COUNTIF(tblSeverityAnalysis[[#This Row],[SAMV]:[ASH]], 5))</f>
        <v/>
      </c>
      <c r="V19" s="375" cm="1">
        <f t="array" ref="V1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9" s="237" t="str">
        <f>IFERROR(IF(INDEX(tblSeverityReference[Severidad de la desnutrición],MATCH(tblSeverityAnalysis[[#This Row],[ID]], tblSeverityReference[ID], 0))= "", "",INDEX(tblSeverityReference[Severidad de la desnutrición],MATCH(tblSeverityAnalysis[[#This Row],[ID]], tblSeverityReference[ID], 0)) ), "")</f>
        <v/>
      </c>
      <c r="Y19" s="349" t="str">
        <f>IFERROR(IF(INDEX(tblSeverityReference[Severidad epidémica],MATCH(tblSeverityAnalysis[[#This Row],[ID]], tblSeverityReference[ID], 0))= "", "",INDEX(tblSeverityReference[Severidad epidémica],MATCH(tblSeverityAnalysis[[#This Row],[ID]], tblSeverityReference[ID], 0)) ), "")</f>
        <v/>
      </c>
      <c r="Z1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9" s="391" t="str">
        <f>IFERROR(IF(INDEX(tblSeverityReference[HR/IHL Violation],MATCH(tblSeverityAnalysis[[#This Row],[ID]], tblSeverityReference[ID], 0))= "", "",INDEX(tblSeverityReference[HR/IHL Violation],MATCH(tblSeverityAnalysis[[#This Row],[ID]], tblSeverityReference[ID], 0)) ), "")</f>
        <v/>
      </c>
      <c r="AB19" s="397">
        <f>IFERROR(AVERAGE(tblSeverityAnalysis[[#This Row],[SAMV]:[ASH]]), "")</f>
        <v>3</v>
      </c>
      <c r="AC19" s="346">
        <f>IF(SUM(tblSeverityAnalysis[[#This Row],[SAMV]:[ASH]])=0, "", MAX(tblSeverityAnalysis[[#This Row],[SAMV]:[ASH]]))</f>
        <v>4</v>
      </c>
      <c r="AD19" s="261" t="str" cm="1">
        <f t="array" ref="AD19">IFERROR(IF(tblSeverityAnalysis[[#This Row],[Severidad máxima]]="", "", _xlfn.TEXTJOIN(CHAR(10), TRUE, IF(tblSeverityAnalysis[[#This Row],[SAMV]:[ASH]]=tblSeverityAnalysis[[#This Row],[Severidad máxima]], tblSeverityAnalysis[[#Headers],[SAMV]:[ASH]], ""), "")), "")</f>
        <v>EDU
PRO</v>
      </c>
      <c r="AE19" s="346" cm="1">
        <f t="array" ref="AE19">IFERROR(MAX(_xlfn._xlws.FILTER(tblSeverityAnalysis[[#This Row],[SAMV]:[ASH]], tblSeverityAnalysis[[#This Row],[SAMV]:[ASH]]&lt;tblSeverityAnalysis[[#This Row],[Severidad máxima]])), "")</f>
        <v>3</v>
      </c>
      <c r="AF19" s="398" t="str" cm="1">
        <f t="array" ref="AF19">IFERROR(IF(tblSeverityAnalysis[[#This Row],[2ª mayor severidad]]="", "", _xlfn.TEXTJOIN(CHAR(10), TRUE, IF(tblSeverityAnalysis[[#This Row],[SAMV]:[ASH]]=tblSeverityAnalysis[[#This Row],[2ª mayor severidad]], tblSeverityAnalysis[[#Headers],[SAMV]:[ASH]], ""), "")), "")</f>
        <v>SAMV
SAL</v>
      </c>
      <c r="AG19" s="405" t="str">
        <f>IFERROR(IF(AND(tblSeverityAnalysis[[#This Row],[5]] &lt;&gt; "", tblSeverityAnalysis[[#This Row],[5]]&gt;=sectors_sev_5), "Flagged", ""), "")</f>
        <v/>
      </c>
      <c r="AH19" s="347" t="str">
        <f>IFERROR(IF(AND(tblSeverityAnalysis[[#This Row],[Severidad preliminar basada en la superposición de privaciones sectoriales]]=5, SUM(tblSeverityAnalysis[[#This Row],[ 1 ]:[ 4 ]])&gt;=sectors_sev_5), "Flagged", ""), "")</f>
        <v/>
      </c>
      <c r="AI19" s="348" t="str" cm="1">
        <f t="array" ref="AI1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9" s="350"/>
      <c r="AL19" s="351"/>
      <c r="AM19" s="350"/>
      <c r="AN19" s="407">
        <f>COUNTIF(tblSeverityAnalysis[[#This Row],[1 sectores en fase de severidad 5 '[modificar el umbral']]:[Marcador manual]], "Flagged")</f>
        <v>0</v>
      </c>
      <c r="AO19" s="418">
        <f>tblSeverityAnalysis[[#This Row],[Severidad preliminar basada en la superposición de privaciones sectoriales]]</f>
        <v>3</v>
      </c>
      <c r="AP19" s="417"/>
      <c r="AQ19" s="421" t="s">
        <v>876</v>
      </c>
      <c r="AR19" s="417">
        <v>3</v>
      </c>
    </row>
    <row r="20" spans="1:44" hidden="1">
      <c r="A2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VenezolanosVE0309</v>
      </c>
      <c r="B20" s="363" t="s">
        <v>119</v>
      </c>
      <c r="C20" s="323" t="s">
        <v>120</v>
      </c>
      <c r="D20" s="322" t="s">
        <v>137</v>
      </c>
      <c r="E20" s="323" t="s">
        <v>138</v>
      </c>
      <c r="F20" s="323"/>
      <c r="G20" s="324">
        <v>13476</v>
      </c>
      <c r="H20" s="324" t="s">
        <v>102</v>
      </c>
      <c r="I20" s="374">
        <v>3</v>
      </c>
      <c r="J20" s="237">
        <v>3</v>
      </c>
      <c r="K20" s="237">
        <v>4</v>
      </c>
      <c r="L20" s="237">
        <v>3</v>
      </c>
      <c r="M20" s="237">
        <v>2</v>
      </c>
      <c r="N20" s="237">
        <v>3</v>
      </c>
      <c r="O20" s="237">
        <v>2</v>
      </c>
      <c r="P20" s="237">
        <v>2</v>
      </c>
      <c r="Q20" s="382" t="str">
        <f>IF(COUNTIF(tblSeverityAnalysis[[#This Row],[SAMV]:[ASH]], 1)=0, "", COUNTIF(tblSeverityAnalysis[[#This Row],[SAMV]:[ASH]], 1))</f>
        <v/>
      </c>
      <c r="R20" s="325">
        <f>IF(COUNTIF(tblSeverityAnalysis[[#This Row],[SAMV]:[ASH]], 2)=0, "", COUNTIF(tblSeverityAnalysis[[#This Row],[SAMV]:[ASH]], 2))</f>
        <v>1</v>
      </c>
      <c r="S20" s="325">
        <f>IF(COUNTIF(tblSeverityAnalysis[[#This Row],[SAMV]:[ASH]], 3)=0, "", COUNTIF(tblSeverityAnalysis[[#This Row],[SAMV]:[ASH]], 3))</f>
        <v>4</v>
      </c>
      <c r="T20" s="325">
        <f>IF(COUNTIF(tblSeverityAnalysis[[#This Row],[SAMV]:[ASH]], 4)=0, "", COUNTIF(tblSeverityAnalysis[[#This Row],[SAMV]:[ASH]], 4))</f>
        <v>1</v>
      </c>
      <c r="U20" s="383" t="str">
        <f>IF(COUNTIF(tblSeverityAnalysis[[#This Row],[SAMV]:[ASH]], 5)=0, "", COUNTIF(tblSeverityAnalysis[[#This Row],[SAMV]:[ASH]], 5))</f>
        <v/>
      </c>
      <c r="V20" s="375" cm="1">
        <f t="array" ref="V2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0" s="237" t="str">
        <f>IFERROR(IF(INDEX(tblSeverityReference[Severidad de la desnutrición],MATCH(tblSeverityAnalysis[[#This Row],[ID]], tblSeverityReference[ID], 0))= "", "",INDEX(tblSeverityReference[Severidad de la desnutrición],MATCH(tblSeverityAnalysis[[#This Row],[ID]], tblSeverityReference[ID], 0)) ), "")</f>
        <v/>
      </c>
      <c r="Y20" s="349" t="str">
        <f>IFERROR(IF(INDEX(tblSeverityReference[Severidad epidémica],MATCH(tblSeverityAnalysis[[#This Row],[ID]], tblSeverityReference[ID], 0))= "", "",INDEX(tblSeverityReference[Severidad epidémica],MATCH(tblSeverityAnalysis[[#This Row],[ID]], tblSeverityReference[ID], 0)) ), "")</f>
        <v/>
      </c>
      <c r="Z2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0" s="391" t="str">
        <f>IFERROR(IF(INDEX(tblSeverityReference[HR/IHL Violation],MATCH(tblSeverityAnalysis[[#This Row],[ID]], tblSeverityReference[ID], 0))= "", "",INDEX(tblSeverityReference[HR/IHL Violation],MATCH(tblSeverityAnalysis[[#This Row],[ID]], tblSeverityReference[ID], 0)) ), "")</f>
        <v/>
      </c>
      <c r="AB20" s="397">
        <f>IFERROR(AVERAGE(tblSeverityAnalysis[[#This Row],[SAMV]:[ASH]]), "")</f>
        <v>3</v>
      </c>
      <c r="AC20" s="346">
        <f>IF(SUM(tblSeverityAnalysis[[#This Row],[SAMV]:[ASH]])=0, "", MAX(tblSeverityAnalysis[[#This Row],[SAMV]:[ASH]]))</f>
        <v>4</v>
      </c>
      <c r="AD20" s="261" t="str" cm="1">
        <f t="array" ref="AD20">IFERROR(IF(tblSeverityAnalysis[[#This Row],[Severidad máxima]]="", "", _xlfn.TEXTJOIN(CHAR(10), TRUE, IF(tblSeverityAnalysis[[#This Row],[SAMV]:[ASH]]=tblSeverityAnalysis[[#This Row],[Severidad máxima]], tblSeverityAnalysis[[#Headers],[SAMV]:[ASH]], ""), "")), "")</f>
        <v>SAL</v>
      </c>
      <c r="AE20" s="346" cm="1">
        <f t="array" ref="AE20">IFERROR(MAX(_xlfn._xlws.FILTER(tblSeverityAnalysis[[#This Row],[SAMV]:[ASH]], tblSeverityAnalysis[[#This Row],[SAMV]:[ASH]]&lt;tblSeverityAnalysis[[#This Row],[Severidad máxima]])), "")</f>
        <v>3</v>
      </c>
      <c r="AF20" s="398" t="str" cm="1">
        <f t="array" ref="AF20">IFERROR(IF(tblSeverityAnalysis[[#This Row],[2ª mayor severidad]]="", "", _xlfn.TEXTJOIN(CHAR(10), TRUE, IF(tblSeverityAnalysis[[#This Row],[SAMV]:[ASH]]=tblSeverityAnalysis[[#This Row],[2ª mayor severidad]], tblSeverityAnalysis[[#Headers],[SAMV]:[ASH]], ""), "")), "")</f>
        <v>SAMV
NUT
EDU
ASH</v>
      </c>
      <c r="AG20" s="405" t="str">
        <f>IFERROR(IF(AND(tblSeverityAnalysis[[#This Row],[5]] &lt;&gt; "", tblSeverityAnalysis[[#This Row],[5]]&gt;=sectors_sev_5), "Flagged", ""), "")</f>
        <v/>
      </c>
      <c r="AH20" s="347" t="str">
        <f>IFERROR(IF(AND(tblSeverityAnalysis[[#This Row],[Severidad preliminar basada en la superposición de privaciones sectoriales]]=5, SUM(tblSeverityAnalysis[[#This Row],[ 1 ]:[ 4 ]])&gt;=sectors_sev_5), "Flagged", ""), "")</f>
        <v/>
      </c>
      <c r="AI20" s="348" t="str" cm="1">
        <f t="array" ref="AI2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0" s="350"/>
      <c r="AL20" s="351"/>
      <c r="AM20" s="350"/>
      <c r="AN20" s="407">
        <f>COUNTIF(tblSeverityAnalysis[[#This Row],[1 sectores en fase de severidad 5 '[modificar el umbral']]:[Marcador manual]], "Flagged")</f>
        <v>0</v>
      </c>
      <c r="AO20" s="418">
        <f>tblSeverityAnalysis[[#This Row],[Severidad preliminar basada en la superposición de privaciones sectoriales]]</f>
        <v>3</v>
      </c>
      <c r="AP20" s="417"/>
      <c r="AQ20" s="421" t="s">
        <v>876</v>
      </c>
      <c r="AR20" s="417">
        <v>3</v>
      </c>
    </row>
    <row r="21" spans="1:44" hidden="1">
      <c r="A2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VenezolanosVE0310</v>
      </c>
      <c r="B21" s="363" t="s">
        <v>119</v>
      </c>
      <c r="C21" s="323" t="s">
        <v>120</v>
      </c>
      <c r="D21" s="429" t="s">
        <v>139</v>
      </c>
      <c r="E21" s="323" t="s">
        <v>140</v>
      </c>
      <c r="F21" s="323"/>
      <c r="G21" s="324">
        <v>17534</v>
      </c>
      <c r="H21" s="324" t="s">
        <v>102</v>
      </c>
      <c r="I21" s="374">
        <v>3</v>
      </c>
      <c r="J21" s="237">
        <v>4</v>
      </c>
      <c r="K21" s="237">
        <v>4</v>
      </c>
      <c r="L21" s="237">
        <v>3</v>
      </c>
      <c r="M21" s="237">
        <v>2</v>
      </c>
      <c r="N21" s="237">
        <v>3</v>
      </c>
      <c r="O21" s="237">
        <v>2</v>
      </c>
      <c r="P21" s="237">
        <v>2</v>
      </c>
      <c r="Q21" s="382" t="str">
        <f>IF(COUNTIF(tblSeverityAnalysis[[#This Row],[SAMV]:[ASH]], 1)=0, "", COUNTIF(tblSeverityAnalysis[[#This Row],[SAMV]:[ASH]], 1))</f>
        <v/>
      </c>
      <c r="R21" s="325">
        <f>IF(COUNTIF(tblSeverityAnalysis[[#This Row],[SAMV]:[ASH]], 2)=0, "", COUNTIF(tblSeverityAnalysis[[#This Row],[SAMV]:[ASH]], 2))</f>
        <v>1</v>
      </c>
      <c r="S21" s="325">
        <f>IF(COUNTIF(tblSeverityAnalysis[[#This Row],[SAMV]:[ASH]], 3)=0, "", COUNTIF(tblSeverityAnalysis[[#This Row],[SAMV]:[ASH]], 3))</f>
        <v>3</v>
      </c>
      <c r="T21" s="325">
        <f>IF(COUNTIF(tblSeverityAnalysis[[#This Row],[SAMV]:[ASH]], 4)=0, "", COUNTIF(tblSeverityAnalysis[[#This Row],[SAMV]:[ASH]], 4))</f>
        <v>2</v>
      </c>
      <c r="U21" s="383" t="str">
        <f>IF(COUNTIF(tblSeverityAnalysis[[#This Row],[SAMV]:[ASH]], 5)=0, "", COUNTIF(tblSeverityAnalysis[[#This Row],[SAMV]:[ASH]], 5))</f>
        <v/>
      </c>
      <c r="V21" s="376">
        <v>4</v>
      </c>
      <c r="W2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1" s="237" t="str">
        <f>IFERROR(IF(INDEX(tblSeverityReference[Severidad de la desnutrición],MATCH(tblSeverityAnalysis[[#This Row],[ID]], tblSeverityReference[ID], 0))= "", "",INDEX(tblSeverityReference[Severidad de la desnutrición],MATCH(tblSeverityAnalysis[[#This Row],[ID]], tblSeverityReference[ID], 0)) ), "")</f>
        <v/>
      </c>
      <c r="Y21" s="349" t="str">
        <f>IFERROR(IF(INDEX(tblSeverityReference[Severidad epidémica],MATCH(tblSeverityAnalysis[[#This Row],[ID]], tblSeverityReference[ID], 0))= "", "",INDEX(tblSeverityReference[Severidad epidémica],MATCH(tblSeverityAnalysis[[#This Row],[ID]], tblSeverityReference[ID], 0)) ), "")</f>
        <v/>
      </c>
      <c r="Z2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1" s="391" t="str">
        <f>IFERROR(IF(INDEX(tblSeverityReference[HR/IHL Violation],MATCH(tblSeverityAnalysis[[#This Row],[ID]], tblSeverityReference[ID], 0))= "", "",INDEX(tblSeverityReference[HR/IHL Violation],MATCH(tblSeverityAnalysis[[#This Row],[ID]], tblSeverityReference[ID], 0)) ), "")</f>
        <v/>
      </c>
      <c r="AB21" s="397">
        <f>IFERROR(AVERAGE(tblSeverityAnalysis[[#This Row],[SAMV]:[ASH]]), "")</f>
        <v>3.1666666666666665</v>
      </c>
      <c r="AC21" s="346">
        <f>IF(SUM(tblSeverityAnalysis[[#This Row],[SAMV]:[ASH]])=0, "", MAX(tblSeverityAnalysis[[#This Row],[SAMV]:[ASH]]))</f>
        <v>4</v>
      </c>
      <c r="AD21" s="261" t="str" cm="1">
        <f t="array" ref="AD21">IFERROR(IF(tblSeverityAnalysis[[#This Row],[Severidad máxima]]="", "", _xlfn.TEXTJOIN(CHAR(10), TRUE, IF(tblSeverityAnalysis[[#This Row],[SAMV]:[ASH]]=tblSeverityAnalysis[[#This Row],[Severidad máxima]], tblSeverityAnalysis[[#Headers],[SAMV]:[ASH]], ""), "")), "")</f>
        <v>NUT
SAL</v>
      </c>
      <c r="AE21" s="346" cm="1">
        <f t="array" ref="AE21">IFERROR(MAX(_xlfn._xlws.FILTER(tblSeverityAnalysis[[#This Row],[SAMV]:[ASH]], tblSeverityAnalysis[[#This Row],[SAMV]:[ASH]]&lt;tblSeverityAnalysis[[#This Row],[Severidad máxima]])), "")</f>
        <v>3</v>
      </c>
      <c r="AF21" s="398" t="str" cm="1">
        <f t="array" ref="AF21">IFERROR(IF(tblSeverityAnalysis[[#This Row],[2ª mayor severidad]]="", "", _xlfn.TEXTJOIN(CHAR(10), TRUE, IF(tblSeverityAnalysis[[#This Row],[SAMV]:[ASH]]=tblSeverityAnalysis[[#This Row],[2ª mayor severidad]], tblSeverityAnalysis[[#Headers],[SAMV]:[ASH]], ""), "")), "")</f>
        <v>SAMV
EDU
ASH</v>
      </c>
      <c r="AG21" s="405" t="str">
        <f>IFERROR(IF(AND(tblSeverityAnalysis[[#This Row],[5]] &lt;&gt; "", tblSeverityAnalysis[[#This Row],[5]]&gt;=sectors_sev_5), "Flagged", ""), "")</f>
        <v/>
      </c>
      <c r="AH21" s="347" t="str">
        <f>IFERROR(IF(AND(tblSeverityAnalysis[[#This Row],[Severidad preliminar basada en la superposición de privaciones sectoriales]]=5, SUM(tblSeverityAnalysis[[#This Row],[ 1 ]:[ 4 ]])&gt;=sectors_sev_5), "Flagged", ""), "")</f>
        <v/>
      </c>
      <c r="AI21" s="348" t="str" cm="1">
        <f t="array" ref="AI2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1" s="350"/>
      <c r="AL21" s="351"/>
      <c r="AM21" s="350"/>
      <c r="AN21" s="407">
        <f>COUNTIF(tblSeverityAnalysis[[#This Row],[1 sectores en fase de severidad 5 '[modificar el umbral']]:[Marcador manual]], "Flagged")</f>
        <v>0</v>
      </c>
      <c r="AO21" s="418">
        <f>tblSeverityAnalysis[[#This Row],[Severidad preliminar basada en la superposición de privaciones sectoriales]]</f>
        <v>4</v>
      </c>
      <c r="AP21" s="417" t="s">
        <v>877</v>
      </c>
      <c r="AQ21" s="421" t="s">
        <v>876</v>
      </c>
      <c r="AR21" s="417">
        <v>3</v>
      </c>
    </row>
    <row r="22" spans="1:44" hidden="1">
      <c r="A2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VenezolanosVE0311</v>
      </c>
      <c r="B22" s="363" t="s">
        <v>119</v>
      </c>
      <c r="C22" s="323" t="s">
        <v>120</v>
      </c>
      <c r="D22" s="322" t="s">
        <v>141</v>
      </c>
      <c r="E22" s="323" t="s">
        <v>142</v>
      </c>
      <c r="F22" s="323"/>
      <c r="G22" s="324">
        <v>14437</v>
      </c>
      <c r="H22" s="324" t="s">
        <v>102</v>
      </c>
      <c r="I22" s="374">
        <v>3</v>
      </c>
      <c r="J22" s="237">
        <v>1</v>
      </c>
      <c r="K22" s="237">
        <v>3</v>
      </c>
      <c r="L22" s="237">
        <v>3</v>
      </c>
      <c r="M22" s="237">
        <v>2</v>
      </c>
      <c r="N22" s="237">
        <v>2</v>
      </c>
      <c r="O22" s="237">
        <v>2</v>
      </c>
      <c r="P22" s="237">
        <v>2</v>
      </c>
      <c r="Q22" s="382">
        <f>IF(COUNTIF(tblSeverityAnalysis[[#This Row],[SAMV]:[ASH]], 1)=0, "", COUNTIF(tblSeverityAnalysis[[#This Row],[SAMV]:[ASH]], 1))</f>
        <v>1</v>
      </c>
      <c r="R22" s="325">
        <f>IF(COUNTIF(tblSeverityAnalysis[[#This Row],[SAMV]:[ASH]], 2)=0, "", COUNTIF(tblSeverityAnalysis[[#This Row],[SAMV]:[ASH]], 2))</f>
        <v>2</v>
      </c>
      <c r="S22" s="325">
        <f>IF(COUNTIF(tblSeverityAnalysis[[#This Row],[SAMV]:[ASH]], 3)=0, "", COUNTIF(tblSeverityAnalysis[[#This Row],[SAMV]:[ASH]], 3))</f>
        <v>3</v>
      </c>
      <c r="T22" s="325" t="str">
        <f>IF(COUNTIF(tblSeverityAnalysis[[#This Row],[SAMV]:[ASH]], 4)=0, "", COUNTIF(tblSeverityAnalysis[[#This Row],[SAMV]:[ASH]], 4))</f>
        <v/>
      </c>
      <c r="U22" s="383" t="str">
        <f>IF(COUNTIF(tblSeverityAnalysis[[#This Row],[SAMV]:[ASH]], 5)=0, "", COUNTIF(tblSeverityAnalysis[[#This Row],[SAMV]:[ASH]], 5))</f>
        <v/>
      </c>
      <c r="V22" s="375" cm="1">
        <f t="array" ref="V2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2" s="237" t="str">
        <f>IFERROR(IF(INDEX(tblSeverityReference[Severidad de la desnutrición],MATCH(tblSeverityAnalysis[[#This Row],[ID]], tblSeverityReference[ID], 0))= "", "",INDEX(tblSeverityReference[Severidad de la desnutrición],MATCH(tblSeverityAnalysis[[#This Row],[ID]], tblSeverityReference[ID], 0)) ), "")</f>
        <v/>
      </c>
      <c r="Y22" s="349" t="str">
        <f>IFERROR(IF(INDEX(tblSeverityReference[Severidad epidémica],MATCH(tblSeverityAnalysis[[#This Row],[ID]], tblSeverityReference[ID], 0))= "", "",INDEX(tblSeverityReference[Severidad epidémica],MATCH(tblSeverityAnalysis[[#This Row],[ID]], tblSeverityReference[ID], 0)) ), "")</f>
        <v/>
      </c>
      <c r="Z2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2" s="391" t="str">
        <f>IFERROR(IF(INDEX(tblSeverityReference[HR/IHL Violation],MATCH(tblSeverityAnalysis[[#This Row],[ID]], tblSeverityReference[ID], 0))= "", "",INDEX(tblSeverityReference[HR/IHL Violation],MATCH(tblSeverityAnalysis[[#This Row],[ID]], tblSeverityReference[ID], 0)) ), "")</f>
        <v/>
      </c>
      <c r="AB22" s="397">
        <f>IFERROR(AVERAGE(tblSeverityAnalysis[[#This Row],[SAMV]:[ASH]]), "")</f>
        <v>2.3333333333333335</v>
      </c>
      <c r="AC22" s="346">
        <f>IF(SUM(tblSeverityAnalysis[[#This Row],[SAMV]:[ASH]])=0, "", MAX(tblSeverityAnalysis[[#This Row],[SAMV]:[ASH]]))</f>
        <v>3</v>
      </c>
      <c r="AD22" s="261" t="str" cm="1">
        <f t="array" ref="AD22">IFERROR(IF(tblSeverityAnalysis[[#This Row],[Severidad máxima]]="", "", _xlfn.TEXTJOIN(CHAR(10), TRUE, IF(tblSeverityAnalysis[[#This Row],[SAMV]:[ASH]]=tblSeverityAnalysis[[#This Row],[Severidad máxima]], tblSeverityAnalysis[[#Headers],[SAMV]:[ASH]], ""), "")), "")</f>
        <v>SAMV
SAL
EDU</v>
      </c>
      <c r="AE22" s="346" cm="1">
        <f t="array" ref="AE22">IFERROR(MAX(_xlfn._xlws.FILTER(tblSeverityAnalysis[[#This Row],[SAMV]:[ASH]], tblSeverityAnalysis[[#This Row],[SAMV]:[ASH]]&lt;tblSeverityAnalysis[[#This Row],[Severidad máxima]])), "")</f>
        <v>2</v>
      </c>
      <c r="AF22" s="398" t="str" cm="1">
        <f t="array" ref="AF22">IFERROR(IF(tblSeverityAnalysis[[#This Row],[2ª mayor severidad]]="", "", _xlfn.TEXTJOIN(CHAR(10), TRUE, IF(tblSeverityAnalysis[[#This Row],[SAMV]:[ASH]]=tblSeverityAnalysis[[#This Row],[2ª mayor severidad]], tblSeverityAnalysis[[#Headers],[SAMV]:[ASH]], ""), "")), "")</f>
        <v>PRO
ASH</v>
      </c>
      <c r="AG22" s="405" t="str">
        <f>IFERROR(IF(AND(tblSeverityAnalysis[[#This Row],[5]] &lt;&gt; "", tblSeverityAnalysis[[#This Row],[5]]&gt;=sectors_sev_5), "Flagged", ""), "")</f>
        <v/>
      </c>
      <c r="AH22" s="347" t="str">
        <f>IFERROR(IF(AND(tblSeverityAnalysis[[#This Row],[Severidad preliminar basada en la superposición de privaciones sectoriales]]=5, SUM(tblSeverityAnalysis[[#This Row],[ 1 ]:[ 4 ]])&gt;=sectors_sev_5), "Flagged", ""), "")</f>
        <v/>
      </c>
      <c r="AI22" s="348" t="str" cm="1">
        <f t="array" ref="AI2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2" s="350"/>
      <c r="AL22" s="351"/>
      <c r="AM22" s="350"/>
      <c r="AN22" s="407">
        <f>COUNTIF(tblSeverityAnalysis[[#This Row],[1 sectores en fase de severidad 5 '[modificar el umbral']]:[Marcador manual]], "Flagged")</f>
        <v>0</v>
      </c>
      <c r="AO22" s="418">
        <f>tblSeverityAnalysis[[#This Row],[Severidad preliminar basada en la superposición de privaciones sectoriales]]</f>
        <v>2</v>
      </c>
      <c r="AP22" s="417"/>
      <c r="AQ22" s="421" t="s">
        <v>876</v>
      </c>
      <c r="AR22" s="417">
        <v>3</v>
      </c>
    </row>
    <row r="23" spans="1:44" hidden="1">
      <c r="A2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VenezolanosVE0312</v>
      </c>
      <c r="B23" s="363" t="s">
        <v>119</v>
      </c>
      <c r="C23" s="323" t="s">
        <v>120</v>
      </c>
      <c r="D23" s="322" t="s">
        <v>143</v>
      </c>
      <c r="E23" s="323" t="s">
        <v>144</v>
      </c>
      <c r="F23" s="323"/>
      <c r="G23" s="324">
        <v>32655</v>
      </c>
      <c r="H23" s="324" t="s">
        <v>102</v>
      </c>
      <c r="I23" s="374">
        <v>3</v>
      </c>
      <c r="J23" s="237">
        <v>2</v>
      </c>
      <c r="K23" s="237">
        <v>3</v>
      </c>
      <c r="L23" s="237">
        <v>3</v>
      </c>
      <c r="M23" s="237">
        <v>2</v>
      </c>
      <c r="N23" s="237">
        <v>3</v>
      </c>
      <c r="O23" s="237">
        <v>2</v>
      </c>
      <c r="P23" s="237">
        <v>2</v>
      </c>
      <c r="Q23" s="382" t="str">
        <f>IF(COUNTIF(tblSeverityAnalysis[[#This Row],[SAMV]:[ASH]], 1)=0, "", COUNTIF(tblSeverityAnalysis[[#This Row],[SAMV]:[ASH]], 1))</f>
        <v/>
      </c>
      <c r="R23" s="325">
        <f>IF(COUNTIF(tblSeverityAnalysis[[#This Row],[SAMV]:[ASH]], 2)=0, "", COUNTIF(tblSeverityAnalysis[[#This Row],[SAMV]:[ASH]], 2))</f>
        <v>2</v>
      </c>
      <c r="S23" s="325">
        <f>IF(COUNTIF(tblSeverityAnalysis[[#This Row],[SAMV]:[ASH]], 3)=0, "", COUNTIF(tblSeverityAnalysis[[#This Row],[SAMV]:[ASH]], 3))</f>
        <v>4</v>
      </c>
      <c r="T23" s="325" t="str">
        <f>IF(COUNTIF(tblSeverityAnalysis[[#This Row],[SAMV]:[ASH]], 4)=0, "", COUNTIF(tblSeverityAnalysis[[#This Row],[SAMV]:[ASH]], 4))</f>
        <v/>
      </c>
      <c r="U23" s="383" t="str">
        <f>IF(COUNTIF(tblSeverityAnalysis[[#This Row],[SAMV]:[ASH]], 5)=0, "", COUNTIF(tblSeverityAnalysis[[#This Row],[SAMV]:[ASH]], 5))</f>
        <v/>
      </c>
      <c r="V23" s="375" cm="1">
        <f t="array" ref="V2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3" s="237" t="str">
        <f>IFERROR(IF(INDEX(tblSeverityReference[Severidad de la desnutrición],MATCH(tblSeverityAnalysis[[#This Row],[ID]], tblSeverityReference[ID], 0))= "", "",INDEX(tblSeverityReference[Severidad de la desnutrición],MATCH(tblSeverityAnalysis[[#This Row],[ID]], tblSeverityReference[ID], 0)) ), "")</f>
        <v/>
      </c>
      <c r="Y23" s="349" t="str">
        <f>IFERROR(IF(INDEX(tblSeverityReference[Severidad epidémica],MATCH(tblSeverityAnalysis[[#This Row],[ID]], tblSeverityReference[ID], 0))= "", "",INDEX(tblSeverityReference[Severidad epidémica],MATCH(tblSeverityAnalysis[[#This Row],[ID]], tblSeverityReference[ID], 0)) ), "")</f>
        <v/>
      </c>
      <c r="Z2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3" s="391" t="str">
        <f>IFERROR(IF(INDEX(tblSeverityReference[HR/IHL Violation],MATCH(tblSeverityAnalysis[[#This Row],[ID]], tblSeverityReference[ID], 0))= "", "",INDEX(tblSeverityReference[HR/IHL Violation],MATCH(tblSeverityAnalysis[[#This Row],[ID]], tblSeverityReference[ID], 0)) ), "")</f>
        <v/>
      </c>
      <c r="AB23" s="397">
        <f>IFERROR(AVERAGE(tblSeverityAnalysis[[#This Row],[SAMV]:[ASH]]), "")</f>
        <v>2.6666666666666665</v>
      </c>
      <c r="AC23" s="346">
        <f>IF(SUM(tblSeverityAnalysis[[#This Row],[SAMV]:[ASH]])=0, "", MAX(tblSeverityAnalysis[[#This Row],[SAMV]:[ASH]]))</f>
        <v>3</v>
      </c>
      <c r="AD23" s="261" t="str" cm="1">
        <f t="array" ref="AD23">IFERROR(IF(tblSeverityAnalysis[[#This Row],[Severidad máxima]]="", "", _xlfn.TEXTJOIN(CHAR(10), TRUE, IF(tblSeverityAnalysis[[#This Row],[SAMV]:[ASH]]=tblSeverityAnalysis[[#This Row],[Severidad máxima]], tblSeverityAnalysis[[#Headers],[SAMV]:[ASH]], ""), "")), "")</f>
        <v>SAMV
SAL
EDU
ASH</v>
      </c>
      <c r="AE23" s="346" cm="1">
        <f t="array" ref="AE23">IFERROR(MAX(_xlfn._xlws.FILTER(tblSeverityAnalysis[[#This Row],[SAMV]:[ASH]], tblSeverityAnalysis[[#This Row],[SAMV]:[ASH]]&lt;tblSeverityAnalysis[[#This Row],[Severidad máxima]])), "")</f>
        <v>2</v>
      </c>
      <c r="AF23" s="398" t="str" cm="1">
        <f t="array" ref="AF23">IFERROR(IF(tblSeverityAnalysis[[#This Row],[2ª mayor severidad]]="", "", _xlfn.TEXTJOIN(CHAR(10), TRUE, IF(tblSeverityAnalysis[[#This Row],[SAMV]:[ASH]]=tblSeverityAnalysis[[#This Row],[2ª mayor severidad]], tblSeverityAnalysis[[#Headers],[SAMV]:[ASH]], ""), "")), "")</f>
        <v>NUT
PRO</v>
      </c>
      <c r="AG23" s="405" t="str">
        <f>IFERROR(IF(AND(tblSeverityAnalysis[[#This Row],[5]] &lt;&gt; "", tblSeverityAnalysis[[#This Row],[5]]&gt;=sectors_sev_5), "Flagged", ""), "")</f>
        <v/>
      </c>
      <c r="AH23" s="347" t="str">
        <f>IFERROR(IF(AND(tblSeverityAnalysis[[#This Row],[Severidad preliminar basada en la superposición de privaciones sectoriales]]=5, SUM(tblSeverityAnalysis[[#This Row],[ 1 ]:[ 4 ]])&gt;=sectors_sev_5), "Flagged", ""), "")</f>
        <v/>
      </c>
      <c r="AI23" s="348" t="str" cm="1">
        <f t="array" ref="AI2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3" s="350"/>
      <c r="AL23" s="351"/>
      <c r="AM23" s="350"/>
      <c r="AN23" s="407">
        <f>COUNTIF(tblSeverityAnalysis[[#This Row],[1 sectores en fase de severidad 5 '[modificar el umbral']]:[Marcador manual]], "Flagged")</f>
        <v>0</v>
      </c>
      <c r="AO23" s="418">
        <f>tblSeverityAnalysis[[#This Row],[Severidad preliminar basada en la superposición de privaciones sectoriales]]</f>
        <v>3</v>
      </c>
      <c r="AP23" s="417"/>
      <c r="AQ23" s="421" t="s">
        <v>876</v>
      </c>
      <c r="AR23" s="417">
        <v>3</v>
      </c>
    </row>
    <row r="24" spans="1:44" hidden="1">
      <c r="A2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VenezolanosVE0313</v>
      </c>
      <c r="B24" s="363" t="s">
        <v>119</v>
      </c>
      <c r="C24" s="323" t="s">
        <v>120</v>
      </c>
      <c r="D24" s="322" t="s">
        <v>145</v>
      </c>
      <c r="E24" s="323" t="s">
        <v>146</v>
      </c>
      <c r="F24" s="323"/>
      <c r="G24" s="324">
        <v>73121</v>
      </c>
      <c r="H24" s="324" t="s">
        <v>102</v>
      </c>
      <c r="I24" s="374">
        <v>3</v>
      </c>
      <c r="J24" s="237">
        <v>2</v>
      </c>
      <c r="K24" s="237">
        <v>3</v>
      </c>
      <c r="L24" s="237">
        <v>4</v>
      </c>
      <c r="M24" s="237">
        <v>3</v>
      </c>
      <c r="N24" s="237">
        <v>3</v>
      </c>
      <c r="O24" s="237">
        <v>3</v>
      </c>
      <c r="P24" s="237">
        <v>3</v>
      </c>
      <c r="Q24" s="382" t="str">
        <f>IF(COUNTIF(tblSeverityAnalysis[[#This Row],[SAMV]:[ASH]], 1)=0, "", COUNTIF(tblSeverityAnalysis[[#This Row],[SAMV]:[ASH]], 1))</f>
        <v/>
      </c>
      <c r="R24" s="325">
        <f>IF(COUNTIF(tblSeverityAnalysis[[#This Row],[SAMV]:[ASH]], 2)=0, "", COUNTIF(tblSeverityAnalysis[[#This Row],[SAMV]:[ASH]], 2))</f>
        <v>1</v>
      </c>
      <c r="S24" s="325">
        <f>IF(COUNTIF(tblSeverityAnalysis[[#This Row],[SAMV]:[ASH]], 3)=0, "", COUNTIF(tblSeverityAnalysis[[#This Row],[SAMV]:[ASH]], 3))</f>
        <v>4</v>
      </c>
      <c r="T24" s="325">
        <f>IF(COUNTIF(tblSeverityAnalysis[[#This Row],[SAMV]:[ASH]], 4)=0, "", COUNTIF(tblSeverityAnalysis[[#This Row],[SAMV]:[ASH]], 4))</f>
        <v>1</v>
      </c>
      <c r="U24" s="383" t="str">
        <f>IF(COUNTIF(tblSeverityAnalysis[[#This Row],[SAMV]:[ASH]], 5)=0, "", COUNTIF(tblSeverityAnalysis[[#This Row],[SAMV]:[ASH]], 5))</f>
        <v/>
      </c>
      <c r="V24" s="375" cm="1">
        <f t="array" ref="V2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4" s="237" t="str">
        <f>IFERROR(IF(INDEX(tblSeverityReference[Severidad de la desnutrición],MATCH(tblSeverityAnalysis[[#This Row],[ID]], tblSeverityReference[ID], 0))= "", "",INDEX(tblSeverityReference[Severidad de la desnutrición],MATCH(tblSeverityAnalysis[[#This Row],[ID]], tblSeverityReference[ID], 0)) ), "")</f>
        <v/>
      </c>
      <c r="Y24" s="349" t="str">
        <f>IFERROR(IF(INDEX(tblSeverityReference[Severidad epidémica],MATCH(tblSeverityAnalysis[[#This Row],[ID]], tblSeverityReference[ID], 0))= "", "",INDEX(tblSeverityReference[Severidad epidémica],MATCH(tblSeverityAnalysis[[#This Row],[ID]], tblSeverityReference[ID], 0)) ), "")</f>
        <v/>
      </c>
      <c r="Z2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4" s="391" t="str">
        <f>IFERROR(IF(INDEX(tblSeverityReference[HR/IHL Violation],MATCH(tblSeverityAnalysis[[#This Row],[ID]], tblSeverityReference[ID], 0))= "", "",INDEX(tblSeverityReference[HR/IHL Violation],MATCH(tblSeverityAnalysis[[#This Row],[ID]], tblSeverityReference[ID], 0)) ), "")</f>
        <v/>
      </c>
      <c r="AB24" s="397">
        <f>IFERROR(AVERAGE(tblSeverityAnalysis[[#This Row],[SAMV]:[ASH]]), "")</f>
        <v>3</v>
      </c>
      <c r="AC24" s="346">
        <f>IF(SUM(tblSeverityAnalysis[[#This Row],[SAMV]:[ASH]])=0, "", MAX(tblSeverityAnalysis[[#This Row],[SAMV]:[ASH]]))</f>
        <v>4</v>
      </c>
      <c r="AD24" s="261" t="str" cm="1">
        <f t="array" ref="AD24">IFERROR(IF(tblSeverityAnalysis[[#This Row],[Severidad máxima]]="", "", _xlfn.TEXTJOIN(CHAR(10), TRUE, IF(tblSeverityAnalysis[[#This Row],[SAMV]:[ASH]]=tblSeverityAnalysis[[#This Row],[Severidad máxima]], tblSeverityAnalysis[[#Headers],[SAMV]:[ASH]], ""), "")), "")</f>
        <v>EDU</v>
      </c>
      <c r="AE24" s="346" cm="1">
        <f t="array" ref="AE24">IFERROR(MAX(_xlfn._xlws.FILTER(tblSeverityAnalysis[[#This Row],[SAMV]:[ASH]], tblSeverityAnalysis[[#This Row],[SAMV]:[ASH]]&lt;tblSeverityAnalysis[[#This Row],[Severidad máxima]])), "")</f>
        <v>3</v>
      </c>
      <c r="AF24" s="398" t="str" cm="1">
        <f t="array" ref="AF24">IFERROR(IF(tblSeverityAnalysis[[#This Row],[2ª mayor severidad]]="", "", _xlfn.TEXTJOIN(CHAR(10), TRUE, IF(tblSeverityAnalysis[[#This Row],[SAMV]:[ASH]]=tblSeverityAnalysis[[#This Row],[2ª mayor severidad]], tblSeverityAnalysis[[#Headers],[SAMV]:[ASH]], ""), "")), "")</f>
        <v>SAMV
SAL
PRO
ASH</v>
      </c>
      <c r="AG24" s="405" t="str">
        <f>IFERROR(IF(AND(tblSeverityAnalysis[[#This Row],[5]] &lt;&gt; "", tblSeverityAnalysis[[#This Row],[5]]&gt;=sectors_sev_5), "Flagged", ""), "")</f>
        <v/>
      </c>
      <c r="AH24" s="347" t="str">
        <f>IFERROR(IF(AND(tblSeverityAnalysis[[#This Row],[Severidad preliminar basada en la superposición de privaciones sectoriales]]=5, SUM(tblSeverityAnalysis[[#This Row],[ 1 ]:[ 4 ]])&gt;=sectors_sev_5), "Flagged", ""), "")</f>
        <v/>
      </c>
      <c r="AI24" s="348" t="str" cm="1">
        <f t="array" ref="AI2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4" s="350"/>
      <c r="AL24" s="351"/>
      <c r="AM24" s="350"/>
      <c r="AN24" s="407">
        <f>COUNTIF(tblSeverityAnalysis[[#This Row],[1 sectores en fase de severidad 5 '[modificar el umbral']]:[Marcador manual]], "Flagged")</f>
        <v>0</v>
      </c>
      <c r="AO24" s="418">
        <f>tblSeverityAnalysis[[#This Row],[Severidad preliminar basada en la superposición de privaciones sectoriales]]</f>
        <v>3</v>
      </c>
      <c r="AP24" s="417"/>
      <c r="AQ24" s="421" t="s">
        <v>876</v>
      </c>
      <c r="AR24" s="417">
        <v>3</v>
      </c>
    </row>
    <row r="25" spans="1:44" hidden="1">
      <c r="A2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VenezolanosVE0314</v>
      </c>
      <c r="B25" s="363" t="s">
        <v>119</v>
      </c>
      <c r="C25" s="323" t="s">
        <v>120</v>
      </c>
      <c r="D25" s="322" t="s">
        <v>147</v>
      </c>
      <c r="E25" s="323" t="s">
        <v>148</v>
      </c>
      <c r="F25" s="323"/>
      <c r="G25" s="324">
        <v>23248</v>
      </c>
      <c r="H25" s="324" t="s">
        <v>102</v>
      </c>
      <c r="I25" s="374">
        <v>2</v>
      </c>
      <c r="J25" s="237">
        <v>1</v>
      </c>
      <c r="K25" s="237">
        <v>3</v>
      </c>
      <c r="L25" s="237">
        <v>4</v>
      </c>
      <c r="M25" s="237">
        <v>4</v>
      </c>
      <c r="N25" s="237">
        <v>5</v>
      </c>
      <c r="O25" s="237">
        <v>4</v>
      </c>
      <c r="P25" s="237">
        <v>4</v>
      </c>
      <c r="Q25" s="382">
        <f>IF(COUNTIF(tblSeverityAnalysis[[#This Row],[SAMV]:[ASH]], 1)=0, "", COUNTIF(tblSeverityAnalysis[[#This Row],[SAMV]:[ASH]], 1))</f>
        <v>1</v>
      </c>
      <c r="R25" s="325">
        <f>IF(COUNTIF(tblSeverityAnalysis[[#This Row],[SAMV]:[ASH]], 2)=0, "", COUNTIF(tblSeverityAnalysis[[#This Row],[SAMV]:[ASH]], 2))</f>
        <v>1</v>
      </c>
      <c r="S25" s="325">
        <f>IF(COUNTIF(tblSeverityAnalysis[[#This Row],[SAMV]:[ASH]], 3)=0, "", COUNTIF(tblSeverityAnalysis[[#This Row],[SAMV]:[ASH]], 3))</f>
        <v>1</v>
      </c>
      <c r="T25" s="325">
        <f>IF(COUNTIF(tblSeverityAnalysis[[#This Row],[SAMV]:[ASH]], 4)=0, "", COUNTIF(tblSeverityAnalysis[[#This Row],[SAMV]:[ASH]], 4))</f>
        <v>2</v>
      </c>
      <c r="U25" s="383">
        <f>IF(COUNTIF(tblSeverityAnalysis[[#This Row],[SAMV]:[ASH]], 5)=0, "", COUNTIF(tblSeverityAnalysis[[#This Row],[SAMV]:[ASH]], 5))</f>
        <v>1</v>
      </c>
      <c r="V25" s="375" cm="1">
        <f t="array" ref="V2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5" s="237" t="str">
        <f>IFERROR(IF(INDEX(tblSeverityReference[Severidad de la desnutrición],MATCH(tblSeverityAnalysis[[#This Row],[ID]], tblSeverityReference[ID], 0))= "", "",INDEX(tblSeverityReference[Severidad de la desnutrición],MATCH(tblSeverityAnalysis[[#This Row],[ID]], tblSeverityReference[ID], 0)) ), "")</f>
        <v/>
      </c>
      <c r="Y25" s="349" t="str">
        <f>IFERROR(IF(INDEX(tblSeverityReference[Severidad epidémica],MATCH(tblSeverityAnalysis[[#This Row],[ID]], tblSeverityReference[ID], 0))= "", "",INDEX(tblSeverityReference[Severidad epidémica],MATCH(tblSeverityAnalysis[[#This Row],[ID]], tblSeverityReference[ID], 0)) ), "")</f>
        <v/>
      </c>
      <c r="Z2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5" s="391" t="str">
        <f>IFERROR(IF(INDEX(tblSeverityReference[HR/IHL Violation],MATCH(tblSeverityAnalysis[[#This Row],[ID]], tblSeverityReference[ID], 0))= "", "",INDEX(tblSeverityReference[HR/IHL Violation],MATCH(tblSeverityAnalysis[[#This Row],[ID]], tblSeverityReference[ID], 0)) ), "")</f>
        <v/>
      </c>
      <c r="AB25" s="397">
        <f>IFERROR(AVERAGE(tblSeverityAnalysis[[#This Row],[SAMV]:[ASH]]), "")</f>
        <v>3.1666666666666665</v>
      </c>
      <c r="AC25" s="346">
        <f>IF(SUM(tblSeverityAnalysis[[#This Row],[SAMV]:[ASH]])=0, "", MAX(tblSeverityAnalysis[[#This Row],[SAMV]:[ASH]]))</f>
        <v>5</v>
      </c>
      <c r="AD25" s="261" t="str" cm="1">
        <f t="array" ref="AD25">IFERROR(IF(tblSeverityAnalysis[[#This Row],[Severidad máxima]]="", "", _xlfn.TEXTJOIN(CHAR(10), TRUE, IF(tblSeverityAnalysis[[#This Row],[SAMV]:[ASH]]=tblSeverityAnalysis[[#This Row],[Severidad máxima]], tblSeverityAnalysis[[#Headers],[SAMV]:[ASH]], ""), "")), "")</f>
        <v>ASH</v>
      </c>
      <c r="AE25" s="346" cm="1">
        <f t="array" ref="AE25">IFERROR(MAX(_xlfn._xlws.FILTER(tblSeverityAnalysis[[#This Row],[SAMV]:[ASH]], tblSeverityAnalysis[[#This Row],[SAMV]:[ASH]]&lt;tblSeverityAnalysis[[#This Row],[Severidad máxima]])), "")</f>
        <v>4</v>
      </c>
      <c r="AF25" s="398" t="str" cm="1">
        <f t="array" ref="AF25">IFERROR(IF(tblSeverityAnalysis[[#This Row],[2ª mayor severidad]]="", "", _xlfn.TEXTJOIN(CHAR(10), TRUE, IF(tblSeverityAnalysis[[#This Row],[SAMV]:[ASH]]=tblSeverityAnalysis[[#This Row],[2ª mayor severidad]], tblSeverityAnalysis[[#Headers],[SAMV]:[ASH]], ""), "")), "")</f>
        <v>EDU
PRO</v>
      </c>
      <c r="AG25" s="405" t="str">
        <f>IFERROR(IF(AND(tblSeverityAnalysis[[#This Row],[5]] &lt;&gt; "", tblSeverityAnalysis[[#This Row],[5]]&gt;=sectors_sev_5), "Flagged", ""), "")</f>
        <v/>
      </c>
      <c r="AH25" s="347" t="str">
        <f>IFERROR(IF(AND(tblSeverityAnalysis[[#This Row],[Severidad preliminar basada en la superposición de privaciones sectoriales]]=5, SUM(tblSeverityAnalysis[[#This Row],[ 1 ]:[ 4 ]])&gt;=sectors_sev_5), "Flagged", ""), "")</f>
        <v/>
      </c>
      <c r="AI25" s="348" t="str" cm="1">
        <f t="array" ref="AI2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5" s="350"/>
      <c r="AL25" s="351"/>
      <c r="AM25" s="350"/>
      <c r="AN25" s="407">
        <f>COUNTIF(tblSeverityAnalysis[[#This Row],[1 sectores en fase de severidad 5 '[modificar el umbral']]:[Marcador manual]], "Flagged")</f>
        <v>0</v>
      </c>
      <c r="AO25" s="418">
        <f>tblSeverityAnalysis[[#This Row],[Severidad preliminar basada en la superposición de privaciones sectoriales]]</f>
        <v>3</v>
      </c>
      <c r="AP25" s="417"/>
      <c r="AQ25" s="421" t="s">
        <v>876</v>
      </c>
      <c r="AR25" s="417">
        <v>4</v>
      </c>
    </row>
    <row r="26" spans="1:44" hidden="1">
      <c r="A2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VenezolanosVE0315</v>
      </c>
      <c r="B26" s="363" t="s">
        <v>119</v>
      </c>
      <c r="C26" s="323" t="s">
        <v>120</v>
      </c>
      <c r="D26" s="322" t="s">
        <v>149</v>
      </c>
      <c r="E26" s="323" t="s">
        <v>150</v>
      </c>
      <c r="F26" s="323"/>
      <c r="G26" s="324">
        <v>76398</v>
      </c>
      <c r="H26" s="324" t="s">
        <v>102</v>
      </c>
      <c r="I26" s="374">
        <v>3</v>
      </c>
      <c r="J26" s="237">
        <v>1</v>
      </c>
      <c r="K26" s="237">
        <v>3</v>
      </c>
      <c r="L26" s="237">
        <v>3</v>
      </c>
      <c r="M26" s="237">
        <v>3</v>
      </c>
      <c r="N26" s="237">
        <v>3</v>
      </c>
      <c r="O26" s="237">
        <v>3</v>
      </c>
      <c r="P26" s="237">
        <v>3</v>
      </c>
      <c r="Q26" s="382">
        <f>IF(COUNTIF(tblSeverityAnalysis[[#This Row],[SAMV]:[ASH]], 1)=0, "", COUNTIF(tblSeverityAnalysis[[#This Row],[SAMV]:[ASH]], 1))</f>
        <v>1</v>
      </c>
      <c r="R26" s="325" t="str">
        <f>IF(COUNTIF(tblSeverityAnalysis[[#This Row],[SAMV]:[ASH]], 2)=0, "", COUNTIF(tblSeverityAnalysis[[#This Row],[SAMV]:[ASH]], 2))</f>
        <v/>
      </c>
      <c r="S26" s="325">
        <f>IF(COUNTIF(tblSeverityAnalysis[[#This Row],[SAMV]:[ASH]], 3)=0, "", COUNTIF(tblSeverityAnalysis[[#This Row],[SAMV]:[ASH]], 3))</f>
        <v>5</v>
      </c>
      <c r="T26" s="325" t="str">
        <f>IF(COUNTIF(tblSeverityAnalysis[[#This Row],[SAMV]:[ASH]], 4)=0, "", COUNTIF(tblSeverityAnalysis[[#This Row],[SAMV]:[ASH]], 4))</f>
        <v/>
      </c>
      <c r="U26" s="383" t="str">
        <f>IF(COUNTIF(tblSeverityAnalysis[[#This Row],[SAMV]:[ASH]], 5)=0, "", COUNTIF(tblSeverityAnalysis[[#This Row],[SAMV]:[ASH]], 5))</f>
        <v/>
      </c>
      <c r="V26" s="375" cm="1">
        <f t="array" ref="V2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6" s="237" t="str">
        <f>IFERROR(IF(INDEX(tblSeverityReference[Severidad de la desnutrición],MATCH(tblSeverityAnalysis[[#This Row],[ID]], tblSeverityReference[ID], 0))= "", "",INDEX(tblSeverityReference[Severidad de la desnutrición],MATCH(tblSeverityAnalysis[[#This Row],[ID]], tblSeverityReference[ID], 0)) ), "")</f>
        <v/>
      </c>
      <c r="Y26" s="349" t="str">
        <f>IFERROR(IF(INDEX(tblSeverityReference[Severidad epidémica],MATCH(tblSeverityAnalysis[[#This Row],[ID]], tblSeverityReference[ID], 0))= "", "",INDEX(tblSeverityReference[Severidad epidémica],MATCH(tblSeverityAnalysis[[#This Row],[ID]], tblSeverityReference[ID], 0)) ), "")</f>
        <v/>
      </c>
      <c r="Z2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6" s="391" t="str">
        <f>IFERROR(IF(INDEX(tblSeverityReference[HR/IHL Violation],MATCH(tblSeverityAnalysis[[#This Row],[ID]], tblSeverityReference[ID], 0))= "", "",INDEX(tblSeverityReference[HR/IHL Violation],MATCH(tblSeverityAnalysis[[#This Row],[ID]], tblSeverityReference[ID], 0)) ), "")</f>
        <v/>
      </c>
      <c r="AB26" s="397">
        <f>IFERROR(AVERAGE(tblSeverityAnalysis[[#This Row],[SAMV]:[ASH]]), "")</f>
        <v>2.6666666666666665</v>
      </c>
      <c r="AC26" s="346">
        <f>IF(SUM(tblSeverityAnalysis[[#This Row],[SAMV]:[ASH]])=0, "", MAX(tblSeverityAnalysis[[#This Row],[SAMV]:[ASH]]))</f>
        <v>3</v>
      </c>
      <c r="AD26" s="261" t="str" cm="1">
        <f t="array" ref="AD26">IFERROR(IF(tblSeverityAnalysis[[#This Row],[Severidad máxima]]="", "", _xlfn.TEXTJOIN(CHAR(10), TRUE, IF(tblSeverityAnalysis[[#This Row],[SAMV]:[ASH]]=tblSeverityAnalysis[[#This Row],[Severidad máxima]], tblSeverityAnalysis[[#Headers],[SAMV]:[ASH]], ""), "")), "")</f>
        <v>SAMV
SAL
EDU
PRO
ASH</v>
      </c>
      <c r="AE26" s="346" cm="1">
        <f t="array" ref="AE26">IFERROR(MAX(_xlfn._xlws.FILTER(tblSeverityAnalysis[[#This Row],[SAMV]:[ASH]], tblSeverityAnalysis[[#This Row],[SAMV]:[ASH]]&lt;tblSeverityAnalysis[[#This Row],[Severidad máxima]])), "")</f>
        <v>1</v>
      </c>
      <c r="AF26" s="398" t="str" cm="1">
        <f t="array" ref="AF26">IFERROR(IF(tblSeverityAnalysis[[#This Row],[2ª mayor severidad]]="", "", _xlfn.TEXTJOIN(CHAR(10), TRUE, IF(tblSeverityAnalysis[[#This Row],[SAMV]:[ASH]]=tblSeverityAnalysis[[#This Row],[2ª mayor severidad]], tblSeverityAnalysis[[#Headers],[SAMV]:[ASH]], ""), "")), "")</f>
        <v>NUT</v>
      </c>
      <c r="AG26" s="405" t="str">
        <f>IFERROR(IF(AND(tblSeverityAnalysis[[#This Row],[5]] &lt;&gt; "", tblSeverityAnalysis[[#This Row],[5]]&gt;=sectors_sev_5), "Flagged", ""), "")</f>
        <v/>
      </c>
      <c r="AH26" s="347" t="str">
        <f>IFERROR(IF(AND(tblSeverityAnalysis[[#This Row],[Severidad preliminar basada en la superposición de privaciones sectoriales]]=5, SUM(tblSeverityAnalysis[[#This Row],[ 1 ]:[ 4 ]])&gt;=sectors_sev_5), "Flagged", ""), "")</f>
        <v/>
      </c>
      <c r="AI26" s="348" t="str" cm="1">
        <f t="array" ref="AI2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6" s="350"/>
      <c r="AL26" s="351"/>
      <c r="AM26" s="350"/>
      <c r="AN26" s="407">
        <f>COUNTIF(tblSeverityAnalysis[[#This Row],[1 sectores en fase de severidad 5 '[modificar el umbral']]:[Marcador manual]], "Flagged")</f>
        <v>0</v>
      </c>
      <c r="AO26" s="418">
        <f>tblSeverityAnalysis[[#This Row],[Severidad preliminar basada en la superposición de privaciones sectoriales]]</f>
        <v>3</v>
      </c>
      <c r="AP26" s="417"/>
      <c r="AQ26" s="421" t="s">
        <v>876</v>
      </c>
      <c r="AR26" s="417">
        <v>3</v>
      </c>
    </row>
    <row r="27" spans="1:44" hidden="1">
      <c r="A2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VenezolanosVE0316</v>
      </c>
      <c r="B27" s="363" t="s">
        <v>119</v>
      </c>
      <c r="C27" s="323" t="s">
        <v>120</v>
      </c>
      <c r="D27" s="322" t="s">
        <v>151</v>
      </c>
      <c r="E27" s="323" t="s">
        <v>152</v>
      </c>
      <c r="F27" s="323"/>
      <c r="G27" s="324">
        <v>9047</v>
      </c>
      <c r="H27" s="324" t="s">
        <v>102</v>
      </c>
      <c r="I27" s="374">
        <v>4</v>
      </c>
      <c r="J27" s="237">
        <v>1</v>
      </c>
      <c r="K27" s="237">
        <v>3</v>
      </c>
      <c r="L27" s="237">
        <v>3</v>
      </c>
      <c r="M27" s="237">
        <v>2</v>
      </c>
      <c r="N27" s="237">
        <v>2</v>
      </c>
      <c r="O27" s="237">
        <v>2</v>
      </c>
      <c r="P27" s="237">
        <v>2</v>
      </c>
      <c r="Q27" s="382">
        <f>IF(COUNTIF(tblSeverityAnalysis[[#This Row],[SAMV]:[ASH]], 1)=0, "", COUNTIF(tblSeverityAnalysis[[#This Row],[SAMV]:[ASH]], 1))</f>
        <v>1</v>
      </c>
      <c r="R27" s="325">
        <f>IF(COUNTIF(tblSeverityAnalysis[[#This Row],[SAMV]:[ASH]], 2)=0, "", COUNTIF(tblSeverityAnalysis[[#This Row],[SAMV]:[ASH]], 2))</f>
        <v>2</v>
      </c>
      <c r="S27" s="325">
        <f>IF(COUNTIF(tblSeverityAnalysis[[#This Row],[SAMV]:[ASH]], 3)=0, "", COUNTIF(tblSeverityAnalysis[[#This Row],[SAMV]:[ASH]], 3))</f>
        <v>2</v>
      </c>
      <c r="T27" s="325">
        <f>IF(COUNTIF(tblSeverityAnalysis[[#This Row],[SAMV]:[ASH]], 4)=0, "", COUNTIF(tblSeverityAnalysis[[#This Row],[SAMV]:[ASH]], 4))</f>
        <v>1</v>
      </c>
      <c r="U27" s="383" t="str">
        <f>IF(COUNTIF(tblSeverityAnalysis[[#This Row],[SAMV]:[ASH]], 5)=0, "", COUNTIF(tblSeverityAnalysis[[#This Row],[SAMV]:[ASH]], 5))</f>
        <v/>
      </c>
      <c r="V27" s="375" cm="1">
        <f t="array" ref="V2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7" s="237" t="str">
        <f>IFERROR(IF(INDEX(tblSeverityReference[Severidad de la desnutrición],MATCH(tblSeverityAnalysis[[#This Row],[ID]], tblSeverityReference[ID], 0))= "", "",INDEX(tblSeverityReference[Severidad de la desnutrición],MATCH(tblSeverityAnalysis[[#This Row],[ID]], tblSeverityReference[ID], 0)) ), "")</f>
        <v/>
      </c>
      <c r="Y27" s="349" t="str">
        <f>IFERROR(IF(INDEX(tblSeverityReference[Severidad epidémica],MATCH(tblSeverityAnalysis[[#This Row],[ID]], tblSeverityReference[ID], 0))= "", "",INDEX(tblSeverityReference[Severidad epidémica],MATCH(tblSeverityAnalysis[[#This Row],[ID]], tblSeverityReference[ID], 0)) ), "")</f>
        <v/>
      </c>
      <c r="Z2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7" s="391" t="str">
        <f>IFERROR(IF(INDEX(tblSeverityReference[HR/IHL Violation],MATCH(tblSeverityAnalysis[[#This Row],[ID]], tblSeverityReference[ID], 0))= "", "",INDEX(tblSeverityReference[HR/IHL Violation],MATCH(tblSeverityAnalysis[[#This Row],[ID]], tblSeverityReference[ID], 0)) ), "")</f>
        <v/>
      </c>
      <c r="AB27" s="397">
        <f>IFERROR(AVERAGE(tblSeverityAnalysis[[#This Row],[SAMV]:[ASH]]), "")</f>
        <v>2.5</v>
      </c>
      <c r="AC27" s="346">
        <f>IF(SUM(tblSeverityAnalysis[[#This Row],[SAMV]:[ASH]])=0, "", MAX(tblSeverityAnalysis[[#This Row],[SAMV]:[ASH]]))</f>
        <v>4</v>
      </c>
      <c r="AD27" s="261" t="str" cm="1">
        <f t="array" ref="AD27">IFERROR(IF(tblSeverityAnalysis[[#This Row],[Severidad máxima]]="", "", _xlfn.TEXTJOIN(CHAR(10), TRUE, IF(tblSeverityAnalysis[[#This Row],[SAMV]:[ASH]]=tblSeverityAnalysis[[#This Row],[Severidad máxima]], tblSeverityAnalysis[[#Headers],[SAMV]:[ASH]], ""), "")), "")</f>
        <v>SAMV</v>
      </c>
      <c r="AE27" s="346" cm="1">
        <f t="array" ref="AE27">IFERROR(MAX(_xlfn._xlws.FILTER(tblSeverityAnalysis[[#This Row],[SAMV]:[ASH]], tblSeverityAnalysis[[#This Row],[SAMV]:[ASH]]&lt;tblSeverityAnalysis[[#This Row],[Severidad máxima]])), "")</f>
        <v>3</v>
      </c>
      <c r="AF27" s="398" t="str" cm="1">
        <f t="array" ref="AF27">IFERROR(IF(tblSeverityAnalysis[[#This Row],[2ª mayor severidad]]="", "", _xlfn.TEXTJOIN(CHAR(10), TRUE, IF(tblSeverityAnalysis[[#This Row],[SAMV]:[ASH]]=tblSeverityAnalysis[[#This Row],[2ª mayor severidad]], tblSeverityAnalysis[[#Headers],[SAMV]:[ASH]], ""), "")), "")</f>
        <v>SAL
EDU</v>
      </c>
      <c r="AG27" s="405" t="str">
        <f>IFERROR(IF(AND(tblSeverityAnalysis[[#This Row],[5]] &lt;&gt; "", tblSeverityAnalysis[[#This Row],[5]]&gt;=sectors_sev_5), "Flagged", ""), "")</f>
        <v/>
      </c>
      <c r="AH27" s="347" t="str">
        <f>IFERROR(IF(AND(tblSeverityAnalysis[[#This Row],[Severidad preliminar basada en la superposición de privaciones sectoriales]]=5, SUM(tblSeverityAnalysis[[#This Row],[ 1 ]:[ 4 ]])&gt;=sectors_sev_5), "Flagged", ""), "")</f>
        <v/>
      </c>
      <c r="AI27" s="348" t="str" cm="1">
        <f t="array" ref="AI2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7" s="350"/>
      <c r="AL27" s="351"/>
      <c r="AM27" s="350"/>
      <c r="AN27" s="407">
        <f>COUNTIF(tblSeverityAnalysis[[#This Row],[1 sectores en fase de severidad 5 '[modificar el umbral']]:[Marcador manual]], "Flagged")</f>
        <v>0</v>
      </c>
      <c r="AO27" s="418">
        <f>tblSeverityAnalysis[[#This Row],[Severidad preliminar basada en la superposición de privaciones sectoriales]]</f>
        <v>2</v>
      </c>
      <c r="AP27" s="417"/>
      <c r="AQ27" s="421" t="s">
        <v>876</v>
      </c>
      <c r="AR27" s="417">
        <v>3</v>
      </c>
    </row>
    <row r="28" spans="1:44" hidden="1">
      <c r="A2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VenezolanosVE0317</v>
      </c>
      <c r="B28" s="363" t="s">
        <v>119</v>
      </c>
      <c r="C28" s="323" t="s">
        <v>120</v>
      </c>
      <c r="D28" s="322" t="s">
        <v>153</v>
      </c>
      <c r="E28" s="323" t="s">
        <v>154</v>
      </c>
      <c r="F28" s="323"/>
      <c r="G28" s="324">
        <v>9636</v>
      </c>
      <c r="H28" s="324" t="s">
        <v>102</v>
      </c>
      <c r="I28" s="374">
        <v>3</v>
      </c>
      <c r="J28" s="237">
        <v>1</v>
      </c>
      <c r="K28" s="237">
        <v>3</v>
      </c>
      <c r="L28" s="237">
        <v>3</v>
      </c>
      <c r="M28" s="237">
        <v>2</v>
      </c>
      <c r="N28" s="237">
        <v>4</v>
      </c>
      <c r="O28" s="237">
        <v>2</v>
      </c>
      <c r="P28" s="237">
        <v>2</v>
      </c>
      <c r="Q28" s="382">
        <f>IF(COUNTIF(tblSeverityAnalysis[[#This Row],[SAMV]:[ASH]], 1)=0, "", COUNTIF(tblSeverityAnalysis[[#This Row],[SAMV]:[ASH]], 1))</f>
        <v>1</v>
      </c>
      <c r="R28" s="325">
        <f>IF(COUNTIF(tblSeverityAnalysis[[#This Row],[SAMV]:[ASH]], 2)=0, "", COUNTIF(tblSeverityAnalysis[[#This Row],[SAMV]:[ASH]], 2))</f>
        <v>1</v>
      </c>
      <c r="S28" s="325">
        <f>IF(COUNTIF(tblSeverityAnalysis[[#This Row],[SAMV]:[ASH]], 3)=0, "", COUNTIF(tblSeverityAnalysis[[#This Row],[SAMV]:[ASH]], 3))</f>
        <v>3</v>
      </c>
      <c r="T28" s="325">
        <f>IF(COUNTIF(tblSeverityAnalysis[[#This Row],[SAMV]:[ASH]], 4)=0, "", COUNTIF(tblSeverityAnalysis[[#This Row],[SAMV]:[ASH]], 4))</f>
        <v>1</v>
      </c>
      <c r="U28" s="383" t="str">
        <f>IF(COUNTIF(tblSeverityAnalysis[[#This Row],[SAMV]:[ASH]], 5)=0, "", COUNTIF(tblSeverityAnalysis[[#This Row],[SAMV]:[ASH]], 5))</f>
        <v/>
      </c>
      <c r="V28" s="375" cm="1">
        <f t="array" ref="V2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8" s="237" t="str">
        <f>IFERROR(IF(INDEX(tblSeverityReference[Severidad de la desnutrición],MATCH(tblSeverityAnalysis[[#This Row],[ID]], tblSeverityReference[ID], 0))= "", "",INDEX(tblSeverityReference[Severidad de la desnutrición],MATCH(tblSeverityAnalysis[[#This Row],[ID]], tblSeverityReference[ID], 0)) ), "")</f>
        <v/>
      </c>
      <c r="Y28" s="349" t="str">
        <f>IFERROR(IF(INDEX(tblSeverityReference[Severidad epidémica],MATCH(tblSeverityAnalysis[[#This Row],[ID]], tblSeverityReference[ID], 0))= "", "",INDEX(tblSeverityReference[Severidad epidémica],MATCH(tblSeverityAnalysis[[#This Row],[ID]], tblSeverityReference[ID], 0)) ), "")</f>
        <v/>
      </c>
      <c r="Z2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8" s="391" t="str">
        <f>IFERROR(IF(INDEX(tblSeverityReference[HR/IHL Violation],MATCH(tblSeverityAnalysis[[#This Row],[ID]], tblSeverityReference[ID], 0))= "", "",INDEX(tblSeverityReference[HR/IHL Violation],MATCH(tblSeverityAnalysis[[#This Row],[ID]], tblSeverityReference[ID], 0)) ), "")</f>
        <v/>
      </c>
      <c r="AB28" s="397">
        <f>IFERROR(AVERAGE(tblSeverityAnalysis[[#This Row],[SAMV]:[ASH]]), "")</f>
        <v>2.6666666666666665</v>
      </c>
      <c r="AC28" s="346">
        <f>IF(SUM(tblSeverityAnalysis[[#This Row],[SAMV]:[ASH]])=0, "", MAX(tblSeverityAnalysis[[#This Row],[SAMV]:[ASH]]))</f>
        <v>4</v>
      </c>
      <c r="AD28" s="261" t="str" cm="1">
        <f t="array" ref="AD28">IFERROR(IF(tblSeverityAnalysis[[#This Row],[Severidad máxima]]="", "", _xlfn.TEXTJOIN(CHAR(10), TRUE, IF(tblSeverityAnalysis[[#This Row],[SAMV]:[ASH]]=tblSeverityAnalysis[[#This Row],[Severidad máxima]], tblSeverityAnalysis[[#Headers],[SAMV]:[ASH]], ""), "")), "")</f>
        <v>ASH</v>
      </c>
      <c r="AE28" s="346" cm="1">
        <f t="array" ref="AE28">IFERROR(MAX(_xlfn._xlws.FILTER(tblSeverityAnalysis[[#This Row],[SAMV]:[ASH]], tblSeverityAnalysis[[#This Row],[SAMV]:[ASH]]&lt;tblSeverityAnalysis[[#This Row],[Severidad máxima]])), "")</f>
        <v>3</v>
      </c>
      <c r="AF28" s="398" t="str" cm="1">
        <f t="array" ref="AF28">IFERROR(IF(tblSeverityAnalysis[[#This Row],[2ª mayor severidad]]="", "", _xlfn.TEXTJOIN(CHAR(10), TRUE, IF(tblSeverityAnalysis[[#This Row],[SAMV]:[ASH]]=tblSeverityAnalysis[[#This Row],[2ª mayor severidad]], tblSeverityAnalysis[[#Headers],[SAMV]:[ASH]], ""), "")), "")</f>
        <v>SAMV
SAL
EDU</v>
      </c>
      <c r="AG28" s="405" t="str">
        <f>IFERROR(IF(AND(tblSeverityAnalysis[[#This Row],[5]] &lt;&gt; "", tblSeverityAnalysis[[#This Row],[5]]&gt;=sectors_sev_5), "Flagged", ""), "")</f>
        <v/>
      </c>
      <c r="AH28" s="347" t="str">
        <f>IFERROR(IF(AND(tblSeverityAnalysis[[#This Row],[Severidad preliminar basada en la superposición de privaciones sectoriales]]=5, SUM(tblSeverityAnalysis[[#This Row],[ 1 ]:[ 4 ]])&gt;=sectors_sev_5), "Flagged", ""), "")</f>
        <v/>
      </c>
      <c r="AI28" s="348" t="str" cm="1">
        <f t="array" ref="AI2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8" s="350"/>
      <c r="AL28" s="351"/>
      <c r="AM28" s="350"/>
      <c r="AN28" s="407">
        <f>COUNTIF(tblSeverityAnalysis[[#This Row],[1 sectores en fase de severidad 5 '[modificar el umbral']]:[Marcador manual]], "Flagged")</f>
        <v>0</v>
      </c>
      <c r="AO28" s="418">
        <f>tblSeverityAnalysis[[#This Row],[Severidad preliminar basada en la superposición de privaciones sectoriales]]</f>
        <v>3</v>
      </c>
      <c r="AP28" s="417"/>
      <c r="AQ28" s="421" t="s">
        <v>876</v>
      </c>
      <c r="AR28" s="417">
        <v>3</v>
      </c>
    </row>
    <row r="29" spans="1:44" hidden="1">
      <c r="A2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VenezolanosVE0318</v>
      </c>
      <c r="B29" s="363" t="s">
        <v>119</v>
      </c>
      <c r="C29" s="323" t="s">
        <v>120</v>
      </c>
      <c r="D29" s="322" t="s">
        <v>155</v>
      </c>
      <c r="E29" s="323" t="s">
        <v>156</v>
      </c>
      <c r="F29" s="323"/>
      <c r="G29" s="324">
        <v>421424</v>
      </c>
      <c r="H29" s="324" t="s">
        <v>102</v>
      </c>
      <c r="I29" s="374">
        <v>3</v>
      </c>
      <c r="J29" s="237">
        <v>2</v>
      </c>
      <c r="K29" s="237">
        <v>3</v>
      </c>
      <c r="L29" s="237">
        <v>4</v>
      </c>
      <c r="M29" s="237">
        <v>4</v>
      </c>
      <c r="N29" s="237">
        <v>4</v>
      </c>
      <c r="O29" s="237">
        <v>4</v>
      </c>
      <c r="P29" s="237">
        <v>4</v>
      </c>
      <c r="Q29" s="382" t="str">
        <f>IF(COUNTIF(tblSeverityAnalysis[[#This Row],[SAMV]:[ASH]], 1)=0, "", COUNTIF(tblSeverityAnalysis[[#This Row],[SAMV]:[ASH]], 1))</f>
        <v/>
      </c>
      <c r="R29" s="325">
        <f>IF(COUNTIF(tblSeverityAnalysis[[#This Row],[SAMV]:[ASH]], 2)=0, "", COUNTIF(tblSeverityAnalysis[[#This Row],[SAMV]:[ASH]], 2))</f>
        <v>1</v>
      </c>
      <c r="S29" s="325">
        <f>IF(COUNTIF(tblSeverityAnalysis[[#This Row],[SAMV]:[ASH]], 3)=0, "", COUNTIF(tblSeverityAnalysis[[#This Row],[SAMV]:[ASH]], 3))</f>
        <v>2</v>
      </c>
      <c r="T29" s="325">
        <f>IF(COUNTIF(tblSeverityAnalysis[[#This Row],[SAMV]:[ASH]], 4)=0, "", COUNTIF(tblSeverityAnalysis[[#This Row],[SAMV]:[ASH]], 4))</f>
        <v>3</v>
      </c>
      <c r="U29" s="383" t="str">
        <f>IF(COUNTIF(tblSeverityAnalysis[[#This Row],[SAMV]:[ASH]], 5)=0, "", COUNTIF(tblSeverityAnalysis[[#This Row],[SAMV]:[ASH]], 5))</f>
        <v/>
      </c>
      <c r="V29" s="375" cm="1">
        <f t="array" ref="V2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9" s="237" t="str">
        <f>IFERROR(IF(INDEX(tblSeverityReference[Severidad de la desnutrición],MATCH(tblSeverityAnalysis[[#This Row],[ID]], tblSeverityReference[ID], 0))= "", "",INDEX(tblSeverityReference[Severidad de la desnutrición],MATCH(tblSeverityAnalysis[[#This Row],[ID]], tblSeverityReference[ID], 0)) ), "")</f>
        <v/>
      </c>
      <c r="Y29" s="349" t="str">
        <f>IFERROR(IF(INDEX(tblSeverityReference[Severidad epidémica],MATCH(tblSeverityAnalysis[[#This Row],[ID]], tblSeverityReference[ID], 0))= "", "",INDEX(tblSeverityReference[Severidad epidémica],MATCH(tblSeverityAnalysis[[#This Row],[ID]], tblSeverityReference[ID], 0)) ), "")</f>
        <v/>
      </c>
      <c r="Z2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9" s="391" t="str">
        <f>IFERROR(IF(INDEX(tblSeverityReference[HR/IHL Violation],MATCH(tblSeverityAnalysis[[#This Row],[ID]], tblSeverityReference[ID], 0))= "", "",INDEX(tblSeverityReference[HR/IHL Violation],MATCH(tblSeverityAnalysis[[#This Row],[ID]], tblSeverityReference[ID], 0)) ), "")</f>
        <v/>
      </c>
      <c r="AB29" s="397">
        <f>IFERROR(AVERAGE(tblSeverityAnalysis[[#This Row],[SAMV]:[ASH]]), "")</f>
        <v>3.3333333333333335</v>
      </c>
      <c r="AC29" s="346">
        <f>IF(SUM(tblSeverityAnalysis[[#This Row],[SAMV]:[ASH]])=0, "", MAX(tblSeverityAnalysis[[#This Row],[SAMV]:[ASH]]))</f>
        <v>4</v>
      </c>
      <c r="AD29" s="261" t="str" cm="1">
        <f t="array" ref="AD29">IFERROR(IF(tblSeverityAnalysis[[#This Row],[Severidad máxima]]="", "", _xlfn.TEXTJOIN(CHAR(10), TRUE, IF(tblSeverityAnalysis[[#This Row],[SAMV]:[ASH]]=tblSeverityAnalysis[[#This Row],[Severidad máxima]], tblSeverityAnalysis[[#Headers],[SAMV]:[ASH]], ""), "")), "")</f>
        <v>EDU
PRO
ASH</v>
      </c>
      <c r="AE29" s="346" cm="1">
        <f t="array" ref="AE29">IFERROR(MAX(_xlfn._xlws.FILTER(tblSeverityAnalysis[[#This Row],[SAMV]:[ASH]], tblSeverityAnalysis[[#This Row],[SAMV]:[ASH]]&lt;tblSeverityAnalysis[[#This Row],[Severidad máxima]])), "")</f>
        <v>3</v>
      </c>
      <c r="AF29" s="398" t="str" cm="1">
        <f t="array" ref="AF29">IFERROR(IF(tblSeverityAnalysis[[#This Row],[2ª mayor severidad]]="", "", _xlfn.TEXTJOIN(CHAR(10), TRUE, IF(tblSeverityAnalysis[[#This Row],[SAMV]:[ASH]]=tblSeverityAnalysis[[#This Row],[2ª mayor severidad]], tblSeverityAnalysis[[#Headers],[SAMV]:[ASH]], ""), "")), "")</f>
        <v>SAMV
SAL</v>
      </c>
      <c r="AG29" s="405" t="str">
        <f>IFERROR(IF(AND(tblSeverityAnalysis[[#This Row],[5]] &lt;&gt; "", tblSeverityAnalysis[[#This Row],[5]]&gt;=sectors_sev_5), "Flagged", ""), "")</f>
        <v/>
      </c>
      <c r="AH29" s="347" t="str">
        <f>IFERROR(IF(AND(tblSeverityAnalysis[[#This Row],[Severidad preliminar basada en la superposición de privaciones sectoriales]]=5, SUM(tblSeverityAnalysis[[#This Row],[ 1 ]:[ 4 ]])&gt;=sectors_sev_5), "Flagged", ""), "")</f>
        <v/>
      </c>
      <c r="AI29" s="348" t="str" cm="1">
        <f t="array" ref="AI2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9" s="350"/>
      <c r="AL29" s="351"/>
      <c r="AM29" s="350"/>
      <c r="AN29" s="407">
        <f>COUNTIF(tblSeverityAnalysis[[#This Row],[1 sectores en fase de severidad 5 '[modificar el umbral']]:[Marcador manual]], "Flagged")</f>
        <v>0</v>
      </c>
      <c r="AO29" s="418">
        <f>tblSeverityAnalysis[[#This Row],[Severidad preliminar basada en la superposición de privaciones sectoriales]]</f>
        <v>3</v>
      </c>
      <c r="AP29" s="417"/>
      <c r="AQ29" s="421" t="s">
        <v>876</v>
      </c>
      <c r="AR29" s="417">
        <v>3</v>
      </c>
    </row>
    <row r="30" spans="1:44" hidden="1">
      <c r="A3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VenezolanosVE0319</v>
      </c>
      <c r="B30" s="363" t="s">
        <v>119</v>
      </c>
      <c r="C30" s="323" t="s">
        <v>120</v>
      </c>
      <c r="D30" s="322" t="s">
        <v>157</v>
      </c>
      <c r="E30" s="323" t="s">
        <v>158</v>
      </c>
      <c r="F30" s="323"/>
      <c r="G30" s="324">
        <v>182474</v>
      </c>
      <c r="H30" s="324" t="s">
        <v>102</v>
      </c>
      <c r="I30" s="374">
        <v>3</v>
      </c>
      <c r="J30" s="237">
        <v>1</v>
      </c>
      <c r="K30" s="237">
        <v>4</v>
      </c>
      <c r="L30" s="237">
        <v>3</v>
      </c>
      <c r="M30" s="237">
        <v>3</v>
      </c>
      <c r="N30" s="237">
        <v>2</v>
      </c>
      <c r="O30" s="237">
        <v>3</v>
      </c>
      <c r="P30" s="237">
        <v>3</v>
      </c>
      <c r="Q30" s="382">
        <f>IF(COUNTIF(tblSeverityAnalysis[[#This Row],[SAMV]:[ASH]], 1)=0, "", COUNTIF(tblSeverityAnalysis[[#This Row],[SAMV]:[ASH]], 1))</f>
        <v>1</v>
      </c>
      <c r="R30" s="325">
        <f>IF(COUNTIF(tblSeverityAnalysis[[#This Row],[SAMV]:[ASH]], 2)=0, "", COUNTIF(tblSeverityAnalysis[[#This Row],[SAMV]:[ASH]], 2))</f>
        <v>1</v>
      </c>
      <c r="S30" s="325">
        <f>IF(COUNTIF(tblSeverityAnalysis[[#This Row],[SAMV]:[ASH]], 3)=0, "", COUNTIF(tblSeverityAnalysis[[#This Row],[SAMV]:[ASH]], 3))</f>
        <v>3</v>
      </c>
      <c r="T30" s="325">
        <f>IF(COUNTIF(tblSeverityAnalysis[[#This Row],[SAMV]:[ASH]], 4)=0, "", COUNTIF(tblSeverityAnalysis[[#This Row],[SAMV]:[ASH]], 4))</f>
        <v>1</v>
      </c>
      <c r="U30" s="383" t="str">
        <f>IF(COUNTIF(tblSeverityAnalysis[[#This Row],[SAMV]:[ASH]], 5)=0, "", COUNTIF(tblSeverityAnalysis[[#This Row],[SAMV]:[ASH]], 5))</f>
        <v/>
      </c>
      <c r="V30" s="375" cm="1">
        <f t="array" ref="V3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0" s="237" t="str">
        <f>IFERROR(IF(INDEX(tblSeverityReference[Severidad de la desnutrición],MATCH(tblSeverityAnalysis[[#This Row],[ID]], tblSeverityReference[ID], 0))= "", "",INDEX(tblSeverityReference[Severidad de la desnutrición],MATCH(tblSeverityAnalysis[[#This Row],[ID]], tblSeverityReference[ID], 0)) ), "")</f>
        <v/>
      </c>
      <c r="Y30" s="349" t="str">
        <f>IFERROR(IF(INDEX(tblSeverityReference[Severidad epidémica],MATCH(tblSeverityAnalysis[[#This Row],[ID]], tblSeverityReference[ID], 0))= "", "",INDEX(tblSeverityReference[Severidad epidémica],MATCH(tblSeverityAnalysis[[#This Row],[ID]], tblSeverityReference[ID], 0)) ), "")</f>
        <v/>
      </c>
      <c r="Z3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0" s="391" t="str">
        <f>IFERROR(IF(INDEX(tblSeverityReference[HR/IHL Violation],MATCH(tblSeverityAnalysis[[#This Row],[ID]], tblSeverityReference[ID], 0))= "", "",INDEX(tblSeverityReference[HR/IHL Violation],MATCH(tblSeverityAnalysis[[#This Row],[ID]], tblSeverityReference[ID], 0)) ), "")</f>
        <v/>
      </c>
      <c r="AB30" s="397">
        <f>IFERROR(AVERAGE(tblSeverityAnalysis[[#This Row],[SAMV]:[ASH]]), "")</f>
        <v>2.6666666666666665</v>
      </c>
      <c r="AC30" s="346">
        <f>IF(SUM(tblSeverityAnalysis[[#This Row],[SAMV]:[ASH]])=0, "", MAX(tblSeverityAnalysis[[#This Row],[SAMV]:[ASH]]))</f>
        <v>4</v>
      </c>
      <c r="AD30" s="261" t="str" cm="1">
        <f t="array" ref="AD30">IFERROR(IF(tblSeverityAnalysis[[#This Row],[Severidad máxima]]="", "", _xlfn.TEXTJOIN(CHAR(10), TRUE, IF(tblSeverityAnalysis[[#This Row],[SAMV]:[ASH]]=tblSeverityAnalysis[[#This Row],[Severidad máxima]], tblSeverityAnalysis[[#Headers],[SAMV]:[ASH]], ""), "")), "")</f>
        <v>SAL</v>
      </c>
      <c r="AE30" s="346" cm="1">
        <f t="array" ref="AE30">IFERROR(MAX(_xlfn._xlws.FILTER(tblSeverityAnalysis[[#This Row],[SAMV]:[ASH]], tblSeverityAnalysis[[#This Row],[SAMV]:[ASH]]&lt;tblSeverityAnalysis[[#This Row],[Severidad máxima]])), "")</f>
        <v>3</v>
      </c>
      <c r="AF30" s="398" t="str" cm="1">
        <f t="array" ref="AF30">IFERROR(IF(tblSeverityAnalysis[[#This Row],[2ª mayor severidad]]="", "", _xlfn.TEXTJOIN(CHAR(10), TRUE, IF(tblSeverityAnalysis[[#This Row],[SAMV]:[ASH]]=tblSeverityAnalysis[[#This Row],[2ª mayor severidad]], tblSeverityAnalysis[[#Headers],[SAMV]:[ASH]], ""), "")), "")</f>
        <v>SAMV
EDU
PRO</v>
      </c>
      <c r="AG30" s="405" t="str">
        <f>IFERROR(IF(AND(tblSeverityAnalysis[[#This Row],[5]] &lt;&gt; "", tblSeverityAnalysis[[#This Row],[5]]&gt;=sectors_sev_5), "Flagged", ""), "")</f>
        <v/>
      </c>
      <c r="AH30" s="347" t="str">
        <f>IFERROR(IF(AND(tblSeverityAnalysis[[#This Row],[Severidad preliminar basada en la superposición de privaciones sectoriales]]=5, SUM(tblSeverityAnalysis[[#This Row],[ 1 ]:[ 4 ]])&gt;=sectors_sev_5), "Flagged", ""), "")</f>
        <v/>
      </c>
      <c r="AI30" s="348" t="str" cm="1">
        <f t="array" ref="AI3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0" s="350"/>
      <c r="AL30" s="351"/>
      <c r="AM30" s="350"/>
      <c r="AN30" s="407">
        <f>COUNTIF(tblSeverityAnalysis[[#This Row],[1 sectores en fase de severidad 5 '[modificar el umbral']]:[Marcador manual]], "Flagged")</f>
        <v>0</v>
      </c>
      <c r="AO30" s="418">
        <f>tblSeverityAnalysis[[#This Row],[Severidad preliminar basada en la superposición de privaciones sectoriales]]</f>
        <v>3</v>
      </c>
      <c r="AP30" s="417"/>
      <c r="AQ30" s="421" t="s">
        <v>876</v>
      </c>
      <c r="AR30" s="417">
        <v>3</v>
      </c>
    </row>
    <row r="31" spans="1:44" hidden="1">
      <c r="A3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VenezolanosVE0320</v>
      </c>
      <c r="B31" s="363" t="s">
        <v>119</v>
      </c>
      <c r="C31" s="323" t="s">
        <v>120</v>
      </c>
      <c r="D31" s="322" t="s">
        <v>159</v>
      </c>
      <c r="E31" s="323" t="s">
        <v>160</v>
      </c>
      <c r="F31" s="323"/>
      <c r="G31" s="324">
        <v>9768</v>
      </c>
      <c r="H31" s="324" t="s">
        <v>102</v>
      </c>
      <c r="I31" s="374">
        <v>3</v>
      </c>
      <c r="J31" s="237">
        <v>1</v>
      </c>
      <c r="K31" s="237">
        <v>3</v>
      </c>
      <c r="L31" s="237">
        <v>3</v>
      </c>
      <c r="M31" s="237">
        <v>2</v>
      </c>
      <c r="N31" s="237">
        <v>4</v>
      </c>
      <c r="O31" s="237">
        <v>2</v>
      </c>
      <c r="P31" s="237">
        <v>2</v>
      </c>
      <c r="Q31" s="382">
        <f>IF(COUNTIF(tblSeverityAnalysis[[#This Row],[SAMV]:[ASH]], 1)=0, "", COUNTIF(tblSeverityAnalysis[[#This Row],[SAMV]:[ASH]], 1))</f>
        <v>1</v>
      </c>
      <c r="R31" s="325">
        <f>IF(COUNTIF(tblSeverityAnalysis[[#This Row],[SAMV]:[ASH]], 2)=0, "", COUNTIF(tblSeverityAnalysis[[#This Row],[SAMV]:[ASH]], 2))</f>
        <v>1</v>
      </c>
      <c r="S31" s="325">
        <f>IF(COUNTIF(tblSeverityAnalysis[[#This Row],[SAMV]:[ASH]], 3)=0, "", COUNTIF(tblSeverityAnalysis[[#This Row],[SAMV]:[ASH]], 3))</f>
        <v>3</v>
      </c>
      <c r="T31" s="325">
        <f>IF(COUNTIF(tblSeverityAnalysis[[#This Row],[SAMV]:[ASH]], 4)=0, "", COUNTIF(tblSeverityAnalysis[[#This Row],[SAMV]:[ASH]], 4))</f>
        <v>1</v>
      </c>
      <c r="U31" s="383" t="str">
        <f>IF(COUNTIF(tblSeverityAnalysis[[#This Row],[SAMV]:[ASH]], 5)=0, "", COUNTIF(tblSeverityAnalysis[[#This Row],[SAMV]:[ASH]], 5))</f>
        <v/>
      </c>
      <c r="V31" s="375" cm="1">
        <f t="array" ref="V3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1" s="237" t="str">
        <f>IFERROR(IF(INDEX(tblSeverityReference[Severidad de la desnutrición],MATCH(tblSeverityAnalysis[[#This Row],[ID]], tblSeverityReference[ID], 0))= "", "",INDEX(tblSeverityReference[Severidad de la desnutrición],MATCH(tblSeverityAnalysis[[#This Row],[ID]], tblSeverityReference[ID], 0)) ), "")</f>
        <v/>
      </c>
      <c r="Y31" s="349" t="str">
        <f>IFERROR(IF(INDEX(tblSeverityReference[Severidad epidémica],MATCH(tblSeverityAnalysis[[#This Row],[ID]], tblSeverityReference[ID], 0))= "", "",INDEX(tblSeverityReference[Severidad epidémica],MATCH(tblSeverityAnalysis[[#This Row],[ID]], tblSeverityReference[ID], 0)) ), "")</f>
        <v/>
      </c>
      <c r="Z3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1" s="391" t="str">
        <f>IFERROR(IF(INDEX(tblSeverityReference[HR/IHL Violation],MATCH(tblSeverityAnalysis[[#This Row],[ID]], tblSeverityReference[ID], 0))= "", "",INDEX(tblSeverityReference[HR/IHL Violation],MATCH(tblSeverityAnalysis[[#This Row],[ID]], tblSeverityReference[ID], 0)) ), "")</f>
        <v/>
      </c>
      <c r="AB31" s="397">
        <f>IFERROR(AVERAGE(tblSeverityAnalysis[[#This Row],[SAMV]:[ASH]]), "")</f>
        <v>2.6666666666666665</v>
      </c>
      <c r="AC31" s="346">
        <f>IF(SUM(tblSeverityAnalysis[[#This Row],[SAMV]:[ASH]])=0, "", MAX(tblSeverityAnalysis[[#This Row],[SAMV]:[ASH]]))</f>
        <v>4</v>
      </c>
      <c r="AD31" s="261" t="str" cm="1">
        <f t="array" ref="AD31">IFERROR(IF(tblSeverityAnalysis[[#This Row],[Severidad máxima]]="", "", _xlfn.TEXTJOIN(CHAR(10), TRUE, IF(tblSeverityAnalysis[[#This Row],[SAMV]:[ASH]]=tblSeverityAnalysis[[#This Row],[Severidad máxima]], tblSeverityAnalysis[[#Headers],[SAMV]:[ASH]], ""), "")), "")</f>
        <v>ASH</v>
      </c>
      <c r="AE31" s="346" cm="1">
        <f t="array" ref="AE31">IFERROR(MAX(_xlfn._xlws.FILTER(tblSeverityAnalysis[[#This Row],[SAMV]:[ASH]], tblSeverityAnalysis[[#This Row],[SAMV]:[ASH]]&lt;tblSeverityAnalysis[[#This Row],[Severidad máxima]])), "")</f>
        <v>3</v>
      </c>
      <c r="AF31" s="398" t="str" cm="1">
        <f t="array" ref="AF31">IFERROR(IF(tblSeverityAnalysis[[#This Row],[2ª mayor severidad]]="", "", _xlfn.TEXTJOIN(CHAR(10), TRUE, IF(tblSeverityAnalysis[[#This Row],[SAMV]:[ASH]]=tblSeverityAnalysis[[#This Row],[2ª mayor severidad]], tblSeverityAnalysis[[#Headers],[SAMV]:[ASH]], ""), "")), "")</f>
        <v>SAMV
SAL
EDU</v>
      </c>
      <c r="AG31" s="405" t="str">
        <f>IFERROR(IF(AND(tblSeverityAnalysis[[#This Row],[5]] &lt;&gt; "", tblSeverityAnalysis[[#This Row],[5]]&gt;=sectors_sev_5), "Flagged", ""), "")</f>
        <v/>
      </c>
      <c r="AH31" s="347" t="str">
        <f>IFERROR(IF(AND(tblSeverityAnalysis[[#This Row],[Severidad preliminar basada en la superposición de privaciones sectoriales]]=5, SUM(tblSeverityAnalysis[[#This Row],[ 1 ]:[ 4 ]])&gt;=sectors_sev_5), "Flagged", ""), "")</f>
        <v/>
      </c>
      <c r="AI31" s="348" t="str" cm="1">
        <f t="array" ref="AI3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1" s="350"/>
      <c r="AL31" s="351"/>
      <c r="AM31" s="350"/>
      <c r="AN31" s="407">
        <f>COUNTIF(tblSeverityAnalysis[[#This Row],[1 sectores en fase de severidad 5 '[modificar el umbral']]:[Marcador manual]], "Flagged")</f>
        <v>0</v>
      </c>
      <c r="AO31" s="418">
        <f>tblSeverityAnalysis[[#This Row],[Severidad preliminar basada en la superposición de privaciones sectoriales]]</f>
        <v>3</v>
      </c>
      <c r="AP31" s="417"/>
      <c r="AQ31" s="421" t="s">
        <v>876</v>
      </c>
      <c r="AR31" s="417">
        <v>4</v>
      </c>
    </row>
    <row r="32" spans="1:44" hidden="1">
      <c r="A3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VenezolanosVE0321</v>
      </c>
      <c r="B32" s="363" t="s">
        <v>119</v>
      </c>
      <c r="C32" s="323" t="s">
        <v>120</v>
      </c>
      <c r="D32" s="322" t="s">
        <v>161</v>
      </c>
      <c r="E32" s="323" t="s">
        <v>162</v>
      </c>
      <c r="F32" s="323"/>
      <c r="G32" s="324">
        <v>37829</v>
      </c>
      <c r="H32" s="324" t="s">
        <v>102</v>
      </c>
      <c r="I32" s="374">
        <v>3</v>
      </c>
      <c r="J32" s="237">
        <v>1</v>
      </c>
      <c r="K32" s="237">
        <v>3</v>
      </c>
      <c r="L32" s="237">
        <v>4</v>
      </c>
      <c r="M32" s="237">
        <v>4</v>
      </c>
      <c r="N32" s="237">
        <v>2</v>
      </c>
      <c r="O32" s="237">
        <v>4</v>
      </c>
      <c r="P32" s="237">
        <v>4</v>
      </c>
      <c r="Q32" s="382">
        <f>IF(COUNTIF(tblSeverityAnalysis[[#This Row],[SAMV]:[ASH]], 1)=0, "", COUNTIF(tblSeverityAnalysis[[#This Row],[SAMV]:[ASH]], 1))</f>
        <v>1</v>
      </c>
      <c r="R32" s="325">
        <f>IF(COUNTIF(tblSeverityAnalysis[[#This Row],[SAMV]:[ASH]], 2)=0, "", COUNTIF(tblSeverityAnalysis[[#This Row],[SAMV]:[ASH]], 2))</f>
        <v>1</v>
      </c>
      <c r="S32" s="325">
        <f>IF(COUNTIF(tblSeverityAnalysis[[#This Row],[SAMV]:[ASH]], 3)=0, "", COUNTIF(tblSeverityAnalysis[[#This Row],[SAMV]:[ASH]], 3))</f>
        <v>2</v>
      </c>
      <c r="T32" s="325">
        <f>IF(COUNTIF(tblSeverityAnalysis[[#This Row],[SAMV]:[ASH]], 4)=0, "", COUNTIF(tblSeverityAnalysis[[#This Row],[SAMV]:[ASH]], 4))</f>
        <v>2</v>
      </c>
      <c r="U32" s="383" t="str">
        <f>IF(COUNTIF(tblSeverityAnalysis[[#This Row],[SAMV]:[ASH]], 5)=0, "", COUNTIF(tblSeverityAnalysis[[#This Row],[SAMV]:[ASH]], 5))</f>
        <v/>
      </c>
      <c r="V32" s="375" cm="1">
        <f t="array" ref="V3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2" s="237" t="str">
        <f>IFERROR(IF(INDEX(tblSeverityReference[Severidad de la desnutrición],MATCH(tblSeverityAnalysis[[#This Row],[ID]], tblSeverityReference[ID], 0))= "", "",INDEX(tblSeverityReference[Severidad de la desnutrición],MATCH(tblSeverityAnalysis[[#This Row],[ID]], tblSeverityReference[ID], 0)) ), "")</f>
        <v/>
      </c>
      <c r="Y32" s="349" t="str">
        <f>IFERROR(IF(INDEX(tblSeverityReference[Severidad epidémica],MATCH(tblSeverityAnalysis[[#This Row],[ID]], tblSeverityReference[ID], 0))= "", "",INDEX(tblSeverityReference[Severidad epidémica],MATCH(tblSeverityAnalysis[[#This Row],[ID]], tblSeverityReference[ID], 0)) ), "")</f>
        <v/>
      </c>
      <c r="Z3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2" s="391" t="str">
        <f>IFERROR(IF(INDEX(tblSeverityReference[HR/IHL Violation],MATCH(tblSeverityAnalysis[[#This Row],[ID]], tblSeverityReference[ID], 0))= "", "",INDEX(tblSeverityReference[HR/IHL Violation],MATCH(tblSeverityAnalysis[[#This Row],[ID]], tblSeverityReference[ID], 0)) ), "")</f>
        <v/>
      </c>
      <c r="AB32" s="397">
        <f>IFERROR(AVERAGE(tblSeverityAnalysis[[#This Row],[SAMV]:[ASH]]), "")</f>
        <v>2.8333333333333335</v>
      </c>
      <c r="AC32" s="346">
        <f>IF(SUM(tblSeverityAnalysis[[#This Row],[SAMV]:[ASH]])=0, "", MAX(tblSeverityAnalysis[[#This Row],[SAMV]:[ASH]]))</f>
        <v>4</v>
      </c>
      <c r="AD32" s="261" t="str" cm="1">
        <f t="array" ref="AD32">IFERROR(IF(tblSeverityAnalysis[[#This Row],[Severidad máxima]]="", "", _xlfn.TEXTJOIN(CHAR(10), TRUE, IF(tblSeverityAnalysis[[#This Row],[SAMV]:[ASH]]=tblSeverityAnalysis[[#This Row],[Severidad máxima]], tblSeverityAnalysis[[#Headers],[SAMV]:[ASH]], ""), "")), "")</f>
        <v>EDU
PRO</v>
      </c>
      <c r="AE32" s="346" cm="1">
        <f t="array" ref="AE32">IFERROR(MAX(_xlfn._xlws.FILTER(tblSeverityAnalysis[[#This Row],[SAMV]:[ASH]], tblSeverityAnalysis[[#This Row],[SAMV]:[ASH]]&lt;tblSeverityAnalysis[[#This Row],[Severidad máxima]])), "")</f>
        <v>3</v>
      </c>
      <c r="AF32" s="398" t="str" cm="1">
        <f t="array" ref="AF32">IFERROR(IF(tblSeverityAnalysis[[#This Row],[2ª mayor severidad]]="", "", _xlfn.TEXTJOIN(CHAR(10), TRUE, IF(tblSeverityAnalysis[[#This Row],[SAMV]:[ASH]]=tblSeverityAnalysis[[#This Row],[2ª mayor severidad]], tblSeverityAnalysis[[#Headers],[SAMV]:[ASH]], ""), "")), "")</f>
        <v>SAMV
SAL</v>
      </c>
      <c r="AG32" s="405" t="str">
        <f>IFERROR(IF(AND(tblSeverityAnalysis[[#This Row],[5]] &lt;&gt; "", tblSeverityAnalysis[[#This Row],[5]]&gt;=sectors_sev_5), "Flagged", ""), "")</f>
        <v/>
      </c>
      <c r="AH32" s="347" t="str">
        <f>IFERROR(IF(AND(tblSeverityAnalysis[[#This Row],[Severidad preliminar basada en la superposición de privaciones sectoriales]]=5, SUM(tblSeverityAnalysis[[#This Row],[ 1 ]:[ 4 ]])&gt;=sectors_sev_5), "Flagged", ""), "")</f>
        <v/>
      </c>
      <c r="AI32" s="348" t="str" cm="1">
        <f t="array" ref="AI3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2" s="350"/>
      <c r="AL32" s="351"/>
      <c r="AM32" s="350"/>
      <c r="AN32" s="407">
        <f>COUNTIF(tblSeverityAnalysis[[#This Row],[1 sectores en fase de severidad 5 '[modificar el umbral']]:[Marcador manual]], "Flagged")</f>
        <v>0</v>
      </c>
      <c r="AO32" s="418">
        <f>tblSeverityAnalysis[[#This Row],[Severidad preliminar basada en la superposición de privaciones sectoriales]]</f>
        <v>3</v>
      </c>
      <c r="AP32" s="417"/>
      <c r="AQ32" s="421" t="s">
        <v>876</v>
      </c>
      <c r="AR32" s="417">
        <v>3</v>
      </c>
    </row>
    <row r="33" spans="1:44" hidden="1">
      <c r="A3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VenezolanosVE0401</v>
      </c>
      <c r="B33" s="363" t="s">
        <v>163</v>
      </c>
      <c r="C33" s="323" t="s">
        <v>164</v>
      </c>
      <c r="D33" s="322" t="s">
        <v>165</v>
      </c>
      <c r="E33" s="323" t="s">
        <v>166</v>
      </c>
      <c r="F33" s="323"/>
      <c r="G33" s="324">
        <v>58516</v>
      </c>
      <c r="H33" s="324" t="s">
        <v>102</v>
      </c>
      <c r="I33" s="374">
        <v>4</v>
      </c>
      <c r="J33" s="237">
        <v>2</v>
      </c>
      <c r="K33" s="237">
        <v>4</v>
      </c>
      <c r="L33" s="237">
        <v>3</v>
      </c>
      <c r="M33" s="237">
        <v>4</v>
      </c>
      <c r="N33" s="237">
        <v>4</v>
      </c>
      <c r="O33" s="237">
        <v>4</v>
      </c>
      <c r="P33" s="237">
        <v>4</v>
      </c>
      <c r="Q33" s="382" t="str">
        <f>IF(COUNTIF(tblSeverityAnalysis[[#This Row],[SAMV]:[ASH]], 1)=0, "", COUNTIF(tblSeverityAnalysis[[#This Row],[SAMV]:[ASH]], 1))</f>
        <v/>
      </c>
      <c r="R33" s="325">
        <f>IF(COUNTIF(tblSeverityAnalysis[[#This Row],[SAMV]:[ASH]], 2)=0, "", COUNTIF(tblSeverityAnalysis[[#This Row],[SAMV]:[ASH]], 2))</f>
        <v>1</v>
      </c>
      <c r="S33" s="325">
        <f>IF(COUNTIF(tblSeverityAnalysis[[#This Row],[SAMV]:[ASH]], 3)=0, "", COUNTIF(tblSeverityAnalysis[[#This Row],[SAMV]:[ASH]], 3))</f>
        <v>1</v>
      </c>
      <c r="T33" s="325">
        <f>IF(COUNTIF(tblSeverityAnalysis[[#This Row],[SAMV]:[ASH]], 4)=0, "", COUNTIF(tblSeverityAnalysis[[#This Row],[SAMV]:[ASH]], 4))</f>
        <v>4</v>
      </c>
      <c r="U33" s="383" t="str">
        <f>IF(COUNTIF(tblSeverityAnalysis[[#This Row],[SAMV]:[ASH]], 5)=0, "", COUNTIF(tblSeverityAnalysis[[#This Row],[SAMV]:[ASH]], 5))</f>
        <v/>
      </c>
      <c r="V33" s="375" cm="1">
        <f t="array" ref="V3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3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3" s="237" t="str">
        <f>IFERROR(IF(INDEX(tblSeverityReference[Severidad de la desnutrición],MATCH(tblSeverityAnalysis[[#This Row],[ID]], tblSeverityReference[ID], 0))= "", "",INDEX(tblSeverityReference[Severidad de la desnutrición],MATCH(tblSeverityAnalysis[[#This Row],[ID]], tblSeverityReference[ID], 0)) ), "")</f>
        <v/>
      </c>
      <c r="Y33" s="349" t="str">
        <f>IFERROR(IF(INDEX(tblSeverityReference[Severidad epidémica],MATCH(tblSeverityAnalysis[[#This Row],[ID]], tblSeverityReference[ID], 0))= "", "",INDEX(tblSeverityReference[Severidad epidémica],MATCH(tblSeverityAnalysis[[#This Row],[ID]], tblSeverityReference[ID], 0)) ), "")</f>
        <v/>
      </c>
      <c r="Z3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3" s="391" t="str">
        <f>IFERROR(IF(INDEX(tblSeverityReference[HR/IHL Violation],MATCH(tblSeverityAnalysis[[#This Row],[ID]], tblSeverityReference[ID], 0))= "", "",INDEX(tblSeverityReference[HR/IHL Violation],MATCH(tblSeverityAnalysis[[#This Row],[ID]], tblSeverityReference[ID], 0)) ), "")</f>
        <v/>
      </c>
      <c r="AB33" s="397">
        <f>IFERROR(AVERAGE(tblSeverityAnalysis[[#This Row],[SAMV]:[ASH]]), "")</f>
        <v>3.5</v>
      </c>
      <c r="AC33" s="346">
        <f>IF(SUM(tblSeverityAnalysis[[#This Row],[SAMV]:[ASH]])=0, "", MAX(tblSeverityAnalysis[[#This Row],[SAMV]:[ASH]]))</f>
        <v>4</v>
      </c>
      <c r="AD33" s="261" t="str" cm="1">
        <f t="array" ref="AD33">IFERROR(IF(tblSeverityAnalysis[[#This Row],[Severidad máxima]]="", "", _xlfn.TEXTJOIN(CHAR(10), TRUE, IF(tblSeverityAnalysis[[#This Row],[SAMV]:[ASH]]=tblSeverityAnalysis[[#This Row],[Severidad máxima]], tblSeverityAnalysis[[#Headers],[SAMV]:[ASH]], ""), "")), "")</f>
        <v>SAMV
SAL
PRO
ASH</v>
      </c>
      <c r="AE33" s="346" cm="1">
        <f t="array" ref="AE33">IFERROR(MAX(_xlfn._xlws.FILTER(tblSeverityAnalysis[[#This Row],[SAMV]:[ASH]], tblSeverityAnalysis[[#This Row],[SAMV]:[ASH]]&lt;tblSeverityAnalysis[[#This Row],[Severidad máxima]])), "")</f>
        <v>3</v>
      </c>
      <c r="AF33" s="398" t="str" cm="1">
        <f t="array" ref="AF33">IFERROR(IF(tblSeverityAnalysis[[#This Row],[2ª mayor severidad]]="", "", _xlfn.TEXTJOIN(CHAR(10), TRUE, IF(tblSeverityAnalysis[[#This Row],[SAMV]:[ASH]]=tblSeverityAnalysis[[#This Row],[2ª mayor severidad]], tblSeverityAnalysis[[#Headers],[SAMV]:[ASH]], ""), "")), "")</f>
        <v>EDU</v>
      </c>
      <c r="AG33" s="405" t="str">
        <f>IFERROR(IF(AND(tblSeverityAnalysis[[#This Row],[5]] &lt;&gt; "", tblSeverityAnalysis[[#This Row],[5]]&gt;=sectors_sev_5), "Flagged", ""), "")</f>
        <v/>
      </c>
      <c r="AH33" s="347" t="str">
        <f>IFERROR(IF(AND(tblSeverityAnalysis[[#This Row],[Severidad preliminar basada en la superposición de privaciones sectoriales]]=5, SUM(tblSeverityAnalysis[[#This Row],[ 1 ]:[ 4 ]])&gt;=sectors_sev_5), "Flagged", ""), "")</f>
        <v/>
      </c>
      <c r="AI33" s="348" t="str" cm="1">
        <f t="array" ref="AI3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3" s="350"/>
      <c r="AL33" s="351"/>
      <c r="AM33" s="350"/>
      <c r="AN33" s="407">
        <f>COUNTIF(tblSeverityAnalysis[[#This Row],[1 sectores en fase de severidad 5 '[modificar el umbral']]:[Marcador manual]], "Flagged")</f>
        <v>0</v>
      </c>
      <c r="AO33" s="418">
        <f>tblSeverityAnalysis[[#This Row],[Severidad preliminar basada en la superposición de privaciones sectoriales]]</f>
        <v>4</v>
      </c>
      <c r="AP33" s="417"/>
      <c r="AQ33" s="421" t="s">
        <v>875</v>
      </c>
      <c r="AR33" s="417">
        <v>4</v>
      </c>
    </row>
    <row r="34" spans="1:44" hidden="1">
      <c r="A3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VenezolanosVE0402</v>
      </c>
      <c r="B34" s="363" t="s">
        <v>163</v>
      </c>
      <c r="C34" s="323" t="s">
        <v>164</v>
      </c>
      <c r="D34" s="322" t="s">
        <v>167</v>
      </c>
      <c r="E34" s="323" t="s">
        <v>168</v>
      </c>
      <c r="F34" s="323"/>
      <c r="G34" s="324">
        <v>54323</v>
      </c>
      <c r="H34" s="324" t="s">
        <v>102</v>
      </c>
      <c r="I34" s="374">
        <v>4</v>
      </c>
      <c r="J34" s="237">
        <v>3</v>
      </c>
      <c r="K34" s="237">
        <v>4</v>
      </c>
      <c r="L34" s="237">
        <v>4</v>
      </c>
      <c r="M34" s="237">
        <v>4</v>
      </c>
      <c r="N34" s="237">
        <v>4</v>
      </c>
      <c r="O34" s="237">
        <v>4</v>
      </c>
      <c r="P34" s="237">
        <v>4</v>
      </c>
      <c r="Q34" s="382" t="str">
        <f>IF(COUNTIF(tblSeverityAnalysis[[#This Row],[SAMV]:[ASH]], 1)=0, "", COUNTIF(tblSeverityAnalysis[[#This Row],[SAMV]:[ASH]], 1))</f>
        <v/>
      </c>
      <c r="R34" s="325" t="str">
        <f>IF(COUNTIF(tblSeverityAnalysis[[#This Row],[SAMV]:[ASH]], 2)=0, "", COUNTIF(tblSeverityAnalysis[[#This Row],[SAMV]:[ASH]], 2))</f>
        <v/>
      </c>
      <c r="S34" s="325">
        <f>IF(COUNTIF(tblSeverityAnalysis[[#This Row],[SAMV]:[ASH]], 3)=0, "", COUNTIF(tblSeverityAnalysis[[#This Row],[SAMV]:[ASH]], 3))</f>
        <v>1</v>
      </c>
      <c r="T34" s="325">
        <f>IF(COUNTIF(tblSeverityAnalysis[[#This Row],[SAMV]:[ASH]], 4)=0, "", COUNTIF(tblSeverityAnalysis[[#This Row],[SAMV]:[ASH]], 4))</f>
        <v>5</v>
      </c>
      <c r="U34" s="383" t="str">
        <f>IF(COUNTIF(tblSeverityAnalysis[[#This Row],[SAMV]:[ASH]], 5)=0, "", COUNTIF(tblSeverityAnalysis[[#This Row],[SAMV]:[ASH]], 5))</f>
        <v/>
      </c>
      <c r="V34" s="375" cm="1">
        <f t="array" ref="V3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3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4" s="237" t="str">
        <f>IFERROR(IF(INDEX(tblSeverityReference[Severidad de la desnutrición],MATCH(tblSeverityAnalysis[[#This Row],[ID]], tblSeverityReference[ID], 0))= "", "",INDEX(tblSeverityReference[Severidad de la desnutrición],MATCH(tblSeverityAnalysis[[#This Row],[ID]], tblSeverityReference[ID], 0)) ), "")</f>
        <v/>
      </c>
      <c r="Y34" s="349" t="str">
        <f>IFERROR(IF(INDEX(tblSeverityReference[Severidad epidémica],MATCH(tblSeverityAnalysis[[#This Row],[ID]], tblSeverityReference[ID], 0))= "", "",INDEX(tblSeverityReference[Severidad epidémica],MATCH(tblSeverityAnalysis[[#This Row],[ID]], tblSeverityReference[ID], 0)) ), "")</f>
        <v/>
      </c>
      <c r="Z3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4" s="391" t="str">
        <f>IFERROR(IF(INDEX(tblSeverityReference[HR/IHL Violation],MATCH(tblSeverityAnalysis[[#This Row],[ID]], tblSeverityReference[ID], 0))= "", "",INDEX(tblSeverityReference[HR/IHL Violation],MATCH(tblSeverityAnalysis[[#This Row],[ID]], tblSeverityReference[ID], 0)) ), "")</f>
        <v/>
      </c>
      <c r="AB34" s="397">
        <f>IFERROR(AVERAGE(tblSeverityAnalysis[[#This Row],[SAMV]:[ASH]]), "")</f>
        <v>3.8333333333333335</v>
      </c>
      <c r="AC34" s="346">
        <f>IF(SUM(tblSeverityAnalysis[[#This Row],[SAMV]:[ASH]])=0, "", MAX(tblSeverityAnalysis[[#This Row],[SAMV]:[ASH]]))</f>
        <v>4</v>
      </c>
      <c r="AD34" s="261" t="str" cm="1">
        <f t="array" ref="AD34">IFERROR(IF(tblSeverityAnalysis[[#This Row],[Severidad máxima]]="", "", _xlfn.TEXTJOIN(CHAR(10), TRUE, IF(tblSeverityAnalysis[[#This Row],[SAMV]:[ASH]]=tblSeverityAnalysis[[#This Row],[Severidad máxima]], tblSeverityAnalysis[[#Headers],[SAMV]:[ASH]], ""), "")), "")</f>
        <v>SAMV
SAL
EDU
PRO
ASH</v>
      </c>
      <c r="AE34" s="346" cm="1">
        <f t="array" ref="AE34">IFERROR(MAX(_xlfn._xlws.FILTER(tblSeverityAnalysis[[#This Row],[SAMV]:[ASH]], tblSeverityAnalysis[[#This Row],[SAMV]:[ASH]]&lt;tblSeverityAnalysis[[#This Row],[Severidad máxima]])), "")</f>
        <v>3</v>
      </c>
      <c r="AF34" s="398" t="str" cm="1">
        <f t="array" ref="AF34">IFERROR(IF(tblSeverityAnalysis[[#This Row],[2ª mayor severidad]]="", "", _xlfn.TEXTJOIN(CHAR(10), TRUE, IF(tblSeverityAnalysis[[#This Row],[SAMV]:[ASH]]=tblSeverityAnalysis[[#This Row],[2ª mayor severidad]], tblSeverityAnalysis[[#Headers],[SAMV]:[ASH]], ""), "")), "")</f>
        <v>NUT</v>
      </c>
      <c r="AG34" s="405" t="str">
        <f>IFERROR(IF(AND(tblSeverityAnalysis[[#This Row],[5]] &lt;&gt; "", tblSeverityAnalysis[[#This Row],[5]]&gt;=sectors_sev_5), "Flagged", ""), "")</f>
        <v/>
      </c>
      <c r="AH34" s="347" t="str">
        <f>IFERROR(IF(AND(tblSeverityAnalysis[[#This Row],[Severidad preliminar basada en la superposición de privaciones sectoriales]]=5, SUM(tblSeverityAnalysis[[#This Row],[ 1 ]:[ 4 ]])&gt;=sectors_sev_5), "Flagged", ""), "")</f>
        <v/>
      </c>
      <c r="AI34" s="348" t="str" cm="1">
        <f t="array" ref="AI3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4" s="350"/>
      <c r="AL34" s="351"/>
      <c r="AM34" s="350"/>
      <c r="AN34" s="407">
        <f>COUNTIF(tblSeverityAnalysis[[#This Row],[1 sectores en fase de severidad 5 '[modificar el umbral']]:[Marcador manual]], "Flagged")</f>
        <v>0</v>
      </c>
      <c r="AO34" s="418">
        <f>tblSeverityAnalysis[[#This Row],[Severidad preliminar basada en la superposición de privaciones sectoriales]]</f>
        <v>4</v>
      </c>
      <c r="AP34" s="417"/>
      <c r="AQ34" s="421" t="s">
        <v>876</v>
      </c>
      <c r="AR34" s="417">
        <v>4</v>
      </c>
    </row>
    <row r="35" spans="1:44" hidden="1">
      <c r="A3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VenezolanosVE0403</v>
      </c>
      <c r="B35" s="363" t="s">
        <v>163</v>
      </c>
      <c r="C35" s="323" t="s">
        <v>164</v>
      </c>
      <c r="D35" s="322" t="s">
        <v>169</v>
      </c>
      <c r="E35" s="323" t="s">
        <v>170</v>
      </c>
      <c r="F35" s="323"/>
      <c r="G35" s="324">
        <v>27542</v>
      </c>
      <c r="H35" s="324" t="s">
        <v>102</v>
      </c>
      <c r="I35" s="374">
        <v>4</v>
      </c>
      <c r="J35" s="237">
        <v>2</v>
      </c>
      <c r="K35" s="237">
        <v>3</v>
      </c>
      <c r="L35" s="237">
        <v>3</v>
      </c>
      <c r="M35" s="237">
        <v>4</v>
      </c>
      <c r="N35" s="237">
        <v>4</v>
      </c>
      <c r="O35" s="237">
        <v>4</v>
      </c>
      <c r="P35" s="237">
        <v>4</v>
      </c>
      <c r="Q35" s="382" t="str">
        <f>IF(COUNTIF(tblSeverityAnalysis[[#This Row],[SAMV]:[ASH]], 1)=0, "", COUNTIF(tblSeverityAnalysis[[#This Row],[SAMV]:[ASH]], 1))</f>
        <v/>
      </c>
      <c r="R35" s="325">
        <f>IF(COUNTIF(tblSeverityAnalysis[[#This Row],[SAMV]:[ASH]], 2)=0, "", COUNTIF(tblSeverityAnalysis[[#This Row],[SAMV]:[ASH]], 2))</f>
        <v>1</v>
      </c>
      <c r="S35" s="325">
        <f>IF(COUNTIF(tblSeverityAnalysis[[#This Row],[SAMV]:[ASH]], 3)=0, "", COUNTIF(tblSeverityAnalysis[[#This Row],[SAMV]:[ASH]], 3))</f>
        <v>2</v>
      </c>
      <c r="T35" s="325">
        <f>IF(COUNTIF(tblSeverityAnalysis[[#This Row],[SAMV]:[ASH]], 4)=0, "", COUNTIF(tblSeverityAnalysis[[#This Row],[SAMV]:[ASH]], 4))</f>
        <v>3</v>
      </c>
      <c r="U35" s="383" t="str">
        <f>IF(COUNTIF(tblSeverityAnalysis[[#This Row],[SAMV]:[ASH]], 5)=0, "", COUNTIF(tblSeverityAnalysis[[#This Row],[SAMV]:[ASH]], 5))</f>
        <v/>
      </c>
      <c r="V35" s="375" cm="1">
        <f t="array" ref="V3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5" s="237" t="str">
        <f>IFERROR(IF(INDEX(tblSeverityReference[Severidad de la desnutrición],MATCH(tblSeverityAnalysis[[#This Row],[ID]], tblSeverityReference[ID], 0))= "", "",INDEX(tblSeverityReference[Severidad de la desnutrición],MATCH(tblSeverityAnalysis[[#This Row],[ID]], tblSeverityReference[ID], 0)) ), "")</f>
        <v/>
      </c>
      <c r="Y35" s="349" t="str">
        <f>IFERROR(IF(INDEX(tblSeverityReference[Severidad epidémica],MATCH(tblSeverityAnalysis[[#This Row],[ID]], tblSeverityReference[ID], 0))= "", "",INDEX(tblSeverityReference[Severidad epidémica],MATCH(tblSeverityAnalysis[[#This Row],[ID]], tblSeverityReference[ID], 0)) ), "")</f>
        <v/>
      </c>
      <c r="Z3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5" s="391" t="str">
        <f>IFERROR(IF(INDEX(tblSeverityReference[HR/IHL Violation],MATCH(tblSeverityAnalysis[[#This Row],[ID]], tblSeverityReference[ID], 0))= "", "",INDEX(tblSeverityReference[HR/IHL Violation],MATCH(tblSeverityAnalysis[[#This Row],[ID]], tblSeverityReference[ID], 0)) ), "")</f>
        <v/>
      </c>
      <c r="AB35" s="397">
        <f>IFERROR(AVERAGE(tblSeverityAnalysis[[#This Row],[SAMV]:[ASH]]), "")</f>
        <v>3.3333333333333335</v>
      </c>
      <c r="AC35" s="346">
        <f>IF(SUM(tblSeverityAnalysis[[#This Row],[SAMV]:[ASH]])=0, "", MAX(tblSeverityAnalysis[[#This Row],[SAMV]:[ASH]]))</f>
        <v>4</v>
      </c>
      <c r="AD35" s="261" t="str" cm="1">
        <f t="array" ref="AD35">IFERROR(IF(tblSeverityAnalysis[[#This Row],[Severidad máxima]]="", "", _xlfn.TEXTJOIN(CHAR(10), TRUE, IF(tblSeverityAnalysis[[#This Row],[SAMV]:[ASH]]=tblSeverityAnalysis[[#This Row],[Severidad máxima]], tblSeverityAnalysis[[#Headers],[SAMV]:[ASH]], ""), "")), "")</f>
        <v>SAMV
PRO
ASH</v>
      </c>
      <c r="AE35" s="346" cm="1">
        <f t="array" ref="AE35">IFERROR(MAX(_xlfn._xlws.FILTER(tblSeverityAnalysis[[#This Row],[SAMV]:[ASH]], tblSeverityAnalysis[[#This Row],[SAMV]:[ASH]]&lt;tblSeverityAnalysis[[#This Row],[Severidad máxima]])), "")</f>
        <v>3</v>
      </c>
      <c r="AF35" s="398" t="str" cm="1">
        <f t="array" ref="AF35">IFERROR(IF(tblSeverityAnalysis[[#This Row],[2ª mayor severidad]]="", "", _xlfn.TEXTJOIN(CHAR(10), TRUE, IF(tblSeverityAnalysis[[#This Row],[SAMV]:[ASH]]=tblSeverityAnalysis[[#This Row],[2ª mayor severidad]], tblSeverityAnalysis[[#Headers],[SAMV]:[ASH]], ""), "")), "")</f>
        <v>SAL
EDU</v>
      </c>
      <c r="AG35" s="405" t="str">
        <f>IFERROR(IF(AND(tblSeverityAnalysis[[#This Row],[5]] &lt;&gt; "", tblSeverityAnalysis[[#This Row],[5]]&gt;=sectors_sev_5), "Flagged", ""), "")</f>
        <v/>
      </c>
      <c r="AH35" s="347" t="str">
        <f>IFERROR(IF(AND(tblSeverityAnalysis[[#This Row],[Severidad preliminar basada en la superposición de privaciones sectoriales]]=5, SUM(tblSeverityAnalysis[[#This Row],[ 1 ]:[ 4 ]])&gt;=sectors_sev_5), "Flagged", ""), "")</f>
        <v/>
      </c>
      <c r="AI35" s="348" t="str" cm="1">
        <f t="array" ref="AI3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5" s="350"/>
      <c r="AL35" s="351"/>
      <c r="AM35" s="350"/>
      <c r="AN35" s="407">
        <f>COUNTIF(tblSeverityAnalysis[[#This Row],[1 sectores en fase de severidad 5 '[modificar el umbral']]:[Marcador manual]], "Flagged")</f>
        <v>0</v>
      </c>
      <c r="AO35" s="418">
        <f>tblSeverityAnalysis[[#This Row],[Severidad preliminar basada en la superposición de privaciones sectoriales]]</f>
        <v>3</v>
      </c>
      <c r="AP35" s="417"/>
      <c r="AQ35" s="421" t="s">
        <v>876</v>
      </c>
      <c r="AR35" s="417">
        <v>4</v>
      </c>
    </row>
    <row r="36" spans="1:44" hidden="1">
      <c r="A3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VenezolanosVE0404</v>
      </c>
      <c r="B36" s="363" t="s">
        <v>163</v>
      </c>
      <c r="C36" s="323" t="s">
        <v>164</v>
      </c>
      <c r="D36" s="322" t="s">
        <v>171</v>
      </c>
      <c r="E36" s="323" t="s">
        <v>172</v>
      </c>
      <c r="F36" s="323"/>
      <c r="G36" s="324">
        <v>100125</v>
      </c>
      <c r="H36" s="324" t="s">
        <v>102</v>
      </c>
      <c r="I36" s="374">
        <v>3</v>
      </c>
      <c r="J36" s="237">
        <v>3</v>
      </c>
      <c r="K36" s="237">
        <v>4</v>
      </c>
      <c r="L36" s="237">
        <v>4</v>
      </c>
      <c r="M36" s="237">
        <v>5</v>
      </c>
      <c r="N36" s="237">
        <v>2</v>
      </c>
      <c r="O36" s="237">
        <v>5</v>
      </c>
      <c r="P36" s="237">
        <v>5</v>
      </c>
      <c r="Q36" s="382" t="str">
        <f>IF(COUNTIF(tblSeverityAnalysis[[#This Row],[SAMV]:[ASH]], 1)=0, "", COUNTIF(tblSeverityAnalysis[[#This Row],[SAMV]:[ASH]], 1))</f>
        <v/>
      </c>
      <c r="R36" s="325">
        <f>IF(COUNTIF(tblSeverityAnalysis[[#This Row],[SAMV]:[ASH]], 2)=0, "", COUNTIF(tblSeverityAnalysis[[#This Row],[SAMV]:[ASH]], 2))</f>
        <v>1</v>
      </c>
      <c r="S36" s="325">
        <f>IF(COUNTIF(tblSeverityAnalysis[[#This Row],[SAMV]:[ASH]], 3)=0, "", COUNTIF(tblSeverityAnalysis[[#This Row],[SAMV]:[ASH]], 3))</f>
        <v>2</v>
      </c>
      <c r="T36" s="325">
        <f>IF(COUNTIF(tblSeverityAnalysis[[#This Row],[SAMV]:[ASH]], 4)=0, "", COUNTIF(tblSeverityAnalysis[[#This Row],[SAMV]:[ASH]], 4))</f>
        <v>2</v>
      </c>
      <c r="U36" s="383">
        <f>IF(COUNTIF(tblSeverityAnalysis[[#This Row],[SAMV]:[ASH]], 5)=0, "", COUNTIF(tblSeverityAnalysis[[#This Row],[SAMV]:[ASH]], 5))</f>
        <v>1</v>
      </c>
      <c r="V36" s="376">
        <v>4</v>
      </c>
      <c r="W3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6" s="237" t="str">
        <f>IFERROR(IF(INDEX(tblSeverityReference[Severidad de la desnutrición],MATCH(tblSeverityAnalysis[[#This Row],[ID]], tblSeverityReference[ID], 0))= "", "",INDEX(tblSeverityReference[Severidad de la desnutrición],MATCH(tblSeverityAnalysis[[#This Row],[ID]], tblSeverityReference[ID], 0)) ), "")</f>
        <v/>
      </c>
      <c r="Y36" s="349" t="str">
        <f>IFERROR(IF(INDEX(tblSeverityReference[Severidad epidémica],MATCH(tblSeverityAnalysis[[#This Row],[ID]], tblSeverityReference[ID], 0))= "", "",INDEX(tblSeverityReference[Severidad epidémica],MATCH(tblSeverityAnalysis[[#This Row],[ID]], tblSeverityReference[ID], 0)) ), "")</f>
        <v/>
      </c>
      <c r="Z3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6" s="391" t="str">
        <f>IFERROR(IF(INDEX(tblSeverityReference[HR/IHL Violation],MATCH(tblSeverityAnalysis[[#This Row],[ID]], tblSeverityReference[ID], 0))= "", "",INDEX(tblSeverityReference[HR/IHL Violation],MATCH(tblSeverityAnalysis[[#This Row],[ID]], tblSeverityReference[ID], 0)) ), "")</f>
        <v/>
      </c>
      <c r="AB36" s="397">
        <f>IFERROR(AVERAGE(tblSeverityAnalysis[[#This Row],[SAMV]:[ASH]]), "")</f>
        <v>3.5</v>
      </c>
      <c r="AC36" s="346">
        <f>IF(SUM(tblSeverityAnalysis[[#This Row],[SAMV]:[ASH]])=0, "", MAX(tblSeverityAnalysis[[#This Row],[SAMV]:[ASH]]))</f>
        <v>5</v>
      </c>
      <c r="AD36" s="261" t="str" cm="1">
        <f t="array" ref="AD36">IFERROR(IF(tblSeverityAnalysis[[#This Row],[Severidad máxima]]="", "", _xlfn.TEXTJOIN(CHAR(10), TRUE, IF(tblSeverityAnalysis[[#This Row],[SAMV]:[ASH]]=tblSeverityAnalysis[[#This Row],[Severidad máxima]], tblSeverityAnalysis[[#Headers],[SAMV]:[ASH]], ""), "")), "")</f>
        <v>PRO</v>
      </c>
      <c r="AE36" s="346" cm="1">
        <f t="array" ref="AE36">IFERROR(MAX(_xlfn._xlws.FILTER(tblSeverityAnalysis[[#This Row],[SAMV]:[ASH]], tblSeverityAnalysis[[#This Row],[SAMV]:[ASH]]&lt;tblSeverityAnalysis[[#This Row],[Severidad máxima]])), "")</f>
        <v>4</v>
      </c>
      <c r="AF36" s="398" t="str" cm="1">
        <f t="array" ref="AF36">IFERROR(IF(tblSeverityAnalysis[[#This Row],[2ª mayor severidad]]="", "", _xlfn.TEXTJOIN(CHAR(10), TRUE, IF(tblSeverityAnalysis[[#This Row],[SAMV]:[ASH]]=tblSeverityAnalysis[[#This Row],[2ª mayor severidad]], tblSeverityAnalysis[[#Headers],[SAMV]:[ASH]], ""), "")), "")</f>
        <v>SAL
EDU</v>
      </c>
      <c r="AG36" s="405" t="str">
        <f>IFERROR(IF(AND(tblSeverityAnalysis[[#This Row],[5]] &lt;&gt; "", tblSeverityAnalysis[[#This Row],[5]]&gt;=sectors_sev_5), "Flagged", ""), "")</f>
        <v/>
      </c>
      <c r="AH36" s="347" t="str">
        <f>IFERROR(IF(AND(tblSeverityAnalysis[[#This Row],[Severidad preliminar basada en la superposición de privaciones sectoriales]]=5, SUM(tblSeverityAnalysis[[#This Row],[ 1 ]:[ 4 ]])&gt;=sectors_sev_5), "Flagged", ""), "")</f>
        <v/>
      </c>
      <c r="AI36" s="348" t="str" cm="1">
        <f t="array" ref="AI3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6" s="350"/>
      <c r="AL36" s="351"/>
      <c r="AM36" s="350"/>
      <c r="AN36" s="407">
        <f>COUNTIF(tblSeverityAnalysis[[#This Row],[1 sectores en fase de severidad 5 '[modificar el umbral']]:[Marcador manual]], "Flagged")</f>
        <v>0</v>
      </c>
      <c r="AO36" s="418">
        <f>tblSeverityAnalysis[[#This Row],[Severidad preliminar basada en la superposición de privaciones sectoriales]]</f>
        <v>4</v>
      </c>
      <c r="AP36" s="417" t="s">
        <v>878</v>
      </c>
      <c r="AQ36" s="421" t="s">
        <v>875</v>
      </c>
      <c r="AR36" s="417">
        <v>4</v>
      </c>
    </row>
    <row r="37" spans="1:44" hidden="1">
      <c r="A3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VenezolanosVE0405</v>
      </c>
      <c r="B37" s="363" t="s">
        <v>163</v>
      </c>
      <c r="C37" s="323" t="s">
        <v>164</v>
      </c>
      <c r="D37" s="322" t="s">
        <v>173</v>
      </c>
      <c r="E37" s="323" t="s">
        <v>174</v>
      </c>
      <c r="F37" s="323"/>
      <c r="G37" s="324">
        <v>28966</v>
      </c>
      <c r="H37" s="324" t="s">
        <v>102</v>
      </c>
      <c r="I37" s="374">
        <v>3</v>
      </c>
      <c r="J37" s="237">
        <v>2</v>
      </c>
      <c r="K37" s="237">
        <v>4</v>
      </c>
      <c r="L37" s="237">
        <v>4</v>
      </c>
      <c r="M37" s="237">
        <v>5</v>
      </c>
      <c r="N37" s="237">
        <v>4</v>
      </c>
      <c r="O37" s="237">
        <v>5</v>
      </c>
      <c r="P37" s="237">
        <v>5</v>
      </c>
      <c r="Q37" s="382" t="str">
        <f>IF(COUNTIF(tblSeverityAnalysis[[#This Row],[SAMV]:[ASH]], 1)=0, "", COUNTIF(tblSeverityAnalysis[[#This Row],[SAMV]:[ASH]], 1))</f>
        <v/>
      </c>
      <c r="R37" s="325">
        <f>IF(COUNTIF(tblSeverityAnalysis[[#This Row],[SAMV]:[ASH]], 2)=0, "", COUNTIF(tblSeverityAnalysis[[#This Row],[SAMV]:[ASH]], 2))</f>
        <v>1</v>
      </c>
      <c r="S37" s="325">
        <f>IF(COUNTIF(tblSeverityAnalysis[[#This Row],[SAMV]:[ASH]], 3)=0, "", COUNTIF(tblSeverityAnalysis[[#This Row],[SAMV]:[ASH]], 3))</f>
        <v>1</v>
      </c>
      <c r="T37" s="325">
        <f>IF(COUNTIF(tblSeverityAnalysis[[#This Row],[SAMV]:[ASH]], 4)=0, "", COUNTIF(tblSeverityAnalysis[[#This Row],[SAMV]:[ASH]], 4))</f>
        <v>3</v>
      </c>
      <c r="U37" s="383">
        <f>IF(COUNTIF(tblSeverityAnalysis[[#This Row],[SAMV]:[ASH]], 5)=0, "", COUNTIF(tblSeverityAnalysis[[#This Row],[SAMV]:[ASH]], 5))</f>
        <v>1</v>
      </c>
      <c r="V37" s="375" cm="1">
        <f t="array" ref="V3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3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7" s="237" t="str">
        <f>IFERROR(IF(INDEX(tblSeverityReference[Severidad de la desnutrición],MATCH(tblSeverityAnalysis[[#This Row],[ID]], tblSeverityReference[ID], 0))= "", "",INDEX(tblSeverityReference[Severidad de la desnutrición],MATCH(tblSeverityAnalysis[[#This Row],[ID]], tblSeverityReference[ID], 0)) ), "")</f>
        <v/>
      </c>
      <c r="Y37" s="349" t="str">
        <f>IFERROR(IF(INDEX(tblSeverityReference[Severidad epidémica],MATCH(tblSeverityAnalysis[[#This Row],[ID]], tblSeverityReference[ID], 0))= "", "",INDEX(tblSeverityReference[Severidad epidémica],MATCH(tblSeverityAnalysis[[#This Row],[ID]], tblSeverityReference[ID], 0)) ), "")</f>
        <v/>
      </c>
      <c r="Z3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7" s="391" t="str">
        <f>IFERROR(IF(INDEX(tblSeverityReference[HR/IHL Violation],MATCH(tblSeverityAnalysis[[#This Row],[ID]], tblSeverityReference[ID], 0))= "", "",INDEX(tblSeverityReference[HR/IHL Violation],MATCH(tblSeverityAnalysis[[#This Row],[ID]], tblSeverityReference[ID], 0)) ), "")</f>
        <v/>
      </c>
      <c r="AB37" s="397">
        <f>IFERROR(AVERAGE(tblSeverityAnalysis[[#This Row],[SAMV]:[ASH]]), "")</f>
        <v>3.6666666666666665</v>
      </c>
      <c r="AC37" s="346">
        <f>IF(SUM(tblSeverityAnalysis[[#This Row],[SAMV]:[ASH]])=0, "", MAX(tblSeverityAnalysis[[#This Row],[SAMV]:[ASH]]))</f>
        <v>5</v>
      </c>
      <c r="AD37" s="261" t="str" cm="1">
        <f t="array" ref="AD37">IFERROR(IF(tblSeverityAnalysis[[#This Row],[Severidad máxima]]="", "", _xlfn.TEXTJOIN(CHAR(10), TRUE, IF(tblSeverityAnalysis[[#This Row],[SAMV]:[ASH]]=tblSeverityAnalysis[[#This Row],[Severidad máxima]], tblSeverityAnalysis[[#Headers],[SAMV]:[ASH]], ""), "")), "")</f>
        <v>PRO</v>
      </c>
      <c r="AE37" s="346" cm="1">
        <f t="array" ref="AE37">IFERROR(MAX(_xlfn._xlws.FILTER(tblSeverityAnalysis[[#This Row],[SAMV]:[ASH]], tblSeverityAnalysis[[#This Row],[SAMV]:[ASH]]&lt;tblSeverityAnalysis[[#This Row],[Severidad máxima]])), "")</f>
        <v>4</v>
      </c>
      <c r="AF37" s="398" t="str" cm="1">
        <f t="array" ref="AF37">IFERROR(IF(tblSeverityAnalysis[[#This Row],[2ª mayor severidad]]="", "", _xlfn.TEXTJOIN(CHAR(10), TRUE, IF(tblSeverityAnalysis[[#This Row],[SAMV]:[ASH]]=tblSeverityAnalysis[[#This Row],[2ª mayor severidad]], tblSeverityAnalysis[[#Headers],[SAMV]:[ASH]], ""), "")), "")</f>
        <v>SAL
EDU
ASH</v>
      </c>
      <c r="AG37" s="405" t="str">
        <f>IFERROR(IF(AND(tblSeverityAnalysis[[#This Row],[5]] &lt;&gt; "", tblSeverityAnalysis[[#This Row],[5]]&gt;=sectors_sev_5), "Flagged", ""), "")</f>
        <v/>
      </c>
      <c r="AH37" s="347" t="str">
        <f>IFERROR(IF(AND(tblSeverityAnalysis[[#This Row],[Severidad preliminar basada en la superposición de privaciones sectoriales]]=5, SUM(tblSeverityAnalysis[[#This Row],[ 1 ]:[ 4 ]])&gt;=sectors_sev_5), "Flagged", ""), "")</f>
        <v/>
      </c>
      <c r="AI37" s="348" t="str" cm="1">
        <f t="array" ref="AI3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7" s="350"/>
      <c r="AL37" s="351"/>
      <c r="AM37" s="350"/>
      <c r="AN37" s="407">
        <f>COUNTIF(tblSeverityAnalysis[[#This Row],[1 sectores en fase de severidad 5 '[modificar el umbral']]:[Marcador manual]], "Flagged")</f>
        <v>0</v>
      </c>
      <c r="AO37" s="418">
        <f>tblSeverityAnalysis[[#This Row],[Severidad preliminar basada en la superposición de privaciones sectoriales]]</f>
        <v>4</v>
      </c>
      <c r="AP37" s="417"/>
      <c r="AQ37" s="421" t="s">
        <v>875</v>
      </c>
      <c r="AR37" s="417">
        <v>4</v>
      </c>
    </row>
    <row r="38" spans="1:44" hidden="1">
      <c r="A3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VenezolanosVE0406</v>
      </c>
      <c r="B38" s="363" t="s">
        <v>163</v>
      </c>
      <c r="C38" s="323" t="s">
        <v>164</v>
      </c>
      <c r="D38" s="322" t="s">
        <v>175</v>
      </c>
      <c r="E38" s="323" t="s">
        <v>176</v>
      </c>
      <c r="F38" s="323"/>
      <c r="G38" s="324">
        <v>24418</v>
      </c>
      <c r="H38" s="324" t="s">
        <v>102</v>
      </c>
      <c r="I38" s="374">
        <v>4</v>
      </c>
      <c r="J38" s="237">
        <v>4</v>
      </c>
      <c r="K38" s="237">
        <v>4</v>
      </c>
      <c r="L38" s="237">
        <v>4</v>
      </c>
      <c r="M38" s="237">
        <v>4</v>
      </c>
      <c r="N38" s="237">
        <v>5</v>
      </c>
      <c r="O38" s="237">
        <v>4</v>
      </c>
      <c r="P38" s="237">
        <v>4</v>
      </c>
      <c r="Q38" s="382" t="str">
        <f>IF(COUNTIF(tblSeverityAnalysis[[#This Row],[SAMV]:[ASH]], 1)=0, "", COUNTIF(tblSeverityAnalysis[[#This Row],[SAMV]:[ASH]], 1))</f>
        <v/>
      </c>
      <c r="R38" s="325" t="str">
        <f>IF(COUNTIF(tblSeverityAnalysis[[#This Row],[SAMV]:[ASH]], 2)=0, "", COUNTIF(tblSeverityAnalysis[[#This Row],[SAMV]:[ASH]], 2))</f>
        <v/>
      </c>
      <c r="S38" s="325" t="str">
        <f>IF(COUNTIF(tblSeverityAnalysis[[#This Row],[SAMV]:[ASH]], 3)=0, "", COUNTIF(tblSeverityAnalysis[[#This Row],[SAMV]:[ASH]], 3))</f>
        <v/>
      </c>
      <c r="T38" s="325">
        <f>IF(COUNTIF(tblSeverityAnalysis[[#This Row],[SAMV]:[ASH]], 4)=0, "", COUNTIF(tblSeverityAnalysis[[#This Row],[SAMV]:[ASH]], 4))</f>
        <v>5</v>
      </c>
      <c r="U38" s="383">
        <f>IF(COUNTIF(tblSeverityAnalysis[[#This Row],[SAMV]:[ASH]], 5)=0, "", COUNTIF(tblSeverityAnalysis[[#This Row],[SAMV]:[ASH]], 5))</f>
        <v>1</v>
      </c>
      <c r="V38" s="375" cm="1">
        <f t="array" ref="V3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3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8" s="237" t="str">
        <f>IFERROR(IF(INDEX(tblSeverityReference[Severidad de la desnutrición],MATCH(tblSeverityAnalysis[[#This Row],[ID]], tblSeverityReference[ID], 0))= "", "",INDEX(tblSeverityReference[Severidad de la desnutrición],MATCH(tblSeverityAnalysis[[#This Row],[ID]], tblSeverityReference[ID], 0)) ), "")</f>
        <v/>
      </c>
      <c r="Y38" s="349" t="str">
        <f>IFERROR(IF(INDEX(tblSeverityReference[Severidad epidémica],MATCH(tblSeverityAnalysis[[#This Row],[ID]], tblSeverityReference[ID], 0))= "", "",INDEX(tblSeverityReference[Severidad epidémica],MATCH(tblSeverityAnalysis[[#This Row],[ID]], tblSeverityReference[ID], 0)) ), "")</f>
        <v/>
      </c>
      <c r="Z3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8" s="391" t="str">
        <f>IFERROR(IF(INDEX(tblSeverityReference[HR/IHL Violation],MATCH(tblSeverityAnalysis[[#This Row],[ID]], tblSeverityReference[ID], 0))= "", "",INDEX(tblSeverityReference[HR/IHL Violation],MATCH(tblSeverityAnalysis[[#This Row],[ID]], tblSeverityReference[ID], 0)) ), "")</f>
        <v/>
      </c>
      <c r="AB38" s="397">
        <f>IFERROR(AVERAGE(tblSeverityAnalysis[[#This Row],[SAMV]:[ASH]]), "")</f>
        <v>4.166666666666667</v>
      </c>
      <c r="AC38" s="346">
        <f>IF(SUM(tblSeverityAnalysis[[#This Row],[SAMV]:[ASH]])=0, "", MAX(tblSeverityAnalysis[[#This Row],[SAMV]:[ASH]]))</f>
        <v>5</v>
      </c>
      <c r="AD38" s="261" t="str" cm="1">
        <f t="array" ref="AD38">IFERROR(IF(tblSeverityAnalysis[[#This Row],[Severidad máxima]]="", "", _xlfn.TEXTJOIN(CHAR(10), TRUE, IF(tblSeverityAnalysis[[#This Row],[SAMV]:[ASH]]=tblSeverityAnalysis[[#This Row],[Severidad máxima]], tblSeverityAnalysis[[#Headers],[SAMV]:[ASH]], ""), "")), "")</f>
        <v>ASH</v>
      </c>
      <c r="AE38" s="346" cm="1">
        <f t="array" ref="AE38">IFERROR(MAX(_xlfn._xlws.FILTER(tblSeverityAnalysis[[#This Row],[SAMV]:[ASH]], tblSeverityAnalysis[[#This Row],[SAMV]:[ASH]]&lt;tblSeverityAnalysis[[#This Row],[Severidad máxima]])), "")</f>
        <v>4</v>
      </c>
      <c r="AF38" s="398" t="str" cm="1">
        <f t="array" ref="AF38">IFERROR(IF(tblSeverityAnalysis[[#This Row],[2ª mayor severidad]]="", "", _xlfn.TEXTJOIN(CHAR(10), TRUE, IF(tblSeverityAnalysis[[#This Row],[SAMV]:[ASH]]=tblSeverityAnalysis[[#This Row],[2ª mayor severidad]], tblSeverityAnalysis[[#Headers],[SAMV]:[ASH]], ""), "")), "")</f>
        <v>SAMV
NUT
SAL
EDU
PRO</v>
      </c>
      <c r="AG38" s="405" t="str">
        <f>IFERROR(IF(AND(tblSeverityAnalysis[[#This Row],[5]] &lt;&gt; "", tblSeverityAnalysis[[#This Row],[5]]&gt;=sectors_sev_5), "Flagged", ""), "")</f>
        <v/>
      </c>
      <c r="AH38" s="347" t="str">
        <f>IFERROR(IF(AND(tblSeverityAnalysis[[#This Row],[Severidad preliminar basada en la superposición de privaciones sectoriales]]=5, SUM(tblSeverityAnalysis[[#This Row],[ 1 ]:[ 4 ]])&gt;=sectors_sev_5), "Flagged", ""), "")</f>
        <v/>
      </c>
      <c r="AI38" s="348" t="str" cm="1">
        <f t="array" ref="AI3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8" s="350"/>
      <c r="AL38" s="351"/>
      <c r="AM38" s="350"/>
      <c r="AN38" s="407">
        <f>COUNTIF(tblSeverityAnalysis[[#This Row],[1 sectores en fase de severidad 5 '[modificar el umbral']]:[Marcador manual]], "Flagged")</f>
        <v>0</v>
      </c>
      <c r="AO38" s="418">
        <f>tblSeverityAnalysis[[#This Row],[Severidad preliminar basada en la superposición de privaciones sectoriales]]</f>
        <v>4</v>
      </c>
      <c r="AP38" s="417"/>
      <c r="AQ38" s="421" t="s">
        <v>875</v>
      </c>
      <c r="AR38" s="417">
        <v>4</v>
      </c>
    </row>
    <row r="39" spans="1:44" hidden="1">
      <c r="A3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VenezolanosVE0407</v>
      </c>
      <c r="B39" s="363" t="s">
        <v>163</v>
      </c>
      <c r="C39" s="323" t="s">
        <v>164</v>
      </c>
      <c r="D39" s="322" t="s">
        <v>177</v>
      </c>
      <c r="E39" s="323" t="s">
        <v>178</v>
      </c>
      <c r="F39" s="323"/>
      <c r="G39" s="324">
        <v>165135</v>
      </c>
      <c r="H39" s="324" t="s">
        <v>102</v>
      </c>
      <c r="I39" s="374">
        <v>3</v>
      </c>
      <c r="J39" s="237">
        <v>2</v>
      </c>
      <c r="K39" s="237">
        <v>4</v>
      </c>
      <c r="L39" s="237">
        <v>3</v>
      </c>
      <c r="M39" s="237">
        <v>4</v>
      </c>
      <c r="N39" s="237">
        <v>4</v>
      </c>
      <c r="O39" s="237">
        <v>4</v>
      </c>
      <c r="P39" s="237">
        <v>4</v>
      </c>
      <c r="Q39" s="382" t="str">
        <f>IF(COUNTIF(tblSeverityAnalysis[[#This Row],[SAMV]:[ASH]], 1)=0, "", COUNTIF(tblSeverityAnalysis[[#This Row],[SAMV]:[ASH]], 1))</f>
        <v/>
      </c>
      <c r="R39" s="325">
        <f>IF(COUNTIF(tblSeverityAnalysis[[#This Row],[SAMV]:[ASH]], 2)=0, "", COUNTIF(tblSeverityAnalysis[[#This Row],[SAMV]:[ASH]], 2))</f>
        <v>1</v>
      </c>
      <c r="S39" s="325">
        <f>IF(COUNTIF(tblSeverityAnalysis[[#This Row],[SAMV]:[ASH]], 3)=0, "", COUNTIF(tblSeverityAnalysis[[#This Row],[SAMV]:[ASH]], 3))</f>
        <v>2</v>
      </c>
      <c r="T39" s="325">
        <f>IF(COUNTIF(tblSeverityAnalysis[[#This Row],[SAMV]:[ASH]], 4)=0, "", COUNTIF(tblSeverityAnalysis[[#This Row],[SAMV]:[ASH]], 4))</f>
        <v>3</v>
      </c>
      <c r="U39" s="383" t="str">
        <f>IF(COUNTIF(tblSeverityAnalysis[[#This Row],[SAMV]:[ASH]], 5)=0, "", COUNTIF(tblSeverityAnalysis[[#This Row],[SAMV]:[ASH]], 5))</f>
        <v/>
      </c>
      <c r="V39" s="375" cm="1">
        <f t="array" ref="V3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9" s="237" t="str">
        <f>IFERROR(IF(INDEX(tblSeverityReference[Severidad de la desnutrición],MATCH(tblSeverityAnalysis[[#This Row],[ID]], tblSeverityReference[ID], 0))= "", "",INDEX(tblSeverityReference[Severidad de la desnutrición],MATCH(tblSeverityAnalysis[[#This Row],[ID]], tblSeverityReference[ID], 0)) ), "")</f>
        <v/>
      </c>
      <c r="Y39" s="349" t="str">
        <f>IFERROR(IF(INDEX(tblSeverityReference[Severidad epidémica],MATCH(tblSeverityAnalysis[[#This Row],[ID]], tblSeverityReference[ID], 0))= "", "",INDEX(tblSeverityReference[Severidad epidémica],MATCH(tblSeverityAnalysis[[#This Row],[ID]], tblSeverityReference[ID], 0)) ), "")</f>
        <v/>
      </c>
      <c r="Z3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9" s="391" t="str">
        <f>IFERROR(IF(INDEX(tblSeverityReference[HR/IHL Violation],MATCH(tblSeverityAnalysis[[#This Row],[ID]], tblSeverityReference[ID], 0))= "", "",INDEX(tblSeverityReference[HR/IHL Violation],MATCH(tblSeverityAnalysis[[#This Row],[ID]], tblSeverityReference[ID], 0)) ), "")</f>
        <v/>
      </c>
      <c r="AB39" s="397">
        <f>IFERROR(AVERAGE(tblSeverityAnalysis[[#This Row],[SAMV]:[ASH]]), "")</f>
        <v>3.3333333333333335</v>
      </c>
      <c r="AC39" s="346">
        <f>IF(SUM(tblSeverityAnalysis[[#This Row],[SAMV]:[ASH]])=0, "", MAX(tblSeverityAnalysis[[#This Row],[SAMV]:[ASH]]))</f>
        <v>4</v>
      </c>
      <c r="AD39" s="261" t="str" cm="1">
        <f t="array" ref="AD39">IFERROR(IF(tblSeverityAnalysis[[#This Row],[Severidad máxima]]="", "", _xlfn.TEXTJOIN(CHAR(10), TRUE, IF(tblSeverityAnalysis[[#This Row],[SAMV]:[ASH]]=tblSeverityAnalysis[[#This Row],[Severidad máxima]], tblSeverityAnalysis[[#Headers],[SAMV]:[ASH]], ""), "")), "")</f>
        <v>SAL
PRO
ASH</v>
      </c>
      <c r="AE39" s="346" cm="1">
        <f t="array" ref="AE39">IFERROR(MAX(_xlfn._xlws.FILTER(tblSeverityAnalysis[[#This Row],[SAMV]:[ASH]], tblSeverityAnalysis[[#This Row],[SAMV]:[ASH]]&lt;tblSeverityAnalysis[[#This Row],[Severidad máxima]])), "")</f>
        <v>3</v>
      </c>
      <c r="AF39" s="398" t="str" cm="1">
        <f t="array" ref="AF39">IFERROR(IF(tblSeverityAnalysis[[#This Row],[2ª mayor severidad]]="", "", _xlfn.TEXTJOIN(CHAR(10), TRUE, IF(tblSeverityAnalysis[[#This Row],[SAMV]:[ASH]]=tblSeverityAnalysis[[#This Row],[2ª mayor severidad]], tblSeverityAnalysis[[#Headers],[SAMV]:[ASH]], ""), "")), "")</f>
        <v>SAMV
EDU</v>
      </c>
      <c r="AG39" s="405" t="str">
        <f>IFERROR(IF(AND(tblSeverityAnalysis[[#This Row],[5]] &lt;&gt; "", tblSeverityAnalysis[[#This Row],[5]]&gt;=sectors_sev_5), "Flagged", ""), "")</f>
        <v/>
      </c>
      <c r="AH39" s="347" t="str">
        <f>IFERROR(IF(AND(tblSeverityAnalysis[[#This Row],[Severidad preliminar basada en la superposición de privaciones sectoriales]]=5, SUM(tblSeverityAnalysis[[#This Row],[ 1 ]:[ 4 ]])&gt;=sectors_sev_5), "Flagged", ""), "")</f>
        <v/>
      </c>
      <c r="AI39" s="348" t="str" cm="1">
        <f t="array" ref="AI3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9" s="350"/>
      <c r="AL39" s="351"/>
      <c r="AM39" s="350"/>
      <c r="AN39" s="407">
        <f>COUNTIF(tblSeverityAnalysis[[#This Row],[1 sectores en fase de severidad 5 '[modificar el umbral']]:[Marcador manual]], "Flagged")</f>
        <v>0</v>
      </c>
      <c r="AO39" s="418">
        <f>tblSeverityAnalysis[[#This Row],[Severidad preliminar basada en la superposición de privaciones sectoriales]]</f>
        <v>3</v>
      </c>
      <c r="AP39" s="417"/>
      <c r="AQ39" s="421" t="s">
        <v>875</v>
      </c>
      <c r="AR39" s="417">
        <v>4</v>
      </c>
    </row>
    <row r="40" spans="1:44" hidden="1">
      <c r="A4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VenezolanosVE0501</v>
      </c>
      <c r="B40" s="363" t="s">
        <v>123</v>
      </c>
      <c r="C40" s="323" t="s">
        <v>179</v>
      </c>
      <c r="D40" s="322" t="s">
        <v>180</v>
      </c>
      <c r="E40" s="323" t="s">
        <v>181</v>
      </c>
      <c r="F40" s="323"/>
      <c r="G40" s="324">
        <v>38047</v>
      </c>
      <c r="H40" s="324" t="s">
        <v>102</v>
      </c>
      <c r="I40" s="374">
        <v>2</v>
      </c>
      <c r="J40" s="237">
        <v>1</v>
      </c>
      <c r="K40" s="237">
        <v>3</v>
      </c>
      <c r="L40" s="237">
        <v>3</v>
      </c>
      <c r="M40" s="237">
        <v>2</v>
      </c>
      <c r="N40" s="237">
        <v>2</v>
      </c>
      <c r="O40" s="237">
        <v>2</v>
      </c>
      <c r="P40" s="237">
        <v>2</v>
      </c>
      <c r="Q40" s="382">
        <f>IF(COUNTIF(tblSeverityAnalysis[[#This Row],[SAMV]:[ASH]], 1)=0, "", COUNTIF(tblSeverityAnalysis[[#This Row],[SAMV]:[ASH]], 1))</f>
        <v>1</v>
      </c>
      <c r="R40" s="325">
        <f>IF(COUNTIF(tblSeverityAnalysis[[#This Row],[SAMV]:[ASH]], 2)=0, "", COUNTIF(tblSeverityAnalysis[[#This Row],[SAMV]:[ASH]], 2))</f>
        <v>3</v>
      </c>
      <c r="S40" s="325">
        <f>IF(COUNTIF(tblSeverityAnalysis[[#This Row],[SAMV]:[ASH]], 3)=0, "", COUNTIF(tblSeverityAnalysis[[#This Row],[SAMV]:[ASH]], 3))</f>
        <v>2</v>
      </c>
      <c r="T40" s="325" t="str">
        <f>IF(COUNTIF(tblSeverityAnalysis[[#This Row],[SAMV]:[ASH]], 4)=0, "", COUNTIF(tblSeverityAnalysis[[#This Row],[SAMV]:[ASH]], 4))</f>
        <v/>
      </c>
      <c r="U40" s="383" t="str">
        <f>IF(COUNTIF(tblSeverityAnalysis[[#This Row],[SAMV]:[ASH]], 5)=0, "", COUNTIF(tblSeverityAnalysis[[#This Row],[SAMV]:[ASH]], 5))</f>
        <v/>
      </c>
      <c r="V40" s="375" cm="1">
        <f t="array" ref="V4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4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40" s="237" t="str">
        <f>IFERROR(IF(INDEX(tblSeverityReference[Severidad de la desnutrición],MATCH(tblSeverityAnalysis[[#This Row],[ID]], tblSeverityReference[ID], 0))= "", "",INDEX(tblSeverityReference[Severidad de la desnutrición],MATCH(tblSeverityAnalysis[[#This Row],[ID]], tblSeverityReference[ID], 0)) ), "")</f>
        <v/>
      </c>
      <c r="Y40" s="349" t="str">
        <f>IFERROR(IF(INDEX(tblSeverityReference[Severidad epidémica],MATCH(tblSeverityAnalysis[[#This Row],[ID]], tblSeverityReference[ID], 0))= "", "",INDEX(tblSeverityReference[Severidad epidémica],MATCH(tblSeverityAnalysis[[#This Row],[ID]], tblSeverityReference[ID], 0)) ), "")</f>
        <v/>
      </c>
      <c r="Z4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40" s="391" t="str">
        <f>IFERROR(IF(INDEX(tblSeverityReference[HR/IHL Violation],MATCH(tblSeverityAnalysis[[#This Row],[ID]], tblSeverityReference[ID], 0))= "", "",INDEX(tblSeverityReference[HR/IHL Violation],MATCH(tblSeverityAnalysis[[#This Row],[ID]], tblSeverityReference[ID], 0)) ), "")</f>
        <v/>
      </c>
      <c r="AB40" s="397">
        <f>IFERROR(AVERAGE(tblSeverityAnalysis[[#This Row],[SAMV]:[ASH]]), "")</f>
        <v>2.1666666666666665</v>
      </c>
      <c r="AC40" s="346">
        <f>IF(SUM(tblSeverityAnalysis[[#This Row],[SAMV]:[ASH]])=0, "", MAX(tblSeverityAnalysis[[#This Row],[SAMV]:[ASH]]))</f>
        <v>3</v>
      </c>
      <c r="AD40" s="261" t="str" cm="1">
        <f t="array" ref="AD40">IFERROR(IF(tblSeverityAnalysis[[#This Row],[Severidad máxima]]="", "", _xlfn.TEXTJOIN(CHAR(10), TRUE, IF(tblSeverityAnalysis[[#This Row],[SAMV]:[ASH]]=tblSeverityAnalysis[[#This Row],[Severidad máxima]], tblSeverityAnalysis[[#Headers],[SAMV]:[ASH]], ""), "")), "")</f>
        <v>SAL
EDU</v>
      </c>
      <c r="AE40" s="346" cm="1">
        <f t="array" ref="AE40">IFERROR(MAX(_xlfn._xlws.FILTER(tblSeverityAnalysis[[#This Row],[SAMV]:[ASH]], tblSeverityAnalysis[[#This Row],[SAMV]:[ASH]]&lt;tblSeverityAnalysis[[#This Row],[Severidad máxima]])), "")</f>
        <v>2</v>
      </c>
      <c r="AF40" s="398" t="str" cm="1">
        <f t="array" ref="AF40">IFERROR(IF(tblSeverityAnalysis[[#This Row],[2ª mayor severidad]]="", "", _xlfn.TEXTJOIN(CHAR(10), TRUE, IF(tblSeverityAnalysis[[#This Row],[SAMV]:[ASH]]=tblSeverityAnalysis[[#This Row],[2ª mayor severidad]], tblSeverityAnalysis[[#Headers],[SAMV]:[ASH]], ""), "")), "")</f>
        <v>SAMV
PRO
ASH</v>
      </c>
      <c r="AG40" s="405" t="str">
        <f>IFERROR(IF(AND(tblSeverityAnalysis[[#This Row],[5]] &lt;&gt; "", tblSeverityAnalysis[[#This Row],[5]]&gt;=sectors_sev_5), "Flagged", ""), "")</f>
        <v/>
      </c>
      <c r="AH40" s="347" t="str">
        <f>IFERROR(IF(AND(tblSeverityAnalysis[[#This Row],[Severidad preliminar basada en la superposición de privaciones sectoriales]]=5, SUM(tblSeverityAnalysis[[#This Row],[ 1 ]:[ 4 ]])&gt;=sectors_sev_5), "Flagged", ""), "")</f>
        <v/>
      </c>
      <c r="AI40" s="348" t="str" cm="1">
        <f t="array" ref="AI4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4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40" s="350"/>
      <c r="AL40" s="351"/>
      <c r="AM40" s="350"/>
      <c r="AN40" s="407">
        <f>COUNTIF(tblSeverityAnalysis[[#This Row],[1 sectores en fase de severidad 5 '[modificar el umbral']]:[Marcador manual]], "Flagged")</f>
        <v>0</v>
      </c>
      <c r="AO40" s="418">
        <f>tblSeverityAnalysis[[#This Row],[Severidad preliminar basada en la superposición de privaciones sectoriales]]</f>
        <v>2</v>
      </c>
      <c r="AP40" s="417"/>
      <c r="AQ40" s="421" t="s">
        <v>876</v>
      </c>
      <c r="AR40" s="417">
        <v>3</v>
      </c>
    </row>
    <row r="41" spans="1:44" hidden="1">
      <c r="A4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VenezolanosVE0502</v>
      </c>
      <c r="B41" s="363" t="s">
        <v>123</v>
      </c>
      <c r="C41" s="323" t="s">
        <v>179</v>
      </c>
      <c r="D41" s="322" t="s">
        <v>182</v>
      </c>
      <c r="E41" s="323" t="s">
        <v>183</v>
      </c>
      <c r="F41" s="323"/>
      <c r="G41" s="324">
        <v>16627</v>
      </c>
      <c r="H41" s="324" t="s">
        <v>102</v>
      </c>
      <c r="I41" s="374">
        <v>3</v>
      </c>
      <c r="J41" s="237">
        <v>1</v>
      </c>
      <c r="K41" s="237">
        <v>3</v>
      </c>
      <c r="L41" s="237">
        <v>3</v>
      </c>
      <c r="M41" s="237">
        <v>2</v>
      </c>
      <c r="N41" s="237">
        <v>2</v>
      </c>
      <c r="O41" s="237">
        <v>2</v>
      </c>
      <c r="P41" s="237">
        <v>2</v>
      </c>
      <c r="Q41" s="382">
        <f>IF(COUNTIF(tblSeverityAnalysis[[#This Row],[SAMV]:[ASH]], 1)=0, "", COUNTIF(tblSeverityAnalysis[[#This Row],[SAMV]:[ASH]], 1))</f>
        <v>1</v>
      </c>
      <c r="R41" s="325">
        <f>IF(COUNTIF(tblSeverityAnalysis[[#This Row],[SAMV]:[ASH]], 2)=0, "", COUNTIF(tblSeverityAnalysis[[#This Row],[SAMV]:[ASH]], 2))</f>
        <v>2</v>
      </c>
      <c r="S41" s="325">
        <f>IF(COUNTIF(tblSeverityAnalysis[[#This Row],[SAMV]:[ASH]], 3)=0, "", COUNTIF(tblSeverityAnalysis[[#This Row],[SAMV]:[ASH]], 3))</f>
        <v>3</v>
      </c>
      <c r="T41" s="325" t="str">
        <f>IF(COUNTIF(tblSeverityAnalysis[[#This Row],[SAMV]:[ASH]], 4)=0, "", COUNTIF(tblSeverityAnalysis[[#This Row],[SAMV]:[ASH]], 4))</f>
        <v/>
      </c>
      <c r="U41" s="383" t="str">
        <f>IF(COUNTIF(tblSeverityAnalysis[[#This Row],[SAMV]:[ASH]], 5)=0, "", COUNTIF(tblSeverityAnalysis[[#This Row],[SAMV]:[ASH]], 5))</f>
        <v/>
      </c>
      <c r="V41" s="375" cm="1">
        <f t="array" ref="V4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4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41" s="237" t="str">
        <f>IFERROR(IF(INDEX(tblSeverityReference[Severidad de la desnutrición],MATCH(tblSeverityAnalysis[[#This Row],[ID]], tblSeverityReference[ID], 0))= "", "",INDEX(tblSeverityReference[Severidad de la desnutrición],MATCH(tblSeverityAnalysis[[#This Row],[ID]], tblSeverityReference[ID], 0)) ), "")</f>
        <v/>
      </c>
      <c r="Y41" s="349" t="str">
        <f>IFERROR(IF(INDEX(tblSeverityReference[Severidad epidémica],MATCH(tblSeverityAnalysis[[#This Row],[ID]], tblSeverityReference[ID], 0))= "", "",INDEX(tblSeverityReference[Severidad epidémica],MATCH(tblSeverityAnalysis[[#This Row],[ID]], tblSeverityReference[ID], 0)) ), "")</f>
        <v/>
      </c>
      <c r="Z4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41" s="391" t="str">
        <f>IFERROR(IF(INDEX(tblSeverityReference[HR/IHL Violation],MATCH(tblSeverityAnalysis[[#This Row],[ID]], tblSeverityReference[ID], 0))= "", "",INDEX(tblSeverityReference[HR/IHL Violation],MATCH(tblSeverityAnalysis[[#This Row],[ID]], tblSeverityReference[ID], 0)) ), "")</f>
        <v/>
      </c>
      <c r="AB41" s="397">
        <f>IFERROR(AVERAGE(tblSeverityAnalysis[[#This Row],[SAMV]:[ASH]]), "")</f>
        <v>2.3333333333333335</v>
      </c>
      <c r="AC41" s="346">
        <f>IF(SUM(tblSeverityAnalysis[[#This Row],[SAMV]:[ASH]])=0, "", MAX(tblSeverityAnalysis[[#This Row],[SAMV]:[ASH]]))</f>
        <v>3</v>
      </c>
      <c r="AD41" s="261" t="str" cm="1">
        <f t="array" ref="AD41">IFERROR(IF(tblSeverityAnalysis[[#This Row],[Severidad máxima]]="", "", _xlfn.TEXTJOIN(CHAR(10), TRUE, IF(tblSeverityAnalysis[[#This Row],[SAMV]:[ASH]]=tblSeverityAnalysis[[#This Row],[Severidad máxima]], tblSeverityAnalysis[[#Headers],[SAMV]:[ASH]], ""), "")), "")</f>
        <v>SAMV
SAL
EDU</v>
      </c>
      <c r="AE41" s="346" cm="1">
        <f t="array" ref="AE41">IFERROR(MAX(_xlfn._xlws.FILTER(tblSeverityAnalysis[[#This Row],[SAMV]:[ASH]], tblSeverityAnalysis[[#This Row],[SAMV]:[ASH]]&lt;tblSeverityAnalysis[[#This Row],[Severidad máxima]])), "")</f>
        <v>2</v>
      </c>
      <c r="AF41" s="398" t="str" cm="1">
        <f t="array" ref="AF41">IFERROR(IF(tblSeverityAnalysis[[#This Row],[2ª mayor severidad]]="", "", _xlfn.TEXTJOIN(CHAR(10), TRUE, IF(tblSeverityAnalysis[[#This Row],[SAMV]:[ASH]]=tblSeverityAnalysis[[#This Row],[2ª mayor severidad]], tblSeverityAnalysis[[#Headers],[SAMV]:[ASH]], ""), "")), "")</f>
        <v>PRO
ASH</v>
      </c>
      <c r="AG41" s="405" t="str">
        <f>IFERROR(IF(AND(tblSeverityAnalysis[[#This Row],[5]] &lt;&gt; "", tblSeverityAnalysis[[#This Row],[5]]&gt;=sectors_sev_5), "Flagged", ""), "")</f>
        <v/>
      </c>
      <c r="AH41" s="347" t="str">
        <f>IFERROR(IF(AND(tblSeverityAnalysis[[#This Row],[Severidad preliminar basada en la superposición de privaciones sectoriales]]=5, SUM(tblSeverityAnalysis[[#This Row],[ 1 ]:[ 4 ]])&gt;=sectors_sev_5), "Flagged", ""), "")</f>
        <v/>
      </c>
      <c r="AI41" s="348" t="str" cm="1">
        <f t="array" ref="AI4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4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41" s="350"/>
      <c r="AL41" s="351"/>
      <c r="AM41" s="350"/>
      <c r="AN41" s="407">
        <f>COUNTIF(tblSeverityAnalysis[[#This Row],[1 sectores en fase de severidad 5 '[modificar el umbral']]:[Marcador manual]], "Flagged")</f>
        <v>0</v>
      </c>
      <c r="AO41" s="418">
        <f>tblSeverityAnalysis[[#This Row],[Severidad preliminar basada en la superposición de privaciones sectoriales]]</f>
        <v>2</v>
      </c>
      <c r="AP41" s="417"/>
      <c r="AQ41" s="421" t="s">
        <v>876</v>
      </c>
      <c r="AR41" s="417">
        <v>3</v>
      </c>
    </row>
    <row r="42" spans="1:44" hidden="1">
      <c r="A4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VenezolanosVE0503</v>
      </c>
      <c r="B42" s="363" t="s">
        <v>123</v>
      </c>
      <c r="C42" s="323" t="s">
        <v>179</v>
      </c>
      <c r="D42" s="322" t="s">
        <v>184</v>
      </c>
      <c r="E42" s="323" t="s">
        <v>185</v>
      </c>
      <c r="F42" s="323"/>
      <c r="G42" s="324">
        <v>407109</v>
      </c>
      <c r="H42" s="324" t="s">
        <v>102</v>
      </c>
      <c r="I42" s="374">
        <v>2</v>
      </c>
      <c r="J42" s="237">
        <v>2</v>
      </c>
      <c r="K42" s="237">
        <v>3</v>
      </c>
      <c r="L42" s="237">
        <v>4</v>
      </c>
      <c r="M42" s="237">
        <v>3</v>
      </c>
      <c r="N42" s="237">
        <v>2</v>
      </c>
      <c r="O42" s="237">
        <v>3</v>
      </c>
      <c r="P42" s="237">
        <v>3</v>
      </c>
      <c r="Q42" s="382" t="str">
        <f>IF(COUNTIF(tblSeverityAnalysis[[#This Row],[SAMV]:[ASH]], 1)=0, "", COUNTIF(tblSeverityAnalysis[[#This Row],[SAMV]:[ASH]], 1))</f>
        <v/>
      </c>
      <c r="R42" s="325">
        <f>IF(COUNTIF(tblSeverityAnalysis[[#This Row],[SAMV]:[ASH]], 2)=0, "", COUNTIF(tblSeverityAnalysis[[#This Row],[SAMV]:[ASH]], 2))</f>
        <v>3</v>
      </c>
      <c r="S42" s="325">
        <f>IF(COUNTIF(tblSeverityAnalysis[[#This Row],[SAMV]:[ASH]], 3)=0, "", COUNTIF(tblSeverityAnalysis[[#This Row],[SAMV]:[ASH]], 3))</f>
        <v>2</v>
      </c>
      <c r="T42" s="325">
        <f>IF(COUNTIF(tblSeverityAnalysis[[#This Row],[SAMV]:[ASH]], 4)=0, "", COUNTIF(tblSeverityAnalysis[[#This Row],[SAMV]:[ASH]], 4))</f>
        <v>1</v>
      </c>
      <c r="U42" s="383" t="str">
        <f>IF(COUNTIF(tblSeverityAnalysis[[#This Row],[SAMV]:[ASH]], 5)=0, "", COUNTIF(tblSeverityAnalysis[[#This Row],[SAMV]:[ASH]], 5))</f>
        <v/>
      </c>
      <c r="V42" s="375" cm="1">
        <f t="array" ref="V4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4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42" s="237" t="str">
        <f>IFERROR(IF(INDEX(tblSeverityReference[Severidad de la desnutrición],MATCH(tblSeverityAnalysis[[#This Row],[ID]], tblSeverityReference[ID], 0))= "", "",INDEX(tblSeverityReference[Severidad de la desnutrición],MATCH(tblSeverityAnalysis[[#This Row],[ID]], tblSeverityReference[ID], 0)) ), "")</f>
        <v/>
      </c>
      <c r="Y42" s="349" t="str">
        <f>IFERROR(IF(INDEX(tblSeverityReference[Severidad epidémica],MATCH(tblSeverityAnalysis[[#This Row],[ID]], tblSeverityReference[ID], 0))= "", "",INDEX(tblSeverityReference[Severidad epidémica],MATCH(tblSeverityAnalysis[[#This Row],[ID]], tblSeverityReference[ID], 0)) ), "")</f>
        <v/>
      </c>
      <c r="Z4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42" s="391" t="str">
        <f>IFERROR(IF(INDEX(tblSeverityReference[HR/IHL Violation],MATCH(tblSeverityAnalysis[[#This Row],[ID]], tblSeverityReference[ID], 0))= "", "",INDEX(tblSeverityReference[HR/IHL Violation],MATCH(tblSeverityAnalysis[[#This Row],[ID]], tblSeverityReference[ID], 0)) ), "")</f>
        <v/>
      </c>
      <c r="AB42" s="397">
        <f>IFERROR(AVERAGE(tblSeverityAnalysis[[#This Row],[SAMV]:[ASH]]), "")</f>
        <v>2.6666666666666665</v>
      </c>
      <c r="AC42" s="346">
        <f>IF(SUM(tblSeverityAnalysis[[#This Row],[SAMV]:[ASH]])=0, "", MAX(tblSeverityAnalysis[[#This Row],[SAMV]:[ASH]]))</f>
        <v>4</v>
      </c>
      <c r="AD42" s="261" t="str" cm="1">
        <f t="array" ref="AD42">IFERROR(IF(tblSeverityAnalysis[[#This Row],[Severidad máxima]]="", "", _xlfn.TEXTJOIN(CHAR(10), TRUE, IF(tblSeverityAnalysis[[#This Row],[SAMV]:[ASH]]=tblSeverityAnalysis[[#This Row],[Severidad máxima]], tblSeverityAnalysis[[#Headers],[SAMV]:[ASH]], ""), "")), "")</f>
        <v>EDU</v>
      </c>
      <c r="AE42" s="346" cm="1">
        <f t="array" ref="AE42">IFERROR(MAX(_xlfn._xlws.FILTER(tblSeverityAnalysis[[#This Row],[SAMV]:[ASH]], tblSeverityAnalysis[[#This Row],[SAMV]:[ASH]]&lt;tblSeverityAnalysis[[#This Row],[Severidad máxima]])), "")</f>
        <v>3</v>
      </c>
      <c r="AF42" s="398" t="str" cm="1">
        <f t="array" ref="AF42">IFERROR(IF(tblSeverityAnalysis[[#This Row],[2ª mayor severidad]]="", "", _xlfn.TEXTJOIN(CHAR(10), TRUE, IF(tblSeverityAnalysis[[#This Row],[SAMV]:[ASH]]=tblSeverityAnalysis[[#This Row],[2ª mayor severidad]], tblSeverityAnalysis[[#Headers],[SAMV]:[ASH]], ""), "")), "")</f>
        <v>SAL
PRO</v>
      </c>
      <c r="AG42" s="405" t="str">
        <f>IFERROR(IF(AND(tblSeverityAnalysis[[#This Row],[5]] &lt;&gt; "", tblSeverityAnalysis[[#This Row],[5]]&gt;=sectors_sev_5), "Flagged", ""), "")</f>
        <v/>
      </c>
      <c r="AH42" s="347" t="str">
        <f>IFERROR(IF(AND(tblSeverityAnalysis[[#This Row],[Severidad preliminar basada en la superposición de privaciones sectoriales]]=5, SUM(tblSeverityAnalysis[[#This Row],[ 1 ]:[ 4 ]])&gt;=sectors_sev_5), "Flagged", ""), "")</f>
        <v/>
      </c>
      <c r="AI42" s="348" t="str" cm="1">
        <f t="array" ref="AI4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4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42" s="350"/>
      <c r="AL42" s="351"/>
      <c r="AM42" s="350"/>
      <c r="AN42" s="407">
        <f>COUNTIF(tblSeverityAnalysis[[#This Row],[1 sectores en fase de severidad 5 '[modificar el umbral']]:[Marcador manual]], "Flagged")</f>
        <v>0</v>
      </c>
      <c r="AO42" s="418">
        <f>tblSeverityAnalysis[[#This Row],[Severidad preliminar basada en la superposición de privaciones sectoriales]]</f>
        <v>2</v>
      </c>
      <c r="AP42" s="417"/>
      <c r="AQ42" s="421" t="s">
        <v>876</v>
      </c>
      <c r="AR42" s="417">
        <v>3</v>
      </c>
    </row>
    <row r="43" spans="1:44" hidden="1">
      <c r="A4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VenezolanosVE0504</v>
      </c>
      <c r="B43" s="363" t="s">
        <v>123</v>
      </c>
      <c r="C43" s="323" t="s">
        <v>179</v>
      </c>
      <c r="D43" s="322" t="s">
        <v>186</v>
      </c>
      <c r="E43" s="323" t="s">
        <v>187</v>
      </c>
      <c r="F43" s="323"/>
      <c r="G43" s="324">
        <v>32981</v>
      </c>
      <c r="H43" s="324" t="s">
        <v>102</v>
      </c>
      <c r="I43" s="374">
        <v>2</v>
      </c>
      <c r="J43" s="237">
        <v>1</v>
      </c>
      <c r="K43" s="237">
        <v>3</v>
      </c>
      <c r="L43" s="237">
        <v>3</v>
      </c>
      <c r="M43" s="237">
        <v>3</v>
      </c>
      <c r="N43" s="237">
        <v>3</v>
      </c>
      <c r="O43" s="237">
        <v>3</v>
      </c>
      <c r="P43" s="237">
        <v>3</v>
      </c>
      <c r="Q43" s="382">
        <f>IF(COUNTIF(tblSeverityAnalysis[[#This Row],[SAMV]:[ASH]], 1)=0, "", COUNTIF(tblSeverityAnalysis[[#This Row],[SAMV]:[ASH]], 1))</f>
        <v>1</v>
      </c>
      <c r="R43" s="325">
        <f>IF(COUNTIF(tblSeverityAnalysis[[#This Row],[SAMV]:[ASH]], 2)=0, "", COUNTIF(tblSeverityAnalysis[[#This Row],[SAMV]:[ASH]], 2))</f>
        <v>1</v>
      </c>
      <c r="S43" s="325">
        <f>IF(COUNTIF(tblSeverityAnalysis[[#This Row],[SAMV]:[ASH]], 3)=0, "", COUNTIF(tblSeverityAnalysis[[#This Row],[SAMV]:[ASH]], 3))</f>
        <v>4</v>
      </c>
      <c r="T43" s="325" t="str">
        <f>IF(COUNTIF(tblSeverityAnalysis[[#This Row],[SAMV]:[ASH]], 4)=0, "", COUNTIF(tblSeverityAnalysis[[#This Row],[SAMV]:[ASH]], 4))</f>
        <v/>
      </c>
      <c r="U43" s="383" t="str">
        <f>IF(COUNTIF(tblSeverityAnalysis[[#This Row],[SAMV]:[ASH]], 5)=0, "", COUNTIF(tblSeverityAnalysis[[#This Row],[SAMV]:[ASH]], 5))</f>
        <v/>
      </c>
      <c r="V43" s="375" cm="1">
        <f t="array" ref="V4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4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43" s="237" t="str">
        <f>IFERROR(IF(INDEX(tblSeverityReference[Severidad de la desnutrición],MATCH(tblSeverityAnalysis[[#This Row],[ID]], tblSeverityReference[ID], 0))= "", "",INDEX(tblSeverityReference[Severidad de la desnutrición],MATCH(tblSeverityAnalysis[[#This Row],[ID]], tblSeverityReference[ID], 0)) ), "")</f>
        <v/>
      </c>
      <c r="Y43" s="349" t="str">
        <f>IFERROR(IF(INDEX(tblSeverityReference[Severidad epidémica],MATCH(tblSeverityAnalysis[[#This Row],[ID]], tblSeverityReference[ID], 0))= "", "",INDEX(tblSeverityReference[Severidad epidémica],MATCH(tblSeverityAnalysis[[#This Row],[ID]], tblSeverityReference[ID], 0)) ), "")</f>
        <v/>
      </c>
      <c r="Z4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43" s="391" t="str">
        <f>IFERROR(IF(INDEX(tblSeverityReference[HR/IHL Violation],MATCH(tblSeverityAnalysis[[#This Row],[ID]], tblSeverityReference[ID], 0))= "", "",INDEX(tblSeverityReference[HR/IHL Violation],MATCH(tblSeverityAnalysis[[#This Row],[ID]], tblSeverityReference[ID], 0)) ), "")</f>
        <v/>
      </c>
      <c r="AB43" s="397">
        <f>IFERROR(AVERAGE(tblSeverityAnalysis[[#This Row],[SAMV]:[ASH]]), "")</f>
        <v>2.5</v>
      </c>
      <c r="AC43" s="346">
        <f>IF(SUM(tblSeverityAnalysis[[#This Row],[SAMV]:[ASH]])=0, "", MAX(tblSeverityAnalysis[[#This Row],[SAMV]:[ASH]]))</f>
        <v>3</v>
      </c>
      <c r="AD43" s="261" t="str" cm="1">
        <f t="array" ref="AD43">IFERROR(IF(tblSeverityAnalysis[[#This Row],[Severidad máxima]]="", "", _xlfn.TEXTJOIN(CHAR(10), TRUE, IF(tblSeverityAnalysis[[#This Row],[SAMV]:[ASH]]=tblSeverityAnalysis[[#This Row],[Severidad máxima]], tblSeverityAnalysis[[#Headers],[SAMV]:[ASH]], ""), "")), "")</f>
        <v>SAL
EDU
PRO
ASH</v>
      </c>
      <c r="AE43" s="346" cm="1">
        <f t="array" ref="AE43">IFERROR(MAX(_xlfn._xlws.FILTER(tblSeverityAnalysis[[#This Row],[SAMV]:[ASH]], tblSeverityAnalysis[[#This Row],[SAMV]:[ASH]]&lt;tblSeverityAnalysis[[#This Row],[Severidad máxima]])), "")</f>
        <v>2</v>
      </c>
      <c r="AF43" s="398" t="str" cm="1">
        <f t="array" ref="AF43">IFERROR(IF(tblSeverityAnalysis[[#This Row],[2ª mayor severidad]]="", "", _xlfn.TEXTJOIN(CHAR(10), TRUE, IF(tblSeverityAnalysis[[#This Row],[SAMV]:[ASH]]=tblSeverityAnalysis[[#This Row],[2ª mayor severidad]], tblSeverityAnalysis[[#Headers],[SAMV]:[ASH]], ""), "")), "")</f>
        <v>SAMV</v>
      </c>
      <c r="AG43" s="405" t="str">
        <f>IFERROR(IF(AND(tblSeverityAnalysis[[#This Row],[5]] &lt;&gt; "", tblSeverityAnalysis[[#This Row],[5]]&gt;=sectors_sev_5), "Flagged", ""), "")</f>
        <v/>
      </c>
      <c r="AH43" s="347" t="str">
        <f>IFERROR(IF(AND(tblSeverityAnalysis[[#This Row],[Severidad preliminar basada en la superposición de privaciones sectoriales]]=5, SUM(tblSeverityAnalysis[[#This Row],[ 1 ]:[ 4 ]])&gt;=sectors_sev_5), "Flagged", ""), "")</f>
        <v/>
      </c>
      <c r="AI43" s="348" t="str" cm="1">
        <f t="array" ref="AI4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4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43" s="350"/>
      <c r="AL43" s="351"/>
      <c r="AM43" s="350"/>
      <c r="AN43" s="407">
        <f>COUNTIF(tblSeverityAnalysis[[#This Row],[1 sectores en fase de severidad 5 '[modificar el umbral']]:[Marcador manual]], "Flagged")</f>
        <v>0</v>
      </c>
      <c r="AO43" s="418">
        <f>tblSeverityAnalysis[[#This Row],[Severidad preliminar basada en la superposición de privaciones sectoriales]]</f>
        <v>3</v>
      </c>
      <c r="AP43" s="417"/>
      <c r="AQ43" s="421" t="s">
        <v>876</v>
      </c>
      <c r="AR43" s="417">
        <v>3</v>
      </c>
    </row>
    <row r="44" spans="1:44" hidden="1">
      <c r="A4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VenezolanosVE0505</v>
      </c>
      <c r="B44" s="363" t="s">
        <v>123</v>
      </c>
      <c r="C44" s="323" t="s">
        <v>179</v>
      </c>
      <c r="D44" s="322" t="s">
        <v>188</v>
      </c>
      <c r="E44" s="323" t="s">
        <v>189</v>
      </c>
      <c r="F44" s="323"/>
      <c r="G44" s="324">
        <v>143501</v>
      </c>
      <c r="H44" s="324" t="s">
        <v>102</v>
      </c>
      <c r="I44" s="374">
        <v>2</v>
      </c>
      <c r="J44" s="237">
        <v>1</v>
      </c>
      <c r="K44" s="237">
        <v>3</v>
      </c>
      <c r="L44" s="237">
        <v>3</v>
      </c>
      <c r="M44" s="237">
        <v>4</v>
      </c>
      <c r="N44" s="237">
        <v>2</v>
      </c>
      <c r="O44" s="237">
        <v>4</v>
      </c>
      <c r="P44" s="237">
        <v>4</v>
      </c>
      <c r="Q44" s="382">
        <f>IF(COUNTIF(tblSeverityAnalysis[[#This Row],[SAMV]:[ASH]], 1)=0, "", COUNTIF(tblSeverityAnalysis[[#This Row],[SAMV]:[ASH]], 1))</f>
        <v>1</v>
      </c>
      <c r="R44" s="325">
        <f>IF(COUNTIF(tblSeverityAnalysis[[#This Row],[SAMV]:[ASH]], 2)=0, "", COUNTIF(tblSeverityAnalysis[[#This Row],[SAMV]:[ASH]], 2))</f>
        <v>2</v>
      </c>
      <c r="S44" s="325">
        <f>IF(COUNTIF(tblSeverityAnalysis[[#This Row],[SAMV]:[ASH]], 3)=0, "", COUNTIF(tblSeverityAnalysis[[#This Row],[SAMV]:[ASH]], 3))</f>
        <v>2</v>
      </c>
      <c r="T44" s="325">
        <f>IF(COUNTIF(tblSeverityAnalysis[[#This Row],[SAMV]:[ASH]], 4)=0, "", COUNTIF(tblSeverityAnalysis[[#This Row],[SAMV]:[ASH]], 4))</f>
        <v>1</v>
      </c>
      <c r="U44" s="383" t="str">
        <f>IF(COUNTIF(tblSeverityAnalysis[[#This Row],[SAMV]:[ASH]], 5)=0, "", COUNTIF(tblSeverityAnalysis[[#This Row],[SAMV]:[ASH]], 5))</f>
        <v/>
      </c>
      <c r="V44" s="375" cm="1">
        <f t="array" ref="V4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4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44" s="237" t="str">
        <f>IFERROR(IF(INDEX(tblSeverityReference[Severidad de la desnutrición],MATCH(tblSeverityAnalysis[[#This Row],[ID]], tblSeverityReference[ID], 0))= "", "",INDEX(tblSeverityReference[Severidad de la desnutrición],MATCH(tblSeverityAnalysis[[#This Row],[ID]], tblSeverityReference[ID], 0)) ), "")</f>
        <v/>
      </c>
      <c r="Y44" s="349" t="str">
        <f>IFERROR(IF(INDEX(tblSeverityReference[Severidad epidémica],MATCH(tblSeverityAnalysis[[#This Row],[ID]], tblSeverityReference[ID], 0))= "", "",INDEX(tblSeverityReference[Severidad epidémica],MATCH(tblSeverityAnalysis[[#This Row],[ID]], tblSeverityReference[ID], 0)) ), "")</f>
        <v/>
      </c>
      <c r="Z4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44" s="391" t="str">
        <f>IFERROR(IF(INDEX(tblSeverityReference[HR/IHL Violation],MATCH(tblSeverityAnalysis[[#This Row],[ID]], tblSeverityReference[ID], 0))= "", "",INDEX(tblSeverityReference[HR/IHL Violation],MATCH(tblSeverityAnalysis[[#This Row],[ID]], tblSeverityReference[ID], 0)) ), "")</f>
        <v/>
      </c>
      <c r="AB44" s="397">
        <f>IFERROR(AVERAGE(tblSeverityAnalysis[[#This Row],[SAMV]:[ASH]]), "")</f>
        <v>2.5</v>
      </c>
      <c r="AC44" s="346">
        <f>IF(SUM(tblSeverityAnalysis[[#This Row],[SAMV]:[ASH]])=0, "", MAX(tblSeverityAnalysis[[#This Row],[SAMV]:[ASH]]))</f>
        <v>4</v>
      </c>
      <c r="AD44" s="261" t="str" cm="1">
        <f t="array" ref="AD44">IFERROR(IF(tblSeverityAnalysis[[#This Row],[Severidad máxima]]="", "", _xlfn.TEXTJOIN(CHAR(10), TRUE, IF(tblSeverityAnalysis[[#This Row],[SAMV]:[ASH]]=tblSeverityAnalysis[[#This Row],[Severidad máxima]], tblSeverityAnalysis[[#Headers],[SAMV]:[ASH]], ""), "")), "")</f>
        <v>PRO</v>
      </c>
      <c r="AE44" s="346" cm="1">
        <f t="array" ref="AE44">IFERROR(MAX(_xlfn._xlws.FILTER(tblSeverityAnalysis[[#This Row],[SAMV]:[ASH]], tblSeverityAnalysis[[#This Row],[SAMV]:[ASH]]&lt;tblSeverityAnalysis[[#This Row],[Severidad máxima]])), "")</f>
        <v>3</v>
      </c>
      <c r="AF44" s="398" t="str" cm="1">
        <f t="array" ref="AF44">IFERROR(IF(tblSeverityAnalysis[[#This Row],[2ª mayor severidad]]="", "", _xlfn.TEXTJOIN(CHAR(10), TRUE, IF(tblSeverityAnalysis[[#This Row],[SAMV]:[ASH]]=tblSeverityAnalysis[[#This Row],[2ª mayor severidad]], tblSeverityAnalysis[[#Headers],[SAMV]:[ASH]], ""), "")), "")</f>
        <v>SAL
EDU</v>
      </c>
      <c r="AG44" s="405" t="str">
        <f>IFERROR(IF(AND(tblSeverityAnalysis[[#This Row],[5]] &lt;&gt; "", tblSeverityAnalysis[[#This Row],[5]]&gt;=sectors_sev_5), "Flagged", ""), "")</f>
        <v/>
      </c>
      <c r="AH44" s="347" t="str">
        <f>IFERROR(IF(AND(tblSeverityAnalysis[[#This Row],[Severidad preliminar basada en la superposición de privaciones sectoriales]]=5, SUM(tblSeverityAnalysis[[#This Row],[ 1 ]:[ 4 ]])&gt;=sectors_sev_5), "Flagged", ""), "")</f>
        <v/>
      </c>
      <c r="AI44" s="348" t="str" cm="1">
        <f t="array" ref="AI4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4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44" s="350"/>
      <c r="AL44" s="351"/>
      <c r="AM44" s="350"/>
      <c r="AN44" s="407">
        <f>COUNTIF(tblSeverityAnalysis[[#This Row],[1 sectores en fase de severidad 5 '[modificar el umbral']]:[Marcador manual]], "Flagged")</f>
        <v>0</v>
      </c>
      <c r="AO44" s="418">
        <f>tblSeverityAnalysis[[#This Row],[Severidad preliminar basada en la superposición de privaciones sectoriales]]</f>
        <v>2</v>
      </c>
      <c r="AP44" s="417"/>
      <c r="AQ44" s="421" t="s">
        <v>876</v>
      </c>
      <c r="AR44" s="417">
        <v>3</v>
      </c>
    </row>
    <row r="45" spans="1:44" hidden="1">
      <c r="A4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VenezolanosVE0506</v>
      </c>
      <c r="B45" s="363" t="s">
        <v>123</v>
      </c>
      <c r="C45" s="323" t="s">
        <v>179</v>
      </c>
      <c r="D45" s="322" t="s">
        <v>190</v>
      </c>
      <c r="E45" s="323" t="s">
        <v>191</v>
      </c>
      <c r="F45" s="323"/>
      <c r="G45" s="324">
        <v>48800</v>
      </c>
      <c r="H45" s="324" t="s">
        <v>102</v>
      </c>
      <c r="I45" s="374">
        <v>2</v>
      </c>
      <c r="J45" s="237">
        <v>1</v>
      </c>
      <c r="K45" s="237">
        <v>3</v>
      </c>
      <c r="L45" s="237">
        <v>4</v>
      </c>
      <c r="M45" s="237">
        <v>3</v>
      </c>
      <c r="N45" s="237">
        <v>2</v>
      </c>
      <c r="O45" s="237">
        <v>3</v>
      </c>
      <c r="P45" s="237">
        <v>3</v>
      </c>
      <c r="Q45" s="382">
        <f>IF(COUNTIF(tblSeverityAnalysis[[#This Row],[SAMV]:[ASH]], 1)=0, "", COUNTIF(tblSeverityAnalysis[[#This Row],[SAMV]:[ASH]], 1))</f>
        <v>1</v>
      </c>
      <c r="R45" s="325">
        <f>IF(COUNTIF(tblSeverityAnalysis[[#This Row],[SAMV]:[ASH]], 2)=0, "", COUNTIF(tblSeverityAnalysis[[#This Row],[SAMV]:[ASH]], 2))</f>
        <v>2</v>
      </c>
      <c r="S45" s="325">
        <f>IF(COUNTIF(tblSeverityAnalysis[[#This Row],[SAMV]:[ASH]], 3)=0, "", COUNTIF(tblSeverityAnalysis[[#This Row],[SAMV]:[ASH]], 3))</f>
        <v>2</v>
      </c>
      <c r="T45" s="325">
        <f>IF(COUNTIF(tblSeverityAnalysis[[#This Row],[SAMV]:[ASH]], 4)=0, "", COUNTIF(tblSeverityAnalysis[[#This Row],[SAMV]:[ASH]], 4))</f>
        <v>1</v>
      </c>
      <c r="U45" s="383" t="str">
        <f>IF(COUNTIF(tblSeverityAnalysis[[#This Row],[SAMV]:[ASH]], 5)=0, "", COUNTIF(tblSeverityAnalysis[[#This Row],[SAMV]:[ASH]], 5))</f>
        <v/>
      </c>
      <c r="V45" s="375" cm="1">
        <f t="array" ref="V4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4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45" s="237" t="str">
        <f>IFERROR(IF(INDEX(tblSeverityReference[Severidad de la desnutrición],MATCH(tblSeverityAnalysis[[#This Row],[ID]], tblSeverityReference[ID], 0))= "", "",INDEX(tblSeverityReference[Severidad de la desnutrición],MATCH(tblSeverityAnalysis[[#This Row],[ID]], tblSeverityReference[ID], 0)) ), "")</f>
        <v/>
      </c>
      <c r="Y45" s="349" t="str">
        <f>IFERROR(IF(INDEX(tblSeverityReference[Severidad epidémica],MATCH(tblSeverityAnalysis[[#This Row],[ID]], tblSeverityReference[ID], 0))= "", "",INDEX(tblSeverityReference[Severidad epidémica],MATCH(tblSeverityAnalysis[[#This Row],[ID]], tblSeverityReference[ID], 0)) ), "")</f>
        <v/>
      </c>
      <c r="Z4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45" s="391" t="str">
        <f>IFERROR(IF(INDEX(tblSeverityReference[HR/IHL Violation],MATCH(tblSeverityAnalysis[[#This Row],[ID]], tblSeverityReference[ID], 0))= "", "",INDEX(tblSeverityReference[HR/IHL Violation],MATCH(tblSeverityAnalysis[[#This Row],[ID]], tblSeverityReference[ID], 0)) ), "")</f>
        <v/>
      </c>
      <c r="AB45" s="397">
        <f>IFERROR(AVERAGE(tblSeverityAnalysis[[#This Row],[SAMV]:[ASH]]), "")</f>
        <v>2.5</v>
      </c>
      <c r="AC45" s="346">
        <f>IF(SUM(tblSeverityAnalysis[[#This Row],[SAMV]:[ASH]])=0, "", MAX(tblSeverityAnalysis[[#This Row],[SAMV]:[ASH]]))</f>
        <v>4</v>
      </c>
      <c r="AD45" s="261" t="str" cm="1">
        <f t="array" ref="AD45">IFERROR(IF(tblSeverityAnalysis[[#This Row],[Severidad máxima]]="", "", _xlfn.TEXTJOIN(CHAR(10), TRUE, IF(tblSeverityAnalysis[[#This Row],[SAMV]:[ASH]]=tblSeverityAnalysis[[#This Row],[Severidad máxima]], tblSeverityAnalysis[[#Headers],[SAMV]:[ASH]], ""), "")), "")</f>
        <v>EDU</v>
      </c>
      <c r="AE45" s="346" cm="1">
        <f t="array" ref="AE45">IFERROR(MAX(_xlfn._xlws.FILTER(tblSeverityAnalysis[[#This Row],[SAMV]:[ASH]], tblSeverityAnalysis[[#This Row],[SAMV]:[ASH]]&lt;tblSeverityAnalysis[[#This Row],[Severidad máxima]])), "")</f>
        <v>3</v>
      </c>
      <c r="AF45" s="398" t="str" cm="1">
        <f t="array" ref="AF45">IFERROR(IF(tblSeverityAnalysis[[#This Row],[2ª mayor severidad]]="", "", _xlfn.TEXTJOIN(CHAR(10), TRUE, IF(tblSeverityAnalysis[[#This Row],[SAMV]:[ASH]]=tblSeverityAnalysis[[#This Row],[2ª mayor severidad]], tblSeverityAnalysis[[#Headers],[SAMV]:[ASH]], ""), "")), "")</f>
        <v>SAL
PRO</v>
      </c>
      <c r="AG45" s="405" t="str">
        <f>IFERROR(IF(AND(tblSeverityAnalysis[[#This Row],[5]] &lt;&gt; "", tblSeverityAnalysis[[#This Row],[5]]&gt;=sectors_sev_5), "Flagged", ""), "")</f>
        <v/>
      </c>
      <c r="AH45" s="347" t="str">
        <f>IFERROR(IF(AND(tblSeverityAnalysis[[#This Row],[Severidad preliminar basada en la superposición de privaciones sectoriales]]=5, SUM(tblSeverityAnalysis[[#This Row],[ 1 ]:[ 4 ]])&gt;=sectors_sev_5), "Flagged", ""), "")</f>
        <v/>
      </c>
      <c r="AI45" s="348" t="str" cm="1">
        <f t="array" ref="AI4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4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45" s="350"/>
      <c r="AL45" s="351"/>
      <c r="AM45" s="350"/>
      <c r="AN45" s="407">
        <f>COUNTIF(tblSeverityAnalysis[[#This Row],[1 sectores en fase de severidad 5 '[modificar el umbral']]:[Marcador manual]], "Flagged")</f>
        <v>0</v>
      </c>
      <c r="AO45" s="418">
        <f>tblSeverityAnalysis[[#This Row],[Severidad preliminar basada en la superposición de privaciones sectoriales]]</f>
        <v>2</v>
      </c>
      <c r="AP45" s="417"/>
      <c r="AQ45" s="421" t="s">
        <v>876</v>
      </c>
      <c r="AR45" s="417">
        <v>3</v>
      </c>
    </row>
    <row r="46" spans="1:44" hidden="1">
      <c r="A4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VenezolanosVE0507</v>
      </c>
      <c r="B46" s="363" t="s">
        <v>123</v>
      </c>
      <c r="C46" s="323" t="s">
        <v>179</v>
      </c>
      <c r="D46" s="322" t="s">
        <v>100</v>
      </c>
      <c r="E46" s="323" t="s">
        <v>192</v>
      </c>
      <c r="F46" s="323"/>
      <c r="G46" s="324">
        <v>114355</v>
      </c>
      <c r="H46" s="324" t="s">
        <v>102</v>
      </c>
      <c r="I46" s="374">
        <v>2</v>
      </c>
      <c r="J46" s="237">
        <v>1</v>
      </c>
      <c r="K46" s="237">
        <v>3</v>
      </c>
      <c r="L46" s="237">
        <v>3</v>
      </c>
      <c r="M46" s="237">
        <v>3</v>
      </c>
      <c r="N46" s="237">
        <v>2</v>
      </c>
      <c r="O46" s="237">
        <v>3</v>
      </c>
      <c r="P46" s="237">
        <v>3</v>
      </c>
      <c r="Q46" s="382">
        <f>IF(COUNTIF(tblSeverityAnalysis[[#This Row],[SAMV]:[ASH]], 1)=0, "", COUNTIF(tblSeverityAnalysis[[#This Row],[SAMV]:[ASH]], 1))</f>
        <v>1</v>
      </c>
      <c r="R46" s="325">
        <f>IF(COUNTIF(tblSeverityAnalysis[[#This Row],[SAMV]:[ASH]], 2)=0, "", COUNTIF(tblSeverityAnalysis[[#This Row],[SAMV]:[ASH]], 2))</f>
        <v>2</v>
      </c>
      <c r="S46" s="325">
        <f>IF(COUNTIF(tblSeverityAnalysis[[#This Row],[SAMV]:[ASH]], 3)=0, "", COUNTIF(tblSeverityAnalysis[[#This Row],[SAMV]:[ASH]], 3))</f>
        <v>3</v>
      </c>
      <c r="T46" s="325" t="str">
        <f>IF(COUNTIF(tblSeverityAnalysis[[#This Row],[SAMV]:[ASH]], 4)=0, "", COUNTIF(tblSeverityAnalysis[[#This Row],[SAMV]:[ASH]], 4))</f>
        <v/>
      </c>
      <c r="U46" s="383" t="str">
        <f>IF(COUNTIF(tblSeverityAnalysis[[#This Row],[SAMV]:[ASH]], 5)=0, "", COUNTIF(tblSeverityAnalysis[[#This Row],[SAMV]:[ASH]], 5))</f>
        <v/>
      </c>
      <c r="V46" s="375" cm="1">
        <f t="array" ref="V4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4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46" s="237" t="str">
        <f>IFERROR(IF(INDEX(tblSeverityReference[Severidad de la desnutrición],MATCH(tblSeverityAnalysis[[#This Row],[ID]], tblSeverityReference[ID], 0))= "", "",INDEX(tblSeverityReference[Severidad de la desnutrición],MATCH(tblSeverityAnalysis[[#This Row],[ID]], tblSeverityReference[ID], 0)) ), "")</f>
        <v/>
      </c>
      <c r="Y46" s="349" t="str">
        <f>IFERROR(IF(INDEX(tblSeverityReference[Severidad epidémica],MATCH(tblSeverityAnalysis[[#This Row],[ID]], tblSeverityReference[ID], 0))= "", "",INDEX(tblSeverityReference[Severidad epidémica],MATCH(tblSeverityAnalysis[[#This Row],[ID]], tblSeverityReference[ID], 0)) ), "")</f>
        <v/>
      </c>
      <c r="Z4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46" s="391" t="str">
        <f>IFERROR(IF(INDEX(tblSeverityReference[HR/IHL Violation],MATCH(tblSeverityAnalysis[[#This Row],[ID]], tblSeverityReference[ID], 0))= "", "",INDEX(tblSeverityReference[HR/IHL Violation],MATCH(tblSeverityAnalysis[[#This Row],[ID]], tblSeverityReference[ID], 0)) ), "")</f>
        <v/>
      </c>
      <c r="AB46" s="397">
        <f>IFERROR(AVERAGE(tblSeverityAnalysis[[#This Row],[SAMV]:[ASH]]), "")</f>
        <v>2.3333333333333335</v>
      </c>
      <c r="AC46" s="346">
        <f>IF(SUM(tblSeverityAnalysis[[#This Row],[SAMV]:[ASH]])=0, "", MAX(tblSeverityAnalysis[[#This Row],[SAMV]:[ASH]]))</f>
        <v>3</v>
      </c>
      <c r="AD46" s="261" t="str" cm="1">
        <f t="array" ref="AD46">IFERROR(IF(tblSeverityAnalysis[[#This Row],[Severidad máxima]]="", "", _xlfn.TEXTJOIN(CHAR(10), TRUE, IF(tblSeverityAnalysis[[#This Row],[SAMV]:[ASH]]=tblSeverityAnalysis[[#This Row],[Severidad máxima]], tblSeverityAnalysis[[#Headers],[SAMV]:[ASH]], ""), "")), "")</f>
        <v>SAL
EDU
PRO</v>
      </c>
      <c r="AE46" s="346" cm="1">
        <f t="array" ref="AE46">IFERROR(MAX(_xlfn._xlws.FILTER(tblSeverityAnalysis[[#This Row],[SAMV]:[ASH]], tblSeverityAnalysis[[#This Row],[SAMV]:[ASH]]&lt;tblSeverityAnalysis[[#This Row],[Severidad máxima]])), "")</f>
        <v>2</v>
      </c>
      <c r="AF46" s="398" t="str" cm="1">
        <f t="array" ref="AF46">IFERROR(IF(tblSeverityAnalysis[[#This Row],[2ª mayor severidad]]="", "", _xlfn.TEXTJOIN(CHAR(10), TRUE, IF(tblSeverityAnalysis[[#This Row],[SAMV]:[ASH]]=tblSeverityAnalysis[[#This Row],[2ª mayor severidad]], tblSeverityAnalysis[[#Headers],[SAMV]:[ASH]], ""), "")), "")</f>
        <v>SAMV
ASH</v>
      </c>
      <c r="AG46" s="405" t="str">
        <f>IFERROR(IF(AND(tblSeverityAnalysis[[#This Row],[5]] &lt;&gt; "", tblSeverityAnalysis[[#This Row],[5]]&gt;=sectors_sev_5), "Flagged", ""), "")</f>
        <v/>
      </c>
      <c r="AH46" s="347" t="str">
        <f>IFERROR(IF(AND(tblSeverityAnalysis[[#This Row],[Severidad preliminar basada en la superposición de privaciones sectoriales]]=5, SUM(tblSeverityAnalysis[[#This Row],[ 1 ]:[ 4 ]])&gt;=sectors_sev_5), "Flagged", ""), "")</f>
        <v/>
      </c>
      <c r="AI46" s="348" t="str" cm="1">
        <f t="array" ref="AI4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4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46" s="350"/>
      <c r="AL46" s="351"/>
      <c r="AM46" s="350"/>
      <c r="AN46" s="407">
        <f>COUNTIF(tblSeverityAnalysis[[#This Row],[1 sectores en fase de severidad 5 '[modificar el umbral']]:[Marcador manual]], "Flagged")</f>
        <v>0</v>
      </c>
      <c r="AO46" s="418">
        <f>tblSeverityAnalysis[[#This Row],[Severidad preliminar basada en la superposición de privaciones sectoriales]]</f>
        <v>2</v>
      </c>
      <c r="AP46" s="417"/>
      <c r="AQ46" s="421" t="s">
        <v>876</v>
      </c>
      <c r="AR46" s="417">
        <v>3</v>
      </c>
    </row>
    <row r="47" spans="1:44" hidden="1">
      <c r="A4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VenezolanosVE0508</v>
      </c>
      <c r="B47" s="363" t="s">
        <v>123</v>
      </c>
      <c r="C47" s="323" t="s">
        <v>179</v>
      </c>
      <c r="D47" s="322" t="s">
        <v>193</v>
      </c>
      <c r="E47" s="323" t="s">
        <v>194</v>
      </c>
      <c r="F47" s="323"/>
      <c r="G47" s="324">
        <v>99852</v>
      </c>
      <c r="H47" s="324" t="s">
        <v>102</v>
      </c>
      <c r="I47" s="374">
        <v>3</v>
      </c>
      <c r="J47" s="237">
        <v>1</v>
      </c>
      <c r="K47" s="237">
        <v>3</v>
      </c>
      <c r="L47" s="237">
        <v>3</v>
      </c>
      <c r="M47" s="237">
        <v>3</v>
      </c>
      <c r="N47" s="237">
        <v>2</v>
      </c>
      <c r="O47" s="237">
        <v>3</v>
      </c>
      <c r="P47" s="237">
        <v>3</v>
      </c>
      <c r="Q47" s="382">
        <f>IF(COUNTIF(tblSeverityAnalysis[[#This Row],[SAMV]:[ASH]], 1)=0, "", COUNTIF(tblSeverityAnalysis[[#This Row],[SAMV]:[ASH]], 1))</f>
        <v>1</v>
      </c>
      <c r="R47" s="325">
        <f>IF(COUNTIF(tblSeverityAnalysis[[#This Row],[SAMV]:[ASH]], 2)=0, "", COUNTIF(tblSeverityAnalysis[[#This Row],[SAMV]:[ASH]], 2))</f>
        <v>1</v>
      </c>
      <c r="S47" s="325">
        <f>IF(COUNTIF(tblSeverityAnalysis[[#This Row],[SAMV]:[ASH]], 3)=0, "", COUNTIF(tblSeverityAnalysis[[#This Row],[SAMV]:[ASH]], 3))</f>
        <v>4</v>
      </c>
      <c r="T47" s="325" t="str">
        <f>IF(COUNTIF(tblSeverityAnalysis[[#This Row],[SAMV]:[ASH]], 4)=0, "", COUNTIF(tblSeverityAnalysis[[#This Row],[SAMV]:[ASH]], 4))</f>
        <v/>
      </c>
      <c r="U47" s="383" t="str">
        <f>IF(COUNTIF(tblSeverityAnalysis[[#This Row],[SAMV]:[ASH]], 5)=0, "", COUNTIF(tblSeverityAnalysis[[#This Row],[SAMV]:[ASH]], 5))</f>
        <v/>
      </c>
      <c r="V47" s="375" cm="1">
        <f t="array" ref="V4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4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47" s="237" t="str">
        <f>IFERROR(IF(INDEX(tblSeverityReference[Severidad de la desnutrición],MATCH(tblSeverityAnalysis[[#This Row],[ID]], tblSeverityReference[ID], 0))= "", "",INDEX(tblSeverityReference[Severidad de la desnutrición],MATCH(tblSeverityAnalysis[[#This Row],[ID]], tblSeverityReference[ID], 0)) ), "")</f>
        <v/>
      </c>
      <c r="Y47" s="349" t="str">
        <f>IFERROR(IF(INDEX(tblSeverityReference[Severidad epidémica],MATCH(tblSeverityAnalysis[[#This Row],[ID]], tblSeverityReference[ID], 0))= "", "",INDEX(tblSeverityReference[Severidad epidémica],MATCH(tblSeverityAnalysis[[#This Row],[ID]], tblSeverityReference[ID], 0)) ), "")</f>
        <v/>
      </c>
      <c r="Z4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47" s="391" t="str">
        <f>IFERROR(IF(INDEX(tblSeverityReference[HR/IHL Violation],MATCH(tblSeverityAnalysis[[#This Row],[ID]], tblSeverityReference[ID], 0))= "", "",INDEX(tblSeverityReference[HR/IHL Violation],MATCH(tblSeverityAnalysis[[#This Row],[ID]], tblSeverityReference[ID], 0)) ), "")</f>
        <v/>
      </c>
      <c r="AB47" s="397">
        <f>IFERROR(AVERAGE(tblSeverityAnalysis[[#This Row],[SAMV]:[ASH]]), "")</f>
        <v>2.5</v>
      </c>
      <c r="AC47" s="346">
        <f>IF(SUM(tblSeverityAnalysis[[#This Row],[SAMV]:[ASH]])=0, "", MAX(tblSeverityAnalysis[[#This Row],[SAMV]:[ASH]]))</f>
        <v>3</v>
      </c>
      <c r="AD47" s="261" t="str" cm="1">
        <f t="array" ref="AD47">IFERROR(IF(tblSeverityAnalysis[[#This Row],[Severidad máxima]]="", "", _xlfn.TEXTJOIN(CHAR(10), TRUE, IF(tblSeverityAnalysis[[#This Row],[SAMV]:[ASH]]=tblSeverityAnalysis[[#This Row],[Severidad máxima]], tblSeverityAnalysis[[#Headers],[SAMV]:[ASH]], ""), "")), "")</f>
        <v>SAMV
SAL
EDU
PRO</v>
      </c>
      <c r="AE47" s="346" cm="1">
        <f t="array" ref="AE47">IFERROR(MAX(_xlfn._xlws.FILTER(tblSeverityAnalysis[[#This Row],[SAMV]:[ASH]], tblSeverityAnalysis[[#This Row],[SAMV]:[ASH]]&lt;tblSeverityAnalysis[[#This Row],[Severidad máxima]])), "")</f>
        <v>2</v>
      </c>
      <c r="AF47" s="398" t="str" cm="1">
        <f t="array" ref="AF47">IFERROR(IF(tblSeverityAnalysis[[#This Row],[2ª mayor severidad]]="", "", _xlfn.TEXTJOIN(CHAR(10), TRUE, IF(tblSeverityAnalysis[[#This Row],[SAMV]:[ASH]]=tblSeverityAnalysis[[#This Row],[2ª mayor severidad]], tblSeverityAnalysis[[#Headers],[SAMV]:[ASH]], ""), "")), "")</f>
        <v>ASH</v>
      </c>
      <c r="AG47" s="405" t="str">
        <f>IFERROR(IF(AND(tblSeverityAnalysis[[#This Row],[5]] &lt;&gt; "", tblSeverityAnalysis[[#This Row],[5]]&gt;=sectors_sev_5), "Flagged", ""), "")</f>
        <v/>
      </c>
      <c r="AH47" s="347" t="str">
        <f>IFERROR(IF(AND(tblSeverityAnalysis[[#This Row],[Severidad preliminar basada en la superposición de privaciones sectoriales]]=5, SUM(tblSeverityAnalysis[[#This Row],[ 1 ]:[ 4 ]])&gt;=sectors_sev_5), "Flagged", ""), "")</f>
        <v/>
      </c>
      <c r="AI47" s="348" t="str" cm="1">
        <f t="array" ref="AI4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4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47" s="350"/>
      <c r="AL47" s="351"/>
      <c r="AM47" s="350"/>
      <c r="AN47" s="407">
        <f>COUNTIF(tblSeverityAnalysis[[#This Row],[1 sectores en fase de severidad 5 '[modificar el umbral']]:[Marcador manual]], "Flagged")</f>
        <v>0</v>
      </c>
      <c r="AO47" s="418">
        <f>tblSeverityAnalysis[[#This Row],[Severidad preliminar basada en la superposición de privaciones sectoriales]]</f>
        <v>3</v>
      </c>
      <c r="AP47" s="417"/>
      <c r="AQ47" s="421" t="s">
        <v>876</v>
      </c>
      <c r="AR47" s="417">
        <v>3</v>
      </c>
    </row>
    <row r="48" spans="1:44" hidden="1">
      <c r="A4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VenezolanosVE0509</v>
      </c>
      <c r="B48" s="363" t="s">
        <v>123</v>
      </c>
      <c r="C48" s="323" t="s">
        <v>179</v>
      </c>
      <c r="D48" s="322" t="s">
        <v>195</v>
      </c>
      <c r="E48" s="323" t="s">
        <v>196</v>
      </c>
      <c r="F48" s="323"/>
      <c r="G48" s="324">
        <v>25540</v>
      </c>
      <c r="H48" s="324" t="s">
        <v>102</v>
      </c>
      <c r="I48" s="374">
        <v>3</v>
      </c>
      <c r="J48" s="237">
        <v>1</v>
      </c>
      <c r="K48" s="237">
        <v>3</v>
      </c>
      <c r="L48" s="237">
        <v>3</v>
      </c>
      <c r="M48" s="237">
        <v>3</v>
      </c>
      <c r="N48" s="237">
        <v>2</v>
      </c>
      <c r="O48" s="237">
        <v>3</v>
      </c>
      <c r="P48" s="237">
        <v>3</v>
      </c>
      <c r="Q48" s="382">
        <f>IF(COUNTIF(tblSeverityAnalysis[[#This Row],[SAMV]:[ASH]], 1)=0, "", COUNTIF(tblSeverityAnalysis[[#This Row],[SAMV]:[ASH]], 1))</f>
        <v>1</v>
      </c>
      <c r="R48" s="325">
        <f>IF(COUNTIF(tblSeverityAnalysis[[#This Row],[SAMV]:[ASH]], 2)=0, "", COUNTIF(tblSeverityAnalysis[[#This Row],[SAMV]:[ASH]], 2))</f>
        <v>1</v>
      </c>
      <c r="S48" s="325">
        <f>IF(COUNTIF(tblSeverityAnalysis[[#This Row],[SAMV]:[ASH]], 3)=0, "", COUNTIF(tblSeverityAnalysis[[#This Row],[SAMV]:[ASH]], 3))</f>
        <v>4</v>
      </c>
      <c r="T48" s="325" t="str">
        <f>IF(COUNTIF(tblSeverityAnalysis[[#This Row],[SAMV]:[ASH]], 4)=0, "", COUNTIF(tblSeverityAnalysis[[#This Row],[SAMV]:[ASH]], 4))</f>
        <v/>
      </c>
      <c r="U48" s="383" t="str">
        <f>IF(COUNTIF(tblSeverityAnalysis[[#This Row],[SAMV]:[ASH]], 5)=0, "", COUNTIF(tblSeverityAnalysis[[#This Row],[SAMV]:[ASH]], 5))</f>
        <v/>
      </c>
      <c r="V48" s="375" cm="1">
        <f t="array" ref="V4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4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48" s="237" t="str">
        <f>IFERROR(IF(INDEX(tblSeverityReference[Severidad de la desnutrición],MATCH(tblSeverityAnalysis[[#This Row],[ID]], tblSeverityReference[ID], 0))= "", "",INDEX(tblSeverityReference[Severidad de la desnutrición],MATCH(tblSeverityAnalysis[[#This Row],[ID]], tblSeverityReference[ID], 0)) ), "")</f>
        <v/>
      </c>
      <c r="Y48" s="349" t="str">
        <f>IFERROR(IF(INDEX(tblSeverityReference[Severidad epidémica],MATCH(tblSeverityAnalysis[[#This Row],[ID]], tblSeverityReference[ID], 0))= "", "",INDEX(tblSeverityReference[Severidad epidémica],MATCH(tblSeverityAnalysis[[#This Row],[ID]], tblSeverityReference[ID], 0)) ), "")</f>
        <v/>
      </c>
      <c r="Z4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48" s="391" t="str">
        <f>IFERROR(IF(INDEX(tblSeverityReference[HR/IHL Violation],MATCH(tblSeverityAnalysis[[#This Row],[ID]], tblSeverityReference[ID], 0))= "", "",INDEX(tblSeverityReference[HR/IHL Violation],MATCH(tblSeverityAnalysis[[#This Row],[ID]], tblSeverityReference[ID], 0)) ), "")</f>
        <v/>
      </c>
      <c r="AB48" s="397">
        <f>IFERROR(AVERAGE(tblSeverityAnalysis[[#This Row],[SAMV]:[ASH]]), "")</f>
        <v>2.5</v>
      </c>
      <c r="AC48" s="346">
        <f>IF(SUM(tblSeverityAnalysis[[#This Row],[SAMV]:[ASH]])=0, "", MAX(tblSeverityAnalysis[[#This Row],[SAMV]:[ASH]]))</f>
        <v>3</v>
      </c>
      <c r="AD48" s="261" t="str" cm="1">
        <f t="array" ref="AD48">IFERROR(IF(tblSeverityAnalysis[[#This Row],[Severidad máxima]]="", "", _xlfn.TEXTJOIN(CHAR(10), TRUE, IF(tblSeverityAnalysis[[#This Row],[SAMV]:[ASH]]=tblSeverityAnalysis[[#This Row],[Severidad máxima]], tblSeverityAnalysis[[#Headers],[SAMV]:[ASH]], ""), "")), "")</f>
        <v>SAMV
SAL
EDU
PRO</v>
      </c>
      <c r="AE48" s="346" cm="1">
        <f t="array" ref="AE48">IFERROR(MAX(_xlfn._xlws.FILTER(tblSeverityAnalysis[[#This Row],[SAMV]:[ASH]], tblSeverityAnalysis[[#This Row],[SAMV]:[ASH]]&lt;tblSeverityAnalysis[[#This Row],[Severidad máxima]])), "")</f>
        <v>2</v>
      </c>
      <c r="AF48" s="398" t="str" cm="1">
        <f t="array" ref="AF48">IFERROR(IF(tblSeverityAnalysis[[#This Row],[2ª mayor severidad]]="", "", _xlfn.TEXTJOIN(CHAR(10), TRUE, IF(tblSeverityAnalysis[[#This Row],[SAMV]:[ASH]]=tblSeverityAnalysis[[#This Row],[2ª mayor severidad]], tblSeverityAnalysis[[#Headers],[SAMV]:[ASH]], ""), "")), "")</f>
        <v>ASH</v>
      </c>
      <c r="AG48" s="405" t="str">
        <f>IFERROR(IF(AND(tblSeverityAnalysis[[#This Row],[5]] &lt;&gt; "", tblSeverityAnalysis[[#This Row],[5]]&gt;=sectors_sev_5), "Flagged", ""), "")</f>
        <v/>
      </c>
      <c r="AH48" s="347" t="str">
        <f>IFERROR(IF(AND(tblSeverityAnalysis[[#This Row],[Severidad preliminar basada en la superposición de privaciones sectoriales]]=5, SUM(tblSeverityAnalysis[[#This Row],[ 1 ]:[ 4 ]])&gt;=sectors_sev_5), "Flagged", ""), "")</f>
        <v/>
      </c>
      <c r="AI48" s="348" t="str" cm="1">
        <f t="array" ref="AI4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4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48" s="350"/>
      <c r="AL48" s="351"/>
      <c r="AM48" s="350"/>
      <c r="AN48" s="407">
        <f>COUNTIF(tblSeverityAnalysis[[#This Row],[1 sectores en fase de severidad 5 '[modificar el umbral']]:[Marcador manual]], "Flagged")</f>
        <v>0</v>
      </c>
      <c r="AO48" s="418">
        <f>tblSeverityAnalysis[[#This Row],[Severidad preliminar basada en la superposición de privaciones sectoriales]]</f>
        <v>3</v>
      </c>
      <c r="AP48" s="417"/>
      <c r="AQ48" s="421" t="s">
        <v>876</v>
      </c>
      <c r="AR48" s="417">
        <v>4</v>
      </c>
    </row>
    <row r="49" spans="1:44" hidden="1">
      <c r="A4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VenezolanosVE0510</v>
      </c>
      <c r="B49" s="363" t="s">
        <v>123</v>
      </c>
      <c r="C49" s="323" t="s">
        <v>179</v>
      </c>
      <c r="D49" s="322" t="s">
        <v>197</v>
      </c>
      <c r="E49" s="323" t="s">
        <v>198</v>
      </c>
      <c r="F49" s="323"/>
      <c r="G49" s="324">
        <v>23279</v>
      </c>
      <c r="H49" s="324" t="s">
        <v>102</v>
      </c>
      <c r="I49" s="374">
        <v>3</v>
      </c>
      <c r="J49" s="237">
        <v>1</v>
      </c>
      <c r="K49" s="237">
        <v>3</v>
      </c>
      <c r="L49" s="237">
        <v>3</v>
      </c>
      <c r="M49" s="237">
        <v>3</v>
      </c>
      <c r="N49" s="237">
        <v>4</v>
      </c>
      <c r="O49" s="237">
        <v>3</v>
      </c>
      <c r="P49" s="237">
        <v>3</v>
      </c>
      <c r="Q49" s="382">
        <f>IF(COUNTIF(tblSeverityAnalysis[[#This Row],[SAMV]:[ASH]], 1)=0, "", COUNTIF(tblSeverityAnalysis[[#This Row],[SAMV]:[ASH]], 1))</f>
        <v>1</v>
      </c>
      <c r="R49" s="325" t="str">
        <f>IF(COUNTIF(tblSeverityAnalysis[[#This Row],[SAMV]:[ASH]], 2)=0, "", COUNTIF(tblSeverityAnalysis[[#This Row],[SAMV]:[ASH]], 2))</f>
        <v/>
      </c>
      <c r="S49" s="325">
        <f>IF(COUNTIF(tblSeverityAnalysis[[#This Row],[SAMV]:[ASH]], 3)=0, "", COUNTIF(tblSeverityAnalysis[[#This Row],[SAMV]:[ASH]], 3))</f>
        <v>4</v>
      </c>
      <c r="T49" s="325">
        <f>IF(COUNTIF(tblSeverityAnalysis[[#This Row],[SAMV]:[ASH]], 4)=0, "", COUNTIF(tblSeverityAnalysis[[#This Row],[SAMV]:[ASH]], 4))</f>
        <v>1</v>
      </c>
      <c r="U49" s="383" t="str">
        <f>IF(COUNTIF(tblSeverityAnalysis[[#This Row],[SAMV]:[ASH]], 5)=0, "", COUNTIF(tblSeverityAnalysis[[#This Row],[SAMV]:[ASH]], 5))</f>
        <v/>
      </c>
      <c r="V49" s="375" cm="1">
        <f t="array" ref="V4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4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49" s="237" t="str">
        <f>IFERROR(IF(INDEX(tblSeverityReference[Severidad de la desnutrición],MATCH(tblSeverityAnalysis[[#This Row],[ID]], tblSeverityReference[ID], 0))= "", "",INDEX(tblSeverityReference[Severidad de la desnutrición],MATCH(tblSeverityAnalysis[[#This Row],[ID]], tblSeverityReference[ID], 0)) ), "")</f>
        <v/>
      </c>
      <c r="Y49" s="349" t="str">
        <f>IFERROR(IF(INDEX(tblSeverityReference[Severidad epidémica],MATCH(tblSeverityAnalysis[[#This Row],[ID]], tblSeverityReference[ID], 0))= "", "",INDEX(tblSeverityReference[Severidad epidémica],MATCH(tblSeverityAnalysis[[#This Row],[ID]], tblSeverityReference[ID], 0)) ), "")</f>
        <v/>
      </c>
      <c r="Z4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49" s="391" t="str">
        <f>IFERROR(IF(INDEX(tblSeverityReference[HR/IHL Violation],MATCH(tblSeverityAnalysis[[#This Row],[ID]], tblSeverityReference[ID], 0))= "", "",INDEX(tblSeverityReference[HR/IHL Violation],MATCH(tblSeverityAnalysis[[#This Row],[ID]], tblSeverityReference[ID], 0)) ), "")</f>
        <v/>
      </c>
      <c r="AB49" s="397">
        <f>IFERROR(AVERAGE(tblSeverityAnalysis[[#This Row],[SAMV]:[ASH]]), "")</f>
        <v>2.8333333333333335</v>
      </c>
      <c r="AC49" s="346">
        <f>IF(SUM(tblSeverityAnalysis[[#This Row],[SAMV]:[ASH]])=0, "", MAX(tblSeverityAnalysis[[#This Row],[SAMV]:[ASH]]))</f>
        <v>4</v>
      </c>
      <c r="AD49" s="261" t="str" cm="1">
        <f t="array" ref="AD49">IFERROR(IF(tblSeverityAnalysis[[#This Row],[Severidad máxima]]="", "", _xlfn.TEXTJOIN(CHAR(10), TRUE, IF(tblSeverityAnalysis[[#This Row],[SAMV]:[ASH]]=tblSeverityAnalysis[[#This Row],[Severidad máxima]], tblSeverityAnalysis[[#Headers],[SAMV]:[ASH]], ""), "")), "")</f>
        <v>ASH</v>
      </c>
      <c r="AE49" s="346" cm="1">
        <f t="array" ref="AE49">IFERROR(MAX(_xlfn._xlws.FILTER(tblSeverityAnalysis[[#This Row],[SAMV]:[ASH]], tblSeverityAnalysis[[#This Row],[SAMV]:[ASH]]&lt;tblSeverityAnalysis[[#This Row],[Severidad máxima]])), "")</f>
        <v>3</v>
      </c>
      <c r="AF49" s="398" t="str" cm="1">
        <f t="array" ref="AF49">IFERROR(IF(tblSeverityAnalysis[[#This Row],[2ª mayor severidad]]="", "", _xlfn.TEXTJOIN(CHAR(10), TRUE, IF(tblSeverityAnalysis[[#This Row],[SAMV]:[ASH]]=tblSeverityAnalysis[[#This Row],[2ª mayor severidad]], tblSeverityAnalysis[[#Headers],[SAMV]:[ASH]], ""), "")), "")</f>
        <v>SAMV
SAL
EDU
PRO</v>
      </c>
      <c r="AG49" s="405" t="str">
        <f>IFERROR(IF(AND(tblSeverityAnalysis[[#This Row],[5]] &lt;&gt; "", tblSeverityAnalysis[[#This Row],[5]]&gt;=sectors_sev_5), "Flagged", ""), "")</f>
        <v/>
      </c>
      <c r="AH49" s="347" t="str">
        <f>IFERROR(IF(AND(tblSeverityAnalysis[[#This Row],[Severidad preliminar basada en la superposición de privaciones sectoriales]]=5, SUM(tblSeverityAnalysis[[#This Row],[ 1 ]:[ 4 ]])&gt;=sectors_sev_5), "Flagged", ""), "")</f>
        <v/>
      </c>
      <c r="AI49" s="348" t="str" cm="1">
        <f t="array" ref="AI4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4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49" s="350"/>
      <c r="AL49" s="351"/>
      <c r="AM49" s="350"/>
      <c r="AN49" s="407">
        <f>COUNTIF(tblSeverityAnalysis[[#This Row],[1 sectores en fase de severidad 5 '[modificar el umbral']]:[Marcador manual]], "Flagged")</f>
        <v>0</v>
      </c>
      <c r="AO49" s="418">
        <f>tblSeverityAnalysis[[#This Row],[Severidad preliminar basada en la superposición de privaciones sectoriales]]</f>
        <v>3</v>
      </c>
      <c r="AP49" s="417"/>
      <c r="AQ49" s="421" t="s">
        <v>876</v>
      </c>
      <c r="AR49" s="417">
        <v>3</v>
      </c>
    </row>
    <row r="50" spans="1:44" hidden="1">
      <c r="A5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VenezolanosVE0511</v>
      </c>
      <c r="B50" s="363" t="s">
        <v>123</v>
      </c>
      <c r="C50" s="323" t="s">
        <v>179</v>
      </c>
      <c r="D50" s="322" t="s">
        <v>199</v>
      </c>
      <c r="E50" s="323" t="s">
        <v>200</v>
      </c>
      <c r="F50" s="323"/>
      <c r="G50" s="324">
        <v>211010</v>
      </c>
      <c r="H50" s="324" t="s">
        <v>102</v>
      </c>
      <c r="I50" s="374">
        <v>2</v>
      </c>
      <c r="J50" s="237">
        <v>1</v>
      </c>
      <c r="K50" s="237">
        <v>3</v>
      </c>
      <c r="L50" s="237">
        <v>3</v>
      </c>
      <c r="M50" s="237">
        <v>3</v>
      </c>
      <c r="N50" s="237">
        <v>2</v>
      </c>
      <c r="O50" s="237">
        <v>3</v>
      </c>
      <c r="P50" s="237">
        <v>3</v>
      </c>
      <c r="Q50" s="382">
        <f>IF(COUNTIF(tblSeverityAnalysis[[#This Row],[SAMV]:[ASH]], 1)=0, "", COUNTIF(tblSeverityAnalysis[[#This Row],[SAMV]:[ASH]], 1))</f>
        <v>1</v>
      </c>
      <c r="R50" s="325">
        <f>IF(COUNTIF(tblSeverityAnalysis[[#This Row],[SAMV]:[ASH]], 2)=0, "", COUNTIF(tblSeverityAnalysis[[#This Row],[SAMV]:[ASH]], 2))</f>
        <v>2</v>
      </c>
      <c r="S50" s="325">
        <f>IF(COUNTIF(tblSeverityAnalysis[[#This Row],[SAMV]:[ASH]], 3)=0, "", COUNTIF(tblSeverityAnalysis[[#This Row],[SAMV]:[ASH]], 3))</f>
        <v>3</v>
      </c>
      <c r="T50" s="325" t="str">
        <f>IF(COUNTIF(tblSeverityAnalysis[[#This Row],[SAMV]:[ASH]], 4)=0, "", COUNTIF(tblSeverityAnalysis[[#This Row],[SAMV]:[ASH]], 4))</f>
        <v/>
      </c>
      <c r="U50" s="383" t="str">
        <f>IF(COUNTIF(tblSeverityAnalysis[[#This Row],[SAMV]:[ASH]], 5)=0, "", COUNTIF(tblSeverityAnalysis[[#This Row],[SAMV]:[ASH]], 5))</f>
        <v/>
      </c>
      <c r="V50" s="375" cm="1">
        <f t="array" ref="V5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5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50" s="237" t="str">
        <f>IFERROR(IF(INDEX(tblSeverityReference[Severidad de la desnutrición],MATCH(tblSeverityAnalysis[[#This Row],[ID]], tblSeverityReference[ID], 0))= "", "",INDEX(tblSeverityReference[Severidad de la desnutrición],MATCH(tblSeverityAnalysis[[#This Row],[ID]], tblSeverityReference[ID], 0)) ), "")</f>
        <v/>
      </c>
      <c r="Y50" s="349" t="str">
        <f>IFERROR(IF(INDEX(tblSeverityReference[Severidad epidémica],MATCH(tblSeverityAnalysis[[#This Row],[ID]], tblSeverityReference[ID], 0))= "", "",INDEX(tblSeverityReference[Severidad epidémica],MATCH(tblSeverityAnalysis[[#This Row],[ID]], tblSeverityReference[ID], 0)) ), "")</f>
        <v/>
      </c>
      <c r="Z5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50" s="391" t="str">
        <f>IFERROR(IF(INDEX(tblSeverityReference[HR/IHL Violation],MATCH(tblSeverityAnalysis[[#This Row],[ID]], tblSeverityReference[ID], 0))= "", "",INDEX(tblSeverityReference[HR/IHL Violation],MATCH(tblSeverityAnalysis[[#This Row],[ID]], tblSeverityReference[ID], 0)) ), "")</f>
        <v/>
      </c>
      <c r="AB50" s="397">
        <f>IFERROR(AVERAGE(tblSeverityAnalysis[[#This Row],[SAMV]:[ASH]]), "")</f>
        <v>2.3333333333333335</v>
      </c>
      <c r="AC50" s="346">
        <f>IF(SUM(tblSeverityAnalysis[[#This Row],[SAMV]:[ASH]])=0, "", MAX(tblSeverityAnalysis[[#This Row],[SAMV]:[ASH]]))</f>
        <v>3</v>
      </c>
      <c r="AD50" s="261" t="str" cm="1">
        <f t="array" ref="AD50">IFERROR(IF(tblSeverityAnalysis[[#This Row],[Severidad máxima]]="", "", _xlfn.TEXTJOIN(CHAR(10), TRUE, IF(tblSeverityAnalysis[[#This Row],[SAMV]:[ASH]]=tblSeverityAnalysis[[#This Row],[Severidad máxima]], tblSeverityAnalysis[[#Headers],[SAMV]:[ASH]], ""), "")), "")</f>
        <v>SAL
EDU
PRO</v>
      </c>
      <c r="AE50" s="346" cm="1">
        <f t="array" ref="AE50">IFERROR(MAX(_xlfn._xlws.FILTER(tblSeverityAnalysis[[#This Row],[SAMV]:[ASH]], tblSeverityAnalysis[[#This Row],[SAMV]:[ASH]]&lt;tblSeverityAnalysis[[#This Row],[Severidad máxima]])), "")</f>
        <v>2</v>
      </c>
      <c r="AF50" s="398" t="str" cm="1">
        <f t="array" ref="AF50">IFERROR(IF(tblSeverityAnalysis[[#This Row],[2ª mayor severidad]]="", "", _xlfn.TEXTJOIN(CHAR(10), TRUE, IF(tblSeverityAnalysis[[#This Row],[SAMV]:[ASH]]=tblSeverityAnalysis[[#This Row],[2ª mayor severidad]], tblSeverityAnalysis[[#Headers],[SAMV]:[ASH]], ""), "")), "")</f>
        <v>SAMV
ASH</v>
      </c>
      <c r="AG50" s="405" t="str">
        <f>IFERROR(IF(AND(tblSeverityAnalysis[[#This Row],[5]] &lt;&gt; "", tblSeverityAnalysis[[#This Row],[5]]&gt;=sectors_sev_5), "Flagged", ""), "")</f>
        <v/>
      </c>
      <c r="AH50" s="347" t="str">
        <f>IFERROR(IF(AND(tblSeverityAnalysis[[#This Row],[Severidad preliminar basada en la superposición de privaciones sectoriales]]=5, SUM(tblSeverityAnalysis[[#This Row],[ 1 ]:[ 4 ]])&gt;=sectors_sev_5), "Flagged", ""), "")</f>
        <v/>
      </c>
      <c r="AI50" s="348" t="str" cm="1">
        <f t="array" ref="AI5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5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50" s="350"/>
      <c r="AL50" s="351"/>
      <c r="AM50" s="350"/>
      <c r="AN50" s="407">
        <f>COUNTIF(tblSeverityAnalysis[[#This Row],[1 sectores en fase de severidad 5 '[modificar el umbral']]:[Marcador manual]], "Flagged")</f>
        <v>0</v>
      </c>
      <c r="AO50" s="418">
        <f>tblSeverityAnalysis[[#This Row],[Severidad preliminar basada en la superposición de privaciones sectoriales]]</f>
        <v>2</v>
      </c>
      <c r="AP50" s="417"/>
      <c r="AQ50" s="421" t="s">
        <v>876</v>
      </c>
      <c r="AR50" s="417">
        <v>3</v>
      </c>
    </row>
    <row r="51" spans="1:44" hidden="1">
      <c r="A5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VenezolanosVE0512</v>
      </c>
      <c r="B51" s="363" t="s">
        <v>123</v>
      </c>
      <c r="C51" s="323" t="s">
        <v>179</v>
      </c>
      <c r="D51" s="322" t="s">
        <v>201</v>
      </c>
      <c r="E51" s="323" t="s">
        <v>202</v>
      </c>
      <c r="F51" s="323"/>
      <c r="G51" s="324">
        <v>38574</v>
      </c>
      <c r="H51" s="324" t="s">
        <v>102</v>
      </c>
      <c r="I51" s="374">
        <v>2</v>
      </c>
      <c r="J51" s="237">
        <v>1</v>
      </c>
      <c r="K51" s="237">
        <v>3</v>
      </c>
      <c r="L51" s="237">
        <v>4</v>
      </c>
      <c r="M51" s="237">
        <v>3</v>
      </c>
      <c r="N51" s="237">
        <v>3</v>
      </c>
      <c r="O51" s="237">
        <v>3</v>
      </c>
      <c r="P51" s="237">
        <v>3</v>
      </c>
      <c r="Q51" s="382">
        <f>IF(COUNTIF(tblSeverityAnalysis[[#This Row],[SAMV]:[ASH]], 1)=0, "", COUNTIF(tblSeverityAnalysis[[#This Row],[SAMV]:[ASH]], 1))</f>
        <v>1</v>
      </c>
      <c r="R51" s="325">
        <f>IF(COUNTIF(tblSeverityAnalysis[[#This Row],[SAMV]:[ASH]], 2)=0, "", COUNTIF(tblSeverityAnalysis[[#This Row],[SAMV]:[ASH]], 2))</f>
        <v>1</v>
      </c>
      <c r="S51" s="325">
        <f>IF(COUNTIF(tblSeverityAnalysis[[#This Row],[SAMV]:[ASH]], 3)=0, "", COUNTIF(tblSeverityAnalysis[[#This Row],[SAMV]:[ASH]], 3))</f>
        <v>3</v>
      </c>
      <c r="T51" s="325">
        <f>IF(COUNTIF(tblSeverityAnalysis[[#This Row],[SAMV]:[ASH]], 4)=0, "", COUNTIF(tblSeverityAnalysis[[#This Row],[SAMV]:[ASH]], 4))</f>
        <v>1</v>
      </c>
      <c r="U51" s="383" t="str">
        <f>IF(COUNTIF(tblSeverityAnalysis[[#This Row],[SAMV]:[ASH]], 5)=0, "", COUNTIF(tblSeverityAnalysis[[#This Row],[SAMV]:[ASH]], 5))</f>
        <v/>
      </c>
      <c r="V51" s="375" cm="1">
        <f t="array" ref="V5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5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51" s="237" t="str">
        <f>IFERROR(IF(INDEX(tblSeverityReference[Severidad de la desnutrición],MATCH(tblSeverityAnalysis[[#This Row],[ID]], tblSeverityReference[ID], 0))= "", "",INDEX(tblSeverityReference[Severidad de la desnutrición],MATCH(tblSeverityAnalysis[[#This Row],[ID]], tblSeverityReference[ID], 0)) ), "")</f>
        <v/>
      </c>
      <c r="Y51" s="349" t="str">
        <f>IFERROR(IF(INDEX(tblSeverityReference[Severidad epidémica],MATCH(tblSeverityAnalysis[[#This Row],[ID]], tblSeverityReference[ID], 0))= "", "",INDEX(tblSeverityReference[Severidad epidémica],MATCH(tblSeverityAnalysis[[#This Row],[ID]], tblSeverityReference[ID], 0)) ), "")</f>
        <v/>
      </c>
      <c r="Z5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51" s="391" t="str">
        <f>IFERROR(IF(INDEX(tblSeverityReference[HR/IHL Violation],MATCH(tblSeverityAnalysis[[#This Row],[ID]], tblSeverityReference[ID], 0))= "", "",INDEX(tblSeverityReference[HR/IHL Violation],MATCH(tblSeverityAnalysis[[#This Row],[ID]], tblSeverityReference[ID], 0)) ), "")</f>
        <v/>
      </c>
      <c r="AB51" s="397">
        <f>IFERROR(AVERAGE(tblSeverityAnalysis[[#This Row],[SAMV]:[ASH]]), "")</f>
        <v>2.6666666666666665</v>
      </c>
      <c r="AC51" s="346">
        <f>IF(SUM(tblSeverityAnalysis[[#This Row],[SAMV]:[ASH]])=0, "", MAX(tblSeverityAnalysis[[#This Row],[SAMV]:[ASH]]))</f>
        <v>4</v>
      </c>
      <c r="AD51" s="261" t="str" cm="1">
        <f t="array" ref="AD51">IFERROR(IF(tblSeverityAnalysis[[#This Row],[Severidad máxima]]="", "", _xlfn.TEXTJOIN(CHAR(10), TRUE, IF(tblSeverityAnalysis[[#This Row],[SAMV]:[ASH]]=tblSeverityAnalysis[[#This Row],[Severidad máxima]], tblSeverityAnalysis[[#Headers],[SAMV]:[ASH]], ""), "")), "")</f>
        <v>EDU</v>
      </c>
      <c r="AE51" s="346" cm="1">
        <f t="array" ref="AE51">IFERROR(MAX(_xlfn._xlws.FILTER(tblSeverityAnalysis[[#This Row],[SAMV]:[ASH]], tblSeverityAnalysis[[#This Row],[SAMV]:[ASH]]&lt;tblSeverityAnalysis[[#This Row],[Severidad máxima]])), "")</f>
        <v>3</v>
      </c>
      <c r="AF51" s="398" t="str" cm="1">
        <f t="array" ref="AF51">IFERROR(IF(tblSeverityAnalysis[[#This Row],[2ª mayor severidad]]="", "", _xlfn.TEXTJOIN(CHAR(10), TRUE, IF(tblSeverityAnalysis[[#This Row],[SAMV]:[ASH]]=tblSeverityAnalysis[[#This Row],[2ª mayor severidad]], tblSeverityAnalysis[[#Headers],[SAMV]:[ASH]], ""), "")), "")</f>
        <v>SAL
PRO
ASH</v>
      </c>
      <c r="AG51" s="405" t="str">
        <f>IFERROR(IF(AND(tblSeverityAnalysis[[#This Row],[5]] &lt;&gt; "", tblSeverityAnalysis[[#This Row],[5]]&gt;=sectors_sev_5), "Flagged", ""), "")</f>
        <v/>
      </c>
      <c r="AH51" s="347" t="str">
        <f>IFERROR(IF(AND(tblSeverityAnalysis[[#This Row],[Severidad preliminar basada en la superposición de privaciones sectoriales]]=5, SUM(tblSeverityAnalysis[[#This Row],[ 1 ]:[ 4 ]])&gt;=sectors_sev_5), "Flagged", ""), "")</f>
        <v/>
      </c>
      <c r="AI51" s="348" t="str" cm="1">
        <f t="array" ref="AI5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5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51" s="350"/>
      <c r="AL51" s="351"/>
      <c r="AM51" s="350"/>
      <c r="AN51" s="407">
        <f>COUNTIF(tblSeverityAnalysis[[#This Row],[1 sectores en fase de severidad 5 '[modificar el umbral']]:[Marcador manual]], "Flagged")</f>
        <v>0</v>
      </c>
      <c r="AO51" s="418">
        <f>tblSeverityAnalysis[[#This Row],[Severidad preliminar basada en la superposición de privaciones sectoriales]]</f>
        <v>3</v>
      </c>
      <c r="AP51" s="417"/>
      <c r="AQ51" s="421" t="s">
        <v>876</v>
      </c>
      <c r="AR51" s="417">
        <v>3</v>
      </c>
    </row>
    <row r="52" spans="1:44" hidden="1">
      <c r="A5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VenezolanosVE0513</v>
      </c>
      <c r="B52" s="363" t="s">
        <v>123</v>
      </c>
      <c r="C52" s="323" t="s">
        <v>179</v>
      </c>
      <c r="D52" s="322" t="s">
        <v>203</v>
      </c>
      <c r="E52" s="323" t="s">
        <v>204</v>
      </c>
      <c r="F52" s="323"/>
      <c r="G52" s="324">
        <v>114509</v>
      </c>
      <c r="H52" s="324" t="s">
        <v>102</v>
      </c>
      <c r="I52" s="374">
        <v>2</v>
      </c>
      <c r="J52" s="237">
        <v>1</v>
      </c>
      <c r="K52" s="237">
        <v>3</v>
      </c>
      <c r="L52" s="237">
        <v>3</v>
      </c>
      <c r="M52" s="237">
        <v>3</v>
      </c>
      <c r="N52" s="237">
        <v>2</v>
      </c>
      <c r="O52" s="237">
        <v>3</v>
      </c>
      <c r="P52" s="237">
        <v>3</v>
      </c>
      <c r="Q52" s="382">
        <f>IF(COUNTIF(tblSeverityAnalysis[[#This Row],[SAMV]:[ASH]], 1)=0, "", COUNTIF(tblSeverityAnalysis[[#This Row],[SAMV]:[ASH]], 1))</f>
        <v>1</v>
      </c>
      <c r="R52" s="325">
        <f>IF(COUNTIF(tblSeverityAnalysis[[#This Row],[SAMV]:[ASH]], 2)=0, "", COUNTIF(tblSeverityAnalysis[[#This Row],[SAMV]:[ASH]], 2))</f>
        <v>2</v>
      </c>
      <c r="S52" s="325">
        <f>IF(COUNTIF(tblSeverityAnalysis[[#This Row],[SAMV]:[ASH]], 3)=0, "", COUNTIF(tblSeverityAnalysis[[#This Row],[SAMV]:[ASH]], 3))</f>
        <v>3</v>
      </c>
      <c r="T52" s="325" t="str">
        <f>IF(COUNTIF(tblSeverityAnalysis[[#This Row],[SAMV]:[ASH]], 4)=0, "", COUNTIF(tblSeverityAnalysis[[#This Row],[SAMV]:[ASH]], 4))</f>
        <v/>
      </c>
      <c r="U52" s="383" t="str">
        <f>IF(COUNTIF(tblSeverityAnalysis[[#This Row],[SAMV]:[ASH]], 5)=0, "", COUNTIF(tblSeverityAnalysis[[#This Row],[SAMV]:[ASH]], 5))</f>
        <v/>
      </c>
      <c r="V52" s="375" cm="1">
        <f t="array" ref="V5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5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52" s="237" t="str">
        <f>IFERROR(IF(INDEX(tblSeverityReference[Severidad de la desnutrición],MATCH(tblSeverityAnalysis[[#This Row],[ID]], tblSeverityReference[ID], 0))= "", "",INDEX(tblSeverityReference[Severidad de la desnutrición],MATCH(tblSeverityAnalysis[[#This Row],[ID]], tblSeverityReference[ID], 0)) ), "")</f>
        <v/>
      </c>
      <c r="Y52" s="349" t="str">
        <f>IFERROR(IF(INDEX(tblSeverityReference[Severidad epidémica],MATCH(tblSeverityAnalysis[[#This Row],[ID]], tblSeverityReference[ID], 0))= "", "",INDEX(tblSeverityReference[Severidad epidémica],MATCH(tblSeverityAnalysis[[#This Row],[ID]], tblSeverityReference[ID], 0)) ), "")</f>
        <v/>
      </c>
      <c r="Z5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52" s="391" t="str">
        <f>IFERROR(IF(INDEX(tblSeverityReference[HR/IHL Violation],MATCH(tblSeverityAnalysis[[#This Row],[ID]], tblSeverityReference[ID], 0))= "", "",INDEX(tblSeverityReference[HR/IHL Violation],MATCH(tblSeverityAnalysis[[#This Row],[ID]], tblSeverityReference[ID], 0)) ), "")</f>
        <v/>
      </c>
      <c r="AB52" s="397">
        <f>IFERROR(AVERAGE(tblSeverityAnalysis[[#This Row],[SAMV]:[ASH]]), "")</f>
        <v>2.3333333333333335</v>
      </c>
      <c r="AC52" s="346">
        <f>IF(SUM(tblSeverityAnalysis[[#This Row],[SAMV]:[ASH]])=0, "", MAX(tblSeverityAnalysis[[#This Row],[SAMV]:[ASH]]))</f>
        <v>3</v>
      </c>
      <c r="AD52" s="261" t="str" cm="1">
        <f t="array" ref="AD52">IFERROR(IF(tblSeverityAnalysis[[#This Row],[Severidad máxima]]="", "", _xlfn.TEXTJOIN(CHAR(10), TRUE, IF(tblSeverityAnalysis[[#This Row],[SAMV]:[ASH]]=tblSeverityAnalysis[[#This Row],[Severidad máxima]], tblSeverityAnalysis[[#Headers],[SAMV]:[ASH]], ""), "")), "")</f>
        <v>SAL
EDU
PRO</v>
      </c>
      <c r="AE52" s="346" cm="1">
        <f t="array" ref="AE52">IFERROR(MAX(_xlfn._xlws.FILTER(tblSeverityAnalysis[[#This Row],[SAMV]:[ASH]], tblSeverityAnalysis[[#This Row],[SAMV]:[ASH]]&lt;tblSeverityAnalysis[[#This Row],[Severidad máxima]])), "")</f>
        <v>2</v>
      </c>
      <c r="AF52" s="398" t="str" cm="1">
        <f t="array" ref="AF52">IFERROR(IF(tblSeverityAnalysis[[#This Row],[2ª mayor severidad]]="", "", _xlfn.TEXTJOIN(CHAR(10), TRUE, IF(tblSeverityAnalysis[[#This Row],[SAMV]:[ASH]]=tblSeverityAnalysis[[#This Row],[2ª mayor severidad]], tblSeverityAnalysis[[#Headers],[SAMV]:[ASH]], ""), "")), "")</f>
        <v>SAMV
ASH</v>
      </c>
      <c r="AG52" s="405" t="str">
        <f>IFERROR(IF(AND(tblSeverityAnalysis[[#This Row],[5]] &lt;&gt; "", tblSeverityAnalysis[[#This Row],[5]]&gt;=sectors_sev_5), "Flagged", ""), "")</f>
        <v/>
      </c>
      <c r="AH52" s="347" t="str">
        <f>IFERROR(IF(AND(tblSeverityAnalysis[[#This Row],[Severidad preliminar basada en la superposición de privaciones sectoriales]]=5, SUM(tblSeverityAnalysis[[#This Row],[ 1 ]:[ 4 ]])&gt;=sectors_sev_5), "Flagged", ""), "")</f>
        <v/>
      </c>
      <c r="AI52" s="348" t="str" cm="1">
        <f t="array" ref="AI5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5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52" s="350"/>
      <c r="AL52" s="351"/>
      <c r="AM52" s="350"/>
      <c r="AN52" s="407">
        <f>COUNTIF(tblSeverityAnalysis[[#This Row],[1 sectores en fase de severidad 5 '[modificar el umbral']]:[Marcador manual]], "Flagged")</f>
        <v>0</v>
      </c>
      <c r="AO52" s="418">
        <f>tblSeverityAnalysis[[#This Row],[Severidad preliminar basada en la superposición de privaciones sectoriales]]</f>
        <v>2</v>
      </c>
      <c r="AP52" s="417"/>
      <c r="AQ52" s="421" t="s">
        <v>876</v>
      </c>
      <c r="AR52" s="417">
        <v>3</v>
      </c>
    </row>
    <row r="53" spans="1:44" hidden="1">
      <c r="A5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VenezolanosVE0514</v>
      </c>
      <c r="B53" s="363" t="s">
        <v>123</v>
      </c>
      <c r="C53" s="323" t="s">
        <v>179</v>
      </c>
      <c r="D53" s="322" t="s">
        <v>205</v>
      </c>
      <c r="E53" s="323" t="s">
        <v>206</v>
      </c>
      <c r="F53" s="323"/>
      <c r="G53" s="324">
        <v>14161</v>
      </c>
      <c r="H53" s="324" t="s">
        <v>102</v>
      </c>
      <c r="I53" s="374">
        <v>1</v>
      </c>
      <c r="J53" s="237">
        <v>1</v>
      </c>
      <c r="K53" s="237">
        <v>3</v>
      </c>
      <c r="L53" s="237">
        <v>3</v>
      </c>
      <c r="M53" s="237">
        <v>3</v>
      </c>
      <c r="N53" s="237">
        <v>1</v>
      </c>
      <c r="O53" s="237">
        <v>3</v>
      </c>
      <c r="P53" s="237">
        <v>3</v>
      </c>
      <c r="Q53" s="382">
        <f>IF(COUNTIF(tblSeverityAnalysis[[#This Row],[SAMV]:[ASH]], 1)=0, "", COUNTIF(tblSeverityAnalysis[[#This Row],[SAMV]:[ASH]], 1))</f>
        <v>3</v>
      </c>
      <c r="R53" s="325" t="str">
        <f>IF(COUNTIF(tblSeverityAnalysis[[#This Row],[SAMV]:[ASH]], 2)=0, "", COUNTIF(tblSeverityAnalysis[[#This Row],[SAMV]:[ASH]], 2))</f>
        <v/>
      </c>
      <c r="S53" s="325">
        <f>IF(COUNTIF(tblSeverityAnalysis[[#This Row],[SAMV]:[ASH]], 3)=0, "", COUNTIF(tblSeverityAnalysis[[#This Row],[SAMV]:[ASH]], 3))</f>
        <v>3</v>
      </c>
      <c r="T53" s="325" t="str">
        <f>IF(COUNTIF(tblSeverityAnalysis[[#This Row],[SAMV]:[ASH]], 4)=0, "", COUNTIF(tblSeverityAnalysis[[#This Row],[SAMV]:[ASH]], 4))</f>
        <v/>
      </c>
      <c r="U53" s="383" t="str">
        <f>IF(COUNTIF(tblSeverityAnalysis[[#This Row],[SAMV]:[ASH]], 5)=0, "", COUNTIF(tblSeverityAnalysis[[#This Row],[SAMV]:[ASH]], 5))</f>
        <v/>
      </c>
      <c r="V53" s="375" cm="1">
        <f t="array" ref="V5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1</v>
      </c>
      <c r="W5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53" s="237" t="str">
        <f>IFERROR(IF(INDEX(tblSeverityReference[Severidad de la desnutrición],MATCH(tblSeverityAnalysis[[#This Row],[ID]], tblSeverityReference[ID], 0))= "", "",INDEX(tblSeverityReference[Severidad de la desnutrición],MATCH(tblSeverityAnalysis[[#This Row],[ID]], tblSeverityReference[ID], 0)) ), "")</f>
        <v/>
      </c>
      <c r="Y53" s="349" t="str">
        <f>IFERROR(IF(INDEX(tblSeverityReference[Severidad epidémica],MATCH(tblSeverityAnalysis[[#This Row],[ID]], tblSeverityReference[ID], 0))= "", "",INDEX(tblSeverityReference[Severidad epidémica],MATCH(tblSeverityAnalysis[[#This Row],[ID]], tblSeverityReference[ID], 0)) ), "")</f>
        <v/>
      </c>
      <c r="Z5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53" s="391" t="str">
        <f>IFERROR(IF(INDEX(tblSeverityReference[HR/IHL Violation],MATCH(tblSeverityAnalysis[[#This Row],[ID]], tblSeverityReference[ID], 0))= "", "",INDEX(tblSeverityReference[HR/IHL Violation],MATCH(tblSeverityAnalysis[[#This Row],[ID]], tblSeverityReference[ID], 0)) ), "")</f>
        <v/>
      </c>
      <c r="AB53" s="397">
        <f>IFERROR(AVERAGE(tblSeverityAnalysis[[#This Row],[SAMV]:[ASH]]), "")</f>
        <v>2</v>
      </c>
      <c r="AC53" s="346">
        <f>IF(SUM(tblSeverityAnalysis[[#This Row],[SAMV]:[ASH]])=0, "", MAX(tblSeverityAnalysis[[#This Row],[SAMV]:[ASH]]))</f>
        <v>3</v>
      </c>
      <c r="AD53" s="261" t="str" cm="1">
        <f t="array" ref="AD53">IFERROR(IF(tblSeverityAnalysis[[#This Row],[Severidad máxima]]="", "", _xlfn.TEXTJOIN(CHAR(10), TRUE, IF(tblSeverityAnalysis[[#This Row],[SAMV]:[ASH]]=tblSeverityAnalysis[[#This Row],[Severidad máxima]], tblSeverityAnalysis[[#Headers],[SAMV]:[ASH]], ""), "")), "")</f>
        <v>SAL
EDU
PRO</v>
      </c>
      <c r="AE53" s="346" cm="1">
        <f t="array" ref="AE53">IFERROR(MAX(_xlfn._xlws.FILTER(tblSeverityAnalysis[[#This Row],[SAMV]:[ASH]], tblSeverityAnalysis[[#This Row],[SAMV]:[ASH]]&lt;tblSeverityAnalysis[[#This Row],[Severidad máxima]])), "")</f>
        <v>1</v>
      </c>
      <c r="AF53" s="398" t="str" cm="1">
        <f t="array" ref="AF53">IFERROR(IF(tblSeverityAnalysis[[#This Row],[2ª mayor severidad]]="", "", _xlfn.TEXTJOIN(CHAR(10), TRUE, IF(tblSeverityAnalysis[[#This Row],[SAMV]:[ASH]]=tblSeverityAnalysis[[#This Row],[2ª mayor severidad]], tblSeverityAnalysis[[#Headers],[SAMV]:[ASH]], ""), "")), "")</f>
        <v>SAMV
NUT
ASH</v>
      </c>
      <c r="AG53" s="405" t="str">
        <f>IFERROR(IF(AND(tblSeverityAnalysis[[#This Row],[5]] &lt;&gt; "", tblSeverityAnalysis[[#This Row],[5]]&gt;=sectors_sev_5), "Flagged", ""), "")</f>
        <v/>
      </c>
      <c r="AH53" s="347" t="str">
        <f>IFERROR(IF(AND(tblSeverityAnalysis[[#This Row],[Severidad preliminar basada en la superposición de privaciones sectoriales]]=5, SUM(tblSeverityAnalysis[[#This Row],[ 1 ]:[ 4 ]])&gt;=sectors_sev_5), "Flagged", ""), "")</f>
        <v/>
      </c>
      <c r="AI53" s="348" t="str" cm="1">
        <f t="array" ref="AI5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5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53" s="350"/>
      <c r="AL53" s="351"/>
      <c r="AM53" s="350"/>
      <c r="AN53" s="407">
        <f>COUNTIF(tblSeverityAnalysis[[#This Row],[1 sectores en fase de severidad 5 '[modificar el umbral']]:[Marcador manual]], "Flagged")</f>
        <v>0</v>
      </c>
      <c r="AO53" s="418">
        <f>tblSeverityAnalysis[[#This Row],[Severidad preliminar basada en la superposición de privaciones sectoriales]]</f>
        <v>1</v>
      </c>
      <c r="AP53" s="417"/>
      <c r="AQ53" s="421" t="s">
        <v>876</v>
      </c>
      <c r="AR53" s="417">
        <v>3</v>
      </c>
    </row>
    <row r="54" spans="1:44" hidden="1">
      <c r="A5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VenezolanosVE0515</v>
      </c>
      <c r="B54" s="363" t="s">
        <v>123</v>
      </c>
      <c r="C54" s="323" t="s">
        <v>179</v>
      </c>
      <c r="D54" s="322" t="s">
        <v>207</v>
      </c>
      <c r="E54" s="323" t="s">
        <v>208</v>
      </c>
      <c r="F54" s="323"/>
      <c r="G54" s="324">
        <v>21271</v>
      </c>
      <c r="H54" s="324" t="s">
        <v>102</v>
      </c>
      <c r="I54" s="374">
        <v>3</v>
      </c>
      <c r="J54" s="237">
        <v>1</v>
      </c>
      <c r="K54" s="237">
        <v>3</v>
      </c>
      <c r="L54" s="237">
        <v>3</v>
      </c>
      <c r="M54" s="237">
        <v>3</v>
      </c>
      <c r="N54" s="237">
        <v>2</v>
      </c>
      <c r="O54" s="237">
        <v>3</v>
      </c>
      <c r="P54" s="237">
        <v>3</v>
      </c>
      <c r="Q54" s="382">
        <f>IF(COUNTIF(tblSeverityAnalysis[[#This Row],[SAMV]:[ASH]], 1)=0, "", COUNTIF(tblSeverityAnalysis[[#This Row],[SAMV]:[ASH]], 1))</f>
        <v>1</v>
      </c>
      <c r="R54" s="325">
        <f>IF(COUNTIF(tblSeverityAnalysis[[#This Row],[SAMV]:[ASH]], 2)=0, "", COUNTIF(tblSeverityAnalysis[[#This Row],[SAMV]:[ASH]], 2))</f>
        <v>1</v>
      </c>
      <c r="S54" s="325">
        <f>IF(COUNTIF(tblSeverityAnalysis[[#This Row],[SAMV]:[ASH]], 3)=0, "", COUNTIF(tblSeverityAnalysis[[#This Row],[SAMV]:[ASH]], 3))</f>
        <v>4</v>
      </c>
      <c r="T54" s="325" t="str">
        <f>IF(COUNTIF(tblSeverityAnalysis[[#This Row],[SAMV]:[ASH]], 4)=0, "", COUNTIF(tblSeverityAnalysis[[#This Row],[SAMV]:[ASH]], 4))</f>
        <v/>
      </c>
      <c r="U54" s="383" t="str">
        <f>IF(COUNTIF(tblSeverityAnalysis[[#This Row],[SAMV]:[ASH]], 5)=0, "", COUNTIF(tblSeverityAnalysis[[#This Row],[SAMV]:[ASH]], 5))</f>
        <v/>
      </c>
      <c r="V54" s="375" cm="1">
        <f t="array" ref="V5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5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54" s="237" t="str">
        <f>IFERROR(IF(INDEX(tblSeverityReference[Severidad de la desnutrición],MATCH(tblSeverityAnalysis[[#This Row],[ID]], tblSeverityReference[ID], 0))= "", "",INDEX(tblSeverityReference[Severidad de la desnutrición],MATCH(tblSeverityAnalysis[[#This Row],[ID]], tblSeverityReference[ID], 0)) ), "")</f>
        <v/>
      </c>
      <c r="Y54" s="349" t="str">
        <f>IFERROR(IF(INDEX(tblSeverityReference[Severidad epidémica],MATCH(tblSeverityAnalysis[[#This Row],[ID]], tblSeverityReference[ID], 0))= "", "",INDEX(tblSeverityReference[Severidad epidémica],MATCH(tblSeverityAnalysis[[#This Row],[ID]], tblSeverityReference[ID], 0)) ), "")</f>
        <v/>
      </c>
      <c r="Z5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54" s="391" t="str">
        <f>IFERROR(IF(INDEX(tblSeverityReference[HR/IHL Violation],MATCH(tblSeverityAnalysis[[#This Row],[ID]], tblSeverityReference[ID], 0))= "", "",INDEX(tblSeverityReference[HR/IHL Violation],MATCH(tblSeverityAnalysis[[#This Row],[ID]], tblSeverityReference[ID], 0)) ), "")</f>
        <v/>
      </c>
      <c r="AB54" s="397">
        <f>IFERROR(AVERAGE(tblSeverityAnalysis[[#This Row],[SAMV]:[ASH]]), "")</f>
        <v>2.5</v>
      </c>
      <c r="AC54" s="346">
        <f>IF(SUM(tblSeverityAnalysis[[#This Row],[SAMV]:[ASH]])=0, "", MAX(tblSeverityAnalysis[[#This Row],[SAMV]:[ASH]]))</f>
        <v>3</v>
      </c>
      <c r="AD54" s="261" t="str" cm="1">
        <f t="array" ref="AD54">IFERROR(IF(tblSeverityAnalysis[[#This Row],[Severidad máxima]]="", "", _xlfn.TEXTJOIN(CHAR(10), TRUE, IF(tblSeverityAnalysis[[#This Row],[SAMV]:[ASH]]=tblSeverityAnalysis[[#This Row],[Severidad máxima]], tblSeverityAnalysis[[#Headers],[SAMV]:[ASH]], ""), "")), "")</f>
        <v>SAMV
SAL
EDU
PRO</v>
      </c>
      <c r="AE54" s="346" cm="1">
        <f t="array" ref="AE54">IFERROR(MAX(_xlfn._xlws.FILTER(tblSeverityAnalysis[[#This Row],[SAMV]:[ASH]], tblSeverityAnalysis[[#This Row],[SAMV]:[ASH]]&lt;tblSeverityAnalysis[[#This Row],[Severidad máxima]])), "")</f>
        <v>2</v>
      </c>
      <c r="AF54" s="398" t="str" cm="1">
        <f t="array" ref="AF54">IFERROR(IF(tblSeverityAnalysis[[#This Row],[2ª mayor severidad]]="", "", _xlfn.TEXTJOIN(CHAR(10), TRUE, IF(tblSeverityAnalysis[[#This Row],[SAMV]:[ASH]]=tblSeverityAnalysis[[#This Row],[2ª mayor severidad]], tblSeverityAnalysis[[#Headers],[SAMV]:[ASH]], ""), "")), "")</f>
        <v>ASH</v>
      </c>
      <c r="AG54" s="405" t="str">
        <f>IFERROR(IF(AND(tblSeverityAnalysis[[#This Row],[5]] &lt;&gt; "", tblSeverityAnalysis[[#This Row],[5]]&gt;=sectors_sev_5), "Flagged", ""), "")</f>
        <v/>
      </c>
      <c r="AH54" s="347" t="str">
        <f>IFERROR(IF(AND(tblSeverityAnalysis[[#This Row],[Severidad preliminar basada en la superposición de privaciones sectoriales]]=5, SUM(tblSeverityAnalysis[[#This Row],[ 1 ]:[ 4 ]])&gt;=sectors_sev_5), "Flagged", ""), "")</f>
        <v/>
      </c>
      <c r="AI54" s="348" t="str" cm="1">
        <f t="array" ref="AI5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5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54" s="350"/>
      <c r="AL54" s="351"/>
      <c r="AM54" s="350"/>
      <c r="AN54" s="407">
        <f>COUNTIF(tblSeverityAnalysis[[#This Row],[1 sectores en fase de severidad 5 '[modificar el umbral']]:[Marcador manual]], "Flagged")</f>
        <v>0</v>
      </c>
      <c r="AO54" s="418">
        <f>tblSeverityAnalysis[[#This Row],[Severidad preliminar basada en la superposición de privaciones sectoriales]]</f>
        <v>3</v>
      </c>
      <c r="AP54" s="417"/>
      <c r="AQ54" s="421" t="s">
        <v>876</v>
      </c>
      <c r="AR54" s="417">
        <v>3</v>
      </c>
    </row>
    <row r="55" spans="1:44" hidden="1">
      <c r="A5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VenezolanosVE0516</v>
      </c>
      <c r="B55" s="363" t="s">
        <v>123</v>
      </c>
      <c r="C55" s="323" t="s">
        <v>179</v>
      </c>
      <c r="D55" s="322" t="s">
        <v>209</v>
      </c>
      <c r="E55" s="323" t="s">
        <v>210</v>
      </c>
      <c r="F55" s="323"/>
      <c r="G55" s="324">
        <v>144754</v>
      </c>
      <c r="H55" s="324" t="s">
        <v>102</v>
      </c>
      <c r="I55" s="374">
        <v>2</v>
      </c>
      <c r="J55" s="237">
        <v>1</v>
      </c>
      <c r="K55" s="237">
        <v>3</v>
      </c>
      <c r="L55" s="237">
        <v>3</v>
      </c>
      <c r="M55" s="237">
        <v>3</v>
      </c>
      <c r="N55" s="237">
        <v>2</v>
      </c>
      <c r="O55" s="237">
        <v>3</v>
      </c>
      <c r="P55" s="237">
        <v>3</v>
      </c>
      <c r="Q55" s="382">
        <f>IF(COUNTIF(tblSeverityAnalysis[[#This Row],[SAMV]:[ASH]], 1)=0, "", COUNTIF(tblSeverityAnalysis[[#This Row],[SAMV]:[ASH]], 1))</f>
        <v>1</v>
      </c>
      <c r="R55" s="325">
        <f>IF(COUNTIF(tblSeverityAnalysis[[#This Row],[SAMV]:[ASH]], 2)=0, "", COUNTIF(tblSeverityAnalysis[[#This Row],[SAMV]:[ASH]], 2))</f>
        <v>2</v>
      </c>
      <c r="S55" s="325">
        <f>IF(COUNTIF(tblSeverityAnalysis[[#This Row],[SAMV]:[ASH]], 3)=0, "", COUNTIF(tblSeverityAnalysis[[#This Row],[SAMV]:[ASH]], 3))</f>
        <v>3</v>
      </c>
      <c r="T55" s="325" t="str">
        <f>IF(COUNTIF(tblSeverityAnalysis[[#This Row],[SAMV]:[ASH]], 4)=0, "", COUNTIF(tblSeverityAnalysis[[#This Row],[SAMV]:[ASH]], 4))</f>
        <v/>
      </c>
      <c r="U55" s="383" t="str">
        <f>IF(COUNTIF(tblSeverityAnalysis[[#This Row],[SAMV]:[ASH]], 5)=0, "", COUNTIF(tblSeverityAnalysis[[#This Row],[SAMV]:[ASH]], 5))</f>
        <v/>
      </c>
      <c r="V55" s="375" cm="1">
        <f t="array" ref="V5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5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55" s="237" t="str">
        <f>IFERROR(IF(INDEX(tblSeverityReference[Severidad de la desnutrición],MATCH(tblSeverityAnalysis[[#This Row],[ID]], tblSeverityReference[ID], 0))= "", "",INDEX(tblSeverityReference[Severidad de la desnutrición],MATCH(tblSeverityAnalysis[[#This Row],[ID]], tblSeverityReference[ID], 0)) ), "")</f>
        <v/>
      </c>
      <c r="Y55" s="349" t="str">
        <f>IFERROR(IF(INDEX(tblSeverityReference[Severidad epidémica],MATCH(tblSeverityAnalysis[[#This Row],[ID]], tblSeverityReference[ID], 0))= "", "",INDEX(tblSeverityReference[Severidad epidémica],MATCH(tblSeverityAnalysis[[#This Row],[ID]], tblSeverityReference[ID], 0)) ), "")</f>
        <v/>
      </c>
      <c r="Z5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55" s="391" t="str">
        <f>IFERROR(IF(INDEX(tblSeverityReference[HR/IHL Violation],MATCH(tblSeverityAnalysis[[#This Row],[ID]], tblSeverityReference[ID], 0))= "", "",INDEX(tblSeverityReference[HR/IHL Violation],MATCH(tblSeverityAnalysis[[#This Row],[ID]], tblSeverityReference[ID], 0)) ), "")</f>
        <v/>
      </c>
      <c r="AB55" s="397">
        <f>IFERROR(AVERAGE(tblSeverityAnalysis[[#This Row],[SAMV]:[ASH]]), "")</f>
        <v>2.3333333333333335</v>
      </c>
      <c r="AC55" s="346">
        <f>IF(SUM(tblSeverityAnalysis[[#This Row],[SAMV]:[ASH]])=0, "", MAX(tblSeverityAnalysis[[#This Row],[SAMV]:[ASH]]))</f>
        <v>3</v>
      </c>
      <c r="AD55" s="261" t="str" cm="1">
        <f t="array" ref="AD55">IFERROR(IF(tblSeverityAnalysis[[#This Row],[Severidad máxima]]="", "", _xlfn.TEXTJOIN(CHAR(10), TRUE, IF(tblSeverityAnalysis[[#This Row],[SAMV]:[ASH]]=tblSeverityAnalysis[[#This Row],[Severidad máxima]], tblSeverityAnalysis[[#Headers],[SAMV]:[ASH]], ""), "")), "")</f>
        <v>SAL
EDU
PRO</v>
      </c>
      <c r="AE55" s="346" cm="1">
        <f t="array" ref="AE55">IFERROR(MAX(_xlfn._xlws.FILTER(tblSeverityAnalysis[[#This Row],[SAMV]:[ASH]], tblSeverityAnalysis[[#This Row],[SAMV]:[ASH]]&lt;tblSeverityAnalysis[[#This Row],[Severidad máxima]])), "")</f>
        <v>2</v>
      </c>
      <c r="AF55" s="398" t="str" cm="1">
        <f t="array" ref="AF55">IFERROR(IF(tblSeverityAnalysis[[#This Row],[2ª mayor severidad]]="", "", _xlfn.TEXTJOIN(CHAR(10), TRUE, IF(tblSeverityAnalysis[[#This Row],[SAMV]:[ASH]]=tblSeverityAnalysis[[#This Row],[2ª mayor severidad]], tblSeverityAnalysis[[#Headers],[SAMV]:[ASH]], ""), "")), "")</f>
        <v>SAMV
ASH</v>
      </c>
      <c r="AG55" s="405" t="str">
        <f>IFERROR(IF(AND(tblSeverityAnalysis[[#This Row],[5]] &lt;&gt; "", tblSeverityAnalysis[[#This Row],[5]]&gt;=sectors_sev_5), "Flagged", ""), "")</f>
        <v/>
      </c>
      <c r="AH55" s="347" t="str">
        <f>IFERROR(IF(AND(tblSeverityAnalysis[[#This Row],[Severidad preliminar basada en la superposición de privaciones sectoriales]]=5, SUM(tblSeverityAnalysis[[#This Row],[ 1 ]:[ 4 ]])&gt;=sectors_sev_5), "Flagged", ""), "")</f>
        <v/>
      </c>
      <c r="AI55" s="348" t="str" cm="1">
        <f t="array" ref="AI5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5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55" s="350"/>
      <c r="AL55" s="351"/>
      <c r="AM55" s="350"/>
      <c r="AN55" s="407">
        <f>COUNTIF(tblSeverityAnalysis[[#This Row],[1 sectores en fase de severidad 5 '[modificar el umbral']]:[Marcador manual]], "Flagged")</f>
        <v>0</v>
      </c>
      <c r="AO55" s="418">
        <f>tblSeverityAnalysis[[#This Row],[Severidad preliminar basada en la superposición de privaciones sectoriales]]</f>
        <v>2</v>
      </c>
      <c r="AP55" s="417"/>
      <c r="AQ55" s="421" t="s">
        <v>876</v>
      </c>
      <c r="AR55" s="417">
        <v>3</v>
      </c>
    </row>
    <row r="56" spans="1:44" hidden="1">
      <c r="A5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VenezolanosVE0517</v>
      </c>
      <c r="B56" s="363" t="s">
        <v>123</v>
      </c>
      <c r="C56" s="323" t="s">
        <v>179</v>
      </c>
      <c r="D56" s="322" t="s">
        <v>211</v>
      </c>
      <c r="E56" s="323" t="s">
        <v>212</v>
      </c>
      <c r="F56" s="323"/>
      <c r="G56" s="324">
        <v>123122</v>
      </c>
      <c r="H56" s="324" t="s">
        <v>102</v>
      </c>
      <c r="I56" s="374">
        <v>2</v>
      </c>
      <c r="J56" s="237">
        <v>1</v>
      </c>
      <c r="K56" s="237">
        <v>3</v>
      </c>
      <c r="L56" s="237">
        <v>3</v>
      </c>
      <c r="M56" s="237">
        <v>3</v>
      </c>
      <c r="N56" s="237">
        <v>2</v>
      </c>
      <c r="O56" s="237">
        <v>3</v>
      </c>
      <c r="P56" s="237">
        <v>3</v>
      </c>
      <c r="Q56" s="382">
        <f>IF(COUNTIF(tblSeverityAnalysis[[#This Row],[SAMV]:[ASH]], 1)=0, "", COUNTIF(tblSeverityAnalysis[[#This Row],[SAMV]:[ASH]], 1))</f>
        <v>1</v>
      </c>
      <c r="R56" s="325">
        <f>IF(COUNTIF(tblSeverityAnalysis[[#This Row],[SAMV]:[ASH]], 2)=0, "", COUNTIF(tblSeverityAnalysis[[#This Row],[SAMV]:[ASH]], 2))</f>
        <v>2</v>
      </c>
      <c r="S56" s="325">
        <f>IF(COUNTIF(tblSeverityAnalysis[[#This Row],[SAMV]:[ASH]], 3)=0, "", COUNTIF(tblSeverityAnalysis[[#This Row],[SAMV]:[ASH]], 3))</f>
        <v>3</v>
      </c>
      <c r="T56" s="325" t="str">
        <f>IF(COUNTIF(tblSeverityAnalysis[[#This Row],[SAMV]:[ASH]], 4)=0, "", COUNTIF(tblSeverityAnalysis[[#This Row],[SAMV]:[ASH]], 4))</f>
        <v/>
      </c>
      <c r="U56" s="383" t="str">
        <f>IF(COUNTIF(tblSeverityAnalysis[[#This Row],[SAMV]:[ASH]], 5)=0, "", COUNTIF(tblSeverityAnalysis[[#This Row],[SAMV]:[ASH]], 5))</f>
        <v/>
      </c>
      <c r="V56" s="375" cm="1">
        <f t="array" ref="V5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5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56" s="237" t="str">
        <f>IFERROR(IF(INDEX(tblSeverityReference[Severidad de la desnutrición],MATCH(tblSeverityAnalysis[[#This Row],[ID]], tblSeverityReference[ID], 0))= "", "",INDEX(tblSeverityReference[Severidad de la desnutrición],MATCH(tblSeverityAnalysis[[#This Row],[ID]], tblSeverityReference[ID], 0)) ), "")</f>
        <v/>
      </c>
      <c r="Y56" s="349" t="str">
        <f>IFERROR(IF(INDEX(tblSeverityReference[Severidad epidémica],MATCH(tblSeverityAnalysis[[#This Row],[ID]], tblSeverityReference[ID], 0))= "", "",INDEX(tblSeverityReference[Severidad epidémica],MATCH(tblSeverityAnalysis[[#This Row],[ID]], tblSeverityReference[ID], 0)) ), "")</f>
        <v/>
      </c>
      <c r="Z5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56" s="391" t="str">
        <f>IFERROR(IF(INDEX(tblSeverityReference[HR/IHL Violation],MATCH(tblSeverityAnalysis[[#This Row],[ID]], tblSeverityReference[ID], 0))= "", "",INDEX(tblSeverityReference[HR/IHL Violation],MATCH(tblSeverityAnalysis[[#This Row],[ID]], tblSeverityReference[ID], 0)) ), "")</f>
        <v/>
      </c>
      <c r="AB56" s="397">
        <f>IFERROR(AVERAGE(tblSeverityAnalysis[[#This Row],[SAMV]:[ASH]]), "")</f>
        <v>2.3333333333333335</v>
      </c>
      <c r="AC56" s="346">
        <f>IF(SUM(tblSeverityAnalysis[[#This Row],[SAMV]:[ASH]])=0, "", MAX(tblSeverityAnalysis[[#This Row],[SAMV]:[ASH]]))</f>
        <v>3</v>
      </c>
      <c r="AD56" s="261" t="str" cm="1">
        <f t="array" ref="AD56">IFERROR(IF(tblSeverityAnalysis[[#This Row],[Severidad máxima]]="", "", _xlfn.TEXTJOIN(CHAR(10), TRUE, IF(tblSeverityAnalysis[[#This Row],[SAMV]:[ASH]]=tblSeverityAnalysis[[#This Row],[Severidad máxima]], tblSeverityAnalysis[[#Headers],[SAMV]:[ASH]], ""), "")), "")</f>
        <v>SAL
EDU
PRO</v>
      </c>
      <c r="AE56" s="346" cm="1">
        <f t="array" ref="AE56">IFERROR(MAX(_xlfn._xlws.FILTER(tblSeverityAnalysis[[#This Row],[SAMV]:[ASH]], tblSeverityAnalysis[[#This Row],[SAMV]:[ASH]]&lt;tblSeverityAnalysis[[#This Row],[Severidad máxima]])), "")</f>
        <v>2</v>
      </c>
      <c r="AF56" s="398" t="str" cm="1">
        <f t="array" ref="AF56">IFERROR(IF(tblSeverityAnalysis[[#This Row],[2ª mayor severidad]]="", "", _xlfn.TEXTJOIN(CHAR(10), TRUE, IF(tblSeverityAnalysis[[#This Row],[SAMV]:[ASH]]=tblSeverityAnalysis[[#This Row],[2ª mayor severidad]], tblSeverityAnalysis[[#Headers],[SAMV]:[ASH]], ""), "")), "")</f>
        <v>SAMV
ASH</v>
      </c>
      <c r="AG56" s="405" t="str">
        <f>IFERROR(IF(AND(tblSeverityAnalysis[[#This Row],[5]] &lt;&gt; "", tblSeverityAnalysis[[#This Row],[5]]&gt;=sectors_sev_5), "Flagged", ""), "")</f>
        <v/>
      </c>
      <c r="AH56" s="347" t="str">
        <f>IFERROR(IF(AND(tblSeverityAnalysis[[#This Row],[Severidad preliminar basada en la superposición de privaciones sectoriales]]=5, SUM(tblSeverityAnalysis[[#This Row],[ 1 ]:[ 4 ]])&gt;=sectors_sev_5), "Flagged", ""), "")</f>
        <v/>
      </c>
      <c r="AI56" s="348" t="str" cm="1">
        <f t="array" ref="AI5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5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56" s="350"/>
      <c r="AL56" s="351"/>
      <c r="AM56" s="350"/>
      <c r="AN56" s="407">
        <f>COUNTIF(tblSeverityAnalysis[[#This Row],[1 sectores en fase de severidad 5 '[modificar el umbral']]:[Marcador manual]], "Flagged")</f>
        <v>0</v>
      </c>
      <c r="AO56" s="418">
        <f>tblSeverityAnalysis[[#This Row],[Severidad preliminar basada en la superposición de privaciones sectoriales]]</f>
        <v>2</v>
      </c>
      <c r="AP56" s="417"/>
      <c r="AQ56" s="421" t="s">
        <v>876</v>
      </c>
      <c r="AR56" s="417">
        <v>3</v>
      </c>
    </row>
    <row r="57" spans="1:44" hidden="1">
      <c r="A5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VenezolanosVE0518</v>
      </c>
      <c r="B57" s="363" t="s">
        <v>123</v>
      </c>
      <c r="C57" s="323" t="s">
        <v>179</v>
      </c>
      <c r="D57" s="322" t="s">
        <v>213</v>
      </c>
      <c r="E57" s="323" t="s">
        <v>214</v>
      </c>
      <c r="F57" s="323"/>
      <c r="G57" s="324">
        <v>12816</v>
      </c>
      <c r="H57" s="324" t="s">
        <v>102</v>
      </c>
      <c r="I57" s="374">
        <v>3</v>
      </c>
      <c r="J57" s="237">
        <v>1</v>
      </c>
      <c r="K57" s="237">
        <v>4</v>
      </c>
      <c r="L57" s="237">
        <v>3</v>
      </c>
      <c r="M57" s="237">
        <v>3</v>
      </c>
      <c r="N57" s="237">
        <v>1</v>
      </c>
      <c r="O57" s="237">
        <v>3</v>
      </c>
      <c r="P57" s="237">
        <v>3</v>
      </c>
      <c r="Q57" s="382">
        <f>IF(COUNTIF(tblSeverityAnalysis[[#This Row],[SAMV]:[ASH]], 1)=0, "", COUNTIF(tblSeverityAnalysis[[#This Row],[SAMV]:[ASH]], 1))</f>
        <v>2</v>
      </c>
      <c r="R57" s="325" t="str">
        <f>IF(COUNTIF(tblSeverityAnalysis[[#This Row],[SAMV]:[ASH]], 2)=0, "", COUNTIF(tblSeverityAnalysis[[#This Row],[SAMV]:[ASH]], 2))</f>
        <v/>
      </c>
      <c r="S57" s="325">
        <f>IF(COUNTIF(tblSeverityAnalysis[[#This Row],[SAMV]:[ASH]], 3)=0, "", COUNTIF(tblSeverityAnalysis[[#This Row],[SAMV]:[ASH]], 3))</f>
        <v>3</v>
      </c>
      <c r="T57" s="325">
        <f>IF(COUNTIF(tblSeverityAnalysis[[#This Row],[SAMV]:[ASH]], 4)=0, "", COUNTIF(tblSeverityAnalysis[[#This Row],[SAMV]:[ASH]], 4))</f>
        <v>1</v>
      </c>
      <c r="U57" s="383" t="str">
        <f>IF(COUNTIF(tblSeverityAnalysis[[#This Row],[SAMV]:[ASH]], 5)=0, "", COUNTIF(tblSeverityAnalysis[[#This Row],[SAMV]:[ASH]], 5))</f>
        <v/>
      </c>
      <c r="V57" s="375" cm="1">
        <f t="array" ref="V5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5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57" s="237" t="str">
        <f>IFERROR(IF(INDEX(tblSeverityReference[Severidad de la desnutrición],MATCH(tblSeverityAnalysis[[#This Row],[ID]], tblSeverityReference[ID], 0))= "", "",INDEX(tblSeverityReference[Severidad de la desnutrición],MATCH(tblSeverityAnalysis[[#This Row],[ID]], tblSeverityReference[ID], 0)) ), "")</f>
        <v/>
      </c>
      <c r="Y57" s="349" t="str">
        <f>IFERROR(IF(INDEX(tblSeverityReference[Severidad epidémica],MATCH(tblSeverityAnalysis[[#This Row],[ID]], tblSeverityReference[ID], 0))= "", "",INDEX(tblSeverityReference[Severidad epidémica],MATCH(tblSeverityAnalysis[[#This Row],[ID]], tblSeverityReference[ID], 0)) ), "")</f>
        <v/>
      </c>
      <c r="Z5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57" s="391" t="str">
        <f>IFERROR(IF(INDEX(tblSeverityReference[HR/IHL Violation],MATCH(tblSeverityAnalysis[[#This Row],[ID]], tblSeverityReference[ID], 0))= "", "",INDEX(tblSeverityReference[HR/IHL Violation],MATCH(tblSeverityAnalysis[[#This Row],[ID]], tblSeverityReference[ID], 0)) ), "")</f>
        <v/>
      </c>
      <c r="AB57" s="397">
        <f>IFERROR(AVERAGE(tblSeverityAnalysis[[#This Row],[SAMV]:[ASH]]), "")</f>
        <v>2.5</v>
      </c>
      <c r="AC57" s="346">
        <f>IF(SUM(tblSeverityAnalysis[[#This Row],[SAMV]:[ASH]])=0, "", MAX(tblSeverityAnalysis[[#This Row],[SAMV]:[ASH]]))</f>
        <v>4</v>
      </c>
      <c r="AD57" s="261" t="str" cm="1">
        <f t="array" ref="AD57">IFERROR(IF(tblSeverityAnalysis[[#This Row],[Severidad máxima]]="", "", _xlfn.TEXTJOIN(CHAR(10), TRUE, IF(tblSeverityAnalysis[[#This Row],[SAMV]:[ASH]]=tblSeverityAnalysis[[#This Row],[Severidad máxima]], tblSeverityAnalysis[[#Headers],[SAMV]:[ASH]], ""), "")), "")</f>
        <v>SAL</v>
      </c>
      <c r="AE57" s="346" cm="1">
        <f t="array" ref="AE57">IFERROR(MAX(_xlfn._xlws.FILTER(tblSeverityAnalysis[[#This Row],[SAMV]:[ASH]], tblSeverityAnalysis[[#This Row],[SAMV]:[ASH]]&lt;tblSeverityAnalysis[[#This Row],[Severidad máxima]])), "")</f>
        <v>3</v>
      </c>
      <c r="AF57" s="398" t="str" cm="1">
        <f t="array" ref="AF57">IFERROR(IF(tblSeverityAnalysis[[#This Row],[2ª mayor severidad]]="", "", _xlfn.TEXTJOIN(CHAR(10), TRUE, IF(tblSeverityAnalysis[[#This Row],[SAMV]:[ASH]]=tblSeverityAnalysis[[#This Row],[2ª mayor severidad]], tblSeverityAnalysis[[#Headers],[SAMV]:[ASH]], ""), "")), "")</f>
        <v>SAMV
EDU
PRO</v>
      </c>
      <c r="AG57" s="405" t="str">
        <f>IFERROR(IF(AND(tblSeverityAnalysis[[#This Row],[5]] &lt;&gt; "", tblSeverityAnalysis[[#This Row],[5]]&gt;=sectors_sev_5), "Flagged", ""), "")</f>
        <v/>
      </c>
      <c r="AH57" s="347" t="str">
        <f>IFERROR(IF(AND(tblSeverityAnalysis[[#This Row],[Severidad preliminar basada en la superposición de privaciones sectoriales]]=5, SUM(tblSeverityAnalysis[[#This Row],[ 1 ]:[ 4 ]])&gt;=sectors_sev_5), "Flagged", ""), "")</f>
        <v/>
      </c>
      <c r="AI57" s="348" t="str" cm="1">
        <f t="array" ref="AI5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5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57" s="350"/>
      <c r="AL57" s="351"/>
      <c r="AM57" s="350"/>
      <c r="AN57" s="407">
        <f>COUNTIF(tblSeverityAnalysis[[#This Row],[1 sectores en fase de severidad 5 '[modificar el umbral']]:[Marcador manual]], "Flagged")</f>
        <v>0</v>
      </c>
      <c r="AO57" s="418">
        <f>tblSeverityAnalysis[[#This Row],[Severidad preliminar basada en la superposición de privaciones sectoriales]]</f>
        <v>3</v>
      </c>
      <c r="AP57" s="417"/>
      <c r="AQ57" s="421" t="s">
        <v>876</v>
      </c>
      <c r="AR57" s="417">
        <v>3</v>
      </c>
    </row>
    <row r="58" spans="1:44" hidden="1">
      <c r="A5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VenezolanosVE0601</v>
      </c>
      <c r="B58" s="363" t="s">
        <v>215</v>
      </c>
      <c r="C58" s="323" t="s">
        <v>216</v>
      </c>
      <c r="D58" s="322" t="s">
        <v>217</v>
      </c>
      <c r="E58" s="323" t="s">
        <v>218</v>
      </c>
      <c r="F58" s="323"/>
      <c r="G58" s="324">
        <v>41232</v>
      </c>
      <c r="H58" s="324" t="s">
        <v>102</v>
      </c>
      <c r="I58" s="374">
        <v>2</v>
      </c>
      <c r="J58" s="237">
        <v>2</v>
      </c>
      <c r="K58" s="237">
        <v>4</v>
      </c>
      <c r="L58" s="237">
        <v>3</v>
      </c>
      <c r="M58" s="237">
        <v>3</v>
      </c>
      <c r="N58" s="237">
        <v>2</v>
      </c>
      <c r="O58" s="237">
        <v>3</v>
      </c>
      <c r="P58" s="237">
        <v>3</v>
      </c>
      <c r="Q58" s="382" t="str">
        <f>IF(COUNTIF(tblSeverityAnalysis[[#This Row],[SAMV]:[ASH]], 1)=0, "", COUNTIF(tblSeverityAnalysis[[#This Row],[SAMV]:[ASH]], 1))</f>
        <v/>
      </c>
      <c r="R58" s="325">
        <f>IF(COUNTIF(tblSeverityAnalysis[[#This Row],[SAMV]:[ASH]], 2)=0, "", COUNTIF(tblSeverityAnalysis[[#This Row],[SAMV]:[ASH]], 2))</f>
        <v>3</v>
      </c>
      <c r="S58" s="325">
        <f>IF(COUNTIF(tblSeverityAnalysis[[#This Row],[SAMV]:[ASH]], 3)=0, "", COUNTIF(tblSeverityAnalysis[[#This Row],[SAMV]:[ASH]], 3))</f>
        <v>2</v>
      </c>
      <c r="T58" s="325">
        <f>IF(COUNTIF(tblSeverityAnalysis[[#This Row],[SAMV]:[ASH]], 4)=0, "", COUNTIF(tblSeverityAnalysis[[#This Row],[SAMV]:[ASH]], 4))</f>
        <v>1</v>
      </c>
      <c r="U58" s="383" t="str">
        <f>IF(COUNTIF(tblSeverityAnalysis[[#This Row],[SAMV]:[ASH]], 5)=0, "", COUNTIF(tblSeverityAnalysis[[#This Row],[SAMV]:[ASH]], 5))</f>
        <v/>
      </c>
      <c r="V58" s="375" cm="1">
        <f t="array" ref="V5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5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58" s="237" t="str">
        <f>IFERROR(IF(INDEX(tblSeverityReference[Severidad de la desnutrición],MATCH(tblSeverityAnalysis[[#This Row],[ID]], tblSeverityReference[ID], 0))= "", "",INDEX(tblSeverityReference[Severidad de la desnutrición],MATCH(tblSeverityAnalysis[[#This Row],[ID]], tblSeverityReference[ID], 0)) ), "")</f>
        <v/>
      </c>
      <c r="Y58" s="349" t="str">
        <f>IFERROR(IF(INDEX(tblSeverityReference[Severidad epidémica],MATCH(tblSeverityAnalysis[[#This Row],[ID]], tblSeverityReference[ID], 0))= "", "",INDEX(tblSeverityReference[Severidad epidémica],MATCH(tblSeverityAnalysis[[#This Row],[ID]], tblSeverityReference[ID], 0)) ), "")</f>
        <v/>
      </c>
      <c r="Z5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58" s="391" t="str">
        <f>IFERROR(IF(INDEX(tblSeverityReference[HR/IHL Violation],MATCH(tblSeverityAnalysis[[#This Row],[ID]], tblSeverityReference[ID], 0))= "", "",INDEX(tblSeverityReference[HR/IHL Violation],MATCH(tblSeverityAnalysis[[#This Row],[ID]], tblSeverityReference[ID], 0)) ), "")</f>
        <v/>
      </c>
      <c r="AB58" s="397">
        <f>IFERROR(AVERAGE(tblSeverityAnalysis[[#This Row],[SAMV]:[ASH]]), "")</f>
        <v>2.6666666666666665</v>
      </c>
      <c r="AC58" s="346">
        <f>IF(SUM(tblSeverityAnalysis[[#This Row],[SAMV]:[ASH]])=0, "", MAX(tblSeverityAnalysis[[#This Row],[SAMV]:[ASH]]))</f>
        <v>4</v>
      </c>
      <c r="AD58" s="261" t="str" cm="1">
        <f t="array" ref="AD58">IFERROR(IF(tblSeverityAnalysis[[#This Row],[Severidad máxima]]="", "", _xlfn.TEXTJOIN(CHAR(10), TRUE, IF(tblSeverityAnalysis[[#This Row],[SAMV]:[ASH]]=tblSeverityAnalysis[[#This Row],[Severidad máxima]], tblSeverityAnalysis[[#Headers],[SAMV]:[ASH]], ""), "")), "")</f>
        <v>SAL</v>
      </c>
      <c r="AE58" s="346" cm="1">
        <f t="array" ref="AE58">IFERROR(MAX(_xlfn._xlws.FILTER(tblSeverityAnalysis[[#This Row],[SAMV]:[ASH]], tblSeverityAnalysis[[#This Row],[SAMV]:[ASH]]&lt;tblSeverityAnalysis[[#This Row],[Severidad máxima]])), "")</f>
        <v>3</v>
      </c>
      <c r="AF58" s="398" t="str" cm="1">
        <f t="array" ref="AF58">IFERROR(IF(tblSeverityAnalysis[[#This Row],[2ª mayor severidad]]="", "", _xlfn.TEXTJOIN(CHAR(10), TRUE, IF(tblSeverityAnalysis[[#This Row],[SAMV]:[ASH]]=tblSeverityAnalysis[[#This Row],[2ª mayor severidad]], tblSeverityAnalysis[[#Headers],[SAMV]:[ASH]], ""), "")), "")</f>
        <v>EDU
PRO</v>
      </c>
      <c r="AG58" s="405" t="str">
        <f>IFERROR(IF(AND(tblSeverityAnalysis[[#This Row],[5]] &lt;&gt; "", tblSeverityAnalysis[[#This Row],[5]]&gt;=sectors_sev_5), "Flagged", ""), "")</f>
        <v/>
      </c>
      <c r="AH58" s="347" t="str">
        <f>IFERROR(IF(AND(tblSeverityAnalysis[[#This Row],[Severidad preliminar basada en la superposición de privaciones sectoriales]]=5, SUM(tblSeverityAnalysis[[#This Row],[ 1 ]:[ 4 ]])&gt;=sectors_sev_5), "Flagged", ""), "")</f>
        <v/>
      </c>
      <c r="AI58" s="348" t="str" cm="1">
        <f t="array" ref="AI5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5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58" s="350"/>
      <c r="AL58" s="351"/>
      <c r="AM58" s="350"/>
      <c r="AN58" s="407">
        <f>COUNTIF(tblSeverityAnalysis[[#This Row],[1 sectores en fase de severidad 5 '[modificar el umbral']]:[Marcador manual]], "Flagged")</f>
        <v>0</v>
      </c>
      <c r="AO58" s="418">
        <f>tblSeverityAnalysis[[#This Row],[Severidad preliminar basada en la superposición de privaciones sectoriales]]</f>
        <v>2</v>
      </c>
      <c r="AP58" s="417"/>
      <c r="AQ58" s="421" t="s">
        <v>876</v>
      </c>
      <c r="AR58" s="417">
        <v>3</v>
      </c>
    </row>
    <row r="59" spans="1:44" hidden="1">
      <c r="A5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VenezolanosVE0602</v>
      </c>
      <c r="B59" s="363" t="s">
        <v>215</v>
      </c>
      <c r="C59" s="323" t="s">
        <v>216</v>
      </c>
      <c r="D59" s="322" t="s">
        <v>219</v>
      </c>
      <c r="E59" s="323" t="s">
        <v>220</v>
      </c>
      <c r="F59" s="323"/>
      <c r="G59" s="324">
        <v>81665</v>
      </c>
      <c r="H59" s="324" t="s">
        <v>102</v>
      </c>
      <c r="I59" s="374">
        <v>3</v>
      </c>
      <c r="J59" s="237">
        <v>2</v>
      </c>
      <c r="K59" s="237">
        <v>3</v>
      </c>
      <c r="L59" s="237">
        <v>4</v>
      </c>
      <c r="M59" s="237">
        <v>2</v>
      </c>
      <c r="N59" s="237">
        <v>3</v>
      </c>
      <c r="O59" s="237">
        <v>2</v>
      </c>
      <c r="P59" s="237">
        <v>2</v>
      </c>
      <c r="Q59" s="382" t="str">
        <f>IF(COUNTIF(tblSeverityAnalysis[[#This Row],[SAMV]:[ASH]], 1)=0, "", COUNTIF(tblSeverityAnalysis[[#This Row],[SAMV]:[ASH]], 1))</f>
        <v/>
      </c>
      <c r="R59" s="325">
        <f>IF(COUNTIF(tblSeverityAnalysis[[#This Row],[SAMV]:[ASH]], 2)=0, "", COUNTIF(tblSeverityAnalysis[[#This Row],[SAMV]:[ASH]], 2))</f>
        <v>2</v>
      </c>
      <c r="S59" s="325">
        <f>IF(COUNTIF(tblSeverityAnalysis[[#This Row],[SAMV]:[ASH]], 3)=0, "", COUNTIF(tblSeverityAnalysis[[#This Row],[SAMV]:[ASH]], 3))</f>
        <v>3</v>
      </c>
      <c r="T59" s="325">
        <f>IF(COUNTIF(tblSeverityAnalysis[[#This Row],[SAMV]:[ASH]], 4)=0, "", COUNTIF(tblSeverityAnalysis[[#This Row],[SAMV]:[ASH]], 4))</f>
        <v>1</v>
      </c>
      <c r="U59" s="383" t="str">
        <f>IF(COUNTIF(tblSeverityAnalysis[[#This Row],[SAMV]:[ASH]], 5)=0, "", COUNTIF(tblSeverityAnalysis[[#This Row],[SAMV]:[ASH]], 5))</f>
        <v/>
      </c>
      <c r="V59" s="375" cm="1">
        <f t="array" ref="V5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5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59" s="237" t="str">
        <f>IFERROR(IF(INDEX(tblSeverityReference[Severidad de la desnutrición],MATCH(tblSeverityAnalysis[[#This Row],[ID]], tblSeverityReference[ID], 0))= "", "",INDEX(tblSeverityReference[Severidad de la desnutrición],MATCH(tblSeverityAnalysis[[#This Row],[ID]], tblSeverityReference[ID], 0)) ), "")</f>
        <v/>
      </c>
      <c r="Y59" s="349" t="str">
        <f>IFERROR(IF(INDEX(tblSeverityReference[Severidad epidémica],MATCH(tblSeverityAnalysis[[#This Row],[ID]], tblSeverityReference[ID], 0))= "", "",INDEX(tblSeverityReference[Severidad epidémica],MATCH(tblSeverityAnalysis[[#This Row],[ID]], tblSeverityReference[ID], 0)) ), "")</f>
        <v/>
      </c>
      <c r="Z5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59" s="391" t="str">
        <f>IFERROR(IF(INDEX(tblSeverityReference[HR/IHL Violation],MATCH(tblSeverityAnalysis[[#This Row],[ID]], tblSeverityReference[ID], 0))= "", "",INDEX(tblSeverityReference[HR/IHL Violation],MATCH(tblSeverityAnalysis[[#This Row],[ID]], tblSeverityReference[ID], 0)) ), "")</f>
        <v/>
      </c>
      <c r="AB59" s="397">
        <f>IFERROR(AVERAGE(tblSeverityAnalysis[[#This Row],[SAMV]:[ASH]]), "")</f>
        <v>2.8333333333333335</v>
      </c>
      <c r="AC59" s="346">
        <f>IF(SUM(tblSeverityAnalysis[[#This Row],[SAMV]:[ASH]])=0, "", MAX(tblSeverityAnalysis[[#This Row],[SAMV]:[ASH]]))</f>
        <v>4</v>
      </c>
      <c r="AD59" s="261" t="str" cm="1">
        <f t="array" ref="AD59">IFERROR(IF(tblSeverityAnalysis[[#This Row],[Severidad máxima]]="", "", _xlfn.TEXTJOIN(CHAR(10), TRUE, IF(tblSeverityAnalysis[[#This Row],[SAMV]:[ASH]]=tblSeverityAnalysis[[#This Row],[Severidad máxima]], tblSeverityAnalysis[[#Headers],[SAMV]:[ASH]], ""), "")), "")</f>
        <v>EDU</v>
      </c>
      <c r="AE59" s="346" cm="1">
        <f t="array" ref="AE59">IFERROR(MAX(_xlfn._xlws.FILTER(tblSeverityAnalysis[[#This Row],[SAMV]:[ASH]], tblSeverityAnalysis[[#This Row],[SAMV]:[ASH]]&lt;tblSeverityAnalysis[[#This Row],[Severidad máxima]])), "")</f>
        <v>3</v>
      </c>
      <c r="AF59" s="398" t="str" cm="1">
        <f t="array" ref="AF59">IFERROR(IF(tblSeverityAnalysis[[#This Row],[2ª mayor severidad]]="", "", _xlfn.TEXTJOIN(CHAR(10), TRUE, IF(tblSeverityAnalysis[[#This Row],[SAMV]:[ASH]]=tblSeverityAnalysis[[#This Row],[2ª mayor severidad]], tblSeverityAnalysis[[#Headers],[SAMV]:[ASH]], ""), "")), "")</f>
        <v>SAMV
SAL
ASH</v>
      </c>
      <c r="AG59" s="405" t="str">
        <f>IFERROR(IF(AND(tblSeverityAnalysis[[#This Row],[5]] &lt;&gt; "", tblSeverityAnalysis[[#This Row],[5]]&gt;=sectors_sev_5), "Flagged", ""), "")</f>
        <v/>
      </c>
      <c r="AH59" s="347" t="str">
        <f>IFERROR(IF(AND(tblSeverityAnalysis[[#This Row],[Severidad preliminar basada en la superposición de privaciones sectoriales]]=5, SUM(tblSeverityAnalysis[[#This Row],[ 1 ]:[ 4 ]])&gt;=sectors_sev_5), "Flagged", ""), "")</f>
        <v/>
      </c>
      <c r="AI59" s="348" t="str" cm="1">
        <f t="array" ref="AI5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5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59" s="350"/>
      <c r="AL59" s="351"/>
      <c r="AM59" s="350"/>
      <c r="AN59" s="407">
        <f>COUNTIF(tblSeverityAnalysis[[#This Row],[1 sectores en fase de severidad 5 '[modificar el umbral']]:[Marcador manual]], "Flagged")</f>
        <v>0</v>
      </c>
      <c r="AO59" s="418">
        <f>tblSeverityAnalysis[[#This Row],[Severidad preliminar basada en la superposición de privaciones sectoriales]]</f>
        <v>3</v>
      </c>
      <c r="AP59" s="417"/>
      <c r="AQ59" s="421" t="s">
        <v>876</v>
      </c>
      <c r="AR59" s="417">
        <v>4</v>
      </c>
    </row>
    <row r="60" spans="1:44" hidden="1">
      <c r="A6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VenezolanosVE0603</v>
      </c>
      <c r="B60" s="363" t="s">
        <v>215</v>
      </c>
      <c r="C60" s="323" t="s">
        <v>216</v>
      </c>
      <c r="D60" s="322" t="s">
        <v>221</v>
      </c>
      <c r="E60" s="323" t="s">
        <v>222</v>
      </c>
      <c r="F60" s="323"/>
      <c r="G60" s="324">
        <v>23727</v>
      </c>
      <c r="H60" s="324" t="s">
        <v>102</v>
      </c>
      <c r="I60" s="374">
        <v>4</v>
      </c>
      <c r="J60" s="237">
        <v>2</v>
      </c>
      <c r="K60" s="237">
        <v>4</v>
      </c>
      <c r="L60" s="237">
        <v>3</v>
      </c>
      <c r="M60" s="237">
        <v>1</v>
      </c>
      <c r="N60" s="237">
        <v>2</v>
      </c>
      <c r="O60" s="237">
        <v>1</v>
      </c>
      <c r="P60" s="237">
        <v>1</v>
      </c>
      <c r="Q60" s="382">
        <f>IF(COUNTIF(tblSeverityAnalysis[[#This Row],[SAMV]:[ASH]], 1)=0, "", COUNTIF(tblSeverityAnalysis[[#This Row],[SAMV]:[ASH]], 1))</f>
        <v>1</v>
      </c>
      <c r="R60" s="325">
        <f>IF(COUNTIF(tblSeverityAnalysis[[#This Row],[SAMV]:[ASH]], 2)=0, "", COUNTIF(tblSeverityAnalysis[[#This Row],[SAMV]:[ASH]], 2))</f>
        <v>2</v>
      </c>
      <c r="S60" s="325">
        <f>IF(COUNTIF(tblSeverityAnalysis[[#This Row],[SAMV]:[ASH]], 3)=0, "", COUNTIF(tblSeverityAnalysis[[#This Row],[SAMV]:[ASH]], 3))</f>
        <v>1</v>
      </c>
      <c r="T60" s="325">
        <f>IF(COUNTIF(tblSeverityAnalysis[[#This Row],[SAMV]:[ASH]], 4)=0, "", COUNTIF(tblSeverityAnalysis[[#This Row],[SAMV]:[ASH]], 4))</f>
        <v>2</v>
      </c>
      <c r="U60" s="383" t="str">
        <f>IF(COUNTIF(tblSeverityAnalysis[[#This Row],[SAMV]:[ASH]], 5)=0, "", COUNTIF(tblSeverityAnalysis[[#This Row],[SAMV]:[ASH]], 5))</f>
        <v/>
      </c>
      <c r="V60" s="375" cm="1">
        <f t="array" ref="V6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6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60" s="237" t="str">
        <f>IFERROR(IF(INDEX(tblSeverityReference[Severidad de la desnutrición],MATCH(tblSeverityAnalysis[[#This Row],[ID]], tblSeverityReference[ID], 0))= "", "",INDEX(tblSeverityReference[Severidad de la desnutrición],MATCH(tblSeverityAnalysis[[#This Row],[ID]], tblSeverityReference[ID], 0)) ), "")</f>
        <v/>
      </c>
      <c r="Y60" s="349" t="str">
        <f>IFERROR(IF(INDEX(tblSeverityReference[Severidad epidémica],MATCH(tblSeverityAnalysis[[#This Row],[ID]], tblSeverityReference[ID], 0))= "", "",INDEX(tblSeverityReference[Severidad epidémica],MATCH(tblSeverityAnalysis[[#This Row],[ID]], tblSeverityReference[ID], 0)) ), "")</f>
        <v/>
      </c>
      <c r="Z6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60" s="391" t="str">
        <f>IFERROR(IF(INDEX(tblSeverityReference[HR/IHL Violation],MATCH(tblSeverityAnalysis[[#This Row],[ID]], tblSeverityReference[ID], 0))= "", "",INDEX(tblSeverityReference[HR/IHL Violation],MATCH(tblSeverityAnalysis[[#This Row],[ID]], tblSeverityReference[ID], 0)) ), "")</f>
        <v/>
      </c>
      <c r="AB60" s="397">
        <f>IFERROR(AVERAGE(tblSeverityAnalysis[[#This Row],[SAMV]:[ASH]]), "")</f>
        <v>2.6666666666666665</v>
      </c>
      <c r="AC60" s="346">
        <f>IF(SUM(tblSeverityAnalysis[[#This Row],[SAMV]:[ASH]])=0, "", MAX(tblSeverityAnalysis[[#This Row],[SAMV]:[ASH]]))</f>
        <v>4</v>
      </c>
      <c r="AD60" s="261" t="str" cm="1">
        <f t="array" ref="AD60">IFERROR(IF(tblSeverityAnalysis[[#This Row],[Severidad máxima]]="", "", _xlfn.TEXTJOIN(CHAR(10), TRUE, IF(tblSeverityAnalysis[[#This Row],[SAMV]:[ASH]]=tblSeverityAnalysis[[#This Row],[Severidad máxima]], tblSeverityAnalysis[[#Headers],[SAMV]:[ASH]], ""), "")), "")</f>
        <v>SAMV
SAL</v>
      </c>
      <c r="AE60" s="346" cm="1">
        <f t="array" ref="AE60">IFERROR(MAX(_xlfn._xlws.FILTER(tblSeverityAnalysis[[#This Row],[SAMV]:[ASH]], tblSeverityAnalysis[[#This Row],[SAMV]:[ASH]]&lt;tblSeverityAnalysis[[#This Row],[Severidad máxima]])), "")</f>
        <v>3</v>
      </c>
      <c r="AF60" s="398" t="str" cm="1">
        <f t="array" ref="AF60">IFERROR(IF(tblSeverityAnalysis[[#This Row],[2ª mayor severidad]]="", "", _xlfn.TEXTJOIN(CHAR(10), TRUE, IF(tblSeverityAnalysis[[#This Row],[SAMV]:[ASH]]=tblSeverityAnalysis[[#This Row],[2ª mayor severidad]], tblSeverityAnalysis[[#Headers],[SAMV]:[ASH]], ""), "")), "")</f>
        <v>EDU</v>
      </c>
      <c r="AG60" s="405" t="str">
        <f>IFERROR(IF(AND(tblSeverityAnalysis[[#This Row],[5]] &lt;&gt; "", tblSeverityAnalysis[[#This Row],[5]]&gt;=sectors_sev_5), "Flagged", ""), "")</f>
        <v/>
      </c>
      <c r="AH60" s="347" t="str">
        <f>IFERROR(IF(AND(tblSeverityAnalysis[[#This Row],[Severidad preliminar basada en la superposición de privaciones sectoriales]]=5, SUM(tblSeverityAnalysis[[#This Row],[ 1 ]:[ 4 ]])&gt;=sectors_sev_5), "Flagged", ""), "")</f>
        <v/>
      </c>
      <c r="AI60" s="348" t="str" cm="1">
        <f t="array" ref="AI6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6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60" s="350"/>
      <c r="AL60" s="351"/>
      <c r="AM60" s="350"/>
      <c r="AN60" s="407">
        <f>COUNTIF(tblSeverityAnalysis[[#This Row],[1 sectores en fase de severidad 5 '[modificar el umbral']]:[Marcador manual]], "Flagged")</f>
        <v>0</v>
      </c>
      <c r="AO60" s="418">
        <f>tblSeverityAnalysis[[#This Row],[Severidad preliminar basada en la superposición de privaciones sectoriales]]</f>
        <v>2</v>
      </c>
      <c r="AP60" s="417"/>
      <c r="AQ60" s="421" t="s">
        <v>876</v>
      </c>
      <c r="AR60" s="417">
        <v>4</v>
      </c>
    </row>
    <row r="61" spans="1:44" hidden="1">
      <c r="A6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VenezolanosVE0604</v>
      </c>
      <c r="B61" s="363" t="s">
        <v>215</v>
      </c>
      <c r="C61" s="323" t="s">
        <v>216</v>
      </c>
      <c r="D61" s="322" t="s">
        <v>215</v>
      </c>
      <c r="E61" s="323" t="s">
        <v>223</v>
      </c>
      <c r="F61" s="323"/>
      <c r="G61" s="324">
        <v>353851</v>
      </c>
      <c r="H61" s="324" t="s">
        <v>102</v>
      </c>
      <c r="I61" s="374">
        <v>3</v>
      </c>
      <c r="J61" s="237">
        <v>2</v>
      </c>
      <c r="K61" s="237">
        <v>3</v>
      </c>
      <c r="L61" s="237">
        <v>3</v>
      </c>
      <c r="M61" s="237">
        <v>3</v>
      </c>
      <c r="N61" s="237">
        <v>2</v>
      </c>
      <c r="O61" s="237">
        <v>3</v>
      </c>
      <c r="P61" s="237">
        <v>3</v>
      </c>
      <c r="Q61" s="382" t="str">
        <f>IF(COUNTIF(tblSeverityAnalysis[[#This Row],[SAMV]:[ASH]], 1)=0, "", COUNTIF(tblSeverityAnalysis[[#This Row],[SAMV]:[ASH]], 1))</f>
        <v/>
      </c>
      <c r="R61" s="325">
        <f>IF(COUNTIF(tblSeverityAnalysis[[#This Row],[SAMV]:[ASH]], 2)=0, "", COUNTIF(tblSeverityAnalysis[[#This Row],[SAMV]:[ASH]], 2))</f>
        <v>2</v>
      </c>
      <c r="S61" s="325">
        <f>IF(COUNTIF(tblSeverityAnalysis[[#This Row],[SAMV]:[ASH]], 3)=0, "", COUNTIF(tblSeverityAnalysis[[#This Row],[SAMV]:[ASH]], 3))</f>
        <v>4</v>
      </c>
      <c r="T61" s="325" t="str">
        <f>IF(COUNTIF(tblSeverityAnalysis[[#This Row],[SAMV]:[ASH]], 4)=0, "", COUNTIF(tblSeverityAnalysis[[#This Row],[SAMV]:[ASH]], 4))</f>
        <v/>
      </c>
      <c r="U61" s="383" t="str">
        <f>IF(COUNTIF(tblSeverityAnalysis[[#This Row],[SAMV]:[ASH]], 5)=0, "", COUNTIF(tblSeverityAnalysis[[#This Row],[SAMV]:[ASH]], 5))</f>
        <v/>
      </c>
      <c r="V61" s="375" cm="1">
        <f t="array" ref="V6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6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61" s="237" t="str">
        <f>IFERROR(IF(INDEX(tblSeverityReference[Severidad de la desnutrición],MATCH(tblSeverityAnalysis[[#This Row],[ID]], tblSeverityReference[ID], 0))= "", "",INDEX(tblSeverityReference[Severidad de la desnutrición],MATCH(tblSeverityAnalysis[[#This Row],[ID]], tblSeverityReference[ID], 0)) ), "")</f>
        <v/>
      </c>
      <c r="Y61" s="349" t="str">
        <f>IFERROR(IF(INDEX(tblSeverityReference[Severidad epidémica],MATCH(tblSeverityAnalysis[[#This Row],[ID]], tblSeverityReference[ID], 0))= "", "",INDEX(tblSeverityReference[Severidad epidémica],MATCH(tblSeverityAnalysis[[#This Row],[ID]], tblSeverityReference[ID], 0)) ), "")</f>
        <v/>
      </c>
      <c r="Z6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61" s="391" t="str">
        <f>IFERROR(IF(INDEX(tblSeverityReference[HR/IHL Violation],MATCH(tblSeverityAnalysis[[#This Row],[ID]], tblSeverityReference[ID], 0))= "", "",INDEX(tblSeverityReference[HR/IHL Violation],MATCH(tblSeverityAnalysis[[#This Row],[ID]], tblSeverityReference[ID], 0)) ), "")</f>
        <v/>
      </c>
      <c r="AB61" s="397">
        <f>IFERROR(AVERAGE(tblSeverityAnalysis[[#This Row],[SAMV]:[ASH]]), "")</f>
        <v>2.6666666666666665</v>
      </c>
      <c r="AC61" s="346">
        <f>IF(SUM(tblSeverityAnalysis[[#This Row],[SAMV]:[ASH]])=0, "", MAX(tblSeverityAnalysis[[#This Row],[SAMV]:[ASH]]))</f>
        <v>3</v>
      </c>
      <c r="AD61" s="261" t="str" cm="1">
        <f t="array" ref="AD61">IFERROR(IF(tblSeverityAnalysis[[#This Row],[Severidad máxima]]="", "", _xlfn.TEXTJOIN(CHAR(10), TRUE, IF(tblSeverityAnalysis[[#This Row],[SAMV]:[ASH]]=tblSeverityAnalysis[[#This Row],[Severidad máxima]], tblSeverityAnalysis[[#Headers],[SAMV]:[ASH]], ""), "")), "")</f>
        <v>SAMV
SAL
EDU
PRO</v>
      </c>
      <c r="AE61" s="346" cm="1">
        <f t="array" ref="AE61">IFERROR(MAX(_xlfn._xlws.FILTER(tblSeverityAnalysis[[#This Row],[SAMV]:[ASH]], tblSeverityAnalysis[[#This Row],[SAMV]:[ASH]]&lt;tblSeverityAnalysis[[#This Row],[Severidad máxima]])), "")</f>
        <v>2</v>
      </c>
      <c r="AF61" s="398" t="str" cm="1">
        <f t="array" ref="AF61">IFERROR(IF(tblSeverityAnalysis[[#This Row],[2ª mayor severidad]]="", "", _xlfn.TEXTJOIN(CHAR(10), TRUE, IF(tblSeverityAnalysis[[#This Row],[SAMV]:[ASH]]=tblSeverityAnalysis[[#This Row],[2ª mayor severidad]], tblSeverityAnalysis[[#Headers],[SAMV]:[ASH]], ""), "")), "")</f>
        <v>NUT
ASH</v>
      </c>
      <c r="AG61" s="405" t="str">
        <f>IFERROR(IF(AND(tblSeverityAnalysis[[#This Row],[5]] &lt;&gt; "", tblSeverityAnalysis[[#This Row],[5]]&gt;=sectors_sev_5), "Flagged", ""), "")</f>
        <v/>
      </c>
      <c r="AH61" s="347" t="str">
        <f>IFERROR(IF(AND(tblSeverityAnalysis[[#This Row],[Severidad preliminar basada en la superposición de privaciones sectoriales]]=5, SUM(tblSeverityAnalysis[[#This Row],[ 1 ]:[ 4 ]])&gt;=sectors_sev_5), "Flagged", ""), "")</f>
        <v/>
      </c>
      <c r="AI61" s="348" t="str" cm="1">
        <f t="array" ref="AI6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6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61" s="350"/>
      <c r="AL61" s="351"/>
      <c r="AM61" s="350"/>
      <c r="AN61" s="407">
        <f>COUNTIF(tblSeverityAnalysis[[#This Row],[1 sectores en fase de severidad 5 '[modificar el umbral']]:[Marcador manual]], "Flagged")</f>
        <v>0</v>
      </c>
      <c r="AO61" s="418">
        <f>tblSeverityAnalysis[[#This Row],[Severidad preliminar basada en la superposición de privaciones sectoriales]]</f>
        <v>3</v>
      </c>
      <c r="AP61" s="417"/>
      <c r="AQ61" s="421" t="s">
        <v>876</v>
      </c>
      <c r="AR61" s="417">
        <v>3</v>
      </c>
    </row>
    <row r="62" spans="1:44" hidden="1">
      <c r="A6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VenezolanosVE0605</v>
      </c>
      <c r="B62" s="363" t="s">
        <v>215</v>
      </c>
      <c r="C62" s="323" t="s">
        <v>216</v>
      </c>
      <c r="D62" s="322" t="s">
        <v>180</v>
      </c>
      <c r="E62" s="323" t="s">
        <v>224</v>
      </c>
      <c r="F62" s="323"/>
      <c r="G62" s="324">
        <v>52872</v>
      </c>
      <c r="H62" s="324" t="s">
        <v>102</v>
      </c>
      <c r="I62" s="374">
        <v>2</v>
      </c>
      <c r="J62" s="237">
        <v>2</v>
      </c>
      <c r="K62" s="237">
        <v>4</v>
      </c>
      <c r="L62" s="237">
        <v>3</v>
      </c>
      <c r="M62" s="237">
        <v>3</v>
      </c>
      <c r="N62" s="237">
        <v>2</v>
      </c>
      <c r="O62" s="237">
        <v>3</v>
      </c>
      <c r="P62" s="237">
        <v>3</v>
      </c>
      <c r="Q62" s="382" t="str">
        <f>IF(COUNTIF(tblSeverityAnalysis[[#This Row],[SAMV]:[ASH]], 1)=0, "", COUNTIF(tblSeverityAnalysis[[#This Row],[SAMV]:[ASH]], 1))</f>
        <v/>
      </c>
      <c r="R62" s="325">
        <f>IF(COUNTIF(tblSeverityAnalysis[[#This Row],[SAMV]:[ASH]], 2)=0, "", COUNTIF(tblSeverityAnalysis[[#This Row],[SAMV]:[ASH]], 2))</f>
        <v>3</v>
      </c>
      <c r="S62" s="325">
        <f>IF(COUNTIF(tblSeverityAnalysis[[#This Row],[SAMV]:[ASH]], 3)=0, "", COUNTIF(tblSeverityAnalysis[[#This Row],[SAMV]:[ASH]], 3))</f>
        <v>2</v>
      </c>
      <c r="T62" s="325">
        <f>IF(COUNTIF(tblSeverityAnalysis[[#This Row],[SAMV]:[ASH]], 4)=0, "", COUNTIF(tblSeverityAnalysis[[#This Row],[SAMV]:[ASH]], 4))</f>
        <v>1</v>
      </c>
      <c r="U62" s="383" t="str">
        <f>IF(COUNTIF(tblSeverityAnalysis[[#This Row],[SAMV]:[ASH]], 5)=0, "", COUNTIF(tblSeverityAnalysis[[#This Row],[SAMV]:[ASH]], 5))</f>
        <v/>
      </c>
      <c r="V62" s="375" cm="1">
        <f t="array" ref="V6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6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62" s="237" t="str">
        <f>IFERROR(IF(INDEX(tblSeverityReference[Severidad de la desnutrición],MATCH(tblSeverityAnalysis[[#This Row],[ID]], tblSeverityReference[ID], 0))= "", "",INDEX(tblSeverityReference[Severidad de la desnutrición],MATCH(tblSeverityAnalysis[[#This Row],[ID]], tblSeverityReference[ID], 0)) ), "")</f>
        <v/>
      </c>
      <c r="Y62" s="349" t="str">
        <f>IFERROR(IF(INDEX(tblSeverityReference[Severidad epidémica],MATCH(tblSeverityAnalysis[[#This Row],[ID]], tblSeverityReference[ID], 0))= "", "",INDEX(tblSeverityReference[Severidad epidémica],MATCH(tblSeverityAnalysis[[#This Row],[ID]], tblSeverityReference[ID], 0)) ), "")</f>
        <v/>
      </c>
      <c r="Z6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62" s="391" t="str">
        <f>IFERROR(IF(INDEX(tblSeverityReference[HR/IHL Violation],MATCH(tblSeverityAnalysis[[#This Row],[ID]], tblSeverityReference[ID], 0))= "", "",INDEX(tblSeverityReference[HR/IHL Violation],MATCH(tblSeverityAnalysis[[#This Row],[ID]], tblSeverityReference[ID], 0)) ), "")</f>
        <v/>
      </c>
      <c r="AB62" s="397">
        <f>IFERROR(AVERAGE(tblSeverityAnalysis[[#This Row],[SAMV]:[ASH]]), "")</f>
        <v>2.6666666666666665</v>
      </c>
      <c r="AC62" s="346">
        <f>IF(SUM(tblSeverityAnalysis[[#This Row],[SAMV]:[ASH]])=0, "", MAX(tblSeverityAnalysis[[#This Row],[SAMV]:[ASH]]))</f>
        <v>4</v>
      </c>
      <c r="AD62" s="261" t="str" cm="1">
        <f t="array" ref="AD62">IFERROR(IF(tblSeverityAnalysis[[#This Row],[Severidad máxima]]="", "", _xlfn.TEXTJOIN(CHAR(10), TRUE, IF(tblSeverityAnalysis[[#This Row],[SAMV]:[ASH]]=tblSeverityAnalysis[[#This Row],[Severidad máxima]], tblSeverityAnalysis[[#Headers],[SAMV]:[ASH]], ""), "")), "")</f>
        <v>SAL</v>
      </c>
      <c r="AE62" s="346" cm="1">
        <f t="array" ref="AE62">IFERROR(MAX(_xlfn._xlws.FILTER(tblSeverityAnalysis[[#This Row],[SAMV]:[ASH]], tblSeverityAnalysis[[#This Row],[SAMV]:[ASH]]&lt;tblSeverityAnalysis[[#This Row],[Severidad máxima]])), "")</f>
        <v>3</v>
      </c>
      <c r="AF62" s="398" t="str" cm="1">
        <f t="array" ref="AF62">IFERROR(IF(tblSeverityAnalysis[[#This Row],[2ª mayor severidad]]="", "", _xlfn.TEXTJOIN(CHAR(10), TRUE, IF(tblSeverityAnalysis[[#This Row],[SAMV]:[ASH]]=tblSeverityAnalysis[[#This Row],[2ª mayor severidad]], tblSeverityAnalysis[[#Headers],[SAMV]:[ASH]], ""), "")), "")</f>
        <v>EDU
PRO</v>
      </c>
      <c r="AG62" s="405" t="str">
        <f>IFERROR(IF(AND(tblSeverityAnalysis[[#This Row],[5]] &lt;&gt; "", tblSeverityAnalysis[[#This Row],[5]]&gt;=sectors_sev_5), "Flagged", ""), "")</f>
        <v/>
      </c>
      <c r="AH62" s="347" t="str">
        <f>IFERROR(IF(AND(tblSeverityAnalysis[[#This Row],[Severidad preliminar basada en la superposición de privaciones sectoriales]]=5, SUM(tblSeverityAnalysis[[#This Row],[ 1 ]:[ 4 ]])&gt;=sectors_sev_5), "Flagged", ""), "")</f>
        <v/>
      </c>
      <c r="AI62" s="348" t="str" cm="1">
        <f t="array" ref="AI6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6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62" s="350"/>
      <c r="AL62" s="351"/>
      <c r="AM62" s="350"/>
      <c r="AN62" s="407">
        <f>COUNTIF(tblSeverityAnalysis[[#This Row],[1 sectores en fase de severidad 5 '[modificar el umbral']]:[Marcador manual]], "Flagged")</f>
        <v>0</v>
      </c>
      <c r="AO62" s="418">
        <f>tblSeverityAnalysis[[#This Row],[Severidad preliminar basada en la superposición de privaciones sectoriales]]</f>
        <v>2</v>
      </c>
      <c r="AP62" s="417"/>
      <c r="AQ62" s="421" t="s">
        <v>876</v>
      </c>
      <c r="AR62" s="417">
        <v>4</v>
      </c>
    </row>
    <row r="63" spans="1:44" hidden="1">
      <c r="A6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VenezolanosVE0606</v>
      </c>
      <c r="B63" s="363" t="s">
        <v>215</v>
      </c>
      <c r="C63" s="323" t="s">
        <v>216</v>
      </c>
      <c r="D63" s="322" t="s">
        <v>225</v>
      </c>
      <c r="E63" s="323" t="s">
        <v>226</v>
      </c>
      <c r="F63" s="323"/>
      <c r="G63" s="324">
        <v>26042</v>
      </c>
      <c r="H63" s="324" t="s">
        <v>102</v>
      </c>
      <c r="I63" s="374">
        <v>2</v>
      </c>
      <c r="J63" s="237">
        <v>2</v>
      </c>
      <c r="K63" s="237">
        <v>4</v>
      </c>
      <c r="L63" s="237">
        <v>3</v>
      </c>
      <c r="M63" s="237">
        <v>2</v>
      </c>
      <c r="N63" s="237">
        <v>2</v>
      </c>
      <c r="O63" s="237">
        <v>2</v>
      </c>
      <c r="P63" s="237">
        <v>2</v>
      </c>
      <c r="Q63" s="382" t="str">
        <f>IF(COUNTIF(tblSeverityAnalysis[[#This Row],[SAMV]:[ASH]], 1)=0, "", COUNTIF(tblSeverityAnalysis[[#This Row],[SAMV]:[ASH]], 1))</f>
        <v/>
      </c>
      <c r="R63" s="325">
        <f>IF(COUNTIF(tblSeverityAnalysis[[#This Row],[SAMV]:[ASH]], 2)=0, "", COUNTIF(tblSeverityAnalysis[[#This Row],[SAMV]:[ASH]], 2))</f>
        <v>4</v>
      </c>
      <c r="S63" s="325">
        <f>IF(COUNTIF(tblSeverityAnalysis[[#This Row],[SAMV]:[ASH]], 3)=0, "", COUNTIF(tblSeverityAnalysis[[#This Row],[SAMV]:[ASH]], 3))</f>
        <v>1</v>
      </c>
      <c r="T63" s="325">
        <f>IF(COUNTIF(tblSeverityAnalysis[[#This Row],[SAMV]:[ASH]], 4)=0, "", COUNTIF(tblSeverityAnalysis[[#This Row],[SAMV]:[ASH]], 4))</f>
        <v>1</v>
      </c>
      <c r="U63" s="383" t="str">
        <f>IF(COUNTIF(tblSeverityAnalysis[[#This Row],[SAMV]:[ASH]], 5)=0, "", COUNTIF(tblSeverityAnalysis[[#This Row],[SAMV]:[ASH]], 5))</f>
        <v/>
      </c>
      <c r="V63" s="375" cm="1">
        <f t="array" ref="V6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6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63" s="237" t="str">
        <f>IFERROR(IF(INDEX(tblSeverityReference[Severidad de la desnutrición],MATCH(tblSeverityAnalysis[[#This Row],[ID]], tblSeverityReference[ID], 0))= "", "",INDEX(tblSeverityReference[Severidad de la desnutrición],MATCH(tblSeverityAnalysis[[#This Row],[ID]], tblSeverityReference[ID], 0)) ), "")</f>
        <v/>
      </c>
      <c r="Y63" s="349" t="str">
        <f>IFERROR(IF(INDEX(tblSeverityReference[Severidad epidémica],MATCH(tblSeverityAnalysis[[#This Row],[ID]], tblSeverityReference[ID], 0))= "", "",INDEX(tblSeverityReference[Severidad epidémica],MATCH(tblSeverityAnalysis[[#This Row],[ID]], tblSeverityReference[ID], 0)) ), "")</f>
        <v/>
      </c>
      <c r="Z6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63" s="391" t="str">
        <f>IFERROR(IF(INDEX(tblSeverityReference[HR/IHL Violation],MATCH(tblSeverityAnalysis[[#This Row],[ID]], tblSeverityReference[ID], 0))= "", "",INDEX(tblSeverityReference[HR/IHL Violation],MATCH(tblSeverityAnalysis[[#This Row],[ID]], tblSeverityReference[ID], 0)) ), "")</f>
        <v/>
      </c>
      <c r="AB63" s="397">
        <f>IFERROR(AVERAGE(tblSeverityAnalysis[[#This Row],[SAMV]:[ASH]]), "")</f>
        <v>2.5</v>
      </c>
      <c r="AC63" s="346">
        <f>IF(SUM(tblSeverityAnalysis[[#This Row],[SAMV]:[ASH]])=0, "", MAX(tblSeverityAnalysis[[#This Row],[SAMV]:[ASH]]))</f>
        <v>4</v>
      </c>
      <c r="AD63" s="261" t="str" cm="1">
        <f t="array" ref="AD63">IFERROR(IF(tblSeverityAnalysis[[#This Row],[Severidad máxima]]="", "", _xlfn.TEXTJOIN(CHAR(10), TRUE, IF(tblSeverityAnalysis[[#This Row],[SAMV]:[ASH]]=tblSeverityAnalysis[[#This Row],[Severidad máxima]], tblSeverityAnalysis[[#Headers],[SAMV]:[ASH]], ""), "")), "")</f>
        <v>SAL</v>
      </c>
      <c r="AE63" s="346" cm="1">
        <f t="array" ref="AE63">IFERROR(MAX(_xlfn._xlws.FILTER(tblSeverityAnalysis[[#This Row],[SAMV]:[ASH]], tblSeverityAnalysis[[#This Row],[SAMV]:[ASH]]&lt;tblSeverityAnalysis[[#This Row],[Severidad máxima]])), "")</f>
        <v>3</v>
      </c>
      <c r="AF63" s="398" t="str" cm="1">
        <f t="array" ref="AF63">IFERROR(IF(tblSeverityAnalysis[[#This Row],[2ª mayor severidad]]="", "", _xlfn.TEXTJOIN(CHAR(10), TRUE, IF(tblSeverityAnalysis[[#This Row],[SAMV]:[ASH]]=tblSeverityAnalysis[[#This Row],[2ª mayor severidad]], tblSeverityAnalysis[[#Headers],[SAMV]:[ASH]], ""), "")), "")</f>
        <v>EDU</v>
      </c>
      <c r="AG63" s="405" t="str">
        <f>IFERROR(IF(AND(tblSeverityAnalysis[[#This Row],[5]] &lt;&gt; "", tblSeverityAnalysis[[#This Row],[5]]&gt;=sectors_sev_5), "Flagged", ""), "")</f>
        <v/>
      </c>
      <c r="AH63" s="347" t="str">
        <f>IFERROR(IF(AND(tblSeverityAnalysis[[#This Row],[Severidad preliminar basada en la superposición de privaciones sectoriales]]=5, SUM(tblSeverityAnalysis[[#This Row],[ 1 ]:[ 4 ]])&gt;=sectors_sev_5), "Flagged", ""), "")</f>
        <v/>
      </c>
      <c r="AI63" s="348" t="str" cm="1">
        <f t="array" ref="AI6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6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63" s="350"/>
      <c r="AL63" s="351"/>
      <c r="AM63" s="350"/>
      <c r="AN63" s="407">
        <f>COUNTIF(tblSeverityAnalysis[[#This Row],[1 sectores en fase de severidad 5 '[modificar el umbral']]:[Marcador manual]], "Flagged")</f>
        <v>0</v>
      </c>
      <c r="AO63" s="418">
        <f>tblSeverityAnalysis[[#This Row],[Severidad preliminar basada en la superposición de privaciones sectoriales]]</f>
        <v>2</v>
      </c>
      <c r="AP63" s="417"/>
      <c r="AQ63" s="421" t="s">
        <v>876</v>
      </c>
      <c r="AR63" s="417">
        <v>4</v>
      </c>
    </row>
    <row r="64" spans="1:44" hidden="1">
      <c r="A6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VenezolanosVE0607</v>
      </c>
      <c r="B64" s="363" t="s">
        <v>215</v>
      </c>
      <c r="C64" s="323" t="s">
        <v>216</v>
      </c>
      <c r="D64" s="322" t="s">
        <v>227</v>
      </c>
      <c r="E64" s="323" t="s">
        <v>228</v>
      </c>
      <c r="F64" s="323"/>
      <c r="G64" s="324">
        <v>53580</v>
      </c>
      <c r="H64" s="324" t="s">
        <v>102</v>
      </c>
      <c r="I64" s="374">
        <v>2</v>
      </c>
      <c r="J64" s="237">
        <v>2</v>
      </c>
      <c r="K64" s="237">
        <v>3</v>
      </c>
      <c r="L64" s="237">
        <v>3</v>
      </c>
      <c r="M64" s="237">
        <v>4</v>
      </c>
      <c r="N64" s="237">
        <v>2</v>
      </c>
      <c r="O64" s="237">
        <v>4</v>
      </c>
      <c r="P64" s="237">
        <v>4</v>
      </c>
      <c r="Q64" s="382" t="str">
        <f>IF(COUNTIF(tblSeverityAnalysis[[#This Row],[SAMV]:[ASH]], 1)=0, "", COUNTIF(tblSeverityAnalysis[[#This Row],[SAMV]:[ASH]], 1))</f>
        <v/>
      </c>
      <c r="R64" s="325">
        <f>IF(COUNTIF(tblSeverityAnalysis[[#This Row],[SAMV]:[ASH]], 2)=0, "", COUNTIF(tblSeverityAnalysis[[#This Row],[SAMV]:[ASH]], 2))</f>
        <v>3</v>
      </c>
      <c r="S64" s="325">
        <f>IF(COUNTIF(tblSeverityAnalysis[[#This Row],[SAMV]:[ASH]], 3)=0, "", COUNTIF(tblSeverityAnalysis[[#This Row],[SAMV]:[ASH]], 3))</f>
        <v>2</v>
      </c>
      <c r="T64" s="325">
        <f>IF(COUNTIF(tblSeverityAnalysis[[#This Row],[SAMV]:[ASH]], 4)=0, "", COUNTIF(tblSeverityAnalysis[[#This Row],[SAMV]:[ASH]], 4))</f>
        <v>1</v>
      </c>
      <c r="U64" s="383" t="str">
        <f>IF(COUNTIF(tblSeverityAnalysis[[#This Row],[SAMV]:[ASH]], 5)=0, "", COUNTIF(tblSeverityAnalysis[[#This Row],[SAMV]:[ASH]], 5))</f>
        <v/>
      </c>
      <c r="V64" s="375" cm="1">
        <f t="array" ref="V6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6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64" s="237" t="str">
        <f>IFERROR(IF(INDEX(tblSeverityReference[Severidad de la desnutrición],MATCH(tblSeverityAnalysis[[#This Row],[ID]], tblSeverityReference[ID], 0))= "", "",INDEX(tblSeverityReference[Severidad de la desnutrición],MATCH(tblSeverityAnalysis[[#This Row],[ID]], tblSeverityReference[ID], 0)) ), "")</f>
        <v/>
      </c>
      <c r="Y64" s="349" t="str">
        <f>IFERROR(IF(INDEX(tblSeverityReference[Severidad epidémica],MATCH(tblSeverityAnalysis[[#This Row],[ID]], tblSeverityReference[ID], 0))= "", "",INDEX(tblSeverityReference[Severidad epidémica],MATCH(tblSeverityAnalysis[[#This Row],[ID]], tblSeverityReference[ID], 0)) ), "")</f>
        <v/>
      </c>
      <c r="Z6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64" s="391" t="str">
        <f>IFERROR(IF(INDEX(tblSeverityReference[HR/IHL Violation],MATCH(tblSeverityAnalysis[[#This Row],[ID]], tblSeverityReference[ID], 0))= "", "",INDEX(tblSeverityReference[HR/IHL Violation],MATCH(tblSeverityAnalysis[[#This Row],[ID]], tblSeverityReference[ID], 0)) ), "")</f>
        <v/>
      </c>
      <c r="AB64" s="397">
        <f>IFERROR(AVERAGE(tblSeverityAnalysis[[#This Row],[SAMV]:[ASH]]), "")</f>
        <v>2.6666666666666665</v>
      </c>
      <c r="AC64" s="346">
        <f>IF(SUM(tblSeverityAnalysis[[#This Row],[SAMV]:[ASH]])=0, "", MAX(tblSeverityAnalysis[[#This Row],[SAMV]:[ASH]]))</f>
        <v>4</v>
      </c>
      <c r="AD64" s="261" t="str" cm="1">
        <f t="array" ref="AD64">IFERROR(IF(tblSeverityAnalysis[[#This Row],[Severidad máxima]]="", "", _xlfn.TEXTJOIN(CHAR(10), TRUE, IF(tblSeverityAnalysis[[#This Row],[SAMV]:[ASH]]=tblSeverityAnalysis[[#This Row],[Severidad máxima]], tblSeverityAnalysis[[#Headers],[SAMV]:[ASH]], ""), "")), "")</f>
        <v>PRO</v>
      </c>
      <c r="AE64" s="346" cm="1">
        <f t="array" ref="AE64">IFERROR(MAX(_xlfn._xlws.FILTER(tblSeverityAnalysis[[#This Row],[SAMV]:[ASH]], tblSeverityAnalysis[[#This Row],[SAMV]:[ASH]]&lt;tblSeverityAnalysis[[#This Row],[Severidad máxima]])), "")</f>
        <v>3</v>
      </c>
      <c r="AF64" s="398" t="str" cm="1">
        <f t="array" ref="AF64">IFERROR(IF(tblSeverityAnalysis[[#This Row],[2ª mayor severidad]]="", "", _xlfn.TEXTJOIN(CHAR(10), TRUE, IF(tblSeverityAnalysis[[#This Row],[SAMV]:[ASH]]=tblSeverityAnalysis[[#This Row],[2ª mayor severidad]], tblSeverityAnalysis[[#Headers],[SAMV]:[ASH]], ""), "")), "")</f>
        <v>SAL
EDU</v>
      </c>
      <c r="AG64" s="405" t="str">
        <f>IFERROR(IF(AND(tblSeverityAnalysis[[#This Row],[5]] &lt;&gt; "", tblSeverityAnalysis[[#This Row],[5]]&gt;=sectors_sev_5), "Flagged", ""), "")</f>
        <v/>
      </c>
      <c r="AH64" s="347" t="str">
        <f>IFERROR(IF(AND(tblSeverityAnalysis[[#This Row],[Severidad preliminar basada en la superposición de privaciones sectoriales]]=5, SUM(tblSeverityAnalysis[[#This Row],[ 1 ]:[ 4 ]])&gt;=sectors_sev_5), "Flagged", ""), "")</f>
        <v/>
      </c>
      <c r="AI64" s="348" t="str" cm="1">
        <f t="array" ref="AI6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6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64" s="350"/>
      <c r="AL64" s="351"/>
      <c r="AM64" s="350"/>
      <c r="AN64" s="407">
        <f>COUNTIF(tblSeverityAnalysis[[#This Row],[1 sectores en fase de severidad 5 '[modificar el umbral']]:[Marcador manual]], "Flagged")</f>
        <v>0</v>
      </c>
      <c r="AO64" s="418">
        <f>tblSeverityAnalysis[[#This Row],[Severidad preliminar basada en la superposición de privaciones sectoriales]]</f>
        <v>2</v>
      </c>
      <c r="AP64" s="417"/>
      <c r="AQ64" s="421" t="s">
        <v>876</v>
      </c>
      <c r="AR64" s="417">
        <v>3</v>
      </c>
    </row>
    <row r="65" spans="1:44" hidden="1">
      <c r="A6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VenezolanosVE0608</v>
      </c>
      <c r="B65" s="363" t="s">
        <v>215</v>
      </c>
      <c r="C65" s="323" t="s">
        <v>216</v>
      </c>
      <c r="D65" s="322" t="s">
        <v>229</v>
      </c>
      <c r="E65" s="323" t="s">
        <v>230</v>
      </c>
      <c r="F65" s="323"/>
      <c r="G65" s="324">
        <v>37493</v>
      </c>
      <c r="H65" s="324" t="s">
        <v>102</v>
      </c>
      <c r="I65" s="374">
        <v>3</v>
      </c>
      <c r="J65" s="237">
        <v>2</v>
      </c>
      <c r="K65" s="237">
        <v>3</v>
      </c>
      <c r="L65" s="237">
        <v>3</v>
      </c>
      <c r="M65" s="237">
        <v>3</v>
      </c>
      <c r="N65" s="237">
        <v>2</v>
      </c>
      <c r="O65" s="237">
        <v>3</v>
      </c>
      <c r="P65" s="237">
        <v>3</v>
      </c>
      <c r="Q65" s="382" t="str">
        <f>IF(COUNTIF(tblSeverityAnalysis[[#This Row],[SAMV]:[ASH]], 1)=0, "", COUNTIF(tblSeverityAnalysis[[#This Row],[SAMV]:[ASH]], 1))</f>
        <v/>
      </c>
      <c r="R65" s="325">
        <f>IF(COUNTIF(tblSeverityAnalysis[[#This Row],[SAMV]:[ASH]], 2)=0, "", COUNTIF(tblSeverityAnalysis[[#This Row],[SAMV]:[ASH]], 2))</f>
        <v>2</v>
      </c>
      <c r="S65" s="325">
        <f>IF(COUNTIF(tblSeverityAnalysis[[#This Row],[SAMV]:[ASH]], 3)=0, "", COUNTIF(tblSeverityAnalysis[[#This Row],[SAMV]:[ASH]], 3))</f>
        <v>4</v>
      </c>
      <c r="T65" s="325" t="str">
        <f>IF(COUNTIF(tblSeverityAnalysis[[#This Row],[SAMV]:[ASH]], 4)=0, "", COUNTIF(tblSeverityAnalysis[[#This Row],[SAMV]:[ASH]], 4))</f>
        <v/>
      </c>
      <c r="U65" s="383" t="str">
        <f>IF(COUNTIF(tblSeverityAnalysis[[#This Row],[SAMV]:[ASH]], 5)=0, "", COUNTIF(tblSeverityAnalysis[[#This Row],[SAMV]:[ASH]], 5))</f>
        <v/>
      </c>
      <c r="V65" s="375" cm="1">
        <f t="array" ref="V6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6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65" s="237" t="str">
        <f>IFERROR(IF(INDEX(tblSeverityReference[Severidad de la desnutrición],MATCH(tblSeverityAnalysis[[#This Row],[ID]], tblSeverityReference[ID], 0))= "", "",INDEX(tblSeverityReference[Severidad de la desnutrición],MATCH(tblSeverityAnalysis[[#This Row],[ID]], tblSeverityReference[ID], 0)) ), "")</f>
        <v/>
      </c>
      <c r="Y65" s="349" t="str">
        <f>IFERROR(IF(INDEX(tblSeverityReference[Severidad epidémica],MATCH(tblSeverityAnalysis[[#This Row],[ID]], tblSeverityReference[ID], 0))= "", "",INDEX(tblSeverityReference[Severidad epidémica],MATCH(tblSeverityAnalysis[[#This Row],[ID]], tblSeverityReference[ID], 0)) ), "")</f>
        <v/>
      </c>
      <c r="Z6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65" s="391" t="str">
        <f>IFERROR(IF(INDEX(tblSeverityReference[HR/IHL Violation],MATCH(tblSeverityAnalysis[[#This Row],[ID]], tblSeverityReference[ID], 0))= "", "",INDEX(tblSeverityReference[HR/IHL Violation],MATCH(tblSeverityAnalysis[[#This Row],[ID]], tblSeverityReference[ID], 0)) ), "")</f>
        <v/>
      </c>
      <c r="AB65" s="397">
        <f>IFERROR(AVERAGE(tblSeverityAnalysis[[#This Row],[SAMV]:[ASH]]), "")</f>
        <v>2.6666666666666665</v>
      </c>
      <c r="AC65" s="346">
        <f>IF(SUM(tblSeverityAnalysis[[#This Row],[SAMV]:[ASH]])=0, "", MAX(tblSeverityAnalysis[[#This Row],[SAMV]:[ASH]]))</f>
        <v>3</v>
      </c>
      <c r="AD65" s="261" t="str" cm="1">
        <f t="array" ref="AD65">IFERROR(IF(tblSeverityAnalysis[[#This Row],[Severidad máxima]]="", "", _xlfn.TEXTJOIN(CHAR(10), TRUE, IF(tblSeverityAnalysis[[#This Row],[SAMV]:[ASH]]=tblSeverityAnalysis[[#This Row],[Severidad máxima]], tblSeverityAnalysis[[#Headers],[SAMV]:[ASH]], ""), "")), "")</f>
        <v>SAMV
SAL
EDU
PRO</v>
      </c>
      <c r="AE65" s="346" cm="1">
        <f t="array" ref="AE65">IFERROR(MAX(_xlfn._xlws.FILTER(tblSeverityAnalysis[[#This Row],[SAMV]:[ASH]], tblSeverityAnalysis[[#This Row],[SAMV]:[ASH]]&lt;tblSeverityAnalysis[[#This Row],[Severidad máxima]])), "")</f>
        <v>2</v>
      </c>
      <c r="AF65" s="398" t="str" cm="1">
        <f t="array" ref="AF65">IFERROR(IF(tblSeverityAnalysis[[#This Row],[2ª mayor severidad]]="", "", _xlfn.TEXTJOIN(CHAR(10), TRUE, IF(tblSeverityAnalysis[[#This Row],[SAMV]:[ASH]]=tblSeverityAnalysis[[#This Row],[2ª mayor severidad]], tblSeverityAnalysis[[#Headers],[SAMV]:[ASH]], ""), "")), "")</f>
        <v>NUT
ASH</v>
      </c>
      <c r="AG65" s="405" t="str">
        <f>IFERROR(IF(AND(tblSeverityAnalysis[[#This Row],[5]] &lt;&gt; "", tblSeverityAnalysis[[#This Row],[5]]&gt;=sectors_sev_5), "Flagged", ""), "")</f>
        <v/>
      </c>
      <c r="AH65" s="347" t="str">
        <f>IFERROR(IF(AND(tblSeverityAnalysis[[#This Row],[Severidad preliminar basada en la superposición de privaciones sectoriales]]=5, SUM(tblSeverityAnalysis[[#This Row],[ 1 ]:[ 4 ]])&gt;=sectors_sev_5), "Flagged", ""), "")</f>
        <v/>
      </c>
      <c r="AI65" s="348" t="str" cm="1">
        <f t="array" ref="AI6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6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65" s="350"/>
      <c r="AL65" s="351"/>
      <c r="AM65" s="350"/>
      <c r="AN65" s="407">
        <f>COUNTIF(tblSeverityAnalysis[[#This Row],[1 sectores en fase de severidad 5 '[modificar el umbral']]:[Marcador manual]], "Flagged")</f>
        <v>0</v>
      </c>
      <c r="AO65" s="418">
        <f>tblSeverityAnalysis[[#This Row],[Severidad preliminar basada en la superposición de privaciones sectoriales]]</f>
        <v>3</v>
      </c>
      <c r="AP65" s="417"/>
      <c r="AQ65" s="421" t="s">
        <v>876</v>
      </c>
      <c r="AR65" s="417">
        <v>4</v>
      </c>
    </row>
    <row r="66" spans="1:44" hidden="1">
      <c r="A6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VenezolanosVE0609</v>
      </c>
      <c r="B66" s="363" t="s">
        <v>215</v>
      </c>
      <c r="C66" s="323" t="s">
        <v>216</v>
      </c>
      <c r="D66" s="322" t="s">
        <v>231</v>
      </c>
      <c r="E66" s="323" t="s">
        <v>232</v>
      </c>
      <c r="F66" s="323"/>
      <c r="G66" s="324">
        <v>65390</v>
      </c>
      <c r="H66" s="324" t="s">
        <v>102</v>
      </c>
      <c r="I66" s="374">
        <v>2</v>
      </c>
      <c r="J66" s="237">
        <v>2</v>
      </c>
      <c r="K66" s="237">
        <v>3</v>
      </c>
      <c r="L66" s="237">
        <v>3</v>
      </c>
      <c r="M66" s="237">
        <v>2</v>
      </c>
      <c r="N66" s="237">
        <v>3</v>
      </c>
      <c r="O66" s="237">
        <v>2</v>
      </c>
      <c r="P66" s="237">
        <v>2</v>
      </c>
      <c r="Q66" s="382" t="str">
        <f>IF(COUNTIF(tblSeverityAnalysis[[#This Row],[SAMV]:[ASH]], 1)=0, "", COUNTIF(tblSeverityAnalysis[[#This Row],[SAMV]:[ASH]], 1))</f>
        <v/>
      </c>
      <c r="R66" s="325">
        <f>IF(COUNTIF(tblSeverityAnalysis[[#This Row],[SAMV]:[ASH]], 2)=0, "", COUNTIF(tblSeverityAnalysis[[#This Row],[SAMV]:[ASH]], 2))</f>
        <v>3</v>
      </c>
      <c r="S66" s="325">
        <f>IF(COUNTIF(tblSeverityAnalysis[[#This Row],[SAMV]:[ASH]], 3)=0, "", COUNTIF(tblSeverityAnalysis[[#This Row],[SAMV]:[ASH]], 3))</f>
        <v>3</v>
      </c>
      <c r="T66" s="325" t="str">
        <f>IF(COUNTIF(tblSeverityAnalysis[[#This Row],[SAMV]:[ASH]], 4)=0, "", COUNTIF(tblSeverityAnalysis[[#This Row],[SAMV]:[ASH]], 4))</f>
        <v/>
      </c>
      <c r="U66" s="383" t="str">
        <f>IF(COUNTIF(tblSeverityAnalysis[[#This Row],[SAMV]:[ASH]], 5)=0, "", COUNTIF(tblSeverityAnalysis[[#This Row],[SAMV]:[ASH]], 5))</f>
        <v/>
      </c>
      <c r="V66" s="375" cm="1">
        <f t="array" ref="V6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6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66" s="237" t="str">
        <f>IFERROR(IF(INDEX(tblSeverityReference[Severidad de la desnutrición],MATCH(tblSeverityAnalysis[[#This Row],[ID]], tblSeverityReference[ID], 0))= "", "",INDEX(tblSeverityReference[Severidad de la desnutrición],MATCH(tblSeverityAnalysis[[#This Row],[ID]], tblSeverityReference[ID], 0)) ), "")</f>
        <v/>
      </c>
      <c r="Y66" s="349" t="str">
        <f>IFERROR(IF(INDEX(tblSeverityReference[Severidad epidémica],MATCH(tblSeverityAnalysis[[#This Row],[ID]], tblSeverityReference[ID], 0))= "", "",INDEX(tblSeverityReference[Severidad epidémica],MATCH(tblSeverityAnalysis[[#This Row],[ID]], tblSeverityReference[ID], 0)) ), "")</f>
        <v/>
      </c>
      <c r="Z6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66" s="391" t="str">
        <f>IFERROR(IF(INDEX(tblSeverityReference[HR/IHL Violation],MATCH(tblSeverityAnalysis[[#This Row],[ID]], tblSeverityReference[ID], 0))= "", "",INDEX(tblSeverityReference[HR/IHL Violation],MATCH(tblSeverityAnalysis[[#This Row],[ID]], tblSeverityReference[ID], 0)) ), "")</f>
        <v/>
      </c>
      <c r="AB66" s="397">
        <f>IFERROR(AVERAGE(tblSeverityAnalysis[[#This Row],[SAMV]:[ASH]]), "")</f>
        <v>2.5</v>
      </c>
      <c r="AC66" s="346">
        <f>IF(SUM(tblSeverityAnalysis[[#This Row],[SAMV]:[ASH]])=0, "", MAX(tblSeverityAnalysis[[#This Row],[SAMV]:[ASH]]))</f>
        <v>3</v>
      </c>
      <c r="AD66" s="261" t="str" cm="1">
        <f t="array" ref="AD66">IFERROR(IF(tblSeverityAnalysis[[#This Row],[Severidad máxima]]="", "", _xlfn.TEXTJOIN(CHAR(10), TRUE, IF(tblSeverityAnalysis[[#This Row],[SAMV]:[ASH]]=tblSeverityAnalysis[[#This Row],[Severidad máxima]], tblSeverityAnalysis[[#Headers],[SAMV]:[ASH]], ""), "")), "")</f>
        <v>SAL
EDU
ASH</v>
      </c>
      <c r="AE66" s="346" cm="1">
        <f t="array" ref="AE66">IFERROR(MAX(_xlfn._xlws.FILTER(tblSeverityAnalysis[[#This Row],[SAMV]:[ASH]], tblSeverityAnalysis[[#This Row],[SAMV]:[ASH]]&lt;tblSeverityAnalysis[[#This Row],[Severidad máxima]])), "")</f>
        <v>2</v>
      </c>
      <c r="AF66" s="398" t="str" cm="1">
        <f t="array" ref="AF66">IFERROR(IF(tblSeverityAnalysis[[#This Row],[2ª mayor severidad]]="", "", _xlfn.TEXTJOIN(CHAR(10), TRUE, IF(tblSeverityAnalysis[[#This Row],[SAMV]:[ASH]]=tblSeverityAnalysis[[#This Row],[2ª mayor severidad]], tblSeverityAnalysis[[#Headers],[SAMV]:[ASH]], ""), "")), "")</f>
        <v>SAMV
NUT
PRO</v>
      </c>
      <c r="AG66" s="405" t="str">
        <f>IFERROR(IF(AND(tblSeverityAnalysis[[#This Row],[5]] &lt;&gt; "", tblSeverityAnalysis[[#This Row],[5]]&gt;=sectors_sev_5), "Flagged", ""), "")</f>
        <v/>
      </c>
      <c r="AH66" s="347" t="str">
        <f>IFERROR(IF(AND(tblSeverityAnalysis[[#This Row],[Severidad preliminar basada en la superposición de privaciones sectoriales]]=5, SUM(tblSeverityAnalysis[[#This Row],[ 1 ]:[ 4 ]])&gt;=sectors_sev_5), "Flagged", ""), "")</f>
        <v/>
      </c>
      <c r="AI66" s="348" t="str" cm="1">
        <f t="array" ref="AI6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6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66" s="350"/>
      <c r="AL66" s="351"/>
      <c r="AM66" s="350"/>
      <c r="AN66" s="407">
        <f>COUNTIF(tblSeverityAnalysis[[#This Row],[1 sectores en fase de severidad 5 '[modificar el umbral']]:[Marcador manual]], "Flagged")</f>
        <v>0</v>
      </c>
      <c r="AO66" s="418">
        <f>tblSeverityAnalysis[[#This Row],[Severidad preliminar basada en la superposición de privaciones sectoriales]]</f>
        <v>2</v>
      </c>
      <c r="AP66" s="417"/>
      <c r="AQ66" s="421" t="s">
        <v>876</v>
      </c>
      <c r="AR66" s="417">
        <v>4</v>
      </c>
    </row>
    <row r="67" spans="1:44" hidden="1">
      <c r="A6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VenezolanosVE0610</v>
      </c>
      <c r="B67" s="363" t="s">
        <v>215</v>
      </c>
      <c r="C67" s="323" t="s">
        <v>216</v>
      </c>
      <c r="D67" s="322" t="s">
        <v>233</v>
      </c>
      <c r="E67" s="323" t="s">
        <v>234</v>
      </c>
      <c r="F67" s="323"/>
      <c r="G67" s="324">
        <v>40126</v>
      </c>
      <c r="H67" s="324" t="s">
        <v>102</v>
      </c>
      <c r="I67" s="374">
        <v>2</v>
      </c>
      <c r="J67" s="237">
        <v>2</v>
      </c>
      <c r="K67" s="237">
        <v>3</v>
      </c>
      <c r="L67" s="237">
        <v>3</v>
      </c>
      <c r="M67" s="237">
        <v>3</v>
      </c>
      <c r="N67" s="237">
        <v>3</v>
      </c>
      <c r="O67" s="237">
        <v>3</v>
      </c>
      <c r="P67" s="237">
        <v>3</v>
      </c>
      <c r="Q67" s="382" t="str">
        <f>IF(COUNTIF(tblSeverityAnalysis[[#This Row],[SAMV]:[ASH]], 1)=0, "", COUNTIF(tblSeverityAnalysis[[#This Row],[SAMV]:[ASH]], 1))</f>
        <v/>
      </c>
      <c r="R67" s="325">
        <f>IF(COUNTIF(tblSeverityAnalysis[[#This Row],[SAMV]:[ASH]], 2)=0, "", COUNTIF(tblSeverityAnalysis[[#This Row],[SAMV]:[ASH]], 2))</f>
        <v>2</v>
      </c>
      <c r="S67" s="325">
        <f>IF(COUNTIF(tblSeverityAnalysis[[#This Row],[SAMV]:[ASH]], 3)=0, "", COUNTIF(tblSeverityAnalysis[[#This Row],[SAMV]:[ASH]], 3))</f>
        <v>4</v>
      </c>
      <c r="T67" s="325" t="str">
        <f>IF(COUNTIF(tblSeverityAnalysis[[#This Row],[SAMV]:[ASH]], 4)=0, "", COUNTIF(tblSeverityAnalysis[[#This Row],[SAMV]:[ASH]], 4))</f>
        <v/>
      </c>
      <c r="U67" s="383" t="str">
        <f>IF(COUNTIF(tblSeverityAnalysis[[#This Row],[SAMV]:[ASH]], 5)=0, "", COUNTIF(tblSeverityAnalysis[[#This Row],[SAMV]:[ASH]], 5))</f>
        <v/>
      </c>
      <c r="V67" s="375" cm="1">
        <f t="array" ref="V6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6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67" s="237" t="str">
        <f>IFERROR(IF(INDEX(tblSeverityReference[Severidad de la desnutrición],MATCH(tblSeverityAnalysis[[#This Row],[ID]], tblSeverityReference[ID], 0))= "", "",INDEX(tblSeverityReference[Severidad de la desnutrición],MATCH(tblSeverityAnalysis[[#This Row],[ID]], tblSeverityReference[ID], 0)) ), "")</f>
        <v/>
      </c>
      <c r="Y67" s="349" t="str">
        <f>IFERROR(IF(INDEX(tblSeverityReference[Severidad epidémica],MATCH(tblSeverityAnalysis[[#This Row],[ID]], tblSeverityReference[ID], 0))= "", "",INDEX(tblSeverityReference[Severidad epidémica],MATCH(tblSeverityAnalysis[[#This Row],[ID]], tblSeverityReference[ID], 0)) ), "")</f>
        <v/>
      </c>
      <c r="Z6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67" s="391" t="str">
        <f>IFERROR(IF(INDEX(tblSeverityReference[HR/IHL Violation],MATCH(tblSeverityAnalysis[[#This Row],[ID]], tblSeverityReference[ID], 0))= "", "",INDEX(tblSeverityReference[HR/IHL Violation],MATCH(tblSeverityAnalysis[[#This Row],[ID]], tblSeverityReference[ID], 0)) ), "")</f>
        <v/>
      </c>
      <c r="AB67" s="397">
        <f>IFERROR(AVERAGE(tblSeverityAnalysis[[#This Row],[SAMV]:[ASH]]), "")</f>
        <v>2.6666666666666665</v>
      </c>
      <c r="AC67" s="346">
        <f>IF(SUM(tblSeverityAnalysis[[#This Row],[SAMV]:[ASH]])=0, "", MAX(tblSeverityAnalysis[[#This Row],[SAMV]:[ASH]]))</f>
        <v>3</v>
      </c>
      <c r="AD67" s="261" t="str" cm="1">
        <f t="array" ref="AD67">IFERROR(IF(tblSeverityAnalysis[[#This Row],[Severidad máxima]]="", "", _xlfn.TEXTJOIN(CHAR(10), TRUE, IF(tblSeverityAnalysis[[#This Row],[SAMV]:[ASH]]=tblSeverityAnalysis[[#This Row],[Severidad máxima]], tblSeverityAnalysis[[#Headers],[SAMV]:[ASH]], ""), "")), "")</f>
        <v>SAL
EDU
PRO
ASH</v>
      </c>
      <c r="AE67" s="346" cm="1">
        <f t="array" ref="AE67">IFERROR(MAX(_xlfn._xlws.FILTER(tblSeverityAnalysis[[#This Row],[SAMV]:[ASH]], tblSeverityAnalysis[[#This Row],[SAMV]:[ASH]]&lt;tblSeverityAnalysis[[#This Row],[Severidad máxima]])), "")</f>
        <v>2</v>
      </c>
      <c r="AF67" s="398" t="str" cm="1">
        <f t="array" ref="AF67">IFERROR(IF(tblSeverityAnalysis[[#This Row],[2ª mayor severidad]]="", "", _xlfn.TEXTJOIN(CHAR(10), TRUE, IF(tblSeverityAnalysis[[#This Row],[SAMV]:[ASH]]=tblSeverityAnalysis[[#This Row],[2ª mayor severidad]], tblSeverityAnalysis[[#Headers],[SAMV]:[ASH]], ""), "")), "")</f>
        <v>SAMV
NUT</v>
      </c>
      <c r="AG67" s="405" t="str">
        <f>IFERROR(IF(AND(tblSeverityAnalysis[[#This Row],[5]] &lt;&gt; "", tblSeverityAnalysis[[#This Row],[5]]&gt;=sectors_sev_5), "Flagged", ""), "")</f>
        <v/>
      </c>
      <c r="AH67" s="347" t="str">
        <f>IFERROR(IF(AND(tblSeverityAnalysis[[#This Row],[Severidad preliminar basada en la superposición de privaciones sectoriales]]=5, SUM(tblSeverityAnalysis[[#This Row],[ 1 ]:[ 4 ]])&gt;=sectors_sev_5), "Flagged", ""), "")</f>
        <v/>
      </c>
      <c r="AI67" s="348" t="str" cm="1">
        <f t="array" ref="AI6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6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67" s="350"/>
      <c r="AL67" s="351"/>
      <c r="AM67" s="350"/>
      <c r="AN67" s="407">
        <f>COUNTIF(tblSeverityAnalysis[[#This Row],[1 sectores en fase de severidad 5 '[modificar el umbral']]:[Marcador manual]], "Flagged")</f>
        <v>0</v>
      </c>
      <c r="AO67" s="418">
        <f>tblSeverityAnalysis[[#This Row],[Severidad preliminar basada en la superposición de privaciones sectoriales]]</f>
        <v>3</v>
      </c>
      <c r="AP67" s="417"/>
      <c r="AQ67" s="421" t="s">
        <v>876</v>
      </c>
      <c r="AR67" s="417">
        <v>3</v>
      </c>
    </row>
    <row r="68" spans="1:44" hidden="1">
      <c r="A6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VenezolanosVE0611</v>
      </c>
      <c r="B68" s="363" t="s">
        <v>215</v>
      </c>
      <c r="C68" s="323" t="s">
        <v>216</v>
      </c>
      <c r="D68" s="322" t="s">
        <v>235</v>
      </c>
      <c r="E68" s="323" t="s">
        <v>236</v>
      </c>
      <c r="F68" s="323"/>
      <c r="G68" s="324">
        <v>24142</v>
      </c>
      <c r="H68" s="324" t="s">
        <v>102</v>
      </c>
      <c r="I68" s="374">
        <v>3</v>
      </c>
      <c r="J68" s="237">
        <v>2</v>
      </c>
      <c r="K68" s="237">
        <v>3</v>
      </c>
      <c r="L68" s="237">
        <v>3</v>
      </c>
      <c r="M68" s="237">
        <v>1</v>
      </c>
      <c r="N68" s="237">
        <v>2</v>
      </c>
      <c r="O68" s="237">
        <v>1</v>
      </c>
      <c r="P68" s="237">
        <v>1</v>
      </c>
      <c r="Q68" s="382">
        <f>IF(COUNTIF(tblSeverityAnalysis[[#This Row],[SAMV]:[ASH]], 1)=0, "", COUNTIF(tblSeverityAnalysis[[#This Row],[SAMV]:[ASH]], 1))</f>
        <v>1</v>
      </c>
      <c r="R68" s="325">
        <f>IF(COUNTIF(tblSeverityAnalysis[[#This Row],[SAMV]:[ASH]], 2)=0, "", COUNTIF(tblSeverityAnalysis[[#This Row],[SAMV]:[ASH]], 2))</f>
        <v>2</v>
      </c>
      <c r="S68" s="325">
        <f>IF(COUNTIF(tblSeverityAnalysis[[#This Row],[SAMV]:[ASH]], 3)=0, "", COUNTIF(tblSeverityAnalysis[[#This Row],[SAMV]:[ASH]], 3))</f>
        <v>3</v>
      </c>
      <c r="T68" s="325" t="str">
        <f>IF(COUNTIF(tblSeverityAnalysis[[#This Row],[SAMV]:[ASH]], 4)=0, "", COUNTIF(tblSeverityAnalysis[[#This Row],[SAMV]:[ASH]], 4))</f>
        <v/>
      </c>
      <c r="U68" s="383" t="str">
        <f>IF(COUNTIF(tblSeverityAnalysis[[#This Row],[SAMV]:[ASH]], 5)=0, "", COUNTIF(tblSeverityAnalysis[[#This Row],[SAMV]:[ASH]], 5))</f>
        <v/>
      </c>
      <c r="V68" s="375" cm="1">
        <f t="array" ref="V6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6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68" s="237" t="str">
        <f>IFERROR(IF(INDEX(tblSeverityReference[Severidad de la desnutrición],MATCH(tblSeverityAnalysis[[#This Row],[ID]], tblSeverityReference[ID], 0))= "", "",INDEX(tblSeverityReference[Severidad de la desnutrición],MATCH(tblSeverityAnalysis[[#This Row],[ID]], tblSeverityReference[ID], 0)) ), "")</f>
        <v/>
      </c>
      <c r="Y68" s="349" t="str">
        <f>IFERROR(IF(INDEX(tblSeverityReference[Severidad epidémica],MATCH(tblSeverityAnalysis[[#This Row],[ID]], tblSeverityReference[ID], 0))= "", "",INDEX(tblSeverityReference[Severidad epidémica],MATCH(tblSeverityAnalysis[[#This Row],[ID]], tblSeverityReference[ID], 0)) ), "")</f>
        <v/>
      </c>
      <c r="Z6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68" s="391" t="str">
        <f>IFERROR(IF(INDEX(tblSeverityReference[HR/IHL Violation],MATCH(tblSeverityAnalysis[[#This Row],[ID]], tblSeverityReference[ID], 0))= "", "",INDEX(tblSeverityReference[HR/IHL Violation],MATCH(tblSeverityAnalysis[[#This Row],[ID]], tblSeverityReference[ID], 0)) ), "")</f>
        <v/>
      </c>
      <c r="AB68" s="397">
        <f>IFERROR(AVERAGE(tblSeverityAnalysis[[#This Row],[SAMV]:[ASH]]), "")</f>
        <v>2.3333333333333335</v>
      </c>
      <c r="AC68" s="346">
        <f>IF(SUM(tblSeverityAnalysis[[#This Row],[SAMV]:[ASH]])=0, "", MAX(tblSeverityAnalysis[[#This Row],[SAMV]:[ASH]]))</f>
        <v>3</v>
      </c>
      <c r="AD68" s="261" t="str" cm="1">
        <f t="array" ref="AD68">IFERROR(IF(tblSeverityAnalysis[[#This Row],[Severidad máxima]]="", "", _xlfn.TEXTJOIN(CHAR(10), TRUE, IF(tblSeverityAnalysis[[#This Row],[SAMV]:[ASH]]=tblSeverityAnalysis[[#This Row],[Severidad máxima]], tblSeverityAnalysis[[#Headers],[SAMV]:[ASH]], ""), "")), "")</f>
        <v>SAMV
SAL
EDU</v>
      </c>
      <c r="AE68" s="346" cm="1">
        <f t="array" ref="AE68">IFERROR(MAX(_xlfn._xlws.FILTER(tblSeverityAnalysis[[#This Row],[SAMV]:[ASH]], tblSeverityAnalysis[[#This Row],[SAMV]:[ASH]]&lt;tblSeverityAnalysis[[#This Row],[Severidad máxima]])), "")</f>
        <v>2</v>
      </c>
      <c r="AF68" s="398" t="str" cm="1">
        <f t="array" ref="AF68">IFERROR(IF(tblSeverityAnalysis[[#This Row],[2ª mayor severidad]]="", "", _xlfn.TEXTJOIN(CHAR(10), TRUE, IF(tblSeverityAnalysis[[#This Row],[SAMV]:[ASH]]=tblSeverityAnalysis[[#This Row],[2ª mayor severidad]], tblSeverityAnalysis[[#Headers],[SAMV]:[ASH]], ""), "")), "")</f>
        <v>NUT
ASH</v>
      </c>
      <c r="AG68" s="405" t="str">
        <f>IFERROR(IF(AND(tblSeverityAnalysis[[#This Row],[5]] &lt;&gt; "", tblSeverityAnalysis[[#This Row],[5]]&gt;=sectors_sev_5), "Flagged", ""), "")</f>
        <v/>
      </c>
      <c r="AH68" s="347" t="str">
        <f>IFERROR(IF(AND(tblSeverityAnalysis[[#This Row],[Severidad preliminar basada en la superposición de privaciones sectoriales]]=5, SUM(tblSeverityAnalysis[[#This Row],[ 1 ]:[ 4 ]])&gt;=sectors_sev_5), "Flagged", ""), "")</f>
        <v/>
      </c>
      <c r="AI68" s="348" t="str" cm="1">
        <f t="array" ref="AI6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6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68" s="350"/>
      <c r="AL68" s="351"/>
      <c r="AM68" s="350"/>
      <c r="AN68" s="407">
        <f>COUNTIF(tblSeverityAnalysis[[#This Row],[1 sectores en fase de severidad 5 '[modificar el umbral']]:[Marcador manual]], "Flagged")</f>
        <v>0</v>
      </c>
      <c r="AO68" s="418">
        <f>tblSeverityAnalysis[[#This Row],[Severidad preliminar basada en la superposición de privaciones sectoriales]]</f>
        <v>2</v>
      </c>
      <c r="AP68" s="417"/>
      <c r="AQ68" s="421" t="s">
        <v>876</v>
      </c>
      <c r="AR68" s="417">
        <v>4</v>
      </c>
    </row>
    <row r="69" spans="1:44" hidden="1">
      <c r="A6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VenezolanosVE0612</v>
      </c>
      <c r="B69" s="363" t="s">
        <v>215</v>
      </c>
      <c r="C69" s="323" t="s">
        <v>216</v>
      </c>
      <c r="D69" s="322" t="s">
        <v>237</v>
      </c>
      <c r="E69" s="323" t="s">
        <v>238</v>
      </c>
      <c r="F69" s="323"/>
      <c r="G69" s="324">
        <v>16144</v>
      </c>
      <c r="H69" s="324" t="s">
        <v>102</v>
      </c>
      <c r="I69" s="374">
        <v>3</v>
      </c>
      <c r="J69" s="237">
        <v>2</v>
      </c>
      <c r="K69" s="237">
        <v>3</v>
      </c>
      <c r="L69" s="237">
        <v>3</v>
      </c>
      <c r="M69" s="237">
        <v>3</v>
      </c>
      <c r="N69" s="237">
        <v>2</v>
      </c>
      <c r="O69" s="237">
        <v>3</v>
      </c>
      <c r="P69" s="237">
        <v>3</v>
      </c>
      <c r="Q69" s="382" t="str">
        <f>IF(COUNTIF(tblSeverityAnalysis[[#This Row],[SAMV]:[ASH]], 1)=0, "", COUNTIF(tblSeverityAnalysis[[#This Row],[SAMV]:[ASH]], 1))</f>
        <v/>
      </c>
      <c r="R69" s="325">
        <f>IF(COUNTIF(tblSeverityAnalysis[[#This Row],[SAMV]:[ASH]], 2)=0, "", COUNTIF(tblSeverityAnalysis[[#This Row],[SAMV]:[ASH]], 2))</f>
        <v>2</v>
      </c>
      <c r="S69" s="325">
        <f>IF(COUNTIF(tblSeverityAnalysis[[#This Row],[SAMV]:[ASH]], 3)=0, "", COUNTIF(tblSeverityAnalysis[[#This Row],[SAMV]:[ASH]], 3))</f>
        <v>4</v>
      </c>
      <c r="T69" s="325" t="str">
        <f>IF(COUNTIF(tblSeverityAnalysis[[#This Row],[SAMV]:[ASH]], 4)=0, "", COUNTIF(tblSeverityAnalysis[[#This Row],[SAMV]:[ASH]], 4))</f>
        <v/>
      </c>
      <c r="U69" s="383" t="str">
        <f>IF(COUNTIF(tblSeverityAnalysis[[#This Row],[SAMV]:[ASH]], 5)=0, "", COUNTIF(tblSeverityAnalysis[[#This Row],[SAMV]:[ASH]], 5))</f>
        <v/>
      </c>
      <c r="V69" s="375" cm="1">
        <f t="array" ref="V6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6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69" s="237" t="str">
        <f>IFERROR(IF(INDEX(tblSeverityReference[Severidad de la desnutrición],MATCH(tblSeverityAnalysis[[#This Row],[ID]], tblSeverityReference[ID], 0))= "", "",INDEX(tblSeverityReference[Severidad de la desnutrición],MATCH(tblSeverityAnalysis[[#This Row],[ID]], tblSeverityReference[ID], 0)) ), "")</f>
        <v/>
      </c>
      <c r="Y69" s="349" t="str">
        <f>IFERROR(IF(INDEX(tblSeverityReference[Severidad epidémica],MATCH(tblSeverityAnalysis[[#This Row],[ID]], tblSeverityReference[ID], 0))= "", "",INDEX(tblSeverityReference[Severidad epidémica],MATCH(tblSeverityAnalysis[[#This Row],[ID]], tblSeverityReference[ID], 0)) ), "")</f>
        <v/>
      </c>
      <c r="Z6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69" s="391" t="str">
        <f>IFERROR(IF(INDEX(tblSeverityReference[HR/IHL Violation],MATCH(tblSeverityAnalysis[[#This Row],[ID]], tblSeverityReference[ID], 0))= "", "",INDEX(tblSeverityReference[HR/IHL Violation],MATCH(tblSeverityAnalysis[[#This Row],[ID]], tblSeverityReference[ID], 0)) ), "")</f>
        <v/>
      </c>
      <c r="AB69" s="397">
        <f>IFERROR(AVERAGE(tblSeverityAnalysis[[#This Row],[SAMV]:[ASH]]), "")</f>
        <v>2.6666666666666665</v>
      </c>
      <c r="AC69" s="346">
        <f>IF(SUM(tblSeverityAnalysis[[#This Row],[SAMV]:[ASH]])=0, "", MAX(tblSeverityAnalysis[[#This Row],[SAMV]:[ASH]]))</f>
        <v>3</v>
      </c>
      <c r="AD69" s="261" t="str" cm="1">
        <f t="array" ref="AD69">IFERROR(IF(tblSeverityAnalysis[[#This Row],[Severidad máxima]]="", "", _xlfn.TEXTJOIN(CHAR(10), TRUE, IF(tblSeverityAnalysis[[#This Row],[SAMV]:[ASH]]=tblSeverityAnalysis[[#This Row],[Severidad máxima]], tblSeverityAnalysis[[#Headers],[SAMV]:[ASH]], ""), "")), "")</f>
        <v>SAMV
SAL
EDU
PRO</v>
      </c>
      <c r="AE69" s="346" cm="1">
        <f t="array" ref="AE69">IFERROR(MAX(_xlfn._xlws.FILTER(tblSeverityAnalysis[[#This Row],[SAMV]:[ASH]], tblSeverityAnalysis[[#This Row],[SAMV]:[ASH]]&lt;tblSeverityAnalysis[[#This Row],[Severidad máxima]])), "")</f>
        <v>2</v>
      </c>
      <c r="AF69" s="398" t="str" cm="1">
        <f t="array" ref="AF69">IFERROR(IF(tblSeverityAnalysis[[#This Row],[2ª mayor severidad]]="", "", _xlfn.TEXTJOIN(CHAR(10), TRUE, IF(tblSeverityAnalysis[[#This Row],[SAMV]:[ASH]]=tblSeverityAnalysis[[#This Row],[2ª mayor severidad]], tblSeverityAnalysis[[#Headers],[SAMV]:[ASH]], ""), "")), "")</f>
        <v>NUT
ASH</v>
      </c>
      <c r="AG69" s="405" t="str">
        <f>IFERROR(IF(AND(tblSeverityAnalysis[[#This Row],[5]] &lt;&gt; "", tblSeverityAnalysis[[#This Row],[5]]&gt;=sectors_sev_5), "Flagged", ""), "")</f>
        <v/>
      </c>
      <c r="AH69" s="347" t="str">
        <f>IFERROR(IF(AND(tblSeverityAnalysis[[#This Row],[Severidad preliminar basada en la superposición de privaciones sectoriales]]=5, SUM(tblSeverityAnalysis[[#This Row],[ 1 ]:[ 4 ]])&gt;=sectors_sev_5), "Flagged", ""), "")</f>
        <v/>
      </c>
      <c r="AI69" s="348" t="str" cm="1">
        <f t="array" ref="AI6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6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69" s="350"/>
      <c r="AL69" s="351"/>
      <c r="AM69" s="350"/>
      <c r="AN69" s="407">
        <f>COUNTIF(tblSeverityAnalysis[[#This Row],[1 sectores en fase de severidad 5 '[modificar el umbral']]:[Marcador manual]], "Flagged")</f>
        <v>0</v>
      </c>
      <c r="AO69" s="418">
        <f>tblSeverityAnalysis[[#This Row],[Severidad preliminar basada en la superposición de privaciones sectoriales]]</f>
        <v>3</v>
      </c>
      <c r="AP69" s="417"/>
      <c r="AQ69" s="421" t="s">
        <v>876</v>
      </c>
      <c r="AR69" s="417">
        <v>4</v>
      </c>
    </row>
    <row r="70" spans="1:44" hidden="1">
      <c r="A7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VenezolanosVE0701</v>
      </c>
      <c r="B70" s="363" t="s">
        <v>180</v>
      </c>
      <c r="C70" s="323" t="s">
        <v>239</v>
      </c>
      <c r="D70" s="322" t="s">
        <v>240</v>
      </c>
      <c r="E70" s="323" t="s">
        <v>241</v>
      </c>
      <c r="F70" s="323"/>
      <c r="G70" s="324">
        <v>706736</v>
      </c>
      <c r="H70" s="324" t="s">
        <v>102</v>
      </c>
      <c r="I70" s="374">
        <v>3</v>
      </c>
      <c r="J70" s="237">
        <v>3</v>
      </c>
      <c r="K70" s="237">
        <v>3</v>
      </c>
      <c r="L70" s="237">
        <v>4</v>
      </c>
      <c r="M70" s="237">
        <v>4</v>
      </c>
      <c r="N70" s="237">
        <v>3</v>
      </c>
      <c r="O70" s="237">
        <v>4</v>
      </c>
      <c r="P70" s="237">
        <v>4</v>
      </c>
      <c r="Q70" s="382" t="str">
        <f>IF(COUNTIF(tblSeverityAnalysis[[#This Row],[SAMV]:[ASH]], 1)=0, "", COUNTIF(tblSeverityAnalysis[[#This Row],[SAMV]:[ASH]], 1))</f>
        <v/>
      </c>
      <c r="R70" s="325" t="str">
        <f>IF(COUNTIF(tblSeverityAnalysis[[#This Row],[SAMV]:[ASH]], 2)=0, "", COUNTIF(tblSeverityAnalysis[[#This Row],[SAMV]:[ASH]], 2))</f>
        <v/>
      </c>
      <c r="S70" s="325">
        <f>IF(COUNTIF(tblSeverityAnalysis[[#This Row],[SAMV]:[ASH]], 3)=0, "", COUNTIF(tblSeverityAnalysis[[#This Row],[SAMV]:[ASH]], 3))</f>
        <v>4</v>
      </c>
      <c r="T70" s="325">
        <f>IF(COUNTIF(tblSeverityAnalysis[[#This Row],[SAMV]:[ASH]], 4)=0, "", COUNTIF(tblSeverityAnalysis[[#This Row],[SAMV]:[ASH]], 4))</f>
        <v>2</v>
      </c>
      <c r="U70" s="383" t="str">
        <f>IF(COUNTIF(tblSeverityAnalysis[[#This Row],[SAMV]:[ASH]], 5)=0, "", COUNTIF(tblSeverityAnalysis[[#This Row],[SAMV]:[ASH]], 5))</f>
        <v/>
      </c>
      <c r="V70" s="375" cm="1">
        <f t="array" ref="V7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7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70" s="237" t="str">
        <f>IFERROR(IF(INDEX(tblSeverityReference[Severidad de la desnutrición],MATCH(tblSeverityAnalysis[[#This Row],[ID]], tblSeverityReference[ID], 0))= "", "",INDEX(tblSeverityReference[Severidad de la desnutrición],MATCH(tblSeverityAnalysis[[#This Row],[ID]], tblSeverityReference[ID], 0)) ), "")</f>
        <v/>
      </c>
      <c r="Y70" s="349" t="str">
        <f>IFERROR(IF(INDEX(tblSeverityReference[Severidad epidémica],MATCH(tblSeverityAnalysis[[#This Row],[ID]], tblSeverityReference[ID], 0))= "", "",INDEX(tblSeverityReference[Severidad epidémica],MATCH(tblSeverityAnalysis[[#This Row],[ID]], tblSeverityReference[ID], 0)) ), "")</f>
        <v/>
      </c>
      <c r="Z7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70" s="391" t="str">
        <f>IFERROR(IF(INDEX(tblSeverityReference[HR/IHL Violation],MATCH(tblSeverityAnalysis[[#This Row],[ID]], tblSeverityReference[ID], 0))= "", "",INDEX(tblSeverityReference[HR/IHL Violation],MATCH(tblSeverityAnalysis[[#This Row],[ID]], tblSeverityReference[ID], 0)) ), "")</f>
        <v/>
      </c>
      <c r="AB70" s="397">
        <f>IFERROR(AVERAGE(tblSeverityAnalysis[[#This Row],[SAMV]:[ASH]]), "")</f>
        <v>3.3333333333333335</v>
      </c>
      <c r="AC70" s="346">
        <f>IF(SUM(tblSeverityAnalysis[[#This Row],[SAMV]:[ASH]])=0, "", MAX(tblSeverityAnalysis[[#This Row],[SAMV]:[ASH]]))</f>
        <v>4</v>
      </c>
      <c r="AD70" s="261" t="str" cm="1">
        <f t="array" ref="AD70">IFERROR(IF(tblSeverityAnalysis[[#This Row],[Severidad máxima]]="", "", _xlfn.TEXTJOIN(CHAR(10), TRUE, IF(tblSeverityAnalysis[[#This Row],[SAMV]:[ASH]]=tblSeverityAnalysis[[#This Row],[Severidad máxima]], tblSeverityAnalysis[[#Headers],[SAMV]:[ASH]], ""), "")), "")</f>
        <v>EDU
PRO</v>
      </c>
      <c r="AE70" s="346" cm="1">
        <f t="array" ref="AE70">IFERROR(MAX(_xlfn._xlws.FILTER(tblSeverityAnalysis[[#This Row],[SAMV]:[ASH]], tblSeverityAnalysis[[#This Row],[SAMV]:[ASH]]&lt;tblSeverityAnalysis[[#This Row],[Severidad máxima]])), "")</f>
        <v>3</v>
      </c>
      <c r="AF70" s="398" t="str" cm="1">
        <f t="array" ref="AF70">IFERROR(IF(tblSeverityAnalysis[[#This Row],[2ª mayor severidad]]="", "", _xlfn.TEXTJOIN(CHAR(10), TRUE, IF(tblSeverityAnalysis[[#This Row],[SAMV]:[ASH]]=tblSeverityAnalysis[[#This Row],[2ª mayor severidad]], tblSeverityAnalysis[[#Headers],[SAMV]:[ASH]], ""), "")), "")</f>
        <v>SAMV
NUT
SAL
ASH</v>
      </c>
      <c r="AG70" s="405" t="str">
        <f>IFERROR(IF(AND(tblSeverityAnalysis[[#This Row],[5]] &lt;&gt; "", tblSeverityAnalysis[[#This Row],[5]]&gt;=sectors_sev_5), "Flagged", ""), "")</f>
        <v/>
      </c>
      <c r="AH70" s="347" t="str">
        <f>IFERROR(IF(AND(tblSeverityAnalysis[[#This Row],[Severidad preliminar basada en la superposición de privaciones sectoriales]]=5, SUM(tblSeverityAnalysis[[#This Row],[ 1 ]:[ 4 ]])&gt;=sectors_sev_5), "Flagged", ""), "")</f>
        <v/>
      </c>
      <c r="AI70" s="348" t="str" cm="1">
        <f t="array" ref="AI7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7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70" s="350"/>
      <c r="AL70" s="351"/>
      <c r="AM70" s="350"/>
      <c r="AN70" s="407">
        <f>COUNTIF(tblSeverityAnalysis[[#This Row],[1 sectores en fase de severidad 5 '[modificar el umbral']]:[Marcador manual]], "Flagged")</f>
        <v>0</v>
      </c>
      <c r="AO70" s="418">
        <f>tblSeverityAnalysis[[#This Row],[Severidad preliminar basada en la superposición de privaciones sectoriales]]</f>
        <v>3</v>
      </c>
      <c r="AP70" s="417"/>
      <c r="AQ70" s="421" t="s">
        <v>875</v>
      </c>
      <c r="AR70" s="417">
        <v>3</v>
      </c>
    </row>
    <row r="71" spans="1:44" hidden="1">
      <c r="A7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VenezolanosVE0702</v>
      </c>
      <c r="B71" s="363" t="s">
        <v>180</v>
      </c>
      <c r="C71" s="323" t="s">
        <v>239</v>
      </c>
      <c r="D71" s="322" t="s">
        <v>242</v>
      </c>
      <c r="E71" s="323" t="s">
        <v>243</v>
      </c>
      <c r="F71" s="323"/>
      <c r="G71" s="324">
        <v>67000</v>
      </c>
      <c r="H71" s="324" t="s">
        <v>102</v>
      </c>
      <c r="I71" s="374">
        <v>3</v>
      </c>
      <c r="J71" s="237">
        <v>2</v>
      </c>
      <c r="K71" s="237">
        <v>3</v>
      </c>
      <c r="L71" s="237">
        <v>4</v>
      </c>
      <c r="M71" s="237">
        <v>5</v>
      </c>
      <c r="N71" s="237">
        <v>4</v>
      </c>
      <c r="O71" s="237">
        <v>5</v>
      </c>
      <c r="P71" s="237">
        <v>5</v>
      </c>
      <c r="Q71" s="382" t="str">
        <f>IF(COUNTIF(tblSeverityAnalysis[[#This Row],[SAMV]:[ASH]], 1)=0, "", COUNTIF(tblSeverityAnalysis[[#This Row],[SAMV]:[ASH]], 1))</f>
        <v/>
      </c>
      <c r="R71" s="325">
        <f>IF(COUNTIF(tblSeverityAnalysis[[#This Row],[SAMV]:[ASH]], 2)=0, "", COUNTIF(tblSeverityAnalysis[[#This Row],[SAMV]:[ASH]], 2))</f>
        <v>1</v>
      </c>
      <c r="S71" s="325">
        <f>IF(COUNTIF(tblSeverityAnalysis[[#This Row],[SAMV]:[ASH]], 3)=0, "", COUNTIF(tblSeverityAnalysis[[#This Row],[SAMV]:[ASH]], 3))</f>
        <v>2</v>
      </c>
      <c r="T71" s="325">
        <f>IF(COUNTIF(tblSeverityAnalysis[[#This Row],[SAMV]:[ASH]], 4)=0, "", COUNTIF(tblSeverityAnalysis[[#This Row],[SAMV]:[ASH]], 4))</f>
        <v>2</v>
      </c>
      <c r="U71" s="383">
        <f>IF(COUNTIF(tblSeverityAnalysis[[#This Row],[SAMV]:[ASH]], 5)=0, "", COUNTIF(tblSeverityAnalysis[[#This Row],[SAMV]:[ASH]], 5))</f>
        <v>1</v>
      </c>
      <c r="V71" s="376">
        <v>4</v>
      </c>
      <c r="W7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71" s="237" t="str">
        <f>IFERROR(IF(INDEX(tblSeverityReference[Severidad de la desnutrición],MATCH(tblSeverityAnalysis[[#This Row],[ID]], tblSeverityReference[ID], 0))= "", "",INDEX(tblSeverityReference[Severidad de la desnutrición],MATCH(tblSeverityAnalysis[[#This Row],[ID]], tblSeverityReference[ID], 0)) ), "")</f>
        <v/>
      </c>
      <c r="Y71" s="349" t="str">
        <f>IFERROR(IF(INDEX(tblSeverityReference[Severidad epidémica],MATCH(tblSeverityAnalysis[[#This Row],[ID]], tblSeverityReference[ID], 0))= "", "",INDEX(tblSeverityReference[Severidad epidémica],MATCH(tblSeverityAnalysis[[#This Row],[ID]], tblSeverityReference[ID], 0)) ), "")</f>
        <v/>
      </c>
      <c r="Z7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71" s="391" t="str">
        <f>IFERROR(IF(INDEX(tblSeverityReference[HR/IHL Violation],MATCH(tblSeverityAnalysis[[#This Row],[ID]], tblSeverityReference[ID], 0))= "", "",INDEX(tblSeverityReference[HR/IHL Violation],MATCH(tblSeverityAnalysis[[#This Row],[ID]], tblSeverityReference[ID], 0)) ), "")</f>
        <v/>
      </c>
      <c r="AB71" s="397">
        <f>IFERROR(AVERAGE(tblSeverityAnalysis[[#This Row],[SAMV]:[ASH]]), "")</f>
        <v>3.5</v>
      </c>
      <c r="AC71" s="346">
        <f>IF(SUM(tblSeverityAnalysis[[#This Row],[SAMV]:[ASH]])=0, "", MAX(tblSeverityAnalysis[[#This Row],[SAMV]:[ASH]]))</f>
        <v>5</v>
      </c>
      <c r="AD71" s="261" t="str" cm="1">
        <f t="array" ref="AD71">IFERROR(IF(tblSeverityAnalysis[[#This Row],[Severidad máxima]]="", "", _xlfn.TEXTJOIN(CHAR(10), TRUE, IF(tblSeverityAnalysis[[#This Row],[SAMV]:[ASH]]=tblSeverityAnalysis[[#This Row],[Severidad máxima]], tblSeverityAnalysis[[#Headers],[SAMV]:[ASH]], ""), "")), "")</f>
        <v>PRO</v>
      </c>
      <c r="AE71" s="346" cm="1">
        <f t="array" ref="AE71">IFERROR(MAX(_xlfn._xlws.FILTER(tblSeverityAnalysis[[#This Row],[SAMV]:[ASH]], tblSeverityAnalysis[[#This Row],[SAMV]:[ASH]]&lt;tblSeverityAnalysis[[#This Row],[Severidad máxima]])), "")</f>
        <v>4</v>
      </c>
      <c r="AF71" s="398" t="str" cm="1">
        <f t="array" ref="AF71">IFERROR(IF(tblSeverityAnalysis[[#This Row],[2ª mayor severidad]]="", "", _xlfn.TEXTJOIN(CHAR(10), TRUE, IF(tblSeverityAnalysis[[#This Row],[SAMV]:[ASH]]=tblSeverityAnalysis[[#This Row],[2ª mayor severidad]], tblSeverityAnalysis[[#Headers],[SAMV]:[ASH]], ""), "")), "")</f>
        <v>EDU
ASH</v>
      </c>
      <c r="AG71" s="405" t="str">
        <f>IFERROR(IF(AND(tblSeverityAnalysis[[#This Row],[5]] &lt;&gt; "", tblSeverityAnalysis[[#This Row],[5]]&gt;=sectors_sev_5), "Flagged", ""), "")</f>
        <v/>
      </c>
      <c r="AH71" s="347" t="str">
        <f>IFERROR(IF(AND(tblSeverityAnalysis[[#This Row],[Severidad preliminar basada en la superposición de privaciones sectoriales]]=5, SUM(tblSeverityAnalysis[[#This Row],[ 1 ]:[ 4 ]])&gt;=sectors_sev_5), "Flagged", ""), "")</f>
        <v/>
      </c>
      <c r="AI71" s="348" t="str" cm="1">
        <f t="array" ref="AI7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7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71" s="350"/>
      <c r="AL71" s="351"/>
      <c r="AM71" s="350"/>
      <c r="AN71" s="407">
        <f>COUNTIF(tblSeverityAnalysis[[#This Row],[1 sectores en fase de severidad 5 '[modificar el umbral']]:[Marcador manual]], "Flagged")</f>
        <v>0</v>
      </c>
      <c r="AO71" s="418">
        <f>tblSeverityAnalysis[[#This Row],[Severidad preliminar basada en la superposición de privaciones sectoriales]]</f>
        <v>4</v>
      </c>
      <c r="AP71" s="417" t="s">
        <v>878</v>
      </c>
      <c r="AQ71" s="421" t="s">
        <v>875</v>
      </c>
      <c r="AR71" s="417">
        <v>4</v>
      </c>
    </row>
    <row r="72" spans="1:44">
      <c r="A7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VenezolanosVE0703</v>
      </c>
      <c r="B72" s="363" t="s">
        <v>180</v>
      </c>
      <c r="C72" s="323" t="s">
        <v>239</v>
      </c>
      <c r="D72" s="322" t="s">
        <v>244</v>
      </c>
      <c r="E72" s="323" t="s">
        <v>245</v>
      </c>
      <c r="F72" s="323"/>
      <c r="G72" s="324">
        <v>21769</v>
      </c>
      <c r="H72" s="324" t="s">
        <v>102</v>
      </c>
      <c r="I72" s="374">
        <v>4</v>
      </c>
      <c r="J72" s="237">
        <v>3</v>
      </c>
      <c r="K72" s="237">
        <v>4</v>
      </c>
      <c r="L72" s="237">
        <v>4</v>
      </c>
      <c r="M72" s="237">
        <v>5</v>
      </c>
      <c r="N72" s="237">
        <v>5</v>
      </c>
      <c r="O72" s="237">
        <v>5</v>
      </c>
      <c r="P72" s="237">
        <v>5</v>
      </c>
      <c r="Q72" s="382" t="str">
        <f>IF(COUNTIF(tblSeverityAnalysis[[#This Row],[SAMV]:[ASH]], 1)=0, "", COUNTIF(tblSeverityAnalysis[[#This Row],[SAMV]:[ASH]], 1))</f>
        <v/>
      </c>
      <c r="R72" s="325" t="str">
        <f>IF(COUNTIF(tblSeverityAnalysis[[#This Row],[SAMV]:[ASH]], 2)=0, "", COUNTIF(tblSeverityAnalysis[[#This Row],[SAMV]:[ASH]], 2))</f>
        <v/>
      </c>
      <c r="S72" s="325">
        <f>IF(COUNTIF(tblSeverityAnalysis[[#This Row],[SAMV]:[ASH]], 3)=0, "", COUNTIF(tblSeverityAnalysis[[#This Row],[SAMV]:[ASH]], 3))</f>
        <v>1</v>
      </c>
      <c r="T72" s="325">
        <f>IF(COUNTIF(tblSeverityAnalysis[[#This Row],[SAMV]:[ASH]], 4)=0, "", COUNTIF(tblSeverityAnalysis[[#This Row],[SAMV]:[ASH]], 4))</f>
        <v>3</v>
      </c>
      <c r="U72" s="383">
        <f>IF(COUNTIF(tblSeverityAnalysis[[#This Row],[SAMV]:[ASH]], 5)=0, "", COUNTIF(tblSeverityAnalysis[[#This Row],[SAMV]:[ASH]], 5))</f>
        <v>2</v>
      </c>
      <c r="V72" s="375" cm="1">
        <f t="array" ref="V7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5</v>
      </c>
      <c r="W7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72" s="237" t="str">
        <f>IFERROR(IF(INDEX(tblSeverityReference[Severidad de la desnutrición],MATCH(tblSeverityAnalysis[[#This Row],[ID]], tblSeverityReference[ID], 0))= "", "",INDEX(tblSeverityReference[Severidad de la desnutrición],MATCH(tblSeverityAnalysis[[#This Row],[ID]], tblSeverityReference[ID], 0)) ), "")</f>
        <v/>
      </c>
      <c r="Y72" s="349" t="str">
        <f>IFERROR(IF(INDEX(tblSeverityReference[Severidad epidémica],MATCH(tblSeverityAnalysis[[#This Row],[ID]], tblSeverityReference[ID], 0))= "", "",INDEX(tblSeverityReference[Severidad epidémica],MATCH(tblSeverityAnalysis[[#This Row],[ID]], tblSeverityReference[ID], 0)) ), "")</f>
        <v/>
      </c>
      <c r="Z7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72" s="391" t="str">
        <f>IFERROR(IF(INDEX(tblSeverityReference[HR/IHL Violation],MATCH(tblSeverityAnalysis[[#This Row],[ID]], tblSeverityReference[ID], 0))= "", "",INDEX(tblSeverityReference[HR/IHL Violation],MATCH(tblSeverityAnalysis[[#This Row],[ID]], tblSeverityReference[ID], 0)) ), "")</f>
        <v/>
      </c>
      <c r="AB72" s="397">
        <f>IFERROR(AVERAGE(tblSeverityAnalysis[[#This Row],[SAMV]:[ASH]]), "")</f>
        <v>4.166666666666667</v>
      </c>
      <c r="AC72" s="346">
        <f>IF(SUM(tblSeverityAnalysis[[#This Row],[SAMV]:[ASH]])=0, "", MAX(tblSeverityAnalysis[[#This Row],[SAMV]:[ASH]]))</f>
        <v>5</v>
      </c>
      <c r="AD72" s="261" t="str" cm="1">
        <f t="array" ref="AD72">IFERROR(IF(tblSeverityAnalysis[[#This Row],[Severidad máxima]]="", "", _xlfn.TEXTJOIN(CHAR(10), TRUE, IF(tblSeverityAnalysis[[#This Row],[SAMV]:[ASH]]=tblSeverityAnalysis[[#This Row],[Severidad máxima]], tblSeverityAnalysis[[#Headers],[SAMV]:[ASH]], ""), "")), "")</f>
        <v>PRO
ASH</v>
      </c>
      <c r="AE72" s="346" cm="1">
        <f t="array" ref="AE72">IFERROR(MAX(_xlfn._xlws.FILTER(tblSeverityAnalysis[[#This Row],[SAMV]:[ASH]], tblSeverityAnalysis[[#This Row],[SAMV]:[ASH]]&lt;tblSeverityAnalysis[[#This Row],[Severidad máxima]])), "")</f>
        <v>4</v>
      </c>
      <c r="AF72" s="398" t="str" cm="1">
        <f t="array" ref="AF72">IFERROR(IF(tblSeverityAnalysis[[#This Row],[2ª mayor severidad]]="", "", _xlfn.TEXTJOIN(CHAR(10), TRUE, IF(tblSeverityAnalysis[[#This Row],[SAMV]:[ASH]]=tblSeverityAnalysis[[#This Row],[2ª mayor severidad]], tblSeverityAnalysis[[#Headers],[SAMV]:[ASH]], ""), "")), "")</f>
        <v>SAMV
SAL
EDU</v>
      </c>
      <c r="AG72" s="405" t="str">
        <f>IFERROR(IF(AND(tblSeverityAnalysis[[#This Row],[5]] &lt;&gt; "", tblSeverityAnalysis[[#This Row],[5]]&gt;=sectors_sev_5), "Flagged", ""), "")</f>
        <v>Flagged</v>
      </c>
      <c r="AH72" s="347" t="str">
        <f>IFERROR(IF(AND(tblSeverityAnalysis[[#This Row],[Severidad preliminar basada en la superposición de privaciones sectoriales]]=5, SUM(tblSeverityAnalysis[[#This Row],[ 1 ]:[ 4 ]])&gt;=sectors_sev_5), "Flagged", ""), "")</f>
        <v>Flagged</v>
      </c>
      <c r="AI72" s="348" t="str" cm="1">
        <f t="array" ref="AI7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7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72" s="350"/>
      <c r="AL72" s="351"/>
      <c r="AM72" s="350"/>
      <c r="AN72" s="407">
        <f>COUNTIF(tblSeverityAnalysis[[#This Row],[1 sectores en fase de severidad 5 '[modificar el umbral']]:[Marcador manual]], "Flagged")</f>
        <v>2</v>
      </c>
      <c r="AO72" s="418">
        <f>tblSeverityAnalysis[[#This Row],[Severidad preliminar basada en la superposición de privaciones sectoriales]]</f>
        <v>5</v>
      </c>
      <c r="AP72" s="417"/>
      <c r="AQ72" s="421" t="s">
        <v>875</v>
      </c>
      <c r="AR72" s="417">
        <v>4</v>
      </c>
    </row>
    <row r="73" spans="1:44" hidden="1">
      <c r="A7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VenezolanosVE0704</v>
      </c>
      <c r="B73" s="363" t="s">
        <v>180</v>
      </c>
      <c r="C73" s="323" t="s">
        <v>239</v>
      </c>
      <c r="D73" s="322" t="s">
        <v>246</v>
      </c>
      <c r="E73" s="323" t="s">
        <v>247</v>
      </c>
      <c r="F73" s="323"/>
      <c r="G73" s="324">
        <v>28450</v>
      </c>
      <c r="H73" s="324" t="s">
        <v>102</v>
      </c>
      <c r="I73" s="374">
        <v>3</v>
      </c>
      <c r="J73" s="237">
        <v>2</v>
      </c>
      <c r="K73" s="237">
        <v>4</v>
      </c>
      <c r="L73" s="237">
        <v>4</v>
      </c>
      <c r="M73" s="237">
        <v>4</v>
      </c>
      <c r="N73" s="237">
        <v>3</v>
      </c>
      <c r="O73" s="237">
        <v>4</v>
      </c>
      <c r="P73" s="237">
        <v>4</v>
      </c>
      <c r="Q73" s="382" t="str">
        <f>IF(COUNTIF(tblSeverityAnalysis[[#This Row],[SAMV]:[ASH]], 1)=0, "", COUNTIF(tblSeverityAnalysis[[#This Row],[SAMV]:[ASH]], 1))</f>
        <v/>
      </c>
      <c r="R73" s="325">
        <f>IF(COUNTIF(tblSeverityAnalysis[[#This Row],[SAMV]:[ASH]], 2)=0, "", COUNTIF(tblSeverityAnalysis[[#This Row],[SAMV]:[ASH]], 2))</f>
        <v>1</v>
      </c>
      <c r="S73" s="325">
        <f>IF(COUNTIF(tblSeverityAnalysis[[#This Row],[SAMV]:[ASH]], 3)=0, "", COUNTIF(tblSeverityAnalysis[[#This Row],[SAMV]:[ASH]], 3))</f>
        <v>2</v>
      </c>
      <c r="T73" s="325">
        <f>IF(COUNTIF(tblSeverityAnalysis[[#This Row],[SAMV]:[ASH]], 4)=0, "", COUNTIF(tblSeverityAnalysis[[#This Row],[SAMV]:[ASH]], 4))</f>
        <v>3</v>
      </c>
      <c r="U73" s="383" t="str">
        <f>IF(COUNTIF(tblSeverityAnalysis[[#This Row],[SAMV]:[ASH]], 5)=0, "", COUNTIF(tblSeverityAnalysis[[#This Row],[SAMV]:[ASH]], 5))</f>
        <v/>
      </c>
      <c r="V73" s="375" cm="1">
        <f t="array" ref="V7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7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73" s="237" t="str">
        <f>IFERROR(IF(INDEX(tblSeverityReference[Severidad de la desnutrición],MATCH(tblSeverityAnalysis[[#This Row],[ID]], tblSeverityReference[ID], 0))= "", "",INDEX(tblSeverityReference[Severidad de la desnutrición],MATCH(tblSeverityAnalysis[[#This Row],[ID]], tblSeverityReference[ID], 0)) ), "")</f>
        <v/>
      </c>
      <c r="Y73" s="349" t="str">
        <f>IFERROR(IF(INDEX(tblSeverityReference[Severidad epidémica],MATCH(tblSeverityAnalysis[[#This Row],[ID]], tblSeverityReference[ID], 0))= "", "",INDEX(tblSeverityReference[Severidad epidémica],MATCH(tblSeverityAnalysis[[#This Row],[ID]], tblSeverityReference[ID], 0)) ), "")</f>
        <v/>
      </c>
      <c r="Z7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73" s="391" t="str">
        <f>IFERROR(IF(INDEX(tblSeverityReference[HR/IHL Violation],MATCH(tblSeverityAnalysis[[#This Row],[ID]], tblSeverityReference[ID], 0))= "", "",INDEX(tblSeverityReference[HR/IHL Violation],MATCH(tblSeverityAnalysis[[#This Row],[ID]], tblSeverityReference[ID], 0)) ), "")</f>
        <v/>
      </c>
      <c r="AB73" s="397">
        <f>IFERROR(AVERAGE(tblSeverityAnalysis[[#This Row],[SAMV]:[ASH]]), "")</f>
        <v>3.3333333333333335</v>
      </c>
      <c r="AC73" s="346">
        <f>IF(SUM(tblSeverityAnalysis[[#This Row],[SAMV]:[ASH]])=0, "", MAX(tblSeverityAnalysis[[#This Row],[SAMV]:[ASH]]))</f>
        <v>4</v>
      </c>
      <c r="AD73" s="261" t="str" cm="1">
        <f t="array" ref="AD73">IFERROR(IF(tblSeverityAnalysis[[#This Row],[Severidad máxima]]="", "", _xlfn.TEXTJOIN(CHAR(10), TRUE, IF(tblSeverityAnalysis[[#This Row],[SAMV]:[ASH]]=tblSeverityAnalysis[[#This Row],[Severidad máxima]], tblSeverityAnalysis[[#Headers],[SAMV]:[ASH]], ""), "")), "")</f>
        <v>SAL
EDU
PRO</v>
      </c>
      <c r="AE73" s="346" cm="1">
        <f t="array" ref="AE73">IFERROR(MAX(_xlfn._xlws.FILTER(tblSeverityAnalysis[[#This Row],[SAMV]:[ASH]], tblSeverityAnalysis[[#This Row],[SAMV]:[ASH]]&lt;tblSeverityAnalysis[[#This Row],[Severidad máxima]])), "")</f>
        <v>3</v>
      </c>
      <c r="AF73" s="398" t="str" cm="1">
        <f t="array" ref="AF73">IFERROR(IF(tblSeverityAnalysis[[#This Row],[2ª mayor severidad]]="", "", _xlfn.TEXTJOIN(CHAR(10), TRUE, IF(tblSeverityAnalysis[[#This Row],[SAMV]:[ASH]]=tblSeverityAnalysis[[#This Row],[2ª mayor severidad]], tblSeverityAnalysis[[#Headers],[SAMV]:[ASH]], ""), "")), "")</f>
        <v>SAMV
ASH</v>
      </c>
      <c r="AG73" s="405" t="str">
        <f>IFERROR(IF(AND(tblSeverityAnalysis[[#This Row],[5]] &lt;&gt; "", tblSeverityAnalysis[[#This Row],[5]]&gt;=sectors_sev_5), "Flagged", ""), "")</f>
        <v/>
      </c>
      <c r="AH73" s="347" t="str">
        <f>IFERROR(IF(AND(tblSeverityAnalysis[[#This Row],[Severidad preliminar basada en la superposición de privaciones sectoriales]]=5, SUM(tblSeverityAnalysis[[#This Row],[ 1 ]:[ 4 ]])&gt;=sectors_sev_5), "Flagged", ""), "")</f>
        <v/>
      </c>
      <c r="AI73" s="348" t="str" cm="1">
        <f t="array" ref="AI7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7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73" s="350"/>
      <c r="AL73" s="351"/>
      <c r="AM73" s="350"/>
      <c r="AN73" s="407">
        <f>COUNTIF(tblSeverityAnalysis[[#This Row],[1 sectores en fase de severidad 5 '[modificar el umbral']]:[Marcador manual]], "Flagged")</f>
        <v>0</v>
      </c>
      <c r="AO73" s="418">
        <f>tblSeverityAnalysis[[#This Row],[Severidad preliminar basada en la superposición de privaciones sectoriales]]</f>
        <v>3</v>
      </c>
      <c r="AP73" s="417"/>
      <c r="AQ73" s="421" t="s">
        <v>875</v>
      </c>
      <c r="AR73" s="417">
        <v>4</v>
      </c>
    </row>
    <row r="74" spans="1:44" hidden="1">
      <c r="A7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VenezolanosVE0705</v>
      </c>
      <c r="B74" s="363" t="s">
        <v>180</v>
      </c>
      <c r="C74" s="323" t="s">
        <v>239</v>
      </c>
      <c r="D74" s="322" t="s">
        <v>248</v>
      </c>
      <c r="E74" s="323" t="s">
        <v>249</v>
      </c>
      <c r="F74" s="323"/>
      <c r="G74" s="324">
        <v>342280</v>
      </c>
      <c r="H74" s="324" t="s">
        <v>102</v>
      </c>
      <c r="I74" s="374">
        <v>3</v>
      </c>
      <c r="J74" s="237">
        <v>2</v>
      </c>
      <c r="K74" s="237">
        <v>3</v>
      </c>
      <c r="L74" s="237">
        <v>4</v>
      </c>
      <c r="M74" s="237">
        <v>4</v>
      </c>
      <c r="N74" s="237">
        <v>4</v>
      </c>
      <c r="O74" s="237">
        <v>4</v>
      </c>
      <c r="P74" s="237">
        <v>4</v>
      </c>
      <c r="Q74" s="382" t="str">
        <f>IF(COUNTIF(tblSeverityAnalysis[[#This Row],[SAMV]:[ASH]], 1)=0, "", COUNTIF(tblSeverityAnalysis[[#This Row],[SAMV]:[ASH]], 1))</f>
        <v/>
      </c>
      <c r="R74" s="325">
        <f>IF(COUNTIF(tblSeverityAnalysis[[#This Row],[SAMV]:[ASH]], 2)=0, "", COUNTIF(tblSeverityAnalysis[[#This Row],[SAMV]:[ASH]], 2))</f>
        <v>1</v>
      </c>
      <c r="S74" s="325">
        <f>IF(COUNTIF(tblSeverityAnalysis[[#This Row],[SAMV]:[ASH]], 3)=0, "", COUNTIF(tblSeverityAnalysis[[#This Row],[SAMV]:[ASH]], 3))</f>
        <v>2</v>
      </c>
      <c r="T74" s="325">
        <f>IF(COUNTIF(tblSeverityAnalysis[[#This Row],[SAMV]:[ASH]], 4)=0, "", COUNTIF(tblSeverityAnalysis[[#This Row],[SAMV]:[ASH]], 4))</f>
        <v>3</v>
      </c>
      <c r="U74" s="383" t="str">
        <f>IF(COUNTIF(tblSeverityAnalysis[[#This Row],[SAMV]:[ASH]], 5)=0, "", COUNTIF(tblSeverityAnalysis[[#This Row],[SAMV]:[ASH]], 5))</f>
        <v/>
      </c>
      <c r="V74" s="375" cm="1">
        <f t="array" ref="V7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7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74" s="237" t="str">
        <f>IFERROR(IF(INDEX(tblSeverityReference[Severidad de la desnutrición],MATCH(tblSeverityAnalysis[[#This Row],[ID]], tblSeverityReference[ID], 0))= "", "",INDEX(tblSeverityReference[Severidad de la desnutrición],MATCH(tblSeverityAnalysis[[#This Row],[ID]], tblSeverityReference[ID], 0)) ), "")</f>
        <v/>
      </c>
      <c r="Y74" s="349" t="str">
        <f>IFERROR(IF(INDEX(tblSeverityReference[Severidad epidémica],MATCH(tblSeverityAnalysis[[#This Row],[ID]], tblSeverityReference[ID], 0))= "", "",INDEX(tblSeverityReference[Severidad epidémica],MATCH(tblSeverityAnalysis[[#This Row],[ID]], tblSeverityReference[ID], 0)) ), "")</f>
        <v/>
      </c>
      <c r="Z7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74" s="391" t="str">
        <f>IFERROR(IF(INDEX(tblSeverityReference[HR/IHL Violation],MATCH(tblSeverityAnalysis[[#This Row],[ID]], tblSeverityReference[ID], 0))= "", "",INDEX(tblSeverityReference[HR/IHL Violation],MATCH(tblSeverityAnalysis[[#This Row],[ID]], tblSeverityReference[ID], 0)) ), "")</f>
        <v/>
      </c>
      <c r="AB74" s="397">
        <f>IFERROR(AVERAGE(tblSeverityAnalysis[[#This Row],[SAMV]:[ASH]]), "")</f>
        <v>3.3333333333333335</v>
      </c>
      <c r="AC74" s="346">
        <f>IF(SUM(tblSeverityAnalysis[[#This Row],[SAMV]:[ASH]])=0, "", MAX(tblSeverityAnalysis[[#This Row],[SAMV]:[ASH]]))</f>
        <v>4</v>
      </c>
      <c r="AD74" s="261" t="str" cm="1">
        <f t="array" ref="AD74">IFERROR(IF(tblSeverityAnalysis[[#This Row],[Severidad máxima]]="", "", _xlfn.TEXTJOIN(CHAR(10), TRUE, IF(tblSeverityAnalysis[[#This Row],[SAMV]:[ASH]]=tblSeverityAnalysis[[#This Row],[Severidad máxima]], tblSeverityAnalysis[[#Headers],[SAMV]:[ASH]], ""), "")), "")</f>
        <v>EDU
PRO
ASH</v>
      </c>
      <c r="AE74" s="346" cm="1">
        <f t="array" ref="AE74">IFERROR(MAX(_xlfn._xlws.FILTER(tblSeverityAnalysis[[#This Row],[SAMV]:[ASH]], tblSeverityAnalysis[[#This Row],[SAMV]:[ASH]]&lt;tblSeverityAnalysis[[#This Row],[Severidad máxima]])), "")</f>
        <v>3</v>
      </c>
      <c r="AF74" s="398" t="str" cm="1">
        <f t="array" ref="AF74">IFERROR(IF(tblSeverityAnalysis[[#This Row],[2ª mayor severidad]]="", "", _xlfn.TEXTJOIN(CHAR(10), TRUE, IF(tblSeverityAnalysis[[#This Row],[SAMV]:[ASH]]=tblSeverityAnalysis[[#This Row],[2ª mayor severidad]], tblSeverityAnalysis[[#Headers],[SAMV]:[ASH]], ""), "")), "")</f>
        <v>SAMV
SAL</v>
      </c>
      <c r="AG74" s="405" t="str">
        <f>IFERROR(IF(AND(tblSeverityAnalysis[[#This Row],[5]] &lt;&gt; "", tblSeverityAnalysis[[#This Row],[5]]&gt;=sectors_sev_5), "Flagged", ""), "")</f>
        <v/>
      </c>
      <c r="AH74" s="347" t="str">
        <f>IFERROR(IF(AND(tblSeverityAnalysis[[#This Row],[Severidad preliminar basada en la superposición de privaciones sectoriales]]=5, SUM(tblSeverityAnalysis[[#This Row],[ 1 ]:[ 4 ]])&gt;=sectors_sev_5), "Flagged", ""), "")</f>
        <v/>
      </c>
      <c r="AI74" s="348" t="str" cm="1">
        <f t="array" ref="AI7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7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74" s="350"/>
      <c r="AL74" s="351"/>
      <c r="AM74" s="350"/>
      <c r="AN74" s="407">
        <f>COUNTIF(tblSeverityAnalysis[[#This Row],[1 sectores en fase de severidad 5 '[modificar el umbral']]:[Marcador manual]], "Flagged")</f>
        <v>0</v>
      </c>
      <c r="AO74" s="418">
        <f>tblSeverityAnalysis[[#This Row],[Severidad preliminar basada en la superposición de privaciones sectoriales]]</f>
        <v>3</v>
      </c>
      <c r="AP74" s="417"/>
      <c r="AQ74" s="421" t="s">
        <v>875</v>
      </c>
      <c r="AR74" s="417">
        <v>3</v>
      </c>
    </row>
    <row r="75" spans="1:44" hidden="1">
      <c r="A7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VenezolanosVE0706</v>
      </c>
      <c r="B75" s="363" t="s">
        <v>180</v>
      </c>
      <c r="C75" s="323" t="s">
        <v>239</v>
      </c>
      <c r="D75" s="322" t="s">
        <v>250</v>
      </c>
      <c r="E75" s="323" t="s">
        <v>251</v>
      </c>
      <c r="F75" s="323"/>
      <c r="G75" s="324">
        <v>98274</v>
      </c>
      <c r="H75" s="324" t="s">
        <v>102</v>
      </c>
      <c r="I75" s="374">
        <v>2</v>
      </c>
      <c r="J75" s="237">
        <v>3</v>
      </c>
      <c r="K75" s="237">
        <v>3</v>
      </c>
      <c r="L75" s="237">
        <v>4</v>
      </c>
      <c r="M75" s="237">
        <v>4</v>
      </c>
      <c r="N75" s="237">
        <v>3</v>
      </c>
      <c r="O75" s="237">
        <v>4</v>
      </c>
      <c r="P75" s="237">
        <v>4</v>
      </c>
      <c r="Q75" s="382" t="str">
        <f>IF(COUNTIF(tblSeverityAnalysis[[#This Row],[SAMV]:[ASH]], 1)=0, "", COUNTIF(tblSeverityAnalysis[[#This Row],[SAMV]:[ASH]], 1))</f>
        <v/>
      </c>
      <c r="R75" s="325">
        <f>IF(COUNTIF(tblSeverityAnalysis[[#This Row],[SAMV]:[ASH]], 2)=0, "", COUNTIF(tblSeverityAnalysis[[#This Row],[SAMV]:[ASH]], 2))</f>
        <v>1</v>
      </c>
      <c r="S75" s="325">
        <f>IF(COUNTIF(tblSeverityAnalysis[[#This Row],[SAMV]:[ASH]], 3)=0, "", COUNTIF(tblSeverityAnalysis[[#This Row],[SAMV]:[ASH]], 3))</f>
        <v>3</v>
      </c>
      <c r="T75" s="325">
        <f>IF(COUNTIF(tblSeverityAnalysis[[#This Row],[SAMV]:[ASH]], 4)=0, "", COUNTIF(tblSeverityAnalysis[[#This Row],[SAMV]:[ASH]], 4))</f>
        <v>2</v>
      </c>
      <c r="U75" s="383" t="str">
        <f>IF(COUNTIF(tblSeverityAnalysis[[#This Row],[SAMV]:[ASH]], 5)=0, "", COUNTIF(tblSeverityAnalysis[[#This Row],[SAMV]:[ASH]], 5))</f>
        <v/>
      </c>
      <c r="V75" s="375" cm="1">
        <f t="array" ref="V7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7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75" s="237" t="str">
        <f>IFERROR(IF(INDEX(tblSeverityReference[Severidad de la desnutrición],MATCH(tblSeverityAnalysis[[#This Row],[ID]], tblSeverityReference[ID], 0))= "", "",INDEX(tblSeverityReference[Severidad de la desnutrición],MATCH(tblSeverityAnalysis[[#This Row],[ID]], tblSeverityReference[ID], 0)) ), "")</f>
        <v/>
      </c>
      <c r="Y75" s="349" t="str">
        <f>IFERROR(IF(INDEX(tblSeverityReference[Severidad epidémica],MATCH(tblSeverityAnalysis[[#This Row],[ID]], tblSeverityReference[ID], 0))= "", "",INDEX(tblSeverityReference[Severidad epidémica],MATCH(tblSeverityAnalysis[[#This Row],[ID]], tblSeverityReference[ID], 0)) ), "")</f>
        <v/>
      </c>
      <c r="Z7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75" s="391" t="str">
        <f>IFERROR(IF(INDEX(tblSeverityReference[HR/IHL Violation],MATCH(tblSeverityAnalysis[[#This Row],[ID]], tblSeverityReference[ID], 0))= "", "",INDEX(tblSeverityReference[HR/IHL Violation],MATCH(tblSeverityAnalysis[[#This Row],[ID]], tblSeverityReference[ID], 0)) ), "")</f>
        <v/>
      </c>
      <c r="AB75" s="397">
        <f>IFERROR(AVERAGE(tblSeverityAnalysis[[#This Row],[SAMV]:[ASH]]), "")</f>
        <v>3.1666666666666665</v>
      </c>
      <c r="AC75" s="346">
        <f>IF(SUM(tblSeverityAnalysis[[#This Row],[SAMV]:[ASH]])=0, "", MAX(tblSeverityAnalysis[[#This Row],[SAMV]:[ASH]]))</f>
        <v>4</v>
      </c>
      <c r="AD75" s="261" t="str" cm="1">
        <f t="array" ref="AD75">IFERROR(IF(tblSeverityAnalysis[[#This Row],[Severidad máxima]]="", "", _xlfn.TEXTJOIN(CHAR(10), TRUE, IF(tblSeverityAnalysis[[#This Row],[SAMV]:[ASH]]=tblSeverityAnalysis[[#This Row],[Severidad máxima]], tblSeverityAnalysis[[#Headers],[SAMV]:[ASH]], ""), "")), "")</f>
        <v>EDU
PRO</v>
      </c>
      <c r="AE75" s="346" cm="1">
        <f t="array" ref="AE75">IFERROR(MAX(_xlfn._xlws.FILTER(tblSeverityAnalysis[[#This Row],[SAMV]:[ASH]], tblSeverityAnalysis[[#This Row],[SAMV]:[ASH]]&lt;tblSeverityAnalysis[[#This Row],[Severidad máxima]])), "")</f>
        <v>3</v>
      </c>
      <c r="AF75" s="398" t="str" cm="1">
        <f t="array" ref="AF75">IFERROR(IF(tblSeverityAnalysis[[#This Row],[2ª mayor severidad]]="", "", _xlfn.TEXTJOIN(CHAR(10), TRUE, IF(tblSeverityAnalysis[[#This Row],[SAMV]:[ASH]]=tblSeverityAnalysis[[#This Row],[2ª mayor severidad]], tblSeverityAnalysis[[#Headers],[SAMV]:[ASH]], ""), "")), "")</f>
        <v>NUT
SAL
ASH</v>
      </c>
      <c r="AG75" s="405" t="str">
        <f>IFERROR(IF(AND(tblSeverityAnalysis[[#This Row],[5]] &lt;&gt; "", tblSeverityAnalysis[[#This Row],[5]]&gt;=sectors_sev_5), "Flagged", ""), "")</f>
        <v/>
      </c>
      <c r="AH75" s="347" t="str">
        <f>IFERROR(IF(AND(tblSeverityAnalysis[[#This Row],[Severidad preliminar basada en la superposición de privaciones sectoriales]]=5, SUM(tblSeverityAnalysis[[#This Row],[ 1 ]:[ 4 ]])&gt;=sectors_sev_5), "Flagged", ""), "")</f>
        <v/>
      </c>
      <c r="AI75" s="348" t="str" cm="1">
        <f t="array" ref="AI7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7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75" s="350"/>
      <c r="AL75" s="351"/>
      <c r="AM75" s="350"/>
      <c r="AN75" s="407">
        <f>COUNTIF(tblSeverityAnalysis[[#This Row],[1 sectores en fase de severidad 5 '[modificar el umbral']]:[Marcador manual]], "Flagged")</f>
        <v>0</v>
      </c>
      <c r="AO75" s="418">
        <f>tblSeverityAnalysis[[#This Row],[Severidad preliminar basada en la superposición de privaciones sectoriales]]</f>
        <v>3</v>
      </c>
      <c r="AP75" s="417"/>
      <c r="AQ75" s="421" t="s">
        <v>875</v>
      </c>
      <c r="AR75" s="417">
        <v>4</v>
      </c>
    </row>
    <row r="76" spans="1:44" hidden="1">
      <c r="A7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VenezolanosVE0707</v>
      </c>
      <c r="B76" s="363" t="s">
        <v>180</v>
      </c>
      <c r="C76" s="323" t="s">
        <v>239</v>
      </c>
      <c r="D76" s="322" t="s">
        <v>252</v>
      </c>
      <c r="E76" s="323" t="s">
        <v>253</v>
      </c>
      <c r="F76" s="323"/>
      <c r="G76" s="324">
        <v>40927</v>
      </c>
      <c r="H76" s="324" t="s">
        <v>102</v>
      </c>
      <c r="I76" s="374">
        <v>4</v>
      </c>
      <c r="J76" s="237">
        <v>1</v>
      </c>
      <c r="K76" s="237">
        <v>4</v>
      </c>
      <c r="L76" s="237">
        <v>4</v>
      </c>
      <c r="M76" s="237">
        <v>4</v>
      </c>
      <c r="N76" s="237">
        <v>3</v>
      </c>
      <c r="O76" s="237">
        <v>4</v>
      </c>
      <c r="P76" s="237">
        <v>4</v>
      </c>
      <c r="Q76" s="382">
        <f>IF(COUNTIF(tblSeverityAnalysis[[#This Row],[SAMV]:[ASH]], 1)=0, "", COUNTIF(tblSeverityAnalysis[[#This Row],[SAMV]:[ASH]], 1))</f>
        <v>1</v>
      </c>
      <c r="R76" s="325" t="str">
        <f>IF(COUNTIF(tblSeverityAnalysis[[#This Row],[SAMV]:[ASH]], 2)=0, "", COUNTIF(tblSeverityAnalysis[[#This Row],[SAMV]:[ASH]], 2))</f>
        <v/>
      </c>
      <c r="S76" s="325">
        <f>IF(COUNTIF(tblSeverityAnalysis[[#This Row],[SAMV]:[ASH]], 3)=0, "", COUNTIF(tblSeverityAnalysis[[#This Row],[SAMV]:[ASH]], 3))</f>
        <v>1</v>
      </c>
      <c r="T76" s="325">
        <f>IF(COUNTIF(tblSeverityAnalysis[[#This Row],[SAMV]:[ASH]], 4)=0, "", COUNTIF(tblSeverityAnalysis[[#This Row],[SAMV]:[ASH]], 4))</f>
        <v>4</v>
      </c>
      <c r="U76" s="383" t="str">
        <f>IF(COUNTIF(tblSeverityAnalysis[[#This Row],[SAMV]:[ASH]], 5)=0, "", COUNTIF(tblSeverityAnalysis[[#This Row],[SAMV]:[ASH]], 5))</f>
        <v/>
      </c>
      <c r="V76" s="375" cm="1">
        <f t="array" ref="V7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7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76" s="237" t="str">
        <f>IFERROR(IF(INDEX(tblSeverityReference[Severidad de la desnutrición],MATCH(tblSeverityAnalysis[[#This Row],[ID]], tblSeverityReference[ID], 0))= "", "",INDEX(tblSeverityReference[Severidad de la desnutrición],MATCH(tblSeverityAnalysis[[#This Row],[ID]], tblSeverityReference[ID], 0)) ), "")</f>
        <v/>
      </c>
      <c r="Y76" s="349" t="str">
        <f>IFERROR(IF(INDEX(tblSeverityReference[Severidad epidémica],MATCH(tblSeverityAnalysis[[#This Row],[ID]], tblSeverityReference[ID], 0))= "", "",INDEX(tblSeverityReference[Severidad epidémica],MATCH(tblSeverityAnalysis[[#This Row],[ID]], tblSeverityReference[ID], 0)) ), "")</f>
        <v/>
      </c>
      <c r="Z7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76" s="391" t="str">
        <f>IFERROR(IF(INDEX(tblSeverityReference[HR/IHL Violation],MATCH(tblSeverityAnalysis[[#This Row],[ID]], tblSeverityReference[ID], 0))= "", "",INDEX(tblSeverityReference[HR/IHL Violation],MATCH(tblSeverityAnalysis[[#This Row],[ID]], tblSeverityReference[ID], 0)) ), "")</f>
        <v/>
      </c>
      <c r="AB76" s="397">
        <f>IFERROR(AVERAGE(tblSeverityAnalysis[[#This Row],[SAMV]:[ASH]]), "")</f>
        <v>3.3333333333333335</v>
      </c>
      <c r="AC76" s="346">
        <f>IF(SUM(tblSeverityAnalysis[[#This Row],[SAMV]:[ASH]])=0, "", MAX(tblSeverityAnalysis[[#This Row],[SAMV]:[ASH]]))</f>
        <v>4</v>
      </c>
      <c r="AD76" s="261" t="str" cm="1">
        <f t="array" ref="AD76">IFERROR(IF(tblSeverityAnalysis[[#This Row],[Severidad máxima]]="", "", _xlfn.TEXTJOIN(CHAR(10), TRUE, IF(tblSeverityAnalysis[[#This Row],[SAMV]:[ASH]]=tblSeverityAnalysis[[#This Row],[Severidad máxima]], tblSeverityAnalysis[[#Headers],[SAMV]:[ASH]], ""), "")), "")</f>
        <v>SAMV
SAL
EDU
PRO</v>
      </c>
      <c r="AE76" s="346" cm="1">
        <f t="array" ref="AE76">IFERROR(MAX(_xlfn._xlws.FILTER(tblSeverityAnalysis[[#This Row],[SAMV]:[ASH]], tblSeverityAnalysis[[#This Row],[SAMV]:[ASH]]&lt;tblSeverityAnalysis[[#This Row],[Severidad máxima]])), "")</f>
        <v>3</v>
      </c>
      <c r="AF76" s="398" t="str" cm="1">
        <f t="array" ref="AF76">IFERROR(IF(tblSeverityAnalysis[[#This Row],[2ª mayor severidad]]="", "", _xlfn.TEXTJOIN(CHAR(10), TRUE, IF(tblSeverityAnalysis[[#This Row],[SAMV]:[ASH]]=tblSeverityAnalysis[[#This Row],[2ª mayor severidad]], tblSeverityAnalysis[[#Headers],[SAMV]:[ASH]], ""), "")), "")</f>
        <v>ASH</v>
      </c>
      <c r="AG76" s="405" t="str">
        <f>IFERROR(IF(AND(tblSeverityAnalysis[[#This Row],[5]] &lt;&gt; "", tblSeverityAnalysis[[#This Row],[5]]&gt;=sectors_sev_5), "Flagged", ""), "")</f>
        <v/>
      </c>
      <c r="AH76" s="347" t="str">
        <f>IFERROR(IF(AND(tblSeverityAnalysis[[#This Row],[Severidad preliminar basada en la superposición de privaciones sectoriales]]=5, SUM(tblSeverityAnalysis[[#This Row],[ 1 ]:[ 4 ]])&gt;=sectors_sev_5), "Flagged", ""), "")</f>
        <v/>
      </c>
      <c r="AI76" s="348" t="str" cm="1">
        <f t="array" ref="AI7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7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76" s="350"/>
      <c r="AL76" s="351"/>
      <c r="AM76" s="350"/>
      <c r="AN76" s="407">
        <f>COUNTIF(tblSeverityAnalysis[[#This Row],[1 sectores en fase de severidad 5 '[modificar el umbral']]:[Marcador manual]], "Flagged")</f>
        <v>0</v>
      </c>
      <c r="AO76" s="418">
        <f>tblSeverityAnalysis[[#This Row],[Severidad preliminar basada en la superposición de privaciones sectoriales]]</f>
        <v>4</v>
      </c>
      <c r="AP76" s="417"/>
      <c r="AQ76" s="421" t="s">
        <v>876</v>
      </c>
      <c r="AR76" s="417">
        <v>5</v>
      </c>
    </row>
    <row r="77" spans="1:44" hidden="1">
      <c r="A7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VenezolanosVE0708</v>
      </c>
      <c r="B77" s="363" t="s">
        <v>180</v>
      </c>
      <c r="C77" s="323" t="s">
        <v>239</v>
      </c>
      <c r="D77" s="322" t="s">
        <v>254</v>
      </c>
      <c r="E77" s="323" t="s">
        <v>255</v>
      </c>
      <c r="F77" s="323"/>
      <c r="G77" s="324">
        <v>21750</v>
      </c>
      <c r="H77" s="324" t="s">
        <v>102</v>
      </c>
      <c r="I77" s="374">
        <v>3</v>
      </c>
      <c r="J77" s="237">
        <v>3</v>
      </c>
      <c r="K77" s="237">
        <v>3</v>
      </c>
      <c r="L77" s="237">
        <v>4</v>
      </c>
      <c r="M77" s="237">
        <v>4</v>
      </c>
      <c r="N77" s="237">
        <v>4</v>
      </c>
      <c r="O77" s="237">
        <v>4</v>
      </c>
      <c r="P77" s="237">
        <v>4</v>
      </c>
      <c r="Q77" s="382" t="str">
        <f>IF(COUNTIF(tblSeverityAnalysis[[#This Row],[SAMV]:[ASH]], 1)=0, "", COUNTIF(tblSeverityAnalysis[[#This Row],[SAMV]:[ASH]], 1))</f>
        <v/>
      </c>
      <c r="R77" s="325" t="str">
        <f>IF(COUNTIF(tblSeverityAnalysis[[#This Row],[SAMV]:[ASH]], 2)=0, "", COUNTIF(tblSeverityAnalysis[[#This Row],[SAMV]:[ASH]], 2))</f>
        <v/>
      </c>
      <c r="S77" s="325">
        <f>IF(COUNTIF(tblSeverityAnalysis[[#This Row],[SAMV]:[ASH]], 3)=0, "", COUNTIF(tblSeverityAnalysis[[#This Row],[SAMV]:[ASH]], 3))</f>
        <v>3</v>
      </c>
      <c r="T77" s="325">
        <f>IF(COUNTIF(tblSeverityAnalysis[[#This Row],[SAMV]:[ASH]], 4)=0, "", COUNTIF(tblSeverityAnalysis[[#This Row],[SAMV]:[ASH]], 4))</f>
        <v>3</v>
      </c>
      <c r="U77" s="383" t="str">
        <f>IF(COUNTIF(tblSeverityAnalysis[[#This Row],[SAMV]:[ASH]], 5)=0, "", COUNTIF(tblSeverityAnalysis[[#This Row],[SAMV]:[ASH]], 5))</f>
        <v/>
      </c>
      <c r="V77" s="375" cm="1">
        <f t="array" ref="V7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7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77" s="237" t="str">
        <f>IFERROR(IF(INDEX(tblSeverityReference[Severidad de la desnutrición],MATCH(tblSeverityAnalysis[[#This Row],[ID]], tblSeverityReference[ID], 0))= "", "",INDEX(tblSeverityReference[Severidad de la desnutrición],MATCH(tblSeverityAnalysis[[#This Row],[ID]], tblSeverityReference[ID], 0)) ), "")</f>
        <v/>
      </c>
      <c r="Y77" s="349" t="str">
        <f>IFERROR(IF(INDEX(tblSeverityReference[Severidad epidémica],MATCH(tblSeverityAnalysis[[#This Row],[ID]], tblSeverityReference[ID], 0))= "", "",INDEX(tblSeverityReference[Severidad epidémica],MATCH(tblSeverityAnalysis[[#This Row],[ID]], tblSeverityReference[ID], 0)) ), "")</f>
        <v/>
      </c>
      <c r="Z7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77" s="391" t="str">
        <f>IFERROR(IF(INDEX(tblSeverityReference[HR/IHL Violation],MATCH(tblSeverityAnalysis[[#This Row],[ID]], tblSeverityReference[ID], 0))= "", "",INDEX(tblSeverityReference[HR/IHL Violation],MATCH(tblSeverityAnalysis[[#This Row],[ID]], tblSeverityReference[ID], 0)) ), "")</f>
        <v/>
      </c>
      <c r="AB77" s="397">
        <f>IFERROR(AVERAGE(tblSeverityAnalysis[[#This Row],[SAMV]:[ASH]]), "")</f>
        <v>3.5</v>
      </c>
      <c r="AC77" s="346">
        <f>IF(SUM(tblSeverityAnalysis[[#This Row],[SAMV]:[ASH]])=0, "", MAX(tblSeverityAnalysis[[#This Row],[SAMV]:[ASH]]))</f>
        <v>4</v>
      </c>
      <c r="AD77" s="261" t="str" cm="1">
        <f t="array" ref="AD77">IFERROR(IF(tblSeverityAnalysis[[#This Row],[Severidad máxima]]="", "", _xlfn.TEXTJOIN(CHAR(10), TRUE, IF(tblSeverityAnalysis[[#This Row],[SAMV]:[ASH]]=tblSeverityAnalysis[[#This Row],[Severidad máxima]], tblSeverityAnalysis[[#Headers],[SAMV]:[ASH]], ""), "")), "")</f>
        <v>EDU
PRO
ASH</v>
      </c>
      <c r="AE77" s="346" cm="1">
        <f t="array" ref="AE77">IFERROR(MAX(_xlfn._xlws.FILTER(tblSeverityAnalysis[[#This Row],[SAMV]:[ASH]], tblSeverityAnalysis[[#This Row],[SAMV]:[ASH]]&lt;tblSeverityAnalysis[[#This Row],[Severidad máxima]])), "")</f>
        <v>3</v>
      </c>
      <c r="AF77" s="398" t="str" cm="1">
        <f t="array" ref="AF77">IFERROR(IF(tblSeverityAnalysis[[#This Row],[2ª mayor severidad]]="", "", _xlfn.TEXTJOIN(CHAR(10), TRUE, IF(tblSeverityAnalysis[[#This Row],[SAMV]:[ASH]]=tblSeverityAnalysis[[#This Row],[2ª mayor severidad]], tblSeverityAnalysis[[#Headers],[SAMV]:[ASH]], ""), "")), "")</f>
        <v>SAMV
NUT
SAL</v>
      </c>
      <c r="AG77" s="405" t="str">
        <f>IFERROR(IF(AND(tblSeverityAnalysis[[#This Row],[5]] &lt;&gt; "", tblSeverityAnalysis[[#This Row],[5]]&gt;=sectors_sev_5), "Flagged", ""), "")</f>
        <v/>
      </c>
      <c r="AH77" s="347" t="str">
        <f>IFERROR(IF(AND(tblSeverityAnalysis[[#This Row],[Severidad preliminar basada en la superposición de privaciones sectoriales]]=5, SUM(tblSeverityAnalysis[[#This Row],[ 1 ]:[ 4 ]])&gt;=sectors_sev_5), "Flagged", ""), "")</f>
        <v/>
      </c>
      <c r="AI77" s="348" t="str" cm="1">
        <f t="array" ref="AI7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7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77" s="350"/>
      <c r="AL77" s="351"/>
      <c r="AM77" s="350"/>
      <c r="AN77" s="407">
        <f>COUNTIF(tblSeverityAnalysis[[#This Row],[1 sectores en fase de severidad 5 '[modificar el umbral']]:[Marcador manual]], "Flagged")</f>
        <v>0</v>
      </c>
      <c r="AO77" s="418">
        <f>tblSeverityAnalysis[[#This Row],[Severidad preliminar basada en la superposición de privaciones sectoriales]]</f>
        <v>3</v>
      </c>
      <c r="AP77" s="417"/>
      <c r="AQ77" s="421" t="s">
        <v>876</v>
      </c>
      <c r="AR77" s="417">
        <v>4</v>
      </c>
    </row>
    <row r="78" spans="1:44" hidden="1">
      <c r="A7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VenezolanosVE0709</v>
      </c>
      <c r="B78" s="363" t="s">
        <v>180</v>
      </c>
      <c r="C78" s="323" t="s">
        <v>239</v>
      </c>
      <c r="D78" s="322" t="s">
        <v>256</v>
      </c>
      <c r="E78" s="323" t="s">
        <v>257</v>
      </c>
      <c r="F78" s="323"/>
      <c r="G78" s="324">
        <v>50082</v>
      </c>
      <c r="H78" s="324" t="s">
        <v>102</v>
      </c>
      <c r="I78" s="374">
        <v>3</v>
      </c>
      <c r="J78" s="237">
        <v>2</v>
      </c>
      <c r="K78" s="237">
        <v>4</v>
      </c>
      <c r="L78" s="237">
        <v>5</v>
      </c>
      <c r="M78" s="237">
        <v>4</v>
      </c>
      <c r="N78" s="237">
        <v>4</v>
      </c>
      <c r="O78" s="237">
        <v>4</v>
      </c>
      <c r="P78" s="237">
        <v>4</v>
      </c>
      <c r="Q78" s="382" t="str">
        <f>IF(COUNTIF(tblSeverityAnalysis[[#This Row],[SAMV]:[ASH]], 1)=0, "", COUNTIF(tblSeverityAnalysis[[#This Row],[SAMV]:[ASH]], 1))</f>
        <v/>
      </c>
      <c r="R78" s="325">
        <f>IF(COUNTIF(tblSeverityAnalysis[[#This Row],[SAMV]:[ASH]], 2)=0, "", COUNTIF(tblSeverityAnalysis[[#This Row],[SAMV]:[ASH]], 2))</f>
        <v>1</v>
      </c>
      <c r="S78" s="325">
        <f>IF(COUNTIF(tblSeverityAnalysis[[#This Row],[SAMV]:[ASH]], 3)=0, "", COUNTIF(tblSeverityAnalysis[[#This Row],[SAMV]:[ASH]], 3))</f>
        <v>1</v>
      </c>
      <c r="T78" s="325">
        <f>IF(COUNTIF(tblSeverityAnalysis[[#This Row],[SAMV]:[ASH]], 4)=0, "", COUNTIF(tblSeverityAnalysis[[#This Row],[SAMV]:[ASH]], 4))</f>
        <v>3</v>
      </c>
      <c r="U78" s="383">
        <f>IF(COUNTIF(tblSeverityAnalysis[[#This Row],[SAMV]:[ASH]], 5)=0, "", COUNTIF(tblSeverityAnalysis[[#This Row],[SAMV]:[ASH]], 5))</f>
        <v>1</v>
      </c>
      <c r="V78" s="375" cm="1">
        <f t="array" ref="V7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7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78" s="237" t="str">
        <f>IFERROR(IF(INDEX(tblSeverityReference[Severidad de la desnutrición],MATCH(tblSeverityAnalysis[[#This Row],[ID]], tblSeverityReference[ID], 0))= "", "",INDEX(tblSeverityReference[Severidad de la desnutrición],MATCH(tblSeverityAnalysis[[#This Row],[ID]], tblSeverityReference[ID], 0)) ), "")</f>
        <v/>
      </c>
      <c r="Y78" s="349" t="str">
        <f>IFERROR(IF(INDEX(tblSeverityReference[Severidad epidémica],MATCH(tblSeverityAnalysis[[#This Row],[ID]], tblSeverityReference[ID], 0))= "", "",INDEX(tblSeverityReference[Severidad epidémica],MATCH(tblSeverityAnalysis[[#This Row],[ID]], tblSeverityReference[ID], 0)) ), "")</f>
        <v/>
      </c>
      <c r="Z7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78" s="391" t="str">
        <f>IFERROR(IF(INDEX(tblSeverityReference[HR/IHL Violation],MATCH(tblSeverityAnalysis[[#This Row],[ID]], tblSeverityReference[ID], 0))= "", "",INDEX(tblSeverityReference[HR/IHL Violation],MATCH(tblSeverityAnalysis[[#This Row],[ID]], tblSeverityReference[ID], 0)) ), "")</f>
        <v/>
      </c>
      <c r="AB78" s="397">
        <f>IFERROR(AVERAGE(tblSeverityAnalysis[[#This Row],[SAMV]:[ASH]]), "")</f>
        <v>3.6666666666666665</v>
      </c>
      <c r="AC78" s="346">
        <f>IF(SUM(tblSeverityAnalysis[[#This Row],[SAMV]:[ASH]])=0, "", MAX(tblSeverityAnalysis[[#This Row],[SAMV]:[ASH]]))</f>
        <v>5</v>
      </c>
      <c r="AD78" s="261" t="str" cm="1">
        <f t="array" ref="AD78">IFERROR(IF(tblSeverityAnalysis[[#This Row],[Severidad máxima]]="", "", _xlfn.TEXTJOIN(CHAR(10), TRUE, IF(tblSeverityAnalysis[[#This Row],[SAMV]:[ASH]]=tblSeverityAnalysis[[#This Row],[Severidad máxima]], tblSeverityAnalysis[[#Headers],[SAMV]:[ASH]], ""), "")), "")</f>
        <v>EDU</v>
      </c>
      <c r="AE78" s="346" cm="1">
        <f t="array" ref="AE78">IFERROR(MAX(_xlfn._xlws.FILTER(tblSeverityAnalysis[[#This Row],[SAMV]:[ASH]], tblSeverityAnalysis[[#This Row],[SAMV]:[ASH]]&lt;tblSeverityAnalysis[[#This Row],[Severidad máxima]])), "")</f>
        <v>4</v>
      </c>
      <c r="AF78" s="398" t="str" cm="1">
        <f t="array" ref="AF78">IFERROR(IF(tblSeverityAnalysis[[#This Row],[2ª mayor severidad]]="", "", _xlfn.TEXTJOIN(CHAR(10), TRUE, IF(tblSeverityAnalysis[[#This Row],[SAMV]:[ASH]]=tblSeverityAnalysis[[#This Row],[2ª mayor severidad]], tblSeverityAnalysis[[#Headers],[SAMV]:[ASH]], ""), "")), "")</f>
        <v>SAL
PRO
ASH</v>
      </c>
      <c r="AG78" s="405" t="str">
        <f>IFERROR(IF(AND(tblSeverityAnalysis[[#This Row],[5]] &lt;&gt; "", tblSeverityAnalysis[[#This Row],[5]]&gt;=sectors_sev_5), "Flagged", ""), "")</f>
        <v/>
      </c>
      <c r="AH78" s="347" t="str">
        <f>IFERROR(IF(AND(tblSeverityAnalysis[[#This Row],[Severidad preliminar basada en la superposición de privaciones sectoriales]]=5, SUM(tblSeverityAnalysis[[#This Row],[ 1 ]:[ 4 ]])&gt;=sectors_sev_5), "Flagged", ""), "")</f>
        <v/>
      </c>
      <c r="AI78" s="348" t="str" cm="1">
        <f t="array" ref="AI7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7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78" s="350"/>
      <c r="AL78" s="351"/>
      <c r="AM78" s="350"/>
      <c r="AN78" s="407">
        <f>COUNTIF(tblSeverityAnalysis[[#This Row],[1 sectores en fase de severidad 5 '[modificar el umbral']]:[Marcador manual]], "Flagged")</f>
        <v>0</v>
      </c>
      <c r="AO78" s="418">
        <f>tblSeverityAnalysis[[#This Row],[Severidad preliminar basada en la superposición de privaciones sectoriales]]</f>
        <v>4</v>
      </c>
      <c r="AP78" s="417"/>
      <c r="AQ78" s="421" t="s">
        <v>875</v>
      </c>
      <c r="AR78" s="417">
        <v>4</v>
      </c>
    </row>
    <row r="79" spans="1:44" hidden="1">
      <c r="A7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VenezolanosVE0710</v>
      </c>
      <c r="B79" s="363" t="s">
        <v>180</v>
      </c>
      <c r="C79" s="323" t="s">
        <v>239</v>
      </c>
      <c r="D79" s="322" t="s">
        <v>203</v>
      </c>
      <c r="E79" s="323" t="s">
        <v>258</v>
      </c>
      <c r="F79" s="323"/>
      <c r="G79" s="324">
        <v>20359</v>
      </c>
      <c r="H79" s="324" t="s">
        <v>102</v>
      </c>
      <c r="I79" s="374">
        <v>3</v>
      </c>
      <c r="J79" s="237">
        <v>3</v>
      </c>
      <c r="K79" s="237">
        <v>4</v>
      </c>
      <c r="L79" s="237">
        <v>4</v>
      </c>
      <c r="M79" s="237">
        <v>4</v>
      </c>
      <c r="N79" s="237">
        <v>4</v>
      </c>
      <c r="O79" s="237">
        <v>4</v>
      </c>
      <c r="P79" s="237">
        <v>4</v>
      </c>
      <c r="Q79" s="382" t="str">
        <f>IF(COUNTIF(tblSeverityAnalysis[[#This Row],[SAMV]:[ASH]], 1)=0, "", COUNTIF(tblSeverityAnalysis[[#This Row],[SAMV]:[ASH]], 1))</f>
        <v/>
      </c>
      <c r="R79" s="325" t="str">
        <f>IF(COUNTIF(tblSeverityAnalysis[[#This Row],[SAMV]:[ASH]], 2)=0, "", COUNTIF(tblSeverityAnalysis[[#This Row],[SAMV]:[ASH]], 2))</f>
        <v/>
      </c>
      <c r="S79" s="325">
        <f>IF(COUNTIF(tblSeverityAnalysis[[#This Row],[SAMV]:[ASH]], 3)=0, "", COUNTIF(tblSeverityAnalysis[[#This Row],[SAMV]:[ASH]], 3))</f>
        <v>2</v>
      </c>
      <c r="T79" s="325">
        <f>IF(COUNTIF(tblSeverityAnalysis[[#This Row],[SAMV]:[ASH]], 4)=0, "", COUNTIF(tblSeverityAnalysis[[#This Row],[SAMV]:[ASH]], 4))</f>
        <v>4</v>
      </c>
      <c r="U79" s="383" t="str">
        <f>IF(COUNTIF(tblSeverityAnalysis[[#This Row],[SAMV]:[ASH]], 5)=0, "", COUNTIF(tblSeverityAnalysis[[#This Row],[SAMV]:[ASH]], 5))</f>
        <v/>
      </c>
      <c r="V79" s="375" cm="1">
        <f t="array" ref="V7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7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79" s="237" t="str">
        <f>IFERROR(IF(INDEX(tblSeverityReference[Severidad de la desnutrición],MATCH(tblSeverityAnalysis[[#This Row],[ID]], tblSeverityReference[ID], 0))= "", "",INDEX(tblSeverityReference[Severidad de la desnutrición],MATCH(tblSeverityAnalysis[[#This Row],[ID]], tblSeverityReference[ID], 0)) ), "")</f>
        <v/>
      </c>
      <c r="Y79" s="349" t="str">
        <f>IFERROR(IF(INDEX(tblSeverityReference[Severidad epidémica],MATCH(tblSeverityAnalysis[[#This Row],[ID]], tblSeverityReference[ID], 0))= "", "",INDEX(tblSeverityReference[Severidad epidémica],MATCH(tblSeverityAnalysis[[#This Row],[ID]], tblSeverityReference[ID], 0)) ), "")</f>
        <v/>
      </c>
      <c r="Z7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79" s="391" t="str">
        <f>IFERROR(IF(INDEX(tblSeverityReference[HR/IHL Violation],MATCH(tblSeverityAnalysis[[#This Row],[ID]], tblSeverityReference[ID], 0))= "", "",INDEX(tblSeverityReference[HR/IHL Violation],MATCH(tblSeverityAnalysis[[#This Row],[ID]], tblSeverityReference[ID], 0)) ), "")</f>
        <v/>
      </c>
      <c r="AB79" s="397">
        <f>IFERROR(AVERAGE(tblSeverityAnalysis[[#This Row],[SAMV]:[ASH]]), "")</f>
        <v>3.6666666666666665</v>
      </c>
      <c r="AC79" s="346">
        <f>IF(SUM(tblSeverityAnalysis[[#This Row],[SAMV]:[ASH]])=0, "", MAX(tblSeverityAnalysis[[#This Row],[SAMV]:[ASH]]))</f>
        <v>4</v>
      </c>
      <c r="AD79" s="261" t="str" cm="1">
        <f t="array" ref="AD79">IFERROR(IF(tblSeverityAnalysis[[#This Row],[Severidad máxima]]="", "", _xlfn.TEXTJOIN(CHAR(10), TRUE, IF(tblSeverityAnalysis[[#This Row],[SAMV]:[ASH]]=tblSeverityAnalysis[[#This Row],[Severidad máxima]], tblSeverityAnalysis[[#Headers],[SAMV]:[ASH]], ""), "")), "")</f>
        <v>SAL
EDU
PRO
ASH</v>
      </c>
      <c r="AE79" s="346" cm="1">
        <f t="array" ref="AE79">IFERROR(MAX(_xlfn._xlws.FILTER(tblSeverityAnalysis[[#This Row],[SAMV]:[ASH]], tblSeverityAnalysis[[#This Row],[SAMV]:[ASH]]&lt;tblSeverityAnalysis[[#This Row],[Severidad máxima]])), "")</f>
        <v>3</v>
      </c>
      <c r="AF79" s="398" t="str" cm="1">
        <f t="array" ref="AF79">IFERROR(IF(tblSeverityAnalysis[[#This Row],[2ª mayor severidad]]="", "", _xlfn.TEXTJOIN(CHAR(10), TRUE, IF(tblSeverityAnalysis[[#This Row],[SAMV]:[ASH]]=tblSeverityAnalysis[[#This Row],[2ª mayor severidad]], tblSeverityAnalysis[[#Headers],[SAMV]:[ASH]], ""), "")), "")</f>
        <v>SAMV
NUT</v>
      </c>
      <c r="AG79" s="405" t="str">
        <f>IFERROR(IF(AND(tblSeverityAnalysis[[#This Row],[5]] &lt;&gt; "", tblSeverityAnalysis[[#This Row],[5]]&gt;=sectors_sev_5), "Flagged", ""), "")</f>
        <v/>
      </c>
      <c r="AH79" s="347" t="str">
        <f>IFERROR(IF(AND(tblSeverityAnalysis[[#This Row],[Severidad preliminar basada en la superposición de privaciones sectoriales]]=5, SUM(tblSeverityAnalysis[[#This Row],[ 1 ]:[ 4 ]])&gt;=sectors_sev_5), "Flagged", ""), "")</f>
        <v/>
      </c>
      <c r="AI79" s="348" t="str" cm="1">
        <f t="array" ref="AI7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7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79" s="350"/>
      <c r="AL79" s="351"/>
      <c r="AM79" s="350"/>
      <c r="AN79" s="407">
        <f>COUNTIF(tblSeverityAnalysis[[#This Row],[1 sectores en fase de severidad 5 '[modificar el umbral']]:[Marcador manual]], "Flagged")</f>
        <v>0</v>
      </c>
      <c r="AO79" s="418">
        <f>tblSeverityAnalysis[[#This Row],[Severidad preliminar basada en la superposición de privaciones sectoriales]]</f>
        <v>4</v>
      </c>
      <c r="AP79" s="417"/>
      <c r="AQ79" s="421" t="s">
        <v>875</v>
      </c>
      <c r="AR79" s="417">
        <v>4</v>
      </c>
    </row>
    <row r="80" spans="1:44" hidden="1">
      <c r="A8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VenezolanosVE0711</v>
      </c>
      <c r="B80" s="363" t="s">
        <v>180</v>
      </c>
      <c r="C80" s="323" t="s">
        <v>239</v>
      </c>
      <c r="D80" s="322" t="s">
        <v>259</v>
      </c>
      <c r="E80" s="323" t="s">
        <v>260</v>
      </c>
      <c r="F80" s="323"/>
      <c r="G80" s="324">
        <v>15488</v>
      </c>
      <c r="H80" s="324" t="s">
        <v>102</v>
      </c>
      <c r="I80" s="374">
        <v>4</v>
      </c>
      <c r="J80" s="237">
        <v>1</v>
      </c>
      <c r="K80" s="237">
        <v>3</v>
      </c>
      <c r="L80" s="237">
        <v>4</v>
      </c>
      <c r="M80" s="237">
        <v>4</v>
      </c>
      <c r="N80" s="237">
        <v>3</v>
      </c>
      <c r="O80" s="237">
        <v>4</v>
      </c>
      <c r="P80" s="237">
        <v>4</v>
      </c>
      <c r="Q80" s="382">
        <f>IF(COUNTIF(tblSeverityAnalysis[[#This Row],[SAMV]:[ASH]], 1)=0, "", COUNTIF(tblSeverityAnalysis[[#This Row],[SAMV]:[ASH]], 1))</f>
        <v>1</v>
      </c>
      <c r="R80" s="325" t="str">
        <f>IF(COUNTIF(tblSeverityAnalysis[[#This Row],[SAMV]:[ASH]], 2)=0, "", COUNTIF(tblSeverityAnalysis[[#This Row],[SAMV]:[ASH]], 2))</f>
        <v/>
      </c>
      <c r="S80" s="325">
        <f>IF(COUNTIF(tblSeverityAnalysis[[#This Row],[SAMV]:[ASH]], 3)=0, "", COUNTIF(tblSeverityAnalysis[[#This Row],[SAMV]:[ASH]], 3))</f>
        <v>2</v>
      </c>
      <c r="T80" s="325">
        <f>IF(COUNTIF(tblSeverityAnalysis[[#This Row],[SAMV]:[ASH]], 4)=0, "", COUNTIF(tblSeverityAnalysis[[#This Row],[SAMV]:[ASH]], 4))</f>
        <v>3</v>
      </c>
      <c r="U80" s="383" t="str">
        <f>IF(COUNTIF(tblSeverityAnalysis[[#This Row],[SAMV]:[ASH]], 5)=0, "", COUNTIF(tblSeverityAnalysis[[#This Row],[SAMV]:[ASH]], 5))</f>
        <v/>
      </c>
      <c r="V80" s="375" cm="1">
        <f t="array" ref="V8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8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80" s="237" t="str">
        <f>IFERROR(IF(INDEX(tblSeverityReference[Severidad de la desnutrición],MATCH(tblSeverityAnalysis[[#This Row],[ID]], tblSeverityReference[ID], 0))= "", "",INDEX(tblSeverityReference[Severidad de la desnutrición],MATCH(tblSeverityAnalysis[[#This Row],[ID]], tblSeverityReference[ID], 0)) ), "")</f>
        <v/>
      </c>
      <c r="Y80" s="349" t="str">
        <f>IFERROR(IF(INDEX(tblSeverityReference[Severidad epidémica],MATCH(tblSeverityAnalysis[[#This Row],[ID]], tblSeverityReference[ID], 0))= "", "",INDEX(tblSeverityReference[Severidad epidémica],MATCH(tblSeverityAnalysis[[#This Row],[ID]], tblSeverityReference[ID], 0)) ), "")</f>
        <v/>
      </c>
      <c r="Z8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80" s="391" t="str">
        <f>IFERROR(IF(INDEX(tblSeverityReference[HR/IHL Violation],MATCH(tblSeverityAnalysis[[#This Row],[ID]], tblSeverityReference[ID], 0))= "", "",INDEX(tblSeverityReference[HR/IHL Violation],MATCH(tblSeverityAnalysis[[#This Row],[ID]], tblSeverityReference[ID], 0)) ), "")</f>
        <v/>
      </c>
      <c r="AB80" s="397">
        <f>IFERROR(AVERAGE(tblSeverityAnalysis[[#This Row],[SAMV]:[ASH]]), "")</f>
        <v>3.1666666666666665</v>
      </c>
      <c r="AC80" s="346">
        <f>IF(SUM(tblSeverityAnalysis[[#This Row],[SAMV]:[ASH]])=0, "", MAX(tblSeverityAnalysis[[#This Row],[SAMV]:[ASH]]))</f>
        <v>4</v>
      </c>
      <c r="AD80" s="261" t="str" cm="1">
        <f t="array" ref="AD80">IFERROR(IF(tblSeverityAnalysis[[#This Row],[Severidad máxima]]="", "", _xlfn.TEXTJOIN(CHAR(10), TRUE, IF(tblSeverityAnalysis[[#This Row],[SAMV]:[ASH]]=tblSeverityAnalysis[[#This Row],[Severidad máxima]], tblSeverityAnalysis[[#Headers],[SAMV]:[ASH]], ""), "")), "")</f>
        <v>SAMV
EDU
PRO</v>
      </c>
      <c r="AE80" s="346" cm="1">
        <f t="array" ref="AE80">IFERROR(MAX(_xlfn._xlws.FILTER(tblSeverityAnalysis[[#This Row],[SAMV]:[ASH]], tblSeverityAnalysis[[#This Row],[SAMV]:[ASH]]&lt;tblSeverityAnalysis[[#This Row],[Severidad máxima]])), "")</f>
        <v>3</v>
      </c>
      <c r="AF80" s="398" t="str" cm="1">
        <f t="array" ref="AF80">IFERROR(IF(tblSeverityAnalysis[[#This Row],[2ª mayor severidad]]="", "", _xlfn.TEXTJOIN(CHAR(10), TRUE, IF(tblSeverityAnalysis[[#This Row],[SAMV]:[ASH]]=tblSeverityAnalysis[[#This Row],[2ª mayor severidad]], tblSeverityAnalysis[[#Headers],[SAMV]:[ASH]], ""), "")), "")</f>
        <v>SAL
ASH</v>
      </c>
      <c r="AG80" s="405" t="str">
        <f>IFERROR(IF(AND(tblSeverityAnalysis[[#This Row],[5]] &lt;&gt; "", tblSeverityAnalysis[[#This Row],[5]]&gt;=sectors_sev_5), "Flagged", ""), "")</f>
        <v/>
      </c>
      <c r="AH80" s="347" t="str">
        <f>IFERROR(IF(AND(tblSeverityAnalysis[[#This Row],[Severidad preliminar basada en la superposición de privaciones sectoriales]]=5, SUM(tblSeverityAnalysis[[#This Row],[ 1 ]:[ 4 ]])&gt;=sectors_sev_5), "Flagged", ""), "")</f>
        <v/>
      </c>
      <c r="AI80" s="348" t="str" cm="1">
        <f t="array" ref="AI8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8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80" s="350"/>
      <c r="AL80" s="351"/>
      <c r="AM80" s="350"/>
      <c r="AN80" s="407">
        <f>COUNTIF(tblSeverityAnalysis[[#This Row],[1 sectores en fase de severidad 5 '[modificar el umbral']]:[Marcador manual]], "Flagged")</f>
        <v>0</v>
      </c>
      <c r="AO80" s="418">
        <f>tblSeverityAnalysis[[#This Row],[Severidad preliminar basada en la superposición de privaciones sectoriales]]</f>
        <v>3</v>
      </c>
      <c r="AP80" s="417"/>
      <c r="AQ80" s="421" t="s">
        <v>876</v>
      </c>
      <c r="AR80" s="417">
        <v>3</v>
      </c>
    </row>
    <row r="81" spans="1:44" hidden="1">
      <c r="A8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VenezolanosVE0801</v>
      </c>
      <c r="B81" s="363" t="s">
        <v>261</v>
      </c>
      <c r="C81" s="323" t="s">
        <v>262</v>
      </c>
      <c r="D81" s="322" t="s">
        <v>263</v>
      </c>
      <c r="E81" s="323" t="s">
        <v>264</v>
      </c>
      <c r="F81" s="323"/>
      <c r="G81" s="324">
        <v>48538</v>
      </c>
      <c r="H81" s="324" t="s">
        <v>102</v>
      </c>
      <c r="I81" s="374">
        <v>2</v>
      </c>
      <c r="J81" s="237">
        <v>2</v>
      </c>
      <c r="K81" s="237">
        <v>3</v>
      </c>
      <c r="L81" s="237">
        <v>4</v>
      </c>
      <c r="M81" s="237">
        <v>3</v>
      </c>
      <c r="N81" s="237">
        <v>2</v>
      </c>
      <c r="O81" s="237">
        <v>3</v>
      </c>
      <c r="P81" s="237">
        <v>3</v>
      </c>
      <c r="Q81" s="382" t="str">
        <f>IF(COUNTIF(tblSeverityAnalysis[[#This Row],[SAMV]:[ASH]], 1)=0, "", COUNTIF(tblSeverityAnalysis[[#This Row],[SAMV]:[ASH]], 1))</f>
        <v/>
      </c>
      <c r="R81" s="325">
        <f>IF(COUNTIF(tblSeverityAnalysis[[#This Row],[SAMV]:[ASH]], 2)=0, "", COUNTIF(tblSeverityAnalysis[[#This Row],[SAMV]:[ASH]], 2))</f>
        <v>3</v>
      </c>
      <c r="S81" s="325">
        <f>IF(COUNTIF(tblSeverityAnalysis[[#This Row],[SAMV]:[ASH]], 3)=0, "", COUNTIF(tblSeverityAnalysis[[#This Row],[SAMV]:[ASH]], 3))</f>
        <v>2</v>
      </c>
      <c r="T81" s="325">
        <f>IF(COUNTIF(tblSeverityAnalysis[[#This Row],[SAMV]:[ASH]], 4)=0, "", COUNTIF(tblSeverityAnalysis[[#This Row],[SAMV]:[ASH]], 4))</f>
        <v>1</v>
      </c>
      <c r="U81" s="383" t="str">
        <f>IF(COUNTIF(tblSeverityAnalysis[[#This Row],[SAMV]:[ASH]], 5)=0, "", COUNTIF(tblSeverityAnalysis[[#This Row],[SAMV]:[ASH]], 5))</f>
        <v/>
      </c>
      <c r="V81" s="375" cm="1">
        <f t="array" ref="V8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8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81" s="237" t="str">
        <f>IFERROR(IF(INDEX(tblSeverityReference[Severidad de la desnutrición],MATCH(tblSeverityAnalysis[[#This Row],[ID]], tblSeverityReference[ID], 0))= "", "",INDEX(tblSeverityReference[Severidad de la desnutrición],MATCH(tblSeverityAnalysis[[#This Row],[ID]], tblSeverityReference[ID], 0)) ), "")</f>
        <v/>
      </c>
      <c r="Y81" s="349" t="str">
        <f>IFERROR(IF(INDEX(tblSeverityReference[Severidad epidémica],MATCH(tblSeverityAnalysis[[#This Row],[ID]], tblSeverityReference[ID], 0))= "", "",INDEX(tblSeverityReference[Severidad epidémica],MATCH(tblSeverityAnalysis[[#This Row],[ID]], tblSeverityReference[ID], 0)) ), "")</f>
        <v/>
      </c>
      <c r="Z8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81" s="391" t="str">
        <f>IFERROR(IF(INDEX(tblSeverityReference[HR/IHL Violation],MATCH(tblSeverityAnalysis[[#This Row],[ID]], tblSeverityReference[ID], 0))= "", "",INDEX(tblSeverityReference[HR/IHL Violation],MATCH(tblSeverityAnalysis[[#This Row],[ID]], tblSeverityReference[ID], 0)) ), "")</f>
        <v/>
      </c>
      <c r="AB81" s="397">
        <f>IFERROR(AVERAGE(tblSeverityAnalysis[[#This Row],[SAMV]:[ASH]]), "")</f>
        <v>2.6666666666666665</v>
      </c>
      <c r="AC81" s="346">
        <f>IF(SUM(tblSeverityAnalysis[[#This Row],[SAMV]:[ASH]])=0, "", MAX(tblSeverityAnalysis[[#This Row],[SAMV]:[ASH]]))</f>
        <v>4</v>
      </c>
      <c r="AD81" s="261" t="str" cm="1">
        <f t="array" ref="AD81">IFERROR(IF(tblSeverityAnalysis[[#This Row],[Severidad máxima]]="", "", _xlfn.TEXTJOIN(CHAR(10), TRUE, IF(tblSeverityAnalysis[[#This Row],[SAMV]:[ASH]]=tblSeverityAnalysis[[#This Row],[Severidad máxima]], tblSeverityAnalysis[[#Headers],[SAMV]:[ASH]], ""), "")), "")</f>
        <v>EDU</v>
      </c>
      <c r="AE81" s="346" cm="1">
        <f t="array" ref="AE81">IFERROR(MAX(_xlfn._xlws.FILTER(tblSeverityAnalysis[[#This Row],[SAMV]:[ASH]], tblSeverityAnalysis[[#This Row],[SAMV]:[ASH]]&lt;tblSeverityAnalysis[[#This Row],[Severidad máxima]])), "")</f>
        <v>3</v>
      </c>
      <c r="AF81" s="398" t="str" cm="1">
        <f t="array" ref="AF81">IFERROR(IF(tblSeverityAnalysis[[#This Row],[2ª mayor severidad]]="", "", _xlfn.TEXTJOIN(CHAR(10), TRUE, IF(tblSeverityAnalysis[[#This Row],[SAMV]:[ASH]]=tblSeverityAnalysis[[#This Row],[2ª mayor severidad]], tblSeverityAnalysis[[#Headers],[SAMV]:[ASH]], ""), "")), "")</f>
        <v>SAL
PRO</v>
      </c>
      <c r="AG81" s="405" t="str">
        <f>IFERROR(IF(AND(tblSeverityAnalysis[[#This Row],[5]] &lt;&gt; "", tblSeverityAnalysis[[#This Row],[5]]&gt;=sectors_sev_5), "Flagged", ""), "")</f>
        <v/>
      </c>
      <c r="AH81" s="347" t="str">
        <f>IFERROR(IF(AND(tblSeverityAnalysis[[#This Row],[Severidad preliminar basada en la superposición de privaciones sectoriales]]=5, SUM(tblSeverityAnalysis[[#This Row],[ 1 ]:[ 4 ]])&gt;=sectors_sev_5), "Flagged", ""), "")</f>
        <v/>
      </c>
      <c r="AI81" s="348" t="str" cm="1">
        <f t="array" ref="AI8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8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81" s="350"/>
      <c r="AL81" s="351"/>
      <c r="AM81" s="350"/>
      <c r="AN81" s="407">
        <f>COUNTIF(tblSeverityAnalysis[[#This Row],[1 sectores en fase de severidad 5 '[modificar el umbral']]:[Marcador manual]], "Flagged")</f>
        <v>0</v>
      </c>
      <c r="AO81" s="418">
        <f>tblSeverityAnalysis[[#This Row],[Severidad preliminar basada en la superposición de privaciones sectoriales]]</f>
        <v>2</v>
      </c>
      <c r="AP81" s="417"/>
      <c r="AQ81" s="421" t="s">
        <v>876</v>
      </c>
      <c r="AR81" s="417">
        <v>3</v>
      </c>
    </row>
    <row r="82" spans="1:44" hidden="1">
      <c r="A8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VenezolanosVE0802</v>
      </c>
      <c r="B82" s="363" t="s">
        <v>261</v>
      </c>
      <c r="C82" s="323" t="s">
        <v>262</v>
      </c>
      <c r="D82" s="322" t="s">
        <v>265</v>
      </c>
      <c r="E82" s="323" t="s">
        <v>266</v>
      </c>
      <c r="F82" s="323"/>
      <c r="G82" s="324">
        <v>150277</v>
      </c>
      <c r="H82" s="324" t="s">
        <v>102</v>
      </c>
      <c r="I82" s="374">
        <v>2</v>
      </c>
      <c r="J82" s="237">
        <v>3</v>
      </c>
      <c r="K82" s="237">
        <v>3</v>
      </c>
      <c r="L82" s="237">
        <v>3</v>
      </c>
      <c r="M82" s="237">
        <v>3</v>
      </c>
      <c r="N82" s="237">
        <v>2</v>
      </c>
      <c r="O82" s="237">
        <v>3</v>
      </c>
      <c r="P82" s="237">
        <v>3</v>
      </c>
      <c r="Q82" s="382" t="str">
        <f>IF(COUNTIF(tblSeverityAnalysis[[#This Row],[SAMV]:[ASH]], 1)=0, "", COUNTIF(tblSeverityAnalysis[[#This Row],[SAMV]:[ASH]], 1))</f>
        <v/>
      </c>
      <c r="R82" s="325">
        <f>IF(COUNTIF(tblSeverityAnalysis[[#This Row],[SAMV]:[ASH]], 2)=0, "", COUNTIF(tblSeverityAnalysis[[#This Row],[SAMV]:[ASH]], 2))</f>
        <v>2</v>
      </c>
      <c r="S82" s="325">
        <f>IF(COUNTIF(tblSeverityAnalysis[[#This Row],[SAMV]:[ASH]], 3)=0, "", COUNTIF(tblSeverityAnalysis[[#This Row],[SAMV]:[ASH]], 3))</f>
        <v>4</v>
      </c>
      <c r="T82" s="325" t="str">
        <f>IF(COUNTIF(tblSeverityAnalysis[[#This Row],[SAMV]:[ASH]], 4)=0, "", COUNTIF(tblSeverityAnalysis[[#This Row],[SAMV]:[ASH]], 4))</f>
        <v/>
      </c>
      <c r="U82" s="383" t="str">
        <f>IF(COUNTIF(tblSeverityAnalysis[[#This Row],[SAMV]:[ASH]], 5)=0, "", COUNTIF(tblSeverityAnalysis[[#This Row],[SAMV]:[ASH]], 5))</f>
        <v/>
      </c>
      <c r="V82" s="375" cm="1">
        <f t="array" ref="V8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8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82" s="237" t="str">
        <f>IFERROR(IF(INDEX(tblSeverityReference[Severidad de la desnutrición],MATCH(tblSeverityAnalysis[[#This Row],[ID]], tblSeverityReference[ID], 0))= "", "",INDEX(tblSeverityReference[Severidad de la desnutrición],MATCH(tblSeverityAnalysis[[#This Row],[ID]], tblSeverityReference[ID], 0)) ), "")</f>
        <v/>
      </c>
      <c r="Y82" s="349" t="str">
        <f>IFERROR(IF(INDEX(tblSeverityReference[Severidad epidémica],MATCH(tblSeverityAnalysis[[#This Row],[ID]], tblSeverityReference[ID], 0))= "", "",INDEX(tblSeverityReference[Severidad epidémica],MATCH(tblSeverityAnalysis[[#This Row],[ID]], tblSeverityReference[ID], 0)) ), "")</f>
        <v/>
      </c>
      <c r="Z8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82" s="391" t="str">
        <f>IFERROR(IF(INDEX(tblSeverityReference[HR/IHL Violation],MATCH(tblSeverityAnalysis[[#This Row],[ID]], tblSeverityReference[ID], 0))= "", "",INDEX(tblSeverityReference[HR/IHL Violation],MATCH(tblSeverityAnalysis[[#This Row],[ID]], tblSeverityReference[ID], 0)) ), "")</f>
        <v/>
      </c>
      <c r="AB82" s="397">
        <f>IFERROR(AVERAGE(tblSeverityAnalysis[[#This Row],[SAMV]:[ASH]]), "")</f>
        <v>2.6666666666666665</v>
      </c>
      <c r="AC82" s="346">
        <f>IF(SUM(tblSeverityAnalysis[[#This Row],[SAMV]:[ASH]])=0, "", MAX(tblSeverityAnalysis[[#This Row],[SAMV]:[ASH]]))</f>
        <v>3</v>
      </c>
      <c r="AD82" s="261" t="str" cm="1">
        <f t="array" ref="AD82">IFERROR(IF(tblSeverityAnalysis[[#This Row],[Severidad máxima]]="", "", _xlfn.TEXTJOIN(CHAR(10), TRUE, IF(tblSeverityAnalysis[[#This Row],[SAMV]:[ASH]]=tblSeverityAnalysis[[#This Row],[Severidad máxima]], tblSeverityAnalysis[[#Headers],[SAMV]:[ASH]], ""), "")), "")</f>
        <v>NUT
SAL
EDU
PRO</v>
      </c>
      <c r="AE82" s="346" cm="1">
        <f t="array" ref="AE82">IFERROR(MAX(_xlfn._xlws.FILTER(tblSeverityAnalysis[[#This Row],[SAMV]:[ASH]], tblSeverityAnalysis[[#This Row],[SAMV]:[ASH]]&lt;tblSeverityAnalysis[[#This Row],[Severidad máxima]])), "")</f>
        <v>2</v>
      </c>
      <c r="AF82" s="398" t="str" cm="1">
        <f t="array" ref="AF82">IFERROR(IF(tblSeverityAnalysis[[#This Row],[2ª mayor severidad]]="", "", _xlfn.TEXTJOIN(CHAR(10), TRUE, IF(tblSeverityAnalysis[[#This Row],[SAMV]:[ASH]]=tblSeverityAnalysis[[#This Row],[2ª mayor severidad]], tblSeverityAnalysis[[#Headers],[SAMV]:[ASH]], ""), "")), "")</f>
        <v>SAMV
ASH</v>
      </c>
      <c r="AG82" s="405" t="str">
        <f>IFERROR(IF(AND(tblSeverityAnalysis[[#This Row],[5]] &lt;&gt; "", tblSeverityAnalysis[[#This Row],[5]]&gt;=sectors_sev_5), "Flagged", ""), "")</f>
        <v/>
      </c>
      <c r="AH82" s="347" t="str">
        <f>IFERROR(IF(AND(tblSeverityAnalysis[[#This Row],[Severidad preliminar basada en la superposición de privaciones sectoriales]]=5, SUM(tblSeverityAnalysis[[#This Row],[ 1 ]:[ 4 ]])&gt;=sectors_sev_5), "Flagged", ""), "")</f>
        <v/>
      </c>
      <c r="AI82" s="348" t="str" cm="1">
        <f t="array" ref="AI8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8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82" s="350"/>
      <c r="AL82" s="351"/>
      <c r="AM82" s="350"/>
      <c r="AN82" s="407">
        <f>COUNTIF(tblSeverityAnalysis[[#This Row],[1 sectores en fase de severidad 5 '[modificar el umbral']]:[Marcador manual]], "Flagged")</f>
        <v>0</v>
      </c>
      <c r="AO82" s="418">
        <f>tblSeverityAnalysis[[#This Row],[Severidad preliminar basada en la superposición de privaciones sectoriales]]</f>
        <v>3</v>
      </c>
      <c r="AP82" s="417"/>
      <c r="AQ82" s="421" t="s">
        <v>876</v>
      </c>
      <c r="AR82" s="417">
        <v>3</v>
      </c>
    </row>
    <row r="83" spans="1:44" hidden="1">
      <c r="A8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VenezolanosVE0803</v>
      </c>
      <c r="B83" s="363" t="s">
        <v>261</v>
      </c>
      <c r="C83" s="323" t="s">
        <v>262</v>
      </c>
      <c r="D83" s="322" t="s">
        <v>267</v>
      </c>
      <c r="E83" s="323" t="s">
        <v>268</v>
      </c>
      <c r="F83" s="323"/>
      <c r="G83" s="324">
        <v>104536</v>
      </c>
      <c r="H83" s="324" t="s">
        <v>102</v>
      </c>
      <c r="I83" s="374">
        <v>2</v>
      </c>
      <c r="J83" s="237">
        <v>2</v>
      </c>
      <c r="K83" s="237">
        <v>3</v>
      </c>
      <c r="L83" s="237">
        <v>4</v>
      </c>
      <c r="M83" s="237">
        <v>4</v>
      </c>
      <c r="N83" s="237">
        <v>2</v>
      </c>
      <c r="O83" s="237">
        <v>4</v>
      </c>
      <c r="P83" s="237">
        <v>4</v>
      </c>
      <c r="Q83" s="382" t="str">
        <f>IF(COUNTIF(tblSeverityAnalysis[[#This Row],[SAMV]:[ASH]], 1)=0, "", COUNTIF(tblSeverityAnalysis[[#This Row],[SAMV]:[ASH]], 1))</f>
        <v/>
      </c>
      <c r="R83" s="325">
        <f>IF(COUNTIF(tblSeverityAnalysis[[#This Row],[SAMV]:[ASH]], 2)=0, "", COUNTIF(tblSeverityAnalysis[[#This Row],[SAMV]:[ASH]], 2))</f>
        <v>3</v>
      </c>
      <c r="S83" s="325">
        <f>IF(COUNTIF(tblSeverityAnalysis[[#This Row],[SAMV]:[ASH]], 3)=0, "", COUNTIF(tblSeverityAnalysis[[#This Row],[SAMV]:[ASH]], 3))</f>
        <v>1</v>
      </c>
      <c r="T83" s="325">
        <f>IF(COUNTIF(tblSeverityAnalysis[[#This Row],[SAMV]:[ASH]], 4)=0, "", COUNTIF(tblSeverityAnalysis[[#This Row],[SAMV]:[ASH]], 4))</f>
        <v>2</v>
      </c>
      <c r="U83" s="383" t="str">
        <f>IF(COUNTIF(tblSeverityAnalysis[[#This Row],[SAMV]:[ASH]], 5)=0, "", COUNTIF(tblSeverityAnalysis[[#This Row],[SAMV]:[ASH]], 5))</f>
        <v/>
      </c>
      <c r="V83" s="375" cm="1">
        <f t="array" ref="V8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8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83" s="237" t="str">
        <f>IFERROR(IF(INDEX(tblSeverityReference[Severidad de la desnutrición],MATCH(tblSeverityAnalysis[[#This Row],[ID]], tblSeverityReference[ID], 0))= "", "",INDEX(tblSeverityReference[Severidad de la desnutrición],MATCH(tblSeverityAnalysis[[#This Row],[ID]], tblSeverityReference[ID], 0)) ), "")</f>
        <v/>
      </c>
      <c r="Y83" s="349" t="str">
        <f>IFERROR(IF(INDEX(tblSeverityReference[Severidad epidémica],MATCH(tblSeverityAnalysis[[#This Row],[ID]], tblSeverityReference[ID], 0))= "", "",INDEX(tblSeverityReference[Severidad epidémica],MATCH(tblSeverityAnalysis[[#This Row],[ID]], tblSeverityReference[ID], 0)) ), "")</f>
        <v/>
      </c>
      <c r="Z8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83" s="391" t="str">
        <f>IFERROR(IF(INDEX(tblSeverityReference[HR/IHL Violation],MATCH(tblSeverityAnalysis[[#This Row],[ID]], tblSeverityReference[ID], 0))= "", "",INDEX(tblSeverityReference[HR/IHL Violation],MATCH(tblSeverityAnalysis[[#This Row],[ID]], tblSeverityReference[ID], 0)) ), "")</f>
        <v/>
      </c>
      <c r="AB83" s="397">
        <f>IFERROR(AVERAGE(tblSeverityAnalysis[[#This Row],[SAMV]:[ASH]]), "")</f>
        <v>2.8333333333333335</v>
      </c>
      <c r="AC83" s="346">
        <f>IF(SUM(tblSeverityAnalysis[[#This Row],[SAMV]:[ASH]])=0, "", MAX(tblSeverityAnalysis[[#This Row],[SAMV]:[ASH]]))</f>
        <v>4</v>
      </c>
      <c r="AD83" s="261" t="str" cm="1">
        <f t="array" ref="AD83">IFERROR(IF(tblSeverityAnalysis[[#This Row],[Severidad máxima]]="", "", _xlfn.TEXTJOIN(CHAR(10), TRUE, IF(tblSeverityAnalysis[[#This Row],[SAMV]:[ASH]]=tblSeverityAnalysis[[#This Row],[Severidad máxima]], tblSeverityAnalysis[[#Headers],[SAMV]:[ASH]], ""), "")), "")</f>
        <v>EDU
PRO</v>
      </c>
      <c r="AE83" s="346" cm="1">
        <f t="array" ref="AE83">IFERROR(MAX(_xlfn._xlws.FILTER(tblSeverityAnalysis[[#This Row],[SAMV]:[ASH]], tblSeverityAnalysis[[#This Row],[SAMV]:[ASH]]&lt;tblSeverityAnalysis[[#This Row],[Severidad máxima]])), "")</f>
        <v>3</v>
      </c>
      <c r="AF83" s="398" t="str" cm="1">
        <f t="array" ref="AF83">IFERROR(IF(tblSeverityAnalysis[[#This Row],[2ª mayor severidad]]="", "", _xlfn.TEXTJOIN(CHAR(10), TRUE, IF(tblSeverityAnalysis[[#This Row],[SAMV]:[ASH]]=tblSeverityAnalysis[[#This Row],[2ª mayor severidad]], tblSeverityAnalysis[[#Headers],[SAMV]:[ASH]], ""), "")), "")</f>
        <v>SAL</v>
      </c>
      <c r="AG83" s="405" t="str">
        <f>IFERROR(IF(AND(tblSeverityAnalysis[[#This Row],[5]] &lt;&gt; "", tblSeverityAnalysis[[#This Row],[5]]&gt;=sectors_sev_5), "Flagged", ""), "")</f>
        <v/>
      </c>
      <c r="AH83" s="347" t="str">
        <f>IFERROR(IF(AND(tblSeverityAnalysis[[#This Row],[Severidad preliminar basada en la superposición de privaciones sectoriales]]=5, SUM(tblSeverityAnalysis[[#This Row],[ 1 ]:[ 4 ]])&gt;=sectors_sev_5), "Flagged", ""), "")</f>
        <v/>
      </c>
      <c r="AI83" s="348" t="str" cm="1">
        <f t="array" ref="AI8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8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83" s="350"/>
      <c r="AL83" s="351"/>
      <c r="AM83" s="350"/>
      <c r="AN83" s="407">
        <f>COUNTIF(tblSeverityAnalysis[[#This Row],[1 sectores en fase de severidad 5 '[modificar el umbral']]:[Marcador manual]], "Flagged")</f>
        <v>0</v>
      </c>
      <c r="AO83" s="418">
        <f>tblSeverityAnalysis[[#This Row],[Severidad preliminar basada en la superposición de privaciones sectoriales]]</f>
        <v>2</v>
      </c>
      <c r="AP83" s="417"/>
      <c r="AQ83" s="421" t="s">
        <v>876</v>
      </c>
      <c r="AR83" s="417">
        <v>3</v>
      </c>
    </row>
    <row r="84" spans="1:44" hidden="1">
      <c r="A8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VenezolanosVE0804</v>
      </c>
      <c r="B84" s="363" t="s">
        <v>261</v>
      </c>
      <c r="C84" s="323" t="s">
        <v>262</v>
      </c>
      <c r="D84" s="322" t="s">
        <v>269</v>
      </c>
      <c r="E84" s="323" t="s">
        <v>270</v>
      </c>
      <c r="F84" s="323"/>
      <c r="G84" s="324">
        <v>176218</v>
      </c>
      <c r="H84" s="324" t="s">
        <v>102</v>
      </c>
      <c r="I84" s="374">
        <v>2</v>
      </c>
      <c r="J84" s="237">
        <v>2</v>
      </c>
      <c r="K84" s="237">
        <v>3</v>
      </c>
      <c r="L84" s="237">
        <v>3</v>
      </c>
      <c r="M84" s="237">
        <v>4</v>
      </c>
      <c r="N84" s="237">
        <v>2</v>
      </c>
      <c r="O84" s="237">
        <v>4</v>
      </c>
      <c r="P84" s="237">
        <v>4</v>
      </c>
      <c r="Q84" s="382" t="str">
        <f>IF(COUNTIF(tblSeverityAnalysis[[#This Row],[SAMV]:[ASH]], 1)=0, "", COUNTIF(tblSeverityAnalysis[[#This Row],[SAMV]:[ASH]], 1))</f>
        <v/>
      </c>
      <c r="R84" s="325">
        <f>IF(COUNTIF(tblSeverityAnalysis[[#This Row],[SAMV]:[ASH]], 2)=0, "", COUNTIF(tblSeverityAnalysis[[#This Row],[SAMV]:[ASH]], 2))</f>
        <v>3</v>
      </c>
      <c r="S84" s="325">
        <f>IF(COUNTIF(tblSeverityAnalysis[[#This Row],[SAMV]:[ASH]], 3)=0, "", COUNTIF(tblSeverityAnalysis[[#This Row],[SAMV]:[ASH]], 3))</f>
        <v>2</v>
      </c>
      <c r="T84" s="325">
        <f>IF(COUNTIF(tblSeverityAnalysis[[#This Row],[SAMV]:[ASH]], 4)=0, "", COUNTIF(tblSeverityAnalysis[[#This Row],[SAMV]:[ASH]], 4))</f>
        <v>1</v>
      </c>
      <c r="U84" s="383" t="str">
        <f>IF(COUNTIF(tblSeverityAnalysis[[#This Row],[SAMV]:[ASH]], 5)=0, "", COUNTIF(tblSeverityAnalysis[[#This Row],[SAMV]:[ASH]], 5))</f>
        <v/>
      </c>
      <c r="V84" s="375" cm="1">
        <f t="array" ref="V8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8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84" s="237" t="str">
        <f>IFERROR(IF(INDEX(tblSeverityReference[Severidad de la desnutrición],MATCH(tblSeverityAnalysis[[#This Row],[ID]], tblSeverityReference[ID], 0))= "", "",INDEX(tblSeverityReference[Severidad de la desnutrición],MATCH(tblSeverityAnalysis[[#This Row],[ID]], tblSeverityReference[ID], 0)) ), "")</f>
        <v/>
      </c>
      <c r="Y84" s="349" t="str">
        <f>IFERROR(IF(INDEX(tblSeverityReference[Severidad epidémica],MATCH(tblSeverityAnalysis[[#This Row],[ID]], tblSeverityReference[ID], 0))= "", "",INDEX(tblSeverityReference[Severidad epidémica],MATCH(tblSeverityAnalysis[[#This Row],[ID]], tblSeverityReference[ID], 0)) ), "")</f>
        <v/>
      </c>
      <c r="Z8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84" s="391" t="str">
        <f>IFERROR(IF(INDEX(tblSeverityReference[HR/IHL Violation],MATCH(tblSeverityAnalysis[[#This Row],[ID]], tblSeverityReference[ID], 0))= "", "",INDEX(tblSeverityReference[HR/IHL Violation],MATCH(tblSeverityAnalysis[[#This Row],[ID]], tblSeverityReference[ID], 0)) ), "")</f>
        <v/>
      </c>
      <c r="AB84" s="397">
        <f>IFERROR(AVERAGE(tblSeverityAnalysis[[#This Row],[SAMV]:[ASH]]), "")</f>
        <v>2.6666666666666665</v>
      </c>
      <c r="AC84" s="346">
        <f>IF(SUM(tblSeverityAnalysis[[#This Row],[SAMV]:[ASH]])=0, "", MAX(tblSeverityAnalysis[[#This Row],[SAMV]:[ASH]]))</f>
        <v>4</v>
      </c>
      <c r="AD84" s="261" t="str" cm="1">
        <f t="array" ref="AD84">IFERROR(IF(tblSeverityAnalysis[[#This Row],[Severidad máxima]]="", "", _xlfn.TEXTJOIN(CHAR(10), TRUE, IF(tblSeverityAnalysis[[#This Row],[SAMV]:[ASH]]=tblSeverityAnalysis[[#This Row],[Severidad máxima]], tblSeverityAnalysis[[#Headers],[SAMV]:[ASH]], ""), "")), "")</f>
        <v>PRO</v>
      </c>
      <c r="AE84" s="346" cm="1">
        <f t="array" ref="AE84">IFERROR(MAX(_xlfn._xlws.FILTER(tblSeverityAnalysis[[#This Row],[SAMV]:[ASH]], tblSeverityAnalysis[[#This Row],[SAMV]:[ASH]]&lt;tblSeverityAnalysis[[#This Row],[Severidad máxima]])), "")</f>
        <v>3</v>
      </c>
      <c r="AF84" s="398" t="str" cm="1">
        <f t="array" ref="AF84">IFERROR(IF(tblSeverityAnalysis[[#This Row],[2ª mayor severidad]]="", "", _xlfn.TEXTJOIN(CHAR(10), TRUE, IF(tblSeverityAnalysis[[#This Row],[SAMV]:[ASH]]=tblSeverityAnalysis[[#This Row],[2ª mayor severidad]], tblSeverityAnalysis[[#Headers],[SAMV]:[ASH]], ""), "")), "")</f>
        <v>SAL
EDU</v>
      </c>
      <c r="AG84" s="405" t="str">
        <f>IFERROR(IF(AND(tblSeverityAnalysis[[#This Row],[5]] &lt;&gt; "", tblSeverityAnalysis[[#This Row],[5]]&gt;=sectors_sev_5), "Flagged", ""), "")</f>
        <v/>
      </c>
      <c r="AH84" s="347" t="str">
        <f>IFERROR(IF(AND(tblSeverityAnalysis[[#This Row],[Severidad preliminar basada en la superposición de privaciones sectoriales]]=5, SUM(tblSeverityAnalysis[[#This Row],[ 1 ]:[ 4 ]])&gt;=sectors_sev_5), "Flagged", ""), "")</f>
        <v/>
      </c>
      <c r="AI84" s="348" t="str" cm="1">
        <f t="array" ref="AI8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8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84" s="350"/>
      <c r="AL84" s="351"/>
      <c r="AM84" s="350"/>
      <c r="AN84" s="407">
        <f>COUNTIF(tblSeverityAnalysis[[#This Row],[1 sectores en fase de severidad 5 '[modificar el umbral']]:[Marcador manual]], "Flagged")</f>
        <v>0</v>
      </c>
      <c r="AO84" s="418">
        <f>tblSeverityAnalysis[[#This Row],[Severidad preliminar basada en la superposición de privaciones sectoriales]]</f>
        <v>2</v>
      </c>
      <c r="AP84" s="417"/>
      <c r="AQ84" s="421" t="s">
        <v>876</v>
      </c>
      <c r="AR84" s="417">
        <v>3</v>
      </c>
    </row>
    <row r="85" spans="1:44" hidden="1">
      <c r="A8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VenezolanosVE0805</v>
      </c>
      <c r="B85" s="363" t="s">
        <v>261</v>
      </c>
      <c r="C85" s="323" t="s">
        <v>262</v>
      </c>
      <c r="D85" s="322" t="s">
        <v>271</v>
      </c>
      <c r="E85" s="323" t="s">
        <v>272</v>
      </c>
      <c r="F85" s="323"/>
      <c r="G85" s="324">
        <v>69236</v>
      </c>
      <c r="H85" s="324" t="s">
        <v>102</v>
      </c>
      <c r="I85" s="374">
        <v>3</v>
      </c>
      <c r="J85" s="237">
        <v>2</v>
      </c>
      <c r="K85" s="237">
        <v>3</v>
      </c>
      <c r="L85" s="237">
        <v>3</v>
      </c>
      <c r="M85" s="237">
        <v>3</v>
      </c>
      <c r="N85" s="237">
        <v>3</v>
      </c>
      <c r="O85" s="237">
        <v>3</v>
      </c>
      <c r="P85" s="237">
        <v>3</v>
      </c>
      <c r="Q85" s="382" t="str">
        <f>IF(COUNTIF(tblSeverityAnalysis[[#This Row],[SAMV]:[ASH]], 1)=0, "", COUNTIF(tblSeverityAnalysis[[#This Row],[SAMV]:[ASH]], 1))</f>
        <v/>
      </c>
      <c r="R85" s="325">
        <f>IF(COUNTIF(tblSeverityAnalysis[[#This Row],[SAMV]:[ASH]], 2)=0, "", COUNTIF(tblSeverityAnalysis[[#This Row],[SAMV]:[ASH]], 2))</f>
        <v>1</v>
      </c>
      <c r="S85" s="325">
        <f>IF(COUNTIF(tblSeverityAnalysis[[#This Row],[SAMV]:[ASH]], 3)=0, "", COUNTIF(tblSeverityAnalysis[[#This Row],[SAMV]:[ASH]], 3))</f>
        <v>5</v>
      </c>
      <c r="T85" s="325" t="str">
        <f>IF(COUNTIF(tblSeverityAnalysis[[#This Row],[SAMV]:[ASH]], 4)=0, "", COUNTIF(tblSeverityAnalysis[[#This Row],[SAMV]:[ASH]], 4))</f>
        <v/>
      </c>
      <c r="U85" s="383" t="str">
        <f>IF(COUNTIF(tblSeverityAnalysis[[#This Row],[SAMV]:[ASH]], 5)=0, "", COUNTIF(tblSeverityAnalysis[[#This Row],[SAMV]:[ASH]], 5))</f>
        <v/>
      </c>
      <c r="V85" s="375" cm="1">
        <f t="array" ref="V8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8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85" s="237" t="str">
        <f>IFERROR(IF(INDEX(tblSeverityReference[Severidad de la desnutrición],MATCH(tblSeverityAnalysis[[#This Row],[ID]], tblSeverityReference[ID], 0))= "", "",INDEX(tblSeverityReference[Severidad de la desnutrición],MATCH(tblSeverityAnalysis[[#This Row],[ID]], tblSeverityReference[ID], 0)) ), "")</f>
        <v/>
      </c>
      <c r="Y85" s="349" t="str">
        <f>IFERROR(IF(INDEX(tblSeverityReference[Severidad epidémica],MATCH(tblSeverityAnalysis[[#This Row],[ID]], tblSeverityReference[ID], 0))= "", "",INDEX(tblSeverityReference[Severidad epidémica],MATCH(tblSeverityAnalysis[[#This Row],[ID]], tblSeverityReference[ID], 0)) ), "")</f>
        <v/>
      </c>
      <c r="Z8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85" s="391" t="str">
        <f>IFERROR(IF(INDEX(tblSeverityReference[HR/IHL Violation],MATCH(tblSeverityAnalysis[[#This Row],[ID]], tblSeverityReference[ID], 0))= "", "",INDEX(tblSeverityReference[HR/IHL Violation],MATCH(tblSeverityAnalysis[[#This Row],[ID]], tblSeverityReference[ID], 0)) ), "")</f>
        <v/>
      </c>
      <c r="AB85" s="397">
        <f>IFERROR(AVERAGE(tblSeverityAnalysis[[#This Row],[SAMV]:[ASH]]), "")</f>
        <v>2.8333333333333335</v>
      </c>
      <c r="AC85" s="346">
        <f>IF(SUM(tblSeverityAnalysis[[#This Row],[SAMV]:[ASH]])=0, "", MAX(tblSeverityAnalysis[[#This Row],[SAMV]:[ASH]]))</f>
        <v>3</v>
      </c>
      <c r="AD85" s="261" t="str" cm="1">
        <f t="array" ref="AD85">IFERROR(IF(tblSeverityAnalysis[[#This Row],[Severidad máxima]]="", "", _xlfn.TEXTJOIN(CHAR(10), TRUE, IF(tblSeverityAnalysis[[#This Row],[SAMV]:[ASH]]=tblSeverityAnalysis[[#This Row],[Severidad máxima]], tblSeverityAnalysis[[#Headers],[SAMV]:[ASH]], ""), "")), "")</f>
        <v>SAMV
SAL
EDU
PRO
ASH</v>
      </c>
      <c r="AE85" s="346" cm="1">
        <f t="array" ref="AE85">IFERROR(MAX(_xlfn._xlws.FILTER(tblSeverityAnalysis[[#This Row],[SAMV]:[ASH]], tblSeverityAnalysis[[#This Row],[SAMV]:[ASH]]&lt;tblSeverityAnalysis[[#This Row],[Severidad máxima]])), "")</f>
        <v>2</v>
      </c>
      <c r="AF85" s="398" t="str" cm="1">
        <f t="array" ref="AF85">IFERROR(IF(tblSeverityAnalysis[[#This Row],[2ª mayor severidad]]="", "", _xlfn.TEXTJOIN(CHAR(10), TRUE, IF(tblSeverityAnalysis[[#This Row],[SAMV]:[ASH]]=tblSeverityAnalysis[[#This Row],[2ª mayor severidad]], tblSeverityAnalysis[[#Headers],[SAMV]:[ASH]], ""), "")), "")</f>
        <v>NUT</v>
      </c>
      <c r="AG85" s="405" t="str">
        <f>IFERROR(IF(AND(tblSeverityAnalysis[[#This Row],[5]] &lt;&gt; "", tblSeverityAnalysis[[#This Row],[5]]&gt;=sectors_sev_5), "Flagged", ""), "")</f>
        <v/>
      </c>
      <c r="AH85" s="347" t="str">
        <f>IFERROR(IF(AND(tblSeverityAnalysis[[#This Row],[Severidad preliminar basada en la superposición de privaciones sectoriales]]=5, SUM(tblSeverityAnalysis[[#This Row],[ 1 ]:[ 4 ]])&gt;=sectors_sev_5), "Flagged", ""), "")</f>
        <v/>
      </c>
      <c r="AI85" s="348" t="str" cm="1">
        <f t="array" ref="AI8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8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85" s="350"/>
      <c r="AL85" s="351"/>
      <c r="AM85" s="350"/>
      <c r="AN85" s="407">
        <f>COUNTIF(tblSeverityAnalysis[[#This Row],[1 sectores en fase de severidad 5 '[modificar el umbral']]:[Marcador manual]], "Flagged")</f>
        <v>0</v>
      </c>
      <c r="AO85" s="418">
        <f>tblSeverityAnalysis[[#This Row],[Severidad preliminar basada en la superposición de privaciones sectoriales]]</f>
        <v>3</v>
      </c>
      <c r="AP85" s="417"/>
      <c r="AQ85" s="421" t="s">
        <v>876</v>
      </c>
      <c r="AR85" s="417">
        <v>3</v>
      </c>
    </row>
    <row r="86" spans="1:44" hidden="1">
      <c r="A8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VenezolanosVE0806</v>
      </c>
      <c r="B86" s="363" t="s">
        <v>261</v>
      </c>
      <c r="C86" s="323" t="s">
        <v>262</v>
      </c>
      <c r="D86" s="322" t="s">
        <v>100</v>
      </c>
      <c r="E86" s="323" t="s">
        <v>273</v>
      </c>
      <c r="F86" s="323"/>
      <c r="G86" s="324">
        <v>166166</v>
      </c>
      <c r="H86" s="324" t="s">
        <v>102</v>
      </c>
      <c r="I86" s="374">
        <v>2</v>
      </c>
      <c r="J86" s="237">
        <v>2</v>
      </c>
      <c r="K86" s="237">
        <v>3</v>
      </c>
      <c r="L86" s="237">
        <v>4</v>
      </c>
      <c r="M86" s="237">
        <v>4</v>
      </c>
      <c r="N86" s="237">
        <v>2</v>
      </c>
      <c r="O86" s="237">
        <v>4</v>
      </c>
      <c r="P86" s="237">
        <v>4</v>
      </c>
      <c r="Q86" s="382" t="str">
        <f>IF(COUNTIF(tblSeverityAnalysis[[#This Row],[SAMV]:[ASH]], 1)=0, "", COUNTIF(tblSeverityAnalysis[[#This Row],[SAMV]:[ASH]], 1))</f>
        <v/>
      </c>
      <c r="R86" s="325">
        <f>IF(COUNTIF(tblSeverityAnalysis[[#This Row],[SAMV]:[ASH]], 2)=0, "", COUNTIF(tblSeverityAnalysis[[#This Row],[SAMV]:[ASH]], 2))</f>
        <v>3</v>
      </c>
      <c r="S86" s="325">
        <f>IF(COUNTIF(tblSeverityAnalysis[[#This Row],[SAMV]:[ASH]], 3)=0, "", COUNTIF(tblSeverityAnalysis[[#This Row],[SAMV]:[ASH]], 3))</f>
        <v>1</v>
      </c>
      <c r="T86" s="325">
        <f>IF(COUNTIF(tblSeverityAnalysis[[#This Row],[SAMV]:[ASH]], 4)=0, "", COUNTIF(tblSeverityAnalysis[[#This Row],[SAMV]:[ASH]], 4))</f>
        <v>2</v>
      </c>
      <c r="U86" s="383" t="str">
        <f>IF(COUNTIF(tblSeverityAnalysis[[#This Row],[SAMV]:[ASH]], 5)=0, "", COUNTIF(tblSeverityAnalysis[[#This Row],[SAMV]:[ASH]], 5))</f>
        <v/>
      </c>
      <c r="V86" s="375" cm="1">
        <f t="array" ref="V8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8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86" s="237" t="str">
        <f>IFERROR(IF(INDEX(tblSeverityReference[Severidad de la desnutrición],MATCH(tblSeverityAnalysis[[#This Row],[ID]], tblSeverityReference[ID], 0))= "", "",INDEX(tblSeverityReference[Severidad de la desnutrición],MATCH(tblSeverityAnalysis[[#This Row],[ID]], tblSeverityReference[ID], 0)) ), "")</f>
        <v/>
      </c>
      <c r="Y86" s="349" t="str">
        <f>IFERROR(IF(INDEX(tblSeverityReference[Severidad epidémica],MATCH(tblSeverityAnalysis[[#This Row],[ID]], tblSeverityReference[ID], 0))= "", "",INDEX(tblSeverityReference[Severidad epidémica],MATCH(tblSeverityAnalysis[[#This Row],[ID]], tblSeverityReference[ID], 0)) ), "")</f>
        <v/>
      </c>
      <c r="Z8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86" s="391" t="str">
        <f>IFERROR(IF(INDEX(tblSeverityReference[HR/IHL Violation],MATCH(tblSeverityAnalysis[[#This Row],[ID]], tblSeverityReference[ID], 0))= "", "",INDEX(tblSeverityReference[HR/IHL Violation],MATCH(tblSeverityAnalysis[[#This Row],[ID]], tblSeverityReference[ID], 0)) ), "")</f>
        <v/>
      </c>
      <c r="AB86" s="397">
        <f>IFERROR(AVERAGE(tblSeverityAnalysis[[#This Row],[SAMV]:[ASH]]), "")</f>
        <v>2.8333333333333335</v>
      </c>
      <c r="AC86" s="346">
        <f>IF(SUM(tblSeverityAnalysis[[#This Row],[SAMV]:[ASH]])=0, "", MAX(tblSeverityAnalysis[[#This Row],[SAMV]:[ASH]]))</f>
        <v>4</v>
      </c>
      <c r="AD86" s="261" t="str" cm="1">
        <f t="array" ref="AD86">IFERROR(IF(tblSeverityAnalysis[[#This Row],[Severidad máxima]]="", "", _xlfn.TEXTJOIN(CHAR(10), TRUE, IF(tblSeverityAnalysis[[#This Row],[SAMV]:[ASH]]=tblSeverityAnalysis[[#This Row],[Severidad máxima]], tblSeverityAnalysis[[#Headers],[SAMV]:[ASH]], ""), "")), "")</f>
        <v>EDU
PRO</v>
      </c>
      <c r="AE86" s="346" cm="1">
        <f t="array" ref="AE86">IFERROR(MAX(_xlfn._xlws.FILTER(tblSeverityAnalysis[[#This Row],[SAMV]:[ASH]], tblSeverityAnalysis[[#This Row],[SAMV]:[ASH]]&lt;tblSeverityAnalysis[[#This Row],[Severidad máxima]])), "")</f>
        <v>3</v>
      </c>
      <c r="AF86" s="398" t="str" cm="1">
        <f t="array" ref="AF86">IFERROR(IF(tblSeverityAnalysis[[#This Row],[2ª mayor severidad]]="", "", _xlfn.TEXTJOIN(CHAR(10), TRUE, IF(tblSeverityAnalysis[[#This Row],[SAMV]:[ASH]]=tblSeverityAnalysis[[#This Row],[2ª mayor severidad]], tblSeverityAnalysis[[#Headers],[SAMV]:[ASH]], ""), "")), "")</f>
        <v>SAL</v>
      </c>
      <c r="AG86" s="405" t="str">
        <f>IFERROR(IF(AND(tblSeverityAnalysis[[#This Row],[5]] &lt;&gt; "", tblSeverityAnalysis[[#This Row],[5]]&gt;=sectors_sev_5), "Flagged", ""), "")</f>
        <v/>
      </c>
      <c r="AH86" s="347" t="str">
        <f>IFERROR(IF(AND(tblSeverityAnalysis[[#This Row],[Severidad preliminar basada en la superposición de privaciones sectoriales]]=5, SUM(tblSeverityAnalysis[[#This Row],[ 1 ]:[ 4 ]])&gt;=sectors_sev_5), "Flagged", ""), "")</f>
        <v/>
      </c>
      <c r="AI86" s="348" t="str" cm="1">
        <f t="array" ref="AI8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8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86" s="350"/>
      <c r="AL86" s="351"/>
      <c r="AM86" s="350"/>
      <c r="AN86" s="407">
        <f>COUNTIF(tblSeverityAnalysis[[#This Row],[1 sectores en fase de severidad 5 '[modificar el umbral']]:[Marcador manual]], "Flagged")</f>
        <v>0</v>
      </c>
      <c r="AO86" s="418">
        <f>tblSeverityAnalysis[[#This Row],[Severidad preliminar basada en la superposición de privaciones sectoriales]]</f>
        <v>2</v>
      </c>
      <c r="AP86" s="417"/>
      <c r="AQ86" s="421" t="s">
        <v>876</v>
      </c>
      <c r="AR86" s="417">
        <v>3</v>
      </c>
    </row>
    <row r="87" spans="1:44" hidden="1">
      <c r="A8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VenezolanosVE0807</v>
      </c>
      <c r="B87" s="363" t="s">
        <v>261</v>
      </c>
      <c r="C87" s="323" t="s">
        <v>262</v>
      </c>
      <c r="D87" s="322" t="s">
        <v>274</v>
      </c>
      <c r="E87" s="323" t="s">
        <v>275</v>
      </c>
      <c r="F87" s="323"/>
      <c r="G87" s="324">
        <v>149606</v>
      </c>
      <c r="H87" s="324" t="s">
        <v>102</v>
      </c>
      <c r="I87" s="374">
        <v>2</v>
      </c>
      <c r="J87" s="237">
        <v>3</v>
      </c>
      <c r="K87" s="237">
        <v>3</v>
      </c>
      <c r="L87" s="237">
        <v>4</v>
      </c>
      <c r="M87" s="237">
        <v>4</v>
      </c>
      <c r="N87" s="237">
        <v>3</v>
      </c>
      <c r="O87" s="237">
        <v>4</v>
      </c>
      <c r="P87" s="237">
        <v>4</v>
      </c>
      <c r="Q87" s="382" t="str">
        <f>IF(COUNTIF(tblSeverityAnalysis[[#This Row],[SAMV]:[ASH]], 1)=0, "", COUNTIF(tblSeverityAnalysis[[#This Row],[SAMV]:[ASH]], 1))</f>
        <v/>
      </c>
      <c r="R87" s="325">
        <f>IF(COUNTIF(tblSeverityAnalysis[[#This Row],[SAMV]:[ASH]], 2)=0, "", COUNTIF(tblSeverityAnalysis[[#This Row],[SAMV]:[ASH]], 2))</f>
        <v>1</v>
      </c>
      <c r="S87" s="325">
        <f>IF(COUNTIF(tblSeverityAnalysis[[#This Row],[SAMV]:[ASH]], 3)=0, "", COUNTIF(tblSeverityAnalysis[[#This Row],[SAMV]:[ASH]], 3))</f>
        <v>3</v>
      </c>
      <c r="T87" s="325">
        <f>IF(COUNTIF(tblSeverityAnalysis[[#This Row],[SAMV]:[ASH]], 4)=0, "", COUNTIF(tblSeverityAnalysis[[#This Row],[SAMV]:[ASH]], 4))</f>
        <v>2</v>
      </c>
      <c r="U87" s="383" t="str">
        <f>IF(COUNTIF(tblSeverityAnalysis[[#This Row],[SAMV]:[ASH]], 5)=0, "", COUNTIF(tblSeverityAnalysis[[#This Row],[SAMV]:[ASH]], 5))</f>
        <v/>
      </c>
      <c r="V87" s="375" cm="1">
        <f t="array" ref="V8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8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87" s="237" t="str">
        <f>IFERROR(IF(INDEX(tblSeverityReference[Severidad de la desnutrición],MATCH(tblSeverityAnalysis[[#This Row],[ID]], tblSeverityReference[ID], 0))= "", "",INDEX(tblSeverityReference[Severidad de la desnutrición],MATCH(tblSeverityAnalysis[[#This Row],[ID]], tblSeverityReference[ID], 0)) ), "")</f>
        <v/>
      </c>
      <c r="Y87" s="349" t="str">
        <f>IFERROR(IF(INDEX(tblSeverityReference[Severidad epidémica],MATCH(tblSeverityAnalysis[[#This Row],[ID]], tblSeverityReference[ID], 0))= "", "",INDEX(tblSeverityReference[Severidad epidémica],MATCH(tblSeverityAnalysis[[#This Row],[ID]], tblSeverityReference[ID], 0)) ), "")</f>
        <v/>
      </c>
      <c r="Z8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87" s="391" t="str">
        <f>IFERROR(IF(INDEX(tblSeverityReference[HR/IHL Violation],MATCH(tblSeverityAnalysis[[#This Row],[ID]], tblSeverityReference[ID], 0))= "", "",INDEX(tblSeverityReference[HR/IHL Violation],MATCH(tblSeverityAnalysis[[#This Row],[ID]], tblSeverityReference[ID], 0)) ), "")</f>
        <v/>
      </c>
      <c r="AB87" s="397">
        <f>IFERROR(AVERAGE(tblSeverityAnalysis[[#This Row],[SAMV]:[ASH]]), "")</f>
        <v>3.1666666666666665</v>
      </c>
      <c r="AC87" s="346">
        <f>IF(SUM(tblSeverityAnalysis[[#This Row],[SAMV]:[ASH]])=0, "", MAX(tblSeverityAnalysis[[#This Row],[SAMV]:[ASH]]))</f>
        <v>4</v>
      </c>
      <c r="AD87" s="261" t="str" cm="1">
        <f t="array" ref="AD87">IFERROR(IF(tblSeverityAnalysis[[#This Row],[Severidad máxima]]="", "", _xlfn.TEXTJOIN(CHAR(10), TRUE, IF(tblSeverityAnalysis[[#This Row],[SAMV]:[ASH]]=tblSeverityAnalysis[[#This Row],[Severidad máxima]], tblSeverityAnalysis[[#Headers],[SAMV]:[ASH]], ""), "")), "")</f>
        <v>EDU
PRO</v>
      </c>
      <c r="AE87" s="346" cm="1">
        <f t="array" ref="AE87">IFERROR(MAX(_xlfn._xlws.FILTER(tblSeverityAnalysis[[#This Row],[SAMV]:[ASH]], tblSeverityAnalysis[[#This Row],[SAMV]:[ASH]]&lt;tblSeverityAnalysis[[#This Row],[Severidad máxima]])), "")</f>
        <v>3</v>
      </c>
      <c r="AF87" s="398" t="str" cm="1">
        <f t="array" ref="AF87">IFERROR(IF(tblSeverityAnalysis[[#This Row],[2ª mayor severidad]]="", "", _xlfn.TEXTJOIN(CHAR(10), TRUE, IF(tblSeverityAnalysis[[#This Row],[SAMV]:[ASH]]=tblSeverityAnalysis[[#This Row],[2ª mayor severidad]], tblSeverityAnalysis[[#Headers],[SAMV]:[ASH]], ""), "")), "")</f>
        <v>NUT
SAL
ASH</v>
      </c>
      <c r="AG87" s="405" t="str">
        <f>IFERROR(IF(AND(tblSeverityAnalysis[[#This Row],[5]] &lt;&gt; "", tblSeverityAnalysis[[#This Row],[5]]&gt;=sectors_sev_5), "Flagged", ""), "")</f>
        <v/>
      </c>
      <c r="AH87" s="347" t="str">
        <f>IFERROR(IF(AND(tblSeverityAnalysis[[#This Row],[Severidad preliminar basada en la superposición de privaciones sectoriales]]=5, SUM(tblSeverityAnalysis[[#This Row],[ 1 ]:[ 4 ]])&gt;=sectors_sev_5), "Flagged", ""), "")</f>
        <v/>
      </c>
      <c r="AI87" s="348" t="str" cm="1">
        <f t="array" ref="AI8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8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87" s="350"/>
      <c r="AL87" s="351"/>
      <c r="AM87" s="350"/>
      <c r="AN87" s="407">
        <f>COUNTIF(tblSeverityAnalysis[[#This Row],[1 sectores en fase de severidad 5 '[modificar el umbral']]:[Marcador manual]], "Flagged")</f>
        <v>0</v>
      </c>
      <c r="AO87" s="418">
        <f>tblSeverityAnalysis[[#This Row],[Severidad preliminar basada en la superposición de privaciones sectoriales]]</f>
        <v>3</v>
      </c>
      <c r="AP87" s="417"/>
      <c r="AQ87" s="421" t="s">
        <v>876</v>
      </c>
      <c r="AR87" s="417">
        <v>3</v>
      </c>
    </row>
    <row r="88" spans="1:44" hidden="1">
      <c r="A8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VenezolanosVE0808</v>
      </c>
      <c r="B88" s="363" t="s">
        <v>261</v>
      </c>
      <c r="C88" s="323" t="s">
        <v>262</v>
      </c>
      <c r="D88" s="322" t="s">
        <v>276</v>
      </c>
      <c r="E88" s="323" t="s">
        <v>277</v>
      </c>
      <c r="F88" s="323"/>
      <c r="G88" s="324">
        <v>29092</v>
      </c>
      <c r="H88" s="324" t="s">
        <v>102</v>
      </c>
      <c r="I88" s="374">
        <v>2</v>
      </c>
      <c r="J88" s="237">
        <v>2</v>
      </c>
      <c r="K88" s="237">
        <v>3</v>
      </c>
      <c r="L88" s="237">
        <v>4</v>
      </c>
      <c r="M88" s="237">
        <v>3</v>
      </c>
      <c r="N88" s="237">
        <v>2</v>
      </c>
      <c r="O88" s="237">
        <v>3</v>
      </c>
      <c r="P88" s="237">
        <v>3</v>
      </c>
      <c r="Q88" s="382" t="str">
        <f>IF(COUNTIF(tblSeverityAnalysis[[#This Row],[SAMV]:[ASH]], 1)=0, "", COUNTIF(tblSeverityAnalysis[[#This Row],[SAMV]:[ASH]], 1))</f>
        <v/>
      </c>
      <c r="R88" s="325">
        <f>IF(COUNTIF(tblSeverityAnalysis[[#This Row],[SAMV]:[ASH]], 2)=0, "", COUNTIF(tblSeverityAnalysis[[#This Row],[SAMV]:[ASH]], 2))</f>
        <v>3</v>
      </c>
      <c r="S88" s="325">
        <f>IF(COUNTIF(tblSeverityAnalysis[[#This Row],[SAMV]:[ASH]], 3)=0, "", COUNTIF(tblSeverityAnalysis[[#This Row],[SAMV]:[ASH]], 3))</f>
        <v>2</v>
      </c>
      <c r="T88" s="325">
        <f>IF(COUNTIF(tblSeverityAnalysis[[#This Row],[SAMV]:[ASH]], 4)=0, "", COUNTIF(tblSeverityAnalysis[[#This Row],[SAMV]:[ASH]], 4))</f>
        <v>1</v>
      </c>
      <c r="U88" s="383" t="str">
        <f>IF(COUNTIF(tblSeverityAnalysis[[#This Row],[SAMV]:[ASH]], 5)=0, "", COUNTIF(tblSeverityAnalysis[[#This Row],[SAMV]:[ASH]], 5))</f>
        <v/>
      </c>
      <c r="V88" s="375" cm="1">
        <f t="array" ref="V8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8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88" s="237" t="str">
        <f>IFERROR(IF(INDEX(tblSeverityReference[Severidad de la desnutrición],MATCH(tblSeverityAnalysis[[#This Row],[ID]], tblSeverityReference[ID], 0))= "", "",INDEX(tblSeverityReference[Severidad de la desnutrición],MATCH(tblSeverityAnalysis[[#This Row],[ID]], tblSeverityReference[ID], 0)) ), "")</f>
        <v/>
      </c>
      <c r="Y88" s="349" t="str">
        <f>IFERROR(IF(INDEX(tblSeverityReference[Severidad epidémica],MATCH(tblSeverityAnalysis[[#This Row],[ID]], tblSeverityReference[ID], 0))= "", "",INDEX(tblSeverityReference[Severidad epidémica],MATCH(tblSeverityAnalysis[[#This Row],[ID]], tblSeverityReference[ID], 0)) ), "")</f>
        <v/>
      </c>
      <c r="Z8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88" s="391" t="str">
        <f>IFERROR(IF(INDEX(tblSeverityReference[HR/IHL Violation],MATCH(tblSeverityAnalysis[[#This Row],[ID]], tblSeverityReference[ID], 0))= "", "",INDEX(tblSeverityReference[HR/IHL Violation],MATCH(tblSeverityAnalysis[[#This Row],[ID]], tblSeverityReference[ID], 0)) ), "")</f>
        <v/>
      </c>
      <c r="AB88" s="397">
        <f>IFERROR(AVERAGE(tblSeverityAnalysis[[#This Row],[SAMV]:[ASH]]), "")</f>
        <v>2.6666666666666665</v>
      </c>
      <c r="AC88" s="346">
        <f>IF(SUM(tblSeverityAnalysis[[#This Row],[SAMV]:[ASH]])=0, "", MAX(tblSeverityAnalysis[[#This Row],[SAMV]:[ASH]]))</f>
        <v>4</v>
      </c>
      <c r="AD88" s="261" t="str" cm="1">
        <f t="array" ref="AD88">IFERROR(IF(tblSeverityAnalysis[[#This Row],[Severidad máxima]]="", "", _xlfn.TEXTJOIN(CHAR(10), TRUE, IF(tblSeverityAnalysis[[#This Row],[SAMV]:[ASH]]=tblSeverityAnalysis[[#This Row],[Severidad máxima]], tblSeverityAnalysis[[#Headers],[SAMV]:[ASH]], ""), "")), "")</f>
        <v>EDU</v>
      </c>
      <c r="AE88" s="346" cm="1">
        <f t="array" ref="AE88">IFERROR(MAX(_xlfn._xlws.FILTER(tblSeverityAnalysis[[#This Row],[SAMV]:[ASH]], tblSeverityAnalysis[[#This Row],[SAMV]:[ASH]]&lt;tblSeverityAnalysis[[#This Row],[Severidad máxima]])), "")</f>
        <v>3</v>
      </c>
      <c r="AF88" s="398" t="str" cm="1">
        <f t="array" ref="AF88">IFERROR(IF(tblSeverityAnalysis[[#This Row],[2ª mayor severidad]]="", "", _xlfn.TEXTJOIN(CHAR(10), TRUE, IF(tblSeverityAnalysis[[#This Row],[SAMV]:[ASH]]=tblSeverityAnalysis[[#This Row],[2ª mayor severidad]], tblSeverityAnalysis[[#Headers],[SAMV]:[ASH]], ""), "")), "")</f>
        <v>SAL
PRO</v>
      </c>
      <c r="AG88" s="405" t="str">
        <f>IFERROR(IF(AND(tblSeverityAnalysis[[#This Row],[5]] &lt;&gt; "", tblSeverityAnalysis[[#This Row],[5]]&gt;=sectors_sev_5), "Flagged", ""), "")</f>
        <v/>
      </c>
      <c r="AH88" s="347" t="str">
        <f>IFERROR(IF(AND(tblSeverityAnalysis[[#This Row],[Severidad preliminar basada en la superposición de privaciones sectoriales]]=5, SUM(tblSeverityAnalysis[[#This Row],[ 1 ]:[ 4 ]])&gt;=sectors_sev_5), "Flagged", ""), "")</f>
        <v/>
      </c>
      <c r="AI88" s="348" t="str" cm="1">
        <f t="array" ref="AI8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8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88" s="350"/>
      <c r="AL88" s="351"/>
      <c r="AM88" s="350"/>
      <c r="AN88" s="407">
        <f>COUNTIF(tblSeverityAnalysis[[#This Row],[1 sectores en fase de severidad 5 '[modificar el umbral']]:[Marcador manual]], "Flagged")</f>
        <v>0</v>
      </c>
      <c r="AO88" s="418">
        <f>tblSeverityAnalysis[[#This Row],[Severidad preliminar basada en la superposición de privaciones sectoriales]]</f>
        <v>2</v>
      </c>
      <c r="AP88" s="417"/>
      <c r="AQ88" s="421" t="s">
        <v>876</v>
      </c>
      <c r="AR88" s="417">
        <v>3</v>
      </c>
    </row>
    <row r="89" spans="1:44" hidden="1">
      <c r="A8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VenezolanosVE0809</v>
      </c>
      <c r="B89" s="363" t="s">
        <v>261</v>
      </c>
      <c r="C89" s="323" t="s">
        <v>262</v>
      </c>
      <c r="D89" s="322" t="s">
        <v>278</v>
      </c>
      <c r="E89" s="323" t="s">
        <v>279</v>
      </c>
      <c r="F89" s="323"/>
      <c r="G89" s="324">
        <v>24908</v>
      </c>
      <c r="H89" s="324" t="s">
        <v>102</v>
      </c>
      <c r="I89" s="374">
        <v>2</v>
      </c>
      <c r="J89" s="237">
        <v>2</v>
      </c>
      <c r="K89" s="237">
        <v>3</v>
      </c>
      <c r="L89" s="237">
        <v>4</v>
      </c>
      <c r="M89" s="237">
        <v>3</v>
      </c>
      <c r="N89" s="237">
        <v>2</v>
      </c>
      <c r="O89" s="237">
        <v>3</v>
      </c>
      <c r="P89" s="237">
        <v>3</v>
      </c>
      <c r="Q89" s="382" t="str">
        <f>IF(COUNTIF(tblSeverityAnalysis[[#This Row],[SAMV]:[ASH]], 1)=0, "", COUNTIF(tblSeverityAnalysis[[#This Row],[SAMV]:[ASH]], 1))</f>
        <v/>
      </c>
      <c r="R89" s="325">
        <f>IF(COUNTIF(tblSeverityAnalysis[[#This Row],[SAMV]:[ASH]], 2)=0, "", COUNTIF(tblSeverityAnalysis[[#This Row],[SAMV]:[ASH]], 2))</f>
        <v>3</v>
      </c>
      <c r="S89" s="325">
        <f>IF(COUNTIF(tblSeverityAnalysis[[#This Row],[SAMV]:[ASH]], 3)=0, "", COUNTIF(tblSeverityAnalysis[[#This Row],[SAMV]:[ASH]], 3))</f>
        <v>2</v>
      </c>
      <c r="T89" s="325">
        <f>IF(COUNTIF(tblSeverityAnalysis[[#This Row],[SAMV]:[ASH]], 4)=0, "", COUNTIF(tblSeverityAnalysis[[#This Row],[SAMV]:[ASH]], 4))</f>
        <v>1</v>
      </c>
      <c r="U89" s="383" t="str">
        <f>IF(COUNTIF(tblSeverityAnalysis[[#This Row],[SAMV]:[ASH]], 5)=0, "", COUNTIF(tblSeverityAnalysis[[#This Row],[SAMV]:[ASH]], 5))</f>
        <v/>
      </c>
      <c r="V89" s="375" cm="1">
        <f t="array" ref="V8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8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89" s="237" t="str">
        <f>IFERROR(IF(INDEX(tblSeverityReference[Severidad de la desnutrición],MATCH(tblSeverityAnalysis[[#This Row],[ID]], tblSeverityReference[ID], 0))= "", "",INDEX(tblSeverityReference[Severidad de la desnutrición],MATCH(tblSeverityAnalysis[[#This Row],[ID]], tblSeverityReference[ID], 0)) ), "")</f>
        <v/>
      </c>
      <c r="Y89" s="349" t="str">
        <f>IFERROR(IF(INDEX(tblSeverityReference[Severidad epidémica],MATCH(tblSeverityAnalysis[[#This Row],[ID]], tblSeverityReference[ID], 0))= "", "",INDEX(tblSeverityReference[Severidad epidémica],MATCH(tblSeverityAnalysis[[#This Row],[ID]], tblSeverityReference[ID], 0)) ), "")</f>
        <v/>
      </c>
      <c r="Z8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89" s="391" t="str">
        <f>IFERROR(IF(INDEX(tblSeverityReference[HR/IHL Violation],MATCH(tblSeverityAnalysis[[#This Row],[ID]], tblSeverityReference[ID], 0))= "", "",INDEX(tblSeverityReference[HR/IHL Violation],MATCH(tblSeverityAnalysis[[#This Row],[ID]], tblSeverityReference[ID], 0)) ), "")</f>
        <v/>
      </c>
      <c r="AB89" s="397">
        <f>IFERROR(AVERAGE(tblSeverityAnalysis[[#This Row],[SAMV]:[ASH]]), "")</f>
        <v>2.6666666666666665</v>
      </c>
      <c r="AC89" s="346">
        <f>IF(SUM(tblSeverityAnalysis[[#This Row],[SAMV]:[ASH]])=0, "", MAX(tblSeverityAnalysis[[#This Row],[SAMV]:[ASH]]))</f>
        <v>4</v>
      </c>
      <c r="AD89" s="261" t="str" cm="1">
        <f t="array" ref="AD89">IFERROR(IF(tblSeverityAnalysis[[#This Row],[Severidad máxima]]="", "", _xlfn.TEXTJOIN(CHAR(10), TRUE, IF(tblSeverityAnalysis[[#This Row],[SAMV]:[ASH]]=tblSeverityAnalysis[[#This Row],[Severidad máxima]], tblSeverityAnalysis[[#Headers],[SAMV]:[ASH]], ""), "")), "")</f>
        <v>EDU</v>
      </c>
      <c r="AE89" s="346" cm="1">
        <f t="array" ref="AE89">IFERROR(MAX(_xlfn._xlws.FILTER(tblSeverityAnalysis[[#This Row],[SAMV]:[ASH]], tblSeverityAnalysis[[#This Row],[SAMV]:[ASH]]&lt;tblSeverityAnalysis[[#This Row],[Severidad máxima]])), "")</f>
        <v>3</v>
      </c>
      <c r="AF89" s="398" t="str" cm="1">
        <f t="array" ref="AF89">IFERROR(IF(tblSeverityAnalysis[[#This Row],[2ª mayor severidad]]="", "", _xlfn.TEXTJOIN(CHAR(10), TRUE, IF(tblSeverityAnalysis[[#This Row],[SAMV]:[ASH]]=tblSeverityAnalysis[[#This Row],[2ª mayor severidad]], tblSeverityAnalysis[[#Headers],[SAMV]:[ASH]], ""), "")), "")</f>
        <v>SAL
PRO</v>
      </c>
      <c r="AG89" s="405" t="str">
        <f>IFERROR(IF(AND(tblSeverityAnalysis[[#This Row],[5]] &lt;&gt; "", tblSeverityAnalysis[[#This Row],[5]]&gt;=sectors_sev_5), "Flagged", ""), "")</f>
        <v/>
      </c>
      <c r="AH89" s="347" t="str">
        <f>IFERROR(IF(AND(tblSeverityAnalysis[[#This Row],[Severidad preliminar basada en la superposición de privaciones sectoriales]]=5, SUM(tblSeverityAnalysis[[#This Row],[ 1 ]:[ 4 ]])&gt;=sectors_sev_5), "Flagged", ""), "")</f>
        <v/>
      </c>
      <c r="AI89" s="348" t="str" cm="1">
        <f t="array" ref="AI8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8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89" s="350"/>
      <c r="AL89" s="351"/>
      <c r="AM89" s="350"/>
      <c r="AN89" s="407">
        <f>COUNTIF(tblSeverityAnalysis[[#This Row],[1 sectores en fase de severidad 5 '[modificar el umbral']]:[Marcador manual]], "Flagged")</f>
        <v>0</v>
      </c>
      <c r="AO89" s="418">
        <f>tblSeverityAnalysis[[#This Row],[Severidad preliminar basada en la superposición de privaciones sectoriales]]</f>
        <v>2</v>
      </c>
      <c r="AP89" s="417"/>
      <c r="AQ89" s="421" t="s">
        <v>876</v>
      </c>
      <c r="AR89" s="417">
        <v>3</v>
      </c>
    </row>
    <row r="90" spans="1:44" hidden="1">
      <c r="A9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VenezolanosVE0810</v>
      </c>
      <c r="B90" s="363" t="s">
        <v>261</v>
      </c>
      <c r="C90" s="323" t="s">
        <v>262</v>
      </c>
      <c r="D90" s="322" t="s">
        <v>280</v>
      </c>
      <c r="E90" s="323" t="s">
        <v>281</v>
      </c>
      <c r="F90" s="323"/>
      <c r="G90" s="324">
        <v>157437</v>
      </c>
      <c r="H90" s="324" t="s">
        <v>102</v>
      </c>
      <c r="I90" s="374">
        <v>2</v>
      </c>
      <c r="J90" s="237">
        <v>2</v>
      </c>
      <c r="K90" s="237">
        <v>3</v>
      </c>
      <c r="L90" s="237">
        <v>3</v>
      </c>
      <c r="M90" s="237">
        <v>4</v>
      </c>
      <c r="N90" s="237">
        <v>2</v>
      </c>
      <c r="O90" s="237">
        <v>4</v>
      </c>
      <c r="P90" s="237">
        <v>4</v>
      </c>
      <c r="Q90" s="382" t="str">
        <f>IF(COUNTIF(tblSeverityAnalysis[[#This Row],[SAMV]:[ASH]], 1)=0, "", COUNTIF(tblSeverityAnalysis[[#This Row],[SAMV]:[ASH]], 1))</f>
        <v/>
      </c>
      <c r="R90" s="325">
        <f>IF(COUNTIF(tblSeverityAnalysis[[#This Row],[SAMV]:[ASH]], 2)=0, "", COUNTIF(tblSeverityAnalysis[[#This Row],[SAMV]:[ASH]], 2))</f>
        <v>3</v>
      </c>
      <c r="S90" s="325">
        <f>IF(COUNTIF(tblSeverityAnalysis[[#This Row],[SAMV]:[ASH]], 3)=0, "", COUNTIF(tblSeverityAnalysis[[#This Row],[SAMV]:[ASH]], 3))</f>
        <v>2</v>
      </c>
      <c r="T90" s="325">
        <f>IF(COUNTIF(tblSeverityAnalysis[[#This Row],[SAMV]:[ASH]], 4)=0, "", COUNTIF(tblSeverityAnalysis[[#This Row],[SAMV]:[ASH]], 4))</f>
        <v>1</v>
      </c>
      <c r="U90" s="383" t="str">
        <f>IF(COUNTIF(tblSeverityAnalysis[[#This Row],[SAMV]:[ASH]], 5)=0, "", COUNTIF(tblSeverityAnalysis[[#This Row],[SAMV]:[ASH]], 5))</f>
        <v/>
      </c>
      <c r="V90" s="375" cm="1">
        <f t="array" ref="V9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9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90" s="237" t="str">
        <f>IFERROR(IF(INDEX(tblSeverityReference[Severidad de la desnutrición],MATCH(tblSeverityAnalysis[[#This Row],[ID]], tblSeverityReference[ID], 0))= "", "",INDEX(tblSeverityReference[Severidad de la desnutrición],MATCH(tblSeverityAnalysis[[#This Row],[ID]], tblSeverityReference[ID], 0)) ), "")</f>
        <v/>
      </c>
      <c r="Y90" s="349" t="str">
        <f>IFERROR(IF(INDEX(tblSeverityReference[Severidad epidémica],MATCH(tblSeverityAnalysis[[#This Row],[ID]], tblSeverityReference[ID], 0))= "", "",INDEX(tblSeverityReference[Severidad epidémica],MATCH(tblSeverityAnalysis[[#This Row],[ID]], tblSeverityReference[ID], 0)) ), "")</f>
        <v/>
      </c>
      <c r="Z9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90" s="391" t="str">
        <f>IFERROR(IF(INDEX(tblSeverityReference[HR/IHL Violation],MATCH(tblSeverityAnalysis[[#This Row],[ID]], tblSeverityReference[ID], 0))= "", "",INDEX(tblSeverityReference[HR/IHL Violation],MATCH(tblSeverityAnalysis[[#This Row],[ID]], tblSeverityReference[ID], 0)) ), "")</f>
        <v/>
      </c>
      <c r="AB90" s="397">
        <f>IFERROR(AVERAGE(tblSeverityAnalysis[[#This Row],[SAMV]:[ASH]]), "")</f>
        <v>2.6666666666666665</v>
      </c>
      <c r="AC90" s="346">
        <f>IF(SUM(tblSeverityAnalysis[[#This Row],[SAMV]:[ASH]])=0, "", MAX(tblSeverityAnalysis[[#This Row],[SAMV]:[ASH]]))</f>
        <v>4</v>
      </c>
      <c r="AD90" s="261" t="str" cm="1">
        <f t="array" ref="AD90">IFERROR(IF(tblSeverityAnalysis[[#This Row],[Severidad máxima]]="", "", _xlfn.TEXTJOIN(CHAR(10), TRUE, IF(tblSeverityAnalysis[[#This Row],[SAMV]:[ASH]]=tblSeverityAnalysis[[#This Row],[Severidad máxima]], tblSeverityAnalysis[[#Headers],[SAMV]:[ASH]], ""), "")), "")</f>
        <v>PRO</v>
      </c>
      <c r="AE90" s="346" cm="1">
        <f t="array" ref="AE90">IFERROR(MAX(_xlfn._xlws.FILTER(tblSeverityAnalysis[[#This Row],[SAMV]:[ASH]], tblSeverityAnalysis[[#This Row],[SAMV]:[ASH]]&lt;tblSeverityAnalysis[[#This Row],[Severidad máxima]])), "")</f>
        <v>3</v>
      </c>
      <c r="AF90" s="398" t="str" cm="1">
        <f t="array" ref="AF90">IFERROR(IF(tblSeverityAnalysis[[#This Row],[2ª mayor severidad]]="", "", _xlfn.TEXTJOIN(CHAR(10), TRUE, IF(tblSeverityAnalysis[[#This Row],[SAMV]:[ASH]]=tblSeverityAnalysis[[#This Row],[2ª mayor severidad]], tblSeverityAnalysis[[#Headers],[SAMV]:[ASH]], ""), "")), "")</f>
        <v>SAL
EDU</v>
      </c>
      <c r="AG90" s="405" t="str">
        <f>IFERROR(IF(AND(tblSeverityAnalysis[[#This Row],[5]] &lt;&gt; "", tblSeverityAnalysis[[#This Row],[5]]&gt;=sectors_sev_5), "Flagged", ""), "")</f>
        <v/>
      </c>
      <c r="AH90" s="347" t="str">
        <f>IFERROR(IF(AND(tblSeverityAnalysis[[#This Row],[Severidad preliminar basada en la superposición de privaciones sectoriales]]=5, SUM(tblSeverityAnalysis[[#This Row],[ 1 ]:[ 4 ]])&gt;=sectors_sev_5), "Flagged", ""), "")</f>
        <v/>
      </c>
      <c r="AI90" s="348" t="str" cm="1">
        <f t="array" ref="AI9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9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90" s="350"/>
      <c r="AL90" s="351"/>
      <c r="AM90" s="350"/>
      <c r="AN90" s="407">
        <f>COUNTIF(tblSeverityAnalysis[[#This Row],[1 sectores en fase de severidad 5 '[modificar el umbral']]:[Marcador manual]], "Flagged")</f>
        <v>0</v>
      </c>
      <c r="AO90" s="418">
        <f>tblSeverityAnalysis[[#This Row],[Severidad preliminar basada en la superposición de privaciones sectoriales]]</f>
        <v>2</v>
      </c>
      <c r="AP90" s="417"/>
      <c r="AQ90" s="421" t="s">
        <v>876</v>
      </c>
      <c r="AR90" s="417">
        <v>3</v>
      </c>
    </row>
    <row r="91" spans="1:44" hidden="1">
      <c r="A9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VenezolanosVE0811</v>
      </c>
      <c r="B91" s="363" t="s">
        <v>261</v>
      </c>
      <c r="C91" s="323" t="s">
        <v>262</v>
      </c>
      <c r="D91" s="322" t="s">
        <v>282</v>
      </c>
      <c r="E91" s="323" t="s">
        <v>283</v>
      </c>
      <c r="F91" s="323"/>
      <c r="G91" s="324">
        <v>182493</v>
      </c>
      <c r="H91" s="324" t="s">
        <v>102</v>
      </c>
      <c r="I91" s="374">
        <v>2</v>
      </c>
      <c r="J91" s="237">
        <v>2</v>
      </c>
      <c r="K91" s="237">
        <v>3</v>
      </c>
      <c r="L91" s="237">
        <v>3</v>
      </c>
      <c r="M91" s="237">
        <v>4</v>
      </c>
      <c r="N91" s="237">
        <v>2</v>
      </c>
      <c r="O91" s="237">
        <v>4</v>
      </c>
      <c r="P91" s="237">
        <v>4</v>
      </c>
      <c r="Q91" s="382" t="str">
        <f>IF(COUNTIF(tblSeverityAnalysis[[#This Row],[SAMV]:[ASH]], 1)=0, "", COUNTIF(tblSeverityAnalysis[[#This Row],[SAMV]:[ASH]], 1))</f>
        <v/>
      </c>
      <c r="R91" s="325">
        <f>IF(COUNTIF(tblSeverityAnalysis[[#This Row],[SAMV]:[ASH]], 2)=0, "", COUNTIF(tblSeverityAnalysis[[#This Row],[SAMV]:[ASH]], 2))</f>
        <v>3</v>
      </c>
      <c r="S91" s="325">
        <f>IF(COUNTIF(tblSeverityAnalysis[[#This Row],[SAMV]:[ASH]], 3)=0, "", COUNTIF(tblSeverityAnalysis[[#This Row],[SAMV]:[ASH]], 3))</f>
        <v>2</v>
      </c>
      <c r="T91" s="325">
        <f>IF(COUNTIF(tblSeverityAnalysis[[#This Row],[SAMV]:[ASH]], 4)=0, "", COUNTIF(tblSeverityAnalysis[[#This Row],[SAMV]:[ASH]], 4))</f>
        <v>1</v>
      </c>
      <c r="U91" s="383" t="str">
        <f>IF(COUNTIF(tblSeverityAnalysis[[#This Row],[SAMV]:[ASH]], 5)=0, "", COUNTIF(tblSeverityAnalysis[[#This Row],[SAMV]:[ASH]], 5))</f>
        <v/>
      </c>
      <c r="V91" s="375" cm="1">
        <f t="array" ref="V9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9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91" s="237" t="str">
        <f>IFERROR(IF(INDEX(tblSeverityReference[Severidad de la desnutrición],MATCH(tblSeverityAnalysis[[#This Row],[ID]], tblSeverityReference[ID], 0))= "", "",INDEX(tblSeverityReference[Severidad de la desnutrición],MATCH(tblSeverityAnalysis[[#This Row],[ID]], tblSeverityReference[ID], 0)) ), "")</f>
        <v/>
      </c>
      <c r="Y91" s="349" t="str">
        <f>IFERROR(IF(INDEX(tblSeverityReference[Severidad epidémica],MATCH(tblSeverityAnalysis[[#This Row],[ID]], tblSeverityReference[ID], 0))= "", "",INDEX(tblSeverityReference[Severidad epidémica],MATCH(tblSeverityAnalysis[[#This Row],[ID]], tblSeverityReference[ID], 0)) ), "")</f>
        <v/>
      </c>
      <c r="Z9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91" s="391" t="str">
        <f>IFERROR(IF(INDEX(tblSeverityReference[HR/IHL Violation],MATCH(tblSeverityAnalysis[[#This Row],[ID]], tblSeverityReference[ID], 0))= "", "",INDEX(tblSeverityReference[HR/IHL Violation],MATCH(tblSeverityAnalysis[[#This Row],[ID]], tblSeverityReference[ID], 0)) ), "")</f>
        <v/>
      </c>
      <c r="AB91" s="397">
        <f>IFERROR(AVERAGE(tblSeverityAnalysis[[#This Row],[SAMV]:[ASH]]), "")</f>
        <v>2.6666666666666665</v>
      </c>
      <c r="AC91" s="346">
        <f>IF(SUM(tblSeverityAnalysis[[#This Row],[SAMV]:[ASH]])=0, "", MAX(tblSeverityAnalysis[[#This Row],[SAMV]:[ASH]]))</f>
        <v>4</v>
      </c>
      <c r="AD91" s="261" t="str" cm="1">
        <f t="array" ref="AD91">IFERROR(IF(tblSeverityAnalysis[[#This Row],[Severidad máxima]]="", "", _xlfn.TEXTJOIN(CHAR(10), TRUE, IF(tblSeverityAnalysis[[#This Row],[SAMV]:[ASH]]=tblSeverityAnalysis[[#This Row],[Severidad máxima]], tblSeverityAnalysis[[#Headers],[SAMV]:[ASH]], ""), "")), "")</f>
        <v>PRO</v>
      </c>
      <c r="AE91" s="346" cm="1">
        <f t="array" ref="AE91">IFERROR(MAX(_xlfn._xlws.FILTER(tblSeverityAnalysis[[#This Row],[SAMV]:[ASH]], tblSeverityAnalysis[[#This Row],[SAMV]:[ASH]]&lt;tblSeverityAnalysis[[#This Row],[Severidad máxima]])), "")</f>
        <v>3</v>
      </c>
      <c r="AF91" s="398" t="str" cm="1">
        <f t="array" ref="AF91">IFERROR(IF(tblSeverityAnalysis[[#This Row],[2ª mayor severidad]]="", "", _xlfn.TEXTJOIN(CHAR(10), TRUE, IF(tblSeverityAnalysis[[#This Row],[SAMV]:[ASH]]=tblSeverityAnalysis[[#This Row],[2ª mayor severidad]], tblSeverityAnalysis[[#Headers],[SAMV]:[ASH]], ""), "")), "")</f>
        <v>SAL
EDU</v>
      </c>
      <c r="AG91" s="405" t="str">
        <f>IFERROR(IF(AND(tblSeverityAnalysis[[#This Row],[5]] &lt;&gt; "", tblSeverityAnalysis[[#This Row],[5]]&gt;=sectors_sev_5), "Flagged", ""), "")</f>
        <v/>
      </c>
      <c r="AH91" s="347" t="str">
        <f>IFERROR(IF(AND(tblSeverityAnalysis[[#This Row],[Severidad preliminar basada en la superposición de privaciones sectoriales]]=5, SUM(tblSeverityAnalysis[[#This Row],[ 1 ]:[ 4 ]])&gt;=sectors_sev_5), "Flagged", ""), "")</f>
        <v/>
      </c>
      <c r="AI91" s="348" t="str" cm="1">
        <f t="array" ref="AI9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9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91" s="350"/>
      <c r="AL91" s="351"/>
      <c r="AM91" s="350"/>
      <c r="AN91" s="407">
        <f>COUNTIF(tblSeverityAnalysis[[#This Row],[1 sectores en fase de severidad 5 '[modificar el umbral']]:[Marcador manual]], "Flagged")</f>
        <v>0</v>
      </c>
      <c r="AO91" s="418">
        <f>tblSeverityAnalysis[[#This Row],[Severidad preliminar basada en la superposición de privaciones sectoriales]]</f>
        <v>2</v>
      </c>
      <c r="AP91" s="417"/>
      <c r="AQ91" s="421" t="s">
        <v>876</v>
      </c>
      <c r="AR91" s="417">
        <v>3</v>
      </c>
    </row>
    <row r="92" spans="1:44" hidden="1">
      <c r="A9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VenezolanosVE0812</v>
      </c>
      <c r="B92" s="363" t="s">
        <v>261</v>
      </c>
      <c r="C92" s="323" t="s">
        <v>262</v>
      </c>
      <c r="D92" s="322" t="s">
        <v>284</v>
      </c>
      <c r="E92" s="323" t="s">
        <v>285</v>
      </c>
      <c r="F92" s="323"/>
      <c r="G92" s="324">
        <v>93257</v>
      </c>
      <c r="H92" s="324" t="s">
        <v>102</v>
      </c>
      <c r="I92" s="374">
        <v>2</v>
      </c>
      <c r="J92" s="237">
        <v>2</v>
      </c>
      <c r="K92" s="237">
        <v>3</v>
      </c>
      <c r="L92" s="237">
        <v>3</v>
      </c>
      <c r="M92" s="237">
        <v>4</v>
      </c>
      <c r="N92" s="237">
        <v>2</v>
      </c>
      <c r="O92" s="237">
        <v>4</v>
      </c>
      <c r="P92" s="237">
        <v>4</v>
      </c>
      <c r="Q92" s="382" t="str">
        <f>IF(COUNTIF(tblSeverityAnalysis[[#This Row],[SAMV]:[ASH]], 1)=0, "", COUNTIF(tblSeverityAnalysis[[#This Row],[SAMV]:[ASH]], 1))</f>
        <v/>
      </c>
      <c r="R92" s="325">
        <f>IF(COUNTIF(tblSeverityAnalysis[[#This Row],[SAMV]:[ASH]], 2)=0, "", COUNTIF(tblSeverityAnalysis[[#This Row],[SAMV]:[ASH]], 2))</f>
        <v>3</v>
      </c>
      <c r="S92" s="325">
        <f>IF(COUNTIF(tblSeverityAnalysis[[#This Row],[SAMV]:[ASH]], 3)=0, "", COUNTIF(tblSeverityAnalysis[[#This Row],[SAMV]:[ASH]], 3))</f>
        <v>2</v>
      </c>
      <c r="T92" s="325">
        <f>IF(COUNTIF(tblSeverityAnalysis[[#This Row],[SAMV]:[ASH]], 4)=0, "", COUNTIF(tblSeverityAnalysis[[#This Row],[SAMV]:[ASH]], 4))</f>
        <v>1</v>
      </c>
      <c r="U92" s="383" t="str">
        <f>IF(COUNTIF(tblSeverityAnalysis[[#This Row],[SAMV]:[ASH]], 5)=0, "", COUNTIF(tblSeverityAnalysis[[#This Row],[SAMV]:[ASH]], 5))</f>
        <v/>
      </c>
      <c r="V92" s="375" cm="1">
        <f t="array" ref="V9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9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92" s="237" t="str">
        <f>IFERROR(IF(INDEX(tblSeverityReference[Severidad de la desnutrición],MATCH(tblSeverityAnalysis[[#This Row],[ID]], tblSeverityReference[ID], 0))= "", "",INDEX(tblSeverityReference[Severidad de la desnutrición],MATCH(tblSeverityAnalysis[[#This Row],[ID]], tblSeverityReference[ID], 0)) ), "")</f>
        <v/>
      </c>
      <c r="Y92" s="349" t="str">
        <f>IFERROR(IF(INDEX(tblSeverityReference[Severidad epidémica],MATCH(tblSeverityAnalysis[[#This Row],[ID]], tblSeverityReference[ID], 0))= "", "",INDEX(tblSeverityReference[Severidad epidémica],MATCH(tblSeverityAnalysis[[#This Row],[ID]], tblSeverityReference[ID], 0)) ), "")</f>
        <v/>
      </c>
      <c r="Z9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92" s="391" t="str">
        <f>IFERROR(IF(INDEX(tblSeverityReference[HR/IHL Violation],MATCH(tblSeverityAnalysis[[#This Row],[ID]], tblSeverityReference[ID], 0))= "", "",INDEX(tblSeverityReference[HR/IHL Violation],MATCH(tblSeverityAnalysis[[#This Row],[ID]], tblSeverityReference[ID], 0)) ), "")</f>
        <v/>
      </c>
      <c r="AB92" s="397">
        <f>IFERROR(AVERAGE(tblSeverityAnalysis[[#This Row],[SAMV]:[ASH]]), "")</f>
        <v>2.6666666666666665</v>
      </c>
      <c r="AC92" s="346">
        <f>IF(SUM(tblSeverityAnalysis[[#This Row],[SAMV]:[ASH]])=0, "", MAX(tblSeverityAnalysis[[#This Row],[SAMV]:[ASH]]))</f>
        <v>4</v>
      </c>
      <c r="AD92" s="261" t="str" cm="1">
        <f t="array" ref="AD92">IFERROR(IF(tblSeverityAnalysis[[#This Row],[Severidad máxima]]="", "", _xlfn.TEXTJOIN(CHAR(10), TRUE, IF(tblSeverityAnalysis[[#This Row],[SAMV]:[ASH]]=tblSeverityAnalysis[[#This Row],[Severidad máxima]], tblSeverityAnalysis[[#Headers],[SAMV]:[ASH]], ""), "")), "")</f>
        <v>PRO</v>
      </c>
      <c r="AE92" s="346" cm="1">
        <f t="array" ref="AE92">IFERROR(MAX(_xlfn._xlws.FILTER(tblSeverityAnalysis[[#This Row],[SAMV]:[ASH]], tblSeverityAnalysis[[#This Row],[SAMV]:[ASH]]&lt;tblSeverityAnalysis[[#This Row],[Severidad máxima]])), "")</f>
        <v>3</v>
      </c>
      <c r="AF92" s="398" t="str" cm="1">
        <f t="array" ref="AF92">IFERROR(IF(tblSeverityAnalysis[[#This Row],[2ª mayor severidad]]="", "", _xlfn.TEXTJOIN(CHAR(10), TRUE, IF(tblSeverityAnalysis[[#This Row],[SAMV]:[ASH]]=tblSeverityAnalysis[[#This Row],[2ª mayor severidad]], tblSeverityAnalysis[[#Headers],[SAMV]:[ASH]], ""), "")), "")</f>
        <v>SAL
EDU</v>
      </c>
      <c r="AG92" s="405" t="str">
        <f>IFERROR(IF(AND(tblSeverityAnalysis[[#This Row],[5]] &lt;&gt; "", tblSeverityAnalysis[[#This Row],[5]]&gt;=sectors_sev_5), "Flagged", ""), "")</f>
        <v/>
      </c>
      <c r="AH92" s="347" t="str">
        <f>IFERROR(IF(AND(tblSeverityAnalysis[[#This Row],[Severidad preliminar basada en la superposición de privaciones sectoriales]]=5, SUM(tblSeverityAnalysis[[#This Row],[ 1 ]:[ 4 ]])&gt;=sectors_sev_5), "Flagged", ""), "")</f>
        <v/>
      </c>
      <c r="AI92" s="348" t="str" cm="1">
        <f t="array" ref="AI9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9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92" s="350"/>
      <c r="AL92" s="351"/>
      <c r="AM92" s="350"/>
      <c r="AN92" s="407">
        <f>COUNTIF(tblSeverityAnalysis[[#This Row],[1 sectores en fase de severidad 5 '[modificar el umbral']]:[Marcador manual]], "Flagged")</f>
        <v>0</v>
      </c>
      <c r="AO92" s="418">
        <f>tblSeverityAnalysis[[#This Row],[Severidad preliminar basada en la superposición de privaciones sectoriales]]</f>
        <v>2</v>
      </c>
      <c r="AP92" s="417"/>
      <c r="AQ92" s="421" t="s">
        <v>876</v>
      </c>
      <c r="AR92" s="417">
        <v>3</v>
      </c>
    </row>
    <row r="93" spans="1:44" hidden="1">
      <c r="A9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VenezolanosVE0813</v>
      </c>
      <c r="B93" s="363" t="s">
        <v>261</v>
      </c>
      <c r="C93" s="323" t="s">
        <v>262</v>
      </c>
      <c r="D93" s="322" t="s">
        <v>286</v>
      </c>
      <c r="E93" s="323" t="s">
        <v>287</v>
      </c>
      <c r="F93" s="323"/>
      <c r="G93" s="324">
        <v>64124</v>
      </c>
      <c r="H93" s="324" t="s">
        <v>102</v>
      </c>
      <c r="I93" s="374">
        <v>2</v>
      </c>
      <c r="J93" s="237">
        <v>2</v>
      </c>
      <c r="K93" s="237">
        <v>3</v>
      </c>
      <c r="L93" s="237">
        <v>4</v>
      </c>
      <c r="M93" s="237">
        <v>4</v>
      </c>
      <c r="N93" s="237">
        <v>2</v>
      </c>
      <c r="O93" s="237">
        <v>4</v>
      </c>
      <c r="P93" s="237">
        <v>4</v>
      </c>
      <c r="Q93" s="382" t="str">
        <f>IF(COUNTIF(tblSeverityAnalysis[[#This Row],[SAMV]:[ASH]], 1)=0, "", COUNTIF(tblSeverityAnalysis[[#This Row],[SAMV]:[ASH]], 1))</f>
        <v/>
      </c>
      <c r="R93" s="325">
        <f>IF(COUNTIF(tblSeverityAnalysis[[#This Row],[SAMV]:[ASH]], 2)=0, "", COUNTIF(tblSeverityAnalysis[[#This Row],[SAMV]:[ASH]], 2))</f>
        <v>3</v>
      </c>
      <c r="S93" s="325">
        <f>IF(COUNTIF(tblSeverityAnalysis[[#This Row],[SAMV]:[ASH]], 3)=0, "", COUNTIF(tblSeverityAnalysis[[#This Row],[SAMV]:[ASH]], 3))</f>
        <v>1</v>
      </c>
      <c r="T93" s="325">
        <f>IF(COUNTIF(tblSeverityAnalysis[[#This Row],[SAMV]:[ASH]], 4)=0, "", COUNTIF(tblSeverityAnalysis[[#This Row],[SAMV]:[ASH]], 4))</f>
        <v>2</v>
      </c>
      <c r="U93" s="383" t="str">
        <f>IF(COUNTIF(tblSeverityAnalysis[[#This Row],[SAMV]:[ASH]], 5)=0, "", COUNTIF(tblSeverityAnalysis[[#This Row],[SAMV]:[ASH]], 5))</f>
        <v/>
      </c>
      <c r="V93" s="375" cm="1">
        <f t="array" ref="V9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9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93" s="237" t="str">
        <f>IFERROR(IF(INDEX(tblSeverityReference[Severidad de la desnutrición],MATCH(tblSeverityAnalysis[[#This Row],[ID]], tblSeverityReference[ID], 0))= "", "",INDEX(tblSeverityReference[Severidad de la desnutrición],MATCH(tblSeverityAnalysis[[#This Row],[ID]], tblSeverityReference[ID], 0)) ), "")</f>
        <v/>
      </c>
      <c r="Y93" s="349" t="str">
        <f>IFERROR(IF(INDEX(tblSeverityReference[Severidad epidémica],MATCH(tblSeverityAnalysis[[#This Row],[ID]], tblSeverityReference[ID], 0))= "", "",INDEX(tblSeverityReference[Severidad epidémica],MATCH(tblSeverityAnalysis[[#This Row],[ID]], tblSeverityReference[ID], 0)) ), "")</f>
        <v/>
      </c>
      <c r="Z9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93" s="391" t="str">
        <f>IFERROR(IF(INDEX(tblSeverityReference[HR/IHL Violation],MATCH(tblSeverityAnalysis[[#This Row],[ID]], tblSeverityReference[ID], 0))= "", "",INDEX(tblSeverityReference[HR/IHL Violation],MATCH(tblSeverityAnalysis[[#This Row],[ID]], tblSeverityReference[ID], 0)) ), "")</f>
        <v/>
      </c>
      <c r="AB93" s="397">
        <f>IFERROR(AVERAGE(tblSeverityAnalysis[[#This Row],[SAMV]:[ASH]]), "")</f>
        <v>2.8333333333333335</v>
      </c>
      <c r="AC93" s="346">
        <f>IF(SUM(tblSeverityAnalysis[[#This Row],[SAMV]:[ASH]])=0, "", MAX(tblSeverityAnalysis[[#This Row],[SAMV]:[ASH]]))</f>
        <v>4</v>
      </c>
      <c r="AD93" s="261" t="str" cm="1">
        <f t="array" ref="AD93">IFERROR(IF(tblSeverityAnalysis[[#This Row],[Severidad máxima]]="", "", _xlfn.TEXTJOIN(CHAR(10), TRUE, IF(tblSeverityAnalysis[[#This Row],[SAMV]:[ASH]]=tblSeverityAnalysis[[#This Row],[Severidad máxima]], tblSeverityAnalysis[[#Headers],[SAMV]:[ASH]], ""), "")), "")</f>
        <v>EDU
PRO</v>
      </c>
      <c r="AE93" s="346" cm="1">
        <f t="array" ref="AE93">IFERROR(MAX(_xlfn._xlws.FILTER(tblSeverityAnalysis[[#This Row],[SAMV]:[ASH]], tblSeverityAnalysis[[#This Row],[SAMV]:[ASH]]&lt;tblSeverityAnalysis[[#This Row],[Severidad máxima]])), "")</f>
        <v>3</v>
      </c>
      <c r="AF93" s="398" t="str" cm="1">
        <f t="array" ref="AF93">IFERROR(IF(tblSeverityAnalysis[[#This Row],[2ª mayor severidad]]="", "", _xlfn.TEXTJOIN(CHAR(10), TRUE, IF(tblSeverityAnalysis[[#This Row],[SAMV]:[ASH]]=tblSeverityAnalysis[[#This Row],[2ª mayor severidad]], tblSeverityAnalysis[[#Headers],[SAMV]:[ASH]], ""), "")), "")</f>
        <v>SAL</v>
      </c>
      <c r="AG93" s="405" t="str">
        <f>IFERROR(IF(AND(tblSeverityAnalysis[[#This Row],[5]] &lt;&gt; "", tblSeverityAnalysis[[#This Row],[5]]&gt;=sectors_sev_5), "Flagged", ""), "")</f>
        <v/>
      </c>
      <c r="AH93" s="347" t="str">
        <f>IFERROR(IF(AND(tblSeverityAnalysis[[#This Row],[Severidad preliminar basada en la superposición de privaciones sectoriales]]=5, SUM(tblSeverityAnalysis[[#This Row],[ 1 ]:[ 4 ]])&gt;=sectors_sev_5), "Flagged", ""), "")</f>
        <v/>
      </c>
      <c r="AI93" s="348" t="str" cm="1">
        <f t="array" ref="AI9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9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93" s="350"/>
      <c r="AL93" s="351"/>
      <c r="AM93" s="350"/>
      <c r="AN93" s="407">
        <f>COUNTIF(tblSeverityAnalysis[[#This Row],[1 sectores en fase de severidad 5 '[modificar el umbral']]:[Marcador manual]], "Flagged")</f>
        <v>0</v>
      </c>
      <c r="AO93" s="418">
        <f>tblSeverityAnalysis[[#This Row],[Severidad preliminar basada en la superposición de privaciones sectoriales]]</f>
        <v>2</v>
      </c>
      <c r="AP93" s="417"/>
      <c r="AQ93" s="421" t="s">
        <v>876</v>
      </c>
      <c r="AR93" s="417">
        <v>3</v>
      </c>
    </row>
    <row r="94" spans="1:44" hidden="1">
      <c r="A9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VenezolanosVE0814</v>
      </c>
      <c r="B94" s="363" t="s">
        <v>261</v>
      </c>
      <c r="C94" s="323" t="s">
        <v>262</v>
      </c>
      <c r="D94" s="429" t="s">
        <v>288</v>
      </c>
      <c r="E94" s="323" t="s">
        <v>289</v>
      </c>
      <c r="F94" s="323"/>
      <c r="G94" s="324">
        <v>829856</v>
      </c>
      <c r="H94" s="324" t="s">
        <v>102</v>
      </c>
      <c r="I94" s="374">
        <v>3</v>
      </c>
      <c r="J94" s="237">
        <v>4</v>
      </c>
      <c r="K94" s="237">
        <v>3</v>
      </c>
      <c r="L94" s="237">
        <v>3</v>
      </c>
      <c r="M94" s="237">
        <v>4</v>
      </c>
      <c r="N94" s="237">
        <v>3</v>
      </c>
      <c r="O94" s="237">
        <v>4</v>
      </c>
      <c r="P94" s="237">
        <v>4</v>
      </c>
      <c r="Q94" s="382" t="str">
        <f>IF(COUNTIF(tblSeverityAnalysis[[#This Row],[SAMV]:[ASH]], 1)=0, "", COUNTIF(tblSeverityAnalysis[[#This Row],[SAMV]:[ASH]], 1))</f>
        <v/>
      </c>
      <c r="R94" s="325" t="str">
        <f>IF(COUNTIF(tblSeverityAnalysis[[#This Row],[SAMV]:[ASH]], 2)=0, "", COUNTIF(tblSeverityAnalysis[[#This Row],[SAMV]:[ASH]], 2))</f>
        <v/>
      </c>
      <c r="S94" s="325">
        <f>IF(COUNTIF(tblSeverityAnalysis[[#This Row],[SAMV]:[ASH]], 3)=0, "", COUNTIF(tblSeverityAnalysis[[#This Row],[SAMV]:[ASH]], 3))</f>
        <v>4</v>
      </c>
      <c r="T94" s="325">
        <f>IF(COUNTIF(tblSeverityAnalysis[[#This Row],[SAMV]:[ASH]], 4)=0, "", COUNTIF(tblSeverityAnalysis[[#This Row],[SAMV]:[ASH]], 4))</f>
        <v>2</v>
      </c>
      <c r="U94" s="383" t="str">
        <f>IF(COUNTIF(tblSeverityAnalysis[[#This Row],[SAMV]:[ASH]], 5)=0, "", COUNTIF(tblSeverityAnalysis[[#This Row],[SAMV]:[ASH]], 5))</f>
        <v/>
      </c>
      <c r="V94" s="376">
        <v>4</v>
      </c>
      <c r="W9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94" s="237" t="str">
        <f>IFERROR(IF(INDEX(tblSeverityReference[Severidad de la desnutrición],MATCH(tblSeverityAnalysis[[#This Row],[ID]], tblSeverityReference[ID], 0))= "", "",INDEX(tblSeverityReference[Severidad de la desnutrición],MATCH(tblSeverityAnalysis[[#This Row],[ID]], tblSeverityReference[ID], 0)) ), "")</f>
        <v/>
      </c>
      <c r="Y94" s="349" t="str">
        <f>IFERROR(IF(INDEX(tblSeverityReference[Severidad epidémica],MATCH(tblSeverityAnalysis[[#This Row],[ID]], tblSeverityReference[ID], 0))= "", "",INDEX(tblSeverityReference[Severidad epidémica],MATCH(tblSeverityAnalysis[[#This Row],[ID]], tblSeverityReference[ID], 0)) ), "")</f>
        <v/>
      </c>
      <c r="Z9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94" s="391" t="str">
        <f>IFERROR(IF(INDEX(tblSeverityReference[HR/IHL Violation],MATCH(tblSeverityAnalysis[[#This Row],[ID]], tblSeverityReference[ID], 0))= "", "",INDEX(tblSeverityReference[HR/IHL Violation],MATCH(tblSeverityAnalysis[[#This Row],[ID]], tblSeverityReference[ID], 0)) ), "")</f>
        <v/>
      </c>
      <c r="AB94" s="397">
        <f>IFERROR(AVERAGE(tblSeverityAnalysis[[#This Row],[SAMV]:[ASH]]), "")</f>
        <v>3.3333333333333335</v>
      </c>
      <c r="AC94" s="346">
        <f>IF(SUM(tblSeverityAnalysis[[#This Row],[SAMV]:[ASH]])=0, "", MAX(tblSeverityAnalysis[[#This Row],[SAMV]:[ASH]]))</f>
        <v>4</v>
      </c>
      <c r="AD94" s="261" t="str" cm="1">
        <f t="array" ref="AD94">IFERROR(IF(tblSeverityAnalysis[[#This Row],[Severidad máxima]]="", "", _xlfn.TEXTJOIN(CHAR(10), TRUE, IF(tblSeverityAnalysis[[#This Row],[SAMV]:[ASH]]=tblSeverityAnalysis[[#This Row],[Severidad máxima]], tblSeverityAnalysis[[#Headers],[SAMV]:[ASH]], ""), "")), "")</f>
        <v>NUT
PRO</v>
      </c>
      <c r="AE94" s="346" cm="1">
        <f t="array" ref="AE94">IFERROR(MAX(_xlfn._xlws.FILTER(tblSeverityAnalysis[[#This Row],[SAMV]:[ASH]], tblSeverityAnalysis[[#This Row],[SAMV]:[ASH]]&lt;tblSeverityAnalysis[[#This Row],[Severidad máxima]])), "")</f>
        <v>3</v>
      </c>
      <c r="AF94" s="398" t="str" cm="1">
        <f t="array" ref="AF94">IFERROR(IF(tblSeverityAnalysis[[#This Row],[2ª mayor severidad]]="", "", _xlfn.TEXTJOIN(CHAR(10), TRUE, IF(tblSeverityAnalysis[[#This Row],[SAMV]:[ASH]]=tblSeverityAnalysis[[#This Row],[2ª mayor severidad]], tblSeverityAnalysis[[#Headers],[SAMV]:[ASH]], ""), "")), "")</f>
        <v>SAMV
SAL
EDU
ASH</v>
      </c>
      <c r="AG94" s="405" t="str">
        <f>IFERROR(IF(AND(tblSeverityAnalysis[[#This Row],[5]] &lt;&gt; "", tblSeverityAnalysis[[#This Row],[5]]&gt;=sectors_sev_5), "Flagged", ""), "")</f>
        <v/>
      </c>
      <c r="AH94" s="347" t="str">
        <f>IFERROR(IF(AND(tblSeverityAnalysis[[#This Row],[Severidad preliminar basada en la superposición de privaciones sectoriales]]=5, SUM(tblSeverityAnalysis[[#This Row],[ 1 ]:[ 4 ]])&gt;=sectors_sev_5), "Flagged", ""), "")</f>
        <v/>
      </c>
      <c r="AI94" s="348" t="str" cm="1">
        <f t="array" ref="AI9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9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94" s="350"/>
      <c r="AL94" s="351"/>
      <c r="AM94" s="350"/>
      <c r="AN94" s="407">
        <f>COUNTIF(tblSeverityAnalysis[[#This Row],[1 sectores en fase de severidad 5 '[modificar el umbral']]:[Marcador manual]], "Flagged")</f>
        <v>0</v>
      </c>
      <c r="AO94" s="418">
        <f>tblSeverityAnalysis[[#This Row],[Severidad preliminar basada en la superposición de privaciones sectoriales]]</f>
        <v>4</v>
      </c>
      <c r="AP94" s="417" t="s">
        <v>879</v>
      </c>
      <c r="AQ94" s="421" t="s">
        <v>876</v>
      </c>
      <c r="AR94" s="417">
        <v>3</v>
      </c>
    </row>
    <row r="95" spans="1:44" hidden="1">
      <c r="A9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VenezolanosVE0901</v>
      </c>
      <c r="B95" s="363" t="s">
        <v>290</v>
      </c>
      <c r="C95" s="323" t="s">
        <v>291</v>
      </c>
      <c r="D95" s="322" t="s">
        <v>119</v>
      </c>
      <c r="E95" s="323" t="s">
        <v>292</v>
      </c>
      <c r="F95" s="323"/>
      <c r="G95" s="324">
        <v>17030</v>
      </c>
      <c r="H95" s="324" t="s">
        <v>102</v>
      </c>
      <c r="I95" s="374">
        <v>2</v>
      </c>
      <c r="J95" s="237">
        <v>2</v>
      </c>
      <c r="K95" s="237">
        <v>3</v>
      </c>
      <c r="L95" s="237">
        <v>3</v>
      </c>
      <c r="M95" s="237">
        <v>2</v>
      </c>
      <c r="N95" s="237">
        <v>2</v>
      </c>
      <c r="O95" s="237">
        <v>2</v>
      </c>
      <c r="P95" s="237">
        <v>2</v>
      </c>
      <c r="Q95" s="382" t="str">
        <f>IF(COUNTIF(tblSeverityAnalysis[[#This Row],[SAMV]:[ASH]], 1)=0, "", COUNTIF(tblSeverityAnalysis[[#This Row],[SAMV]:[ASH]], 1))</f>
        <v/>
      </c>
      <c r="R95" s="325">
        <f>IF(COUNTIF(tblSeverityAnalysis[[#This Row],[SAMV]:[ASH]], 2)=0, "", COUNTIF(tblSeverityAnalysis[[#This Row],[SAMV]:[ASH]], 2))</f>
        <v>4</v>
      </c>
      <c r="S95" s="325">
        <f>IF(COUNTIF(tblSeverityAnalysis[[#This Row],[SAMV]:[ASH]], 3)=0, "", COUNTIF(tblSeverityAnalysis[[#This Row],[SAMV]:[ASH]], 3))</f>
        <v>2</v>
      </c>
      <c r="T95" s="325" t="str">
        <f>IF(COUNTIF(tblSeverityAnalysis[[#This Row],[SAMV]:[ASH]], 4)=0, "", COUNTIF(tblSeverityAnalysis[[#This Row],[SAMV]:[ASH]], 4))</f>
        <v/>
      </c>
      <c r="U95" s="383" t="str">
        <f>IF(COUNTIF(tblSeverityAnalysis[[#This Row],[SAMV]:[ASH]], 5)=0, "", COUNTIF(tblSeverityAnalysis[[#This Row],[SAMV]:[ASH]], 5))</f>
        <v/>
      </c>
      <c r="V95" s="375" cm="1">
        <f t="array" ref="V9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9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95" s="237" t="str">
        <f>IFERROR(IF(INDEX(tblSeverityReference[Severidad de la desnutrición],MATCH(tblSeverityAnalysis[[#This Row],[ID]], tblSeverityReference[ID], 0))= "", "",INDEX(tblSeverityReference[Severidad de la desnutrición],MATCH(tblSeverityAnalysis[[#This Row],[ID]], tblSeverityReference[ID], 0)) ), "")</f>
        <v/>
      </c>
      <c r="Y95" s="349" t="str">
        <f>IFERROR(IF(INDEX(tblSeverityReference[Severidad epidémica],MATCH(tblSeverityAnalysis[[#This Row],[ID]], tblSeverityReference[ID], 0))= "", "",INDEX(tblSeverityReference[Severidad epidémica],MATCH(tblSeverityAnalysis[[#This Row],[ID]], tblSeverityReference[ID], 0)) ), "")</f>
        <v/>
      </c>
      <c r="Z9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95" s="391" t="str">
        <f>IFERROR(IF(INDEX(tblSeverityReference[HR/IHL Violation],MATCH(tblSeverityAnalysis[[#This Row],[ID]], tblSeverityReference[ID], 0))= "", "",INDEX(tblSeverityReference[HR/IHL Violation],MATCH(tblSeverityAnalysis[[#This Row],[ID]], tblSeverityReference[ID], 0)) ), "")</f>
        <v/>
      </c>
      <c r="AB95" s="397">
        <f>IFERROR(AVERAGE(tblSeverityAnalysis[[#This Row],[SAMV]:[ASH]]), "")</f>
        <v>2.3333333333333335</v>
      </c>
      <c r="AC95" s="346">
        <f>IF(SUM(tblSeverityAnalysis[[#This Row],[SAMV]:[ASH]])=0, "", MAX(tblSeverityAnalysis[[#This Row],[SAMV]:[ASH]]))</f>
        <v>3</v>
      </c>
      <c r="AD95" s="261" t="str" cm="1">
        <f t="array" ref="AD95">IFERROR(IF(tblSeverityAnalysis[[#This Row],[Severidad máxima]]="", "", _xlfn.TEXTJOIN(CHAR(10), TRUE, IF(tblSeverityAnalysis[[#This Row],[SAMV]:[ASH]]=tblSeverityAnalysis[[#This Row],[Severidad máxima]], tblSeverityAnalysis[[#Headers],[SAMV]:[ASH]], ""), "")), "")</f>
        <v>SAL
EDU</v>
      </c>
      <c r="AE95" s="346" cm="1">
        <f t="array" ref="AE95">IFERROR(MAX(_xlfn._xlws.FILTER(tblSeverityAnalysis[[#This Row],[SAMV]:[ASH]], tblSeverityAnalysis[[#This Row],[SAMV]:[ASH]]&lt;tblSeverityAnalysis[[#This Row],[Severidad máxima]])), "")</f>
        <v>2</v>
      </c>
      <c r="AF95" s="398" t="str" cm="1">
        <f t="array" ref="AF95">IFERROR(IF(tblSeverityAnalysis[[#This Row],[2ª mayor severidad]]="", "", _xlfn.TEXTJOIN(CHAR(10), TRUE, IF(tblSeverityAnalysis[[#This Row],[SAMV]:[ASH]]=tblSeverityAnalysis[[#This Row],[2ª mayor severidad]], tblSeverityAnalysis[[#Headers],[SAMV]:[ASH]], ""), "")), "")</f>
        <v>SAMV
NUT
PRO
ASH</v>
      </c>
      <c r="AG95" s="405" t="str">
        <f>IFERROR(IF(AND(tblSeverityAnalysis[[#This Row],[5]] &lt;&gt; "", tblSeverityAnalysis[[#This Row],[5]]&gt;=sectors_sev_5), "Flagged", ""), "")</f>
        <v/>
      </c>
      <c r="AH95" s="347" t="str">
        <f>IFERROR(IF(AND(tblSeverityAnalysis[[#This Row],[Severidad preliminar basada en la superposición de privaciones sectoriales]]=5, SUM(tblSeverityAnalysis[[#This Row],[ 1 ]:[ 4 ]])&gt;=sectors_sev_5), "Flagged", ""), "")</f>
        <v/>
      </c>
      <c r="AI95" s="348" t="str" cm="1">
        <f t="array" ref="AI9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9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95" s="350"/>
      <c r="AL95" s="351"/>
      <c r="AM95" s="350"/>
      <c r="AN95" s="407">
        <f>COUNTIF(tblSeverityAnalysis[[#This Row],[1 sectores en fase de severidad 5 '[modificar el umbral']]:[Marcador manual]], "Flagged")</f>
        <v>0</v>
      </c>
      <c r="AO95" s="418">
        <f>tblSeverityAnalysis[[#This Row],[Severidad preliminar basada en la superposición de privaciones sectoriales]]</f>
        <v>2</v>
      </c>
      <c r="AP95" s="417"/>
      <c r="AQ95" s="421" t="s">
        <v>876</v>
      </c>
      <c r="AR95" s="417">
        <v>3</v>
      </c>
    </row>
    <row r="96" spans="1:44" hidden="1">
      <c r="A9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VenezolanosVE0902</v>
      </c>
      <c r="B96" s="363" t="s">
        <v>290</v>
      </c>
      <c r="C96" s="323" t="s">
        <v>291</v>
      </c>
      <c r="D96" s="322" t="s">
        <v>293</v>
      </c>
      <c r="E96" s="323" t="s">
        <v>294</v>
      </c>
      <c r="F96" s="323"/>
      <c r="G96" s="324">
        <v>97687</v>
      </c>
      <c r="H96" s="324" t="s">
        <v>102</v>
      </c>
      <c r="I96" s="374">
        <v>1</v>
      </c>
      <c r="J96" s="237">
        <v>2</v>
      </c>
      <c r="K96" s="237">
        <v>3</v>
      </c>
      <c r="L96" s="237">
        <v>3</v>
      </c>
      <c r="M96" s="237">
        <v>2</v>
      </c>
      <c r="N96" s="237">
        <v>2</v>
      </c>
      <c r="O96" s="237">
        <v>2</v>
      </c>
      <c r="P96" s="237">
        <v>2</v>
      </c>
      <c r="Q96" s="382">
        <f>IF(COUNTIF(tblSeverityAnalysis[[#This Row],[SAMV]:[ASH]], 1)=0, "", COUNTIF(tblSeverityAnalysis[[#This Row],[SAMV]:[ASH]], 1))</f>
        <v>1</v>
      </c>
      <c r="R96" s="325">
        <f>IF(COUNTIF(tblSeverityAnalysis[[#This Row],[SAMV]:[ASH]], 2)=0, "", COUNTIF(tblSeverityAnalysis[[#This Row],[SAMV]:[ASH]], 2))</f>
        <v>3</v>
      </c>
      <c r="S96" s="325">
        <f>IF(COUNTIF(tblSeverityAnalysis[[#This Row],[SAMV]:[ASH]], 3)=0, "", COUNTIF(tblSeverityAnalysis[[#This Row],[SAMV]:[ASH]], 3))</f>
        <v>2</v>
      </c>
      <c r="T96" s="325" t="str">
        <f>IF(COUNTIF(tblSeverityAnalysis[[#This Row],[SAMV]:[ASH]], 4)=0, "", COUNTIF(tblSeverityAnalysis[[#This Row],[SAMV]:[ASH]], 4))</f>
        <v/>
      </c>
      <c r="U96" s="383" t="str">
        <f>IF(COUNTIF(tblSeverityAnalysis[[#This Row],[SAMV]:[ASH]], 5)=0, "", COUNTIF(tblSeverityAnalysis[[#This Row],[SAMV]:[ASH]], 5))</f>
        <v/>
      </c>
      <c r="V96" s="375" cm="1">
        <f t="array" ref="V9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9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96" s="237" t="str">
        <f>IFERROR(IF(INDEX(tblSeverityReference[Severidad de la desnutrición],MATCH(tblSeverityAnalysis[[#This Row],[ID]], tblSeverityReference[ID], 0))= "", "",INDEX(tblSeverityReference[Severidad de la desnutrición],MATCH(tblSeverityAnalysis[[#This Row],[ID]], tblSeverityReference[ID], 0)) ), "")</f>
        <v/>
      </c>
      <c r="Y96" s="349" t="str">
        <f>IFERROR(IF(INDEX(tblSeverityReference[Severidad epidémica],MATCH(tblSeverityAnalysis[[#This Row],[ID]], tblSeverityReference[ID], 0))= "", "",INDEX(tblSeverityReference[Severidad epidémica],MATCH(tblSeverityAnalysis[[#This Row],[ID]], tblSeverityReference[ID], 0)) ), "")</f>
        <v/>
      </c>
      <c r="Z9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96" s="391" t="str">
        <f>IFERROR(IF(INDEX(tblSeverityReference[HR/IHL Violation],MATCH(tblSeverityAnalysis[[#This Row],[ID]], tblSeverityReference[ID], 0))= "", "",INDEX(tblSeverityReference[HR/IHL Violation],MATCH(tblSeverityAnalysis[[#This Row],[ID]], tblSeverityReference[ID], 0)) ), "")</f>
        <v/>
      </c>
      <c r="AB96" s="397">
        <f>IFERROR(AVERAGE(tblSeverityAnalysis[[#This Row],[SAMV]:[ASH]]), "")</f>
        <v>2.1666666666666665</v>
      </c>
      <c r="AC96" s="346">
        <f>IF(SUM(tblSeverityAnalysis[[#This Row],[SAMV]:[ASH]])=0, "", MAX(tblSeverityAnalysis[[#This Row],[SAMV]:[ASH]]))</f>
        <v>3</v>
      </c>
      <c r="AD96" s="261" t="str" cm="1">
        <f t="array" ref="AD96">IFERROR(IF(tblSeverityAnalysis[[#This Row],[Severidad máxima]]="", "", _xlfn.TEXTJOIN(CHAR(10), TRUE, IF(tblSeverityAnalysis[[#This Row],[SAMV]:[ASH]]=tblSeverityAnalysis[[#This Row],[Severidad máxima]], tblSeverityAnalysis[[#Headers],[SAMV]:[ASH]], ""), "")), "")</f>
        <v>SAL
EDU</v>
      </c>
      <c r="AE96" s="346" cm="1">
        <f t="array" ref="AE96">IFERROR(MAX(_xlfn._xlws.FILTER(tblSeverityAnalysis[[#This Row],[SAMV]:[ASH]], tblSeverityAnalysis[[#This Row],[SAMV]:[ASH]]&lt;tblSeverityAnalysis[[#This Row],[Severidad máxima]])), "")</f>
        <v>2</v>
      </c>
      <c r="AF96" s="398" t="str" cm="1">
        <f t="array" ref="AF96">IFERROR(IF(tblSeverityAnalysis[[#This Row],[2ª mayor severidad]]="", "", _xlfn.TEXTJOIN(CHAR(10), TRUE, IF(tblSeverityAnalysis[[#This Row],[SAMV]:[ASH]]=tblSeverityAnalysis[[#This Row],[2ª mayor severidad]], tblSeverityAnalysis[[#Headers],[SAMV]:[ASH]], ""), "")), "")</f>
        <v>NUT
PRO
ASH</v>
      </c>
      <c r="AG96" s="405" t="str">
        <f>IFERROR(IF(AND(tblSeverityAnalysis[[#This Row],[5]] &lt;&gt; "", tblSeverityAnalysis[[#This Row],[5]]&gt;=sectors_sev_5), "Flagged", ""), "")</f>
        <v/>
      </c>
      <c r="AH96" s="347" t="str">
        <f>IFERROR(IF(AND(tblSeverityAnalysis[[#This Row],[Severidad preliminar basada en la superposición de privaciones sectoriales]]=5, SUM(tblSeverityAnalysis[[#This Row],[ 1 ]:[ 4 ]])&gt;=sectors_sev_5), "Flagged", ""), "")</f>
        <v/>
      </c>
      <c r="AI96" s="348" t="str" cm="1">
        <f t="array" ref="AI9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9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96" s="350"/>
      <c r="AL96" s="351"/>
      <c r="AM96" s="350"/>
      <c r="AN96" s="407">
        <f>COUNTIF(tblSeverityAnalysis[[#This Row],[1 sectores en fase de severidad 5 '[modificar el umbral']]:[Marcador manual]], "Flagged")</f>
        <v>0</v>
      </c>
      <c r="AO96" s="418">
        <f>tblSeverityAnalysis[[#This Row],[Severidad preliminar basada en la superposición de privaciones sectoriales]]</f>
        <v>2</v>
      </c>
      <c r="AP96" s="417"/>
      <c r="AQ96" s="421" t="s">
        <v>876</v>
      </c>
      <c r="AR96" s="417">
        <v>2</v>
      </c>
    </row>
    <row r="97" spans="1:44" hidden="1">
      <c r="A9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VenezolanosVE0903</v>
      </c>
      <c r="B97" s="363" t="s">
        <v>290</v>
      </c>
      <c r="C97" s="323" t="s">
        <v>291</v>
      </c>
      <c r="D97" s="322" t="s">
        <v>184</v>
      </c>
      <c r="E97" s="323" t="s">
        <v>295</v>
      </c>
      <c r="F97" s="323"/>
      <c r="G97" s="324">
        <v>11906</v>
      </c>
      <c r="H97" s="324" t="s">
        <v>102</v>
      </c>
      <c r="I97" s="374">
        <v>3</v>
      </c>
      <c r="J97" s="237">
        <v>1</v>
      </c>
      <c r="K97" s="237">
        <v>3</v>
      </c>
      <c r="L97" s="237">
        <v>3</v>
      </c>
      <c r="M97" s="237">
        <v>2</v>
      </c>
      <c r="N97" s="237">
        <v>2</v>
      </c>
      <c r="O97" s="237">
        <v>2</v>
      </c>
      <c r="P97" s="237">
        <v>2</v>
      </c>
      <c r="Q97" s="382">
        <f>IF(COUNTIF(tblSeverityAnalysis[[#This Row],[SAMV]:[ASH]], 1)=0, "", COUNTIF(tblSeverityAnalysis[[#This Row],[SAMV]:[ASH]], 1))</f>
        <v>1</v>
      </c>
      <c r="R97" s="325">
        <f>IF(COUNTIF(tblSeverityAnalysis[[#This Row],[SAMV]:[ASH]], 2)=0, "", COUNTIF(tblSeverityAnalysis[[#This Row],[SAMV]:[ASH]], 2))</f>
        <v>2</v>
      </c>
      <c r="S97" s="325">
        <f>IF(COUNTIF(tblSeverityAnalysis[[#This Row],[SAMV]:[ASH]], 3)=0, "", COUNTIF(tblSeverityAnalysis[[#This Row],[SAMV]:[ASH]], 3))</f>
        <v>3</v>
      </c>
      <c r="T97" s="325" t="str">
        <f>IF(COUNTIF(tblSeverityAnalysis[[#This Row],[SAMV]:[ASH]], 4)=0, "", COUNTIF(tblSeverityAnalysis[[#This Row],[SAMV]:[ASH]], 4))</f>
        <v/>
      </c>
      <c r="U97" s="383" t="str">
        <f>IF(COUNTIF(tblSeverityAnalysis[[#This Row],[SAMV]:[ASH]], 5)=0, "", COUNTIF(tblSeverityAnalysis[[#This Row],[SAMV]:[ASH]], 5))</f>
        <v/>
      </c>
      <c r="V97" s="375" cm="1">
        <f t="array" ref="V9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9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97" s="237" t="str">
        <f>IFERROR(IF(INDEX(tblSeverityReference[Severidad de la desnutrición],MATCH(tblSeverityAnalysis[[#This Row],[ID]], tblSeverityReference[ID], 0))= "", "",INDEX(tblSeverityReference[Severidad de la desnutrición],MATCH(tblSeverityAnalysis[[#This Row],[ID]], tblSeverityReference[ID], 0)) ), "")</f>
        <v/>
      </c>
      <c r="Y97" s="349" t="str">
        <f>IFERROR(IF(INDEX(tblSeverityReference[Severidad epidémica],MATCH(tblSeverityAnalysis[[#This Row],[ID]], tblSeverityReference[ID], 0))= "", "",INDEX(tblSeverityReference[Severidad epidémica],MATCH(tblSeverityAnalysis[[#This Row],[ID]], tblSeverityReference[ID], 0)) ), "")</f>
        <v/>
      </c>
      <c r="Z9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97" s="391" t="str">
        <f>IFERROR(IF(INDEX(tblSeverityReference[HR/IHL Violation],MATCH(tblSeverityAnalysis[[#This Row],[ID]], tblSeverityReference[ID], 0))= "", "",INDEX(tblSeverityReference[HR/IHL Violation],MATCH(tblSeverityAnalysis[[#This Row],[ID]], tblSeverityReference[ID], 0)) ), "")</f>
        <v/>
      </c>
      <c r="AB97" s="397">
        <f>IFERROR(AVERAGE(tblSeverityAnalysis[[#This Row],[SAMV]:[ASH]]), "")</f>
        <v>2.3333333333333335</v>
      </c>
      <c r="AC97" s="346">
        <f>IF(SUM(tblSeverityAnalysis[[#This Row],[SAMV]:[ASH]])=0, "", MAX(tblSeverityAnalysis[[#This Row],[SAMV]:[ASH]]))</f>
        <v>3</v>
      </c>
      <c r="AD97" s="261" t="str" cm="1">
        <f t="array" ref="AD97">IFERROR(IF(tblSeverityAnalysis[[#This Row],[Severidad máxima]]="", "", _xlfn.TEXTJOIN(CHAR(10), TRUE, IF(tblSeverityAnalysis[[#This Row],[SAMV]:[ASH]]=tblSeverityAnalysis[[#This Row],[Severidad máxima]], tblSeverityAnalysis[[#Headers],[SAMV]:[ASH]], ""), "")), "")</f>
        <v>SAMV
SAL
EDU</v>
      </c>
      <c r="AE97" s="346" cm="1">
        <f t="array" ref="AE97">IFERROR(MAX(_xlfn._xlws.FILTER(tblSeverityAnalysis[[#This Row],[SAMV]:[ASH]], tblSeverityAnalysis[[#This Row],[SAMV]:[ASH]]&lt;tblSeverityAnalysis[[#This Row],[Severidad máxima]])), "")</f>
        <v>2</v>
      </c>
      <c r="AF97" s="398" t="str" cm="1">
        <f t="array" ref="AF97">IFERROR(IF(tblSeverityAnalysis[[#This Row],[2ª mayor severidad]]="", "", _xlfn.TEXTJOIN(CHAR(10), TRUE, IF(tblSeverityAnalysis[[#This Row],[SAMV]:[ASH]]=tblSeverityAnalysis[[#This Row],[2ª mayor severidad]], tblSeverityAnalysis[[#Headers],[SAMV]:[ASH]], ""), "")), "")</f>
        <v>PRO
ASH</v>
      </c>
      <c r="AG97" s="405" t="str">
        <f>IFERROR(IF(AND(tblSeverityAnalysis[[#This Row],[5]] &lt;&gt; "", tblSeverityAnalysis[[#This Row],[5]]&gt;=sectors_sev_5), "Flagged", ""), "")</f>
        <v/>
      </c>
      <c r="AH97" s="347" t="str">
        <f>IFERROR(IF(AND(tblSeverityAnalysis[[#This Row],[Severidad preliminar basada en la superposición de privaciones sectoriales]]=5, SUM(tblSeverityAnalysis[[#This Row],[ 1 ]:[ 4 ]])&gt;=sectors_sev_5), "Flagged", ""), "")</f>
        <v/>
      </c>
      <c r="AI97" s="348" t="str" cm="1">
        <f t="array" ref="AI9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9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97" s="350"/>
      <c r="AL97" s="351"/>
      <c r="AM97" s="350"/>
      <c r="AN97" s="407">
        <f>COUNTIF(tblSeverityAnalysis[[#This Row],[1 sectores en fase de severidad 5 '[modificar el umbral']]:[Marcador manual]], "Flagged")</f>
        <v>0</v>
      </c>
      <c r="AO97" s="418">
        <f>tblSeverityAnalysis[[#This Row],[Severidad preliminar basada en la superposición de privaciones sectoriales]]</f>
        <v>2</v>
      </c>
      <c r="AP97" s="417"/>
      <c r="AQ97" s="421" t="s">
        <v>876</v>
      </c>
      <c r="AR97" s="417">
        <v>4</v>
      </c>
    </row>
    <row r="98" spans="1:44" hidden="1">
      <c r="A9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VenezolanosVE0904</v>
      </c>
      <c r="B98" s="363" t="s">
        <v>290</v>
      </c>
      <c r="C98" s="323" t="s">
        <v>291</v>
      </c>
      <c r="D98" s="322" t="s">
        <v>296</v>
      </c>
      <c r="E98" s="323" t="s">
        <v>297</v>
      </c>
      <c r="F98" s="323"/>
      <c r="G98" s="324">
        <v>9454</v>
      </c>
      <c r="H98" s="324" t="s">
        <v>102</v>
      </c>
      <c r="I98" s="374">
        <v>2</v>
      </c>
      <c r="J98" s="237">
        <v>2</v>
      </c>
      <c r="K98" s="237">
        <v>4</v>
      </c>
      <c r="L98" s="237">
        <v>2</v>
      </c>
      <c r="M98" s="237">
        <v>2</v>
      </c>
      <c r="N98" s="237">
        <v>3</v>
      </c>
      <c r="O98" s="237">
        <v>2</v>
      </c>
      <c r="P98" s="237">
        <v>2</v>
      </c>
      <c r="Q98" s="382" t="str">
        <f>IF(COUNTIF(tblSeverityAnalysis[[#This Row],[SAMV]:[ASH]], 1)=0, "", COUNTIF(tblSeverityAnalysis[[#This Row],[SAMV]:[ASH]], 1))</f>
        <v/>
      </c>
      <c r="R98" s="325">
        <f>IF(COUNTIF(tblSeverityAnalysis[[#This Row],[SAMV]:[ASH]], 2)=0, "", COUNTIF(tblSeverityAnalysis[[#This Row],[SAMV]:[ASH]], 2))</f>
        <v>4</v>
      </c>
      <c r="S98" s="325">
        <f>IF(COUNTIF(tblSeverityAnalysis[[#This Row],[SAMV]:[ASH]], 3)=0, "", COUNTIF(tblSeverityAnalysis[[#This Row],[SAMV]:[ASH]], 3))</f>
        <v>1</v>
      </c>
      <c r="T98" s="325">
        <f>IF(COUNTIF(tblSeverityAnalysis[[#This Row],[SAMV]:[ASH]], 4)=0, "", COUNTIF(tblSeverityAnalysis[[#This Row],[SAMV]:[ASH]], 4))</f>
        <v>1</v>
      </c>
      <c r="U98" s="383" t="str">
        <f>IF(COUNTIF(tblSeverityAnalysis[[#This Row],[SAMV]:[ASH]], 5)=0, "", COUNTIF(tblSeverityAnalysis[[#This Row],[SAMV]:[ASH]], 5))</f>
        <v/>
      </c>
      <c r="V98" s="375" cm="1">
        <f t="array" ref="V9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9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98" s="237" t="str">
        <f>IFERROR(IF(INDEX(tblSeverityReference[Severidad de la desnutrición],MATCH(tblSeverityAnalysis[[#This Row],[ID]], tblSeverityReference[ID], 0))= "", "",INDEX(tblSeverityReference[Severidad de la desnutrición],MATCH(tblSeverityAnalysis[[#This Row],[ID]], tblSeverityReference[ID], 0)) ), "")</f>
        <v/>
      </c>
      <c r="Y98" s="349" t="str">
        <f>IFERROR(IF(INDEX(tblSeverityReference[Severidad epidémica],MATCH(tblSeverityAnalysis[[#This Row],[ID]], tblSeverityReference[ID], 0))= "", "",INDEX(tblSeverityReference[Severidad epidémica],MATCH(tblSeverityAnalysis[[#This Row],[ID]], tblSeverityReference[ID], 0)) ), "")</f>
        <v/>
      </c>
      <c r="Z9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98" s="391" t="str">
        <f>IFERROR(IF(INDEX(tblSeverityReference[HR/IHL Violation],MATCH(tblSeverityAnalysis[[#This Row],[ID]], tblSeverityReference[ID], 0))= "", "",INDEX(tblSeverityReference[HR/IHL Violation],MATCH(tblSeverityAnalysis[[#This Row],[ID]], tblSeverityReference[ID], 0)) ), "")</f>
        <v/>
      </c>
      <c r="AB98" s="397">
        <f>IFERROR(AVERAGE(tblSeverityAnalysis[[#This Row],[SAMV]:[ASH]]), "")</f>
        <v>2.5</v>
      </c>
      <c r="AC98" s="346">
        <f>IF(SUM(tblSeverityAnalysis[[#This Row],[SAMV]:[ASH]])=0, "", MAX(tblSeverityAnalysis[[#This Row],[SAMV]:[ASH]]))</f>
        <v>4</v>
      </c>
      <c r="AD98" s="261" t="str" cm="1">
        <f t="array" ref="AD98">IFERROR(IF(tblSeverityAnalysis[[#This Row],[Severidad máxima]]="", "", _xlfn.TEXTJOIN(CHAR(10), TRUE, IF(tblSeverityAnalysis[[#This Row],[SAMV]:[ASH]]=tblSeverityAnalysis[[#This Row],[Severidad máxima]], tblSeverityAnalysis[[#Headers],[SAMV]:[ASH]], ""), "")), "")</f>
        <v>SAL</v>
      </c>
      <c r="AE98" s="346" cm="1">
        <f t="array" ref="AE98">IFERROR(MAX(_xlfn._xlws.FILTER(tblSeverityAnalysis[[#This Row],[SAMV]:[ASH]], tblSeverityAnalysis[[#This Row],[SAMV]:[ASH]]&lt;tblSeverityAnalysis[[#This Row],[Severidad máxima]])), "")</f>
        <v>3</v>
      </c>
      <c r="AF98" s="398" t="str" cm="1">
        <f t="array" ref="AF98">IFERROR(IF(tblSeverityAnalysis[[#This Row],[2ª mayor severidad]]="", "", _xlfn.TEXTJOIN(CHAR(10), TRUE, IF(tblSeverityAnalysis[[#This Row],[SAMV]:[ASH]]=tblSeverityAnalysis[[#This Row],[2ª mayor severidad]], tblSeverityAnalysis[[#Headers],[SAMV]:[ASH]], ""), "")), "")</f>
        <v>ASH</v>
      </c>
      <c r="AG98" s="405" t="str">
        <f>IFERROR(IF(AND(tblSeverityAnalysis[[#This Row],[5]] &lt;&gt; "", tblSeverityAnalysis[[#This Row],[5]]&gt;=sectors_sev_5), "Flagged", ""), "")</f>
        <v/>
      </c>
      <c r="AH98" s="347" t="str">
        <f>IFERROR(IF(AND(tblSeverityAnalysis[[#This Row],[Severidad preliminar basada en la superposición de privaciones sectoriales]]=5, SUM(tblSeverityAnalysis[[#This Row],[ 1 ]:[ 4 ]])&gt;=sectors_sev_5), "Flagged", ""), "")</f>
        <v/>
      </c>
      <c r="AI98" s="348" t="str" cm="1">
        <f t="array" ref="AI9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9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98" s="350"/>
      <c r="AL98" s="351"/>
      <c r="AM98" s="350"/>
      <c r="AN98" s="407">
        <f>COUNTIF(tblSeverityAnalysis[[#This Row],[1 sectores en fase de severidad 5 '[modificar el umbral']]:[Marcador manual]], "Flagged")</f>
        <v>0</v>
      </c>
      <c r="AO98" s="418">
        <f>tblSeverityAnalysis[[#This Row],[Severidad preliminar basada en la superposición de privaciones sectoriales]]</f>
        <v>2</v>
      </c>
      <c r="AP98" s="417"/>
      <c r="AQ98" s="421" t="s">
        <v>876</v>
      </c>
      <c r="AR98" s="417">
        <v>3</v>
      </c>
    </row>
    <row r="99" spans="1:44" hidden="1">
      <c r="A9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VenezolanosVE0905</v>
      </c>
      <c r="B99" s="363" t="s">
        <v>290</v>
      </c>
      <c r="C99" s="323" t="s">
        <v>291</v>
      </c>
      <c r="D99" s="322" t="s">
        <v>298</v>
      </c>
      <c r="E99" s="323" t="s">
        <v>299</v>
      </c>
      <c r="F99" s="323"/>
      <c r="G99" s="324">
        <v>16810</v>
      </c>
      <c r="H99" s="324" t="s">
        <v>102</v>
      </c>
      <c r="I99" s="374">
        <v>2</v>
      </c>
      <c r="J99" s="237">
        <v>2</v>
      </c>
      <c r="K99" s="237">
        <v>4</v>
      </c>
      <c r="L99" s="237">
        <v>3</v>
      </c>
      <c r="M99" s="237">
        <v>2</v>
      </c>
      <c r="N99" s="237">
        <v>2</v>
      </c>
      <c r="O99" s="237">
        <v>2</v>
      </c>
      <c r="P99" s="237">
        <v>2</v>
      </c>
      <c r="Q99" s="382" t="str">
        <f>IF(COUNTIF(tblSeverityAnalysis[[#This Row],[SAMV]:[ASH]], 1)=0, "", COUNTIF(tblSeverityAnalysis[[#This Row],[SAMV]:[ASH]], 1))</f>
        <v/>
      </c>
      <c r="R99" s="325">
        <f>IF(COUNTIF(tblSeverityAnalysis[[#This Row],[SAMV]:[ASH]], 2)=0, "", COUNTIF(tblSeverityAnalysis[[#This Row],[SAMV]:[ASH]], 2))</f>
        <v>4</v>
      </c>
      <c r="S99" s="325">
        <f>IF(COUNTIF(tblSeverityAnalysis[[#This Row],[SAMV]:[ASH]], 3)=0, "", COUNTIF(tblSeverityAnalysis[[#This Row],[SAMV]:[ASH]], 3))</f>
        <v>1</v>
      </c>
      <c r="T99" s="325">
        <f>IF(COUNTIF(tblSeverityAnalysis[[#This Row],[SAMV]:[ASH]], 4)=0, "", COUNTIF(tblSeverityAnalysis[[#This Row],[SAMV]:[ASH]], 4))</f>
        <v>1</v>
      </c>
      <c r="U99" s="383" t="str">
        <f>IF(COUNTIF(tblSeverityAnalysis[[#This Row],[SAMV]:[ASH]], 5)=0, "", COUNTIF(tblSeverityAnalysis[[#This Row],[SAMV]:[ASH]], 5))</f>
        <v/>
      </c>
      <c r="V99" s="375" cm="1">
        <f t="array" ref="V9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9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99" s="237" t="str">
        <f>IFERROR(IF(INDEX(tblSeverityReference[Severidad de la desnutrición],MATCH(tblSeverityAnalysis[[#This Row],[ID]], tblSeverityReference[ID], 0))= "", "",INDEX(tblSeverityReference[Severidad de la desnutrición],MATCH(tblSeverityAnalysis[[#This Row],[ID]], tblSeverityReference[ID], 0)) ), "")</f>
        <v/>
      </c>
      <c r="Y99" s="349" t="str">
        <f>IFERROR(IF(INDEX(tblSeverityReference[Severidad epidémica],MATCH(tblSeverityAnalysis[[#This Row],[ID]], tblSeverityReference[ID], 0))= "", "",INDEX(tblSeverityReference[Severidad epidémica],MATCH(tblSeverityAnalysis[[#This Row],[ID]], tblSeverityReference[ID], 0)) ), "")</f>
        <v/>
      </c>
      <c r="Z9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99" s="391" t="str">
        <f>IFERROR(IF(INDEX(tblSeverityReference[HR/IHL Violation],MATCH(tblSeverityAnalysis[[#This Row],[ID]], tblSeverityReference[ID], 0))= "", "",INDEX(tblSeverityReference[HR/IHL Violation],MATCH(tblSeverityAnalysis[[#This Row],[ID]], tblSeverityReference[ID], 0)) ), "")</f>
        <v/>
      </c>
      <c r="AB99" s="397">
        <f>IFERROR(AVERAGE(tblSeverityAnalysis[[#This Row],[SAMV]:[ASH]]), "")</f>
        <v>2.5</v>
      </c>
      <c r="AC99" s="346">
        <f>IF(SUM(tblSeverityAnalysis[[#This Row],[SAMV]:[ASH]])=0, "", MAX(tblSeverityAnalysis[[#This Row],[SAMV]:[ASH]]))</f>
        <v>4</v>
      </c>
      <c r="AD99" s="261" t="str" cm="1">
        <f t="array" ref="AD99">IFERROR(IF(tblSeverityAnalysis[[#This Row],[Severidad máxima]]="", "", _xlfn.TEXTJOIN(CHAR(10), TRUE, IF(tblSeverityAnalysis[[#This Row],[SAMV]:[ASH]]=tblSeverityAnalysis[[#This Row],[Severidad máxima]], tblSeverityAnalysis[[#Headers],[SAMV]:[ASH]], ""), "")), "")</f>
        <v>SAL</v>
      </c>
      <c r="AE99" s="346" cm="1">
        <f t="array" ref="AE99">IFERROR(MAX(_xlfn._xlws.FILTER(tblSeverityAnalysis[[#This Row],[SAMV]:[ASH]], tblSeverityAnalysis[[#This Row],[SAMV]:[ASH]]&lt;tblSeverityAnalysis[[#This Row],[Severidad máxima]])), "")</f>
        <v>3</v>
      </c>
      <c r="AF99" s="398" t="str" cm="1">
        <f t="array" ref="AF99">IFERROR(IF(tblSeverityAnalysis[[#This Row],[2ª mayor severidad]]="", "", _xlfn.TEXTJOIN(CHAR(10), TRUE, IF(tblSeverityAnalysis[[#This Row],[SAMV]:[ASH]]=tblSeverityAnalysis[[#This Row],[2ª mayor severidad]], tblSeverityAnalysis[[#Headers],[SAMV]:[ASH]], ""), "")), "")</f>
        <v>EDU</v>
      </c>
      <c r="AG99" s="405" t="str">
        <f>IFERROR(IF(AND(tblSeverityAnalysis[[#This Row],[5]] &lt;&gt; "", tblSeverityAnalysis[[#This Row],[5]]&gt;=sectors_sev_5), "Flagged", ""), "")</f>
        <v/>
      </c>
      <c r="AH99" s="347" t="str">
        <f>IFERROR(IF(AND(tblSeverityAnalysis[[#This Row],[Severidad preliminar basada en la superposición de privaciones sectoriales]]=5, SUM(tblSeverityAnalysis[[#This Row],[ 1 ]:[ 4 ]])&gt;=sectors_sev_5), "Flagged", ""), "")</f>
        <v/>
      </c>
      <c r="AI99" s="348" t="str" cm="1">
        <f t="array" ref="AI9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9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99" s="350"/>
      <c r="AL99" s="351"/>
      <c r="AM99" s="350"/>
      <c r="AN99" s="407">
        <f>COUNTIF(tblSeverityAnalysis[[#This Row],[1 sectores en fase de severidad 5 '[modificar el umbral']]:[Marcador manual]], "Flagged")</f>
        <v>0</v>
      </c>
      <c r="AO99" s="418">
        <f>tblSeverityAnalysis[[#This Row],[Severidad preliminar basada en la superposición de privaciones sectoriales]]</f>
        <v>2</v>
      </c>
      <c r="AP99" s="417"/>
      <c r="AQ99" s="421" t="s">
        <v>876</v>
      </c>
      <c r="AR99" s="417">
        <v>4</v>
      </c>
    </row>
    <row r="100" spans="1:44" hidden="1">
      <c r="A10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VenezolanosVE0906</v>
      </c>
      <c r="B100" s="363" t="s">
        <v>290</v>
      </c>
      <c r="C100" s="323" t="s">
        <v>291</v>
      </c>
      <c r="D100" s="322" t="s">
        <v>300</v>
      </c>
      <c r="E100" s="323" t="s">
        <v>301</v>
      </c>
      <c r="F100" s="323"/>
      <c r="G100" s="324">
        <v>12657</v>
      </c>
      <c r="H100" s="324" t="s">
        <v>102</v>
      </c>
      <c r="I100" s="374">
        <v>2</v>
      </c>
      <c r="J100" s="237">
        <v>1</v>
      </c>
      <c r="K100" s="237">
        <v>3</v>
      </c>
      <c r="L100" s="237">
        <v>2</v>
      </c>
      <c r="M100" s="237">
        <v>3</v>
      </c>
      <c r="N100" s="237">
        <v>2</v>
      </c>
      <c r="O100" s="237">
        <v>3</v>
      </c>
      <c r="P100" s="237">
        <v>3</v>
      </c>
      <c r="Q100" s="382">
        <f>IF(COUNTIF(tblSeverityAnalysis[[#This Row],[SAMV]:[ASH]], 1)=0, "", COUNTIF(tblSeverityAnalysis[[#This Row],[SAMV]:[ASH]], 1))</f>
        <v>1</v>
      </c>
      <c r="R100" s="325">
        <f>IF(COUNTIF(tblSeverityAnalysis[[#This Row],[SAMV]:[ASH]], 2)=0, "", COUNTIF(tblSeverityAnalysis[[#This Row],[SAMV]:[ASH]], 2))</f>
        <v>3</v>
      </c>
      <c r="S100" s="325">
        <f>IF(COUNTIF(tblSeverityAnalysis[[#This Row],[SAMV]:[ASH]], 3)=0, "", COUNTIF(tblSeverityAnalysis[[#This Row],[SAMV]:[ASH]], 3))</f>
        <v>2</v>
      </c>
      <c r="T100" s="325" t="str">
        <f>IF(COUNTIF(tblSeverityAnalysis[[#This Row],[SAMV]:[ASH]], 4)=0, "", COUNTIF(tblSeverityAnalysis[[#This Row],[SAMV]:[ASH]], 4))</f>
        <v/>
      </c>
      <c r="U100" s="383" t="str">
        <f>IF(COUNTIF(tblSeverityAnalysis[[#This Row],[SAMV]:[ASH]], 5)=0, "", COUNTIF(tblSeverityAnalysis[[#This Row],[SAMV]:[ASH]], 5))</f>
        <v/>
      </c>
      <c r="V100" s="375" cm="1">
        <f t="array" ref="V10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0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00" s="237" t="str">
        <f>IFERROR(IF(INDEX(tblSeverityReference[Severidad de la desnutrición],MATCH(tblSeverityAnalysis[[#This Row],[ID]], tblSeverityReference[ID], 0))= "", "",INDEX(tblSeverityReference[Severidad de la desnutrición],MATCH(tblSeverityAnalysis[[#This Row],[ID]], tblSeverityReference[ID], 0)) ), "")</f>
        <v/>
      </c>
      <c r="Y100" s="349" t="str">
        <f>IFERROR(IF(INDEX(tblSeverityReference[Severidad epidémica],MATCH(tblSeverityAnalysis[[#This Row],[ID]], tblSeverityReference[ID], 0))= "", "",INDEX(tblSeverityReference[Severidad epidémica],MATCH(tblSeverityAnalysis[[#This Row],[ID]], tblSeverityReference[ID], 0)) ), "")</f>
        <v/>
      </c>
      <c r="Z10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00" s="391" t="str">
        <f>IFERROR(IF(INDEX(tblSeverityReference[HR/IHL Violation],MATCH(tblSeverityAnalysis[[#This Row],[ID]], tblSeverityReference[ID], 0))= "", "",INDEX(tblSeverityReference[HR/IHL Violation],MATCH(tblSeverityAnalysis[[#This Row],[ID]], tblSeverityReference[ID], 0)) ), "")</f>
        <v/>
      </c>
      <c r="AB100" s="397">
        <f>IFERROR(AVERAGE(tblSeverityAnalysis[[#This Row],[SAMV]:[ASH]]), "")</f>
        <v>2.1666666666666665</v>
      </c>
      <c r="AC100" s="346">
        <f>IF(SUM(tblSeverityAnalysis[[#This Row],[SAMV]:[ASH]])=0, "", MAX(tblSeverityAnalysis[[#This Row],[SAMV]:[ASH]]))</f>
        <v>3</v>
      </c>
      <c r="AD100" s="261" t="str" cm="1">
        <f t="array" ref="AD100">IFERROR(IF(tblSeverityAnalysis[[#This Row],[Severidad máxima]]="", "", _xlfn.TEXTJOIN(CHAR(10), TRUE, IF(tblSeverityAnalysis[[#This Row],[SAMV]:[ASH]]=tblSeverityAnalysis[[#This Row],[Severidad máxima]], tblSeverityAnalysis[[#Headers],[SAMV]:[ASH]], ""), "")), "")</f>
        <v>SAL
PRO</v>
      </c>
      <c r="AE100" s="346" cm="1">
        <f t="array" ref="AE100">IFERROR(MAX(_xlfn._xlws.FILTER(tblSeverityAnalysis[[#This Row],[SAMV]:[ASH]], tblSeverityAnalysis[[#This Row],[SAMV]:[ASH]]&lt;tblSeverityAnalysis[[#This Row],[Severidad máxima]])), "")</f>
        <v>2</v>
      </c>
      <c r="AF100" s="398" t="str" cm="1">
        <f t="array" ref="AF100">IFERROR(IF(tblSeverityAnalysis[[#This Row],[2ª mayor severidad]]="", "", _xlfn.TEXTJOIN(CHAR(10), TRUE, IF(tblSeverityAnalysis[[#This Row],[SAMV]:[ASH]]=tblSeverityAnalysis[[#This Row],[2ª mayor severidad]], tblSeverityAnalysis[[#Headers],[SAMV]:[ASH]], ""), "")), "")</f>
        <v>SAMV
EDU
ASH</v>
      </c>
      <c r="AG100" s="405" t="str">
        <f>IFERROR(IF(AND(tblSeverityAnalysis[[#This Row],[5]] &lt;&gt; "", tblSeverityAnalysis[[#This Row],[5]]&gt;=sectors_sev_5), "Flagged", ""), "")</f>
        <v/>
      </c>
      <c r="AH100" s="347" t="str">
        <f>IFERROR(IF(AND(tblSeverityAnalysis[[#This Row],[Severidad preliminar basada en la superposición de privaciones sectoriales]]=5, SUM(tblSeverityAnalysis[[#This Row],[ 1 ]:[ 4 ]])&gt;=sectors_sev_5), "Flagged", ""), "")</f>
        <v/>
      </c>
      <c r="AI100" s="348" t="str" cm="1">
        <f t="array" ref="AI10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0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00" s="350"/>
      <c r="AL100" s="351"/>
      <c r="AM100" s="350"/>
      <c r="AN100" s="407">
        <f>COUNTIF(tblSeverityAnalysis[[#This Row],[1 sectores en fase de severidad 5 '[modificar el umbral']]:[Marcador manual]], "Flagged")</f>
        <v>0</v>
      </c>
      <c r="AO100" s="418">
        <f>tblSeverityAnalysis[[#This Row],[Severidad preliminar basada en la superposición de privaciones sectoriales]]</f>
        <v>2</v>
      </c>
      <c r="AP100" s="417"/>
      <c r="AQ100" s="421" t="s">
        <v>876</v>
      </c>
      <c r="AR100" s="417">
        <v>3</v>
      </c>
    </row>
    <row r="101" spans="1:44" hidden="1">
      <c r="A10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VenezolanosVE0907</v>
      </c>
      <c r="B101" s="363" t="s">
        <v>290</v>
      </c>
      <c r="C101" s="323" t="s">
        <v>291</v>
      </c>
      <c r="D101" s="322" t="s">
        <v>175</v>
      </c>
      <c r="E101" s="323" t="s">
        <v>302</v>
      </c>
      <c r="F101" s="323"/>
      <c r="G101" s="324">
        <v>18297</v>
      </c>
      <c r="H101" s="324" t="s">
        <v>102</v>
      </c>
      <c r="I101" s="374">
        <v>3</v>
      </c>
      <c r="J101" s="237">
        <v>2</v>
      </c>
      <c r="K101" s="237">
        <v>3</v>
      </c>
      <c r="L101" s="237">
        <v>3</v>
      </c>
      <c r="M101" s="237">
        <v>3</v>
      </c>
      <c r="N101" s="237">
        <v>2</v>
      </c>
      <c r="O101" s="237">
        <v>3</v>
      </c>
      <c r="P101" s="237">
        <v>3</v>
      </c>
      <c r="Q101" s="382" t="str">
        <f>IF(COUNTIF(tblSeverityAnalysis[[#This Row],[SAMV]:[ASH]], 1)=0, "", COUNTIF(tblSeverityAnalysis[[#This Row],[SAMV]:[ASH]], 1))</f>
        <v/>
      </c>
      <c r="R101" s="325">
        <f>IF(COUNTIF(tblSeverityAnalysis[[#This Row],[SAMV]:[ASH]], 2)=0, "", COUNTIF(tblSeverityAnalysis[[#This Row],[SAMV]:[ASH]], 2))</f>
        <v>2</v>
      </c>
      <c r="S101" s="325">
        <f>IF(COUNTIF(tblSeverityAnalysis[[#This Row],[SAMV]:[ASH]], 3)=0, "", COUNTIF(tblSeverityAnalysis[[#This Row],[SAMV]:[ASH]], 3))</f>
        <v>4</v>
      </c>
      <c r="T101" s="325" t="str">
        <f>IF(COUNTIF(tblSeverityAnalysis[[#This Row],[SAMV]:[ASH]], 4)=0, "", COUNTIF(tblSeverityAnalysis[[#This Row],[SAMV]:[ASH]], 4))</f>
        <v/>
      </c>
      <c r="U101" s="383" t="str">
        <f>IF(COUNTIF(tblSeverityAnalysis[[#This Row],[SAMV]:[ASH]], 5)=0, "", COUNTIF(tblSeverityAnalysis[[#This Row],[SAMV]:[ASH]], 5))</f>
        <v/>
      </c>
      <c r="V101" s="375" cm="1">
        <f t="array" ref="V10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0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01" s="237" t="str">
        <f>IFERROR(IF(INDEX(tblSeverityReference[Severidad de la desnutrición],MATCH(tblSeverityAnalysis[[#This Row],[ID]], tblSeverityReference[ID], 0))= "", "",INDEX(tblSeverityReference[Severidad de la desnutrición],MATCH(tblSeverityAnalysis[[#This Row],[ID]], tblSeverityReference[ID], 0)) ), "")</f>
        <v/>
      </c>
      <c r="Y101" s="349" t="str">
        <f>IFERROR(IF(INDEX(tblSeverityReference[Severidad epidémica],MATCH(tblSeverityAnalysis[[#This Row],[ID]], tblSeverityReference[ID], 0))= "", "",INDEX(tblSeverityReference[Severidad epidémica],MATCH(tblSeverityAnalysis[[#This Row],[ID]], tblSeverityReference[ID], 0)) ), "")</f>
        <v/>
      </c>
      <c r="Z10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01" s="391" t="str">
        <f>IFERROR(IF(INDEX(tblSeverityReference[HR/IHL Violation],MATCH(tblSeverityAnalysis[[#This Row],[ID]], tblSeverityReference[ID], 0))= "", "",INDEX(tblSeverityReference[HR/IHL Violation],MATCH(tblSeverityAnalysis[[#This Row],[ID]], tblSeverityReference[ID], 0)) ), "")</f>
        <v/>
      </c>
      <c r="AB101" s="397">
        <f>IFERROR(AVERAGE(tblSeverityAnalysis[[#This Row],[SAMV]:[ASH]]), "")</f>
        <v>2.6666666666666665</v>
      </c>
      <c r="AC101" s="346">
        <f>IF(SUM(tblSeverityAnalysis[[#This Row],[SAMV]:[ASH]])=0, "", MAX(tblSeverityAnalysis[[#This Row],[SAMV]:[ASH]]))</f>
        <v>3</v>
      </c>
      <c r="AD101" s="261" t="str" cm="1">
        <f t="array" ref="AD101">IFERROR(IF(tblSeverityAnalysis[[#This Row],[Severidad máxima]]="", "", _xlfn.TEXTJOIN(CHAR(10), TRUE, IF(tblSeverityAnalysis[[#This Row],[SAMV]:[ASH]]=tblSeverityAnalysis[[#This Row],[Severidad máxima]], tblSeverityAnalysis[[#Headers],[SAMV]:[ASH]], ""), "")), "")</f>
        <v>SAMV
SAL
EDU
PRO</v>
      </c>
      <c r="AE101" s="346" cm="1">
        <f t="array" ref="AE101">IFERROR(MAX(_xlfn._xlws.FILTER(tblSeverityAnalysis[[#This Row],[SAMV]:[ASH]], tblSeverityAnalysis[[#This Row],[SAMV]:[ASH]]&lt;tblSeverityAnalysis[[#This Row],[Severidad máxima]])), "")</f>
        <v>2</v>
      </c>
      <c r="AF101" s="398" t="str" cm="1">
        <f t="array" ref="AF101">IFERROR(IF(tblSeverityAnalysis[[#This Row],[2ª mayor severidad]]="", "", _xlfn.TEXTJOIN(CHAR(10), TRUE, IF(tblSeverityAnalysis[[#This Row],[SAMV]:[ASH]]=tblSeverityAnalysis[[#This Row],[2ª mayor severidad]], tblSeverityAnalysis[[#Headers],[SAMV]:[ASH]], ""), "")), "")</f>
        <v>NUT
ASH</v>
      </c>
      <c r="AG101" s="405" t="str">
        <f>IFERROR(IF(AND(tblSeverityAnalysis[[#This Row],[5]] &lt;&gt; "", tblSeverityAnalysis[[#This Row],[5]]&gt;=sectors_sev_5), "Flagged", ""), "")</f>
        <v/>
      </c>
      <c r="AH101" s="347" t="str">
        <f>IFERROR(IF(AND(tblSeverityAnalysis[[#This Row],[Severidad preliminar basada en la superposición de privaciones sectoriales]]=5, SUM(tblSeverityAnalysis[[#This Row],[ 1 ]:[ 4 ]])&gt;=sectors_sev_5), "Flagged", ""), "")</f>
        <v/>
      </c>
      <c r="AI101" s="348" t="str" cm="1">
        <f t="array" ref="AI10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0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01" s="350"/>
      <c r="AL101" s="351"/>
      <c r="AM101" s="350"/>
      <c r="AN101" s="407">
        <f>COUNTIF(tblSeverityAnalysis[[#This Row],[1 sectores en fase de severidad 5 '[modificar el umbral']]:[Marcador manual]], "Flagged")</f>
        <v>0</v>
      </c>
      <c r="AO101" s="418">
        <f>tblSeverityAnalysis[[#This Row],[Severidad preliminar basada en la superposición de privaciones sectoriales]]</f>
        <v>3</v>
      </c>
      <c r="AP101" s="417"/>
      <c r="AQ101" s="421" t="s">
        <v>876</v>
      </c>
      <c r="AR101" s="417">
        <v>3</v>
      </c>
    </row>
    <row r="102" spans="1:44" hidden="1">
      <c r="A10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VenezolanosVE0908</v>
      </c>
      <c r="B102" s="363" t="s">
        <v>290</v>
      </c>
      <c r="C102" s="323" t="s">
        <v>291</v>
      </c>
      <c r="D102" s="322" t="s">
        <v>227</v>
      </c>
      <c r="E102" s="323" t="s">
        <v>303</v>
      </c>
      <c r="F102" s="323"/>
      <c r="G102" s="324">
        <v>106760</v>
      </c>
      <c r="H102" s="324" t="s">
        <v>102</v>
      </c>
      <c r="I102" s="374">
        <v>3</v>
      </c>
      <c r="J102" s="237">
        <v>2</v>
      </c>
      <c r="K102" s="237">
        <v>3</v>
      </c>
      <c r="L102" s="237">
        <v>3</v>
      </c>
      <c r="M102" s="237">
        <v>3</v>
      </c>
      <c r="N102" s="237">
        <v>2</v>
      </c>
      <c r="O102" s="237">
        <v>3</v>
      </c>
      <c r="P102" s="237">
        <v>3</v>
      </c>
      <c r="Q102" s="382" t="str">
        <f>IF(COUNTIF(tblSeverityAnalysis[[#This Row],[SAMV]:[ASH]], 1)=0, "", COUNTIF(tblSeverityAnalysis[[#This Row],[SAMV]:[ASH]], 1))</f>
        <v/>
      </c>
      <c r="R102" s="325">
        <f>IF(COUNTIF(tblSeverityAnalysis[[#This Row],[SAMV]:[ASH]], 2)=0, "", COUNTIF(tblSeverityAnalysis[[#This Row],[SAMV]:[ASH]], 2))</f>
        <v>2</v>
      </c>
      <c r="S102" s="325">
        <f>IF(COUNTIF(tblSeverityAnalysis[[#This Row],[SAMV]:[ASH]], 3)=0, "", COUNTIF(tblSeverityAnalysis[[#This Row],[SAMV]:[ASH]], 3))</f>
        <v>4</v>
      </c>
      <c r="T102" s="325" t="str">
        <f>IF(COUNTIF(tblSeverityAnalysis[[#This Row],[SAMV]:[ASH]], 4)=0, "", COUNTIF(tblSeverityAnalysis[[#This Row],[SAMV]:[ASH]], 4))</f>
        <v/>
      </c>
      <c r="U102" s="383" t="str">
        <f>IF(COUNTIF(tblSeverityAnalysis[[#This Row],[SAMV]:[ASH]], 5)=0, "", COUNTIF(tblSeverityAnalysis[[#This Row],[SAMV]:[ASH]], 5))</f>
        <v/>
      </c>
      <c r="V102" s="375" cm="1">
        <f t="array" ref="V10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0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02" s="237" t="str">
        <f>IFERROR(IF(INDEX(tblSeverityReference[Severidad de la desnutrición],MATCH(tblSeverityAnalysis[[#This Row],[ID]], tblSeverityReference[ID], 0))= "", "",INDEX(tblSeverityReference[Severidad de la desnutrición],MATCH(tblSeverityAnalysis[[#This Row],[ID]], tblSeverityReference[ID], 0)) ), "")</f>
        <v/>
      </c>
      <c r="Y102" s="349" t="str">
        <f>IFERROR(IF(INDEX(tblSeverityReference[Severidad epidémica],MATCH(tblSeverityAnalysis[[#This Row],[ID]], tblSeverityReference[ID], 0))= "", "",INDEX(tblSeverityReference[Severidad epidémica],MATCH(tblSeverityAnalysis[[#This Row],[ID]], tblSeverityReference[ID], 0)) ), "")</f>
        <v/>
      </c>
      <c r="Z10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02" s="391" t="str">
        <f>IFERROR(IF(INDEX(tblSeverityReference[HR/IHL Violation],MATCH(tblSeverityAnalysis[[#This Row],[ID]], tblSeverityReference[ID], 0))= "", "",INDEX(tblSeverityReference[HR/IHL Violation],MATCH(tblSeverityAnalysis[[#This Row],[ID]], tblSeverityReference[ID], 0)) ), "")</f>
        <v/>
      </c>
      <c r="AB102" s="397">
        <f>IFERROR(AVERAGE(tblSeverityAnalysis[[#This Row],[SAMV]:[ASH]]), "")</f>
        <v>2.6666666666666665</v>
      </c>
      <c r="AC102" s="346">
        <f>IF(SUM(tblSeverityAnalysis[[#This Row],[SAMV]:[ASH]])=0, "", MAX(tblSeverityAnalysis[[#This Row],[SAMV]:[ASH]]))</f>
        <v>3</v>
      </c>
      <c r="AD102" s="261" t="str" cm="1">
        <f t="array" ref="AD102">IFERROR(IF(tblSeverityAnalysis[[#This Row],[Severidad máxima]]="", "", _xlfn.TEXTJOIN(CHAR(10), TRUE, IF(tblSeverityAnalysis[[#This Row],[SAMV]:[ASH]]=tblSeverityAnalysis[[#This Row],[Severidad máxima]], tblSeverityAnalysis[[#Headers],[SAMV]:[ASH]], ""), "")), "")</f>
        <v>SAMV
SAL
EDU
PRO</v>
      </c>
      <c r="AE102" s="346" cm="1">
        <f t="array" ref="AE102">IFERROR(MAX(_xlfn._xlws.FILTER(tblSeverityAnalysis[[#This Row],[SAMV]:[ASH]], tblSeverityAnalysis[[#This Row],[SAMV]:[ASH]]&lt;tblSeverityAnalysis[[#This Row],[Severidad máxima]])), "")</f>
        <v>2</v>
      </c>
      <c r="AF102" s="398" t="str" cm="1">
        <f t="array" ref="AF102">IFERROR(IF(tblSeverityAnalysis[[#This Row],[2ª mayor severidad]]="", "", _xlfn.TEXTJOIN(CHAR(10), TRUE, IF(tblSeverityAnalysis[[#This Row],[SAMV]:[ASH]]=tblSeverityAnalysis[[#This Row],[2ª mayor severidad]], tblSeverityAnalysis[[#Headers],[SAMV]:[ASH]], ""), "")), "")</f>
        <v>NUT
ASH</v>
      </c>
      <c r="AG102" s="405" t="str">
        <f>IFERROR(IF(AND(tblSeverityAnalysis[[#This Row],[5]] &lt;&gt; "", tblSeverityAnalysis[[#This Row],[5]]&gt;=sectors_sev_5), "Flagged", ""), "")</f>
        <v/>
      </c>
      <c r="AH102" s="347" t="str">
        <f>IFERROR(IF(AND(tblSeverityAnalysis[[#This Row],[Severidad preliminar basada en la superposición de privaciones sectoriales]]=5, SUM(tblSeverityAnalysis[[#This Row],[ 1 ]:[ 4 ]])&gt;=sectors_sev_5), "Flagged", ""), "")</f>
        <v/>
      </c>
      <c r="AI102" s="348" t="str" cm="1">
        <f t="array" ref="AI10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0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02" s="350"/>
      <c r="AL102" s="351"/>
      <c r="AM102" s="350"/>
      <c r="AN102" s="407">
        <f>COUNTIF(tblSeverityAnalysis[[#This Row],[1 sectores en fase de severidad 5 '[modificar el umbral']]:[Marcador manual]], "Flagged")</f>
        <v>0</v>
      </c>
      <c r="AO102" s="418">
        <f>tblSeverityAnalysis[[#This Row],[Severidad preliminar basada en la superposición de privaciones sectoriales]]</f>
        <v>3</v>
      </c>
      <c r="AP102" s="417"/>
      <c r="AQ102" s="421" t="s">
        <v>876</v>
      </c>
      <c r="AR102" s="417">
        <v>3</v>
      </c>
    </row>
    <row r="103" spans="1:44" hidden="1">
      <c r="A10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VenezolanosVE0909</v>
      </c>
      <c r="B103" s="363" t="s">
        <v>290</v>
      </c>
      <c r="C103" s="323" t="s">
        <v>291</v>
      </c>
      <c r="D103" s="322" t="s">
        <v>304</v>
      </c>
      <c r="E103" s="323" t="s">
        <v>305</v>
      </c>
      <c r="F103" s="323"/>
      <c r="G103" s="324">
        <v>32564</v>
      </c>
      <c r="H103" s="324" t="s">
        <v>102</v>
      </c>
      <c r="I103" s="374">
        <v>2</v>
      </c>
      <c r="J103" s="237">
        <v>2</v>
      </c>
      <c r="K103" s="237">
        <v>3</v>
      </c>
      <c r="L103" s="237">
        <v>2</v>
      </c>
      <c r="M103" s="237">
        <v>2</v>
      </c>
      <c r="N103" s="237">
        <v>4</v>
      </c>
      <c r="O103" s="237">
        <v>2</v>
      </c>
      <c r="P103" s="237">
        <v>2</v>
      </c>
      <c r="Q103" s="382" t="str">
        <f>IF(COUNTIF(tblSeverityAnalysis[[#This Row],[SAMV]:[ASH]], 1)=0, "", COUNTIF(tblSeverityAnalysis[[#This Row],[SAMV]:[ASH]], 1))</f>
        <v/>
      </c>
      <c r="R103" s="325">
        <f>IF(COUNTIF(tblSeverityAnalysis[[#This Row],[SAMV]:[ASH]], 2)=0, "", COUNTIF(tblSeverityAnalysis[[#This Row],[SAMV]:[ASH]], 2))</f>
        <v>4</v>
      </c>
      <c r="S103" s="325">
        <f>IF(COUNTIF(tblSeverityAnalysis[[#This Row],[SAMV]:[ASH]], 3)=0, "", COUNTIF(tblSeverityAnalysis[[#This Row],[SAMV]:[ASH]], 3))</f>
        <v>1</v>
      </c>
      <c r="T103" s="325">
        <f>IF(COUNTIF(tblSeverityAnalysis[[#This Row],[SAMV]:[ASH]], 4)=0, "", COUNTIF(tblSeverityAnalysis[[#This Row],[SAMV]:[ASH]], 4))</f>
        <v>1</v>
      </c>
      <c r="U103" s="383" t="str">
        <f>IF(COUNTIF(tblSeverityAnalysis[[#This Row],[SAMV]:[ASH]], 5)=0, "", COUNTIF(tblSeverityAnalysis[[#This Row],[SAMV]:[ASH]], 5))</f>
        <v/>
      </c>
      <c r="V103" s="375" cm="1">
        <f t="array" ref="V10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0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03" s="237" t="str">
        <f>IFERROR(IF(INDEX(tblSeverityReference[Severidad de la desnutrición],MATCH(tblSeverityAnalysis[[#This Row],[ID]], tblSeverityReference[ID], 0))= "", "",INDEX(tblSeverityReference[Severidad de la desnutrición],MATCH(tblSeverityAnalysis[[#This Row],[ID]], tblSeverityReference[ID], 0)) ), "")</f>
        <v/>
      </c>
      <c r="Y103" s="349" t="str">
        <f>IFERROR(IF(INDEX(tblSeverityReference[Severidad epidémica],MATCH(tblSeverityAnalysis[[#This Row],[ID]], tblSeverityReference[ID], 0))= "", "",INDEX(tblSeverityReference[Severidad epidémica],MATCH(tblSeverityAnalysis[[#This Row],[ID]], tblSeverityReference[ID], 0)) ), "")</f>
        <v/>
      </c>
      <c r="Z10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03" s="391" t="str">
        <f>IFERROR(IF(INDEX(tblSeverityReference[HR/IHL Violation],MATCH(tblSeverityAnalysis[[#This Row],[ID]], tblSeverityReference[ID], 0))= "", "",INDEX(tblSeverityReference[HR/IHL Violation],MATCH(tblSeverityAnalysis[[#This Row],[ID]], tblSeverityReference[ID], 0)) ), "")</f>
        <v/>
      </c>
      <c r="AB103" s="397">
        <f>IFERROR(AVERAGE(tblSeverityAnalysis[[#This Row],[SAMV]:[ASH]]), "")</f>
        <v>2.5</v>
      </c>
      <c r="AC103" s="346">
        <f>IF(SUM(tblSeverityAnalysis[[#This Row],[SAMV]:[ASH]])=0, "", MAX(tblSeverityAnalysis[[#This Row],[SAMV]:[ASH]]))</f>
        <v>4</v>
      </c>
      <c r="AD103" s="261" t="str" cm="1">
        <f t="array" ref="AD103">IFERROR(IF(tblSeverityAnalysis[[#This Row],[Severidad máxima]]="", "", _xlfn.TEXTJOIN(CHAR(10), TRUE, IF(tblSeverityAnalysis[[#This Row],[SAMV]:[ASH]]=tblSeverityAnalysis[[#This Row],[Severidad máxima]], tblSeverityAnalysis[[#Headers],[SAMV]:[ASH]], ""), "")), "")</f>
        <v>ASH</v>
      </c>
      <c r="AE103" s="346" cm="1">
        <f t="array" ref="AE103">IFERROR(MAX(_xlfn._xlws.FILTER(tblSeverityAnalysis[[#This Row],[SAMV]:[ASH]], tblSeverityAnalysis[[#This Row],[SAMV]:[ASH]]&lt;tblSeverityAnalysis[[#This Row],[Severidad máxima]])), "")</f>
        <v>3</v>
      </c>
      <c r="AF103" s="398" t="str" cm="1">
        <f t="array" ref="AF103">IFERROR(IF(tblSeverityAnalysis[[#This Row],[2ª mayor severidad]]="", "", _xlfn.TEXTJOIN(CHAR(10), TRUE, IF(tblSeverityAnalysis[[#This Row],[SAMV]:[ASH]]=tblSeverityAnalysis[[#This Row],[2ª mayor severidad]], tblSeverityAnalysis[[#Headers],[SAMV]:[ASH]], ""), "")), "")</f>
        <v>SAL</v>
      </c>
      <c r="AG103" s="405" t="str">
        <f>IFERROR(IF(AND(tblSeverityAnalysis[[#This Row],[5]] &lt;&gt; "", tblSeverityAnalysis[[#This Row],[5]]&gt;=sectors_sev_5), "Flagged", ""), "")</f>
        <v/>
      </c>
      <c r="AH103" s="347" t="str">
        <f>IFERROR(IF(AND(tblSeverityAnalysis[[#This Row],[Severidad preliminar basada en la superposición de privaciones sectoriales]]=5, SUM(tblSeverityAnalysis[[#This Row],[ 1 ]:[ 4 ]])&gt;=sectors_sev_5), "Flagged", ""), "")</f>
        <v/>
      </c>
      <c r="AI103" s="348" t="str" cm="1">
        <f t="array" ref="AI10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0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03" s="350"/>
      <c r="AL103" s="351"/>
      <c r="AM103" s="350"/>
      <c r="AN103" s="407">
        <f>COUNTIF(tblSeverityAnalysis[[#This Row],[1 sectores en fase de severidad 5 '[modificar el umbral']]:[Marcador manual]], "Flagged")</f>
        <v>0</v>
      </c>
      <c r="AO103" s="418">
        <f>tblSeverityAnalysis[[#This Row],[Severidad preliminar basada en la superposición de privaciones sectoriales]]</f>
        <v>2</v>
      </c>
      <c r="AP103" s="417"/>
      <c r="AQ103" s="421" t="s">
        <v>876</v>
      </c>
      <c r="AR103" s="417">
        <v>3</v>
      </c>
    </row>
    <row r="104" spans="1:44">
      <c r="A10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VenezolanosVE1001</v>
      </c>
      <c r="B104" s="363" t="s">
        <v>306</v>
      </c>
      <c r="C104" s="323" t="s">
        <v>307</v>
      </c>
      <c r="D104" s="322" t="s">
        <v>308</v>
      </c>
      <c r="E104" s="323" t="s">
        <v>309</v>
      </c>
      <c r="F104" s="323"/>
      <c r="G104" s="324">
        <v>26655</v>
      </c>
      <c r="H104" s="324" t="s">
        <v>102</v>
      </c>
      <c r="I104" s="374">
        <v>4</v>
      </c>
      <c r="J104" s="237">
        <v>3</v>
      </c>
      <c r="K104" s="237">
        <v>4</v>
      </c>
      <c r="L104" s="237">
        <v>5</v>
      </c>
      <c r="M104" s="237">
        <v>4</v>
      </c>
      <c r="N104" s="237">
        <v>4</v>
      </c>
      <c r="O104" s="237">
        <v>4</v>
      </c>
      <c r="P104" s="237">
        <v>4</v>
      </c>
      <c r="Q104" s="382" t="str">
        <f>IF(COUNTIF(tblSeverityAnalysis[[#This Row],[SAMV]:[ASH]], 1)=0, "", COUNTIF(tblSeverityAnalysis[[#This Row],[SAMV]:[ASH]], 1))</f>
        <v/>
      </c>
      <c r="R104" s="325" t="str">
        <f>IF(COUNTIF(tblSeverityAnalysis[[#This Row],[SAMV]:[ASH]], 2)=0, "", COUNTIF(tblSeverityAnalysis[[#This Row],[SAMV]:[ASH]], 2))</f>
        <v/>
      </c>
      <c r="S104" s="325">
        <f>IF(COUNTIF(tblSeverityAnalysis[[#This Row],[SAMV]:[ASH]], 3)=0, "", COUNTIF(tblSeverityAnalysis[[#This Row],[SAMV]:[ASH]], 3))</f>
        <v>1</v>
      </c>
      <c r="T104" s="325">
        <f>IF(COUNTIF(tblSeverityAnalysis[[#This Row],[SAMV]:[ASH]], 4)=0, "", COUNTIF(tblSeverityAnalysis[[#This Row],[SAMV]:[ASH]], 4))</f>
        <v>4</v>
      </c>
      <c r="U104" s="383">
        <f>IF(COUNTIF(tblSeverityAnalysis[[#This Row],[SAMV]:[ASH]], 5)=0, "", COUNTIF(tblSeverityAnalysis[[#This Row],[SAMV]:[ASH]], 5))</f>
        <v>1</v>
      </c>
      <c r="V104" s="376">
        <v>5</v>
      </c>
      <c r="W10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04" s="237" t="str">
        <f>IFERROR(IF(INDEX(tblSeverityReference[Severidad de la desnutrición],MATCH(tblSeverityAnalysis[[#This Row],[ID]], tblSeverityReference[ID], 0))= "", "",INDEX(tblSeverityReference[Severidad de la desnutrición],MATCH(tblSeverityAnalysis[[#This Row],[ID]], tblSeverityReference[ID], 0)) ), "")</f>
        <v/>
      </c>
      <c r="Y104" s="349" t="str">
        <f>IFERROR(IF(INDEX(tblSeverityReference[Severidad epidémica],MATCH(tblSeverityAnalysis[[#This Row],[ID]], tblSeverityReference[ID], 0))= "", "",INDEX(tblSeverityReference[Severidad epidémica],MATCH(tblSeverityAnalysis[[#This Row],[ID]], tblSeverityReference[ID], 0)) ), "")</f>
        <v/>
      </c>
      <c r="Z10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04" s="391" t="str">
        <f>IFERROR(IF(INDEX(tblSeverityReference[HR/IHL Violation],MATCH(tblSeverityAnalysis[[#This Row],[ID]], tblSeverityReference[ID], 0))= "", "",INDEX(tblSeverityReference[HR/IHL Violation],MATCH(tblSeverityAnalysis[[#This Row],[ID]], tblSeverityReference[ID], 0)) ), "")</f>
        <v/>
      </c>
      <c r="AB104" s="397">
        <f>IFERROR(AVERAGE(tblSeverityAnalysis[[#This Row],[SAMV]:[ASH]]), "")</f>
        <v>4</v>
      </c>
      <c r="AC104" s="346">
        <f>IF(SUM(tblSeverityAnalysis[[#This Row],[SAMV]:[ASH]])=0, "", MAX(tblSeverityAnalysis[[#This Row],[SAMV]:[ASH]]))</f>
        <v>5</v>
      </c>
      <c r="AD104" s="261" t="str" cm="1">
        <f t="array" ref="AD104">IFERROR(IF(tblSeverityAnalysis[[#This Row],[Severidad máxima]]="", "", _xlfn.TEXTJOIN(CHAR(10), TRUE, IF(tblSeverityAnalysis[[#This Row],[SAMV]:[ASH]]=tblSeverityAnalysis[[#This Row],[Severidad máxima]], tblSeverityAnalysis[[#Headers],[SAMV]:[ASH]], ""), "")), "")</f>
        <v>EDU</v>
      </c>
      <c r="AE104" s="346" cm="1">
        <f t="array" ref="AE104">IFERROR(MAX(_xlfn._xlws.FILTER(tblSeverityAnalysis[[#This Row],[SAMV]:[ASH]], tblSeverityAnalysis[[#This Row],[SAMV]:[ASH]]&lt;tblSeverityAnalysis[[#This Row],[Severidad máxima]])), "")</f>
        <v>4</v>
      </c>
      <c r="AF104" s="398" t="str" cm="1">
        <f t="array" ref="AF104">IFERROR(IF(tblSeverityAnalysis[[#This Row],[2ª mayor severidad]]="", "", _xlfn.TEXTJOIN(CHAR(10), TRUE, IF(tblSeverityAnalysis[[#This Row],[SAMV]:[ASH]]=tblSeverityAnalysis[[#This Row],[2ª mayor severidad]], tblSeverityAnalysis[[#Headers],[SAMV]:[ASH]], ""), "")), "")</f>
        <v>SAMV
SAL
PRO
ASH</v>
      </c>
      <c r="AG104" s="405" t="str">
        <f>IFERROR(IF(AND(tblSeverityAnalysis[[#This Row],[5]] &lt;&gt; "", tblSeverityAnalysis[[#This Row],[5]]&gt;=sectors_sev_5), "Flagged", ""), "")</f>
        <v/>
      </c>
      <c r="AH104" s="347" t="str">
        <f>IFERROR(IF(AND(tblSeverityAnalysis[[#This Row],[Severidad preliminar basada en la superposición de privaciones sectoriales]]=5, SUM(tblSeverityAnalysis[[#This Row],[ 1 ]:[ 4 ]])&gt;=sectors_sev_5), "Flagged", ""), "")</f>
        <v>Flagged</v>
      </c>
      <c r="AI104" s="348" t="str" cm="1">
        <f t="array" ref="AI10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0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04" s="350"/>
      <c r="AL104" s="351"/>
      <c r="AM104" s="350"/>
      <c r="AN104" s="407">
        <f>COUNTIF(tblSeverityAnalysis[[#This Row],[1 sectores en fase de severidad 5 '[modificar el umbral']]:[Marcador manual]], "Flagged")</f>
        <v>1</v>
      </c>
      <c r="AO104" s="418">
        <f>tblSeverityAnalysis[[#This Row],[Severidad preliminar basada en la superposición de privaciones sectoriales]]</f>
        <v>5</v>
      </c>
      <c r="AP104" s="417" t="s">
        <v>880</v>
      </c>
      <c r="AQ104" s="421" t="s">
        <v>875</v>
      </c>
      <c r="AR104" s="417">
        <v>5</v>
      </c>
    </row>
    <row r="105" spans="1:44" hidden="1">
      <c r="A10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VenezolanosVE1002</v>
      </c>
      <c r="B105" s="363" t="s">
        <v>306</v>
      </c>
      <c r="C105" s="323" t="s">
        <v>307</v>
      </c>
      <c r="D105" s="322" t="s">
        <v>310</v>
      </c>
      <c r="E105" s="323" t="s">
        <v>311</v>
      </c>
      <c r="F105" s="323"/>
      <c r="G105" s="324">
        <v>29555</v>
      </c>
      <c r="H105" s="324" t="s">
        <v>102</v>
      </c>
      <c r="I105" s="374">
        <v>4</v>
      </c>
      <c r="J105" s="237">
        <v>1</v>
      </c>
      <c r="K105" s="237">
        <v>4</v>
      </c>
      <c r="L105" s="237">
        <v>3</v>
      </c>
      <c r="M105" s="237">
        <v>4</v>
      </c>
      <c r="N105" s="237">
        <v>4</v>
      </c>
      <c r="O105" s="237">
        <v>4</v>
      </c>
      <c r="P105" s="237">
        <v>4</v>
      </c>
      <c r="Q105" s="382">
        <f>IF(COUNTIF(tblSeverityAnalysis[[#This Row],[SAMV]:[ASH]], 1)=0, "", COUNTIF(tblSeverityAnalysis[[#This Row],[SAMV]:[ASH]], 1))</f>
        <v>1</v>
      </c>
      <c r="R105" s="325" t="str">
        <f>IF(COUNTIF(tblSeverityAnalysis[[#This Row],[SAMV]:[ASH]], 2)=0, "", COUNTIF(tblSeverityAnalysis[[#This Row],[SAMV]:[ASH]], 2))</f>
        <v/>
      </c>
      <c r="S105" s="325">
        <f>IF(COUNTIF(tblSeverityAnalysis[[#This Row],[SAMV]:[ASH]], 3)=0, "", COUNTIF(tblSeverityAnalysis[[#This Row],[SAMV]:[ASH]], 3))</f>
        <v>1</v>
      </c>
      <c r="T105" s="325">
        <f>IF(COUNTIF(tblSeverityAnalysis[[#This Row],[SAMV]:[ASH]], 4)=0, "", COUNTIF(tblSeverityAnalysis[[#This Row],[SAMV]:[ASH]], 4))</f>
        <v>4</v>
      </c>
      <c r="U105" s="383" t="str">
        <f>IF(COUNTIF(tblSeverityAnalysis[[#This Row],[SAMV]:[ASH]], 5)=0, "", COUNTIF(tblSeverityAnalysis[[#This Row],[SAMV]:[ASH]], 5))</f>
        <v/>
      </c>
      <c r="V105" s="375" cm="1">
        <f t="array" ref="V10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10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05" s="237" t="str">
        <f>IFERROR(IF(INDEX(tblSeverityReference[Severidad de la desnutrición],MATCH(tblSeverityAnalysis[[#This Row],[ID]], tblSeverityReference[ID], 0))= "", "",INDEX(tblSeverityReference[Severidad de la desnutrición],MATCH(tblSeverityAnalysis[[#This Row],[ID]], tblSeverityReference[ID], 0)) ), "")</f>
        <v/>
      </c>
      <c r="Y105" s="349" t="str">
        <f>IFERROR(IF(INDEX(tblSeverityReference[Severidad epidémica],MATCH(tblSeverityAnalysis[[#This Row],[ID]], tblSeverityReference[ID], 0))= "", "",INDEX(tblSeverityReference[Severidad epidémica],MATCH(tblSeverityAnalysis[[#This Row],[ID]], tblSeverityReference[ID], 0)) ), "")</f>
        <v/>
      </c>
      <c r="Z10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05" s="391" t="str">
        <f>IFERROR(IF(INDEX(tblSeverityReference[HR/IHL Violation],MATCH(tblSeverityAnalysis[[#This Row],[ID]], tblSeverityReference[ID], 0))= "", "",INDEX(tblSeverityReference[HR/IHL Violation],MATCH(tblSeverityAnalysis[[#This Row],[ID]], tblSeverityReference[ID], 0)) ), "")</f>
        <v/>
      </c>
      <c r="AB105" s="397">
        <f>IFERROR(AVERAGE(tblSeverityAnalysis[[#This Row],[SAMV]:[ASH]]), "")</f>
        <v>3.3333333333333335</v>
      </c>
      <c r="AC105" s="346">
        <f>IF(SUM(tblSeverityAnalysis[[#This Row],[SAMV]:[ASH]])=0, "", MAX(tblSeverityAnalysis[[#This Row],[SAMV]:[ASH]]))</f>
        <v>4</v>
      </c>
      <c r="AD105" s="261" t="str" cm="1">
        <f t="array" ref="AD105">IFERROR(IF(tblSeverityAnalysis[[#This Row],[Severidad máxima]]="", "", _xlfn.TEXTJOIN(CHAR(10), TRUE, IF(tblSeverityAnalysis[[#This Row],[SAMV]:[ASH]]=tblSeverityAnalysis[[#This Row],[Severidad máxima]], tblSeverityAnalysis[[#Headers],[SAMV]:[ASH]], ""), "")), "")</f>
        <v>SAMV
SAL
PRO
ASH</v>
      </c>
      <c r="AE105" s="346" cm="1">
        <f t="array" ref="AE105">IFERROR(MAX(_xlfn._xlws.FILTER(tblSeverityAnalysis[[#This Row],[SAMV]:[ASH]], tblSeverityAnalysis[[#This Row],[SAMV]:[ASH]]&lt;tblSeverityAnalysis[[#This Row],[Severidad máxima]])), "")</f>
        <v>3</v>
      </c>
      <c r="AF105" s="398" t="str" cm="1">
        <f t="array" ref="AF105">IFERROR(IF(tblSeverityAnalysis[[#This Row],[2ª mayor severidad]]="", "", _xlfn.TEXTJOIN(CHAR(10), TRUE, IF(tblSeverityAnalysis[[#This Row],[SAMV]:[ASH]]=tblSeverityAnalysis[[#This Row],[2ª mayor severidad]], tblSeverityAnalysis[[#Headers],[SAMV]:[ASH]], ""), "")), "")</f>
        <v>EDU</v>
      </c>
      <c r="AG105" s="405" t="str">
        <f>IFERROR(IF(AND(tblSeverityAnalysis[[#This Row],[5]] &lt;&gt; "", tblSeverityAnalysis[[#This Row],[5]]&gt;=sectors_sev_5), "Flagged", ""), "")</f>
        <v/>
      </c>
      <c r="AH105" s="347" t="str">
        <f>IFERROR(IF(AND(tblSeverityAnalysis[[#This Row],[Severidad preliminar basada en la superposición de privaciones sectoriales]]=5, SUM(tblSeverityAnalysis[[#This Row],[ 1 ]:[ 4 ]])&gt;=sectors_sev_5), "Flagged", ""), "")</f>
        <v/>
      </c>
      <c r="AI105" s="348" t="str" cm="1">
        <f t="array" ref="AI10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0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05" s="350"/>
      <c r="AL105" s="351"/>
      <c r="AM105" s="350"/>
      <c r="AN105" s="407">
        <f>COUNTIF(tblSeverityAnalysis[[#This Row],[1 sectores en fase de severidad 5 '[modificar el umbral']]:[Marcador manual]], "Flagged")</f>
        <v>0</v>
      </c>
      <c r="AO105" s="418">
        <f>tblSeverityAnalysis[[#This Row],[Severidad preliminar basada en la superposición de privaciones sectoriales]]</f>
        <v>4</v>
      </c>
      <c r="AP105" s="417"/>
      <c r="AQ105" s="421" t="s">
        <v>875</v>
      </c>
      <c r="AR105" s="417">
        <v>4</v>
      </c>
    </row>
    <row r="106" spans="1:44" hidden="1">
      <c r="A10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VenezolanosVE1003</v>
      </c>
      <c r="B106" s="363" t="s">
        <v>306</v>
      </c>
      <c r="C106" s="323" t="s">
        <v>307</v>
      </c>
      <c r="D106" s="322" t="s">
        <v>312</v>
      </c>
      <c r="E106" s="323" t="s">
        <v>313</v>
      </c>
      <c r="F106" s="323"/>
      <c r="G106" s="324">
        <v>6438</v>
      </c>
      <c r="H106" s="324" t="s">
        <v>102</v>
      </c>
      <c r="I106" s="374">
        <v>4</v>
      </c>
      <c r="J106" s="237">
        <v>3</v>
      </c>
      <c r="K106" s="237">
        <v>4</v>
      </c>
      <c r="L106" s="237">
        <v>5</v>
      </c>
      <c r="M106" s="237">
        <v>4</v>
      </c>
      <c r="N106" s="237">
        <v>4</v>
      </c>
      <c r="O106" s="237">
        <v>4</v>
      </c>
      <c r="P106" s="237">
        <v>4</v>
      </c>
      <c r="Q106" s="382" t="str">
        <f>IF(COUNTIF(tblSeverityAnalysis[[#This Row],[SAMV]:[ASH]], 1)=0, "", COUNTIF(tblSeverityAnalysis[[#This Row],[SAMV]:[ASH]], 1))</f>
        <v/>
      </c>
      <c r="R106" s="325" t="str">
        <f>IF(COUNTIF(tblSeverityAnalysis[[#This Row],[SAMV]:[ASH]], 2)=0, "", COUNTIF(tblSeverityAnalysis[[#This Row],[SAMV]:[ASH]], 2))</f>
        <v/>
      </c>
      <c r="S106" s="325">
        <f>IF(COUNTIF(tblSeverityAnalysis[[#This Row],[SAMV]:[ASH]], 3)=0, "", COUNTIF(tblSeverityAnalysis[[#This Row],[SAMV]:[ASH]], 3))</f>
        <v>1</v>
      </c>
      <c r="T106" s="325">
        <f>IF(COUNTIF(tblSeverityAnalysis[[#This Row],[SAMV]:[ASH]], 4)=0, "", COUNTIF(tblSeverityAnalysis[[#This Row],[SAMV]:[ASH]], 4))</f>
        <v>4</v>
      </c>
      <c r="U106" s="383">
        <f>IF(COUNTIF(tblSeverityAnalysis[[#This Row],[SAMV]:[ASH]], 5)=0, "", COUNTIF(tblSeverityAnalysis[[#This Row],[SAMV]:[ASH]], 5))</f>
        <v>1</v>
      </c>
      <c r="V106" s="375" cm="1">
        <f t="array" ref="V10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10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06" s="237" t="str">
        <f>IFERROR(IF(INDEX(tblSeverityReference[Severidad de la desnutrición],MATCH(tblSeverityAnalysis[[#This Row],[ID]], tblSeverityReference[ID], 0))= "", "",INDEX(tblSeverityReference[Severidad de la desnutrición],MATCH(tblSeverityAnalysis[[#This Row],[ID]], tblSeverityReference[ID], 0)) ), "")</f>
        <v/>
      </c>
      <c r="Y106" s="349" t="str">
        <f>IFERROR(IF(INDEX(tblSeverityReference[Severidad epidémica],MATCH(tblSeverityAnalysis[[#This Row],[ID]], tblSeverityReference[ID], 0))= "", "",INDEX(tblSeverityReference[Severidad epidémica],MATCH(tblSeverityAnalysis[[#This Row],[ID]], tblSeverityReference[ID], 0)) ), "")</f>
        <v/>
      </c>
      <c r="Z10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06" s="391" t="str">
        <f>IFERROR(IF(INDEX(tblSeverityReference[HR/IHL Violation],MATCH(tblSeverityAnalysis[[#This Row],[ID]], tblSeverityReference[ID], 0))= "", "",INDEX(tblSeverityReference[HR/IHL Violation],MATCH(tblSeverityAnalysis[[#This Row],[ID]], tblSeverityReference[ID], 0)) ), "")</f>
        <v/>
      </c>
      <c r="AB106" s="397">
        <f>IFERROR(AVERAGE(tblSeverityAnalysis[[#This Row],[SAMV]:[ASH]]), "")</f>
        <v>4</v>
      </c>
      <c r="AC106" s="346">
        <f>IF(SUM(tblSeverityAnalysis[[#This Row],[SAMV]:[ASH]])=0, "", MAX(tblSeverityAnalysis[[#This Row],[SAMV]:[ASH]]))</f>
        <v>5</v>
      </c>
      <c r="AD106" s="261" t="str" cm="1">
        <f t="array" ref="AD106">IFERROR(IF(tblSeverityAnalysis[[#This Row],[Severidad máxima]]="", "", _xlfn.TEXTJOIN(CHAR(10), TRUE, IF(tblSeverityAnalysis[[#This Row],[SAMV]:[ASH]]=tblSeverityAnalysis[[#This Row],[Severidad máxima]], tblSeverityAnalysis[[#Headers],[SAMV]:[ASH]], ""), "")), "")</f>
        <v>EDU</v>
      </c>
      <c r="AE106" s="346" cm="1">
        <f t="array" ref="AE106">IFERROR(MAX(_xlfn._xlws.FILTER(tblSeverityAnalysis[[#This Row],[SAMV]:[ASH]], tblSeverityAnalysis[[#This Row],[SAMV]:[ASH]]&lt;tblSeverityAnalysis[[#This Row],[Severidad máxima]])), "")</f>
        <v>4</v>
      </c>
      <c r="AF106" s="398" t="str" cm="1">
        <f t="array" ref="AF106">IFERROR(IF(tblSeverityAnalysis[[#This Row],[2ª mayor severidad]]="", "", _xlfn.TEXTJOIN(CHAR(10), TRUE, IF(tblSeverityAnalysis[[#This Row],[SAMV]:[ASH]]=tblSeverityAnalysis[[#This Row],[2ª mayor severidad]], tblSeverityAnalysis[[#Headers],[SAMV]:[ASH]], ""), "")), "")</f>
        <v>SAMV
SAL
PRO
ASH</v>
      </c>
      <c r="AG106" s="405" t="str">
        <f>IFERROR(IF(AND(tblSeverityAnalysis[[#This Row],[5]] &lt;&gt; "", tblSeverityAnalysis[[#This Row],[5]]&gt;=sectors_sev_5), "Flagged", ""), "")</f>
        <v/>
      </c>
      <c r="AH106" s="347" t="str">
        <f>IFERROR(IF(AND(tblSeverityAnalysis[[#This Row],[Severidad preliminar basada en la superposición de privaciones sectoriales]]=5, SUM(tblSeverityAnalysis[[#This Row],[ 1 ]:[ 4 ]])&gt;=sectors_sev_5), "Flagged", ""), "")</f>
        <v/>
      </c>
      <c r="AI106" s="348" t="str" cm="1">
        <f t="array" ref="AI10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0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06" s="350"/>
      <c r="AL106" s="351"/>
      <c r="AM106" s="350"/>
      <c r="AN106" s="407">
        <f>COUNTIF(tblSeverityAnalysis[[#This Row],[1 sectores en fase de severidad 5 '[modificar el umbral']]:[Marcador manual]], "Flagged")</f>
        <v>0</v>
      </c>
      <c r="AO106" s="418">
        <f>tblSeverityAnalysis[[#This Row],[Severidad preliminar basada en la superposición de privaciones sectoriales]]</f>
        <v>4</v>
      </c>
      <c r="AP106" s="417"/>
      <c r="AQ106" s="421" t="s">
        <v>876</v>
      </c>
      <c r="AR106" s="417">
        <v>4</v>
      </c>
    </row>
    <row r="107" spans="1:44" hidden="1">
      <c r="A10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VenezolanosVE1004</v>
      </c>
      <c r="B107" s="363" t="s">
        <v>306</v>
      </c>
      <c r="C107" s="323" t="s">
        <v>307</v>
      </c>
      <c r="D107" s="322" t="s">
        <v>314</v>
      </c>
      <c r="E107" s="323" t="s">
        <v>315</v>
      </c>
      <c r="F107" s="323"/>
      <c r="G107" s="324">
        <v>102877</v>
      </c>
      <c r="H107" s="324" t="s">
        <v>102</v>
      </c>
      <c r="I107" s="374">
        <v>4</v>
      </c>
      <c r="J107" s="237">
        <v>2</v>
      </c>
      <c r="K107" s="237">
        <v>3</v>
      </c>
      <c r="L107" s="237">
        <v>4</v>
      </c>
      <c r="M107" s="237">
        <v>4</v>
      </c>
      <c r="N107" s="237">
        <v>3</v>
      </c>
      <c r="O107" s="237">
        <v>4</v>
      </c>
      <c r="P107" s="237">
        <v>4</v>
      </c>
      <c r="Q107" s="382" t="str">
        <f>IF(COUNTIF(tblSeverityAnalysis[[#This Row],[SAMV]:[ASH]], 1)=0, "", COUNTIF(tblSeverityAnalysis[[#This Row],[SAMV]:[ASH]], 1))</f>
        <v/>
      </c>
      <c r="R107" s="325">
        <f>IF(COUNTIF(tblSeverityAnalysis[[#This Row],[SAMV]:[ASH]], 2)=0, "", COUNTIF(tblSeverityAnalysis[[#This Row],[SAMV]:[ASH]], 2))</f>
        <v>1</v>
      </c>
      <c r="S107" s="325">
        <f>IF(COUNTIF(tblSeverityAnalysis[[#This Row],[SAMV]:[ASH]], 3)=0, "", COUNTIF(tblSeverityAnalysis[[#This Row],[SAMV]:[ASH]], 3))</f>
        <v>2</v>
      </c>
      <c r="T107" s="325">
        <f>IF(COUNTIF(tblSeverityAnalysis[[#This Row],[SAMV]:[ASH]], 4)=0, "", COUNTIF(tblSeverityAnalysis[[#This Row],[SAMV]:[ASH]], 4))</f>
        <v>3</v>
      </c>
      <c r="U107" s="383" t="str">
        <f>IF(COUNTIF(tblSeverityAnalysis[[#This Row],[SAMV]:[ASH]], 5)=0, "", COUNTIF(tblSeverityAnalysis[[#This Row],[SAMV]:[ASH]], 5))</f>
        <v/>
      </c>
      <c r="V107" s="375" cm="1">
        <f t="array" ref="V10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0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07" s="237" t="str">
        <f>IFERROR(IF(INDEX(tblSeverityReference[Severidad de la desnutrición],MATCH(tblSeverityAnalysis[[#This Row],[ID]], tblSeverityReference[ID], 0))= "", "",INDEX(tblSeverityReference[Severidad de la desnutrición],MATCH(tblSeverityAnalysis[[#This Row],[ID]], tblSeverityReference[ID], 0)) ), "")</f>
        <v/>
      </c>
      <c r="Y107" s="349" t="str">
        <f>IFERROR(IF(INDEX(tblSeverityReference[Severidad epidémica],MATCH(tblSeverityAnalysis[[#This Row],[ID]], tblSeverityReference[ID], 0))= "", "",INDEX(tblSeverityReference[Severidad epidémica],MATCH(tblSeverityAnalysis[[#This Row],[ID]], tblSeverityReference[ID], 0)) ), "")</f>
        <v/>
      </c>
      <c r="Z10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07" s="391" t="str">
        <f>IFERROR(IF(INDEX(tblSeverityReference[HR/IHL Violation],MATCH(tblSeverityAnalysis[[#This Row],[ID]], tblSeverityReference[ID], 0))= "", "",INDEX(tblSeverityReference[HR/IHL Violation],MATCH(tblSeverityAnalysis[[#This Row],[ID]], tblSeverityReference[ID], 0)) ), "")</f>
        <v/>
      </c>
      <c r="AB107" s="397">
        <f>IFERROR(AVERAGE(tblSeverityAnalysis[[#This Row],[SAMV]:[ASH]]), "")</f>
        <v>3.3333333333333335</v>
      </c>
      <c r="AC107" s="346">
        <f>IF(SUM(tblSeverityAnalysis[[#This Row],[SAMV]:[ASH]])=0, "", MAX(tblSeverityAnalysis[[#This Row],[SAMV]:[ASH]]))</f>
        <v>4</v>
      </c>
      <c r="AD107" s="261" t="str" cm="1">
        <f t="array" ref="AD107">IFERROR(IF(tblSeverityAnalysis[[#This Row],[Severidad máxima]]="", "", _xlfn.TEXTJOIN(CHAR(10), TRUE, IF(tblSeverityAnalysis[[#This Row],[SAMV]:[ASH]]=tblSeverityAnalysis[[#This Row],[Severidad máxima]], tblSeverityAnalysis[[#Headers],[SAMV]:[ASH]], ""), "")), "")</f>
        <v>SAMV
EDU
PRO</v>
      </c>
      <c r="AE107" s="346" cm="1">
        <f t="array" ref="AE107">IFERROR(MAX(_xlfn._xlws.FILTER(tblSeverityAnalysis[[#This Row],[SAMV]:[ASH]], tblSeverityAnalysis[[#This Row],[SAMV]:[ASH]]&lt;tblSeverityAnalysis[[#This Row],[Severidad máxima]])), "")</f>
        <v>3</v>
      </c>
      <c r="AF107" s="398" t="str" cm="1">
        <f t="array" ref="AF107">IFERROR(IF(tblSeverityAnalysis[[#This Row],[2ª mayor severidad]]="", "", _xlfn.TEXTJOIN(CHAR(10), TRUE, IF(tblSeverityAnalysis[[#This Row],[SAMV]:[ASH]]=tblSeverityAnalysis[[#This Row],[2ª mayor severidad]], tblSeverityAnalysis[[#Headers],[SAMV]:[ASH]], ""), "")), "")</f>
        <v>SAL
ASH</v>
      </c>
      <c r="AG107" s="405" t="str">
        <f>IFERROR(IF(AND(tblSeverityAnalysis[[#This Row],[5]] &lt;&gt; "", tblSeverityAnalysis[[#This Row],[5]]&gt;=sectors_sev_5), "Flagged", ""), "")</f>
        <v/>
      </c>
      <c r="AH107" s="347" t="str">
        <f>IFERROR(IF(AND(tblSeverityAnalysis[[#This Row],[Severidad preliminar basada en la superposición de privaciones sectoriales]]=5, SUM(tblSeverityAnalysis[[#This Row],[ 1 ]:[ 4 ]])&gt;=sectors_sev_5), "Flagged", ""), "")</f>
        <v/>
      </c>
      <c r="AI107" s="348" t="str" cm="1">
        <f t="array" ref="AI10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0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07" s="350"/>
      <c r="AL107" s="351"/>
      <c r="AM107" s="350"/>
      <c r="AN107" s="407">
        <f>COUNTIF(tblSeverityAnalysis[[#This Row],[1 sectores en fase de severidad 5 '[modificar el umbral']]:[Marcador manual]], "Flagged")</f>
        <v>0</v>
      </c>
      <c r="AO107" s="418">
        <f>tblSeverityAnalysis[[#This Row],[Severidad preliminar basada en la superposición de privaciones sectoriales]]</f>
        <v>3</v>
      </c>
      <c r="AP107" s="417"/>
      <c r="AQ107" s="421" t="s">
        <v>875</v>
      </c>
      <c r="AR107" s="417">
        <v>3</v>
      </c>
    </row>
    <row r="108" spans="1:44" hidden="1">
      <c r="A10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VenezolanosVE1101</v>
      </c>
      <c r="B108" s="363" t="s">
        <v>316</v>
      </c>
      <c r="C108" s="323" t="s">
        <v>317</v>
      </c>
      <c r="D108" s="322" t="s">
        <v>318</v>
      </c>
      <c r="E108" s="323" t="s">
        <v>319</v>
      </c>
      <c r="F108" s="323"/>
      <c r="G108" s="324">
        <v>19045</v>
      </c>
      <c r="H108" s="324" t="s">
        <v>102</v>
      </c>
      <c r="I108" s="374">
        <v>3</v>
      </c>
      <c r="J108" s="237">
        <v>2</v>
      </c>
      <c r="K108" s="237">
        <v>3</v>
      </c>
      <c r="L108" s="237">
        <v>3</v>
      </c>
      <c r="M108" s="237">
        <v>3</v>
      </c>
      <c r="N108" s="237">
        <v>3</v>
      </c>
      <c r="O108" s="237">
        <v>3</v>
      </c>
      <c r="P108" s="237">
        <v>3</v>
      </c>
      <c r="Q108" s="382" t="str">
        <f>IF(COUNTIF(tblSeverityAnalysis[[#This Row],[SAMV]:[ASH]], 1)=0, "", COUNTIF(tblSeverityAnalysis[[#This Row],[SAMV]:[ASH]], 1))</f>
        <v/>
      </c>
      <c r="R108" s="325">
        <f>IF(COUNTIF(tblSeverityAnalysis[[#This Row],[SAMV]:[ASH]], 2)=0, "", COUNTIF(tblSeverityAnalysis[[#This Row],[SAMV]:[ASH]], 2))</f>
        <v>1</v>
      </c>
      <c r="S108" s="325">
        <f>IF(COUNTIF(tblSeverityAnalysis[[#This Row],[SAMV]:[ASH]], 3)=0, "", COUNTIF(tblSeverityAnalysis[[#This Row],[SAMV]:[ASH]], 3))</f>
        <v>5</v>
      </c>
      <c r="T108" s="325" t="str">
        <f>IF(COUNTIF(tblSeverityAnalysis[[#This Row],[SAMV]:[ASH]], 4)=0, "", COUNTIF(tblSeverityAnalysis[[#This Row],[SAMV]:[ASH]], 4))</f>
        <v/>
      </c>
      <c r="U108" s="383" t="str">
        <f>IF(COUNTIF(tblSeverityAnalysis[[#This Row],[SAMV]:[ASH]], 5)=0, "", COUNTIF(tblSeverityAnalysis[[#This Row],[SAMV]:[ASH]], 5))</f>
        <v/>
      </c>
      <c r="V108" s="375" cm="1">
        <f t="array" ref="V10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0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08" s="237" t="str">
        <f>IFERROR(IF(INDEX(tblSeverityReference[Severidad de la desnutrición],MATCH(tblSeverityAnalysis[[#This Row],[ID]], tblSeverityReference[ID], 0))= "", "",INDEX(tblSeverityReference[Severidad de la desnutrición],MATCH(tblSeverityAnalysis[[#This Row],[ID]], tblSeverityReference[ID], 0)) ), "")</f>
        <v/>
      </c>
      <c r="Y108" s="349" t="str">
        <f>IFERROR(IF(INDEX(tblSeverityReference[Severidad epidémica],MATCH(tblSeverityAnalysis[[#This Row],[ID]], tblSeverityReference[ID], 0))= "", "",INDEX(tblSeverityReference[Severidad epidémica],MATCH(tblSeverityAnalysis[[#This Row],[ID]], tblSeverityReference[ID], 0)) ), "")</f>
        <v/>
      </c>
      <c r="Z10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08" s="391" t="str">
        <f>IFERROR(IF(INDEX(tblSeverityReference[HR/IHL Violation],MATCH(tblSeverityAnalysis[[#This Row],[ID]], tblSeverityReference[ID], 0))= "", "",INDEX(tblSeverityReference[HR/IHL Violation],MATCH(tblSeverityAnalysis[[#This Row],[ID]], tblSeverityReference[ID], 0)) ), "")</f>
        <v/>
      </c>
      <c r="AB108" s="397">
        <f>IFERROR(AVERAGE(tblSeverityAnalysis[[#This Row],[SAMV]:[ASH]]), "")</f>
        <v>2.8333333333333335</v>
      </c>
      <c r="AC108" s="346">
        <f>IF(SUM(tblSeverityAnalysis[[#This Row],[SAMV]:[ASH]])=0, "", MAX(tblSeverityAnalysis[[#This Row],[SAMV]:[ASH]]))</f>
        <v>3</v>
      </c>
      <c r="AD108" s="261" t="str" cm="1">
        <f t="array" ref="AD108">IFERROR(IF(tblSeverityAnalysis[[#This Row],[Severidad máxima]]="", "", _xlfn.TEXTJOIN(CHAR(10), TRUE, IF(tblSeverityAnalysis[[#This Row],[SAMV]:[ASH]]=tblSeverityAnalysis[[#This Row],[Severidad máxima]], tblSeverityAnalysis[[#Headers],[SAMV]:[ASH]], ""), "")), "")</f>
        <v>SAMV
SAL
EDU
PRO
ASH</v>
      </c>
      <c r="AE108" s="346" cm="1">
        <f t="array" ref="AE108">IFERROR(MAX(_xlfn._xlws.FILTER(tblSeverityAnalysis[[#This Row],[SAMV]:[ASH]], tblSeverityAnalysis[[#This Row],[SAMV]:[ASH]]&lt;tblSeverityAnalysis[[#This Row],[Severidad máxima]])), "")</f>
        <v>2</v>
      </c>
      <c r="AF108" s="398" t="str" cm="1">
        <f t="array" ref="AF108">IFERROR(IF(tblSeverityAnalysis[[#This Row],[2ª mayor severidad]]="", "", _xlfn.TEXTJOIN(CHAR(10), TRUE, IF(tblSeverityAnalysis[[#This Row],[SAMV]:[ASH]]=tblSeverityAnalysis[[#This Row],[2ª mayor severidad]], tblSeverityAnalysis[[#Headers],[SAMV]:[ASH]], ""), "")), "")</f>
        <v>NUT</v>
      </c>
      <c r="AG108" s="405" t="str">
        <f>IFERROR(IF(AND(tblSeverityAnalysis[[#This Row],[5]] &lt;&gt; "", tblSeverityAnalysis[[#This Row],[5]]&gt;=sectors_sev_5), "Flagged", ""), "")</f>
        <v/>
      </c>
      <c r="AH108" s="347" t="str">
        <f>IFERROR(IF(AND(tblSeverityAnalysis[[#This Row],[Severidad preliminar basada en la superposición de privaciones sectoriales]]=5, SUM(tblSeverityAnalysis[[#This Row],[ 1 ]:[ 4 ]])&gt;=sectors_sev_5), "Flagged", ""), "")</f>
        <v/>
      </c>
      <c r="AI108" s="348" t="str" cm="1">
        <f t="array" ref="AI10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0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08" s="350"/>
      <c r="AL108" s="351"/>
      <c r="AM108" s="350"/>
      <c r="AN108" s="407">
        <f>COUNTIF(tblSeverityAnalysis[[#This Row],[1 sectores en fase de severidad 5 '[modificar el umbral']]:[Marcador manual]], "Flagged")</f>
        <v>0</v>
      </c>
      <c r="AO108" s="418">
        <f>tblSeverityAnalysis[[#This Row],[Severidad preliminar basada en la superposición de privaciones sectoriales]]</f>
        <v>3</v>
      </c>
      <c r="AP108" s="417"/>
      <c r="AQ108" s="421" t="s">
        <v>876</v>
      </c>
      <c r="AR108" s="417">
        <v>3</v>
      </c>
    </row>
    <row r="109" spans="1:44" hidden="1">
      <c r="A10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VenezolanosVE1102</v>
      </c>
      <c r="B109" s="363" t="s">
        <v>316</v>
      </c>
      <c r="C109" s="323" t="s">
        <v>317</v>
      </c>
      <c r="D109" s="322" t="s">
        <v>180</v>
      </c>
      <c r="E109" s="323" t="s">
        <v>320</v>
      </c>
      <c r="F109" s="323"/>
      <c r="G109" s="324">
        <v>8539</v>
      </c>
      <c r="H109" s="324" t="s">
        <v>102</v>
      </c>
      <c r="I109" s="374">
        <v>2</v>
      </c>
      <c r="J109" s="237">
        <v>2</v>
      </c>
      <c r="K109" s="237">
        <v>4</v>
      </c>
      <c r="L109" s="237">
        <v>3</v>
      </c>
      <c r="M109" s="237">
        <v>3</v>
      </c>
      <c r="N109" s="237">
        <v>3</v>
      </c>
      <c r="O109" s="237">
        <v>3</v>
      </c>
      <c r="P109" s="237">
        <v>3</v>
      </c>
      <c r="Q109" s="382" t="str">
        <f>IF(COUNTIF(tblSeverityAnalysis[[#This Row],[SAMV]:[ASH]], 1)=0, "", COUNTIF(tblSeverityAnalysis[[#This Row],[SAMV]:[ASH]], 1))</f>
        <v/>
      </c>
      <c r="R109" s="325">
        <f>IF(COUNTIF(tblSeverityAnalysis[[#This Row],[SAMV]:[ASH]], 2)=0, "", COUNTIF(tblSeverityAnalysis[[#This Row],[SAMV]:[ASH]], 2))</f>
        <v>2</v>
      </c>
      <c r="S109" s="325">
        <f>IF(COUNTIF(tblSeverityAnalysis[[#This Row],[SAMV]:[ASH]], 3)=0, "", COUNTIF(tblSeverityAnalysis[[#This Row],[SAMV]:[ASH]], 3))</f>
        <v>3</v>
      </c>
      <c r="T109" s="325">
        <f>IF(COUNTIF(tblSeverityAnalysis[[#This Row],[SAMV]:[ASH]], 4)=0, "", COUNTIF(tblSeverityAnalysis[[#This Row],[SAMV]:[ASH]], 4))</f>
        <v>1</v>
      </c>
      <c r="U109" s="383" t="str">
        <f>IF(COUNTIF(tblSeverityAnalysis[[#This Row],[SAMV]:[ASH]], 5)=0, "", COUNTIF(tblSeverityAnalysis[[#This Row],[SAMV]:[ASH]], 5))</f>
        <v/>
      </c>
      <c r="V109" s="375" cm="1">
        <f t="array" ref="V10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0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09" s="237" t="str">
        <f>IFERROR(IF(INDEX(tblSeverityReference[Severidad de la desnutrición],MATCH(tblSeverityAnalysis[[#This Row],[ID]], tblSeverityReference[ID], 0))= "", "",INDEX(tblSeverityReference[Severidad de la desnutrición],MATCH(tblSeverityAnalysis[[#This Row],[ID]], tblSeverityReference[ID], 0)) ), "")</f>
        <v/>
      </c>
      <c r="Y109" s="349" t="str">
        <f>IFERROR(IF(INDEX(tblSeverityReference[Severidad epidémica],MATCH(tblSeverityAnalysis[[#This Row],[ID]], tblSeverityReference[ID], 0))= "", "",INDEX(tblSeverityReference[Severidad epidémica],MATCH(tblSeverityAnalysis[[#This Row],[ID]], tblSeverityReference[ID], 0)) ), "")</f>
        <v/>
      </c>
      <c r="Z10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09" s="391" t="str">
        <f>IFERROR(IF(INDEX(tblSeverityReference[HR/IHL Violation],MATCH(tblSeverityAnalysis[[#This Row],[ID]], tblSeverityReference[ID], 0))= "", "",INDEX(tblSeverityReference[HR/IHL Violation],MATCH(tblSeverityAnalysis[[#This Row],[ID]], tblSeverityReference[ID], 0)) ), "")</f>
        <v/>
      </c>
      <c r="AB109" s="397">
        <f>IFERROR(AVERAGE(tblSeverityAnalysis[[#This Row],[SAMV]:[ASH]]), "")</f>
        <v>2.8333333333333335</v>
      </c>
      <c r="AC109" s="346">
        <f>IF(SUM(tblSeverityAnalysis[[#This Row],[SAMV]:[ASH]])=0, "", MAX(tblSeverityAnalysis[[#This Row],[SAMV]:[ASH]]))</f>
        <v>4</v>
      </c>
      <c r="AD109" s="261" t="str" cm="1">
        <f t="array" ref="AD109">IFERROR(IF(tblSeverityAnalysis[[#This Row],[Severidad máxima]]="", "", _xlfn.TEXTJOIN(CHAR(10), TRUE, IF(tblSeverityAnalysis[[#This Row],[SAMV]:[ASH]]=tblSeverityAnalysis[[#This Row],[Severidad máxima]], tblSeverityAnalysis[[#Headers],[SAMV]:[ASH]], ""), "")), "")</f>
        <v>SAL</v>
      </c>
      <c r="AE109" s="346" cm="1">
        <f t="array" ref="AE109">IFERROR(MAX(_xlfn._xlws.FILTER(tblSeverityAnalysis[[#This Row],[SAMV]:[ASH]], tblSeverityAnalysis[[#This Row],[SAMV]:[ASH]]&lt;tblSeverityAnalysis[[#This Row],[Severidad máxima]])), "")</f>
        <v>3</v>
      </c>
      <c r="AF109" s="398" t="str" cm="1">
        <f t="array" ref="AF109">IFERROR(IF(tblSeverityAnalysis[[#This Row],[2ª mayor severidad]]="", "", _xlfn.TEXTJOIN(CHAR(10), TRUE, IF(tblSeverityAnalysis[[#This Row],[SAMV]:[ASH]]=tblSeverityAnalysis[[#This Row],[2ª mayor severidad]], tblSeverityAnalysis[[#Headers],[SAMV]:[ASH]], ""), "")), "")</f>
        <v>EDU
PRO
ASH</v>
      </c>
      <c r="AG109" s="405" t="str">
        <f>IFERROR(IF(AND(tblSeverityAnalysis[[#This Row],[5]] &lt;&gt; "", tblSeverityAnalysis[[#This Row],[5]]&gt;=sectors_sev_5), "Flagged", ""), "")</f>
        <v/>
      </c>
      <c r="AH109" s="347" t="str">
        <f>IFERROR(IF(AND(tblSeverityAnalysis[[#This Row],[Severidad preliminar basada en la superposición de privaciones sectoriales]]=5, SUM(tblSeverityAnalysis[[#This Row],[ 1 ]:[ 4 ]])&gt;=sectors_sev_5), "Flagged", ""), "")</f>
        <v/>
      </c>
      <c r="AI109" s="348" t="str" cm="1">
        <f t="array" ref="AI10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0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09" s="350"/>
      <c r="AL109" s="351"/>
      <c r="AM109" s="350"/>
      <c r="AN109" s="407">
        <f>COUNTIF(tblSeverityAnalysis[[#This Row],[1 sectores en fase de severidad 5 '[modificar el umbral']]:[Marcador manual]], "Flagged")</f>
        <v>0</v>
      </c>
      <c r="AO109" s="418">
        <f>tblSeverityAnalysis[[#This Row],[Severidad preliminar basada en la superposición de privaciones sectoriales]]</f>
        <v>3</v>
      </c>
      <c r="AP109" s="417"/>
      <c r="AQ109" s="421" t="s">
        <v>876</v>
      </c>
      <c r="AR109" s="417">
        <v>3</v>
      </c>
    </row>
    <row r="110" spans="1:44" hidden="1">
      <c r="A11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VenezolanosVE1103</v>
      </c>
      <c r="B110" s="363" t="s">
        <v>316</v>
      </c>
      <c r="C110" s="323" t="s">
        <v>317</v>
      </c>
      <c r="D110" s="322" t="s">
        <v>321</v>
      </c>
      <c r="E110" s="323" t="s">
        <v>322</v>
      </c>
      <c r="F110" s="323"/>
      <c r="G110" s="324">
        <v>22897</v>
      </c>
      <c r="H110" s="324" t="s">
        <v>102</v>
      </c>
      <c r="I110" s="374">
        <v>4</v>
      </c>
      <c r="J110" s="237">
        <v>3</v>
      </c>
      <c r="K110" s="237">
        <v>3</v>
      </c>
      <c r="L110" s="237">
        <v>4</v>
      </c>
      <c r="M110" s="237">
        <v>3</v>
      </c>
      <c r="N110" s="237">
        <v>3</v>
      </c>
      <c r="O110" s="237">
        <v>3</v>
      </c>
      <c r="P110" s="237">
        <v>3</v>
      </c>
      <c r="Q110" s="382" t="str">
        <f>IF(COUNTIF(tblSeverityAnalysis[[#This Row],[SAMV]:[ASH]], 1)=0, "", COUNTIF(tblSeverityAnalysis[[#This Row],[SAMV]:[ASH]], 1))</f>
        <v/>
      </c>
      <c r="R110" s="325" t="str">
        <f>IF(COUNTIF(tblSeverityAnalysis[[#This Row],[SAMV]:[ASH]], 2)=0, "", COUNTIF(tblSeverityAnalysis[[#This Row],[SAMV]:[ASH]], 2))</f>
        <v/>
      </c>
      <c r="S110" s="325">
        <f>IF(COUNTIF(tblSeverityAnalysis[[#This Row],[SAMV]:[ASH]], 3)=0, "", COUNTIF(tblSeverityAnalysis[[#This Row],[SAMV]:[ASH]], 3))</f>
        <v>4</v>
      </c>
      <c r="T110" s="325">
        <f>IF(COUNTIF(tblSeverityAnalysis[[#This Row],[SAMV]:[ASH]], 4)=0, "", COUNTIF(tblSeverityAnalysis[[#This Row],[SAMV]:[ASH]], 4))</f>
        <v>2</v>
      </c>
      <c r="U110" s="383" t="str">
        <f>IF(COUNTIF(tblSeverityAnalysis[[#This Row],[SAMV]:[ASH]], 5)=0, "", COUNTIF(tblSeverityAnalysis[[#This Row],[SAMV]:[ASH]], 5))</f>
        <v/>
      </c>
      <c r="V110" s="375" cm="1">
        <f t="array" ref="V11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1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10" s="237" t="str">
        <f>IFERROR(IF(INDEX(tblSeverityReference[Severidad de la desnutrición],MATCH(tblSeverityAnalysis[[#This Row],[ID]], tblSeverityReference[ID], 0))= "", "",INDEX(tblSeverityReference[Severidad de la desnutrición],MATCH(tblSeverityAnalysis[[#This Row],[ID]], tblSeverityReference[ID], 0)) ), "")</f>
        <v/>
      </c>
      <c r="Y110" s="349" t="str">
        <f>IFERROR(IF(INDEX(tblSeverityReference[Severidad epidémica],MATCH(tblSeverityAnalysis[[#This Row],[ID]], tblSeverityReference[ID], 0))= "", "",INDEX(tblSeverityReference[Severidad epidémica],MATCH(tblSeverityAnalysis[[#This Row],[ID]], tblSeverityReference[ID], 0)) ), "")</f>
        <v/>
      </c>
      <c r="Z11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10" s="391" t="str">
        <f>IFERROR(IF(INDEX(tblSeverityReference[HR/IHL Violation],MATCH(tblSeverityAnalysis[[#This Row],[ID]], tblSeverityReference[ID], 0))= "", "",INDEX(tblSeverityReference[HR/IHL Violation],MATCH(tblSeverityAnalysis[[#This Row],[ID]], tblSeverityReference[ID], 0)) ), "")</f>
        <v/>
      </c>
      <c r="AB110" s="397">
        <f>IFERROR(AVERAGE(tblSeverityAnalysis[[#This Row],[SAMV]:[ASH]]), "")</f>
        <v>3.3333333333333335</v>
      </c>
      <c r="AC110" s="346">
        <f>IF(SUM(tblSeverityAnalysis[[#This Row],[SAMV]:[ASH]])=0, "", MAX(tblSeverityAnalysis[[#This Row],[SAMV]:[ASH]]))</f>
        <v>4</v>
      </c>
      <c r="AD110" s="261" t="str" cm="1">
        <f t="array" ref="AD110">IFERROR(IF(tblSeverityAnalysis[[#This Row],[Severidad máxima]]="", "", _xlfn.TEXTJOIN(CHAR(10), TRUE, IF(tblSeverityAnalysis[[#This Row],[SAMV]:[ASH]]=tblSeverityAnalysis[[#This Row],[Severidad máxima]], tblSeverityAnalysis[[#Headers],[SAMV]:[ASH]], ""), "")), "")</f>
        <v>SAMV
EDU</v>
      </c>
      <c r="AE110" s="346" cm="1">
        <f t="array" ref="AE110">IFERROR(MAX(_xlfn._xlws.FILTER(tblSeverityAnalysis[[#This Row],[SAMV]:[ASH]], tblSeverityAnalysis[[#This Row],[SAMV]:[ASH]]&lt;tblSeverityAnalysis[[#This Row],[Severidad máxima]])), "")</f>
        <v>3</v>
      </c>
      <c r="AF110" s="398" t="str" cm="1">
        <f t="array" ref="AF110">IFERROR(IF(tblSeverityAnalysis[[#This Row],[2ª mayor severidad]]="", "", _xlfn.TEXTJOIN(CHAR(10), TRUE, IF(tblSeverityAnalysis[[#This Row],[SAMV]:[ASH]]=tblSeverityAnalysis[[#This Row],[2ª mayor severidad]], tblSeverityAnalysis[[#Headers],[SAMV]:[ASH]], ""), "")), "")</f>
        <v>NUT
SAL
PRO
ASH</v>
      </c>
      <c r="AG110" s="405" t="str">
        <f>IFERROR(IF(AND(tblSeverityAnalysis[[#This Row],[5]] &lt;&gt; "", tblSeverityAnalysis[[#This Row],[5]]&gt;=sectors_sev_5), "Flagged", ""), "")</f>
        <v/>
      </c>
      <c r="AH110" s="347" t="str">
        <f>IFERROR(IF(AND(tblSeverityAnalysis[[#This Row],[Severidad preliminar basada en la superposición de privaciones sectoriales]]=5, SUM(tblSeverityAnalysis[[#This Row],[ 1 ]:[ 4 ]])&gt;=sectors_sev_5), "Flagged", ""), "")</f>
        <v/>
      </c>
      <c r="AI110" s="348" t="str" cm="1">
        <f t="array" ref="AI11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1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10" s="350"/>
      <c r="AL110" s="351"/>
      <c r="AM110" s="350"/>
      <c r="AN110" s="407">
        <f>COUNTIF(tblSeverityAnalysis[[#This Row],[1 sectores en fase de severidad 5 '[modificar el umbral']]:[Marcador manual]], "Flagged")</f>
        <v>0</v>
      </c>
      <c r="AO110" s="418">
        <f>tblSeverityAnalysis[[#This Row],[Severidad preliminar basada en la superposición de privaciones sectoriales]]</f>
        <v>3</v>
      </c>
      <c r="AP110" s="417"/>
      <c r="AQ110" s="421" t="s">
        <v>876</v>
      </c>
      <c r="AR110" s="417">
        <v>3</v>
      </c>
    </row>
    <row r="111" spans="1:44" hidden="1">
      <c r="A11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VenezolanosVE1104</v>
      </c>
      <c r="B111" s="363" t="s">
        <v>316</v>
      </c>
      <c r="C111" s="323" t="s">
        <v>317</v>
      </c>
      <c r="D111" s="322" t="s">
        <v>323</v>
      </c>
      <c r="E111" s="323" t="s">
        <v>324</v>
      </c>
      <c r="F111" s="323"/>
      <c r="G111" s="324">
        <v>10874</v>
      </c>
      <c r="H111" s="324" t="s">
        <v>102</v>
      </c>
      <c r="I111" s="374">
        <v>2</v>
      </c>
      <c r="J111" s="237">
        <v>1</v>
      </c>
      <c r="K111" s="237">
        <v>3</v>
      </c>
      <c r="L111" s="237">
        <v>3</v>
      </c>
      <c r="M111" s="237">
        <v>3</v>
      </c>
      <c r="N111" s="237">
        <v>3</v>
      </c>
      <c r="O111" s="237">
        <v>3</v>
      </c>
      <c r="P111" s="237">
        <v>3</v>
      </c>
      <c r="Q111" s="382">
        <f>IF(COUNTIF(tblSeverityAnalysis[[#This Row],[SAMV]:[ASH]], 1)=0, "", COUNTIF(tblSeverityAnalysis[[#This Row],[SAMV]:[ASH]], 1))</f>
        <v>1</v>
      </c>
      <c r="R111" s="325">
        <f>IF(COUNTIF(tblSeverityAnalysis[[#This Row],[SAMV]:[ASH]], 2)=0, "", COUNTIF(tblSeverityAnalysis[[#This Row],[SAMV]:[ASH]], 2))</f>
        <v>1</v>
      </c>
      <c r="S111" s="325">
        <f>IF(COUNTIF(tblSeverityAnalysis[[#This Row],[SAMV]:[ASH]], 3)=0, "", COUNTIF(tblSeverityAnalysis[[#This Row],[SAMV]:[ASH]], 3))</f>
        <v>4</v>
      </c>
      <c r="T111" s="325" t="str">
        <f>IF(COUNTIF(tblSeverityAnalysis[[#This Row],[SAMV]:[ASH]], 4)=0, "", COUNTIF(tblSeverityAnalysis[[#This Row],[SAMV]:[ASH]], 4))</f>
        <v/>
      </c>
      <c r="U111" s="383" t="str">
        <f>IF(COUNTIF(tblSeverityAnalysis[[#This Row],[SAMV]:[ASH]], 5)=0, "", COUNTIF(tblSeverityAnalysis[[#This Row],[SAMV]:[ASH]], 5))</f>
        <v/>
      </c>
      <c r="V111" s="375" cm="1">
        <f t="array" ref="V11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1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11" s="237" t="str">
        <f>IFERROR(IF(INDEX(tblSeverityReference[Severidad de la desnutrición],MATCH(tblSeverityAnalysis[[#This Row],[ID]], tblSeverityReference[ID], 0))= "", "",INDEX(tblSeverityReference[Severidad de la desnutrición],MATCH(tblSeverityAnalysis[[#This Row],[ID]], tblSeverityReference[ID], 0)) ), "")</f>
        <v/>
      </c>
      <c r="Y111" s="349" t="str">
        <f>IFERROR(IF(INDEX(tblSeverityReference[Severidad epidémica],MATCH(tblSeverityAnalysis[[#This Row],[ID]], tblSeverityReference[ID], 0))= "", "",INDEX(tblSeverityReference[Severidad epidémica],MATCH(tblSeverityAnalysis[[#This Row],[ID]], tblSeverityReference[ID], 0)) ), "")</f>
        <v/>
      </c>
      <c r="Z11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11" s="391" t="str">
        <f>IFERROR(IF(INDEX(tblSeverityReference[HR/IHL Violation],MATCH(tblSeverityAnalysis[[#This Row],[ID]], tblSeverityReference[ID], 0))= "", "",INDEX(tblSeverityReference[HR/IHL Violation],MATCH(tblSeverityAnalysis[[#This Row],[ID]], tblSeverityReference[ID], 0)) ), "")</f>
        <v/>
      </c>
      <c r="AB111" s="397">
        <f>IFERROR(AVERAGE(tblSeverityAnalysis[[#This Row],[SAMV]:[ASH]]), "")</f>
        <v>2.5</v>
      </c>
      <c r="AC111" s="346">
        <f>IF(SUM(tblSeverityAnalysis[[#This Row],[SAMV]:[ASH]])=0, "", MAX(tblSeverityAnalysis[[#This Row],[SAMV]:[ASH]]))</f>
        <v>3</v>
      </c>
      <c r="AD111" s="261" t="str" cm="1">
        <f t="array" ref="AD111">IFERROR(IF(tblSeverityAnalysis[[#This Row],[Severidad máxima]]="", "", _xlfn.TEXTJOIN(CHAR(10), TRUE, IF(tblSeverityAnalysis[[#This Row],[SAMV]:[ASH]]=tblSeverityAnalysis[[#This Row],[Severidad máxima]], tblSeverityAnalysis[[#Headers],[SAMV]:[ASH]], ""), "")), "")</f>
        <v>SAL
EDU
PRO
ASH</v>
      </c>
      <c r="AE111" s="346" cm="1">
        <f t="array" ref="AE111">IFERROR(MAX(_xlfn._xlws.FILTER(tblSeverityAnalysis[[#This Row],[SAMV]:[ASH]], tblSeverityAnalysis[[#This Row],[SAMV]:[ASH]]&lt;tblSeverityAnalysis[[#This Row],[Severidad máxima]])), "")</f>
        <v>2</v>
      </c>
      <c r="AF111" s="398" t="str" cm="1">
        <f t="array" ref="AF111">IFERROR(IF(tblSeverityAnalysis[[#This Row],[2ª mayor severidad]]="", "", _xlfn.TEXTJOIN(CHAR(10), TRUE, IF(tblSeverityAnalysis[[#This Row],[SAMV]:[ASH]]=tblSeverityAnalysis[[#This Row],[2ª mayor severidad]], tblSeverityAnalysis[[#Headers],[SAMV]:[ASH]], ""), "")), "")</f>
        <v>SAMV</v>
      </c>
      <c r="AG111" s="405" t="str">
        <f>IFERROR(IF(AND(tblSeverityAnalysis[[#This Row],[5]] &lt;&gt; "", tblSeverityAnalysis[[#This Row],[5]]&gt;=sectors_sev_5), "Flagged", ""), "")</f>
        <v/>
      </c>
      <c r="AH111" s="347" t="str">
        <f>IFERROR(IF(AND(tblSeverityAnalysis[[#This Row],[Severidad preliminar basada en la superposición de privaciones sectoriales]]=5, SUM(tblSeverityAnalysis[[#This Row],[ 1 ]:[ 4 ]])&gt;=sectors_sev_5), "Flagged", ""), "")</f>
        <v/>
      </c>
      <c r="AI111" s="348" t="str" cm="1">
        <f t="array" ref="AI11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1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11" s="350"/>
      <c r="AL111" s="351"/>
      <c r="AM111" s="350"/>
      <c r="AN111" s="407">
        <f>COUNTIF(tblSeverityAnalysis[[#This Row],[1 sectores en fase de severidad 5 '[modificar el umbral']]:[Marcador manual]], "Flagged")</f>
        <v>0</v>
      </c>
      <c r="AO111" s="418">
        <f>tblSeverityAnalysis[[#This Row],[Severidad preliminar basada en la superposición de privaciones sectoriales]]</f>
        <v>3</v>
      </c>
      <c r="AP111" s="417"/>
      <c r="AQ111" s="421" t="s">
        <v>876</v>
      </c>
      <c r="AR111" s="417">
        <v>3</v>
      </c>
    </row>
    <row r="112" spans="1:44" hidden="1">
      <c r="A11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VenezolanosVE1105</v>
      </c>
      <c r="B112" s="363" t="s">
        <v>316</v>
      </c>
      <c r="C112" s="323" t="s">
        <v>317</v>
      </c>
      <c r="D112" s="322" t="s">
        <v>325</v>
      </c>
      <c r="E112" s="323" t="s">
        <v>326</v>
      </c>
      <c r="F112" s="323"/>
      <c r="G112" s="324">
        <v>239444</v>
      </c>
      <c r="H112" s="324" t="s">
        <v>102</v>
      </c>
      <c r="I112" s="374">
        <v>3</v>
      </c>
      <c r="J112" s="237">
        <v>1</v>
      </c>
      <c r="K112" s="237">
        <v>3</v>
      </c>
      <c r="L112" s="237">
        <v>4</v>
      </c>
      <c r="M112" s="237">
        <v>4</v>
      </c>
      <c r="N112" s="237">
        <v>4</v>
      </c>
      <c r="O112" s="237">
        <v>4</v>
      </c>
      <c r="P112" s="237">
        <v>4</v>
      </c>
      <c r="Q112" s="382">
        <f>IF(COUNTIF(tblSeverityAnalysis[[#This Row],[SAMV]:[ASH]], 1)=0, "", COUNTIF(tblSeverityAnalysis[[#This Row],[SAMV]:[ASH]], 1))</f>
        <v>1</v>
      </c>
      <c r="R112" s="325" t="str">
        <f>IF(COUNTIF(tblSeverityAnalysis[[#This Row],[SAMV]:[ASH]], 2)=0, "", COUNTIF(tblSeverityAnalysis[[#This Row],[SAMV]:[ASH]], 2))</f>
        <v/>
      </c>
      <c r="S112" s="325">
        <f>IF(COUNTIF(tblSeverityAnalysis[[#This Row],[SAMV]:[ASH]], 3)=0, "", COUNTIF(tblSeverityAnalysis[[#This Row],[SAMV]:[ASH]], 3))</f>
        <v>2</v>
      </c>
      <c r="T112" s="325">
        <f>IF(COUNTIF(tblSeverityAnalysis[[#This Row],[SAMV]:[ASH]], 4)=0, "", COUNTIF(tblSeverityAnalysis[[#This Row],[SAMV]:[ASH]], 4))</f>
        <v>3</v>
      </c>
      <c r="U112" s="383" t="str">
        <f>IF(COUNTIF(tblSeverityAnalysis[[#This Row],[SAMV]:[ASH]], 5)=0, "", COUNTIF(tblSeverityAnalysis[[#This Row],[SAMV]:[ASH]], 5))</f>
        <v/>
      </c>
      <c r="V112" s="375" cm="1">
        <f t="array" ref="V11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1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12" s="237" t="str">
        <f>IFERROR(IF(INDEX(tblSeverityReference[Severidad de la desnutrición],MATCH(tblSeverityAnalysis[[#This Row],[ID]], tblSeverityReference[ID], 0))= "", "",INDEX(tblSeverityReference[Severidad de la desnutrición],MATCH(tblSeverityAnalysis[[#This Row],[ID]], tblSeverityReference[ID], 0)) ), "")</f>
        <v/>
      </c>
      <c r="Y112" s="349" t="str">
        <f>IFERROR(IF(INDEX(tblSeverityReference[Severidad epidémica],MATCH(tblSeverityAnalysis[[#This Row],[ID]], tblSeverityReference[ID], 0))= "", "",INDEX(tblSeverityReference[Severidad epidémica],MATCH(tblSeverityAnalysis[[#This Row],[ID]], tblSeverityReference[ID], 0)) ), "")</f>
        <v/>
      </c>
      <c r="Z11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12" s="391" t="str">
        <f>IFERROR(IF(INDEX(tblSeverityReference[HR/IHL Violation],MATCH(tblSeverityAnalysis[[#This Row],[ID]], tblSeverityReference[ID], 0))= "", "",INDEX(tblSeverityReference[HR/IHL Violation],MATCH(tblSeverityAnalysis[[#This Row],[ID]], tblSeverityReference[ID], 0)) ), "")</f>
        <v/>
      </c>
      <c r="AB112" s="397">
        <f>IFERROR(AVERAGE(tblSeverityAnalysis[[#This Row],[SAMV]:[ASH]]), "")</f>
        <v>3.1666666666666665</v>
      </c>
      <c r="AC112" s="346">
        <f>IF(SUM(tblSeverityAnalysis[[#This Row],[SAMV]:[ASH]])=0, "", MAX(tblSeverityAnalysis[[#This Row],[SAMV]:[ASH]]))</f>
        <v>4</v>
      </c>
      <c r="AD112" s="261" t="str" cm="1">
        <f t="array" ref="AD112">IFERROR(IF(tblSeverityAnalysis[[#This Row],[Severidad máxima]]="", "", _xlfn.TEXTJOIN(CHAR(10), TRUE, IF(tblSeverityAnalysis[[#This Row],[SAMV]:[ASH]]=tblSeverityAnalysis[[#This Row],[Severidad máxima]], tblSeverityAnalysis[[#Headers],[SAMV]:[ASH]], ""), "")), "")</f>
        <v>EDU
PRO
ASH</v>
      </c>
      <c r="AE112" s="346" cm="1">
        <f t="array" ref="AE112">IFERROR(MAX(_xlfn._xlws.FILTER(tblSeverityAnalysis[[#This Row],[SAMV]:[ASH]], tblSeverityAnalysis[[#This Row],[SAMV]:[ASH]]&lt;tblSeverityAnalysis[[#This Row],[Severidad máxima]])), "")</f>
        <v>3</v>
      </c>
      <c r="AF112" s="398" t="str" cm="1">
        <f t="array" ref="AF112">IFERROR(IF(tblSeverityAnalysis[[#This Row],[2ª mayor severidad]]="", "", _xlfn.TEXTJOIN(CHAR(10), TRUE, IF(tblSeverityAnalysis[[#This Row],[SAMV]:[ASH]]=tblSeverityAnalysis[[#This Row],[2ª mayor severidad]], tblSeverityAnalysis[[#Headers],[SAMV]:[ASH]], ""), "")), "")</f>
        <v>SAMV
SAL</v>
      </c>
      <c r="AG112" s="405" t="str">
        <f>IFERROR(IF(AND(tblSeverityAnalysis[[#This Row],[5]] &lt;&gt; "", tblSeverityAnalysis[[#This Row],[5]]&gt;=sectors_sev_5), "Flagged", ""), "")</f>
        <v/>
      </c>
      <c r="AH112" s="347" t="str">
        <f>IFERROR(IF(AND(tblSeverityAnalysis[[#This Row],[Severidad preliminar basada en la superposición de privaciones sectoriales]]=5, SUM(tblSeverityAnalysis[[#This Row],[ 1 ]:[ 4 ]])&gt;=sectors_sev_5), "Flagged", ""), "")</f>
        <v/>
      </c>
      <c r="AI112" s="348" t="str" cm="1">
        <f t="array" ref="AI11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1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12" s="350"/>
      <c r="AL112" s="351"/>
      <c r="AM112" s="350"/>
      <c r="AN112" s="407">
        <f>COUNTIF(tblSeverityAnalysis[[#This Row],[1 sectores en fase de severidad 5 '[modificar el umbral']]:[Marcador manual]], "Flagged")</f>
        <v>0</v>
      </c>
      <c r="AO112" s="418">
        <f>tblSeverityAnalysis[[#This Row],[Severidad preliminar basada en la superposición de privaciones sectoriales]]</f>
        <v>3</v>
      </c>
      <c r="AP112" s="417"/>
      <c r="AQ112" s="421" t="s">
        <v>876</v>
      </c>
      <c r="AR112" s="417">
        <v>3</v>
      </c>
    </row>
    <row r="113" spans="1:44" hidden="1">
      <c r="A11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VenezolanosVE1106</v>
      </c>
      <c r="B113" s="363" t="s">
        <v>316</v>
      </c>
      <c r="C113" s="323" t="s">
        <v>317</v>
      </c>
      <c r="D113" s="322" t="s">
        <v>327</v>
      </c>
      <c r="E113" s="323" t="s">
        <v>328</v>
      </c>
      <c r="F113" s="323"/>
      <c r="G113" s="324">
        <v>41510</v>
      </c>
      <c r="H113" s="324" t="s">
        <v>102</v>
      </c>
      <c r="I113" s="374">
        <v>3</v>
      </c>
      <c r="J113" s="237">
        <v>3</v>
      </c>
      <c r="K113" s="237">
        <v>3</v>
      </c>
      <c r="L113" s="237">
        <v>3</v>
      </c>
      <c r="M113" s="237">
        <v>4</v>
      </c>
      <c r="N113" s="237">
        <v>4</v>
      </c>
      <c r="O113" s="237">
        <v>4</v>
      </c>
      <c r="P113" s="237">
        <v>4</v>
      </c>
      <c r="Q113" s="382" t="str">
        <f>IF(COUNTIF(tblSeverityAnalysis[[#This Row],[SAMV]:[ASH]], 1)=0, "", COUNTIF(tblSeverityAnalysis[[#This Row],[SAMV]:[ASH]], 1))</f>
        <v/>
      </c>
      <c r="R113" s="325" t="str">
        <f>IF(COUNTIF(tblSeverityAnalysis[[#This Row],[SAMV]:[ASH]], 2)=0, "", COUNTIF(tblSeverityAnalysis[[#This Row],[SAMV]:[ASH]], 2))</f>
        <v/>
      </c>
      <c r="S113" s="325">
        <f>IF(COUNTIF(tblSeverityAnalysis[[#This Row],[SAMV]:[ASH]], 3)=0, "", COUNTIF(tblSeverityAnalysis[[#This Row],[SAMV]:[ASH]], 3))</f>
        <v>4</v>
      </c>
      <c r="T113" s="325">
        <f>IF(COUNTIF(tblSeverityAnalysis[[#This Row],[SAMV]:[ASH]], 4)=0, "", COUNTIF(tblSeverityAnalysis[[#This Row],[SAMV]:[ASH]], 4))</f>
        <v>2</v>
      </c>
      <c r="U113" s="383" t="str">
        <f>IF(COUNTIF(tblSeverityAnalysis[[#This Row],[SAMV]:[ASH]], 5)=0, "", COUNTIF(tblSeverityAnalysis[[#This Row],[SAMV]:[ASH]], 5))</f>
        <v/>
      </c>
      <c r="V113" s="375" cm="1">
        <f t="array" ref="V11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1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13" s="237" t="str">
        <f>IFERROR(IF(INDEX(tblSeverityReference[Severidad de la desnutrición],MATCH(tblSeverityAnalysis[[#This Row],[ID]], tblSeverityReference[ID], 0))= "", "",INDEX(tblSeverityReference[Severidad de la desnutrición],MATCH(tblSeverityAnalysis[[#This Row],[ID]], tblSeverityReference[ID], 0)) ), "")</f>
        <v/>
      </c>
      <c r="Y113" s="349" t="str">
        <f>IFERROR(IF(INDEX(tblSeverityReference[Severidad epidémica],MATCH(tblSeverityAnalysis[[#This Row],[ID]], tblSeverityReference[ID], 0))= "", "",INDEX(tblSeverityReference[Severidad epidémica],MATCH(tblSeverityAnalysis[[#This Row],[ID]], tblSeverityReference[ID], 0)) ), "")</f>
        <v/>
      </c>
      <c r="Z11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13" s="391" t="str">
        <f>IFERROR(IF(INDEX(tblSeverityReference[HR/IHL Violation],MATCH(tblSeverityAnalysis[[#This Row],[ID]], tblSeverityReference[ID], 0))= "", "",INDEX(tblSeverityReference[HR/IHL Violation],MATCH(tblSeverityAnalysis[[#This Row],[ID]], tblSeverityReference[ID], 0)) ), "")</f>
        <v/>
      </c>
      <c r="AB113" s="397">
        <f>IFERROR(AVERAGE(tblSeverityAnalysis[[#This Row],[SAMV]:[ASH]]), "")</f>
        <v>3.3333333333333335</v>
      </c>
      <c r="AC113" s="346">
        <f>IF(SUM(tblSeverityAnalysis[[#This Row],[SAMV]:[ASH]])=0, "", MAX(tblSeverityAnalysis[[#This Row],[SAMV]:[ASH]]))</f>
        <v>4</v>
      </c>
      <c r="AD113" s="261" t="str" cm="1">
        <f t="array" ref="AD113">IFERROR(IF(tblSeverityAnalysis[[#This Row],[Severidad máxima]]="", "", _xlfn.TEXTJOIN(CHAR(10), TRUE, IF(tblSeverityAnalysis[[#This Row],[SAMV]:[ASH]]=tblSeverityAnalysis[[#This Row],[Severidad máxima]], tblSeverityAnalysis[[#Headers],[SAMV]:[ASH]], ""), "")), "")</f>
        <v>PRO
ASH</v>
      </c>
      <c r="AE113" s="346" cm="1">
        <f t="array" ref="AE113">IFERROR(MAX(_xlfn._xlws.FILTER(tblSeverityAnalysis[[#This Row],[SAMV]:[ASH]], tblSeverityAnalysis[[#This Row],[SAMV]:[ASH]]&lt;tblSeverityAnalysis[[#This Row],[Severidad máxima]])), "")</f>
        <v>3</v>
      </c>
      <c r="AF113" s="398" t="str" cm="1">
        <f t="array" ref="AF113">IFERROR(IF(tblSeverityAnalysis[[#This Row],[2ª mayor severidad]]="", "", _xlfn.TEXTJOIN(CHAR(10), TRUE, IF(tblSeverityAnalysis[[#This Row],[SAMV]:[ASH]]=tblSeverityAnalysis[[#This Row],[2ª mayor severidad]], tblSeverityAnalysis[[#Headers],[SAMV]:[ASH]], ""), "")), "")</f>
        <v>SAMV
NUT
SAL
EDU</v>
      </c>
      <c r="AG113" s="405" t="str">
        <f>IFERROR(IF(AND(tblSeverityAnalysis[[#This Row],[5]] &lt;&gt; "", tblSeverityAnalysis[[#This Row],[5]]&gt;=sectors_sev_5), "Flagged", ""), "")</f>
        <v/>
      </c>
      <c r="AH113" s="347" t="str">
        <f>IFERROR(IF(AND(tblSeverityAnalysis[[#This Row],[Severidad preliminar basada en la superposición de privaciones sectoriales]]=5, SUM(tblSeverityAnalysis[[#This Row],[ 1 ]:[ 4 ]])&gt;=sectors_sev_5), "Flagged", ""), "")</f>
        <v/>
      </c>
      <c r="AI113" s="348" t="str" cm="1">
        <f t="array" ref="AI11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1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13" s="350"/>
      <c r="AL113" s="351"/>
      <c r="AM113" s="350"/>
      <c r="AN113" s="407">
        <f>COUNTIF(tblSeverityAnalysis[[#This Row],[1 sectores en fase de severidad 5 '[modificar el umbral']]:[Marcador manual]], "Flagged")</f>
        <v>0</v>
      </c>
      <c r="AO113" s="418">
        <f>tblSeverityAnalysis[[#This Row],[Severidad preliminar basada en la superposición de privaciones sectoriales]]</f>
        <v>3</v>
      </c>
      <c r="AP113" s="417"/>
      <c r="AQ113" s="421" t="s">
        <v>876</v>
      </c>
      <c r="AR113" s="417">
        <v>4</v>
      </c>
    </row>
    <row r="114" spans="1:44" hidden="1">
      <c r="A11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VenezolanosVE1107</v>
      </c>
      <c r="B114" s="363" t="s">
        <v>316</v>
      </c>
      <c r="C114" s="323" t="s">
        <v>317</v>
      </c>
      <c r="D114" s="322" t="s">
        <v>329</v>
      </c>
      <c r="E114" s="323" t="s">
        <v>330</v>
      </c>
      <c r="F114" s="323"/>
      <c r="G114" s="324">
        <v>23388</v>
      </c>
      <c r="H114" s="324" t="s">
        <v>102</v>
      </c>
      <c r="I114" s="374">
        <v>4</v>
      </c>
      <c r="J114" s="237">
        <v>2</v>
      </c>
      <c r="K114" s="237">
        <v>3</v>
      </c>
      <c r="L114" s="237">
        <v>3</v>
      </c>
      <c r="M114" s="237">
        <v>3</v>
      </c>
      <c r="N114" s="237">
        <v>2</v>
      </c>
      <c r="O114" s="237">
        <v>3</v>
      </c>
      <c r="P114" s="237">
        <v>3</v>
      </c>
      <c r="Q114" s="382" t="str">
        <f>IF(COUNTIF(tblSeverityAnalysis[[#This Row],[SAMV]:[ASH]], 1)=0, "", COUNTIF(tblSeverityAnalysis[[#This Row],[SAMV]:[ASH]], 1))</f>
        <v/>
      </c>
      <c r="R114" s="325">
        <f>IF(COUNTIF(tblSeverityAnalysis[[#This Row],[SAMV]:[ASH]], 2)=0, "", COUNTIF(tblSeverityAnalysis[[#This Row],[SAMV]:[ASH]], 2))</f>
        <v>2</v>
      </c>
      <c r="S114" s="325">
        <f>IF(COUNTIF(tblSeverityAnalysis[[#This Row],[SAMV]:[ASH]], 3)=0, "", COUNTIF(tblSeverityAnalysis[[#This Row],[SAMV]:[ASH]], 3))</f>
        <v>3</v>
      </c>
      <c r="T114" s="325">
        <f>IF(COUNTIF(tblSeverityAnalysis[[#This Row],[SAMV]:[ASH]], 4)=0, "", COUNTIF(tblSeverityAnalysis[[#This Row],[SAMV]:[ASH]], 4))</f>
        <v>1</v>
      </c>
      <c r="U114" s="383" t="str">
        <f>IF(COUNTIF(tblSeverityAnalysis[[#This Row],[SAMV]:[ASH]], 5)=0, "", COUNTIF(tblSeverityAnalysis[[#This Row],[SAMV]:[ASH]], 5))</f>
        <v/>
      </c>
      <c r="V114" s="375" cm="1">
        <f t="array" ref="V11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1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14" s="237" t="str">
        <f>IFERROR(IF(INDEX(tblSeverityReference[Severidad de la desnutrición],MATCH(tblSeverityAnalysis[[#This Row],[ID]], tblSeverityReference[ID], 0))= "", "",INDEX(tblSeverityReference[Severidad de la desnutrición],MATCH(tblSeverityAnalysis[[#This Row],[ID]], tblSeverityReference[ID], 0)) ), "")</f>
        <v/>
      </c>
      <c r="Y114" s="349" t="str">
        <f>IFERROR(IF(INDEX(tblSeverityReference[Severidad epidémica],MATCH(tblSeverityAnalysis[[#This Row],[ID]], tblSeverityReference[ID], 0))= "", "",INDEX(tblSeverityReference[Severidad epidémica],MATCH(tblSeverityAnalysis[[#This Row],[ID]], tblSeverityReference[ID], 0)) ), "")</f>
        <v/>
      </c>
      <c r="Z11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14" s="391" t="str">
        <f>IFERROR(IF(INDEX(tblSeverityReference[HR/IHL Violation],MATCH(tblSeverityAnalysis[[#This Row],[ID]], tblSeverityReference[ID], 0))= "", "",INDEX(tblSeverityReference[HR/IHL Violation],MATCH(tblSeverityAnalysis[[#This Row],[ID]], tblSeverityReference[ID], 0)) ), "")</f>
        <v/>
      </c>
      <c r="AB114" s="397">
        <f>IFERROR(AVERAGE(tblSeverityAnalysis[[#This Row],[SAMV]:[ASH]]), "")</f>
        <v>2.8333333333333335</v>
      </c>
      <c r="AC114" s="346">
        <f>IF(SUM(tblSeverityAnalysis[[#This Row],[SAMV]:[ASH]])=0, "", MAX(tblSeverityAnalysis[[#This Row],[SAMV]:[ASH]]))</f>
        <v>4</v>
      </c>
      <c r="AD114" s="261" t="str" cm="1">
        <f t="array" ref="AD114">IFERROR(IF(tblSeverityAnalysis[[#This Row],[Severidad máxima]]="", "", _xlfn.TEXTJOIN(CHAR(10), TRUE, IF(tblSeverityAnalysis[[#This Row],[SAMV]:[ASH]]=tblSeverityAnalysis[[#This Row],[Severidad máxima]], tblSeverityAnalysis[[#Headers],[SAMV]:[ASH]], ""), "")), "")</f>
        <v>SAMV</v>
      </c>
      <c r="AE114" s="346" cm="1">
        <f t="array" ref="AE114">IFERROR(MAX(_xlfn._xlws.FILTER(tblSeverityAnalysis[[#This Row],[SAMV]:[ASH]], tblSeverityAnalysis[[#This Row],[SAMV]:[ASH]]&lt;tblSeverityAnalysis[[#This Row],[Severidad máxima]])), "")</f>
        <v>3</v>
      </c>
      <c r="AF114" s="398" t="str" cm="1">
        <f t="array" ref="AF114">IFERROR(IF(tblSeverityAnalysis[[#This Row],[2ª mayor severidad]]="", "", _xlfn.TEXTJOIN(CHAR(10), TRUE, IF(tblSeverityAnalysis[[#This Row],[SAMV]:[ASH]]=tblSeverityAnalysis[[#This Row],[2ª mayor severidad]], tblSeverityAnalysis[[#Headers],[SAMV]:[ASH]], ""), "")), "")</f>
        <v>SAL
EDU
PRO</v>
      </c>
      <c r="AG114" s="405" t="str">
        <f>IFERROR(IF(AND(tblSeverityAnalysis[[#This Row],[5]] &lt;&gt; "", tblSeverityAnalysis[[#This Row],[5]]&gt;=sectors_sev_5), "Flagged", ""), "")</f>
        <v/>
      </c>
      <c r="AH114" s="347" t="str">
        <f>IFERROR(IF(AND(tblSeverityAnalysis[[#This Row],[Severidad preliminar basada en la superposición de privaciones sectoriales]]=5, SUM(tblSeverityAnalysis[[#This Row],[ 1 ]:[ 4 ]])&gt;=sectors_sev_5), "Flagged", ""), "")</f>
        <v/>
      </c>
      <c r="AI114" s="348" t="str" cm="1">
        <f t="array" ref="AI11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1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14" s="350"/>
      <c r="AL114" s="351"/>
      <c r="AM114" s="350"/>
      <c r="AN114" s="407">
        <f>COUNTIF(tblSeverityAnalysis[[#This Row],[1 sectores en fase de severidad 5 '[modificar el umbral']]:[Marcador manual]], "Flagged")</f>
        <v>0</v>
      </c>
      <c r="AO114" s="418">
        <f>tblSeverityAnalysis[[#This Row],[Severidad preliminar basada en la superposición de privaciones sectoriales]]</f>
        <v>3</v>
      </c>
      <c r="AP114" s="417"/>
      <c r="AQ114" s="421" t="s">
        <v>876</v>
      </c>
      <c r="AR114" s="417">
        <v>3</v>
      </c>
    </row>
    <row r="115" spans="1:44" hidden="1">
      <c r="A11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VenezolanosVE1108</v>
      </c>
      <c r="B115" s="363" t="s">
        <v>316</v>
      </c>
      <c r="C115" s="323" t="s">
        <v>317</v>
      </c>
      <c r="D115" s="322" t="s">
        <v>331</v>
      </c>
      <c r="E115" s="323" t="s">
        <v>332</v>
      </c>
      <c r="F115" s="323"/>
      <c r="G115" s="324">
        <v>9944</v>
      </c>
      <c r="H115" s="324" t="s">
        <v>102</v>
      </c>
      <c r="I115" s="374">
        <v>4</v>
      </c>
      <c r="J115" s="237">
        <v>2</v>
      </c>
      <c r="K115" s="237">
        <v>4</v>
      </c>
      <c r="L115" s="237">
        <v>3</v>
      </c>
      <c r="M115" s="237">
        <v>3</v>
      </c>
      <c r="N115" s="237">
        <v>4</v>
      </c>
      <c r="O115" s="237">
        <v>3</v>
      </c>
      <c r="P115" s="237">
        <v>3</v>
      </c>
      <c r="Q115" s="382" t="str">
        <f>IF(COUNTIF(tblSeverityAnalysis[[#This Row],[SAMV]:[ASH]], 1)=0, "", COUNTIF(tblSeverityAnalysis[[#This Row],[SAMV]:[ASH]], 1))</f>
        <v/>
      </c>
      <c r="R115" s="325">
        <f>IF(COUNTIF(tblSeverityAnalysis[[#This Row],[SAMV]:[ASH]], 2)=0, "", COUNTIF(tblSeverityAnalysis[[#This Row],[SAMV]:[ASH]], 2))</f>
        <v>1</v>
      </c>
      <c r="S115" s="325">
        <f>IF(COUNTIF(tblSeverityAnalysis[[#This Row],[SAMV]:[ASH]], 3)=0, "", COUNTIF(tblSeverityAnalysis[[#This Row],[SAMV]:[ASH]], 3))</f>
        <v>2</v>
      </c>
      <c r="T115" s="325">
        <f>IF(COUNTIF(tblSeverityAnalysis[[#This Row],[SAMV]:[ASH]], 4)=0, "", COUNTIF(tblSeverityAnalysis[[#This Row],[SAMV]:[ASH]], 4))</f>
        <v>3</v>
      </c>
      <c r="U115" s="383" t="str">
        <f>IF(COUNTIF(tblSeverityAnalysis[[#This Row],[SAMV]:[ASH]], 5)=0, "", COUNTIF(tblSeverityAnalysis[[#This Row],[SAMV]:[ASH]], 5))</f>
        <v/>
      </c>
      <c r="V115" s="375" cm="1">
        <f t="array" ref="V11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1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15" s="237" t="str">
        <f>IFERROR(IF(INDEX(tblSeverityReference[Severidad de la desnutrición],MATCH(tblSeverityAnalysis[[#This Row],[ID]], tblSeverityReference[ID], 0))= "", "",INDEX(tblSeverityReference[Severidad de la desnutrición],MATCH(tblSeverityAnalysis[[#This Row],[ID]], tblSeverityReference[ID], 0)) ), "")</f>
        <v/>
      </c>
      <c r="Y115" s="349" t="str">
        <f>IFERROR(IF(INDEX(tblSeverityReference[Severidad epidémica],MATCH(tblSeverityAnalysis[[#This Row],[ID]], tblSeverityReference[ID], 0))= "", "",INDEX(tblSeverityReference[Severidad epidémica],MATCH(tblSeverityAnalysis[[#This Row],[ID]], tblSeverityReference[ID], 0)) ), "")</f>
        <v/>
      </c>
      <c r="Z11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15" s="391" t="str">
        <f>IFERROR(IF(INDEX(tblSeverityReference[HR/IHL Violation],MATCH(tblSeverityAnalysis[[#This Row],[ID]], tblSeverityReference[ID], 0))= "", "",INDEX(tblSeverityReference[HR/IHL Violation],MATCH(tblSeverityAnalysis[[#This Row],[ID]], tblSeverityReference[ID], 0)) ), "")</f>
        <v/>
      </c>
      <c r="AB115" s="397">
        <f>IFERROR(AVERAGE(tblSeverityAnalysis[[#This Row],[SAMV]:[ASH]]), "")</f>
        <v>3.3333333333333335</v>
      </c>
      <c r="AC115" s="346">
        <f>IF(SUM(tblSeverityAnalysis[[#This Row],[SAMV]:[ASH]])=0, "", MAX(tblSeverityAnalysis[[#This Row],[SAMV]:[ASH]]))</f>
        <v>4</v>
      </c>
      <c r="AD115" s="261" t="str" cm="1">
        <f t="array" ref="AD115">IFERROR(IF(tblSeverityAnalysis[[#This Row],[Severidad máxima]]="", "", _xlfn.TEXTJOIN(CHAR(10), TRUE, IF(tblSeverityAnalysis[[#This Row],[SAMV]:[ASH]]=tblSeverityAnalysis[[#This Row],[Severidad máxima]], tblSeverityAnalysis[[#Headers],[SAMV]:[ASH]], ""), "")), "")</f>
        <v>SAMV
SAL
ASH</v>
      </c>
      <c r="AE115" s="346" cm="1">
        <f t="array" ref="AE115">IFERROR(MAX(_xlfn._xlws.FILTER(tblSeverityAnalysis[[#This Row],[SAMV]:[ASH]], tblSeverityAnalysis[[#This Row],[SAMV]:[ASH]]&lt;tblSeverityAnalysis[[#This Row],[Severidad máxima]])), "")</f>
        <v>3</v>
      </c>
      <c r="AF115" s="398" t="str" cm="1">
        <f t="array" ref="AF115">IFERROR(IF(tblSeverityAnalysis[[#This Row],[2ª mayor severidad]]="", "", _xlfn.TEXTJOIN(CHAR(10), TRUE, IF(tblSeverityAnalysis[[#This Row],[SAMV]:[ASH]]=tblSeverityAnalysis[[#This Row],[2ª mayor severidad]], tblSeverityAnalysis[[#Headers],[SAMV]:[ASH]], ""), "")), "")</f>
        <v>EDU
PRO</v>
      </c>
      <c r="AG115" s="405" t="str">
        <f>IFERROR(IF(AND(tblSeverityAnalysis[[#This Row],[5]] &lt;&gt; "", tblSeverityAnalysis[[#This Row],[5]]&gt;=sectors_sev_5), "Flagged", ""), "")</f>
        <v/>
      </c>
      <c r="AH115" s="347" t="str">
        <f>IFERROR(IF(AND(tblSeverityAnalysis[[#This Row],[Severidad preliminar basada en la superposición de privaciones sectoriales]]=5, SUM(tblSeverityAnalysis[[#This Row],[ 1 ]:[ 4 ]])&gt;=sectors_sev_5), "Flagged", ""), "")</f>
        <v/>
      </c>
      <c r="AI115" s="348" t="str" cm="1">
        <f t="array" ref="AI11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1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15" s="350"/>
      <c r="AL115" s="351"/>
      <c r="AM115" s="350"/>
      <c r="AN115" s="407">
        <f>COUNTIF(tblSeverityAnalysis[[#This Row],[1 sectores en fase de severidad 5 '[modificar el umbral']]:[Marcador manual]], "Flagged")</f>
        <v>0</v>
      </c>
      <c r="AO115" s="418">
        <f>tblSeverityAnalysis[[#This Row],[Severidad preliminar basada en la superposición de privaciones sectoriales]]</f>
        <v>3</v>
      </c>
      <c r="AP115" s="417"/>
      <c r="AQ115" s="421" t="s">
        <v>876</v>
      </c>
      <c r="AR115" s="417">
        <v>4</v>
      </c>
    </row>
    <row r="116" spans="1:44" hidden="1">
      <c r="A11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VenezolanosVE1109</v>
      </c>
      <c r="B116" s="363" t="s">
        <v>316</v>
      </c>
      <c r="C116" s="323" t="s">
        <v>317</v>
      </c>
      <c r="D116" s="322" t="s">
        <v>316</v>
      </c>
      <c r="E116" s="323" t="s">
        <v>333</v>
      </c>
      <c r="F116" s="323"/>
      <c r="G116" s="324">
        <v>46215</v>
      </c>
      <c r="H116" s="324" t="s">
        <v>102</v>
      </c>
      <c r="I116" s="374">
        <v>3</v>
      </c>
      <c r="J116" s="237">
        <v>3</v>
      </c>
      <c r="K116" s="237">
        <v>3</v>
      </c>
      <c r="L116" s="237">
        <v>3</v>
      </c>
      <c r="M116" s="237">
        <v>3</v>
      </c>
      <c r="N116" s="237">
        <v>4</v>
      </c>
      <c r="O116" s="237">
        <v>3</v>
      </c>
      <c r="P116" s="237">
        <v>3</v>
      </c>
      <c r="Q116" s="382" t="str">
        <f>IF(COUNTIF(tblSeverityAnalysis[[#This Row],[SAMV]:[ASH]], 1)=0, "", COUNTIF(tblSeverityAnalysis[[#This Row],[SAMV]:[ASH]], 1))</f>
        <v/>
      </c>
      <c r="R116" s="325" t="str">
        <f>IF(COUNTIF(tblSeverityAnalysis[[#This Row],[SAMV]:[ASH]], 2)=0, "", COUNTIF(tblSeverityAnalysis[[#This Row],[SAMV]:[ASH]], 2))</f>
        <v/>
      </c>
      <c r="S116" s="325">
        <f>IF(COUNTIF(tblSeverityAnalysis[[#This Row],[SAMV]:[ASH]], 3)=0, "", COUNTIF(tblSeverityAnalysis[[#This Row],[SAMV]:[ASH]], 3))</f>
        <v>5</v>
      </c>
      <c r="T116" s="325">
        <f>IF(COUNTIF(tblSeverityAnalysis[[#This Row],[SAMV]:[ASH]], 4)=0, "", COUNTIF(tblSeverityAnalysis[[#This Row],[SAMV]:[ASH]], 4))</f>
        <v>1</v>
      </c>
      <c r="U116" s="383" t="str">
        <f>IF(COUNTIF(tblSeverityAnalysis[[#This Row],[SAMV]:[ASH]], 5)=0, "", COUNTIF(tblSeverityAnalysis[[#This Row],[SAMV]:[ASH]], 5))</f>
        <v/>
      </c>
      <c r="V116" s="375" cm="1">
        <f t="array" ref="V11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1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16" s="237" t="str">
        <f>IFERROR(IF(INDEX(tblSeverityReference[Severidad de la desnutrición],MATCH(tblSeverityAnalysis[[#This Row],[ID]], tblSeverityReference[ID], 0))= "", "",INDEX(tblSeverityReference[Severidad de la desnutrición],MATCH(tblSeverityAnalysis[[#This Row],[ID]], tblSeverityReference[ID], 0)) ), "")</f>
        <v/>
      </c>
      <c r="Y116" s="349" t="str">
        <f>IFERROR(IF(INDEX(tblSeverityReference[Severidad epidémica],MATCH(tblSeverityAnalysis[[#This Row],[ID]], tblSeverityReference[ID], 0))= "", "",INDEX(tblSeverityReference[Severidad epidémica],MATCH(tblSeverityAnalysis[[#This Row],[ID]], tblSeverityReference[ID], 0)) ), "")</f>
        <v/>
      </c>
      <c r="Z11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16" s="391" t="str">
        <f>IFERROR(IF(INDEX(tblSeverityReference[HR/IHL Violation],MATCH(tblSeverityAnalysis[[#This Row],[ID]], tblSeverityReference[ID], 0))= "", "",INDEX(tblSeverityReference[HR/IHL Violation],MATCH(tblSeverityAnalysis[[#This Row],[ID]], tblSeverityReference[ID], 0)) ), "")</f>
        <v/>
      </c>
      <c r="AB116" s="397">
        <f>IFERROR(AVERAGE(tblSeverityAnalysis[[#This Row],[SAMV]:[ASH]]), "")</f>
        <v>3.1666666666666665</v>
      </c>
      <c r="AC116" s="346">
        <f>IF(SUM(tblSeverityAnalysis[[#This Row],[SAMV]:[ASH]])=0, "", MAX(tblSeverityAnalysis[[#This Row],[SAMV]:[ASH]]))</f>
        <v>4</v>
      </c>
      <c r="AD116" s="261" t="str" cm="1">
        <f t="array" ref="AD116">IFERROR(IF(tblSeverityAnalysis[[#This Row],[Severidad máxima]]="", "", _xlfn.TEXTJOIN(CHAR(10), TRUE, IF(tblSeverityAnalysis[[#This Row],[SAMV]:[ASH]]=tblSeverityAnalysis[[#This Row],[Severidad máxima]], tblSeverityAnalysis[[#Headers],[SAMV]:[ASH]], ""), "")), "")</f>
        <v>ASH</v>
      </c>
      <c r="AE116" s="346" cm="1">
        <f t="array" ref="AE116">IFERROR(MAX(_xlfn._xlws.FILTER(tblSeverityAnalysis[[#This Row],[SAMV]:[ASH]], tblSeverityAnalysis[[#This Row],[SAMV]:[ASH]]&lt;tblSeverityAnalysis[[#This Row],[Severidad máxima]])), "")</f>
        <v>3</v>
      </c>
      <c r="AF116" s="398" t="str" cm="1">
        <f t="array" ref="AF116">IFERROR(IF(tblSeverityAnalysis[[#This Row],[2ª mayor severidad]]="", "", _xlfn.TEXTJOIN(CHAR(10), TRUE, IF(tblSeverityAnalysis[[#This Row],[SAMV]:[ASH]]=tblSeverityAnalysis[[#This Row],[2ª mayor severidad]], tblSeverityAnalysis[[#Headers],[SAMV]:[ASH]], ""), "")), "")</f>
        <v>SAMV
NUT
SAL
EDU
PRO</v>
      </c>
      <c r="AG116" s="405" t="str">
        <f>IFERROR(IF(AND(tblSeverityAnalysis[[#This Row],[5]] &lt;&gt; "", tblSeverityAnalysis[[#This Row],[5]]&gt;=sectors_sev_5), "Flagged", ""), "")</f>
        <v/>
      </c>
      <c r="AH116" s="347" t="str">
        <f>IFERROR(IF(AND(tblSeverityAnalysis[[#This Row],[Severidad preliminar basada en la superposición de privaciones sectoriales]]=5, SUM(tblSeverityAnalysis[[#This Row],[ 1 ]:[ 4 ]])&gt;=sectors_sev_5), "Flagged", ""), "")</f>
        <v/>
      </c>
      <c r="AI116" s="348" t="str" cm="1">
        <f t="array" ref="AI11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1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16" s="350"/>
      <c r="AL116" s="351"/>
      <c r="AM116" s="350"/>
      <c r="AN116" s="407">
        <f>COUNTIF(tblSeverityAnalysis[[#This Row],[1 sectores en fase de severidad 5 '[modificar el umbral']]:[Marcador manual]], "Flagged")</f>
        <v>0</v>
      </c>
      <c r="AO116" s="418">
        <f>tblSeverityAnalysis[[#This Row],[Severidad preliminar basada en la superposición de privaciones sectoriales]]</f>
        <v>3</v>
      </c>
      <c r="AP116" s="417"/>
      <c r="AQ116" s="421" t="s">
        <v>876</v>
      </c>
      <c r="AR116" s="417">
        <v>4</v>
      </c>
    </row>
    <row r="117" spans="1:44" hidden="1">
      <c r="A11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VenezolanosVE1110</v>
      </c>
      <c r="B117" s="363" t="s">
        <v>316</v>
      </c>
      <c r="C117" s="323" t="s">
        <v>317</v>
      </c>
      <c r="D117" s="429" t="s">
        <v>334</v>
      </c>
      <c r="E117" s="323" t="s">
        <v>335</v>
      </c>
      <c r="F117" s="323"/>
      <c r="G117" s="324">
        <v>29251</v>
      </c>
      <c r="H117" s="324" t="s">
        <v>102</v>
      </c>
      <c r="I117" s="374">
        <v>2</v>
      </c>
      <c r="J117" s="237">
        <v>4</v>
      </c>
      <c r="K117" s="237">
        <v>3</v>
      </c>
      <c r="L117" s="237">
        <v>3</v>
      </c>
      <c r="M117" s="237">
        <v>4</v>
      </c>
      <c r="N117" s="237">
        <v>3</v>
      </c>
      <c r="O117" s="237">
        <v>4</v>
      </c>
      <c r="P117" s="237">
        <v>4</v>
      </c>
      <c r="Q117" s="382" t="str">
        <f>IF(COUNTIF(tblSeverityAnalysis[[#This Row],[SAMV]:[ASH]], 1)=0, "", COUNTIF(tblSeverityAnalysis[[#This Row],[SAMV]:[ASH]], 1))</f>
        <v/>
      </c>
      <c r="R117" s="325">
        <f>IF(COUNTIF(tblSeverityAnalysis[[#This Row],[SAMV]:[ASH]], 2)=0, "", COUNTIF(tblSeverityAnalysis[[#This Row],[SAMV]:[ASH]], 2))</f>
        <v>1</v>
      </c>
      <c r="S117" s="325">
        <f>IF(COUNTIF(tblSeverityAnalysis[[#This Row],[SAMV]:[ASH]], 3)=0, "", COUNTIF(tblSeverityAnalysis[[#This Row],[SAMV]:[ASH]], 3))</f>
        <v>3</v>
      </c>
      <c r="T117" s="325">
        <f>IF(COUNTIF(tblSeverityAnalysis[[#This Row],[SAMV]:[ASH]], 4)=0, "", COUNTIF(tblSeverityAnalysis[[#This Row],[SAMV]:[ASH]], 4))</f>
        <v>2</v>
      </c>
      <c r="U117" s="383" t="str">
        <f>IF(COUNTIF(tblSeverityAnalysis[[#This Row],[SAMV]:[ASH]], 5)=0, "", COUNTIF(tblSeverityAnalysis[[#This Row],[SAMV]:[ASH]], 5))</f>
        <v/>
      </c>
      <c r="V117" s="376">
        <v>4</v>
      </c>
      <c r="W11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17" s="237" t="str">
        <f>IFERROR(IF(INDEX(tblSeverityReference[Severidad de la desnutrición],MATCH(tblSeverityAnalysis[[#This Row],[ID]], tblSeverityReference[ID], 0))= "", "",INDEX(tblSeverityReference[Severidad de la desnutrición],MATCH(tblSeverityAnalysis[[#This Row],[ID]], tblSeverityReference[ID], 0)) ), "")</f>
        <v/>
      </c>
      <c r="Y117" s="349" t="str">
        <f>IFERROR(IF(INDEX(tblSeverityReference[Severidad epidémica],MATCH(tblSeverityAnalysis[[#This Row],[ID]], tblSeverityReference[ID], 0))= "", "",INDEX(tblSeverityReference[Severidad epidémica],MATCH(tblSeverityAnalysis[[#This Row],[ID]], tblSeverityReference[ID], 0)) ), "")</f>
        <v/>
      </c>
      <c r="Z11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17" s="391" t="str">
        <f>IFERROR(IF(INDEX(tblSeverityReference[HR/IHL Violation],MATCH(tblSeverityAnalysis[[#This Row],[ID]], tblSeverityReference[ID], 0))= "", "",INDEX(tblSeverityReference[HR/IHL Violation],MATCH(tblSeverityAnalysis[[#This Row],[ID]], tblSeverityReference[ID], 0)) ), "")</f>
        <v/>
      </c>
      <c r="AB117" s="397">
        <f>IFERROR(AVERAGE(tblSeverityAnalysis[[#This Row],[SAMV]:[ASH]]), "")</f>
        <v>3.1666666666666665</v>
      </c>
      <c r="AC117" s="346">
        <f>IF(SUM(tblSeverityAnalysis[[#This Row],[SAMV]:[ASH]])=0, "", MAX(tblSeverityAnalysis[[#This Row],[SAMV]:[ASH]]))</f>
        <v>4</v>
      </c>
      <c r="AD117" s="261" t="str" cm="1">
        <f t="array" ref="AD117">IFERROR(IF(tblSeverityAnalysis[[#This Row],[Severidad máxima]]="", "", _xlfn.TEXTJOIN(CHAR(10), TRUE, IF(tblSeverityAnalysis[[#This Row],[SAMV]:[ASH]]=tblSeverityAnalysis[[#This Row],[Severidad máxima]], tblSeverityAnalysis[[#Headers],[SAMV]:[ASH]], ""), "")), "")</f>
        <v>NUT
PRO</v>
      </c>
      <c r="AE117" s="346" cm="1">
        <f t="array" ref="AE117">IFERROR(MAX(_xlfn._xlws.FILTER(tblSeverityAnalysis[[#This Row],[SAMV]:[ASH]], tblSeverityAnalysis[[#This Row],[SAMV]:[ASH]]&lt;tblSeverityAnalysis[[#This Row],[Severidad máxima]])), "")</f>
        <v>3</v>
      </c>
      <c r="AF117" s="398" t="str" cm="1">
        <f t="array" ref="AF117">IFERROR(IF(tblSeverityAnalysis[[#This Row],[2ª mayor severidad]]="", "", _xlfn.TEXTJOIN(CHAR(10), TRUE, IF(tblSeverityAnalysis[[#This Row],[SAMV]:[ASH]]=tblSeverityAnalysis[[#This Row],[2ª mayor severidad]], tblSeverityAnalysis[[#Headers],[SAMV]:[ASH]], ""), "")), "")</f>
        <v>SAL
EDU
ASH</v>
      </c>
      <c r="AG117" s="405" t="str">
        <f>IFERROR(IF(AND(tblSeverityAnalysis[[#This Row],[5]] &lt;&gt; "", tblSeverityAnalysis[[#This Row],[5]]&gt;=sectors_sev_5), "Flagged", ""), "")</f>
        <v/>
      </c>
      <c r="AH117" s="347" t="str">
        <f>IFERROR(IF(AND(tblSeverityAnalysis[[#This Row],[Severidad preliminar basada en la superposición de privaciones sectoriales]]=5, SUM(tblSeverityAnalysis[[#This Row],[ 1 ]:[ 4 ]])&gt;=sectors_sev_5), "Flagged", ""), "")</f>
        <v/>
      </c>
      <c r="AI117" s="348" t="str" cm="1">
        <f t="array" ref="AI11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1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17" s="350"/>
      <c r="AL117" s="351"/>
      <c r="AM117" s="350"/>
      <c r="AN117" s="407">
        <f>COUNTIF(tblSeverityAnalysis[[#This Row],[1 sectores en fase de severidad 5 '[modificar el umbral']]:[Marcador manual]], "Flagged")</f>
        <v>0</v>
      </c>
      <c r="AO117" s="418">
        <f>tblSeverityAnalysis[[#This Row],[Severidad preliminar basada en la superposición de privaciones sectoriales]]</f>
        <v>4</v>
      </c>
      <c r="AP117" s="417" t="s">
        <v>877</v>
      </c>
      <c r="AQ117" s="421" t="s">
        <v>876</v>
      </c>
      <c r="AR117" s="417">
        <v>3</v>
      </c>
    </row>
    <row r="118" spans="1:44" hidden="1">
      <c r="A11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VenezolanosVE1111</v>
      </c>
      <c r="B118" s="363" t="s">
        <v>316</v>
      </c>
      <c r="C118" s="323" t="s">
        <v>317</v>
      </c>
      <c r="D118" s="322" t="s">
        <v>336</v>
      </c>
      <c r="E118" s="323" t="s">
        <v>337</v>
      </c>
      <c r="F118" s="323"/>
      <c r="G118" s="324">
        <v>11232</v>
      </c>
      <c r="H118" s="324" t="s">
        <v>102</v>
      </c>
      <c r="I118" s="374">
        <v>3</v>
      </c>
      <c r="J118" s="237">
        <v>2</v>
      </c>
      <c r="K118" s="237">
        <v>3</v>
      </c>
      <c r="L118" s="237">
        <v>3</v>
      </c>
      <c r="M118" s="237">
        <v>3</v>
      </c>
      <c r="N118" s="237">
        <v>2</v>
      </c>
      <c r="O118" s="237">
        <v>3</v>
      </c>
      <c r="P118" s="237">
        <v>3</v>
      </c>
      <c r="Q118" s="382" t="str">
        <f>IF(COUNTIF(tblSeverityAnalysis[[#This Row],[SAMV]:[ASH]], 1)=0, "", COUNTIF(tblSeverityAnalysis[[#This Row],[SAMV]:[ASH]], 1))</f>
        <v/>
      </c>
      <c r="R118" s="325">
        <f>IF(COUNTIF(tblSeverityAnalysis[[#This Row],[SAMV]:[ASH]], 2)=0, "", COUNTIF(tblSeverityAnalysis[[#This Row],[SAMV]:[ASH]], 2))</f>
        <v>2</v>
      </c>
      <c r="S118" s="325">
        <f>IF(COUNTIF(tblSeverityAnalysis[[#This Row],[SAMV]:[ASH]], 3)=0, "", COUNTIF(tblSeverityAnalysis[[#This Row],[SAMV]:[ASH]], 3))</f>
        <v>4</v>
      </c>
      <c r="T118" s="325" t="str">
        <f>IF(COUNTIF(tblSeverityAnalysis[[#This Row],[SAMV]:[ASH]], 4)=0, "", COUNTIF(tblSeverityAnalysis[[#This Row],[SAMV]:[ASH]], 4))</f>
        <v/>
      </c>
      <c r="U118" s="383" t="str">
        <f>IF(COUNTIF(tblSeverityAnalysis[[#This Row],[SAMV]:[ASH]], 5)=0, "", COUNTIF(tblSeverityAnalysis[[#This Row],[SAMV]:[ASH]], 5))</f>
        <v/>
      </c>
      <c r="V118" s="375" cm="1">
        <f t="array" ref="V11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1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18" s="237" t="str">
        <f>IFERROR(IF(INDEX(tblSeverityReference[Severidad de la desnutrición],MATCH(tblSeverityAnalysis[[#This Row],[ID]], tblSeverityReference[ID], 0))= "", "",INDEX(tblSeverityReference[Severidad de la desnutrición],MATCH(tblSeverityAnalysis[[#This Row],[ID]], tblSeverityReference[ID], 0)) ), "")</f>
        <v/>
      </c>
      <c r="Y118" s="349" t="str">
        <f>IFERROR(IF(INDEX(tblSeverityReference[Severidad epidémica],MATCH(tblSeverityAnalysis[[#This Row],[ID]], tblSeverityReference[ID], 0))= "", "",INDEX(tblSeverityReference[Severidad epidémica],MATCH(tblSeverityAnalysis[[#This Row],[ID]], tblSeverityReference[ID], 0)) ), "")</f>
        <v/>
      </c>
      <c r="Z11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18" s="391" t="str">
        <f>IFERROR(IF(INDEX(tblSeverityReference[HR/IHL Violation],MATCH(tblSeverityAnalysis[[#This Row],[ID]], tblSeverityReference[ID], 0))= "", "",INDEX(tblSeverityReference[HR/IHL Violation],MATCH(tblSeverityAnalysis[[#This Row],[ID]], tblSeverityReference[ID], 0)) ), "")</f>
        <v/>
      </c>
      <c r="AB118" s="397">
        <f>IFERROR(AVERAGE(tblSeverityAnalysis[[#This Row],[SAMV]:[ASH]]), "")</f>
        <v>2.6666666666666665</v>
      </c>
      <c r="AC118" s="346">
        <f>IF(SUM(tblSeverityAnalysis[[#This Row],[SAMV]:[ASH]])=0, "", MAX(tblSeverityAnalysis[[#This Row],[SAMV]:[ASH]]))</f>
        <v>3</v>
      </c>
      <c r="AD118" s="261" t="str" cm="1">
        <f t="array" ref="AD118">IFERROR(IF(tblSeverityAnalysis[[#This Row],[Severidad máxima]]="", "", _xlfn.TEXTJOIN(CHAR(10), TRUE, IF(tblSeverityAnalysis[[#This Row],[SAMV]:[ASH]]=tblSeverityAnalysis[[#This Row],[Severidad máxima]], tblSeverityAnalysis[[#Headers],[SAMV]:[ASH]], ""), "")), "")</f>
        <v>SAMV
SAL
EDU
PRO</v>
      </c>
      <c r="AE118" s="346" cm="1">
        <f t="array" ref="AE118">IFERROR(MAX(_xlfn._xlws.FILTER(tblSeverityAnalysis[[#This Row],[SAMV]:[ASH]], tblSeverityAnalysis[[#This Row],[SAMV]:[ASH]]&lt;tblSeverityAnalysis[[#This Row],[Severidad máxima]])), "")</f>
        <v>2</v>
      </c>
      <c r="AF118" s="398" t="str" cm="1">
        <f t="array" ref="AF118">IFERROR(IF(tblSeverityAnalysis[[#This Row],[2ª mayor severidad]]="", "", _xlfn.TEXTJOIN(CHAR(10), TRUE, IF(tblSeverityAnalysis[[#This Row],[SAMV]:[ASH]]=tblSeverityAnalysis[[#This Row],[2ª mayor severidad]], tblSeverityAnalysis[[#Headers],[SAMV]:[ASH]], ""), "")), "")</f>
        <v>NUT
ASH</v>
      </c>
      <c r="AG118" s="405" t="str">
        <f>IFERROR(IF(AND(tblSeverityAnalysis[[#This Row],[5]] &lt;&gt; "", tblSeverityAnalysis[[#This Row],[5]]&gt;=sectors_sev_5), "Flagged", ""), "")</f>
        <v/>
      </c>
      <c r="AH118" s="347" t="str">
        <f>IFERROR(IF(AND(tblSeverityAnalysis[[#This Row],[Severidad preliminar basada en la superposición de privaciones sectoriales]]=5, SUM(tblSeverityAnalysis[[#This Row],[ 1 ]:[ 4 ]])&gt;=sectors_sev_5), "Flagged", ""), "")</f>
        <v/>
      </c>
      <c r="AI118" s="348" t="str" cm="1">
        <f t="array" ref="AI11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1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18" s="350"/>
      <c r="AL118" s="351"/>
      <c r="AM118" s="350"/>
      <c r="AN118" s="407">
        <f>COUNTIF(tblSeverityAnalysis[[#This Row],[1 sectores en fase de severidad 5 '[modificar el umbral']]:[Marcador manual]], "Flagged")</f>
        <v>0</v>
      </c>
      <c r="AO118" s="418">
        <f>tblSeverityAnalysis[[#This Row],[Severidad preliminar basada en la superposición de privaciones sectoriales]]</f>
        <v>3</v>
      </c>
      <c r="AP118" s="417"/>
      <c r="AQ118" s="421" t="s">
        <v>876</v>
      </c>
      <c r="AR118" s="417">
        <v>3</v>
      </c>
    </row>
    <row r="119" spans="1:44" hidden="1">
      <c r="A11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VenezolanosVE1112</v>
      </c>
      <c r="B119" s="363" t="s">
        <v>316</v>
      </c>
      <c r="C119" s="323" t="s">
        <v>317</v>
      </c>
      <c r="D119" s="322" t="s">
        <v>338</v>
      </c>
      <c r="E119" s="323" t="s">
        <v>339</v>
      </c>
      <c r="F119" s="323"/>
      <c r="G119" s="324">
        <v>41579</v>
      </c>
      <c r="H119" s="324" t="s">
        <v>102</v>
      </c>
      <c r="I119" s="374">
        <v>3</v>
      </c>
      <c r="J119" s="237">
        <v>3</v>
      </c>
      <c r="K119" s="237">
        <v>3</v>
      </c>
      <c r="L119" s="237">
        <v>3</v>
      </c>
      <c r="M119" s="237">
        <v>3</v>
      </c>
      <c r="N119" s="237">
        <v>4</v>
      </c>
      <c r="O119" s="237">
        <v>3</v>
      </c>
      <c r="P119" s="237">
        <v>3</v>
      </c>
      <c r="Q119" s="382" t="str">
        <f>IF(COUNTIF(tblSeverityAnalysis[[#This Row],[SAMV]:[ASH]], 1)=0, "", COUNTIF(tblSeverityAnalysis[[#This Row],[SAMV]:[ASH]], 1))</f>
        <v/>
      </c>
      <c r="R119" s="325" t="str">
        <f>IF(COUNTIF(tblSeverityAnalysis[[#This Row],[SAMV]:[ASH]], 2)=0, "", COUNTIF(tblSeverityAnalysis[[#This Row],[SAMV]:[ASH]], 2))</f>
        <v/>
      </c>
      <c r="S119" s="325">
        <f>IF(COUNTIF(tblSeverityAnalysis[[#This Row],[SAMV]:[ASH]], 3)=0, "", COUNTIF(tblSeverityAnalysis[[#This Row],[SAMV]:[ASH]], 3))</f>
        <v>5</v>
      </c>
      <c r="T119" s="325">
        <f>IF(COUNTIF(tblSeverityAnalysis[[#This Row],[SAMV]:[ASH]], 4)=0, "", COUNTIF(tblSeverityAnalysis[[#This Row],[SAMV]:[ASH]], 4))</f>
        <v>1</v>
      </c>
      <c r="U119" s="383" t="str">
        <f>IF(COUNTIF(tblSeverityAnalysis[[#This Row],[SAMV]:[ASH]], 5)=0, "", COUNTIF(tblSeverityAnalysis[[#This Row],[SAMV]:[ASH]], 5))</f>
        <v/>
      </c>
      <c r="V119" s="375" cm="1">
        <f t="array" ref="V11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1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19" s="237" t="str">
        <f>IFERROR(IF(INDEX(tblSeverityReference[Severidad de la desnutrición],MATCH(tblSeverityAnalysis[[#This Row],[ID]], tblSeverityReference[ID], 0))= "", "",INDEX(tblSeverityReference[Severidad de la desnutrición],MATCH(tblSeverityAnalysis[[#This Row],[ID]], tblSeverityReference[ID], 0)) ), "")</f>
        <v/>
      </c>
      <c r="Y119" s="349" t="str">
        <f>IFERROR(IF(INDEX(tblSeverityReference[Severidad epidémica],MATCH(tblSeverityAnalysis[[#This Row],[ID]], tblSeverityReference[ID], 0))= "", "",INDEX(tblSeverityReference[Severidad epidémica],MATCH(tblSeverityAnalysis[[#This Row],[ID]], tblSeverityReference[ID], 0)) ), "")</f>
        <v/>
      </c>
      <c r="Z11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19" s="391" t="str">
        <f>IFERROR(IF(INDEX(tblSeverityReference[HR/IHL Violation],MATCH(tblSeverityAnalysis[[#This Row],[ID]], tblSeverityReference[ID], 0))= "", "",INDEX(tblSeverityReference[HR/IHL Violation],MATCH(tblSeverityAnalysis[[#This Row],[ID]], tblSeverityReference[ID], 0)) ), "")</f>
        <v/>
      </c>
      <c r="AB119" s="397">
        <f>IFERROR(AVERAGE(tblSeverityAnalysis[[#This Row],[SAMV]:[ASH]]), "")</f>
        <v>3.1666666666666665</v>
      </c>
      <c r="AC119" s="346">
        <f>IF(SUM(tblSeverityAnalysis[[#This Row],[SAMV]:[ASH]])=0, "", MAX(tblSeverityAnalysis[[#This Row],[SAMV]:[ASH]]))</f>
        <v>4</v>
      </c>
      <c r="AD119" s="261" t="str" cm="1">
        <f t="array" ref="AD119">IFERROR(IF(tblSeverityAnalysis[[#This Row],[Severidad máxima]]="", "", _xlfn.TEXTJOIN(CHAR(10), TRUE, IF(tblSeverityAnalysis[[#This Row],[SAMV]:[ASH]]=tblSeverityAnalysis[[#This Row],[Severidad máxima]], tblSeverityAnalysis[[#Headers],[SAMV]:[ASH]], ""), "")), "")</f>
        <v>ASH</v>
      </c>
      <c r="AE119" s="346" cm="1">
        <f t="array" ref="AE119">IFERROR(MAX(_xlfn._xlws.FILTER(tblSeverityAnalysis[[#This Row],[SAMV]:[ASH]], tblSeverityAnalysis[[#This Row],[SAMV]:[ASH]]&lt;tblSeverityAnalysis[[#This Row],[Severidad máxima]])), "")</f>
        <v>3</v>
      </c>
      <c r="AF119" s="398" t="str" cm="1">
        <f t="array" ref="AF119">IFERROR(IF(tblSeverityAnalysis[[#This Row],[2ª mayor severidad]]="", "", _xlfn.TEXTJOIN(CHAR(10), TRUE, IF(tblSeverityAnalysis[[#This Row],[SAMV]:[ASH]]=tblSeverityAnalysis[[#This Row],[2ª mayor severidad]], tblSeverityAnalysis[[#Headers],[SAMV]:[ASH]], ""), "")), "")</f>
        <v>SAMV
NUT
SAL
EDU
PRO</v>
      </c>
      <c r="AG119" s="405" t="str">
        <f>IFERROR(IF(AND(tblSeverityAnalysis[[#This Row],[5]] &lt;&gt; "", tblSeverityAnalysis[[#This Row],[5]]&gt;=sectors_sev_5), "Flagged", ""), "")</f>
        <v/>
      </c>
      <c r="AH119" s="347" t="str">
        <f>IFERROR(IF(AND(tblSeverityAnalysis[[#This Row],[Severidad preliminar basada en la superposición de privaciones sectoriales]]=5, SUM(tblSeverityAnalysis[[#This Row],[ 1 ]:[ 4 ]])&gt;=sectors_sev_5), "Flagged", ""), "")</f>
        <v/>
      </c>
      <c r="AI119" s="348" t="str" cm="1">
        <f t="array" ref="AI11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1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19" s="350"/>
      <c r="AL119" s="351"/>
      <c r="AM119" s="350"/>
      <c r="AN119" s="407">
        <f>COUNTIF(tblSeverityAnalysis[[#This Row],[1 sectores en fase de severidad 5 '[modificar el umbral']]:[Marcador manual]], "Flagged")</f>
        <v>0</v>
      </c>
      <c r="AO119" s="418">
        <f>tblSeverityAnalysis[[#This Row],[Severidad preliminar basada en la superposición de privaciones sectoriales]]</f>
        <v>3</v>
      </c>
      <c r="AP119" s="417"/>
      <c r="AQ119" s="421" t="s">
        <v>876</v>
      </c>
      <c r="AR119" s="417">
        <v>3</v>
      </c>
    </row>
    <row r="120" spans="1:44" hidden="1">
      <c r="A12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VenezolanosVE1113</v>
      </c>
      <c r="B120" s="363" t="s">
        <v>316</v>
      </c>
      <c r="C120" s="323" t="s">
        <v>317</v>
      </c>
      <c r="D120" s="429" t="s">
        <v>340</v>
      </c>
      <c r="E120" s="323" t="s">
        <v>341</v>
      </c>
      <c r="F120" s="323"/>
      <c r="G120" s="324">
        <v>24920</v>
      </c>
      <c r="H120" s="324" t="s">
        <v>102</v>
      </c>
      <c r="I120" s="374">
        <v>3</v>
      </c>
      <c r="J120" s="237">
        <v>4</v>
      </c>
      <c r="K120" s="237">
        <v>4</v>
      </c>
      <c r="L120" s="237">
        <v>4</v>
      </c>
      <c r="M120" s="237">
        <v>4</v>
      </c>
      <c r="N120" s="237">
        <v>3</v>
      </c>
      <c r="O120" s="237">
        <v>4</v>
      </c>
      <c r="P120" s="237">
        <v>4</v>
      </c>
      <c r="Q120" s="382" t="str">
        <f>IF(COUNTIF(tblSeverityAnalysis[[#This Row],[SAMV]:[ASH]], 1)=0, "", COUNTIF(tblSeverityAnalysis[[#This Row],[SAMV]:[ASH]], 1))</f>
        <v/>
      </c>
      <c r="R120" s="325" t="str">
        <f>IF(COUNTIF(tblSeverityAnalysis[[#This Row],[SAMV]:[ASH]], 2)=0, "", COUNTIF(tblSeverityAnalysis[[#This Row],[SAMV]:[ASH]], 2))</f>
        <v/>
      </c>
      <c r="S120" s="325">
        <f>IF(COUNTIF(tblSeverityAnalysis[[#This Row],[SAMV]:[ASH]], 3)=0, "", COUNTIF(tblSeverityAnalysis[[#This Row],[SAMV]:[ASH]], 3))</f>
        <v>2</v>
      </c>
      <c r="T120" s="325">
        <f>IF(COUNTIF(tblSeverityAnalysis[[#This Row],[SAMV]:[ASH]], 4)=0, "", COUNTIF(tblSeverityAnalysis[[#This Row],[SAMV]:[ASH]], 4))</f>
        <v>4</v>
      </c>
      <c r="U120" s="383" t="str">
        <f>IF(COUNTIF(tblSeverityAnalysis[[#This Row],[SAMV]:[ASH]], 5)=0, "", COUNTIF(tblSeverityAnalysis[[#This Row],[SAMV]:[ASH]], 5))</f>
        <v/>
      </c>
      <c r="V120" s="375" cm="1">
        <f t="array" ref="V12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12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20" s="237" t="str">
        <f>IFERROR(IF(INDEX(tblSeverityReference[Severidad de la desnutrición],MATCH(tblSeverityAnalysis[[#This Row],[ID]], tblSeverityReference[ID], 0))= "", "",INDEX(tblSeverityReference[Severidad de la desnutrición],MATCH(tblSeverityAnalysis[[#This Row],[ID]], tblSeverityReference[ID], 0)) ), "")</f>
        <v/>
      </c>
      <c r="Y120" s="349" t="str">
        <f>IFERROR(IF(INDEX(tblSeverityReference[Severidad epidémica],MATCH(tblSeverityAnalysis[[#This Row],[ID]], tblSeverityReference[ID], 0))= "", "",INDEX(tblSeverityReference[Severidad epidémica],MATCH(tblSeverityAnalysis[[#This Row],[ID]], tblSeverityReference[ID], 0)) ), "")</f>
        <v/>
      </c>
      <c r="Z12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20" s="391" t="str">
        <f>IFERROR(IF(INDEX(tblSeverityReference[HR/IHL Violation],MATCH(tblSeverityAnalysis[[#This Row],[ID]], tblSeverityReference[ID], 0))= "", "",INDEX(tblSeverityReference[HR/IHL Violation],MATCH(tblSeverityAnalysis[[#This Row],[ID]], tblSeverityReference[ID], 0)) ), "")</f>
        <v/>
      </c>
      <c r="AB120" s="397">
        <f>IFERROR(AVERAGE(tblSeverityAnalysis[[#This Row],[SAMV]:[ASH]]), "")</f>
        <v>3.6666666666666665</v>
      </c>
      <c r="AC120" s="346">
        <f>IF(SUM(tblSeverityAnalysis[[#This Row],[SAMV]:[ASH]])=0, "", MAX(tblSeverityAnalysis[[#This Row],[SAMV]:[ASH]]))</f>
        <v>4</v>
      </c>
      <c r="AD120" s="261" t="str" cm="1">
        <f t="array" ref="AD120">IFERROR(IF(tblSeverityAnalysis[[#This Row],[Severidad máxima]]="", "", _xlfn.TEXTJOIN(CHAR(10), TRUE, IF(tblSeverityAnalysis[[#This Row],[SAMV]:[ASH]]=tblSeverityAnalysis[[#This Row],[Severidad máxima]], tblSeverityAnalysis[[#Headers],[SAMV]:[ASH]], ""), "")), "")</f>
        <v>NUT
SAL
EDU
PRO</v>
      </c>
      <c r="AE120" s="346" cm="1">
        <f t="array" ref="AE120">IFERROR(MAX(_xlfn._xlws.FILTER(tblSeverityAnalysis[[#This Row],[SAMV]:[ASH]], tblSeverityAnalysis[[#This Row],[SAMV]:[ASH]]&lt;tblSeverityAnalysis[[#This Row],[Severidad máxima]])), "")</f>
        <v>3</v>
      </c>
      <c r="AF120" s="398" t="str" cm="1">
        <f t="array" ref="AF120">IFERROR(IF(tblSeverityAnalysis[[#This Row],[2ª mayor severidad]]="", "", _xlfn.TEXTJOIN(CHAR(10), TRUE, IF(tblSeverityAnalysis[[#This Row],[SAMV]:[ASH]]=tblSeverityAnalysis[[#This Row],[2ª mayor severidad]], tblSeverityAnalysis[[#Headers],[SAMV]:[ASH]], ""), "")), "")</f>
        <v>SAMV
ASH</v>
      </c>
      <c r="AG120" s="405" t="str">
        <f>IFERROR(IF(AND(tblSeverityAnalysis[[#This Row],[5]] &lt;&gt; "", tblSeverityAnalysis[[#This Row],[5]]&gt;=sectors_sev_5), "Flagged", ""), "")</f>
        <v/>
      </c>
      <c r="AH120" s="347" t="str">
        <f>IFERROR(IF(AND(tblSeverityAnalysis[[#This Row],[Severidad preliminar basada en la superposición de privaciones sectoriales]]=5, SUM(tblSeverityAnalysis[[#This Row],[ 1 ]:[ 4 ]])&gt;=sectors_sev_5), "Flagged", ""), "")</f>
        <v/>
      </c>
      <c r="AI120" s="348" t="str" cm="1">
        <f t="array" ref="AI12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2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20" s="350"/>
      <c r="AL120" s="351"/>
      <c r="AM120" s="350"/>
      <c r="AN120" s="407">
        <f>COUNTIF(tblSeverityAnalysis[[#This Row],[1 sectores en fase de severidad 5 '[modificar el umbral']]:[Marcador manual]], "Flagged")</f>
        <v>0</v>
      </c>
      <c r="AO120" s="418">
        <f>tblSeverityAnalysis[[#This Row],[Severidad preliminar basada en la superposición de privaciones sectoriales]]</f>
        <v>4</v>
      </c>
      <c r="AP120" s="417"/>
      <c r="AQ120" s="421" t="s">
        <v>876</v>
      </c>
      <c r="AR120" s="417">
        <v>3</v>
      </c>
    </row>
    <row r="121" spans="1:44" hidden="1">
      <c r="A12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VenezolanosVE1114</v>
      </c>
      <c r="B121" s="363" t="s">
        <v>316</v>
      </c>
      <c r="C121" s="323" t="s">
        <v>317</v>
      </c>
      <c r="D121" s="322" t="s">
        <v>276</v>
      </c>
      <c r="E121" s="323" t="s">
        <v>342</v>
      </c>
      <c r="F121" s="323"/>
      <c r="G121" s="324">
        <v>211537</v>
      </c>
      <c r="H121" s="324" t="s">
        <v>102</v>
      </c>
      <c r="I121" s="374">
        <v>3</v>
      </c>
      <c r="J121" s="237">
        <v>3</v>
      </c>
      <c r="K121" s="237">
        <v>3</v>
      </c>
      <c r="L121" s="237">
        <v>3</v>
      </c>
      <c r="M121" s="237">
        <v>4</v>
      </c>
      <c r="N121" s="237">
        <v>2</v>
      </c>
      <c r="O121" s="237">
        <v>4</v>
      </c>
      <c r="P121" s="237">
        <v>4</v>
      </c>
      <c r="Q121" s="382" t="str">
        <f>IF(COUNTIF(tblSeverityAnalysis[[#This Row],[SAMV]:[ASH]], 1)=0, "", COUNTIF(tblSeverityAnalysis[[#This Row],[SAMV]:[ASH]], 1))</f>
        <v/>
      </c>
      <c r="R121" s="325">
        <f>IF(COUNTIF(tblSeverityAnalysis[[#This Row],[SAMV]:[ASH]], 2)=0, "", COUNTIF(tblSeverityAnalysis[[#This Row],[SAMV]:[ASH]], 2))</f>
        <v>1</v>
      </c>
      <c r="S121" s="325">
        <f>IF(COUNTIF(tblSeverityAnalysis[[#This Row],[SAMV]:[ASH]], 3)=0, "", COUNTIF(tblSeverityAnalysis[[#This Row],[SAMV]:[ASH]], 3))</f>
        <v>4</v>
      </c>
      <c r="T121" s="325">
        <f>IF(COUNTIF(tblSeverityAnalysis[[#This Row],[SAMV]:[ASH]], 4)=0, "", COUNTIF(tblSeverityAnalysis[[#This Row],[SAMV]:[ASH]], 4))</f>
        <v>1</v>
      </c>
      <c r="U121" s="383" t="str">
        <f>IF(COUNTIF(tblSeverityAnalysis[[#This Row],[SAMV]:[ASH]], 5)=0, "", COUNTIF(tblSeverityAnalysis[[#This Row],[SAMV]:[ASH]], 5))</f>
        <v/>
      </c>
      <c r="V121" s="375" cm="1">
        <f t="array" ref="V12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2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21" s="237" t="str">
        <f>IFERROR(IF(INDEX(tblSeverityReference[Severidad de la desnutrición],MATCH(tblSeverityAnalysis[[#This Row],[ID]], tblSeverityReference[ID], 0))= "", "",INDEX(tblSeverityReference[Severidad de la desnutrición],MATCH(tblSeverityAnalysis[[#This Row],[ID]], tblSeverityReference[ID], 0)) ), "")</f>
        <v/>
      </c>
      <c r="Y121" s="349" t="str">
        <f>IFERROR(IF(INDEX(tblSeverityReference[Severidad epidémica],MATCH(tblSeverityAnalysis[[#This Row],[ID]], tblSeverityReference[ID], 0))= "", "",INDEX(tblSeverityReference[Severidad epidémica],MATCH(tblSeverityAnalysis[[#This Row],[ID]], tblSeverityReference[ID], 0)) ), "")</f>
        <v/>
      </c>
      <c r="Z12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21" s="391" t="str">
        <f>IFERROR(IF(INDEX(tblSeverityReference[HR/IHL Violation],MATCH(tblSeverityAnalysis[[#This Row],[ID]], tblSeverityReference[ID], 0))= "", "",INDEX(tblSeverityReference[HR/IHL Violation],MATCH(tblSeverityAnalysis[[#This Row],[ID]], tblSeverityReference[ID], 0)) ), "")</f>
        <v/>
      </c>
      <c r="AB121" s="397">
        <f>IFERROR(AVERAGE(tblSeverityAnalysis[[#This Row],[SAMV]:[ASH]]), "")</f>
        <v>3</v>
      </c>
      <c r="AC121" s="346">
        <f>IF(SUM(tblSeverityAnalysis[[#This Row],[SAMV]:[ASH]])=0, "", MAX(tblSeverityAnalysis[[#This Row],[SAMV]:[ASH]]))</f>
        <v>4</v>
      </c>
      <c r="AD121" s="261" t="str" cm="1">
        <f t="array" ref="AD121">IFERROR(IF(tblSeverityAnalysis[[#This Row],[Severidad máxima]]="", "", _xlfn.TEXTJOIN(CHAR(10), TRUE, IF(tblSeverityAnalysis[[#This Row],[SAMV]:[ASH]]=tblSeverityAnalysis[[#This Row],[Severidad máxima]], tblSeverityAnalysis[[#Headers],[SAMV]:[ASH]], ""), "")), "")</f>
        <v>PRO</v>
      </c>
      <c r="AE121" s="346" cm="1">
        <f t="array" ref="AE121">IFERROR(MAX(_xlfn._xlws.FILTER(tblSeverityAnalysis[[#This Row],[SAMV]:[ASH]], tblSeverityAnalysis[[#This Row],[SAMV]:[ASH]]&lt;tblSeverityAnalysis[[#This Row],[Severidad máxima]])), "")</f>
        <v>3</v>
      </c>
      <c r="AF121" s="398" t="str" cm="1">
        <f t="array" ref="AF121">IFERROR(IF(tblSeverityAnalysis[[#This Row],[2ª mayor severidad]]="", "", _xlfn.TEXTJOIN(CHAR(10), TRUE, IF(tblSeverityAnalysis[[#This Row],[SAMV]:[ASH]]=tblSeverityAnalysis[[#This Row],[2ª mayor severidad]], tblSeverityAnalysis[[#Headers],[SAMV]:[ASH]], ""), "")), "")</f>
        <v>SAMV
NUT
SAL
EDU</v>
      </c>
      <c r="AG121" s="405" t="str">
        <f>IFERROR(IF(AND(tblSeverityAnalysis[[#This Row],[5]] &lt;&gt; "", tblSeverityAnalysis[[#This Row],[5]]&gt;=sectors_sev_5), "Flagged", ""), "")</f>
        <v/>
      </c>
      <c r="AH121" s="347" t="str">
        <f>IFERROR(IF(AND(tblSeverityAnalysis[[#This Row],[Severidad preliminar basada en la superposición de privaciones sectoriales]]=5, SUM(tblSeverityAnalysis[[#This Row],[ 1 ]:[ 4 ]])&gt;=sectors_sev_5), "Flagged", ""), "")</f>
        <v/>
      </c>
      <c r="AI121" s="348" t="str" cm="1">
        <f t="array" ref="AI12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2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21" s="350"/>
      <c r="AL121" s="351"/>
      <c r="AM121" s="350"/>
      <c r="AN121" s="407">
        <f>COUNTIF(tblSeverityAnalysis[[#This Row],[1 sectores en fase de severidad 5 '[modificar el umbral']]:[Marcador manual]], "Flagged")</f>
        <v>0</v>
      </c>
      <c r="AO121" s="418">
        <f>tblSeverityAnalysis[[#This Row],[Severidad preliminar basada en la superposición de privaciones sectoriales]]</f>
        <v>3</v>
      </c>
      <c r="AP121" s="417"/>
      <c r="AQ121" s="421" t="s">
        <v>875</v>
      </c>
      <c r="AR121" s="417">
        <v>3</v>
      </c>
    </row>
    <row r="122" spans="1:44" hidden="1">
      <c r="A12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VenezolanosVE1115</v>
      </c>
      <c r="B122" s="363" t="s">
        <v>316</v>
      </c>
      <c r="C122" s="323" t="s">
        <v>317</v>
      </c>
      <c r="D122" s="322" t="s">
        <v>343</v>
      </c>
      <c r="E122" s="323" t="s">
        <v>344</v>
      </c>
      <c r="F122" s="323"/>
      <c r="G122" s="324">
        <v>19300</v>
      </c>
      <c r="H122" s="324" t="s">
        <v>102</v>
      </c>
      <c r="I122" s="374">
        <v>2</v>
      </c>
      <c r="J122" s="237">
        <v>3</v>
      </c>
      <c r="K122" s="237">
        <v>3</v>
      </c>
      <c r="L122" s="237">
        <v>3</v>
      </c>
      <c r="M122" s="237">
        <v>3</v>
      </c>
      <c r="N122" s="237">
        <v>4</v>
      </c>
      <c r="O122" s="237">
        <v>3</v>
      </c>
      <c r="P122" s="237">
        <v>3</v>
      </c>
      <c r="Q122" s="382" t="str">
        <f>IF(COUNTIF(tblSeverityAnalysis[[#This Row],[SAMV]:[ASH]], 1)=0, "", COUNTIF(tblSeverityAnalysis[[#This Row],[SAMV]:[ASH]], 1))</f>
        <v/>
      </c>
      <c r="R122" s="325">
        <f>IF(COUNTIF(tblSeverityAnalysis[[#This Row],[SAMV]:[ASH]], 2)=0, "", COUNTIF(tblSeverityAnalysis[[#This Row],[SAMV]:[ASH]], 2))</f>
        <v>1</v>
      </c>
      <c r="S122" s="325">
        <f>IF(COUNTIF(tblSeverityAnalysis[[#This Row],[SAMV]:[ASH]], 3)=0, "", COUNTIF(tblSeverityAnalysis[[#This Row],[SAMV]:[ASH]], 3))</f>
        <v>4</v>
      </c>
      <c r="T122" s="325">
        <f>IF(COUNTIF(tblSeverityAnalysis[[#This Row],[SAMV]:[ASH]], 4)=0, "", COUNTIF(tblSeverityAnalysis[[#This Row],[SAMV]:[ASH]], 4))</f>
        <v>1</v>
      </c>
      <c r="U122" s="383" t="str">
        <f>IF(COUNTIF(tblSeverityAnalysis[[#This Row],[SAMV]:[ASH]], 5)=0, "", COUNTIF(tblSeverityAnalysis[[#This Row],[SAMV]:[ASH]], 5))</f>
        <v/>
      </c>
      <c r="V122" s="375" cm="1">
        <f t="array" ref="V12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2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22" s="237" t="str">
        <f>IFERROR(IF(INDEX(tblSeverityReference[Severidad de la desnutrición],MATCH(tblSeverityAnalysis[[#This Row],[ID]], tblSeverityReference[ID], 0))= "", "",INDEX(tblSeverityReference[Severidad de la desnutrición],MATCH(tblSeverityAnalysis[[#This Row],[ID]], tblSeverityReference[ID], 0)) ), "")</f>
        <v/>
      </c>
      <c r="Y122" s="349" t="str">
        <f>IFERROR(IF(INDEX(tblSeverityReference[Severidad epidémica],MATCH(tblSeverityAnalysis[[#This Row],[ID]], tblSeverityReference[ID], 0))= "", "",INDEX(tblSeverityReference[Severidad epidémica],MATCH(tblSeverityAnalysis[[#This Row],[ID]], tblSeverityReference[ID], 0)) ), "")</f>
        <v/>
      </c>
      <c r="Z12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22" s="391" t="str">
        <f>IFERROR(IF(INDEX(tblSeverityReference[HR/IHL Violation],MATCH(tblSeverityAnalysis[[#This Row],[ID]], tblSeverityReference[ID], 0))= "", "",INDEX(tblSeverityReference[HR/IHL Violation],MATCH(tblSeverityAnalysis[[#This Row],[ID]], tblSeverityReference[ID], 0)) ), "")</f>
        <v/>
      </c>
      <c r="AB122" s="397">
        <f>IFERROR(AVERAGE(tblSeverityAnalysis[[#This Row],[SAMV]:[ASH]]), "")</f>
        <v>3</v>
      </c>
      <c r="AC122" s="346">
        <f>IF(SUM(tblSeverityAnalysis[[#This Row],[SAMV]:[ASH]])=0, "", MAX(tblSeverityAnalysis[[#This Row],[SAMV]:[ASH]]))</f>
        <v>4</v>
      </c>
      <c r="AD122" s="261" t="str" cm="1">
        <f t="array" ref="AD122">IFERROR(IF(tblSeverityAnalysis[[#This Row],[Severidad máxima]]="", "", _xlfn.TEXTJOIN(CHAR(10), TRUE, IF(tblSeverityAnalysis[[#This Row],[SAMV]:[ASH]]=tblSeverityAnalysis[[#This Row],[Severidad máxima]], tblSeverityAnalysis[[#Headers],[SAMV]:[ASH]], ""), "")), "")</f>
        <v>ASH</v>
      </c>
      <c r="AE122" s="346" cm="1">
        <f t="array" ref="AE122">IFERROR(MAX(_xlfn._xlws.FILTER(tblSeverityAnalysis[[#This Row],[SAMV]:[ASH]], tblSeverityAnalysis[[#This Row],[SAMV]:[ASH]]&lt;tblSeverityAnalysis[[#This Row],[Severidad máxima]])), "")</f>
        <v>3</v>
      </c>
      <c r="AF122" s="398" t="str" cm="1">
        <f t="array" ref="AF122">IFERROR(IF(tblSeverityAnalysis[[#This Row],[2ª mayor severidad]]="", "", _xlfn.TEXTJOIN(CHAR(10), TRUE, IF(tblSeverityAnalysis[[#This Row],[SAMV]:[ASH]]=tblSeverityAnalysis[[#This Row],[2ª mayor severidad]], tblSeverityAnalysis[[#Headers],[SAMV]:[ASH]], ""), "")), "")</f>
        <v>NUT
SAL
EDU
PRO</v>
      </c>
      <c r="AG122" s="405" t="str">
        <f>IFERROR(IF(AND(tblSeverityAnalysis[[#This Row],[5]] &lt;&gt; "", tblSeverityAnalysis[[#This Row],[5]]&gt;=sectors_sev_5), "Flagged", ""), "")</f>
        <v/>
      </c>
      <c r="AH122" s="347" t="str">
        <f>IFERROR(IF(AND(tblSeverityAnalysis[[#This Row],[Severidad preliminar basada en la superposición de privaciones sectoriales]]=5, SUM(tblSeverityAnalysis[[#This Row],[ 1 ]:[ 4 ]])&gt;=sectors_sev_5), "Flagged", ""), "")</f>
        <v/>
      </c>
      <c r="AI122" s="348" t="str" cm="1">
        <f t="array" ref="AI12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2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22" s="350"/>
      <c r="AL122" s="351"/>
      <c r="AM122" s="350"/>
      <c r="AN122" s="407">
        <f>COUNTIF(tblSeverityAnalysis[[#This Row],[1 sectores en fase de severidad 5 '[modificar el umbral']]:[Marcador manual]], "Flagged")</f>
        <v>0</v>
      </c>
      <c r="AO122" s="418">
        <f>tblSeverityAnalysis[[#This Row],[Severidad preliminar basada en la superposición de privaciones sectoriales]]</f>
        <v>3</v>
      </c>
      <c r="AP122" s="417"/>
      <c r="AQ122" s="421" t="s">
        <v>876</v>
      </c>
      <c r="AR122" s="417">
        <v>3</v>
      </c>
    </row>
    <row r="123" spans="1:44" hidden="1">
      <c r="A12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VenezolanosVE1116</v>
      </c>
      <c r="B123" s="363" t="s">
        <v>316</v>
      </c>
      <c r="C123" s="323" t="s">
        <v>317</v>
      </c>
      <c r="D123" s="322" t="s">
        <v>345</v>
      </c>
      <c r="E123" s="323" t="s">
        <v>346</v>
      </c>
      <c r="F123" s="323"/>
      <c r="G123" s="324">
        <v>7077</v>
      </c>
      <c r="H123" s="324" t="s">
        <v>102</v>
      </c>
      <c r="I123" s="374">
        <v>3</v>
      </c>
      <c r="J123" s="237">
        <v>2</v>
      </c>
      <c r="K123" s="237">
        <v>3</v>
      </c>
      <c r="L123" s="237">
        <v>3</v>
      </c>
      <c r="M123" s="237">
        <v>3</v>
      </c>
      <c r="N123" s="237">
        <v>2</v>
      </c>
      <c r="O123" s="237">
        <v>3</v>
      </c>
      <c r="P123" s="237">
        <v>3</v>
      </c>
      <c r="Q123" s="382" t="str">
        <f>IF(COUNTIF(tblSeverityAnalysis[[#This Row],[SAMV]:[ASH]], 1)=0, "", COUNTIF(tblSeverityAnalysis[[#This Row],[SAMV]:[ASH]], 1))</f>
        <v/>
      </c>
      <c r="R123" s="325">
        <f>IF(COUNTIF(tblSeverityAnalysis[[#This Row],[SAMV]:[ASH]], 2)=0, "", COUNTIF(tblSeverityAnalysis[[#This Row],[SAMV]:[ASH]], 2))</f>
        <v>2</v>
      </c>
      <c r="S123" s="325">
        <f>IF(COUNTIF(tblSeverityAnalysis[[#This Row],[SAMV]:[ASH]], 3)=0, "", COUNTIF(tblSeverityAnalysis[[#This Row],[SAMV]:[ASH]], 3))</f>
        <v>4</v>
      </c>
      <c r="T123" s="325" t="str">
        <f>IF(COUNTIF(tblSeverityAnalysis[[#This Row],[SAMV]:[ASH]], 4)=0, "", COUNTIF(tblSeverityAnalysis[[#This Row],[SAMV]:[ASH]], 4))</f>
        <v/>
      </c>
      <c r="U123" s="383" t="str">
        <f>IF(COUNTIF(tblSeverityAnalysis[[#This Row],[SAMV]:[ASH]], 5)=0, "", COUNTIF(tblSeverityAnalysis[[#This Row],[SAMV]:[ASH]], 5))</f>
        <v/>
      </c>
      <c r="V123" s="375" cm="1">
        <f t="array" ref="V12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2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23" s="237" t="str">
        <f>IFERROR(IF(INDEX(tblSeverityReference[Severidad de la desnutrición],MATCH(tblSeverityAnalysis[[#This Row],[ID]], tblSeverityReference[ID], 0))= "", "",INDEX(tblSeverityReference[Severidad de la desnutrición],MATCH(tblSeverityAnalysis[[#This Row],[ID]], tblSeverityReference[ID], 0)) ), "")</f>
        <v/>
      </c>
      <c r="Y123" s="349" t="str">
        <f>IFERROR(IF(INDEX(tblSeverityReference[Severidad epidémica],MATCH(tblSeverityAnalysis[[#This Row],[ID]], tblSeverityReference[ID], 0))= "", "",INDEX(tblSeverityReference[Severidad epidémica],MATCH(tblSeverityAnalysis[[#This Row],[ID]], tblSeverityReference[ID], 0)) ), "")</f>
        <v/>
      </c>
      <c r="Z12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23" s="391" t="str">
        <f>IFERROR(IF(INDEX(tblSeverityReference[HR/IHL Violation],MATCH(tblSeverityAnalysis[[#This Row],[ID]], tblSeverityReference[ID], 0))= "", "",INDEX(tblSeverityReference[HR/IHL Violation],MATCH(tblSeverityAnalysis[[#This Row],[ID]], tblSeverityReference[ID], 0)) ), "")</f>
        <v/>
      </c>
      <c r="AB123" s="397">
        <f>IFERROR(AVERAGE(tblSeverityAnalysis[[#This Row],[SAMV]:[ASH]]), "")</f>
        <v>2.6666666666666665</v>
      </c>
      <c r="AC123" s="346">
        <f>IF(SUM(tblSeverityAnalysis[[#This Row],[SAMV]:[ASH]])=0, "", MAX(tblSeverityAnalysis[[#This Row],[SAMV]:[ASH]]))</f>
        <v>3</v>
      </c>
      <c r="AD123" s="261" t="str" cm="1">
        <f t="array" ref="AD123">IFERROR(IF(tblSeverityAnalysis[[#This Row],[Severidad máxima]]="", "", _xlfn.TEXTJOIN(CHAR(10), TRUE, IF(tblSeverityAnalysis[[#This Row],[SAMV]:[ASH]]=tblSeverityAnalysis[[#This Row],[Severidad máxima]], tblSeverityAnalysis[[#Headers],[SAMV]:[ASH]], ""), "")), "")</f>
        <v>SAMV
SAL
EDU
PRO</v>
      </c>
      <c r="AE123" s="346" cm="1">
        <f t="array" ref="AE123">IFERROR(MAX(_xlfn._xlws.FILTER(tblSeverityAnalysis[[#This Row],[SAMV]:[ASH]], tblSeverityAnalysis[[#This Row],[SAMV]:[ASH]]&lt;tblSeverityAnalysis[[#This Row],[Severidad máxima]])), "")</f>
        <v>2</v>
      </c>
      <c r="AF123" s="398" t="str" cm="1">
        <f t="array" ref="AF123">IFERROR(IF(tblSeverityAnalysis[[#This Row],[2ª mayor severidad]]="", "", _xlfn.TEXTJOIN(CHAR(10), TRUE, IF(tblSeverityAnalysis[[#This Row],[SAMV]:[ASH]]=tblSeverityAnalysis[[#This Row],[2ª mayor severidad]], tblSeverityAnalysis[[#Headers],[SAMV]:[ASH]], ""), "")), "")</f>
        <v>NUT
ASH</v>
      </c>
      <c r="AG123" s="405" t="str">
        <f>IFERROR(IF(AND(tblSeverityAnalysis[[#This Row],[5]] &lt;&gt; "", tblSeverityAnalysis[[#This Row],[5]]&gt;=sectors_sev_5), "Flagged", ""), "")</f>
        <v/>
      </c>
      <c r="AH123" s="347" t="str">
        <f>IFERROR(IF(AND(tblSeverityAnalysis[[#This Row],[Severidad preliminar basada en la superposición de privaciones sectoriales]]=5, SUM(tblSeverityAnalysis[[#This Row],[ 1 ]:[ 4 ]])&gt;=sectors_sev_5), "Flagged", ""), "")</f>
        <v/>
      </c>
      <c r="AI123" s="348" t="str" cm="1">
        <f t="array" ref="AI12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2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23" s="350"/>
      <c r="AL123" s="351"/>
      <c r="AM123" s="350"/>
      <c r="AN123" s="407">
        <f>COUNTIF(tblSeverityAnalysis[[#This Row],[1 sectores en fase de severidad 5 '[modificar el umbral']]:[Marcador manual]], "Flagged")</f>
        <v>0</v>
      </c>
      <c r="AO123" s="418">
        <f>tblSeverityAnalysis[[#This Row],[Severidad preliminar basada en la superposición de privaciones sectoriales]]</f>
        <v>3</v>
      </c>
      <c r="AP123" s="417"/>
      <c r="AQ123" s="421" t="s">
        <v>876</v>
      </c>
      <c r="AR123" s="417">
        <v>3</v>
      </c>
    </row>
    <row r="124" spans="1:44" hidden="1">
      <c r="A12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VenezolanosVE1117</v>
      </c>
      <c r="B124" s="363" t="s">
        <v>316</v>
      </c>
      <c r="C124" s="323" t="s">
        <v>317</v>
      </c>
      <c r="D124" s="322" t="s">
        <v>347</v>
      </c>
      <c r="E124" s="323" t="s">
        <v>348</v>
      </c>
      <c r="F124" s="323"/>
      <c r="G124" s="324">
        <v>13725</v>
      </c>
      <c r="H124" s="324" t="s">
        <v>102</v>
      </c>
      <c r="I124" s="374">
        <v>2</v>
      </c>
      <c r="J124" s="237">
        <v>2</v>
      </c>
      <c r="K124" s="237">
        <v>3</v>
      </c>
      <c r="L124" s="237">
        <v>3</v>
      </c>
      <c r="M124" s="237">
        <v>3</v>
      </c>
      <c r="N124" s="237">
        <v>3</v>
      </c>
      <c r="O124" s="237">
        <v>3</v>
      </c>
      <c r="P124" s="237">
        <v>3</v>
      </c>
      <c r="Q124" s="382" t="str">
        <f>IF(COUNTIF(tblSeverityAnalysis[[#This Row],[SAMV]:[ASH]], 1)=0, "", COUNTIF(tblSeverityAnalysis[[#This Row],[SAMV]:[ASH]], 1))</f>
        <v/>
      </c>
      <c r="R124" s="325">
        <f>IF(COUNTIF(tblSeverityAnalysis[[#This Row],[SAMV]:[ASH]], 2)=0, "", COUNTIF(tblSeverityAnalysis[[#This Row],[SAMV]:[ASH]], 2))</f>
        <v>2</v>
      </c>
      <c r="S124" s="325">
        <f>IF(COUNTIF(tblSeverityAnalysis[[#This Row],[SAMV]:[ASH]], 3)=0, "", COUNTIF(tblSeverityAnalysis[[#This Row],[SAMV]:[ASH]], 3))</f>
        <v>4</v>
      </c>
      <c r="T124" s="325" t="str">
        <f>IF(COUNTIF(tblSeverityAnalysis[[#This Row],[SAMV]:[ASH]], 4)=0, "", COUNTIF(tblSeverityAnalysis[[#This Row],[SAMV]:[ASH]], 4))</f>
        <v/>
      </c>
      <c r="U124" s="383" t="str">
        <f>IF(COUNTIF(tblSeverityAnalysis[[#This Row],[SAMV]:[ASH]], 5)=0, "", COUNTIF(tblSeverityAnalysis[[#This Row],[SAMV]:[ASH]], 5))</f>
        <v/>
      </c>
      <c r="V124" s="375" cm="1">
        <f t="array" ref="V12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2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24" s="237" t="str">
        <f>IFERROR(IF(INDEX(tblSeverityReference[Severidad de la desnutrición],MATCH(tblSeverityAnalysis[[#This Row],[ID]], tblSeverityReference[ID], 0))= "", "",INDEX(tblSeverityReference[Severidad de la desnutrición],MATCH(tblSeverityAnalysis[[#This Row],[ID]], tblSeverityReference[ID], 0)) ), "")</f>
        <v/>
      </c>
      <c r="Y124" s="349" t="str">
        <f>IFERROR(IF(INDEX(tblSeverityReference[Severidad epidémica],MATCH(tblSeverityAnalysis[[#This Row],[ID]], tblSeverityReference[ID], 0))= "", "",INDEX(tblSeverityReference[Severidad epidémica],MATCH(tblSeverityAnalysis[[#This Row],[ID]], tblSeverityReference[ID], 0)) ), "")</f>
        <v/>
      </c>
      <c r="Z12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24" s="391" t="str">
        <f>IFERROR(IF(INDEX(tblSeverityReference[HR/IHL Violation],MATCH(tblSeverityAnalysis[[#This Row],[ID]], tblSeverityReference[ID], 0))= "", "",INDEX(tblSeverityReference[HR/IHL Violation],MATCH(tblSeverityAnalysis[[#This Row],[ID]], tblSeverityReference[ID], 0)) ), "")</f>
        <v/>
      </c>
      <c r="AB124" s="397">
        <f>IFERROR(AVERAGE(tblSeverityAnalysis[[#This Row],[SAMV]:[ASH]]), "")</f>
        <v>2.6666666666666665</v>
      </c>
      <c r="AC124" s="346">
        <f>IF(SUM(tblSeverityAnalysis[[#This Row],[SAMV]:[ASH]])=0, "", MAX(tblSeverityAnalysis[[#This Row],[SAMV]:[ASH]]))</f>
        <v>3</v>
      </c>
      <c r="AD124" s="261" t="str" cm="1">
        <f t="array" ref="AD124">IFERROR(IF(tblSeverityAnalysis[[#This Row],[Severidad máxima]]="", "", _xlfn.TEXTJOIN(CHAR(10), TRUE, IF(tblSeverityAnalysis[[#This Row],[SAMV]:[ASH]]=tblSeverityAnalysis[[#This Row],[Severidad máxima]], tblSeverityAnalysis[[#Headers],[SAMV]:[ASH]], ""), "")), "")</f>
        <v>SAL
EDU
PRO
ASH</v>
      </c>
      <c r="AE124" s="346" cm="1">
        <f t="array" ref="AE124">IFERROR(MAX(_xlfn._xlws.FILTER(tblSeverityAnalysis[[#This Row],[SAMV]:[ASH]], tblSeverityAnalysis[[#This Row],[SAMV]:[ASH]]&lt;tblSeverityAnalysis[[#This Row],[Severidad máxima]])), "")</f>
        <v>2</v>
      </c>
      <c r="AF124" s="398" t="str" cm="1">
        <f t="array" ref="AF124">IFERROR(IF(tblSeverityAnalysis[[#This Row],[2ª mayor severidad]]="", "", _xlfn.TEXTJOIN(CHAR(10), TRUE, IF(tblSeverityAnalysis[[#This Row],[SAMV]:[ASH]]=tblSeverityAnalysis[[#This Row],[2ª mayor severidad]], tblSeverityAnalysis[[#Headers],[SAMV]:[ASH]], ""), "")), "")</f>
        <v>SAMV
NUT</v>
      </c>
      <c r="AG124" s="405" t="str">
        <f>IFERROR(IF(AND(tblSeverityAnalysis[[#This Row],[5]] &lt;&gt; "", tblSeverityAnalysis[[#This Row],[5]]&gt;=sectors_sev_5), "Flagged", ""), "")</f>
        <v/>
      </c>
      <c r="AH124" s="347" t="str">
        <f>IFERROR(IF(AND(tblSeverityAnalysis[[#This Row],[Severidad preliminar basada en la superposición de privaciones sectoriales]]=5, SUM(tblSeverityAnalysis[[#This Row],[ 1 ]:[ 4 ]])&gt;=sectors_sev_5), "Flagged", ""), "")</f>
        <v/>
      </c>
      <c r="AI124" s="348" t="str" cm="1">
        <f t="array" ref="AI12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2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24" s="350"/>
      <c r="AL124" s="351"/>
      <c r="AM124" s="350"/>
      <c r="AN124" s="407">
        <f>COUNTIF(tblSeverityAnalysis[[#This Row],[1 sectores en fase de severidad 5 '[modificar el umbral']]:[Marcador manual]], "Flagged")</f>
        <v>0</v>
      </c>
      <c r="AO124" s="418">
        <f>tblSeverityAnalysis[[#This Row],[Severidad preliminar basada en la superposición de privaciones sectoriales]]</f>
        <v>3</v>
      </c>
      <c r="AP124" s="417"/>
      <c r="AQ124" s="421" t="s">
        <v>876</v>
      </c>
      <c r="AR124" s="417">
        <v>3</v>
      </c>
    </row>
    <row r="125" spans="1:44" hidden="1">
      <c r="A12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VenezolanosVE1118</v>
      </c>
      <c r="B125" s="363" t="s">
        <v>316</v>
      </c>
      <c r="C125" s="323" t="s">
        <v>317</v>
      </c>
      <c r="D125" s="322" t="s">
        <v>147</v>
      </c>
      <c r="E125" s="323" t="s">
        <v>349</v>
      </c>
      <c r="F125" s="323"/>
      <c r="G125" s="324">
        <v>10628</v>
      </c>
      <c r="H125" s="324" t="s">
        <v>102</v>
      </c>
      <c r="I125" s="374">
        <v>3</v>
      </c>
      <c r="J125" s="237">
        <v>3</v>
      </c>
      <c r="K125" s="237">
        <v>4</v>
      </c>
      <c r="L125" s="237">
        <v>3</v>
      </c>
      <c r="M125" s="237">
        <v>3</v>
      </c>
      <c r="N125" s="237">
        <v>4</v>
      </c>
      <c r="O125" s="237">
        <v>3</v>
      </c>
      <c r="P125" s="237">
        <v>3</v>
      </c>
      <c r="Q125" s="382" t="str">
        <f>IF(COUNTIF(tblSeverityAnalysis[[#This Row],[SAMV]:[ASH]], 1)=0, "", COUNTIF(tblSeverityAnalysis[[#This Row],[SAMV]:[ASH]], 1))</f>
        <v/>
      </c>
      <c r="R125" s="325" t="str">
        <f>IF(COUNTIF(tblSeverityAnalysis[[#This Row],[SAMV]:[ASH]], 2)=0, "", COUNTIF(tblSeverityAnalysis[[#This Row],[SAMV]:[ASH]], 2))</f>
        <v/>
      </c>
      <c r="S125" s="325">
        <f>IF(COUNTIF(tblSeverityAnalysis[[#This Row],[SAMV]:[ASH]], 3)=0, "", COUNTIF(tblSeverityAnalysis[[#This Row],[SAMV]:[ASH]], 3))</f>
        <v>4</v>
      </c>
      <c r="T125" s="325">
        <f>IF(COUNTIF(tblSeverityAnalysis[[#This Row],[SAMV]:[ASH]], 4)=0, "", COUNTIF(tblSeverityAnalysis[[#This Row],[SAMV]:[ASH]], 4))</f>
        <v>2</v>
      </c>
      <c r="U125" s="383" t="str">
        <f>IF(COUNTIF(tblSeverityAnalysis[[#This Row],[SAMV]:[ASH]], 5)=0, "", COUNTIF(tblSeverityAnalysis[[#This Row],[SAMV]:[ASH]], 5))</f>
        <v/>
      </c>
      <c r="V125" s="375" cm="1">
        <f t="array" ref="V12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2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25" s="237" t="str">
        <f>IFERROR(IF(INDEX(tblSeverityReference[Severidad de la desnutrición],MATCH(tblSeverityAnalysis[[#This Row],[ID]], tblSeverityReference[ID], 0))= "", "",INDEX(tblSeverityReference[Severidad de la desnutrición],MATCH(tblSeverityAnalysis[[#This Row],[ID]], tblSeverityReference[ID], 0)) ), "")</f>
        <v/>
      </c>
      <c r="Y125" s="349" t="str">
        <f>IFERROR(IF(INDEX(tblSeverityReference[Severidad epidémica],MATCH(tblSeverityAnalysis[[#This Row],[ID]], tblSeverityReference[ID], 0))= "", "",INDEX(tblSeverityReference[Severidad epidémica],MATCH(tblSeverityAnalysis[[#This Row],[ID]], tblSeverityReference[ID], 0)) ), "")</f>
        <v/>
      </c>
      <c r="Z12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25" s="391" t="str">
        <f>IFERROR(IF(INDEX(tblSeverityReference[HR/IHL Violation],MATCH(tblSeverityAnalysis[[#This Row],[ID]], tblSeverityReference[ID], 0))= "", "",INDEX(tblSeverityReference[HR/IHL Violation],MATCH(tblSeverityAnalysis[[#This Row],[ID]], tblSeverityReference[ID], 0)) ), "")</f>
        <v/>
      </c>
      <c r="AB125" s="397">
        <f>IFERROR(AVERAGE(tblSeverityAnalysis[[#This Row],[SAMV]:[ASH]]), "")</f>
        <v>3.3333333333333335</v>
      </c>
      <c r="AC125" s="346">
        <f>IF(SUM(tblSeverityAnalysis[[#This Row],[SAMV]:[ASH]])=0, "", MAX(tblSeverityAnalysis[[#This Row],[SAMV]:[ASH]]))</f>
        <v>4</v>
      </c>
      <c r="AD125" s="261" t="str" cm="1">
        <f t="array" ref="AD125">IFERROR(IF(tblSeverityAnalysis[[#This Row],[Severidad máxima]]="", "", _xlfn.TEXTJOIN(CHAR(10), TRUE, IF(tblSeverityAnalysis[[#This Row],[SAMV]:[ASH]]=tblSeverityAnalysis[[#This Row],[Severidad máxima]], tblSeverityAnalysis[[#Headers],[SAMV]:[ASH]], ""), "")), "")</f>
        <v>SAL
ASH</v>
      </c>
      <c r="AE125" s="346" cm="1">
        <f t="array" ref="AE125">IFERROR(MAX(_xlfn._xlws.FILTER(tblSeverityAnalysis[[#This Row],[SAMV]:[ASH]], tblSeverityAnalysis[[#This Row],[SAMV]:[ASH]]&lt;tblSeverityAnalysis[[#This Row],[Severidad máxima]])), "")</f>
        <v>3</v>
      </c>
      <c r="AF125" s="398" t="str" cm="1">
        <f t="array" ref="AF125">IFERROR(IF(tblSeverityAnalysis[[#This Row],[2ª mayor severidad]]="", "", _xlfn.TEXTJOIN(CHAR(10), TRUE, IF(tblSeverityAnalysis[[#This Row],[SAMV]:[ASH]]=tblSeverityAnalysis[[#This Row],[2ª mayor severidad]], tblSeverityAnalysis[[#Headers],[SAMV]:[ASH]], ""), "")), "")</f>
        <v>SAMV
NUT
EDU
PRO</v>
      </c>
      <c r="AG125" s="405" t="str">
        <f>IFERROR(IF(AND(tblSeverityAnalysis[[#This Row],[5]] &lt;&gt; "", tblSeverityAnalysis[[#This Row],[5]]&gt;=sectors_sev_5), "Flagged", ""), "")</f>
        <v/>
      </c>
      <c r="AH125" s="347" t="str">
        <f>IFERROR(IF(AND(tblSeverityAnalysis[[#This Row],[Severidad preliminar basada en la superposición de privaciones sectoriales]]=5, SUM(tblSeverityAnalysis[[#This Row],[ 1 ]:[ 4 ]])&gt;=sectors_sev_5), "Flagged", ""), "")</f>
        <v/>
      </c>
      <c r="AI125" s="348" t="str" cm="1">
        <f t="array" ref="AI12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2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25" s="350"/>
      <c r="AL125" s="351"/>
      <c r="AM125" s="350"/>
      <c r="AN125" s="407">
        <f>COUNTIF(tblSeverityAnalysis[[#This Row],[1 sectores en fase de severidad 5 '[modificar el umbral']]:[Marcador manual]], "Flagged")</f>
        <v>0</v>
      </c>
      <c r="AO125" s="418">
        <f>tblSeverityAnalysis[[#This Row],[Severidad preliminar basada en la superposición de privaciones sectoriales]]</f>
        <v>3</v>
      </c>
      <c r="AP125" s="417"/>
      <c r="AQ125" s="421" t="s">
        <v>876</v>
      </c>
      <c r="AR125" s="417">
        <v>4</v>
      </c>
    </row>
    <row r="126" spans="1:44" hidden="1">
      <c r="A12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VenezolanosVE1119</v>
      </c>
      <c r="B126" s="363" t="s">
        <v>316</v>
      </c>
      <c r="C126" s="323" t="s">
        <v>317</v>
      </c>
      <c r="D126" s="322" t="s">
        <v>350</v>
      </c>
      <c r="E126" s="323" t="s">
        <v>351</v>
      </c>
      <c r="F126" s="323"/>
      <c r="G126" s="324">
        <v>11030</v>
      </c>
      <c r="H126" s="324" t="s">
        <v>102</v>
      </c>
      <c r="I126" s="374">
        <v>3</v>
      </c>
      <c r="J126" s="237">
        <v>2</v>
      </c>
      <c r="K126" s="237">
        <v>3</v>
      </c>
      <c r="L126" s="237">
        <v>3</v>
      </c>
      <c r="M126" s="237">
        <v>3</v>
      </c>
      <c r="N126" s="237">
        <v>4</v>
      </c>
      <c r="O126" s="237">
        <v>3</v>
      </c>
      <c r="P126" s="237">
        <v>3</v>
      </c>
      <c r="Q126" s="382" t="str">
        <f>IF(COUNTIF(tblSeverityAnalysis[[#This Row],[SAMV]:[ASH]], 1)=0, "", COUNTIF(tblSeverityAnalysis[[#This Row],[SAMV]:[ASH]], 1))</f>
        <v/>
      </c>
      <c r="R126" s="325">
        <f>IF(COUNTIF(tblSeverityAnalysis[[#This Row],[SAMV]:[ASH]], 2)=0, "", COUNTIF(tblSeverityAnalysis[[#This Row],[SAMV]:[ASH]], 2))</f>
        <v>1</v>
      </c>
      <c r="S126" s="325">
        <f>IF(COUNTIF(tblSeverityAnalysis[[#This Row],[SAMV]:[ASH]], 3)=0, "", COUNTIF(tblSeverityAnalysis[[#This Row],[SAMV]:[ASH]], 3))</f>
        <v>4</v>
      </c>
      <c r="T126" s="325">
        <f>IF(COUNTIF(tblSeverityAnalysis[[#This Row],[SAMV]:[ASH]], 4)=0, "", COUNTIF(tblSeverityAnalysis[[#This Row],[SAMV]:[ASH]], 4))</f>
        <v>1</v>
      </c>
      <c r="U126" s="383" t="str">
        <f>IF(COUNTIF(tblSeverityAnalysis[[#This Row],[SAMV]:[ASH]], 5)=0, "", COUNTIF(tblSeverityAnalysis[[#This Row],[SAMV]:[ASH]], 5))</f>
        <v/>
      </c>
      <c r="V126" s="375" cm="1">
        <f t="array" ref="V12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2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26" s="237" t="str">
        <f>IFERROR(IF(INDEX(tblSeverityReference[Severidad de la desnutrición],MATCH(tblSeverityAnalysis[[#This Row],[ID]], tblSeverityReference[ID], 0))= "", "",INDEX(tblSeverityReference[Severidad de la desnutrición],MATCH(tblSeverityAnalysis[[#This Row],[ID]], tblSeverityReference[ID], 0)) ), "")</f>
        <v/>
      </c>
      <c r="Y126" s="349" t="str">
        <f>IFERROR(IF(INDEX(tblSeverityReference[Severidad epidémica],MATCH(tblSeverityAnalysis[[#This Row],[ID]], tblSeverityReference[ID], 0))= "", "",INDEX(tblSeverityReference[Severidad epidémica],MATCH(tblSeverityAnalysis[[#This Row],[ID]], tblSeverityReference[ID], 0)) ), "")</f>
        <v/>
      </c>
      <c r="Z12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26" s="391" t="str">
        <f>IFERROR(IF(INDEX(tblSeverityReference[HR/IHL Violation],MATCH(tblSeverityAnalysis[[#This Row],[ID]], tblSeverityReference[ID], 0))= "", "",INDEX(tblSeverityReference[HR/IHL Violation],MATCH(tblSeverityAnalysis[[#This Row],[ID]], tblSeverityReference[ID], 0)) ), "")</f>
        <v/>
      </c>
      <c r="AB126" s="397">
        <f>IFERROR(AVERAGE(tblSeverityAnalysis[[#This Row],[SAMV]:[ASH]]), "")</f>
        <v>3</v>
      </c>
      <c r="AC126" s="346">
        <f>IF(SUM(tblSeverityAnalysis[[#This Row],[SAMV]:[ASH]])=0, "", MAX(tblSeverityAnalysis[[#This Row],[SAMV]:[ASH]]))</f>
        <v>4</v>
      </c>
      <c r="AD126" s="261" t="str" cm="1">
        <f t="array" ref="AD126">IFERROR(IF(tblSeverityAnalysis[[#This Row],[Severidad máxima]]="", "", _xlfn.TEXTJOIN(CHAR(10), TRUE, IF(tblSeverityAnalysis[[#This Row],[SAMV]:[ASH]]=tblSeverityAnalysis[[#This Row],[Severidad máxima]], tblSeverityAnalysis[[#Headers],[SAMV]:[ASH]], ""), "")), "")</f>
        <v>ASH</v>
      </c>
      <c r="AE126" s="346" cm="1">
        <f t="array" ref="AE126">IFERROR(MAX(_xlfn._xlws.FILTER(tblSeverityAnalysis[[#This Row],[SAMV]:[ASH]], tblSeverityAnalysis[[#This Row],[SAMV]:[ASH]]&lt;tblSeverityAnalysis[[#This Row],[Severidad máxima]])), "")</f>
        <v>3</v>
      </c>
      <c r="AF126" s="398" t="str" cm="1">
        <f t="array" ref="AF126">IFERROR(IF(tblSeverityAnalysis[[#This Row],[2ª mayor severidad]]="", "", _xlfn.TEXTJOIN(CHAR(10), TRUE, IF(tblSeverityAnalysis[[#This Row],[SAMV]:[ASH]]=tblSeverityAnalysis[[#This Row],[2ª mayor severidad]], tblSeverityAnalysis[[#Headers],[SAMV]:[ASH]], ""), "")), "")</f>
        <v>SAMV
SAL
EDU
PRO</v>
      </c>
      <c r="AG126" s="405" t="str">
        <f>IFERROR(IF(AND(tblSeverityAnalysis[[#This Row],[5]] &lt;&gt; "", tblSeverityAnalysis[[#This Row],[5]]&gt;=sectors_sev_5), "Flagged", ""), "")</f>
        <v/>
      </c>
      <c r="AH126" s="347" t="str">
        <f>IFERROR(IF(AND(tblSeverityAnalysis[[#This Row],[Severidad preliminar basada en la superposición de privaciones sectoriales]]=5, SUM(tblSeverityAnalysis[[#This Row],[ 1 ]:[ 4 ]])&gt;=sectors_sev_5), "Flagged", ""), "")</f>
        <v/>
      </c>
      <c r="AI126" s="348" t="str" cm="1">
        <f t="array" ref="AI12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2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26" s="350"/>
      <c r="AL126" s="351"/>
      <c r="AM126" s="350"/>
      <c r="AN126" s="407">
        <f>COUNTIF(tblSeverityAnalysis[[#This Row],[1 sectores en fase de severidad 5 '[modificar el umbral']]:[Marcador manual]], "Flagged")</f>
        <v>0</v>
      </c>
      <c r="AO126" s="418">
        <f>tblSeverityAnalysis[[#This Row],[Severidad preliminar basada en la superposición de privaciones sectoriales]]</f>
        <v>3</v>
      </c>
      <c r="AP126" s="417"/>
      <c r="AQ126" s="421" t="s">
        <v>876</v>
      </c>
      <c r="AR126" s="417">
        <v>4</v>
      </c>
    </row>
    <row r="127" spans="1:44" hidden="1">
      <c r="A12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VenezolanosVE1120</v>
      </c>
      <c r="B127" s="363" t="s">
        <v>316</v>
      </c>
      <c r="C127" s="323" t="s">
        <v>317</v>
      </c>
      <c r="D127" s="322" t="s">
        <v>352</v>
      </c>
      <c r="E127" s="323" t="s">
        <v>353</v>
      </c>
      <c r="F127" s="323"/>
      <c r="G127" s="324">
        <v>32193</v>
      </c>
      <c r="H127" s="324" t="s">
        <v>102</v>
      </c>
      <c r="I127" s="374">
        <v>3</v>
      </c>
      <c r="J127" s="237">
        <v>2</v>
      </c>
      <c r="K127" s="237">
        <v>3</v>
      </c>
      <c r="L127" s="237">
        <v>3</v>
      </c>
      <c r="M127" s="237">
        <v>3</v>
      </c>
      <c r="N127" s="237">
        <v>2</v>
      </c>
      <c r="O127" s="237">
        <v>3</v>
      </c>
      <c r="P127" s="237">
        <v>3</v>
      </c>
      <c r="Q127" s="382" t="str">
        <f>IF(COUNTIF(tblSeverityAnalysis[[#This Row],[SAMV]:[ASH]], 1)=0, "", COUNTIF(tblSeverityAnalysis[[#This Row],[SAMV]:[ASH]], 1))</f>
        <v/>
      </c>
      <c r="R127" s="325">
        <f>IF(COUNTIF(tblSeverityAnalysis[[#This Row],[SAMV]:[ASH]], 2)=0, "", COUNTIF(tblSeverityAnalysis[[#This Row],[SAMV]:[ASH]], 2))</f>
        <v>2</v>
      </c>
      <c r="S127" s="325">
        <f>IF(COUNTIF(tblSeverityAnalysis[[#This Row],[SAMV]:[ASH]], 3)=0, "", COUNTIF(tblSeverityAnalysis[[#This Row],[SAMV]:[ASH]], 3))</f>
        <v>4</v>
      </c>
      <c r="T127" s="325" t="str">
        <f>IF(COUNTIF(tblSeverityAnalysis[[#This Row],[SAMV]:[ASH]], 4)=0, "", COUNTIF(tblSeverityAnalysis[[#This Row],[SAMV]:[ASH]], 4))</f>
        <v/>
      </c>
      <c r="U127" s="383" t="str">
        <f>IF(COUNTIF(tblSeverityAnalysis[[#This Row],[SAMV]:[ASH]], 5)=0, "", COUNTIF(tblSeverityAnalysis[[#This Row],[SAMV]:[ASH]], 5))</f>
        <v/>
      </c>
      <c r="V127" s="375" cm="1">
        <f t="array" ref="V12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2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27" s="237" t="str">
        <f>IFERROR(IF(INDEX(tblSeverityReference[Severidad de la desnutrición],MATCH(tblSeverityAnalysis[[#This Row],[ID]], tblSeverityReference[ID], 0))= "", "",INDEX(tblSeverityReference[Severidad de la desnutrición],MATCH(tblSeverityAnalysis[[#This Row],[ID]], tblSeverityReference[ID], 0)) ), "")</f>
        <v/>
      </c>
      <c r="Y127" s="349" t="str">
        <f>IFERROR(IF(INDEX(tblSeverityReference[Severidad epidémica],MATCH(tblSeverityAnalysis[[#This Row],[ID]], tblSeverityReference[ID], 0))= "", "",INDEX(tblSeverityReference[Severidad epidémica],MATCH(tblSeverityAnalysis[[#This Row],[ID]], tblSeverityReference[ID], 0)) ), "")</f>
        <v/>
      </c>
      <c r="Z12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27" s="391" t="str">
        <f>IFERROR(IF(INDEX(tblSeverityReference[HR/IHL Violation],MATCH(tblSeverityAnalysis[[#This Row],[ID]], tblSeverityReference[ID], 0))= "", "",INDEX(tblSeverityReference[HR/IHL Violation],MATCH(tblSeverityAnalysis[[#This Row],[ID]], tblSeverityReference[ID], 0)) ), "")</f>
        <v/>
      </c>
      <c r="AB127" s="397">
        <f>IFERROR(AVERAGE(tblSeverityAnalysis[[#This Row],[SAMV]:[ASH]]), "")</f>
        <v>2.6666666666666665</v>
      </c>
      <c r="AC127" s="346">
        <f>IF(SUM(tblSeverityAnalysis[[#This Row],[SAMV]:[ASH]])=0, "", MAX(tblSeverityAnalysis[[#This Row],[SAMV]:[ASH]]))</f>
        <v>3</v>
      </c>
      <c r="AD127" s="261" t="str" cm="1">
        <f t="array" ref="AD127">IFERROR(IF(tblSeverityAnalysis[[#This Row],[Severidad máxima]]="", "", _xlfn.TEXTJOIN(CHAR(10), TRUE, IF(tblSeverityAnalysis[[#This Row],[SAMV]:[ASH]]=tblSeverityAnalysis[[#This Row],[Severidad máxima]], tblSeverityAnalysis[[#Headers],[SAMV]:[ASH]], ""), "")), "")</f>
        <v>SAMV
SAL
EDU
PRO</v>
      </c>
      <c r="AE127" s="346" cm="1">
        <f t="array" ref="AE127">IFERROR(MAX(_xlfn._xlws.FILTER(tblSeverityAnalysis[[#This Row],[SAMV]:[ASH]], tblSeverityAnalysis[[#This Row],[SAMV]:[ASH]]&lt;tblSeverityAnalysis[[#This Row],[Severidad máxima]])), "")</f>
        <v>2</v>
      </c>
      <c r="AF127" s="398" t="str" cm="1">
        <f t="array" ref="AF127">IFERROR(IF(tblSeverityAnalysis[[#This Row],[2ª mayor severidad]]="", "", _xlfn.TEXTJOIN(CHAR(10), TRUE, IF(tblSeverityAnalysis[[#This Row],[SAMV]:[ASH]]=tblSeverityAnalysis[[#This Row],[2ª mayor severidad]], tblSeverityAnalysis[[#Headers],[SAMV]:[ASH]], ""), "")), "")</f>
        <v>NUT
ASH</v>
      </c>
      <c r="AG127" s="405" t="str">
        <f>IFERROR(IF(AND(tblSeverityAnalysis[[#This Row],[5]] &lt;&gt; "", tblSeverityAnalysis[[#This Row],[5]]&gt;=sectors_sev_5), "Flagged", ""), "")</f>
        <v/>
      </c>
      <c r="AH127" s="347" t="str">
        <f>IFERROR(IF(AND(tblSeverityAnalysis[[#This Row],[Severidad preliminar basada en la superposición de privaciones sectoriales]]=5, SUM(tblSeverityAnalysis[[#This Row],[ 1 ]:[ 4 ]])&gt;=sectors_sev_5), "Flagged", ""), "")</f>
        <v/>
      </c>
      <c r="AI127" s="348" t="str" cm="1">
        <f t="array" ref="AI12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2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27" s="350"/>
      <c r="AL127" s="351"/>
      <c r="AM127" s="350"/>
      <c r="AN127" s="407">
        <f>COUNTIF(tblSeverityAnalysis[[#This Row],[1 sectores en fase de severidad 5 '[modificar el umbral']]:[Marcador manual]], "Flagged")</f>
        <v>0</v>
      </c>
      <c r="AO127" s="418">
        <f>tblSeverityAnalysis[[#This Row],[Severidad preliminar basada en la superposición de privaciones sectoriales]]</f>
        <v>3</v>
      </c>
      <c r="AP127" s="417"/>
      <c r="AQ127" s="421" t="s">
        <v>876</v>
      </c>
      <c r="AR127" s="417">
        <v>3</v>
      </c>
    </row>
    <row r="128" spans="1:44" hidden="1">
      <c r="A12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VenezolanosVE1121</v>
      </c>
      <c r="B128" s="363" t="s">
        <v>316</v>
      </c>
      <c r="C128" s="323" t="s">
        <v>317</v>
      </c>
      <c r="D128" s="322" t="s">
        <v>203</v>
      </c>
      <c r="E128" s="323" t="s">
        <v>354</v>
      </c>
      <c r="F128" s="323"/>
      <c r="G128" s="324">
        <v>5781</v>
      </c>
      <c r="H128" s="324" t="s">
        <v>102</v>
      </c>
      <c r="I128" s="374">
        <v>4</v>
      </c>
      <c r="J128" s="237">
        <v>2</v>
      </c>
      <c r="K128" s="237">
        <v>3</v>
      </c>
      <c r="L128" s="237">
        <v>3</v>
      </c>
      <c r="M128" s="237">
        <v>4</v>
      </c>
      <c r="N128" s="237">
        <v>4</v>
      </c>
      <c r="O128" s="237">
        <v>4</v>
      </c>
      <c r="P128" s="237">
        <v>4</v>
      </c>
      <c r="Q128" s="382" t="str">
        <f>IF(COUNTIF(tblSeverityAnalysis[[#This Row],[SAMV]:[ASH]], 1)=0, "", COUNTIF(tblSeverityAnalysis[[#This Row],[SAMV]:[ASH]], 1))</f>
        <v/>
      </c>
      <c r="R128" s="325">
        <f>IF(COUNTIF(tblSeverityAnalysis[[#This Row],[SAMV]:[ASH]], 2)=0, "", COUNTIF(tblSeverityAnalysis[[#This Row],[SAMV]:[ASH]], 2))</f>
        <v>1</v>
      </c>
      <c r="S128" s="325">
        <f>IF(COUNTIF(tblSeverityAnalysis[[#This Row],[SAMV]:[ASH]], 3)=0, "", COUNTIF(tblSeverityAnalysis[[#This Row],[SAMV]:[ASH]], 3))</f>
        <v>2</v>
      </c>
      <c r="T128" s="325">
        <f>IF(COUNTIF(tblSeverityAnalysis[[#This Row],[SAMV]:[ASH]], 4)=0, "", COUNTIF(tblSeverityAnalysis[[#This Row],[SAMV]:[ASH]], 4))</f>
        <v>3</v>
      </c>
      <c r="U128" s="383" t="str">
        <f>IF(COUNTIF(tblSeverityAnalysis[[#This Row],[SAMV]:[ASH]], 5)=0, "", COUNTIF(tblSeverityAnalysis[[#This Row],[SAMV]:[ASH]], 5))</f>
        <v/>
      </c>
      <c r="V128" s="375" cm="1">
        <f t="array" ref="V12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2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28" s="237" t="str">
        <f>IFERROR(IF(INDEX(tblSeverityReference[Severidad de la desnutrición],MATCH(tblSeverityAnalysis[[#This Row],[ID]], tblSeverityReference[ID], 0))= "", "",INDEX(tblSeverityReference[Severidad de la desnutrición],MATCH(tblSeverityAnalysis[[#This Row],[ID]], tblSeverityReference[ID], 0)) ), "")</f>
        <v/>
      </c>
      <c r="Y128" s="349" t="str">
        <f>IFERROR(IF(INDEX(tblSeverityReference[Severidad epidémica],MATCH(tblSeverityAnalysis[[#This Row],[ID]], tblSeverityReference[ID], 0))= "", "",INDEX(tblSeverityReference[Severidad epidémica],MATCH(tblSeverityAnalysis[[#This Row],[ID]], tblSeverityReference[ID], 0)) ), "")</f>
        <v/>
      </c>
      <c r="Z12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28" s="391" t="str">
        <f>IFERROR(IF(INDEX(tblSeverityReference[HR/IHL Violation],MATCH(tblSeverityAnalysis[[#This Row],[ID]], tblSeverityReference[ID], 0))= "", "",INDEX(tblSeverityReference[HR/IHL Violation],MATCH(tblSeverityAnalysis[[#This Row],[ID]], tblSeverityReference[ID], 0)) ), "")</f>
        <v/>
      </c>
      <c r="AB128" s="397">
        <f>IFERROR(AVERAGE(tblSeverityAnalysis[[#This Row],[SAMV]:[ASH]]), "")</f>
        <v>3.3333333333333335</v>
      </c>
      <c r="AC128" s="346">
        <f>IF(SUM(tblSeverityAnalysis[[#This Row],[SAMV]:[ASH]])=0, "", MAX(tblSeverityAnalysis[[#This Row],[SAMV]:[ASH]]))</f>
        <v>4</v>
      </c>
      <c r="AD128" s="261" t="str" cm="1">
        <f t="array" ref="AD128">IFERROR(IF(tblSeverityAnalysis[[#This Row],[Severidad máxima]]="", "", _xlfn.TEXTJOIN(CHAR(10), TRUE, IF(tblSeverityAnalysis[[#This Row],[SAMV]:[ASH]]=tblSeverityAnalysis[[#This Row],[Severidad máxima]], tblSeverityAnalysis[[#Headers],[SAMV]:[ASH]], ""), "")), "")</f>
        <v>SAMV
PRO
ASH</v>
      </c>
      <c r="AE128" s="346" cm="1">
        <f t="array" ref="AE128">IFERROR(MAX(_xlfn._xlws.FILTER(tblSeverityAnalysis[[#This Row],[SAMV]:[ASH]], tblSeverityAnalysis[[#This Row],[SAMV]:[ASH]]&lt;tblSeverityAnalysis[[#This Row],[Severidad máxima]])), "")</f>
        <v>3</v>
      </c>
      <c r="AF128" s="398" t="str" cm="1">
        <f t="array" ref="AF128">IFERROR(IF(tblSeverityAnalysis[[#This Row],[2ª mayor severidad]]="", "", _xlfn.TEXTJOIN(CHAR(10), TRUE, IF(tblSeverityAnalysis[[#This Row],[SAMV]:[ASH]]=tblSeverityAnalysis[[#This Row],[2ª mayor severidad]], tblSeverityAnalysis[[#Headers],[SAMV]:[ASH]], ""), "")), "")</f>
        <v>SAL
EDU</v>
      </c>
      <c r="AG128" s="405" t="str">
        <f>IFERROR(IF(AND(tblSeverityAnalysis[[#This Row],[5]] &lt;&gt; "", tblSeverityAnalysis[[#This Row],[5]]&gt;=sectors_sev_5), "Flagged", ""), "")</f>
        <v/>
      </c>
      <c r="AH128" s="347" t="str">
        <f>IFERROR(IF(AND(tblSeverityAnalysis[[#This Row],[Severidad preliminar basada en la superposición de privaciones sectoriales]]=5, SUM(tblSeverityAnalysis[[#This Row],[ 1 ]:[ 4 ]])&gt;=sectors_sev_5), "Flagged", ""), "")</f>
        <v/>
      </c>
      <c r="AI128" s="348" t="str" cm="1">
        <f t="array" ref="AI12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2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28" s="350"/>
      <c r="AL128" s="351"/>
      <c r="AM128" s="350"/>
      <c r="AN128" s="407">
        <f>COUNTIF(tblSeverityAnalysis[[#This Row],[1 sectores en fase de severidad 5 '[modificar el umbral']]:[Marcador manual]], "Flagged")</f>
        <v>0</v>
      </c>
      <c r="AO128" s="418">
        <f>tblSeverityAnalysis[[#This Row],[Severidad preliminar basada en la superposición de privaciones sectoriales]]</f>
        <v>3</v>
      </c>
      <c r="AP128" s="417"/>
      <c r="AQ128" s="421" t="s">
        <v>876</v>
      </c>
      <c r="AR128" s="417">
        <v>3</v>
      </c>
    </row>
    <row r="129" spans="1:44" hidden="1">
      <c r="A12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VenezolanosVE1122</v>
      </c>
      <c r="B129" s="363" t="s">
        <v>316</v>
      </c>
      <c r="C129" s="323" t="s">
        <v>317</v>
      </c>
      <c r="D129" s="322" t="s">
        <v>355</v>
      </c>
      <c r="E129" s="323" t="s">
        <v>356</v>
      </c>
      <c r="F129" s="323"/>
      <c r="G129" s="324">
        <v>5519</v>
      </c>
      <c r="H129" s="324" t="s">
        <v>102</v>
      </c>
      <c r="I129" s="374">
        <v>3</v>
      </c>
      <c r="J129" s="237">
        <v>2</v>
      </c>
      <c r="K129" s="237">
        <v>3</v>
      </c>
      <c r="L129" s="237">
        <v>2</v>
      </c>
      <c r="M129" s="237">
        <v>3</v>
      </c>
      <c r="N129" s="237">
        <v>4</v>
      </c>
      <c r="O129" s="237">
        <v>3</v>
      </c>
      <c r="P129" s="237">
        <v>3</v>
      </c>
      <c r="Q129" s="382" t="str">
        <f>IF(COUNTIF(tblSeverityAnalysis[[#This Row],[SAMV]:[ASH]], 1)=0, "", COUNTIF(tblSeverityAnalysis[[#This Row],[SAMV]:[ASH]], 1))</f>
        <v/>
      </c>
      <c r="R129" s="325">
        <f>IF(COUNTIF(tblSeverityAnalysis[[#This Row],[SAMV]:[ASH]], 2)=0, "", COUNTIF(tblSeverityAnalysis[[#This Row],[SAMV]:[ASH]], 2))</f>
        <v>2</v>
      </c>
      <c r="S129" s="325">
        <f>IF(COUNTIF(tblSeverityAnalysis[[#This Row],[SAMV]:[ASH]], 3)=0, "", COUNTIF(tblSeverityAnalysis[[#This Row],[SAMV]:[ASH]], 3))</f>
        <v>3</v>
      </c>
      <c r="T129" s="325">
        <f>IF(COUNTIF(tblSeverityAnalysis[[#This Row],[SAMV]:[ASH]], 4)=0, "", COUNTIF(tblSeverityAnalysis[[#This Row],[SAMV]:[ASH]], 4))</f>
        <v>1</v>
      </c>
      <c r="U129" s="383" t="str">
        <f>IF(COUNTIF(tblSeverityAnalysis[[#This Row],[SAMV]:[ASH]], 5)=0, "", COUNTIF(tblSeverityAnalysis[[#This Row],[SAMV]:[ASH]], 5))</f>
        <v/>
      </c>
      <c r="V129" s="375" cm="1">
        <f t="array" ref="V12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2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29" s="237" t="str">
        <f>IFERROR(IF(INDEX(tblSeverityReference[Severidad de la desnutrición],MATCH(tblSeverityAnalysis[[#This Row],[ID]], tblSeverityReference[ID], 0))= "", "",INDEX(tblSeverityReference[Severidad de la desnutrición],MATCH(tblSeverityAnalysis[[#This Row],[ID]], tblSeverityReference[ID], 0)) ), "")</f>
        <v/>
      </c>
      <c r="Y129" s="349" t="str">
        <f>IFERROR(IF(INDEX(tblSeverityReference[Severidad epidémica],MATCH(tblSeverityAnalysis[[#This Row],[ID]], tblSeverityReference[ID], 0))= "", "",INDEX(tblSeverityReference[Severidad epidémica],MATCH(tblSeverityAnalysis[[#This Row],[ID]], tblSeverityReference[ID], 0)) ), "")</f>
        <v/>
      </c>
      <c r="Z12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29" s="391" t="str">
        <f>IFERROR(IF(INDEX(tblSeverityReference[HR/IHL Violation],MATCH(tblSeverityAnalysis[[#This Row],[ID]], tblSeverityReference[ID], 0))= "", "",INDEX(tblSeverityReference[HR/IHL Violation],MATCH(tblSeverityAnalysis[[#This Row],[ID]], tblSeverityReference[ID], 0)) ), "")</f>
        <v/>
      </c>
      <c r="AB129" s="397">
        <f>IFERROR(AVERAGE(tblSeverityAnalysis[[#This Row],[SAMV]:[ASH]]), "")</f>
        <v>2.8333333333333335</v>
      </c>
      <c r="AC129" s="346">
        <f>IF(SUM(tblSeverityAnalysis[[#This Row],[SAMV]:[ASH]])=0, "", MAX(tblSeverityAnalysis[[#This Row],[SAMV]:[ASH]]))</f>
        <v>4</v>
      </c>
      <c r="AD129" s="261" t="str" cm="1">
        <f t="array" ref="AD129">IFERROR(IF(tblSeverityAnalysis[[#This Row],[Severidad máxima]]="", "", _xlfn.TEXTJOIN(CHAR(10), TRUE, IF(tblSeverityAnalysis[[#This Row],[SAMV]:[ASH]]=tblSeverityAnalysis[[#This Row],[Severidad máxima]], tblSeverityAnalysis[[#Headers],[SAMV]:[ASH]], ""), "")), "")</f>
        <v>ASH</v>
      </c>
      <c r="AE129" s="346" cm="1">
        <f t="array" ref="AE129">IFERROR(MAX(_xlfn._xlws.FILTER(tblSeverityAnalysis[[#This Row],[SAMV]:[ASH]], tblSeverityAnalysis[[#This Row],[SAMV]:[ASH]]&lt;tblSeverityAnalysis[[#This Row],[Severidad máxima]])), "")</f>
        <v>3</v>
      </c>
      <c r="AF129" s="398" t="str" cm="1">
        <f t="array" ref="AF129">IFERROR(IF(tblSeverityAnalysis[[#This Row],[2ª mayor severidad]]="", "", _xlfn.TEXTJOIN(CHAR(10), TRUE, IF(tblSeverityAnalysis[[#This Row],[SAMV]:[ASH]]=tblSeverityAnalysis[[#This Row],[2ª mayor severidad]], tblSeverityAnalysis[[#Headers],[SAMV]:[ASH]], ""), "")), "")</f>
        <v>SAMV
SAL
PRO</v>
      </c>
      <c r="AG129" s="405" t="str">
        <f>IFERROR(IF(AND(tblSeverityAnalysis[[#This Row],[5]] &lt;&gt; "", tblSeverityAnalysis[[#This Row],[5]]&gt;=sectors_sev_5), "Flagged", ""), "")</f>
        <v/>
      </c>
      <c r="AH129" s="347" t="str">
        <f>IFERROR(IF(AND(tblSeverityAnalysis[[#This Row],[Severidad preliminar basada en la superposición de privaciones sectoriales]]=5, SUM(tblSeverityAnalysis[[#This Row],[ 1 ]:[ 4 ]])&gt;=sectors_sev_5), "Flagged", ""), "")</f>
        <v/>
      </c>
      <c r="AI129" s="348" t="str" cm="1">
        <f t="array" ref="AI12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2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29" s="350"/>
      <c r="AL129" s="351"/>
      <c r="AM129" s="350"/>
      <c r="AN129" s="407">
        <f>COUNTIF(tblSeverityAnalysis[[#This Row],[1 sectores en fase de severidad 5 '[modificar el umbral']]:[Marcador manual]], "Flagged")</f>
        <v>0</v>
      </c>
      <c r="AO129" s="418">
        <f>tblSeverityAnalysis[[#This Row],[Severidad preliminar basada en la superposición de privaciones sectoriales]]</f>
        <v>3</v>
      </c>
      <c r="AP129" s="417"/>
      <c r="AQ129" s="421" t="s">
        <v>876</v>
      </c>
      <c r="AR129" s="417">
        <v>3</v>
      </c>
    </row>
    <row r="130" spans="1:44" hidden="1">
      <c r="A13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VenezolanosVE1123</v>
      </c>
      <c r="B130" s="363" t="s">
        <v>316</v>
      </c>
      <c r="C130" s="323" t="s">
        <v>317</v>
      </c>
      <c r="D130" s="322" t="s">
        <v>357</v>
      </c>
      <c r="E130" s="323" t="s">
        <v>358</v>
      </c>
      <c r="F130" s="323"/>
      <c r="G130" s="324">
        <v>15660</v>
      </c>
      <c r="H130" s="324" t="s">
        <v>102</v>
      </c>
      <c r="I130" s="374">
        <v>2</v>
      </c>
      <c r="J130" s="237">
        <v>2</v>
      </c>
      <c r="K130" s="237">
        <v>3</v>
      </c>
      <c r="L130" s="237">
        <v>3</v>
      </c>
      <c r="M130" s="237">
        <v>4</v>
      </c>
      <c r="N130" s="237">
        <v>4</v>
      </c>
      <c r="O130" s="237">
        <v>4</v>
      </c>
      <c r="P130" s="237">
        <v>4</v>
      </c>
      <c r="Q130" s="382" t="str">
        <f>IF(COUNTIF(tblSeverityAnalysis[[#This Row],[SAMV]:[ASH]], 1)=0, "", COUNTIF(tblSeverityAnalysis[[#This Row],[SAMV]:[ASH]], 1))</f>
        <v/>
      </c>
      <c r="R130" s="325">
        <f>IF(COUNTIF(tblSeverityAnalysis[[#This Row],[SAMV]:[ASH]], 2)=0, "", COUNTIF(tblSeverityAnalysis[[#This Row],[SAMV]:[ASH]], 2))</f>
        <v>2</v>
      </c>
      <c r="S130" s="325">
        <f>IF(COUNTIF(tblSeverityAnalysis[[#This Row],[SAMV]:[ASH]], 3)=0, "", COUNTIF(tblSeverityAnalysis[[#This Row],[SAMV]:[ASH]], 3))</f>
        <v>2</v>
      </c>
      <c r="T130" s="325">
        <f>IF(COUNTIF(tblSeverityAnalysis[[#This Row],[SAMV]:[ASH]], 4)=0, "", COUNTIF(tblSeverityAnalysis[[#This Row],[SAMV]:[ASH]], 4))</f>
        <v>2</v>
      </c>
      <c r="U130" s="383" t="str">
        <f>IF(COUNTIF(tblSeverityAnalysis[[#This Row],[SAMV]:[ASH]], 5)=0, "", COUNTIF(tblSeverityAnalysis[[#This Row],[SAMV]:[ASH]], 5))</f>
        <v/>
      </c>
      <c r="V130" s="375" cm="1">
        <f t="array" ref="V13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3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30" s="237" t="str">
        <f>IFERROR(IF(INDEX(tblSeverityReference[Severidad de la desnutrición],MATCH(tblSeverityAnalysis[[#This Row],[ID]], tblSeverityReference[ID], 0))= "", "",INDEX(tblSeverityReference[Severidad de la desnutrición],MATCH(tblSeverityAnalysis[[#This Row],[ID]], tblSeverityReference[ID], 0)) ), "")</f>
        <v/>
      </c>
      <c r="Y130" s="349" t="str">
        <f>IFERROR(IF(INDEX(tblSeverityReference[Severidad epidémica],MATCH(tblSeverityAnalysis[[#This Row],[ID]], tblSeverityReference[ID], 0))= "", "",INDEX(tblSeverityReference[Severidad epidémica],MATCH(tblSeverityAnalysis[[#This Row],[ID]], tblSeverityReference[ID], 0)) ), "")</f>
        <v/>
      </c>
      <c r="Z13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30" s="391" t="str">
        <f>IFERROR(IF(INDEX(tblSeverityReference[HR/IHL Violation],MATCH(tblSeverityAnalysis[[#This Row],[ID]], tblSeverityReference[ID], 0))= "", "",INDEX(tblSeverityReference[HR/IHL Violation],MATCH(tblSeverityAnalysis[[#This Row],[ID]], tblSeverityReference[ID], 0)) ), "")</f>
        <v/>
      </c>
      <c r="AB130" s="397">
        <f>IFERROR(AVERAGE(tblSeverityAnalysis[[#This Row],[SAMV]:[ASH]]), "")</f>
        <v>3</v>
      </c>
      <c r="AC130" s="346">
        <f>IF(SUM(tblSeverityAnalysis[[#This Row],[SAMV]:[ASH]])=0, "", MAX(tblSeverityAnalysis[[#This Row],[SAMV]:[ASH]]))</f>
        <v>4</v>
      </c>
      <c r="AD130" s="261" t="str" cm="1">
        <f t="array" ref="AD130">IFERROR(IF(tblSeverityAnalysis[[#This Row],[Severidad máxima]]="", "", _xlfn.TEXTJOIN(CHAR(10), TRUE, IF(tblSeverityAnalysis[[#This Row],[SAMV]:[ASH]]=tblSeverityAnalysis[[#This Row],[Severidad máxima]], tblSeverityAnalysis[[#Headers],[SAMV]:[ASH]], ""), "")), "")</f>
        <v>PRO
ASH</v>
      </c>
      <c r="AE130" s="346" cm="1">
        <f t="array" ref="AE130">IFERROR(MAX(_xlfn._xlws.FILTER(tblSeverityAnalysis[[#This Row],[SAMV]:[ASH]], tblSeverityAnalysis[[#This Row],[SAMV]:[ASH]]&lt;tblSeverityAnalysis[[#This Row],[Severidad máxima]])), "")</f>
        <v>3</v>
      </c>
      <c r="AF130" s="398" t="str" cm="1">
        <f t="array" ref="AF130">IFERROR(IF(tblSeverityAnalysis[[#This Row],[2ª mayor severidad]]="", "", _xlfn.TEXTJOIN(CHAR(10), TRUE, IF(tblSeverityAnalysis[[#This Row],[SAMV]:[ASH]]=tblSeverityAnalysis[[#This Row],[2ª mayor severidad]], tblSeverityAnalysis[[#Headers],[SAMV]:[ASH]], ""), "")), "")</f>
        <v>SAL
EDU</v>
      </c>
      <c r="AG130" s="405" t="str">
        <f>IFERROR(IF(AND(tblSeverityAnalysis[[#This Row],[5]] &lt;&gt; "", tblSeverityAnalysis[[#This Row],[5]]&gt;=sectors_sev_5), "Flagged", ""), "")</f>
        <v/>
      </c>
      <c r="AH130" s="347" t="str">
        <f>IFERROR(IF(AND(tblSeverityAnalysis[[#This Row],[Severidad preliminar basada en la superposición de privaciones sectoriales]]=5, SUM(tblSeverityAnalysis[[#This Row],[ 1 ]:[ 4 ]])&gt;=sectors_sev_5), "Flagged", ""), "")</f>
        <v/>
      </c>
      <c r="AI130" s="348" t="str" cm="1">
        <f t="array" ref="AI13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3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30" s="350"/>
      <c r="AL130" s="351"/>
      <c r="AM130" s="350"/>
      <c r="AN130" s="407">
        <f>COUNTIF(tblSeverityAnalysis[[#This Row],[1 sectores en fase de severidad 5 '[modificar el umbral']]:[Marcador manual]], "Flagged")</f>
        <v>0</v>
      </c>
      <c r="AO130" s="418">
        <f>tblSeverityAnalysis[[#This Row],[Severidad preliminar basada en la superposición de privaciones sectoriales]]</f>
        <v>3</v>
      </c>
      <c r="AP130" s="417"/>
      <c r="AQ130" s="421" t="s">
        <v>876</v>
      </c>
      <c r="AR130" s="417">
        <v>4</v>
      </c>
    </row>
    <row r="131" spans="1:44" hidden="1">
      <c r="A13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VenezolanosVE1124</v>
      </c>
      <c r="B131" s="363" t="s">
        <v>316</v>
      </c>
      <c r="C131" s="323" t="s">
        <v>317</v>
      </c>
      <c r="D131" s="322" t="s">
        <v>359</v>
      </c>
      <c r="E131" s="323" t="s">
        <v>360</v>
      </c>
      <c r="F131" s="323"/>
      <c r="G131" s="324">
        <v>8349</v>
      </c>
      <c r="H131" s="324" t="s">
        <v>102</v>
      </c>
      <c r="I131" s="374">
        <v>4</v>
      </c>
      <c r="J131" s="237">
        <v>2</v>
      </c>
      <c r="K131" s="237">
        <v>4</v>
      </c>
      <c r="L131" s="237">
        <v>4</v>
      </c>
      <c r="M131" s="237">
        <v>3</v>
      </c>
      <c r="N131" s="237">
        <v>3</v>
      </c>
      <c r="O131" s="237">
        <v>3</v>
      </c>
      <c r="P131" s="237">
        <v>3</v>
      </c>
      <c r="Q131" s="382" t="str">
        <f>IF(COUNTIF(tblSeverityAnalysis[[#This Row],[SAMV]:[ASH]], 1)=0, "", COUNTIF(tblSeverityAnalysis[[#This Row],[SAMV]:[ASH]], 1))</f>
        <v/>
      </c>
      <c r="R131" s="325">
        <f>IF(COUNTIF(tblSeverityAnalysis[[#This Row],[SAMV]:[ASH]], 2)=0, "", COUNTIF(tblSeverityAnalysis[[#This Row],[SAMV]:[ASH]], 2))</f>
        <v>1</v>
      </c>
      <c r="S131" s="325">
        <f>IF(COUNTIF(tblSeverityAnalysis[[#This Row],[SAMV]:[ASH]], 3)=0, "", COUNTIF(tblSeverityAnalysis[[#This Row],[SAMV]:[ASH]], 3))</f>
        <v>2</v>
      </c>
      <c r="T131" s="325">
        <f>IF(COUNTIF(tblSeverityAnalysis[[#This Row],[SAMV]:[ASH]], 4)=0, "", COUNTIF(tblSeverityAnalysis[[#This Row],[SAMV]:[ASH]], 4))</f>
        <v>3</v>
      </c>
      <c r="U131" s="383" t="str">
        <f>IF(COUNTIF(tblSeverityAnalysis[[#This Row],[SAMV]:[ASH]], 5)=0, "", COUNTIF(tblSeverityAnalysis[[#This Row],[SAMV]:[ASH]], 5))</f>
        <v/>
      </c>
      <c r="V131" s="375" cm="1">
        <f t="array" ref="V13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3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31" s="237" t="str">
        <f>IFERROR(IF(INDEX(tblSeverityReference[Severidad de la desnutrición],MATCH(tblSeverityAnalysis[[#This Row],[ID]], tblSeverityReference[ID], 0))= "", "",INDEX(tblSeverityReference[Severidad de la desnutrición],MATCH(tblSeverityAnalysis[[#This Row],[ID]], tblSeverityReference[ID], 0)) ), "")</f>
        <v/>
      </c>
      <c r="Y131" s="349" t="str">
        <f>IFERROR(IF(INDEX(tblSeverityReference[Severidad epidémica],MATCH(tblSeverityAnalysis[[#This Row],[ID]], tblSeverityReference[ID], 0))= "", "",INDEX(tblSeverityReference[Severidad epidémica],MATCH(tblSeverityAnalysis[[#This Row],[ID]], tblSeverityReference[ID], 0)) ), "")</f>
        <v/>
      </c>
      <c r="Z13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31" s="391" t="str">
        <f>IFERROR(IF(INDEX(tblSeverityReference[HR/IHL Violation],MATCH(tblSeverityAnalysis[[#This Row],[ID]], tblSeverityReference[ID], 0))= "", "",INDEX(tblSeverityReference[HR/IHL Violation],MATCH(tblSeverityAnalysis[[#This Row],[ID]], tblSeverityReference[ID], 0)) ), "")</f>
        <v/>
      </c>
      <c r="AB131" s="397">
        <f>IFERROR(AVERAGE(tblSeverityAnalysis[[#This Row],[SAMV]:[ASH]]), "")</f>
        <v>3.3333333333333335</v>
      </c>
      <c r="AC131" s="346">
        <f>IF(SUM(tblSeverityAnalysis[[#This Row],[SAMV]:[ASH]])=0, "", MAX(tblSeverityAnalysis[[#This Row],[SAMV]:[ASH]]))</f>
        <v>4</v>
      </c>
      <c r="AD131" s="261" t="str" cm="1">
        <f t="array" ref="AD131">IFERROR(IF(tblSeverityAnalysis[[#This Row],[Severidad máxima]]="", "", _xlfn.TEXTJOIN(CHAR(10), TRUE, IF(tblSeverityAnalysis[[#This Row],[SAMV]:[ASH]]=tblSeverityAnalysis[[#This Row],[Severidad máxima]], tblSeverityAnalysis[[#Headers],[SAMV]:[ASH]], ""), "")), "")</f>
        <v>SAMV
SAL
EDU</v>
      </c>
      <c r="AE131" s="346" cm="1">
        <f t="array" ref="AE131">IFERROR(MAX(_xlfn._xlws.FILTER(tblSeverityAnalysis[[#This Row],[SAMV]:[ASH]], tblSeverityAnalysis[[#This Row],[SAMV]:[ASH]]&lt;tblSeverityAnalysis[[#This Row],[Severidad máxima]])), "")</f>
        <v>3</v>
      </c>
      <c r="AF131" s="398" t="str" cm="1">
        <f t="array" ref="AF131">IFERROR(IF(tblSeverityAnalysis[[#This Row],[2ª mayor severidad]]="", "", _xlfn.TEXTJOIN(CHAR(10), TRUE, IF(tblSeverityAnalysis[[#This Row],[SAMV]:[ASH]]=tblSeverityAnalysis[[#This Row],[2ª mayor severidad]], tblSeverityAnalysis[[#Headers],[SAMV]:[ASH]], ""), "")), "")</f>
        <v>PRO
ASH</v>
      </c>
      <c r="AG131" s="405" t="str">
        <f>IFERROR(IF(AND(tblSeverityAnalysis[[#This Row],[5]] &lt;&gt; "", tblSeverityAnalysis[[#This Row],[5]]&gt;=sectors_sev_5), "Flagged", ""), "")</f>
        <v/>
      </c>
      <c r="AH131" s="347" t="str">
        <f>IFERROR(IF(AND(tblSeverityAnalysis[[#This Row],[Severidad preliminar basada en la superposición de privaciones sectoriales]]=5, SUM(tblSeverityAnalysis[[#This Row],[ 1 ]:[ 4 ]])&gt;=sectors_sev_5), "Flagged", ""), "")</f>
        <v/>
      </c>
      <c r="AI131" s="348" t="str" cm="1">
        <f t="array" ref="AI13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3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31" s="350"/>
      <c r="AL131" s="351"/>
      <c r="AM131" s="350"/>
      <c r="AN131" s="407">
        <f>COUNTIF(tblSeverityAnalysis[[#This Row],[1 sectores en fase de severidad 5 '[modificar el umbral']]:[Marcador manual]], "Flagged")</f>
        <v>0</v>
      </c>
      <c r="AO131" s="418">
        <f>tblSeverityAnalysis[[#This Row],[Severidad preliminar basada en la superposición de privaciones sectoriales]]</f>
        <v>3</v>
      </c>
      <c r="AP131" s="417"/>
      <c r="AQ131" s="421" t="s">
        <v>876</v>
      </c>
      <c r="AR131" s="417">
        <v>3</v>
      </c>
    </row>
    <row r="132" spans="1:44" hidden="1">
      <c r="A13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VenezolanosVE1125</v>
      </c>
      <c r="B132" s="363" t="s">
        <v>316</v>
      </c>
      <c r="C132" s="323" t="s">
        <v>317</v>
      </c>
      <c r="D132" s="322" t="s">
        <v>209</v>
      </c>
      <c r="E132" s="323" t="s">
        <v>361</v>
      </c>
      <c r="F132" s="323"/>
      <c r="G132" s="324">
        <v>33210</v>
      </c>
      <c r="H132" s="324" t="s">
        <v>102</v>
      </c>
      <c r="I132" s="374">
        <v>2</v>
      </c>
      <c r="J132" s="237">
        <v>1</v>
      </c>
      <c r="K132" s="237">
        <v>3</v>
      </c>
      <c r="L132" s="237">
        <v>3</v>
      </c>
      <c r="M132" s="237">
        <v>4</v>
      </c>
      <c r="N132" s="237">
        <v>3</v>
      </c>
      <c r="O132" s="237">
        <v>4</v>
      </c>
      <c r="P132" s="237">
        <v>4</v>
      </c>
      <c r="Q132" s="382">
        <f>IF(COUNTIF(tblSeverityAnalysis[[#This Row],[SAMV]:[ASH]], 1)=0, "", COUNTIF(tblSeverityAnalysis[[#This Row],[SAMV]:[ASH]], 1))</f>
        <v>1</v>
      </c>
      <c r="R132" s="325">
        <f>IF(COUNTIF(tblSeverityAnalysis[[#This Row],[SAMV]:[ASH]], 2)=0, "", COUNTIF(tblSeverityAnalysis[[#This Row],[SAMV]:[ASH]], 2))</f>
        <v>1</v>
      </c>
      <c r="S132" s="325">
        <f>IF(COUNTIF(tblSeverityAnalysis[[#This Row],[SAMV]:[ASH]], 3)=0, "", COUNTIF(tblSeverityAnalysis[[#This Row],[SAMV]:[ASH]], 3))</f>
        <v>3</v>
      </c>
      <c r="T132" s="325">
        <f>IF(COUNTIF(tblSeverityAnalysis[[#This Row],[SAMV]:[ASH]], 4)=0, "", COUNTIF(tblSeverityAnalysis[[#This Row],[SAMV]:[ASH]], 4))</f>
        <v>1</v>
      </c>
      <c r="U132" s="383" t="str">
        <f>IF(COUNTIF(tblSeverityAnalysis[[#This Row],[SAMV]:[ASH]], 5)=0, "", COUNTIF(tblSeverityAnalysis[[#This Row],[SAMV]:[ASH]], 5))</f>
        <v/>
      </c>
      <c r="V132" s="375" cm="1">
        <f t="array" ref="V13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3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32" s="237" t="str">
        <f>IFERROR(IF(INDEX(tblSeverityReference[Severidad de la desnutrición],MATCH(tblSeverityAnalysis[[#This Row],[ID]], tblSeverityReference[ID], 0))= "", "",INDEX(tblSeverityReference[Severidad de la desnutrición],MATCH(tblSeverityAnalysis[[#This Row],[ID]], tblSeverityReference[ID], 0)) ), "")</f>
        <v/>
      </c>
      <c r="Y132" s="349" t="str">
        <f>IFERROR(IF(INDEX(tblSeverityReference[Severidad epidémica],MATCH(tblSeverityAnalysis[[#This Row],[ID]], tblSeverityReference[ID], 0))= "", "",INDEX(tblSeverityReference[Severidad epidémica],MATCH(tblSeverityAnalysis[[#This Row],[ID]], tblSeverityReference[ID], 0)) ), "")</f>
        <v/>
      </c>
      <c r="Z13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32" s="391" t="str">
        <f>IFERROR(IF(INDEX(tblSeverityReference[HR/IHL Violation],MATCH(tblSeverityAnalysis[[#This Row],[ID]], tblSeverityReference[ID], 0))= "", "",INDEX(tblSeverityReference[HR/IHL Violation],MATCH(tblSeverityAnalysis[[#This Row],[ID]], tblSeverityReference[ID], 0)) ), "")</f>
        <v/>
      </c>
      <c r="AB132" s="397">
        <f>IFERROR(AVERAGE(tblSeverityAnalysis[[#This Row],[SAMV]:[ASH]]), "")</f>
        <v>2.6666666666666665</v>
      </c>
      <c r="AC132" s="346">
        <f>IF(SUM(tblSeverityAnalysis[[#This Row],[SAMV]:[ASH]])=0, "", MAX(tblSeverityAnalysis[[#This Row],[SAMV]:[ASH]]))</f>
        <v>4</v>
      </c>
      <c r="AD132" s="261" t="str" cm="1">
        <f t="array" ref="AD132">IFERROR(IF(tblSeverityAnalysis[[#This Row],[Severidad máxima]]="", "", _xlfn.TEXTJOIN(CHAR(10), TRUE, IF(tblSeverityAnalysis[[#This Row],[SAMV]:[ASH]]=tblSeverityAnalysis[[#This Row],[Severidad máxima]], tblSeverityAnalysis[[#Headers],[SAMV]:[ASH]], ""), "")), "")</f>
        <v>PRO</v>
      </c>
      <c r="AE132" s="346" cm="1">
        <f t="array" ref="AE132">IFERROR(MAX(_xlfn._xlws.FILTER(tblSeverityAnalysis[[#This Row],[SAMV]:[ASH]], tblSeverityAnalysis[[#This Row],[SAMV]:[ASH]]&lt;tblSeverityAnalysis[[#This Row],[Severidad máxima]])), "")</f>
        <v>3</v>
      </c>
      <c r="AF132" s="398" t="str" cm="1">
        <f t="array" ref="AF132">IFERROR(IF(tblSeverityAnalysis[[#This Row],[2ª mayor severidad]]="", "", _xlfn.TEXTJOIN(CHAR(10), TRUE, IF(tblSeverityAnalysis[[#This Row],[SAMV]:[ASH]]=tblSeverityAnalysis[[#This Row],[2ª mayor severidad]], tblSeverityAnalysis[[#Headers],[SAMV]:[ASH]], ""), "")), "")</f>
        <v>SAL
EDU
ASH</v>
      </c>
      <c r="AG132" s="405" t="str">
        <f>IFERROR(IF(AND(tblSeverityAnalysis[[#This Row],[5]] &lt;&gt; "", tblSeverityAnalysis[[#This Row],[5]]&gt;=sectors_sev_5), "Flagged", ""), "")</f>
        <v/>
      </c>
      <c r="AH132" s="347" t="str">
        <f>IFERROR(IF(AND(tblSeverityAnalysis[[#This Row],[Severidad preliminar basada en la superposición de privaciones sectoriales]]=5, SUM(tblSeverityAnalysis[[#This Row],[ 1 ]:[ 4 ]])&gt;=sectors_sev_5), "Flagged", ""), "")</f>
        <v/>
      </c>
      <c r="AI132" s="348" t="str" cm="1">
        <f t="array" ref="AI13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3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32" s="350"/>
      <c r="AL132" s="351"/>
      <c r="AM132" s="350"/>
      <c r="AN132" s="407">
        <f>COUNTIF(tblSeverityAnalysis[[#This Row],[1 sectores en fase de severidad 5 '[modificar el umbral']]:[Marcador manual]], "Flagged")</f>
        <v>0</v>
      </c>
      <c r="AO132" s="418">
        <f>tblSeverityAnalysis[[#This Row],[Severidad preliminar basada en la superposición de privaciones sectoriales]]</f>
        <v>3</v>
      </c>
      <c r="AP132" s="417"/>
      <c r="AQ132" s="421" t="s">
        <v>876</v>
      </c>
      <c r="AR132" s="417">
        <v>3</v>
      </c>
    </row>
    <row r="133" spans="1:44" hidden="1">
      <c r="A13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VenezolanosVE1201</v>
      </c>
      <c r="B133" s="363" t="s">
        <v>362</v>
      </c>
      <c r="C133" s="323" t="s">
        <v>363</v>
      </c>
      <c r="D133" s="322" t="s">
        <v>364</v>
      </c>
      <c r="E133" s="323" t="s">
        <v>365</v>
      </c>
      <c r="F133" s="323"/>
      <c r="G133" s="324">
        <v>24391</v>
      </c>
      <c r="H133" s="324" t="s">
        <v>102</v>
      </c>
      <c r="I133" s="374">
        <v>4</v>
      </c>
      <c r="J133" s="237">
        <v>2</v>
      </c>
      <c r="K133" s="237">
        <v>4</v>
      </c>
      <c r="L133" s="237">
        <v>3</v>
      </c>
      <c r="M133" s="237">
        <v>3</v>
      </c>
      <c r="N133" s="237">
        <v>2</v>
      </c>
      <c r="O133" s="237">
        <v>3</v>
      </c>
      <c r="P133" s="237">
        <v>3</v>
      </c>
      <c r="Q133" s="382" t="str">
        <f>IF(COUNTIF(tblSeverityAnalysis[[#This Row],[SAMV]:[ASH]], 1)=0, "", COUNTIF(tblSeverityAnalysis[[#This Row],[SAMV]:[ASH]], 1))</f>
        <v/>
      </c>
      <c r="R133" s="325">
        <f>IF(COUNTIF(tblSeverityAnalysis[[#This Row],[SAMV]:[ASH]], 2)=0, "", COUNTIF(tblSeverityAnalysis[[#This Row],[SAMV]:[ASH]], 2))</f>
        <v>2</v>
      </c>
      <c r="S133" s="325">
        <f>IF(COUNTIF(tblSeverityAnalysis[[#This Row],[SAMV]:[ASH]], 3)=0, "", COUNTIF(tblSeverityAnalysis[[#This Row],[SAMV]:[ASH]], 3))</f>
        <v>2</v>
      </c>
      <c r="T133" s="325">
        <f>IF(COUNTIF(tblSeverityAnalysis[[#This Row],[SAMV]:[ASH]], 4)=0, "", COUNTIF(tblSeverityAnalysis[[#This Row],[SAMV]:[ASH]], 4))</f>
        <v>2</v>
      </c>
      <c r="U133" s="383" t="str">
        <f>IF(COUNTIF(tblSeverityAnalysis[[#This Row],[SAMV]:[ASH]], 5)=0, "", COUNTIF(tblSeverityAnalysis[[#This Row],[SAMV]:[ASH]], 5))</f>
        <v/>
      </c>
      <c r="V133" s="375" cm="1">
        <f t="array" ref="V13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3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33" s="237" t="str">
        <f>IFERROR(IF(INDEX(tblSeverityReference[Severidad de la desnutrición],MATCH(tblSeverityAnalysis[[#This Row],[ID]], tblSeverityReference[ID], 0))= "", "",INDEX(tblSeverityReference[Severidad de la desnutrición],MATCH(tblSeverityAnalysis[[#This Row],[ID]], tblSeverityReference[ID], 0)) ), "")</f>
        <v/>
      </c>
      <c r="Y133" s="349" t="str">
        <f>IFERROR(IF(INDEX(tblSeverityReference[Severidad epidémica],MATCH(tblSeverityAnalysis[[#This Row],[ID]], tblSeverityReference[ID], 0))= "", "",INDEX(tblSeverityReference[Severidad epidémica],MATCH(tblSeverityAnalysis[[#This Row],[ID]], tblSeverityReference[ID], 0)) ), "")</f>
        <v/>
      </c>
      <c r="Z13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33" s="391" t="str">
        <f>IFERROR(IF(INDEX(tblSeverityReference[HR/IHL Violation],MATCH(tblSeverityAnalysis[[#This Row],[ID]], tblSeverityReference[ID], 0))= "", "",INDEX(tblSeverityReference[HR/IHL Violation],MATCH(tblSeverityAnalysis[[#This Row],[ID]], tblSeverityReference[ID], 0)) ), "")</f>
        <v/>
      </c>
      <c r="AB133" s="397">
        <f>IFERROR(AVERAGE(tblSeverityAnalysis[[#This Row],[SAMV]:[ASH]]), "")</f>
        <v>3</v>
      </c>
      <c r="AC133" s="346">
        <f>IF(SUM(tblSeverityAnalysis[[#This Row],[SAMV]:[ASH]])=0, "", MAX(tblSeverityAnalysis[[#This Row],[SAMV]:[ASH]]))</f>
        <v>4</v>
      </c>
      <c r="AD133" s="261" t="str" cm="1">
        <f t="array" ref="AD133">IFERROR(IF(tblSeverityAnalysis[[#This Row],[Severidad máxima]]="", "", _xlfn.TEXTJOIN(CHAR(10), TRUE, IF(tblSeverityAnalysis[[#This Row],[SAMV]:[ASH]]=tblSeverityAnalysis[[#This Row],[Severidad máxima]], tblSeverityAnalysis[[#Headers],[SAMV]:[ASH]], ""), "")), "")</f>
        <v>SAMV
SAL</v>
      </c>
      <c r="AE133" s="346" cm="1">
        <f t="array" ref="AE133">IFERROR(MAX(_xlfn._xlws.FILTER(tblSeverityAnalysis[[#This Row],[SAMV]:[ASH]], tblSeverityAnalysis[[#This Row],[SAMV]:[ASH]]&lt;tblSeverityAnalysis[[#This Row],[Severidad máxima]])), "")</f>
        <v>3</v>
      </c>
      <c r="AF133" s="398" t="str" cm="1">
        <f t="array" ref="AF133">IFERROR(IF(tblSeverityAnalysis[[#This Row],[2ª mayor severidad]]="", "", _xlfn.TEXTJOIN(CHAR(10), TRUE, IF(tblSeverityAnalysis[[#This Row],[SAMV]:[ASH]]=tblSeverityAnalysis[[#This Row],[2ª mayor severidad]], tblSeverityAnalysis[[#Headers],[SAMV]:[ASH]], ""), "")), "")</f>
        <v>EDU
PRO</v>
      </c>
      <c r="AG133" s="405" t="str">
        <f>IFERROR(IF(AND(tblSeverityAnalysis[[#This Row],[5]] &lt;&gt; "", tblSeverityAnalysis[[#This Row],[5]]&gt;=sectors_sev_5), "Flagged", ""), "")</f>
        <v/>
      </c>
      <c r="AH133" s="347" t="str">
        <f>IFERROR(IF(AND(tblSeverityAnalysis[[#This Row],[Severidad preliminar basada en la superposición de privaciones sectoriales]]=5, SUM(tblSeverityAnalysis[[#This Row],[ 1 ]:[ 4 ]])&gt;=sectors_sev_5), "Flagged", ""), "")</f>
        <v/>
      </c>
      <c r="AI133" s="348" t="str" cm="1">
        <f t="array" ref="AI13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3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33" s="350"/>
      <c r="AL133" s="351"/>
      <c r="AM133" s="350"/>
      <c r="AN133" s="407">
        <f>COUNTIF(tblSeverityAnalysis[[#This Row],[1 sectores en fase de severidad 5 '[modificar el umbral']]:[Marcador manual]], "Flagged")</f>
        <v>0</v>
      </c>
      <c r="AO133" s="418">
        <f>tblSeverityAnalysis[[#This Row],[Severidad preliminar basada en la superposición de privaciones sectoriales]]</f>
        <v>3</v>
      </c>
      <c r="AP133" s="417"/>
      <c r="AQ133" s="421" t="s">
        <v>876</v>
      </c>
      <c r="AR133" s="417">
        <v>3</v>
      </c>
    </row>
    <row r="134" spans="1:44" hidden="1">
      <c r="A13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VenezolanosVE1202</v>
      </c>
      <c r="B134" s="363" t="s">
        <v>362</v>
      </c>
      <c r="C134" s="323" t="s">
        <v>363</v>
      </c>
      <c r="D134" s="322" t="s">
        <v>366</v>
      </c>
      <c r="E134" s="323" t="s">
        <v>367</v>
      </c>
      <c r="F134" s="323"/>
      <c r="G134" s="324">
        <v>12966</v>
      </c>
      <c r="H134" s="324" t="s">
        <v>102</v>
      </c>
      <c r="I134" s="374">
        <v>3</v>
      </c>
      <c r="J134" s="237">
        <v>2</v>
      </c>
      <c r="K134" s="237">
        <v>3</v>
      </c>
      <c r="L134" s="237">
        <v>4</v>
      </c>
      <c r="M134" s="237">
        <v>3</v>
      </c>
      <c r="N134" s="237">
        <v>4</v>
      </c>
      <c r="O134" s="237">
        <v>3</v>
      </c>
      <c r="P134" s="237">
        <v>3</v>
      </c>
      <c r="Q134" s="382" t="str">
        <f>IF(COUNTIF(tblSeverityAnalysis[[#This Row],[SAMV]:[ASH]], 1)=0, "", COUNTIF(tblSeverityAnalysis[[#This Row],[SAMV]:[ASH]], 1))</f>
        <v/>
      </c>
      <c r="R134" s="325">
        <f>IF(COUNTIF(tblSeverityAnalysis[[#This Row],[SAMV]:[ASH]], 2)=0, "", COUNTIF(tblSeverityAnalysis[[#This Row],[SAMV]:[ASH]], 2))</f>
        <v>1</v>
      </c>
      <c r="S134" s="325">
        <f>IF(COUNTIF(tblSeverityAnalysis[[#This Row],[SAMV]:[ASH]], 3)=0, "", COUNTIF(tblSeverityAnalysis[[#This Row],[SAMV]:[ASH]], 3))</f>
        <v>3</v>
      </c>
      <c r="T134" s="325">
        <f>IF(COUNTIF(tblSeverityAnalysis[[#This Row],[SAMV]:[ASH]], 4)=0, "", COUNTIF(tblSeverityAnalysis[[#This Row],[SAMV]:[ASH]], 4))</f>
        <v>2</v>
      </c>
      <c r="U134" s="383" t="str">
        <f>IF(COUNTIF(tblSeverityAnalysis[[#This Row],[SAMV]:[ASH]], 5)=0, "", COUNTIF(tblSeverityAnalysis[[#This Row],[SAMV]:[ASH]], 5))</f>
        <v/>
      </c>
      <c r="V134" s="375" cm="1">
        <f t="array" ref="V13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3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34" s="237" t="str">
        <f>IFERROR(IF(INDEX(tblSeverityReference[Severidad de la desnutrición],MATCH(tblSeverityAnalysis[[#This Row],[ID]], tblSeverityReference[ID], 0))= "", "",INDEX(tblSeverityReference[Severidad de la desnutrición],MATCH(tblSeverityAnalysis[[#This Row],[ID]], tblSeverityReference[ID], 0)) ), "")</f>
        <v/>
      </c>
      <c r="Y134" s="349" t="str">
        <f>IFERROR(IF(INDEX(tblSeverityReference[Severidad epidémica],MATCH(tblSeverityAnalysis[[#This Row],[ID]], tblSeverityReference[ID], 0))= "", "",INDEX(tblSeverityReference[Severidad epidémica],MATCH(tblSeverityAnalysis[[#This Row],[ID]], tblSeverityReference[ID], 0)) ), "")</f>
        <v/>
      </c>
      <c r="Z13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34" s="391" t="str">
        <f>IFERROR(IF(INDEX(tblSeverityReference[HR/IHL Violation],MATCH(tblSeverityAnalysis[[#This Row],[ID]], tblSeverityReference[ID], 0))= "", "",INDEX(tblSeverityReference[HR/IHL Violation],MATCH(tblSeverityAnalysis[[#This Row],[ID]], tblSeverityReference[ID], 0)) ), "")</f>
        <v/>
      </c>
      <c r="AB134" s="397">
        <f>IFERROR(AVERAGE(tblSeverityAnalysis[[#This Row],[SAMV]:[ASH]]), "")</f>
        <v>3.1666666666666665</v>
      </c>
      <c r="AC134" s="346">
        <f>IF(SUM(tblSeverityAnalysis[[#This Row],[SAMV]:[ASH]])=0, "", MAX(tblSeverityAnalysis[[#This Row],[SAMV]:[ASH]]))</f>
        <v>4</v>
      </c>
      <c r="AD134" s="261" t="str" cm="1">
        <f t="array" ref="AD134">IFERROR(IF(tblSeverityAnalysis[[#This Row],[Severidad máxima]]="", "", _xlfn.TEXTJOIN(CHAR(10), TRUE, IF(tblSeverityAnalysis[[#This Row],[SAMV]:[ASH]]=tblSeverityAnalysis[[#This Row],[Severidad máxima]], tblSeverityAnalysis[[#Headers],[SAMV]:[ASH]], ""), "")), "")</f>
        <v>EDU
ASH</v>
      </c>
      <c r="AE134" s="346" cm="1">
        <f t="array" ref="AE134">IFERROR(MAX(_xlfn._xlws.FILTER(tblSeverityAnalysis[[#This Row],[SAMV]:[ASH]], tblSeverityAnalysis[[#This Row],[SAMV]:[ASH]]&lt;tblSeverityAnalysis[[#This Row],[Severidad máxima]])), "")</f>
        <v>3</v>
      </c>
      <c r="AF134" s="398" t="str" cm="1">
        <f t="array" ref="AF134">IFERROR(IF(tblSeverityAnalysis[[#This Row],[2ª mayor severidad]]="", "", _xlfn.TEXTJOIN(CHAR(10), TRUE, IF(tblSeverityAnalysis[[#This Row],[SAMV]:[ASH]]=tblSeverityAnalysis[[#This Row],[2ª mayor severidad]], tblSeverityAnalysis[[#Headers],[SAMV]:[ASH]], ""), "")), "")</f>
        <v>SAMV
SAL
PRO</v>
      </c>
      <c r="AG134" s="405" t="str">
        <f>IFERROR(IF(AND(tblSeverityAnalysis[[#This Row],[5]] &lt;&gt; "", tblSeverityAnalysis[[#This Row],[5]]&gt;=sectors_sev_5), "Flagged", ""), "")</f>
        <v/>
      </c>
      <c r="AH134" s="347" t="str">
        <f>IFERROR(IF(AND(tblSeverityAnalysis[[#This Row],[Severidad preliminar basada en la superposición de privaciones sectoriales]]=5, SUM(tblSeverityAnalysis[[#This Row],[ 1 ]:[ 4 ]])&gt;=sectors_sev_5), "Flagged", ""), "")</f>
        <v/>
      </c>
      <c r="AI134" s="348" t="str" cm="1">
        <f t="array" ref="AI13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3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34" s="350"/>
      <c r="AL134" s="351"/>
      <c r="AM134" s="350"/>
      <c r="AN134" s="407">
        <f>COUNTIF(tblSeverityAnalysis[[#This Row],[1 sectores en fase de severidad 5 '[modificar el umbral']]:[Marcador manual]], "Flagged")</f>
        <v>0</v>
      </c>
      <c r="AO134" s="418">
        <f>tblSeverityAnalysis[[#This Row],[Severidad preliminar basada en la superposición de privaciones sectoriales]]</f>
        <v>3</v>
      </c>
      <c r="AP134" s="417"/>
      <c r="AQ134" s="421" t="s">
        <v>876</v>
      </c>
      <c r="AR134" s="417">
        <v>3</v>
      </c>
    </row>
    <row r="135" spans="1:44" hidden="1">
      <c r="A13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VenezolanosVE1203</v>
      </c>
      <c r="B135" s="363" t="s">
        <v>362</v>
      </c>
      <c r="C135" s="323" t="s">
        <v>363</v>
      </c>
      <c r="D135" s="322" t="s">
        <v>368</v>
      </c>
      <c r="E135" s="323" t="s">
        <v>369</v>
      </c>
      <c r="F135" s="323"/>
      <c r="G135" s="324">
        <v>17097</v>
      </c>
      <c r="H135" s="324" t="s">
        <v>102</v>
      </c>
      <c r="I135" s="374">
        <v>3</v>
      </c>
      <c r="J135" s="237">
        <v>3</v>
      </c>
      <c r="K135" s="237">
        <v>3</v>
      </c>
      <c r="L135" s="237">
        <v>4</v>
      </c>
      <c r="M135" s="237">
        <v>2</v>
      </c>
      <c r="N135" s="237">
        <v>3</v>
      </c>
      <c r="O135" s="237">
        <v>2</v>
      </c>
      <c r="P135" s="237">
        <v>2</v>
      </c>
      <c r="Q135" s="382" t="str">
        <f>IF(COUNTIF(tblSeverityAnalysis[[#This Row],[SAMV]:[ASH]], 1)=0, "", COUNTIF(tblSeverityAnalysis[[#This Row],[SAMV]:[ASH]], 1))</f>
        <v/>
      </c>
      <c r="R135" s="325">
        <f>IF(COUNTIF(tblSeverityAnalysis[[#This Row],[SAMV]:[ASH]], 2)=0, "", COUNTIF(tblSeverityAnalysis[[#This Row],[SAMV]:[ASH]], 2))</f>
        <v>1</v>
      </c>
      <c r="S135" s="325">
        <f>IF(COUNTIF(tblSeverityAnalysis[[#This Row],[SAMV]:[ASH]], 3)=0, "", COUNTIF(tblSeverityAnalysis[[#This Row],[SAMV]:[ASH]], 3))</f>
        <v>4</v>
      </c>
      <c r="T135" s="325">
        <f>IF(COUNTIF(tblSeverityAnalysis[[#This Row],[SAMV]:[ASH]], 4)=0, "", COUNTIF(tblSeverityAnalysis[[#This Row],[SAMV]:[ASH]], 4))</f>
        <v>1</v>
      </c>
      <c r="U135" s="383" t="str">
        <f>IF(COUNTIF(tblSeverityAnalysis[[#This Row],[SAMV]:[ASH]], 5)=0, "", COUNTIF(tblSeverityAnalysis[[#This Row],[SAMV]:[ASH]], 5))</f>
        <v/>
      </c>
      <c r="V135" s="375" cm="1">
        <f t="array" ref="V13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3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35" s="237" t="str">
        <f>IFERROR(IF(INDEX(tblSeverityReference[Severidad de la desnutrición],MATCH(tblSeverityAnalysis[[#This Row],[ID]], tblSeverityReference[ID], 0))= "", "",INDEX(tblSeverityReference[Severidad de la desnutrición],MATCH(tblSeverityAnalysis[[#This Row],[ID]], tblSeverityReference[ID], 0)) ), "")</f>
        <v/>
      </c>
      <c r="Y135" s="349" t="str">
        <f>IFERROR(IF(INDEX(tblSeverityReference[Severidad epidémica],MATCH(tblSeverityAnalysis[[#This Row],[ID]], tblSeverityReference[ID], 0))= "", "",INDEX(tblSeverityReference[Severidad epidémica],MATCH(tblSeverityAnalysis[[#This Row],[ID]], tblSeverityReference[ID], 0)) ), "")</f>
        <v/>
      </c>
      <c r="Z13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35" s="391" t="str">
        <f>IFERROR(IF(INDEX(tblSeverityReference[HR/IHL Violation],MATCH(tblSeverityAnalysis[[#This Row],[ID]], tblSeverityReference[ID], 0))= "", "",INDEX(tblSeverityReference[HR/IHL Violation],MATCH(tblSeverityAnalysis[[#This Row],[ID]], tblSeverityReference[ID], 0)) ), "")</f>
        <v/>
      </c>
      <c r="AB135" s="397">
        <f>IFERROR(AVERAGE(tblSeverityAnalysis[[#This Row],[SAMV]:[ASH]]), "")</f>
        <v>3</v>
      </c>
      <c r="AC135" s="346">
        <f>IF(SUM(tblSeverityAnalysis[[#This Row],[SAMV]:[ASH]])=0, "", MAX(tblSeverityAnalysis[[#This Row],[SAMV]:[ASH]]))</f>
        <v>4</v>
      </c>
      <c r="AD135" s="261" t="str" cm="1">
        <f t="array" ref="AD135">IFERROR(IF(tblSeverityAnalysis[[#This Row],[Severidad máxima]]="", "", _xlfn.TEXTJOIN(CHAR(10), TRUE, IF(tblSeverityAnalysis[[#This Row],[SAMV]:[ASH]]=tblSeverityAnalysis[[#This Row],[Severidad máxima]], tblSeverityAnalysis[[#Headers],[SAMV]:[ASH]], ""), "")), "")</f>
        <v>EDU</v>
      </c>
      <c r="AE135" s="346" cm="1">
        <f t="array" ref="AE135">IFERROR(MAX(_xlfn._xlws.FILTER(tblSeverityAnalysis[[#This Row],[SAMV]:[ASH]], tblSeverityAnalysis[[#This Row],[SAMV]:[ASH]]&lt;tblSeverityAnalysis[[#This Row],[Severidad máxima]])), "")</f>
        <v>3</v>
      </c>
      <c r="AF135" s="398" t="str" cm="1">
        <f t="array" ref="AF135">IFERROR(IF(tblSeverityAnalysis[[#This Row],[2ª mayor severidad]]="", "", _xlfn.TEXTJOIN(CHAR(10), TRUE, IF(tblSeverityAnalysis[[#This Row],[SAMV]:[ASH]]=tblSeverityAnalysis[[#This Row],[2ª mayor severidad]], tblSeverityAnalysis[[#Headers],[SAMV]:[ASH]], ""), "")), "")</f>
        <v>SAMV
NUT
SAL
ASH</v>
      </c>
      <c r="AG135" s="405" t="str">
        <f>IFERROR(IF(AND(tblSeverityAnalysis[[#This Row],[5]] &lt;&gt; "", tblSeverityAnalysis[[#This Row],[5]]&gt;=sectors_sev_5), "Flagged", ""), "")</f>
        <v/>
      </c>
      <c r="AH135" s="347" t="str">
        <f>IFERROR(IF(AND(tblSeverityAnalysis[[#This Row],[Severidad preliminar basada en la superposición de privaciones sectoriales]]=5, SUM(tblSeverityAnalysis[[#This Row],[ 1 ]:[ 4 ]])&gt;=sectors_sev_5), "Flagged", ""), "")</f>
        <v/>
      </c>
      <c r="AI135" s="348" t="str" cm="1">
        <f t="array" ref="AI13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3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35" s="350"/>
      <c r="AL135" s="351"/>
      <c r="AM135" s="350"/>
      <c r="AN135" s="407">
        <f>COUNTIF(tblSeverityAnalysis[[#This Row],[1 sectores en fase de severidad 5 '[modificar el umbral']]:[Marcador manual]], "Flagged")</f>
        <v>0</v>
      </c>
      <c r="AO135" s="418">
        <f>tblSeverityAnalysis[[#This Row],[Severidad preliminar basada en la superposición de privaciones sectoriales]]</f>
        <v>3</v>
      </c>
      <c r="AP135" s="417"/>
      <c r="AQ135" s="421" t="s">
        <v>876</v>
      </c>
      <c r="AR135" s="417">
        <v>4</v>
      </c>
    </row>
    <row r="136" spans="1:44" hidden="1">
      <c r="A13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VenezolanosVE1204</v>
      </c>
      <c r="B136" s="363" t="s">
        <v>362</v>
      </c>
      <c r="C136" s="323" t="s">
        <v>363</v>
      </c>
      <c r="D136" s="322" t="s">
        <v>370</v>
      </c>
      <c r="E136" s="323" t="s">
        <v>371</v>
      </c>
      <c r="F136" s="323"/>
      <c r="G136" s="324">
        <v>20206</v>
      </c>
      <c r="H136" s="324" t="s">
        <v>102</v>
      </c>
      <c r="I136" s="374">
        <v>4</v>
      </c>
      <c r="J136" s="237">
        <v>2</v>
      </c>
      <c r="K136" s="237">
        <v>4</v>
      </c>
      <c r="L136" s="237">
        <v>4</v>
      </c>
      <c r="M136" s="237">
        <v>3</v>
      </c>
      <c r="N136" s="237">
        <v>3</v>
      </c>
      <c r="O136" s="237">
        <v>3</v>
      </c>
      <c r="P136" s="237">
        <v>3</v>
      </c>
      <c r="Q136" s="382" t="str">
        <f>IF(COUNTIF(tblSeverityAnalysis[[#This Row],[SAMV]:[ASH]], 1)=0, "", COUNTIF(tblSeverityAnalysis[[#This Row],[SAMV]:[ASH]], 1))</f>
        <v/>
      </c>
      <c r="R136" s="325">
        <f>IF(COUNTIF(tblSeverityAnalysis[[#This Row],[SAMV]:[ASH]], 2)=0, "", COUNTIF(tblSeverityAnalysis[[#This Row],[SAMV]:[ASH]], 2))</f>
        <v>1</v>
      </c>
      <c r="S136" s="325">
        <f>IF(COUNTIF(tblSeverityAnalysis[[#This Row],[SAMV]:[ASH]], 3)=0, "", COUNTIF(tblSeverityAnalysis[[#This Row],[SAMV]:[ASH]], 3))</f>
        <v>2</v>
      </c>
      <c r="T136" s="325">
        <f>IF(COUNTIF(tblSeverityAnalysis[[#This Row],[SAMV]:[ASH]], 4)=0, "", COUNTIF(tblSeverityAnalysis[[#This Row],[SAMV]:[ASH]], 4))</f>
        <v>3</v>
      </c>
      <c r="U136" s="383" t="str">
        <f>IF(COUNTIF(tblSeverityAnalysis[[#This Row],[SAMV]:[ASH]], 5)=0, "", COUNTIF(tblSeverityAnalysis[[#This Row],[SAMV]:[ASH]], 5))</f>
        <v/>
      </c>
      <c r="V136" s="375" cm="1">
        <f t="array" ref="V13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3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36" s="237" t="str">
        <f>IFERROR(IF(INDEX(tblSeverityReference[Severidad de la desnutrición],MATCH(tblSeverityAnalysis[[#This Row],[ID]], tblSeverityReference[ID], 0))= "", "",INDEX(tblSeverityReference[Severidad de la desnutrición],MATCH(tblSeverityAnalysis[[#This Row],[ID]], tblSeverityReference[ID], 0)) ), "")</f>
        <v/>
      </c>
      <c r="Y136" s="349" t="str">
        <f>IFERROR(IF(INDEX(tblSeverityReference[Severidad epidémica],MATCH(tblSeverityAnalysis[[#This Row],[ID]], tblSeverityReference[ID], 0))= "", "",INDEX(tblSeverityReference[Severidad epidémica],MATCH(tblSeverityAnalysis[[#This Row],[ID]], tblSeverityReference[ID], 0)) ), "")</f>
        <v/>
      </c>
      <c r="Z13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36" s="391" t="str">
        <f>IFERROR(IF(INDEX(tblSeverityReference[HR/IHL Violation],MATCH(tblSeverityAnalysis[[#This Row],[ID]], tblSeverityReference[ID], 0))= "", "",INDEX(tblSeverityReference[HR/IHL Violation],MATCH(tblSeverityAnalysis[[#This Row],[ID]], tblSeverityReference[ID], 0)) ), "")</f>
        <v/>
      </c>
      <c r="AB136" s="397">
        <f>IFERROR(AVERAGE(tblSeverityAnalysis[[#This Row],[SAMV]:[ASH]]), "")</f>
        <v>3.3333333333333335</v>
      </c>
      <c r="AC136" s="346">
        <f>IF(SUM(tblSeverityAnalysis[[#This Row],[SAMV]:[ASH]])=0, "", MAX(tblSeverityAnalysis[[#This Row],[SAMV]:[ASH]]))</f>
        <v>4</v>
      </c>
      <c r="AD136" s="261" t="str" cm="1">
        <f t="array" ref="AD136">IFERROR(IF(tblSeverityAnalysis[[#This Row],[Severidad máxima]]="", "", _xlfn.TEXTJOIN(CHAR(10), TRUE, IF(tblSeverityAnalysis[[#This Row],[SAMV]:[ASH]]=tblSeverityAnalysis[[#This Row],[Severidad máxima]], tblSeverityAnalysis[[#Headers],[SAMV]:[ASH]], ""), "")), "")</f>
        <v>SAMV
SAL
EDU</v>
      </c>
      <c r="AE136" s="346" cm="1">
        <f t="array" ref="AE136">IFERROR(MAX(_xlfn._xlws.FILTER(tblSeverityAnalysis[[#This Row],[SAMV]:[ASH]], tblSeverityAnalysis[[#This Row],[SAMV]:[ASH]]&lt;tblSeverityAnalysis[[#This Row],[Severidad máxima]])), "")</f>
        <v>3</v>
      </c>
      <c r="AF136" s="398" t="str" cm="1">
        <f t="array" ref="AF136">IFERROR(IF(tblSeverityAnalysis[[#This Row],[2ª mayor severidad]]="", "", _xlfn.TEXTJOIN(CHAR(10), TRUE, IF(tblSeverityAnalysis[[#This Row],[SAMV]:[ASH]]=tblSeverityAnalysis[[#This Row],[2ª mayor severidad]], tblSeverityAnalysis[[#Headers],[SAMV]:[ASH]], ""), "")), "")</f>
        <v>PRO
ASH</v>
      </c>
      <c r="AG136" s="405" t="str">
        <f>IFERROR(IF(AND(tblSeverityAnalysis[[#This Row],[5]] &lt;&gt; "", tblSeverityAnalysis[[#This Row],[5]]&gt;=sectors_sev_5), "Flagged", ""), "")</f>
        <v/>
      </c>
      <c r="AH136" s="347" t="str">
        <f>IFERROR(IF(AND(tblSeverityAnalysis[[#This Row],[Severidad preliminar basada en la superposición de privaciones sectoriales]]=5, SUM(tblSeverityAnalysis[[#This Row],[ 1 ]:[ 4 ]])&gt;=sectors_sev_5), "Flagged", ""), "")</f>
        <v/>
      </c>
      <c r="AI136" s="348" t="str" cm="1">
        <f t="array" ref="AI13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3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36" s="350"/>
      <c r="AL136" s="351"/>
      <c r="AM136" s="350"/>
      <c r="AN136" s="407">
        <f>COUNTIF(tblSeverityAnalysis[[#This Row],[1 sectores en fase de severidad 5 '[modificar el umbral']]:[Marcador manual]], "Flagged")</f>
        <v>0</v>
      </c>
      <c r="AO136" s="418">
        <f>tblSeverityAnalysis[[#This Row],[Severidad preliminar basada en la superposición de privaciones sectoriales]]</f>
        <v>3</v>
      </c>
      <c r="AP136" s="417"/>
      <c r="AQ136" s="421" t="s">
        <v>876</v>
      </c>
      <c r="AR136" s="417">
        <v>4</v>
      </c>
    </row>
    <row r="137" spans="1:44" hidden="1">
      <c r="A13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VenezolanosVE1205</v>
      </c>
      <c r="B137" s="363" t="s">
        <v>362</v>
      </c>
      <c r="C137" s="323" t="s">
        <v>363</v>
      </c>
      <c r="D137" s="322" t="s">
        <v>372</v>
      </c>
      <c r="E137" s="323" t="s">
        <v>373</v>
      </c>
      <c r="F137" s="323"/>
      <c r="G137" s="324">
        <v>120889</v>
      </c>
      <c r="H137" s="324" t="s">
        <v>102</v>
      </c>
      <c r="I137" s="374">
        <v>4</v>
      </c>
      <c r="J137" s="237">
        <v>2</v>
      </c>
      <c r="K137" s="237">
        <v>3</v>
      </c>
      <c r="L137" s="237">
        <v>4</v>
      </c>
      <c r="M137" s="237">
        <v>2</v>
      </c>
      <c r="N137" s="237">
        <v>3</v>
      </c>
      <c r="O137" s="237">
        <v>2</v>
      </c>
      <c r="P137" s="237">
        <v>2</v>
      </c>
      <c r="Q137" s="382" t="str">
        <f>IF(COUNTIF(tblSeverityAnalysis[[#This Row],[SAMV]:[ASH]], 1)=0, "", COUNTIF(tblSeverityAnalysis[[#This Row],[SAMV]:[ASH]], 1))</f>
        <v/>
      </c>
      <c r="R137" s="325">
        <f>IF(COUNTIF(tblSeverityAnalysis[[#This Row],[SAMV]:[ASH]], 2)=0, "", COUNTIF(tblSeverityAnalysis[[#This Row],[SAMV]:[ASH]], 2))</f>
        <v>2</v>
      </c>
      <c r="S137" s="325">
        <f>IF(COUNTIF(tblSeverityAnalysis[[#This Row],[SAMV]:[ASH]], 3)=0, "", COUNTIF(tblSeverityAnalysis[[#This Row],[SAMV]:[ASH]], 3))</f>
        <v>2</v>
      </c>
      <c r="T137" s="325">
        <f>IF(COUNTIF(tblSeverityAnalysis[[#This Row],[SAMV]:[ASH]], 4)=0, "", COUNTIF(tblSeverityAnalysis[[#This Row],[SAMV]:[ASH]], 4))</f>
        <v>2</v>
      </c>
      <c r="U137" s="383" t="str">
        <f>IF(COUNTIF(tblSeverityAnalysis[[#This Row],[SAMV]:[ASH]], 5)=0, "", COUNTIF(tblSeverityAnalysis[[#This Row],[SAMV]:[ASH]], 5))</f>
        <v/>
      </c>
      <c r="V137" s="375" cm="1">
        <f t="array" ref="V13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3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37" s="237" t="str">
        <f>IFERROR(IF(INDEX(tblSeverityReference[Severidad de la desnutrición],MATCH(tblSeverityAnalysis[[#This Row],[ID]], tblSeverityReference[ID], 0))= "", "",INDEX(tblSeverityReference[Severidad de la desnutrición],MATCH(tblSeverityAnalysis[[#This Row],[ID]], tblSeverityReference[ID], 0)) ), "")</f>
        <v/>
      </c>
      <c r="Y137" s="349" t="str">
        <f>IFERROR(IF(INDEX(tblSeverityReference[Severidad epidémica],MATCH(tblSeverityAnalysis[[#This Row],[ID]], tblSeverityReference[ID], 0))= "", "",INDEX(tblSeverityReference[Severidad epidémica],MATCH(tblSeverityAnalysis[[#This Row],[ID]], tblSeverityReference[ID], 0)) ), "")</f>
        <v/>
      </c>
      <c r="Z13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37" s="391" t="str">
        <f>IFERROR(IF(INDEX(tblSeverityReference[HR/IHL Violation],MATCH(tblSeverityAnalysis[[#This Row],[ID]], tblSeverityReference[ID], 0))= "", "",INDEX(tblSeverityReference[HR/IHL Violation],MATCH(tblSeverityAnalysis[[#This Row],[ID]], tblSeverityReference[ID], 0)) ), "")</f>
        <v/>
      </c>
      <c r="AB137" s="397">
        <f>IFERROR(AVERAGE(tblSeverityAnalysis[[#This Row],[SAMV]:[ASH]]), "")</f>
        <v>3</v>
      </c>
      <c r="AC137" s="346">
        <f>IF(SUM(tblSeverityAnalysis[[#This Row],[SAMV]:[ASH]])=0, "", MAX(tblSeverityAnalysis[[#This Row],[SAMV]:[ASH]]))</f>
        <v>4</v>
      </c>
      <c r="AD137" s="261" t="str" cm="1">
        <f t="array" ref="AD137">IFERROR(IF(tblSeverityAnalysis[[#This Row],[Severidad máxima]]="", "", _xlfn.TEXTJOIN(CHAR(10), TRUE, IF(tblSeverityAnalysis[[#This Row],[SAMV]:[ASH]]=tblSeverityAnalysis[[#This Row],[Severidad máxima]], tblSeverityAnalysis[[#Headers],[SAMV]:[ASH]], ""), "")), "")</f>
        <v>SAMV
EDU</v>
      </c>
      <c r="AE137" s="346" cm="1">
        <f t="array" ref="AE137">IFERROR(MAX(_xlfn._xlws.FILTER(tblSeverityAnalysis[[#This Row],[SAMV]:[ASH]], tblSeverityAnalysis[[#This Row],[SAMV]:[ASH]]&lt;tblSeverityAnalysis[[#This Row],[Severidad máxima]])), "")</f>
        <v>3</v>
      </c>
      <c r="AF137" s="398" t="str" cm="1">
        <f t="array" ref="AF137">IFERROR(IF(tblSeverityAnalysis[[#This Row],[2ª mayor severidad]]="", "", _xlfn.TEXTJOIN(CHAR(10), TRUE, IF(tblSeverityAnalysis[[#This Row],[SAMV]:[ASH]]=tblSeverityAnalysis[[#This Row],[2ª mayor severidad]], tblSeverityAnalysis[[#Headers],[SAMV]:[ASH]], ""), "")), "")</f>
        <v>SAL
ASH</v>
      </c>
      <c r="AG137" s="405" t="str">
        <f>IFERROR(IF(AND(tblSeverityAnalysis[[#This Row],[5]] &lt;&gt; "", tblSeverityAnalysis[[#This Row],[5]]&gt;=sectors_sev_5), "Flagged", ""), "")</f>
        <v/>
      </c>
      <c r="AH137" s="347" t="str">
        <f>IFERROR(IF(AND(tblSeverityAnalysis[[#This Row],[Severidad preliminar basada en la superposición de privaciones sectoriales]]=5, SUM(tblSeverityAnalysis[[#This Row],[ 1 ]:[ 4 ]])&gt;=sectors_sev_5), "Flagged", ""), "")</f>
        <v/>
      </c>
      <c r="AI137" s="348" t="str" cm="1">
        <f t="array" ref="AI13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3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37" s="350"/>
      <c r="AL137" s="351"/>
      <c r="AM137" s="350"/>
      <c r="AN137" s="407">
        <f>COUNTIF(tblSeverityAnalysis[[#This Row],[1 sectores en fase de severidad 5 '[modificar el umbral']]:[Marcador manual]], "Flagged")</f>
        <v>0</v>
      </c>
      <c r="AO137" s="418">
        <f>tblSeverityAnalysis[[#This Row],[Severidad preliminar basada en la superposición de privaciones sectoriales]]</f>
        <v>3</v>
      </c>
      <c r="AP137" s="417"/>
      <c r="AQ137" s="421" t="s">
        <v>876</v>
      </c>
      <c r="AR137" s="417">
        <v>3</v>
      </c>
    </row>
    <row r="138" spans="1:44" hidden="1">
      <c r="A13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VenezolanosVE1206</v>
      </c>
      <c r="B138" s="363" t="s">
        <v>362</v>
      </c>
      <c r="C138" s="323" t="s">
        <v>363</v>
      </c>
      <c r="D138" s="322" t="s">
        <v>374</v>
      </c>
      <c r="E138" s="323" t="s">
        <v>375</v>
      </c>
      <c r="F138" s="323"/>
      <c r="G138" s="324">
        <v>33025</v>
      </c>
      <c r="H138" s="324" t="s">
        <v>102</v>
      </c>
      <c r="I138" s="374">
        <v>4</v>
      </c>
      <c r="J138" s="237">
        <v>2</v>
      </c>
      <c r="K138" s="237">
        <v>4</v>
      </c>
      <c r="L138" s="237">
        <v>3</v>
      </c>
      <c r="M138" s="237">
        <v>4</v>
      </c>
      <c r="N138" s="237">
        <v>2</v>
      </c>
      <c r="O138" s="237">
        <v>4</v>
      </c>
      <c r="P138" s="237">
        <v>4</v>
      </c>
      <c r="Q138" s="382" t="str">
        <f>IF(COUNTIF(tblSeverityAnalysis[[#This Row],[SAMV]:[ASH]], 1)=0, "", COUNTIF(tblSeverityAnalysis[[#This Row],[SAMV]:[ASH]], 1))</f>
        <v/>
      </c>
      <c r="R138" s="325">
        <f>IF(COUNTIF(tblSeverityAnalysis[[#This Row],[SAMV]:[ASH]], 2)=0, "", COUNTIF(tblSeverityAnalysis[[#This Row],[SAMV]:[ASH]], 2))</f>
        <v>2</v>
      </c>
      <c r="S138" s="325">
        <f>IF(COUNTIF(tblSeverityAnalysis[[#This Row],[SAMV]:[ASH]], 3)=0, "", COUNTIF(tblSeverityAnalysis[[#This Row],[SAMV]:[ASH]], 3))</f>
        <v>1</v>
      </c>
      <c r="T138" s="325">
        <f>IF(COUNTIF(tblSeverityAnalysis[[#This Row],[SAMV]:[ASH]], 4)=0, "", COUNTIF(tblSeverityAnalysis[[#This Row],[SAMV]:[ASH]], 4))</f>
        <v>3</v>
      </c>
      <c r="U138" s="383" t="str">
        <f>IF(COUNTIF(tblSeverityAnalysis[[#This Row],[SAMV]:[ASH]], 5)=0, "", COUNTIF(tblSeverityAnalysis[[#This Row],[SAMV]:[ASH]], 5))</f>
        <v/>
      </c>
      <c r="V138" s="375" cm="1">
        <f t="array" ref="V13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3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38" s="237" t="str">
        <f>IFERROR(IF(INDEX(tblSeverityReference[Severidad de la desnutrición],MATCH(tblSeverityAnalysis[[#This Row],[ID]], tblSeverityReference[ID], 0))= "", "",INDEX(tblSeverityReference[Severidad de la desnutrición],MATCH(tblSeverityAnalysis[[#This Row],[ID]], tblSeverityReference[ID], 0)) ), "")</f>
        <v/>
      </c>
      <c r="Y138" s="349" t="str">
        <f>IFERROR(IF(INDEX(tblSeverityReference[Severidad epidémica],MATCH(tblSeverityAnalysis[[#This Row],[ID]], tblSeverityReference[ID], 0))= "", "",INDEX(tblSeverityReference[Severidad epidémica],MATCH(tblSeverityAnalysis[[#This Row],[ID]], tblSeverityReference[ID], 0)) ), "")</f>
        <v/>
      </c>
      <c r="Z13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38" s="391" t="str">
        <f>IFERROR(IF(INDEX(tblSeverityReference[HR/IHL Violation],MATCH(tblSeverityAnalysis[[#This Row],[ID]], tblSeverityReference[ID], 0))= "", "",INDEX(tblSeverityReference[HR/IHL Violation],MATCH(tblSeverityAnalysis[[#This Row],[ID]], tblSeverityReference[ID], 0)) ), "")</f>
        <v/>
      </c>
      <c r="AB138" s="397">
        <f>IFERROR(AVERAGE(tblSeverityAnalysis[[#This Row],[SAMV]:[ASH]]), "")</f>
        <v>3.1666666666666665</v>
      </c>
      <c r="AC138" s="346">
        <f>IF(SUM(tblSeverityAnalysis[[#This Row],[SAMV]:[ASH]])=0, "", MAX(tblSeverityAnalysis[[#This Row],[SAMV]:[ASH]]))</f>
        <v>4</v>
      </c>
      <c r="AD138" s="261" t="str" cm="1">
        <f t="array" ref="AD138">IFERROR(IF(tblSeverityAnalysis[[#This Row],[Severidad máxima]]="", "", _xlfn.TEXTJOIN(CHAR(10), TRUE, IF(tblSeverityAnalysis[[#This Row],[SAMV]:[ASH]]=tblSeverityAnalysis[[#This Row],[Severidad máxima]], tblSeverityAnalysis[[#Headers],[SAMV]:[ASH]], ""), "")), "")</f>
        <v>SAMV
SAL
PRO</v>
      </c>
      <c r="AE138" s="346" cm="1">
        <f t="array" ref="AE138">IFERROR(MAX(_xlfn._xlws.FILTER(tblSeverityAnalysis[[#This Row],[SAMV]:[ASH]], tblSeverityAnalysis[[#This Row],[SAMV]:[ASH]]&lt;tblSeverityAnalysis[[#This Row],[Severidad máxima]])), "")</f>
        <v>3</v>
      </c>
      <c r="AF138" s="398" t="str" cm="1">
        <f t="array" ref="AF138">IFERROR(IF(tblSeverityAnalysis[[#This Row],[2ª mayor severidad]]="", "", _xlfn.TEXTJOIN(CHAR(10), TRUE, IF(tblSeverityAnalysis[[#This Row],[SAMV]:[ASH]]=tblSeverityAnalysis[[#This Row],[2ª mayor severidad]], tblSeverityAnalysis[[#Headers],[SAMV]:[ASH]], ""), "")), "")</f>
        <v>EDU</v>
      </c>
      <c r="AG138" s="405" t="str">
        <f>IFERROR(IF(AND(tblSeverityAnalysis[[#This Row],[5]] &lt;&gt; "", tblSeverityAnalysis[[#This Row],[5]]&gt;=sectors_sev_5), "Flagged", ""), "")</f>
        <v/>
      </c>
      <c r="AH138" s="347" t="str">
        <f>IFERROR(IF(AND(tblSeverityAnalysis[[#This Row],[Severidad preliminar basada en la superposición de privaciones sectoriales]]=5, SUM(tblSeverityAnalysis[[#This Row],[ 1 ]:[ 4 ]])&gt;=sectors_sev_5), "Flagged", ""), "")</f>
        <v/>
      </c>
      <c r="AI138" s="348" t="str" cm="1">
        <f t="array" ref="AI13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3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38" s="350"/>
      <c r="AL138" s="351"/>
      <c r="AM138" s="350"/>
      <c r="AN138" s="407">
        <f>COUNTIF(tblSeverityAnalysis[[#This Row],[1 sectores en fase de severidad 5 '[modificar el umbral']]:[Marcador manual]], "Flagged")</f>
        <v>0</v>
      </c>
      <c r="AO138" s="418">
        <f>tblSeverityAnalysis[[#This Row],[Severidad preliminar basada en la superposición de privaciones sectoriales]]</f>
        <v>3</v>
      </c>
      <c r="AP138" s="417"/>
      <c r="AQ138" s="421" t="s">
        <v>876</v>
      </c>
      <c r="AR138" s="417">
        <v>3</v>
      </c>
    </row>
    <row r="139" spans="1:44" hidden="1">
      <c r="A13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VenezolanosVE1207</v>
      </c>
      <c r="B139" s="363" t="s">
        <v>362</v>
      </c>
      <c r="C139" s="323" t="s">
        <v>363</v>
      </c>
      <c r="D139" s="322" t="s">
        <v>376</v>
      </c>
      <c r="E139" s="323" t="s">
        <v>377</v>
      </c>
      <c r="F139" s="323"/>
      <c r="G139" s="324">
        <v>27664</v>
      </c>
      <c r="H139" s="324" t="s">
        <v>102</v>
      </c>
      <c r="I139" s="374">
        <v>3</v>
      </c>
      <c r="J139" s="237">
        <v>2</v>
      </c>
      <c r="K139" s="237">
        <v>3</v>
      </c>
      <c r="L139" s="237">
        <v>4</v>
      </c>
      <c r="M139" s="237">
        <v>2</v>
      </c>
      <c r="N139" s="237">
        <v>2</v>
      </c>
      <c r="O139" s="237">
        <v>2</v>
      </c>
      <c r="P139" s="237">
        <v>2</v>
      </c>
      <c r="Q139" s="382" t="str">
        <f>IF(COUNTIF(tblSeverityAnalysis[[#This Row],[SAMV]:[ASH]], 1)=0, "", COUNTIF(tblSeverityAnalysis[[#This Row],[SAMV]:[ASH]], 1))</f>
        <v/>
      </c>
      <c r="R139" s="325">
        <f>IF(COUNTIF(tblSeverityAnalysis[[#This Row],[SAMV]:[ASH]], 2)=0, "", COUNTIF(tblSeverityAnalysis[[#This Row],[SAMV]:[ASH]], 2))</f>
        <v>3</v>
      </c>
      <c r="S139" s="325">
        <f>IF(COUNTIF(tblSeverityAnalysis[[#This Row],[SAMV]:[ASH]], 3)=0, "", COUNTIF(tblSeverityAnalysis[[#This Row],[SAMV]:[ASH]], 3))</f>
        <v>2</v>
      </c>
      <c r="T139" s="325">
        <f>IF(COUNTIF(tblSeverityAnalysis[[#This Row],[SAMV]:[ASH]], 4)=0, "", COUNTIF(tblSeverityAnalysis[[#This Row],[SAMV]:[ASH]], 4))</f>
        <v>1</v>
      </c>
      <c r="U139" s="383" t="str">
        <f>IF(COUNTIF(tblSeverityAnalysis[[#This Row],[SAMV]:[ASH]], 5)=0, "", COUNTIF(tblSeverityAnalysis[[#This Row],[SAMV]:[ASH]], 5))</f>
        <v/>
      </c>
      <c r="V139" s="375" cm="1">
        <f t="array" ref="V13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3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39" s="237" t="str">
        <f>IFERROR(IF(INDEX(tblSeverityReference[Severidad de la desnutrición],MATCH(tblSeverityAnalysis[[#This Row],[ID]], tblSeverityReference[ID], 0))= "", "",INDEX(tblSeverityReference[Severidad de la desnutrición],MATCH(tblSeverityAnalysis[[#This Row],[ID]], tblSeverityReference[ID], 0)) ), "")</f>
        <v/>
      </c>
      <c r="Y139" s="349" t="str">
        <f>IFERROR(IF(INDEX(tblSeverityReference[Severidad epidémica],MATCH(tblSeverityAnalysis[[#This Row],[ID]], tblSeverityReference[ID], 0))= "", "",INDEX(tblSeverityReference[Severidad epidémica],MATCH(tblSeverityAnalysis[[#This Row],[ID]], tblSeverityReference[ID], 0)) ), "")</f>
        <v/>
      </c>
      <c r="Z13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39" s="391" t="str">
        <f>IFERROR(IF(INDEX(tblSeverityReference[HR/IHL Violation],MATCH(tblSeverityAnalysis[[#This Row],[ID]], tblSeverityReference[ID], 0))= "", "",INDEX(tblSeverityReference[HR/IHL Violation],MATCH(tblSeverityAnalysis[[#This Row],[ID]], tblSeverityReference[ID], 0)) ), "")</f>
        <v/>
      </c>
      <c r="AB139" s="397">
        <f>IFERROR(AVERAGE(tblSeverityAnalysis[[#This Row],[SAMV]:[ASH]]), "")</f>
        <v>2.6666666666666665</v>
      </c>
      <c r="AC139" s="346">
        <f>IF(SUM(tblSeverityAnalysis[[#This Row],[SAMV]:[ASH]])=0, "", MAX(tblSeverityAnalysis[[#This Row],[SAMV]:[ASH]]))</f>
        <v>4</v>
      </c>
      <c r="AD139" s="261" t="str" cm="1">
        <f t="array" ref="AD139">IFERROR(IF(tblSeverityAnalysis[[#This Row],[Severidad máxima]]="", "", _xlfn.TEXTJOIN(CHAR(10), TRUE, IF(tblSeverityAnalysis[[#This Row],[SAMV]:[ASH]]=tblSeverityAnalysis[[#This Row],[Severidad máxima]], tblSeverityAnalysis[[#Headers],[SAMV]:[ASH]], ""), "")), "")</f>
        <v>EDU</v>
      </c>
      <c r="AE139" s="346" cm="1">
        <f t="array" ref="AE139">IFERROR(MAX(_xlfn._xlws.FILTER(tblSeverityAnalysis[[#This Row],[SAMV]:[ASH]], tblSeverityAnalysis[[#This Row],[SAMV]:[ASH]]&lt;tblSeverityAnalysis[[#This Row],[Severidad máxima]])), "")</f>
        <v>3</v>
      </c>
      <c r="AF139" s="398" t="str" cm="1">
        <f t="array" ref="AF139">IFERROR(IF(tblSeverityAnalysis[[#This Row],[2ª mayor severidad]]="", "", _xlfn.TEXTJOIN(CHAR(10), TRUE, IF(tblSeverityAnalysis[[#This Row],[SAMV]:[ASH]]=tblSeverityAnalysis[[#This Row],[2ª mayor severidad]], tblSeverityAnalysis[[#Headers],[SAMV]:[ASH]], ""), "")), "")</f>
        <v>SAMV
SAL</v>
      </c>
      <c r="AG139" s="405" t="str">
        <f>IFERROR(IF(AND(tblSeverityAnalysis[[#This Row],[5]] &lt;&gt; "", tblSeverityAnalysis[[#This Row],[5]]&gt;=sectors_sev_5), "Flagged", ""), "")</f>
        <v/>
      </c>
      <c r="AH139" s="347" t="str">
        <f>IFERROR(IF(AND(tblSeverityAnalysis[[#This Row],[Severidad preliminar basada en la superposición de privaciones sectoriales]]=5, SUM(tblSeverityAnalysis[[#This Row],[ 1 ]:[ 4 ]])&gt;=sectors_sev_5), "Flagged", ""), "")</f>
        <v/>
      </c>
      <c r="AI139" s="348" t="str" cm="1">
        <f t="array" ref="AI13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3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39" s="350"/>
      <c r="AL139" s="351"/>
      <c r="AM139" s="350"/>
      <c r="AN139" s="407">
        <f>COUNTIF(tblSeverityAnalysis[[#This Row],[1 sectores en fase de severidad 5 '[modificar el umbral']]:[Marcador manual]], "Flagged")</f>
        <v>0</v>
      </c>
      <c r="AO139" s="418">
        <f>tblSeverityAnalysis[[#This Row],[Severidad preliminar basada en la superposición de privaciones sectoriales]]</f>
        <v>2</v>
      </c>
      <c r="AP139" s="417"/>
      <c r="AQ139" s="421" t="s">
        <v>876</v>
      </c>
      <c r="AR139" s="417">
        <v>3</v>
      </c>
    </row>
    <row r="140" spans="1:44" hidden="1">
      <c r="A14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VenezolanosVE1208</v>
      </c>
      <c r="B140" s="363" t="s">
        <v>362</v>
      </c>
      <c r="C140" s="323" t="s">
        <v>363</v>
      </c>
      <c r="D140" s="322" t="s">
        <v>129</v>
      </c>
      <c r="E140" s="323" t="s">
        <v>378</v>
      </c>
      <c r="F140" s="323"/>
      <c r="G140" s="324">
        <v>141987</v>
      </c>
      <c r="H140" s="324" t="s">
        <v>102</v>
      </c>
      <c r="I140" s="374">
        <v>3</v>
      </c>
      <c r="J140" s="237">
        <v>2</v>
      </c>
      <c r="K140" s="237">
        <v>3</v>
      </c>
      <c r="L140" s="237">
        <v>4</v>
      </c>
      <c r="M140" s="237">
        <v>4</v>
      </c>
      <c r="N140" s="237">
        <v>2</v>
      </c>
      <c r="O140" s="237">
        <v>4</v>
      </c>
      <c r="P140" s="237">
        <v>4</v>
      </c>
      <c r="Q140" s="382" t="str">
        <f>IF(COUNTIF(tblSeverityAnalysis[[#This Row],[SAMV]:[ASH]], 1)=0, "", COUNTIF(tblSeverityAnalysis[[#This Row],[SAMV]:[ASH]], 1))</f>
        <v/>
      </c>
      <c r="R140" s="325">
        <f>IF(COUNTIF(tblSeverityAnalysis[[#This Row],[SAMV]:[ASH]], 2)=0, "", COUNTIF(tblSeverityAnalysis[[#This Row],[SAMV]:[ASH]], 2))</f>
        <v>2</v>
      </c>
      <c r="S140" s="325">
        <f>IF(COUNTIF(tblSeverityAnalysis[[#This Row],[SAMV]:[ASH]], 3)=0, "", COUNTIF(tblSeverityAnalysis[[#This Row],[SAMV]:[ASH]], 3))</f>
        <v>2</v>
      </c>
      <c r="T140" s="325">
        <f>IF(COUNTIF(tblSeverityAnalysis[[#This Row],[SAMV]:[ASH]], 4)=0, "", COUNTIF(tblSeverityAnalysis[[#This Row],[SAMV]:[ASH]], 4))</f>
        <v>2</v>
      </c>
      <c r="U140" s="383" t="str">
        <f>IF(COUNTIF(tblSeverityAnalysis[[#This Row],[SAMV]:[ASH]], 5)=0, "", COUNTIF(tblSeverityAnalysis[[#This Row],[SAMV]:[ASH]], 5))</f>
        <v/>
      </c>
      <c r="V140" s="375" cm="1">
        <f t="array" ref="V14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4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40" s="237" t="str">
        <f>IFERROR(IF(INDEX(tblSeverityReference[Severidad de la desnutrición],MATCH(tblSeverityAnalysis[[#This Row],[ID]], tblSeverityReference[ID], 0))= "", "",INDEX(tblSeverityReference[Severidad de la desnutrición],MATCH(tblSeverityAnalysis[[#This Row],[ID]], tblSeverityReference[ID], 0)) ), "")</f>
        <v/>
      </c>
      <c r="Y140" s="349" t="str">
        <f>IFERROR(IF(INDEX(tblSeverityReference[Severidad epidémica],MATCH(tblSeverityAnalysis[[#This Row],[ID]], tblSeverityReference[ID], 0))= "", "",INDEX(tblSeverityReference[Severidad epidémica],MATCH(tblSeverityAnalysis[[#This Row],[ID]], tblSeverityReference[ID], 0)) ), "")</f>
        <v/>
      </c>
      <c r="Z14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40" s="391" t="str">
        <f>IFERROR(IF(INDEX(tblSeverityReference[HR/IHL Violation],MATCH(tblSeverityAnalysis[[#This Row],[ID]], tblSeverityReference[ID], 0))= "", "",INDEX(tblSeverityReference[HR/IHL Violation],MATCH(tblSeverityAnalysis[[#This Row],[ID]], tblSeverityReference[ID], 0)) ), "")</f>
        <v/>
      </c>
      <c r="AB140" s="397">
        <f>IFERROR(AVERAGE(tblSeverityAnalysis[[#This Row],[SAMV]:[ASH]]), "")</f>
        <v>3</v>
      </c>
      <c r="AC140" s="346">
        <f>IF(SUM(tblSeverityAnalysis[[#This Row],[SAMV]:[ASH]])=0, "", MAX(tblSeverityAnalysis[[#This Row],[SAMV]:[ASH]]))</f>
        <v>4</v>
      </c>
      <c r="AD140" s="261" t="str" cm="1">
        <f t="array" ref="AD140">IFERROR(IF(tblSeverityAnalysis[[#This Row],[Severidad máxima]]="", "", _xlfn.TEXTJOIN(CHAR(10), TRUE, IF(tblSeverityAnalysis[[#This Row],[SAMV]:[ASH]]=tblSeverityAnalysis[[#This Row],[Severidad máxima]], tblSeverityAnalysis[[#Headers],[SAMV]:[ASH]], ""), "")), "")</f>
        <v>EDU
PRO</v>
      </c>
      <c r="AE140" s="346" cm="1">
        <f t="array" ref="AE140">IFERROR(MAX(_xlfn._xlws.FILTER(tblSeverityAnalysis[[#This Row],[SAMV]:[ASH]], tblSeverityAnalysis[[#This Row],[SAMV]:[ASH]]&lt;tblSeverityAnalysis[[#This Row],[Severidad máxima]])), "")</f>
        <v>3</v>
      </c>
      <c r="AF140" s="398" t="str" cm="1">
        <f t="array" ref="AF140">IFERROR(IF(tblSeverityAnalysis[[#This Row],[2ª mayor severidad]]="", "", _xlfn.TEXTJOIN(CHAR(10), TRUE, IF(tblSeverityAnalysis[[#This Row],[SAMV]:[ASH]]=tblSeverityAnalysis[[#This Row],[2ª mayor severidad]], tblSeverityAnalysis[[#Headers],[SAMV]:[ASH]], ""), "")), "")</f>
        <v>SAMV
SAL</v>
      </c>
      <c r="AG140" s="405" t="str">
        <f>IFERROR(IF(AND(tblSeverityAnalysis[[#This Row],[5]] &lt;&gt; "", tblSeverityAnalysis[[#This Row],[5]]&gt;=sectors_sev_5), "Flagged", ""), "")</f>
        <v/>
      </c>
      <c r="AH140" s="347" t="str">
        <f>IFERROR(IF(AND(tblSeverityAnalysis[[#This Row],[Severidad preliminar basada en la superposición de privaciones sectoriales]]=5, SUM(tblSeverityAnalysis[[#This Row],[ 1 ]:[ 4 ]])&gt;=sectors_sev_5), "Flagged", ""), "")</f>
        <v/>
      </c>
      <c r="AI140" s="348" t="str" cm="1">
        <f t="array" ref="AI14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4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40" s="350"/>
      <c r="AL140" s="351"/>
      <c r="AM140" s="350"/>
      <c r="AN140" s="407">
        <f>COUNTIF(tblSeverityAnalysis[[#This Row],[1 sectores en fase de severidad 5 '[modificar el umbral']]:[Marcador manual]], "Flagged")</f>
        <v>0</v>
      </c>
      <c r="AO140" s="418">
        <f>tblSeverityAnalysis[[#This Row],[Severidad preliminar basada en la superposición de privaciones sectoriales]]</f>
        <v>3</v>
      </c>
      <c r="AP140" s="417"/>
      <c r="AQ140" s="421" t="s">
        <v>876</v>
      </c>
      <c r="AR140" s="417">
        <v>3</v>
      </c>
    </row>
    <row r="141" spans="1:44" hidden="1">
      <c r="A14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VenezolanosVE1209</v>
      </c>
      <c r="B141" s="363" t="s">
        <v>362</v>
      </c>
      <c r="C141" s="323" t="s">
        <v>363</v>
      </c>
      <c r="D141" s="322" t="s">
        <v>379</v>
      </c>
      <c r="E141" s="323" t="s">
        <v>380</v>
      </c>
      <c r="F141" s="323"/>
      <c r="G141" s="324">
        <v>74559</v>
      </c>
      <c r="H141" s="324" t="s">
        <v>102</v>
      </c>
      <c r="I141" s="374">
        <v>3</v>
      </c>
      <c r="J141" s="237">
        <v>2</v>
      </c>
      <c r="K141" s="237">
        <v>3</v>
      </c>
      <c r="L141" s="237">
        <v>4</v>
      </c>
      <c r="M141" s="237">
        <v>4</v>
      </c>
      <c r="N141" s="237">
        <v>3</v>
      </c>
      <c r="O141" s="237">
        <v>4</v>
      </c>
      <c r="P141" s="237">
        <v>4</v>
      </c>
      <c r="Q141" s="382" t="str">
        <f>IF(COUNTIF(tblSeverityAnalysis[[#This Row],[SAMV]:[ASH]], 1)=0, "", COUNTIF(tblSeverityAnalysis[[#This Row],[SAMV]:[ASH]], 1))</f>
        <v/>
      </c>
      <c r="R141" s="325">
        <f>IF(COUNTIF(tblSeverityAnalysis[[#This Row],[SAMV]:[ASH]], 2)=0, "", COUNTIF(tblSeverityAnalysis[[#This Row],[SAMV]:[ASH]], 2))</f>
        <v>1</v>
      </c>
      <c r="S141" s="325">
        <f>IF(COUNTIF(tblSeverityAnalysis[[#This Row],[SAMV]:[ASH]], 3)=0, "", COUNTIF(tblSeverityAnalysis[[#This Row],[SAMV]:[ASH]], 3))</f>
        <v>3</v>
      </c>
      <c r="T141" s="325">
        <f>IF(COUNTIF(tblSeverityAnalysis[[#This Row],[SAMV]:[ASH]], 4)=0, "", COUNTIF(tblSeverityAnalysis[[#This Row],[SAMV]:[ASH]], 4))</f>
        <v>2</v>
      </c>
      <c r="U141" s="383" t="str">
        <f>IF(COUNTIF(tblSeverityAnalysis[[#This Row],[SAMV]:[ASH]], 5)=0, "", COUNTIF(tblSeverityAnalysis[[#This Row],[SAMV]:[ASH]], 5))</f>
        <v/>
      </c>
      <c r="V141" s="375" cm="1">
        <f t="array" ref="V14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4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41" s="237" t="str">
        <f>IFERROR(IF(INDEX(tblSeverityReference[Severidad de la desnutrición],MATCH(tblSeverityAnalysis[[#This Row],[ID]], tblSeverityReference[ID], 0))= "", "",INDEX(tblSeverityReference[Severidad de la desnutrición],MATCH(tblSeverityAnalysis[[#This Row],[ID]], tblSeverityReference[ID], 0)) ), "")</f>
        <v/>
      </c>
      <c r="Y141" s="349" t="str">
        <f>IFERROR(IF(INDEX(tblSeverityReference[Severidad epidémica],MATCH(tblSeverityAnalysis[[#This Row],[ID]], tblSeverityReference[ID], 0))= "", "",INDEX(tblSeverityReference[Severidad epidémica],MATCH(tblSeverityAnalysis[[#This Row],[ID]], tblSeverityReference[ID], 0)) ), "")</f>
        <v/>
      </c>
      <c r="Z14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41" s="391" t="str">
        <f>IFERROR(IF(INDEX(tblSeverityReference[HR/IHL Violation],MATCH(tblSeverityAnalysis[[#This Row],[ID]], tblSeverityReference[ID], 0))= "", "",INDEX(tblSeverityReference[HR/IHL Violation],MATCH(tblSeverityAnalysis[[#This Row],[ID]], tblSeverityReference[ID], 0)) ), "")</f>
        <v/>
      </c>
      <c r="AB141" s="397">
        <f>IFERROR(AVERAGE(tblSeverityAnalysis[[#This Row],[SAMV]:[ASH]]), "")</f>
        <v>3.1666666666666665</v>
      </c>
      <c r="AC141" s="346">
        <f>IF(SUM(tblSeverityAnalysis[[#This Row],[SAMV]:[ASH]])=0, "", MAX(tblSeverityAnalysis[[#This Row],[SAMV]:[ASH]]))</f>
        <v>4</v>
      </c>
      <c r="AD141" s="261" t="str" cm="1">
        <f t="array" ref="AD141">IFERROR(IF(tblSeverityAnalysis[[#This Row],[Severidad máxima]]="", "", _xlfn.TEXTJOIN(CHAR(10), TRUE, IF(tblSeverityAnalysis[[#This Row],[SAMV]:[ASH]]=tblSeverityAnalysis[[#This Row],[Severidad máxima]], tblSeverityAnalysis[[#Headers],[SAMV]:[ASH]], ""), "")), "")</f>
        <v>EDU
PRO</v>
      </c>
      <c r="AE141" s="346" cm="1">
        <f t="array" ref="AE141">IFERROR(MAX(_xlfn._xlws.FILTER(tblSeverityAnalysis[[#This Row],[SAMV]:[ASH]], tblSeverityAnalysis[[#This Row],[SAMV]:[ASH]]&lt;tblSeverityAnalysis[[#This Row],[Severidad máxima]])), "")</f>
        <v>3</v>
      </c>
      <c r="AF141" s="398" t="str" cm="1">
        <f t="array" ref="AF141">IFERROR(IF(tblSeverityAnalysis[[#This Row],[2ª mayor severidad]]="", "", _xlfn.TEXTJOIN(CHAR(10), TRUE, IF(tblSeverityAnalysis[[#This Row],[SAMV]:[ASH]]=tblSeverityAnalysis[[#This Row],[2ª mayor severidad]], tblSeverityAnalysis[[#Headers],[SAMV]:[ASH]], ""), "")), "")</f>
        <v>SAMV
SAL
ASH</v>
      </c>
      <c r="AG141" s="405" t="str">
        <f>IFERROR(IF(AND(tblSeverityAnalysis[[#This Row],[5]] &lt;&gt; "", tblSeverityAnalysis[[#This Row],[5]]&gt;=sectors_sev_5), "Flagged", ""), "")</f>
        <v/>
      </c>
      <c r="AH141" s="347" t="str">
        <f>IFERROR(IF(AND(tblSeverityAnalysis[[#This Row],[Severidad preliminar basada en la superposición de privaciones sectoriales]]=5, SUM(tblSeverityAnalysis[[#This Row],[ 1 ]:[ 4 ]])&gt;=sectors_sev_5), "Flagged", ""), "")</f>
        <v/>
      </c>
      <c r="AI141" s="348" t="str" cm="1">
        <f t="array" ref="AI14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4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41" s="350"/>
      <c r="AL141" s="351"/>
      <c r="AM141" s="350"/>
      <c r="AN141" s="407">
        <f>COUNTIF(tblSeverityAnalysis[[#This Row],[1 sectores en fase de severidad 5 '[modificar el umbral']]:[Marcador manual]], "Flagged")</f>
        <v>0</v>
      </c>
      <c r="AO141" s="418">
        <f>tblSeverityAnalysis[[#This Row],[Severidad preliminar basada en la superposición de privaciones sectoriales]]</f>
        <v>3</v>
      </c>
      <c r="AP141" s="417"/>
      <c r="AQ141" s="421" t="s">
        <v>876</v>
      </c>
      <c r="AR141" s="417">
        <v>3</v>
      </c>
    </row>
    <row r="142" spans="1:44" hidden="1">
      <c r="A14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VenezolanosVE1210</v>
      </c>
      <c r="B142" s="363" t="s">
        <v>362</v>
      </c>
      <c r="C142" s="323" t="s">
        <v>363</v>
      </c>
      <c r="D142" s="322" t="s">
        <v>381</v>
      </c>
      <c r="E142" s="323" t="s">
        <v>382</v>
      </c>
      <c r="F142" s="323"/>
      <c r="G142" s="324">
        <v>23755</v>
      </c>
      <c r="H142" s="324" t="s">
        <v>102</v>
      </c>
      <c r="I142" s="374">
        <v>3</v>
      </c>
      <c r="J142" s="237">
        <v>2</v>
      </c>
      <c r="K142" s="237">
        <v>3</v>
      </c>
      <c r="L142" s="237">
        <v>4</v>
      </c>
      <c r="M142" s="237">
        <v>3</v>
      </c>
      <c r="N142" s="237">
        <v>2</v>
      </c>
      <c r="O142" s="237">
        <v>3</v>
      </c>
      <c r="P142" s="237">
        <v>3</v>
      </c>
      <c r="Q142" s="382" t="str">
        <f>IF(COUNTIF(tblSeverityAnalysis[[#This Row],[SAMV]:[ASH]], 1)=0, "", COUNTIF(tblSeverityAnalysis[[#This Row],[SAMV]:[ASH]], 1))</f>
        <v/>
      </c>
      <c r="R142" s="325">
        <f>IF(COUNTIF(tblSeverityAnalysis[[#This Row],[SAMV]:[ASH]], 2)=0, "", COUNTIF(tblSeverityAnalysis[[#This Row],[SAMV]:[ASH]], 2))</f>
        <v>2</v>
      </c>
      <c r="S142" s="325">
        <f>IF(COUNTIF(tblSeverityAnalysis[[#This Row],[SAMV]:[ASH]], 3)=0, "", COUNTIF(tblSeverityAnalysis[[#This Row],[SAMV]:[ASH]], 3))</f>
        <v>3</v>
      </c>
      <c r="T142" s="325">
        <f>IF(COUNTIF(tblSeverityAnalysis[[#This Row],[SAMV]:[ASH]], 4)=0, "", COUNTIF(tblSeverityAnalysis[[#This Row],[SAMV]:[ASH]], 4))</f>
        <v>1</v>
      </c>
      <c r="U142" s="383" t="str">
        <f>IF(COUNTIF(tblSeverityAnalysis[[#This Row],[SAMV]:[ASH]], 5)=0, "", COUNTIF(tblSeverityAnalysis[[#This Row],[SAMV]:[ASH]], 5))</f>
        <v/>
      </c>
      <c r="V142" s="375" cm="1">
        <f t="array" ref="V14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4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42" s="237" t="str">
        <f>IFERROR(IF(INDEX(tblSeverityReference[Severidad de la desnutrición],MATCH(tblSeverityAnalysis[[#This Row],[ID]], tblSeverityReference[ID], 0))= "", "",INDEX(tblSeverityReference[Severidad de la desnutrición],MATCH(tblSeverityAnalysis[[#This Row],[ID]], tblSeverityReference[ID], 0)) ), "")</f>
        <v/>
      </c>
      <c r="Y142" s="349" t="str">
        <f>IFERROR(IF(INDEX(tblSeverityReference[Severidad epidémica],MATCH(tblSeverityAnalysis[[#This Row],[ID]], tblSeverityReference[ID], 0))= "", "",INDEX(tblSeverityReference[Severidad epidémica],MATCH(tblSeverityAnalysis[[#This Row],[ID]], tblSeverityReference[ID], 0)) ), "")</f>
        <v/>
      </c>
      <c r="Z14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42" s="391" t="str">
        <f>IFERROR(IF(INDEX(tblSeverityReference[HR/IHL Violation],MATCH(tblSeverityAnalysis[[#This Row],[ID]], tblSeverityReference[ID], 0))= "", "",INDEX(tblSeverityReference[HR/IHL Violation],MATCH(tblSeverityAnalysis[[#This Row],[ID]], tblSeverityReference[ID], 0)) ), "")</f>
        <v/>
      </c>
      <c r="AB142" s="397">
        <f>IFERROR(AVERAGE(tblSeverityAnalysis[[#This Row],[SAMV]:[ASH]]), "")</f>
        <v>2.8333333333333335</v>
      </c>
      <c r="AC142" s="346">
        <f>IF(SUM(tblSeverityAnalysis[[#This Row],[SAMV]:[ASH]])=0, "", MAX(tblSeverityAnalysis[[#This Row],[SAMV]:[ASH]]))</f>
        <v>4</v>
      </c>
      <c r="AD142" s="261" t="str" cm="1">
        <f t="array" ref="AD142">IFERROR(IF(tblSeverityAnalysis[[#This Row],[Severidad máxima]]="", "", _xlfn.TEXTJOIN(CHAR(10), TRUE, IF(tblSeverityAnalysis[[#This Row],[SAMV]:[ASH]]=tblSeverityAnalysis[[#This Row],[Severidad máxima]], tblSeverityAnalysis[[#Headers],[SAMV]:[ASH]], ""), "")), "")</f>
        <v>EDU</v>
      </c>
      <c r="AE142" s="346" cm="1">
        <f t="array" ref="AE142">IFERROR(MAX(_xlfn._xlws.FILTER(tblSeverityAnalysis[[#This Row],[SAMV]:[ASH]], tblSeverityAnalysis[[#This Row],[SAMV]:[ASH]]&lt;tblSeverityAnalysis[[#This Row],[Severidad máxima]])), "")</f>
        <v>3</v>
      </c>
      <c r="AF142" s="398" t="str" cm="1">
        <f t="array" ref="AF142">IFERROR(IF(tblSeverityAnalysis[[#This Row],[2ª mayor severidad]]="", "", _xlfn.TEXTJOIN(CHAR(10), TRUE, IF(tblSeverityAnalysis[[#This Row],[SAMV]:[ASH]]=tblSeverityAnalysis[[#This Row],[2ª mayor severidad]], tblSeverityAnalysis[[#Headers],[SAMV]:[ASH]], ""), "")), "")</f>
        <v>SAMV
SAL
PRO</v>
      </c>
      <c r="AG142" s="405" t="str">
        <f>IFERROR(IF(AND(tblSeverityAnalysis[[#This Row],[5]] &lt;&gt; "", tblSeverityAnalysis[[#This Row],[5]]&gt;=sectors_sev_5), "Flagged", ""), "")</f>
        <v/>
      </c>
      <c r="AH142" s="347" t="str">
        <f>IFERROR(IF(AND(tblSeverityAnalysis[[#This Row],[Severidad preliminar basada en la superposición de privaciones sectoriales]]=5, SUM(tblSeverityAnalysis[[#This Row],[ 1 ]:[ 4 ]])&gt;=sectors_sev_5), "Flagged", ""), "")</f>
        <v/>
      </c>
      <c r="AI142" s="348" t="str" cm="1">
        <f t="array" ref="AI14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4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42" s="350"/>
      <c r="AL142" s="351"/>
      <c r="AM142" s="350"/>
      <c r="AN142" s="407">
        <f>COUNTIF(tblSeverityAnalysis[[#This Row],[1 sectores en fase de severidad 5 '[modificar el umbral']]:[Marcador manual]], "Flagged")</f>
        <v>0</v>
      </c>
      <c r="AO142" s="418">
        <f>tblSeverityAnalysis[[#This Row],[Severidad preliminar basada en la superposición de privaciones sectoriales]]</f>
        <v>3</v>
      </c>
      <c r="AP142" s="417"/>
      <c r="AQ142" s="421" t="s">
        <v>876</v>
      </c>
      <c r="AR142" s="417">
        <v>3</v>
      </c>
    </row>
    <row r="143" spans="1:44" hidden="1">
      <c r="A14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VenezolanosVE1211</v>
      </c>
      <c r="B143" s="363" t="s">
        <v>362</v>
      </c>
      <c r="C143" s="323" t="s">
        <v>363</v>
      </c>
      <c r="D143" s="322" t="s">
        <v>383</v>
      </c>
      <c r="E143" s="323" t="s">
        <v>384</v>
      </c>
      <c r="F143" s="323"/>
      <c r="G143" s="324">
        <v>38408</v>
      </c>
      <c r="H143" s="324" t="s">
        <v>102</v>
      </c>
      <c r="I143" s="374">
        <v>3</v>
      </c>
      <c r="J143" s="237">
        <v>3</v>
      </c>
      <c r="K143" s="237">
        <v>3</v>
      </c>
      <c r="L143" s="237">
        <v>4</v>
      </c>
      <c r="M143" s="237">
        <v>2</v>
      </c>
      <c r="N143" s="237">
        <v>3</v>
      </c>
      <c r="O143" s="237">
        <v>2</v>
      </c>
      <c r="P143" s="237">
        <v>2</v>
      </c>
      <c r="Q143" s="382" t="str">
        <f>IF(COUNTIF(tblSeverityAnalysis[[#This Row],[SAMV]:[ASH]], 1)=0, "", COUNTIF(tblSeverityAnalysis[[#This Row],[SAMV]:[ASH]], 1))</f>
        <v/>
      </c>
      <c r="R143" s="325">
        <f>IF(COUNTIF(tblSeverityAnalysis[[#This Row],[SAMV]:[ASH]], 2)=0, "", COUNTIF(tblSeverityAnalysis[[#This Row],[SAMV]:[ASH]], 2))</f>
        <v>1</v>
      </c>
      <c r="S143" s="325">
        <f>IF(COUNTIF(tblSeverityAnalysis[[#This Row],[SAMV]:[ASH]], 3)=0, "", COUNTIF(tblSeverityAnalysis[[#This Row],[SAMV]:[ASH]], 3))</f>
        <v>4</v>
      </c>
      <c r="T143" s="325">
        <f>IF(COUNTIF(tblSeverityAnalysis[[#This Row],[SAMV]:[ASH]], 4)=0, "", COUNTIF(tblSeverityAnalysis[[#This Row],[SAMV]:[ASH]], 4))</f>
        <v>1</v>
      </c>
      <c r="U143" s="383" t="str">
        <f>IF(COUNTIF(tblSeverityAnalysis[[#This Row],[SAMV]:[ASH]], 5)=0, "", COUNTIF(tblSeverityAnalysis[[#This Row],[SAMV]:[ASH]], 5))</f>
        <v/>
      </c>
      <c r="V143" s="375" cm="1">
        <f t="array" ref="V14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4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43" s="237" t="str">
        <f>IFERROR(IF(INDEX(tblSeverityReference[Severidad de la desnutrición],MATCH(tblSeverityAnalysis[[#This Row],[ID]], tblSeverityReference[ID], 0))= "", "",INDEX(tblSeverityReference[Severidad de la desnutrición],MATCH(tblSeverityAnalysis[[#This Row],[ID]], tblSeverityReference[ID], 0)) ), "")</f>
        <v/>
      </c>
      <c r="Y143" s="349" t="str">
        <f>IFERROR(IF(INDEX(tblSeverityReference[Severidad epidémica],MATCH(tblSeverityAnalysis[[#This Row],[ID]], tblSeverityReference[ID], 0))= "", "",INDEX(tblSeverityReference[Severidad epidémica],MATCH(tblSeverityAnalysis[[#This Row],[ID]], tblSeverityReference[ID], 0)) ), "")</f>
        <v/>
      </c>
      <c r="Z14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43" s="391" t="str">
        <f>IFERROR(IF(INDEX(tblSeverityReference[HR/IHL Violation],MATCH(tblSeverityAnalysis[[#This Row],[ID]], tblSeverityReference[ID], 0))= "", "",INDEX(tblSeverityReference[HR/IHL Violation],MATCH(tblSeverityAnalysis[[#This Row],[ID]], tblSeverityReference[ID], 0)) ), "")</f>
        <v/>
      </c>
      <c r="AB143" s="397">
        <f>IFERROR(AVERAGE(tblSeverityAnalysis[[#This Row],[SAMV]:[ASH]]), "")</f>
        <v>3</v>
      </c>
      <c r="AC143" s="346">
        <f>IF(SUM(tblSeverityAnalysis[[#This Row],[SAMV]:[ASH]])=0, "", MAX(tblSeverityAnalysis[[#This Row],[SAMV]:[ASH]]))</f>
        <v>4</v>
      </c>
      <c r="AD143" s="261" t="str" cm="1">
        <f t="array" ref="AD143">IFERROR(IF(tblSeverityAnalysis[[#This Row],[Severidad máxima]]="", "", _xlfn.TEXTJOIN(CHAR(10), TRUE, IF(tblSeverityAnalysis[[#This Row],[SAMV]:[ASH]]=tblSeverityAnalysis[[#This Row],[Severidad máxima]], tblSeverityAnalysis[[#Headers],[SAMV]:[ASH]], ""), "")), "")</f>
        <v>EDU</v>
      </c>
      <c r="AE143" s="346" cm="1">
        <f t="array" ref="AE143">IFERROR(MAX(_xlfn._xlws.FILTER(tblSeverityAnalysis[[#This Row],[SAMV]:[ASH]], tblSeverityAnalysis[[#This Row],[SAMV]:[ASH]]&lt;tblSeverityAnalysis[[#This Row],[Severidad máxima]])), "")</f>
        <v>3</v>
      </c>
      <c r="AF143" s="398" t="str" cm="1">
        <f t="array" ref="AF143">IFERROR(IF(tblSeverityAnalysis[[#This Row],[2ª mayor severidad]]="", "", _xlfn.TEXTJOIN(CHAR(10), TRUE, IF(tblSeverityAnalysis[[#This Row],[SAMV]:[ASH]]=tblSeverityAnalysis[[#This Row],[2ª mayor severidad]], tblSeverityAnalysis[[#Headers],[SAMV]:[ASH]], ""), "")), "")</f>
        <v>SAMV
NUT
SAL
ASH</v>
      </c>
      <c r="AG143" s="405" t="str">
        <f>IFERROR(IF(AND(tblSeverityAnalysis[[#This Row],[5]] &lt;&gt; "", tblSeverityAnalysis[[#This Row],[5]]&gt;=sectors_sev_5), "Flagged", ""), "")</f>
        <v/>
      </c>
      <c r="AH143" s="347" t="str">
        <f>IFERROR(IF(AND(tblSeverityAnalysis[[#This Row],[Severidad preliminar basada en la superposición de privaciones sectoriales]]=5, SUM(tblSeverityAnalysis[[#This Row],[ 1 ]:[ 4 ]])&gt;=sectors_sev_5), "Flagged", ""), "")</f>
        <v/>
      </c>
      <c r="AI143" s="348" t="str" cm="1">
        <f t="array" ref="AI14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4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43" s="350"/>
      <c r="AL143" s="351"/>
      <c r="AM143" s="350"/>
      <c r="AN143" s="407">
        <f>COUNTIF(tblSeverityAnalysis[[#This Row],[1 sectores en fase de severidad 5 '[modificar el umbral']]:[Marcador manual]], "Flagged")</f>
        <v>0</v>
      </c>
      <c r="AO143" s="418">
        <f>tblSeverityAnalysis[[#This Row],[Severidad preliminar basada en la superposición de privaciones sectoriales]]</f>
        <v>3</v>
      </c>
      <c r="AP143" s="417"/>
      <c r="AQ143" s="421" t="s">
        <v>876</v>
      </c>
      <c r="AR143" s="417">
        <v>3</v>
      </c>
    </row>
    <row r="144" spans="1:44" hidden="1">
      <c r="A14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VenezolanosVE1212</v>
      </c>
      <c r="B144" s="363" t="s">
        <v>362</v>
      </c>
      <c r="C144" s="323" t="s">
        <v>363</v>
      </c>
      <c r="D144" s="322" t="s">
        <v>385</v>
      </c>
      <c r="E144" s="323" t="s">
        <v>386</v>
      </c>
      <c r="F144" s="323"/>
      <c r="G144" s="324">
        <v>126178</v>
      </c>
      <c r="H144" s="324" t="s">
        <v>102</v>
      </c>
      <c r="I144" s="374">
        <v>3</v>
      </c>
      <c r="J144" s="237">
        <v>2</v>
      </c>
      <c r="K144" s="237">
        <v>3</v>
      </c>
      <c r="L144" s="237">
        <v>4</v>
      </c>
      <c r="M144" s="237">
        <v>4</v>
      </c>
      <c r="N144" s="237">
        <v>3</v>
      </c>
      <c r="O144" s="237">
        <v>4</v>
      </c>
      <c r="P144" s="237">
        <v>4</v>
      </c>
      <c r="Q144" s="382" t="str">
        <f>IF(COUNTIF(tblSeverityAnalysis[[#This Row],[SAMV]:[ASH]], 1)=0, "", COUNTIF(tblSeverityAnalysis[[#This Row],[SAMV]:[ASH]], 1))</f>
        <v/>
      </c>
      <c r="R144" s="325">
        <f>IF(COUNTIF(tblSeverityAnalysis[[#This Row],[SAMV]:[ASH]], 2)=0, "", COUNTIF(tblSeverityAnalysis[[#This Row],[SAMV]:[ASH]], 2))</f>
        <v>1</v>
      </c>
      <c r="S144" s="325">
        <f>IF(COUNTIF(tblSeverityAnalysis[[#This Row],[SAMV]:[ASH]], 3)=0, "", COUNTIF(tblSeverityAnalysis[[#This Row],[SAMV]:[ASH]], 3))</f>
        <v>3</v>
      </c>
      <c r="T144" s="325">
        <f>IF(COUNTIF(tblSeverityAnalysis[[#This Row],[SAMV]:[ASH]], 4)=0, "", COUNTIF(tblSeverityAnalysis[[#This Row],[SAMV]:[ASH]], 4))</f>
        <v>2</v>
      </c>
      <c r="U144" s="383" t="str">
        <f>IF(COUNTIF(tblSeverityAnalysis[[#This Row],[SAMV]:[ASH]], 5)=0, "", COUNTIF(tblSeverityAnalysis[[#This Row],[SAMV]:[ASH]], 5))</f>
        <v/>
      </c>
      <c r="V144" s="375" cm="1">
        <f t="array" ref="V14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4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44" s="237" t="str">
        <f>IFERROR(IF(INDEX(tblSeverityReference[Severidad de la desnutrición],MATCH(tblSeverityAnalysis[[#This Row],[ID]], tblSeverityReference[ID], 0))= "", "",INDEX(tblSeverityReference[Severidad de la desnutrición],MATCH(tblSeverityAnalysis[[#This Row],[ID]], tblSeverityReference[ID], 0)) ), "")</f>
        <v/>
      </c>
      <c r="Y144" s="349" t="str">
        <f>IFERROR(IF(INDEX(tblSeverityReference[Severidad epidémica],MATCH(tblSeverityAnalysis[[#This Row],[ID]], tblSeverityReference[ID], 0))= "", "",INDEX(tblSeverityReference[Severidad epidémica],MATCH(tblSeverityAnalysis[[#This Row],[ID]], tblSeverityReference[ID], 0)) ), "")</f>
        <v/>
      </c>
      <c r="Z14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44" s="391" t="str">
        <f>IFERROR(IF(INDEX(tblSeverityReference[HR/IHL Violation],MATCH(tblSeverityAnalysis[[#This Row],[ID]], tblSeverityReference[ID], 0))= "", "",INDEX(tblSeverityReference[HR/IHL Violation],MATCH(tblSeverityAnalysis[[#This Row],[ID]], tblSeverityReference[ID], 0)) ), "")</f>
        <v/>
      </c>
      <c r="AB144" s="397">
        <f>IFERROR(AVERAGE(tblSeverityAnalysis[[#This Row],[SAMV]:[ASH]]), "")</f>
        <v>3.1666666666666665</v>
      </c>
      <c r="AC144" s="346">
        <f>IF(SUM(tblSeverityAnalysis[[#This Row],[SAMV]:[ASH]])=0, "", MAX(tblSeverityAnalysis[[#This Row],[SAMV]:[ASH]]))</f>
        <v>4</v>
      </c>
      <c r="AD144" s="261" t="str" cm="1">
        <f t="array" ref="AD144">IFERROR(IF(tblSeverityAnalysis[[#This Row],[Severidad máxima]]="", "", _xlfn.TEXTJOIN(CHAR(10), TRUE, IF(tblSeverityAnalysis[[#This Row],[SAMV]:[ASH]]=tblSeverityAnalysis[[#This Row],[Severidad máxima]], tblSeverityAnalysis[[#Headers],[SAMV]:[ASH]], ""), "")), "")</f>
        <v>EDU
PRO</v>
      </c>
      <c r="AE144" s="346" cm="1">
        <f t="array" ref="AE144">IFERROR(MAX(_xlfn._xlws.FILTER(tblSeverityAnalysis[[#This Row],[SAMV]:[ASH]], tblSeverityAnalysis[[#This Row],[SAMV]:[ASH]]&lt;tblSeverityAnalysis[[#This Row],[Severidad máxima]])), "")</f>
        <v>3</v>
      </c>
      <c r="AF144" s="398" t="str" cm="1">
        <f t="array" ref="AF144">IFERROR(IF(tblSeverityAnalysis[[#This Row],[2ª mayor severidad]]="", "", _xlfn.TEXTJOIN(CHAR(10), TRUE, IF(tblSeverityAnalysis[[#This Row],[SAMV]:[ASH]]=tblSeverityAnalysis[[#This Row],[2ª mayor severidad]], tblSeverityAnalysis[[#Headers],[SAMV]:[ASH]], ""), "")), "")</f>
        <v>SAMV
SAL
ASH</v>
      </c>
      <c r="AG144" s="405" t="str">
        <f>IFERROR(IF(AND(tblSeverityAnalysis[[#This Row],[5]] &lt;&gt; "", tblSeverityAnalysis[[#This Row],[5]]&gt;=sectors_sev_5), "Flagged", ""), "")</f>
        <v/>
      </c>
      <c r="AH144" s="347" t="str">
        <f>IFERROR(IF(AND(tblSeverityAnalysis[[#This Row],[Severidad preliminar basada en la superposición de privaciones sectoriales]]=5, SUM(tblSeverityAnalysis[[#This Row],[ 1 ]:[ 4 ]])&gt;=sectors_sev_5), "Flagged", ""), "")</f>
        <v/>
      </c>
      <c r="AI144" s="348" t="str" cm="1">
        <f t="array" ref="AI14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4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44" s="350"/>
      <c r="AL144" s="351"/>
      <c r="AM144" s="350"/>
      <c r="AN144" s="407">
        <f>COUNTIF(tblSeverityAnalysis[[#This Row],[1 sectores en fase de severidad 5 '[modificar el umbral']]:[Marcador manual]], "Flagged")</f>
        <v>0</v>
      </c>
      <c r="AO144" s="418">
        <f>tblSeverityAnalysis[[#This Row],[Severidad preliminar basada en la superposición de privaciones sectoriales]]</f>
        <v>3</v>
      </c>
      <c r="AP144" s="417"/>
      <c r="AQ144" s="421" t="s">
        <v>876</v>
      </c>
      <c r="AR144" s="417">
        <v>3</v>
      </c>
    </row>
    <row r="145" spans="1:44" hidden="1">
      <c r="A14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VenezolanosVE1213</v>
      </c>
      <c r="B145" s="363" t="s">
        <v>362</v>
      </c>
      <c r="C145" s="323" t="s">
        <v>363</v>
      </c>
      <c r="D145" s="322" t="s">
        <v>387</v>
      </c>
      <c r="E145" s="323" t="s">
        <v>388</v>
      </c>
      <c r="F145" s="323"/>
      <c r="G145" s="324">
        <v>11426</v>
      </c>
      <c r="H145" s="324" t="s">
        <v>102</v>
      </c>
      <c r="I145" s="374">
        <v>3</v>
      </c>
      <c r="J145" s="237">
        <v>2</v>
      </c>
      <c r="K145" s="237">
        <v>3</v>
      </c>
      <c r="L145" s="237">
        <v>4</v>
      </c>
      <c r="M145" s="237">
        <v>2</v>
      </c>
      <c r="N145" s="237">
        <v>4</v>
      </c>
      <c r="O145" s="237">
        <v>2</v>
      </c>
      <c r="P145" s="237">
        <v>2</v>
      </c>
      <c r="Q145" s="382" t="str">
        <f>IF(COUNTIF(tblSeverityAnalysis[[#This Row],[SAMV]:[ASH]], 1)=0, "", COUNTIF(tblSeverityAnalysis[[#This Row],[SAMV]:[ASH]], 1))</f>
        <v/>
      </c>
      <c r="R145" s="325">
        <f>IF(COUNTIF(tblSeverityAnalysis[[#This Row],[SAMV]:[ASH]], 2)=0, "", COUNTIF(tblSeverityAnalysis[[#This Row],[SAMV]:[ASH]], 2))</f>
        <v>2</v>
      </c>
      <c r="S145" s="325">
        <f>IF(COUNTIF(tblSeverityAnalysis[[#This Row],[SAMV]:[ASH]], 3)=0, "", COUNTIF(tblSeverityAnalysis[[#This Row],[SAMV]:[ASH]], 3))</f>
        <v>2</v>
      </c>
      <c r="T145" s="325">
        <f>IF(COUNTIF(tblSeverityAnalysis[[#This Row],[SAMV]:[ASH]], 4)=0, "", COUNTIF(tblSeverityAnalysis[[#This Row],[SAMV]:[ASH]], 4))</f>
        <v>2</v>
      </c>
      <c r="U145" s="383" t="str">
        <f>IF(COUNTIF(tblSeverityAnalysis[[#This Row],[SAMV]:[ASH]], 5)=0, "", COUNTIF(tblSeverityAnalysis[[#This Row],[SAMV]:[ASH]], 5))</f>
        <v/>
      </c>
      <c r="V145" s="375" cm="1">
        <f t="array" ref="V14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4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45" s="237" t="str">
        <f>IFERROR(IF(INDEX(tblSeverityReference[Severidad de la desnutrición],MATCH(tblSeverityAnalysis[[#This Row],[ID]], tblSeverityReference[ID], 0))= "", "",INDEX(tblSeverityReference[Severidad de la desnutrición],MATCH(tblSeverityAnalysis[[#This Row],[ID]], tblSeverityReference[ID], 0)) ), "")</f>
        <v/>
      </c>
      <c r="Y145" s="349" t="str">
        <f>IFERROR(IF(INDEX(tblSeverityReference[Severidad epidémica],MATCH(tblSeverityAnalysis[[#This Row],[ID]], tblSeverityReference[ID], 0))= "", "",INDEX(tblSeverityReference[Severidad epidémica],MATCH(tblSeverityAnalysis[[#This Row],[ID]], tblSeverityReference[ID], 0)) ), "")</f>
        <v/>
      </c>
      <c r="Z14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45" s="391" t="str">
        <f>IFERROR(IF(INDEX(tblSeverityReference[HR/IHL Violation],MATCH(tblSeverityAnalysis[[#This Row],[ID]], tblSeverityReference[ID], 0))= "", "",INDEX(tblSeverityReference[HR/IHL Violation],MATCH(tblSeverityAnalysis[[#This Row],[ID]], tblSeverityReference[ID], 0)) ), "")</f>
        <v/>
      </c>
      <c r="AB145" s="397">
        <f>IFERROR(AVERAGE(tblSeverityAnalysis[[#This Row],[SAMV]:[ASH]]), "")</f>
        <v>3</v>
      </c>
      <c r="AC145" s="346">
        <f>IF(SUM(tblSeverityAnalysis[[#This Row],[SAMV]:[ASH]])=0, "", MAX(tblSeverityAnalysis[[#This Row],[SAMV]:[ASH]]))</f>
        <v>4</v>
      </c>
      <c r="AD145" s="261" t="str" cm="1">
        <f t="array" ref="AD145">IFERROR(IF(tblSeverityAnalysis[[#This Row],[Severidad máxima]]="", "", _xlfn.TEXTJOIN(CHAR(10), TRUE, IF(tblSeverityAnalysis[[#This Row],[SAMV]:[ASH]]=tblSeverityAnalysis[[#This Row],[Severidad máxima]], tblSeverityAnalysis[[#Headers],[SAMV]:[ASH]], ""), "")), "")</f>
        <v>EDU
ASH</v>
      </c>
      <c r="AE145" s="346" cm="1">
        <f t="array" ref="AE145">IFERROR(MAX(_xlfn._xlws.FILTER(tblSeverityAnalysis[[#This Row],[SAMV]:[ASH]], tblSeverityAnalysis[[#This Row],[SAMV]:[ASH]]&lt;tblSeverityAnalysis[[#This Row],[Severidad máxima]])), "")</f>
        <v>3</v>
      </c>
      <c r="AF145" s="398" t="str" cm="1">
        <f t="array" ref="AF145">IFERROR(IF(tblSeverityAnalysis[[#This Row],[2ª mayor severidad]]="", "", _xlfn.TEXTJOIN(CHAR(10), TRUE, IF(tblSeverityAnalysis[[#This Row],[SAMV]:[ASH]]=tblSeverityAnalysis[[#This Row],[2ª mayor severidad]], tblSeverityAnalysis[[#Headers],[SAMV]:[ASH]], ""), "")), "")</f>
        <v>SAMV
SAL</v>
      </c>
      <c r="AG145" s="405" t="str">
        <f>IFERROR(IF(AND(tblSeverityAnalysis[[#This Row],[5]] &lt;&gt; "", tblSeverityAnalysis[[#This Row],[5]]&gt;=sectors_sev_5), "Flagged", ""), "")</f>
        <v/>
      </c>
      <c r="AH145" s="347" t="str">
        <f>IFERROR(IF(AND(tblSeverityAnalysis[[#This Row],[Severidad preliminar basada en la superposición de privaciones sectoriales]]=5, SUM(tblSeverityAnalysis[[#This Row],[ 1 ]:[ 4 ]])&gt;=sectors_sev_5), "Flagged", ""), "")</f>
        <v/>
      </c>
      <c r="AI145" s="348" t="str" cm="1">
        <f t="array" ref="AI14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4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45" s="350"/>
      <c r="AL145" s="351"/>
      <c r="AM145" s="350"/>
      <c r="AN145" s="407">
        <f>COUNTIF(tblSeverityAnalysis[[#This Row],[1 sectores en fase de severidad 5 '[modificar el umbral']]:[Marcador manual]], "Flagged")</f>
        <v>0</v>
      </c>
      <c r="AO145" s="418">
        <f>tblSeverityAnalysis[[#This Row],[Severidad preliminar basada en la superposición de privaciones sectoriales]]</f>
        <v>3</v>
      </c>
      <c r="AP145" s="417"/>
      <c r="AQ145" s="421" t="s">
        <v>876</v>
      </c>
      <c r="AR145" s="417">
        <v>4</v>
      </c>
    </row>
    <row r="146" spans="1:44" hidden="1">
      <c r="A14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VenezolanosVE1214</v>
      </c>
      <c r="B146" s="363" t="s">
        <v>362</v>
      </c>
      <c r="C146" s="323" t="s">
        <v>363</v>
      </c>
      <c r="D146" s="322" t="s">
        <v>389</v>
      </c>
      <c r="E146" s="323" t="s">
        <v>390</v>
      </c>
      <c r="F146" s="323"/>
      <c r="G146" s="324">
        <v>13161</v>
      </c>
      <c r="H146" s="324" t="s">
        <v>102</v>
      </c>
      <c r="I146" s="374">
        <v>3</v>
      </c>
      <c r="J146" s="237">
        <v>3</v>
      </c>
      <c r="K146" s="237">
        <v>3</v>
      </c>
      <c r="L146" s="237">
        <v>3</v>
      </c>
      <c r="M146" s="237">
        <v>2</v>
      </c>
      <c r="N146" s="237">
        <v>2</v>
      </c>
      <c r="O146" s="237">
        <v>2</v>
      </c>
      <c r="P146" s="237">
        <v>2</v>
      </c>
      <c r="Q146" s="382" t="str">
        <f>IF(COUNTIF(tblSeverityAnalysis[[#This Row],[SAMV]:[ASH]], 1)=0, "", COUNTIF(tblSeverityAnalysis[[#This Row],[SAMV]:[ASH]], 1))</f>
        <v/>
      </c>
      <c r="R146" s="325">
        <f>IF(COUNTIF(tblSeverityAnalysis[[#This Row],[SAMV]:[ASH]], 2)=0, "", COUNTIF(tblSeverityAnalysis[[#This Row],[SAMV]:[ASH]], 2))</f>
        <v>2</v>
      </c>
      <c r="S146" s="325">
        <f>IF(COUNTIF(tblSeverityAnalysis[[#This Row],[SAMV]:[ASH]], 3)=0, "", COUNTIF(tblSeverityAnalysis[[#This Row],[SAMV]:[ASH]], 3))</f>
        <v>4</v>
      </c>
      <c r="T146" s="325" t="str">
        <f>IF(COUNTIF(tblSeverityAnalysis[[#This Row],[SAMV]:[ASH]], 4)=0, "", COUNTIF(tblSeverityAnalysis[[#This Row],[SAMV]:[ASH]], 4))</f>
        <v/>
      </c>
      <c r="U146" s="383" t="str">
        <f>IF(COUNTIF(tblSeverityAnalysis[[#This Row],[SAMV]:[ASH]], 5)=0, "", COUNTIF(tblSeverityAnalysis[[#This Row],[SAMV]:[ASH]], 5))</f>
        <v/>
      </c>
      <c r="V146" s="375" cm="1">
        <f t="array" ref="V14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4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46" s="237" t="str">
        <f>IFERROR(IF(INDEX(tblSeverityReference[Severidad de la desnutrición],MATCH(tblSeverityAnalysis[[#This Row],[ID]], tblSeverityReference[ID], 0))= "", "",INDEX(tblSeverityReference[Severidad de la desnutrición],MATCH(tblSeverityAnalysis[[#This Row],[ID]], tblSeverityReference[ID], 0)) ), "")</f>
        <v/>
      </c>
      <c r="Y146" s="349" t="str">
        <f>IFERROR(IF(INDEX(tblSeverityReference[Severidad epidémica],MATCH(tblSeverityAnalysis[[#This Row],[ID]], tblSeverityReference[ID], 0))= "", "",INDEX(tblSeverityReference[Severidad epidémica],MATCH(tblSeverityAnalysis[[#This Row],[ID]], tblSeverityReference[ID], 0)) ), "")</f>
        <v/>
      </c>
      <c r="Z14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46" s="391" t="str">
        <f>IFERROR(IF(INDEX(tblSeverityReference[HR/IHL Violation],MATCH(tblSeverityAnalysis[[#This Row],[ID]], tblSeverityReference[ID], 0))= "", "",INDEX(tblSeverityReference[HR/IHL Violation],MATCH(tblSeverityAnalysis[[#This Row],[ID]], tblSeverityReference[ID], 0)) ), "")</f>
        <v/>
      </c>
      <c r="AB146" s="397">
        <f>IFERROR(AVERAGE(tblSeverityAnalysis[[#This Row],[SAMV]:[ASH]]), "")</f>
        <v>2.6666666666666665</v>
      </c>
      <c r="AC146" s="346">
        <f>IF(SUM(tblSeverityAnalysis[[#This Row],[SAMV]:[ASH]])=0, "", MAX(tblSeverityAnalysis[[#This Row],[SAMV]:[ASH]]))</f>
        <v>3</v>
      </c>
      <c r="AD146" s="261" t="str" cm="1">
        <f t="array" ref="AD146">IFERROR(IF(tblSeverityAnalysis[[#This Row],[Severidad máxima]]="", "", _xlfn.TEXTJOIN(CHAR(10), TRUE, IF(tblSeverityAnalysis[[#This Row],[SAMV]:[ASH]]=tblSeverityAnalysis[[#This Row],[Severidad máxima]], tblSeverityAnalysis[[#Headers],[SAMV]:[ASH]], ""), "")), "")</f>
        <v>SAMV
NUT
SAL
EDU</v>
      </c>
      <c r="AE146" s="346" cm="1">
        <f t="array" ref="AE146">IFERROR(MAX(_xlfn._xlws.FILTER(tblSeverityAnalysis[[#This Row],[SAMV]:[ASH]], tblSeverityAnalysis[[#This Row],[SAMV]:[ASH]]&lt;tblSeverityAnalysis[[#This Row],[Severidad máxima]])), "")</f>
        <v>2</v>
      </c>
      <c r="AF146" s="398" t="str" cm="1">
        <f t="array" ref="AF146">IFERROR(IF(tblSeverityAnalysis[[#This Row],[2ª mayor severidad]]="", "", _xlfn.TEXTJOIN(CHAR(10), TRUE, IF(tblSeverityAnalysis[[#This Row],[SAMV]:[ASH]]=tblSeverityAnalysis[[#This Row],[2ª mayor severidad]], tblSeverityAnalysis[[#Headers],[SAMV]:[ASH]], ""), "")), "")</f>
        <v>PRO
ASH</v>
      </c>
      <c r="AG146" s="405" t="str">
        <f>IFERROR(IF(AND(tblSeverityAnalysis[[#This Row],[5]] &lt;&gt; "", tblSeverityAnalysis[[#This Row],[5]]&gt;=sectors_sev_5), "Flagged", ""), "")</f>
        <v/>
      </c>
      <c r="AH146" s="347" t="str">
        <f>IFERROR(IF(AND(tblSeverityAnalysis[[#This Row],[Severidad preliminar basada en la superposición de privaciones sectoriales]]=5, SUM(tblSeverityAnalysis[[#This Row],[ 1 ]:[ 4 ]])&gt;=sectors_sev_5), "Flagged", ""), "")</f>
        <v/>
      </c>
      <c r="AI146" s="348" t="str" cm="1">
        <f t="array" ref="AI14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4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46" s="350"/>
      <c r="AL146" s="351"/>
      <c r="AM146" s="350"/>
      <c r="AN146" s="407">
        <f>COUNTIF(tblSeverityAnalysis[[#This Row],[1 sectores en fase de severidad 5 '[modificar el umbral']]:[Marcador manual]], "Flagged")</f>
        <v>0</v>
      </c>
      <c r="AO146" s="418">
        <f>tblSeverityAnalysis[[#This Row],[Severidad preliminar basada en la superposición de privaciones sectoriales]]</f>
        <v>3</v>
      </c>
      <c r="AP146" s="417"/>
      <c r="AQ146" s="421" t="s">
        <v>876</v>
      </c>
      <c r="AR146" s="417">
        <v>3</v>
      </c>
    </row>
    <row r="147" spans="1:44" hidden="1">
      <c r="A14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VenezolanosVE1215</v>
      </c>
      <c r="B147" s="363" t="s">
        <v>362</v>
      </c>
      <c r="C147" s="323" t="s">
        <v>363</v>
      </c>
      <c r="D147" s="322" t="s">
        <v>391</v>
      </c>
      <c r="E147" s="323" t="s">
        <v>392</v>
      </c>
      <c r="F147" s="323"/>
      <c r="G147" s="324">
        <v>62027</v>
      </c>
      <c r="H147" s="324" t="s">
        <v>102</v>
      </c>
      <c r="I147" s="374">
        <v>3</v>
      </c>
      <c r="J147" s="237">
        <v>3</v>
      </c>
      <c r="K147" s="237">
        <v>3</v>
      </c>
      <c r="L147" s="237">
        <v>4</v>
      </c>
      <c r="M147" s="237">
        <v>4</v>
      </c>
      <c r="N147" s="237">
        <v>3</v>
      </c>
      <c r="O147" s="237">
        <v>4</v>
      </c>
      <c r="P147" s="237">
        <v>4</v>
      </c>
      <c r="Q147" s="382" t="str">
        <f>IF(COUNTIF(tblSeverityAnalysis[[#This Row],[SAMV]:[ASH]], 1)=0, "", COUNTIF(tblSeverityAnalysis[[#This Row],[SAMV]:[ASH]], 1))</f>
        <v/>
      </c>
      <c r="R147" s="325" t="str">
        <f>IF(COUNTIF(tblSeverityAnalysis[[#This Row],[SAMV]:[ASH]], 2)=0, "", COUNTIF(tblSeverityAnalysis[[#This Row],[SAMV]:[ASH]], 2))</f>
        <v/>
      </c>
      <c r="S147" s="325">
        <f>IF(COUNTIF(tblSeverityAnalysis[[#This Row],[SAMV]:[ASH]], 3)=0, "", COUNTIF(tblSeverityAnalysis[[#This Row],[SAMV]:[ASH]], 3))</f>
        <v>4</v>
      </c>
      <c r="T147" s="325">
        <f>IF(COUNTIF(tblSeverityAnalysis[[#This Row],[SAMV]:[ASH]], 4)=0, "", COUNTIF(tblSeverityAnalysis[[#This Row],[SAMV]:[ASH]], 4))</f>
        <v>2</v>
      </c>
      <c r="U147" s="383" t="str">
        <f>IF(COUNTIF(tblSeverityAnalysis[[#This Row],[SAMV]:[ASH]], 5)=0, "", COUNTIF(tblSeverityAnalysis[[#This Row],[SAMV]:[ASH]], 5))</f>
        <v/>
      </c>
      <c r="V147" s="375" cm="1">
        <f t="array" ref="V14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4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47" s="237" t="str">
        <f>IFERROR(IF(INDEX(tblSeverityReference[Severidad de la desnutrición],MATCH(tblSeverityAnalysis[[#This Row],[ID]], tblSeverityReference[ID], 0))= "", "",INDEX(tblSeverityReference[Severidad de la desnutrición],MATCH(tblSeverityAnalysis[[#This Row],[ID]], tblSeverityReference[ID], 0)) ), "")</f>
        <v/>
      </c>
      <c r="Y147" s="349" t="str">
        <f>IFERROR(IF(INDEX(tblSeverityReference[Severidad epidémica],MATCH(tblSeverityAnalysis[[#This Row],[ID]], tblSeverityReference[ID], 0))= "", "",INDEX(tblSeverityReference[Severidad epidémica],MATCH(tblSeverityAnalysis[[#This Row],[ID]], tblSeverityReference[ID], 0)) ), "")</f>
        <v/>
      </c>
      <c r="Z14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47" s="391" t="str">
        <f>IFERROR(IF(INDEX(tblSeverityReference[HR/IHL Violation],MATCH(tblSeverityAnalysis[[#This Row],[ID]], tblSeverityReference[ID], 0))= "", "",INDEX(tblSeverityReference[HR/IHL Violation],MATCH(tblSeverityAnalysis[[#This Row],[ID]], tblSeverityReference[ID], 0)) ), "")</f>
        <v/>
      </c>
      <c r="AB147" s="397">
        <f>IFERROR(AVERAGE(tblSeverityAnalysis[[#This Row],[SAMV]:[ASH]]), "")</f>
        <v>3.3333333333333335</v>
      </c>
      <c r="AC147" s="346">
        <f>IF(SUM(tblSeverityAnalysis[[#This Row],[SAMV]:[ASH]])=0, "", MAX(tblSeverityAnalysis[[#This Row],[SAMV]:[ASH]]))</f>
        <v>4</v>
      </c>
      <c r="AD147" s="261" t="str" cm="1">
        <f t="array" ref="AD147">IFERROR(IF(tblSeverityAnalysis[[#This Row],[Severidad máxima]]="", "", _xlfn.TEXTJOIN(CHAR(10), TRUE, IF(tblSeverityAnalysis[[#This Row],[SAMV]:[ASH]]=tblSeverityAnalysis[[#This Row],[Severidad máxima]], tblSeverityAnalysis[[#Headers],[SAMV]:[ASH]], ""), "")), "")</f>
        <v>EDU
PRO</v>
      </c>
      <c r="AE147" s="346" cm="1">
        <f t="array" ref="AE147">IFERROR(MAX(_xlfn._xlws.FILTER(tblSeverityAnalysis[[#This Row],[SAMV]:[ASH]], tblSeverityAnalysis[[#This Row],[SAMV]:[ASH]]&lt;tblSeverityAnalysis[[#This Row],[Severidad máxima]])), "")</f>
        <v>3</v>
      </c>
      <c r="AF147" s="398" t="str" cm="1">
        <f t="array" ref="AF147">IFERROR(IF(tblSeverityAnalysis[[#This Row],[2ª mayor severidad]]="", "", _xlfn.TEXTJOIN(CHAR(10), TRUE, IF(tblSeverityAnalysis[[#This Row],[SAMV]:[ASH]]=tblSeverityAnalysis[[#This Row],[2ª mayor severidad]], tblSeverityAnalysis[[#Headers],[SAMV]:[ASH]], ""), "")), "")</f>
        <v>SAMV
NUT
SAL
ASH</v>
      </c>
      <c r="AG147" s="405" t="str">
        <f>IFERROR(IF(AND(tblSeverityAnalysis[[#This Row],[5]] &lt;&gt; "", tblSeverityAnalysis[[#This Row],[5]]&gt;=sectors_sev_5), "Flagged", ""), "")</f>
        <v/>
      </c>
      <c r="AH147" s="347" t="str">
        <f>IFERROR(IF(AND(tblSeverityAnalysis[[#This Row],[Severidad preliminar basada en la superposición de privaciones sectoriales]]=5, SUM(tblSeverityAnalysis[[#This Row],[ 1 ]:[ 4 ]])&gt;=sectors_sev_5), "Flagged", ""), "")</f>
        <v/>
      </c>
      <c r="AI147" s="348" t="str" cm="1">
        <f t="array" ref="AI14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4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47" s="350"/>
      <c r="AL147" s="351"/>
      <c r="AM147" s="350"/>
      <c r="AN147" s="407">
        <f>COUNTIF(tblSeverityAnalysis[[#This Row],[1 sectores en fase de severidad 5 '[modificar el umbral']]:[Marcador manual]], "Flagged")</f>
        <v>0</v>
      </c>
      <c r="AO147" s="418">
        <f>tblSeverityAnalysis[[#This Row],[Severidad preliminar basada en la superposición de privaciones sectoriales]]</f>
        <v>3</v>
      </c>
      <c r="AP147" s="417"/>
      <c r="AQ147" s="421" t="s">
        <v>876</v>
      </c>
      <c r="AR147" s="417">
        <v>3</v>
      </c>
    </row>
    <row r="148" spans="1:44" hidden="1">
      <c r="A14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VenezolanosVE1301</v>
      </c>
      <c r="B148" s="363" t="s">
        <v>393</v>
      </c>
      <c r="C148" s="323" t="s">
        <v>394</v>
      </c>
      <c r="D148" s="322" t="s">
        <v>237</v>
      </c>
      <c r="E148" s="323" t="s">
        <v>395</v>
      </c>
      <c r="F148" s="323"/>
      <c r="G148" s="324">
        <v>47245</v>
      </c>
      <c r="H148" s="324" t="s">
        <v>102</v>
      </c>
      <c r="I148" s="374">
        <v>3</v>
      </c>
      <c r="J148" s="237">
        <v>2</v>
      </c>
      <c r="K148" s="237">
        <v>3</v>
      </c>
      <c r="L148" s="237">
        <v>3</v>
      </c>
      <c r="M148" s="237">
        <v>3</v>
      </c>
      <c r="N148" s="237">
        <v>3</v>
      </c>
      <c r="O148" s="237">
        <v>3</v>
      </c>
      <c r="P148" s="237">
        <v>3</v>
      </c>
      <c r="Q148" s="382" t="str">
        <f>IF(COUNTIF(tblSeverityAnalysis[[#This Row],[SAMV]:[ASH]], 1)=0, "", COUNTIF(tblSeverityAnalysis[[#This Row],[SAMV]:[ASH]], 1))</f>
        <v/>
      </c>
      <c r="R148" s="325">
        <f>IF(COUNTIF(tblSeverityAnalysis[[#This Row],[SAMV]:[ASH]], 2)=0, "", COUNTIF(tblSeverityAnalysis[[#This Row],[SAMV]:[ASH]], 2))</f>
        <v>1</v>
      </c>
      <c r="S148" s="325">
        <f>IF(COUNTIF(tblSeverityAnalysis[[#This Row],[SAMV]:[ASH]], 3)=0, "", COUNTIF(tblSeverityAnalysis[[#This Row],[SAMV]:[ASH]], 3))</f>
        <v>5</v>
      </c>
      <c r="T148" s="325" t="str">
        <f>IF(COUNTIF(tblSeverityAnalysis[[#This Row],[SAMV]:[ASH]], 4)=0, "", COUNTIF(tblSeverityAnalysis[[#This Row],[SAMV]:[ASH]], 4))</f>
        <v/>
      </c>
      <c r="U148" s="383" t="str">
        <f>IF(COUNTIF(tblSeverityAnalysis[[#This Row],[SAMV]:[ASH]], 5)=0, "", COUNTIF(tblSeverityAnalysis[[#This Row],[SAMV]:[ASH]], 5))</f>
        <v/>
      </c>
      <c r="V148" s="375" cm="1">
        <f t="array" ref="V14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4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48" s="237" t="str">
        <f>IFERROR(IF(INDEX(tblSeverityReference[Severidad de la desnutrición],MATCH(tblSeverityAnalysis[[#This Row],[ID]], tblSeverityReference[ID], 0))= "", "",INDEX(tblSeverityReference[Severidad de la desnutrición],MATCH(tblSeverityAnalysis[[#This Row],[ID]], tblSeverityReference[ID], 0)) ), "")</f>
        <v/>
      </c>
      <c r="Y148" s="349" t="str">
        <f>IFERROR(IF(INDEX(tblSeverityReference[Severidad epidémica],MATCH(tblSeverityAnalysis[[#This Row],[ID]], tblSeverityReference[ID], 0))= "", "",INDEX(tblSeverityReference[Severidad epidémica],MATCH(tblSeverityAnalysis[[#This Row],[ID]], tblSeverityReference[ID], 0)) ), "")</f>
        <v/>
      </c>
      <c r="Z14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48" s="391" t="str">
        <f>IFERROR(IF(INDEX(tblSeverityReference[HR/IHL Violation],MATCH(tblSeverityAnalysis[[#This Row],[ID]], tblSeverityReference[ID], 0))= "", "",INDEX(tblSeverityReference[HR/IHL Violation],MATCH(tblSeverityAnalysis[[#This Row],[ID]], tblSeverityReference[ID], 0)) ), "")</f>
        <v/>
      </c>
      <c r="AB148" s="397">
        <f>IFERROR(AVERAGE(tblSeverityAnalysis[[#This Row],[SAMV]:[ASH]]), "")</f>
        <v>2.8333333333333335</v>
      </c>
      <c r="AC148" s="346">
        <f>IF(SUM(tblSeverityAnalysis[[#This Row],[SAMV]:[ASH]])=0, "", MAX(tblSeverityAnalysis[[#This Row],[SAMV]:[ASH]]))</f>
        <v>3</v>
      </c>
      <c r="AD148" s="261" t="str" cm="1">
        <f t="array" ref="AD148">IFERROR(IF(tblSeverityAnalysis[[#This Row],[Severidad máxima]]="", "", _xlfn.TEXTJOIN(CHAR(10), TRUE, IF(tblSeverityAnalysis[[#This Row],[SAMV]:[ASH]]=tblSeverityAnalysis[[#This Row],[Severidad máxima]], tblSeverityAnalysis[[#Headers],[SAMV]:[ASH]], ""), "")), "")</f>
        <v>SAMV
SAL
EDU
PRO
ASH</v>
      </c>
      <c r="AE148" s="346" cm="1">
        <f t="array" ref="AE148">IFERROR(MAX(_xlfn._xlws.FILTER(tblSeverityAnalysis[[#This Row],[SAMV]:[ASH]], tblSeverityAnalysis[[#This Row],[SAMV]:[ASH]]&lt;tblSeverityAnalysis[[#This Row],[Severidad máxima]])), "")</f>
        <v>2</v>
      </c>
      <c r="AF148" s="398" t="str" cm="1">
        <f t="array" ref="AF148">IFERROR(IF(tblSeverityAnalysis[[#This Row],[2ª mayor severidad]]="", "", _xlfn.TEXTJOIN(CHAR(10), TRUE, IF(tblSeverityAnalysis[[#This Row],[SAMV]:[ASH]]=tblSeverityAnalysis[[#This Row],[2ª mayor severidad]], tblSeverityAnalysis[[#Headers],[SAMV]:[ASH]], ""), "")), "")</f>
        <v>NUT</v>
      </c>
      <c r="AG148" s="405" t="str">
        <f>IFERROR(IF(AND(tblSeverityAnalysis[[#This Row],[5]] &lt;&gt; "", tblSeverityAnalysis[[#This Row],[5]]&gt;=sectors_sev_5), "Flagged", ""), "")</f>
        <v/>
      </c>
      <c r="AH148" s="347" t="str">
        <f>IFERROR(IF(AND(tblSeverityAnalysis[[#This Row],[Severidad preliminar basada en la superposición de privaciones sectoriales]]=5, SUM(tblSeverityAnalysis[[#This Row],[ 1 ]:[ 4 ]])&gt;=sectors_sev_5), "Flagged", ""), "")</f>
        <v/>
      </c>
      <c r="AI148" s="348" t="str" cm="1">
        <f t="array" ref="AI14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4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48" s="350"/>
      <c r="AL148" s="351"/>
      <c r="AM148" s="350"/>
      <c r="AN148" s="407">
        <f>COUNTIF(tblSeverityAnalysis[[#This Row],[1 sectores en fase de severidad 5 '[modificar el umbral']]:[Marcador manual]], "Flagged")</f>
        <v>0</v>
      </c>
      <c r="AO148" s="418">
        <f>tblSeverityAnalysis[[#This Row],[Severidad preliminar basada en la superposición de privaciones sectoriales]]</f>
        <v>3</v>
      </c>
      <c r="AP148" s="417"/>
      <c r="AQ148" s="421" t="s">
        <v>876</v>
      </c>
      <c r="AR148" s="417">
        <v>3</v>
      </c>
    </row>
    <row r="149" spans="1:44" hidden="1">
      <c r="A14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VenezolanosVE1302</v>
      </c>
      <c r="B149" s="363" t="s">
        <v>393</v>
      </c>
      <c r="C149" s="323" t="s">
        <v>394</v>
      </c>
      <c r="D149" s="322" t="s">
        <v>396</v>
      </c>
      <c r="E149" s="323" t="s">
        <v>397</v>
      </c>
      <c r="F149" s="323"/>
      <c r="G149" s="324">
        <v>49958</v>
      </c>
      <c r="H149" s="324" t="s">
        <v>102</v>
      </c>
      <c r="I149" s="374">
        <v>3</v>
      </c>
      <c r="J149" s="237">
        <v>1</v>
      </c>
      <c r="K149" s="237">
        <v>3</v>
      </c>
      <c r="L149" s="237">
        <v>3</v>
      </c>
      <c r="M149" s="237">
        <v>3</v>
      </c>
      <c r="N149" s="237">
        <v>2</v>
      </c>
      <c r="O149" s="237">
        <v>3</v>
      </c>
      <c r="P149" s="237">
        <v>3</v>
      </c>
      <c r="Q149" s="382">
        <f>IF(COUNTIF(tblSeverityAnalysis[[#This Row],[SAMV]:[ASH]], 1)=0, "", COUNTIF(tblSeverityAnalysis[[#This Row],[SAMV]:[ASH]], 1))</f>
        <v>1</v>
      </c>
      <c r="R149" s="325">
        <f>IF(COUNTIF(tblSeverityAnalysis[[#This Row],[SAMV]:[ASH]], 2)=0, "", COUNTIF(tblSeverityAnalysis[[#This Row],[SAMV]:[ASH]], 2))</f>
        <v>1</v>
      </c>
      <c r="S149" s="325">
        <f>IF(COUNTIF(tblSeverityAnalysis[[#This Row],[SAMV]:[ASH]], 3)=0, "", COUNTIF(tblSeverityAnalysis[[#This Row],[SAMV]:[ASH]], 3))</f>
        <v>4</v>
      </c>
      <c r="T149" s="325" t="str">
        <f>IF(COUNTIF(tblSeverityAnalysis[[#This Row],[SAMV]:[ASH]], 4)=0, "", COUNTIF(tblSeverityAnalysis[[#This Row],[SAMV]:[ASH]], 4))</f>
        <v/>
      </c>
      <c r="U149" s="383" t="str">
        <f>IF(COUNTIF(tblSeverityAnalysis[[#This Row],[SAMV]:[ASH]], 5)=0, "", COUNTIF(tblSeverityAnalysis[[#This Row],[SAMV]:[ASH]], 5))</f>
        <v/>
      </c>
      <c r="V149" s="375" cm="1">
        <f t="array" ref="V14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4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49" s="237" t="str">
        <f>IFERROR(IF(INDEX(tblSeverityReference[Severidad de la desnutrición],MATCH(tblSeverityAnalysis[[#This Row],[ID]], tblSeverityReference[ID], 0))= "", "",INDEX(tblSeverityReference[Severidad de la desnutrición],MATCH(tblSeverityAnalysis[[#This Row],[ID]], tblSeverityReference[ID], 0)) ), "")</f>
        <v/>
      </c>
      <c r="Y149" s="349" t="str">
        <f>IFERROR(IF(INDEX(tblSeverityReference[Severidad epidémica],MATCH(tblSeverityAnalysis[[#This Row],[ID]], tblSeverityReference[ID], 0))= "", "",INDEX(tblSeverityReference[Severidad epidémica],MATCH(tblSeverityAnalysis[[#This Row],[ID]], tblSeverityReference[ID], 0)) ), "")</f>
        <v/>
      </c>
      <c r="Z14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49" s="391" t="str">
        <f>IFERROR(IF(INDEX(tblSeverityReference[HR/IHL Violation],MATCH(tblSeverityAnalysis[[#This Row],[ID]], tblSeverityReference[ID], 0))= "", "",INDEX(tblSeverityReference[HR/IHL Violation],MATCH(tblSeverityAnalysis[[#This Row],[ID]], tblSeverityReference[ID], 0)) ), "")</f>
        <v/>
      </c>
      <c r="AB149" s="397">
        <f>IFERROR(AVERAGE(tblSeverityAnalysis[[#This Row],[SAMV]:[ASH]]), "")</f>
        <v>2.5</v>
      </c>
      <c r="AC149" s="346">
        <f>IF(SUM(tblSeverityAnalysis[[#This Row],[SAMV]:[ASH]])=0, "", MAX(tblSeverityAnalysis[[#This Row],[SAMV]:[ASH]]))</f>
        <v>3</v>
      </c>
      <c r="AD149" s="261" t="str" cm="1">
        <f t="array" ref="AD149">IFERROR(IF(tblSeverityAnalysis[[#This Row],[Severidad máxima]]="", "", _xlfn.TEXTJOIN(CHAR(10), TRUE, IF(tblSeverityAnalysis[[#This Row],[SAMV]:[ASH]]=tblSeverityAnalysis[[#This Row],[Severidad máxima]], tblSeverityAnalysis[[#Headers],[SAMV]:[ASH]], ""), "")), "")</f>
        <v>SAMV
SAL
EDU
PRO</v>
      </c>
      <c r="AE149" s="346" cm="1">
        <f t="array" ref="AE149">IFERROR(MAX(_xlfn._xlws.FILTER(tblSeverityAnalysis[[#This Row],[SAMV]:[ASH]], tblSeverityAnalysis[[#This Row],[SAMV]:[ASH]]&lt;tblSeverityAnalysis[[#This Row],[Severidad máxima]])), "")</f>
        <v>2</v>
      </c>
      <c r="AF149" s="398" t="str" cm="1">
        <f t="array" ref="AF149">IFERROR(IF(tblSeverityAnalysis[[#This Row],[2ª mayor severidad]]="", "", _xlfn.TEXTJOIN(CHAR(10), TRUE, IF(tblSeverityAnalysis[[#This Row],[SAMV]:[ASH]]=tblSeverityAnalysis[[#This Row],[2ª mayor severidad]], tblSeverityAnalysis[[#Headers],[SAMV]:[ASH]], ""), "")), "")</f>
        <v>ASH</v>
      </c>
      <c r="AG149" s="405" t="str">
        <f>IFERROR(IF(AND(tblSeverityAnalysis[[#This Row],[5]] &lt;&gt; "", tblSeverityAnalysis[[#This Row],[5]]&gt;=sectors_sev_5), "Flagged", ""), "")</f>
        <v/>
      </c>
      <c r="AH149" s="347" t="str">
        <f>IFERROR(IF(AND(tblSeverityAnalysis[[#This Row],[Severidad preliminar basada en la superposición de privaciones sectoriales]]=5, SUM(tblSeverityAnalysis[[#This Row],[ 1 ]:[ 4 ]])&gt;=sectors_sev_5), "Flagged", ""), "")</f>
        <v/>
      </c>
      <c r="AI149" s="348" t="str" cm="1">
        <f t="array" ref="AI14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4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49" s="350"/>
      <c r="AL149" s="351"/>
      <c r="AM149" s="350"/>
      <c r="AN149" s="407">
        <f>COUNTIF(tblSeverityAnalysis[[#This Row],[1 sectores en fase de severidad 5 '[modificar el umbral']]:[Marcador manual]], "Flagged")</f>
        <v>0</v>
      </c>
      <c r="AO149" s="418">
        <f>tblSeverityAnalysis[[#This Row],[Severidad preliminar basada en la superposición de privaciones sectoriales]]</f>
        <v>3</v>
      </c>
      <c r="AP149" s="417"/>
      <c r="AQ149" s="421" t="s">
        <v>876</v>
      </c>
      <c r="AR149" s="417">
        <v>3</v>
      </c>
    </row>
    <row r="150" spans="1:44" hidden="1">
      <c r="A15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VenezolanosVE1303</v>
      </c>
      <c r="B150" s="363" t="s">
        <v>393</v>
      </c>
      <c r="C150" s="323" t="s">
        <v>394</v>
      </c>
      <c r="D150" s="322" t="s">
        <v>398</v>
      </c>
      <c r="E150" s="323" t="s">
        <v>399</v>
      </c>
      <c r="F150" s="323"/>
      <c r="G150" s="324">
        <v>996230</v>
      </c>
      <c r="H150" s="324" t="s">
        <v>102</v>
      </c>
      <c r="I150" s="374">
        <v>3</v>
      </c>
      <c r="J150" s="237">
        <v>2</v>
      </c>
      <c r="K150" s="237">
        <v>3</v>
      </c>
      <c r="L150" s="237">
        <v>3</v>
      </c>
      <c r="M150" s="237">
        <v>3</v>
      </c>
      <c r="N150" s="237">
        <v>2</v>
      </c>
      <c r="O150" s="237">
        <v>3</v>
      </c>
      <c r="P150" s="237">
        <v>3</v>
      </c>
      <c r="Q150" s="382" t="str">
        <f>IF(COUNTIF(tblSeverityAnalysis[[#This Row],[SAMV]:[ASH]], 1)=0, "", COUNTIF(tblSeverityAnalysis[[#This Row],[SAMV]:[ASH]], 1))</f>
        <v/>
      </c>
      <c r="R150" s="325">
        <f>IF(COUNTIF(tblSeverityAnalysis[[#This Row],[SAMV]:[ASH]], 2)=0, "", COUNTIF(tblSeverityAnalysis[[#This Row],[SAMV]:[ASH]], 2))</f>
        <v>2</v>
      </c>
      <c r="S150" s="325">
        <f>IF(COUNTIF(tblSeverityAnalysis[[#This Row],[SAMV]:[ASH]], 3)=0, "", COUNTIF(tblSeverityAnalysis[[#This Row],[SAMV]:[ASH]], 3))</f>
        <v>4</v>
      </c>
      <c r="T150" s="325" t="str">
        <f>IF(COUNTIF(tblSeverityAnalysis[[#This Row],[SAMV]:[ASH]], 4)=0, "", COUNTIF(tblSeverityAnalysis[[#This Row],[SAMV]:[ASH]], 4))</f>
        <v/>
      </c>
      <c r="U150" s="383" t="str">
        <f>IF(COUNTIF(tblSeverityAnalysis[[#This Row],[SAMV]:[ASH]], 5)=0, "", COUNTIF(tblSeverityAnalysis[[#This Row],[SAMV]:[ASH]], 5))</f>
        <v/>
      </c>
      <c r="V150" s="375" cm="1">
        <f t="array" ref="V15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5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50" s="237" t="str">
        <f>IFERROR(IF(INDEX(tblSeverityReference[Severidad de la desnutrición],MATCH(tblSeverityAnalysis[[#This Row],[ID]], tblSeverityReference[ID], 0))= "", "",INDEX(tblSeverityReference[Severidad de la desnutrición],MATCH(tblSeverityAnalysis[[#This Row],[ID]], tblSeverityReference[ID], 0)) ), "")</f>
        <v/>
      </c>
      <c r="Y150" s="349" t="str">
        <f>IFERROR(IF(INDEX(tblSeverityReference[Severidad epidémica],MATCH(tblSeverityAnalysis[[#This Row],[ID]], tblSeverityReference[ID], 0))= "", "",INDEX(tblSeverityReference[Severidad epidémica],MATCH(tblSeverityAnalysis[[#This Row],[ID]], tblSeverityReference[ID], 0)) ), "")</f>
        <v/>
      </c>
      <c r="Z15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50" s="391" t="str">
        <f>IFERROR(IF(INDEX(tblSeverityReference[HR/IHL Violation],MATCH(tblSeverityAnalysis[[#This Row],[ID]], tblSeverityReference[ID], 0))= "", "",INDEX(tblSeverityReference[HR/IHL Violation],MATCH(tblSeverityAnalysis[[#This Row],[ID]], tblSeverityReference[ID], 0)) ), "")</f>
        <v/>
      </c>
      <c r="AB150" s="397">
        <f>IFERROR(AVERAGE(tblSeverityAnalysis[[#This Row],[SAMV]:[ASH]]), "")</f>
        <v>2.6666666666666665</v>
      </c>
      <c r="AC150" s="346">
        <f>IF(SUM(tblSeverityAnalysis[[#This Row],[SAMV]:[ASH]])=0, "", MAX(tblSeverityAnalysis[[#This Row],[SAMV]:[ASH]]))</f>
        <v>3</v>
      </c>
      <c r="AD150" s="261" t="str" cm="1">
        <f t="array" ref="AD150">IFERROR(IF(tblSeverityAnalysis[[#This Row],[Severidad máxima]]="", "", _xlfn.TEXTJOIN(CHAR(10), TRUE, IF(tblSeverityAnalysis[[#This Row],[SAMV]:[ASH]]=tblSeverityAnalysis[[#This Row],[Severidad máxima]], tblSeverityAnalysis[[#Headers],[SAMV]:[ASH]], ""), "")), "")</f>
        <v>SAMV
SAL
EDU
PRO</v>
      </c>
      <c r="AE150" s="346" cm="1">
        <f t="array" ref="AE150">IFERROR(MAX(_xlfn._xlws.FILTER(tblSeverityAnalysis[[#This Row],[SAMV]:[ASH]], tblSeverityAnalysis[[#This Row],[SAMV]:[ASH]]&lt;tblSeverityAnalysis[[#This Row],[Severidad máxima]])), "")</f>
        <v>2</v>
      </c>
      <c r="AF150" s="398" t="str" cm="1">
        <f t="array" ref="AF150">IFERROR(IF(tblSeverityAnalysis[[#This Row],[2ª mayor severidad]]="", "", _xlfn.TEXTJOIN(CHAR(10), TRUE, IF(tblSeverityAnalysis[[#This Row],[SAMV]:[ASH]]=tblSeverityAnalysis[[#This Row],[2ª mayor severidad]], tblSeverityAnalysis[[#Headers],[SAMV]:[ASH]], ""), "")), "")</f>
        <v>NUT
ASH</v>
      </c>
      <c r="AG150" s="405" t="str">
        <f>IFERROR(IF(AND(tblSeverityAnalysis[[#This Row],[5]] &lt;&gt; "", tblSeverityAnalysis[[#This Row],[5]]&gt;=sectors_sev_5), "Flagged", ""), "")</f>
        <v/>
      </c>
      <c r="AH150" s="347" t="str">
        <f>IFERROR(IF(AND(tblSeverityAnalysis[[#This Row],[Severidad preliminar basada en la superposición de privaciones sectoriales]]=5, SUM(tblSeverityAnalysis[[#This Row],[ 1 ]:[ 4 ]])&gt;=sectors_sev_5), "Flagged", ""), "")</f>
        <v/>
      </c>
      <c r="AI150" s="348" t="str" cm="1">
        <f t="array" ref="AI15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5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50" s="350"/>
      <c r="AL150" s="351"/>
      <c r="AM150" s="350"/>
      <c r="AN150" s="407">
        <f>COUNTIF(tblSeverityAnalysis[[#This Row],[1 sectores en fase de severidad 5 '[modificar el umbral']]:[Marcador manual]], "Flagged")</f>
        <v>0</v>
      </c>
      <c r="AO150" s="418">
        <f>tblSeverityAnalysis[[#This Row],[Severidad preliminar basada en la superposición de privaciones sectoriales]]</f>
        <v>3</v>
      </c>
      <c r="AP150" s="417"/>
      <c r="AQ150" s="421" t="s">
        <v>876</v>
      </c>
      <c r="AR150" s="417">
        <v>3</v>
      </c>
    </row>
    <row r="151" spans="1:44" hidden="1">
      <c r="A15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VenezolanosVE1304</v>
      </c>
      <c r="B151" s="363" t="s">
        <v>393</v>
      </c>
      <c r="C151" s="323" t="s">
        <v>394</v>
      </c>
      <c r="D151" s="322" t="s">
        <v>400</v>
      </c>
      <c r="E151" s="323" t="s">
        <v>401</v>
      </c>
      <c r="F151" s="323"/>
      <c r="G151" s="324">
        <v>100997</v>
      </c>
      <c r="H151" s="324" t="s">
        <v>102</v>
      </c>
      <c r="I151" s="374">
        <v>4</v>
      </c>
      <c r="J151" s="237">
        <v>2</v>
      </c>
      <c r="K151" s="237">
        <v>3</v>
      </c>
      <c r="L151" s="237">
        <v>3</v>
      </c>
      <c r="M151" s="237">
        <v>4</v>
      </c>
      <c r="N151" s="237">
        <v>2</v>
      </c>
      <c r="O151" s="237">
        <v>4</v>
      </c>
      <c r="P151" s="237">
        <v>4</v>
      </c>
      <c r="Q151" s="382" t="str">
        <f>IF(COUNTIF(tblSeverityAnalysis[[#This Row],[SAMV]:[ASH]], 1)=0, "", COUNTIF(tblSeverityAnalysis[[#This Row],[SAMV]:[ASH]], 1))</f>
        <v/>
      </c>
      <c r="R151" s="325">
        <f>IF(COUNTIF(tblSeverityAnalysis[[#This Row],[SAMV]:[ASH]], 2)=0, "", COUNTIF(tblSeverityAnalysis[[#This Row],[SAMV]:[ASH]], 2))</f>
        <v>2</v>
      </c>
      <c r="S151" s="325">
        <f>IF(COUNTIF(tblSeverityAnalysis[[#This Row],[SAMV]:[ASH]], 3)=0, "", COUNTIF(tblSeverityAnalysis[[#This Row],[SAMV]:[ASH]], 3))</f>
        <v>2</v>
      </c>
      <c r="T151" s="325">
        <f>IF(COUNTIF(tblSeverityAnalysis[[#This Row],[SAMV]:[ASH]], 4)=0, "", COUNTIF(tblSeverityAnalysis[[#This Row],[SAMV]:[ASH]], 4))</f>
        <v>2</v>
      </c>
      <c r="U151" s="383" t="str">
        <f>IF(COUNTIF(tblSeverityAnalysis[[#This Row],[SAMV]:[ASH]], 5)=0, "", COUNTIF(tblSeverityAnalysis[[#This Row],[SAMV]:[ASH]], 5))</f>
        <v/>
      </c>
      <c r="V151" s="375" cm="1">
        <f t="array" ref="V15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5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51" s="237" t="str">
        <f>IFERROR(IF(INDEX(tblSeverityReference[Severidad de la desnutrición],MATCH(tblSeverityAnalysis[[#This Row],[ID]], tblSeverityReference[ID], 0))= "", "",INDEX(tblSeverityReference[Severidad de la desnutrición],MATCH(tblSeverityAnalysis[[#This Row],[ID]], tblSeverityReference[ID], 0)) ), "")</f>
        <v/>
      </c>
      <c r="Y151" s="349" t="str">
        <f>IFERROR(IF(INDEX(tblSeverityReference[Severidad epidémica],MATCH(tblSeverityAnalysis[[#This Row],[ID]], tblSeverityReference[ID], 0))= "", "",INDEX(tblSeverityReference[Severidad epidémica],MATCH(tblSeverityAnalysis[[#This Row],[ID]], tblSeverityReference[ID], 0)) ), "")</f>
        <v/>
      </c>
      <c r="Z15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51" s="391" t="str">
        <f>IFERROR(IF(INDEX(tblSeverityReference[HR/IHL Violation],MATCH(tblSeverityAnalysis[[#This Row],[ID]], tblSeverityReference[ID], 0))= "", "",INDEX(tblSeverityReference[HR/IHL Violation],MATCH(tblSeverityAnalysis[[#This Row],[ID]], tblSeverityReference[ID], 0)) ), "")</f>
        <v/>
      </c>
      <c r="AB151" s="397">
        <f>IFERROR(AVERAGE(tblSeverityAnalysis[[#This Row],[SAMV]:[ASH]]), "")</f>
        <v>3</v>
      </c>
      <c r="AC151" s="346">
        <f>IF(SUM(tblSeverityAnalysis[[#This Row],[SAMV]:[ASH]])=0, "", MAX(tblSeverityAnalysis[[#This Row],[SAMV]:[ASH]]))</f>
        <v>4</v>
      </c>
      <c r="AD151" s="261" t="str" cm="1">
        <f t="array" ref="AD151">IFERROR(IF(tblSeverityAnalysis[[#This Row],[Severidad máxima]]="", "", _xlfn.TEXTJOIN(CHAR(10), TRUE, IF(tblSeverityAnalysis[[#This Row],[SAMV]:[ASH]]=tblSeverityAnalysis[[#This Row],[Severidad máxima]], tblSeverityAnalysis[[#Headers],[SAMV]:[ASH]], ""), "")), "")</f>
        <v>SAMV
PRO</v>
      </c>
      <c r="AE151" s="346" cm="1">
        <f t="array" ref="AE151">IFERROR(MAX(_xlfn._xlws.FILTER(tblSeverityAnalysis[[#This Row],[SAMV]:[ASH]], tblSeverityAnalysis[[#This Row],[SAMV]:[ASH]]&lt;tblSeverityAnalysis[[#This Row],[Severidad máxima]])), "")</f>
        <v>3</v>
      </c>
      <c r="AF151" s="398" t="str" cm="1">
        <f t="array" ref="AF151">IFERROR(IF(tblSeverityAnalysis[[#This Row],[2ª mayor severidad]]="", "", _xlfn.TEXTJOIN(CHAR(10), TRUE, IF(tblSeverityAnalysis[[#This Row],[SAMV]:[ASH]]=tblSeverityAnalysis[[#This Row],[2ª mayor severidad]], tblSeverityAnalysis[[#Headers],[SAMV]:[ASH]], ""), "")), "")</f>
        <v>SAL
EDU</v>
      </c>
      <c r="AG151" s="405" t="str">
        <f>IFERROR(IF(AND(tblSeverityAnalysis[[#This Row],[5]] &lt;&gt; "", tblSeverityAnalysis[[#This Row],[5]]&gt;=sectors_sev_5), "Flagged", ""), "")</f>
        <v/>
      </c>
      <c r="AH151" s="347" t="str">
        <f>IFERROR(IF(AND(tblSeverityAnalysis[[#This Row],[Severidad preliminar basada en la superposición de privaciones sectoriales]]=5, SUM(tblSeverityAnalysis[[#This Row],[ 1 ]:[ 4 ]])&gt;=sectors_sev_5), "Flagged", ""), "")</f>
        <v/>
      </c>
      <c r="AI151" s="348" t="str" cm="1">
        <f t="array" ref="AI15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5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51" s="350"/>
      <c r="AL151" s="351"/>
      <c r="AM151" s="350"/>
      <c r="AN151" s="407">
        <f>COUNTIF(tblSeverityAnalysis[[#This Row],[1 sectores en fase de severidad 5 '[modificar el umbral']]:[Marcador manual]], "Flagged")</f>
        <v>0</v>
      </c>
      <c r="AO151" s="418">
        <f>tblSeverityAnalysis[[#This Row],[Severidad preliminar basada en la superposición de privaciones sectoriales]]</f>
        <v>3</v>
      </c>
      <c r="AP151" s="417"/>
      <c r="AQ151" s="421" t="s">
        <v>876</v>
      </c>
      <c r="AR151" s="417">
        <v>3</v>
      </c>
    </row>
    <row r="152" spans="1:44" hidden="1">
      <c r="A15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VenezolanosVE1305</v>
      </c>
      <c r="B152" s="363" t="s">
        <v>393</v>
      </c>
      <c r="C152" s="323" t="s">
        <v>394</v>
      </c>
      <c r="D152" s="322" t="s">
        <v>402</v>
      </c>
      <c r="E152" s="323" t="s">
        <v>403</v>
      </c>
      <c r="F152" s="323"/>
      <c r="G152" s="324">
        <v>123880</v>
      </c>
      <c r="H152" s="324" t="s">
        <v>102</v>
      </c>
      <c r="I152" s="374">
        <v>3</v>
      </c>
      <c r="J152" s="237">
        <v>1</v>
      </c>
      <c r="K152" s="237">
        <v>3</v>
      </c>
      <c r="L152" s="237">
        <v>3</v>
      </c>
      <c r="M152" s="237">
        <v>4</v>
      </c>
      <c r="N152" s="237">
        <v>3</v>
      </c>
      <c r="O152" s="237">
        <v>4</v>
      </c>
      <c r="P152" s="237">
        <v>4</v>
      </c>
      <c r="Q152" s="382">
        <f>IF(COUNTIF(tblSeverityAnalysis[[#This Row],[SAMV]:[ASH]], 1)=0, "", COUNTIF(tblSeverityAnalysis[[#This Row],[SAMV]:[ASH]], 1))</f>
        <v>1</v>
      </c>
      <c r="R152" s="325" t="str">
        <f>IF(COUNTIF(tblSeverityAnalysis[[#This Row],[SAMV]:[ASH]], 2)=0, "", COUNTIF(tblSeverityAnalysis[[#This Row],[SAMV]:[ASH]], 2))</f>
        <v/>
      </c>
      <c r="S152" s="325">
        <f>IF(COUNTIF(tblSeverityAnalysis[[#This Row],[SAMV]:[ASH]], 3)=0, "", COUNTIF(tblSeverityAnalysis[[#This Row],[SAMV]:[ASH]], 3))</f>
        <v>4</v>
      </c>
      <c r="T152" s="325">
        <f>IF(COUNTIF(tblSeverityAnalysis[[#This Row],[SAMV]:[ASH]], 4)=0, "", COUNTIF(tblSeverityAnalysis[[#This Row],[SAMV]:[ASH]], 4))</f>
        <v>1</v>
      </c>
      <c r="U152" s="383" t="str">
        <f>IF(COUNTIF(tblSeverityAnalysis[[#This Row],[SAMV]:[ASH]], 5)=0, "", COUNTIF(tblSeverityAnalysis[[#This Row],[SAMV]:[ASH]], 5))</f>
        <v/>
      </c>
      <c r="V152" s="375" cm="1">
        <f t="array" ref="V15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5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52" s="237" t="str">
        <f>IFERROR(IF(INDEX(tblSeverityReference[Severidad de la desnutrición],MATCH(tblSeverityAnalysis[[#This Row],[ID]], tblSeverityReference[ID], 0))= "", "",INDEX(tblSeverityReference[Severidad de la desnutrición],MATCH(tblSeverityAnalysis[[#This Row],[ID]], tblSeverityReference[ID], 0)) ), "")</f>
        <v/>
      </c>
      <c r="Y152" s="349" t="str">
        <f>IFERROR(IF(INDEX(tblSeverityReference[Severidad epidémica],MATCH(tblSeverityAnalysis[[#This Row],[ID]], tblSeverityReference[ID], 0))= "", "",INDEX(tblSeverityReference[Severidad epidémica],MATCH(tblSeverityAnalysis[[#This Row],[ID]], tblSeverityReference[ID], 0)) ), "")</f>
        <v/>
      </c>
      <c r="Z15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52" s="391" t="str">
        <f>IFERROR(IF(INDEX(tblSeverityReference[HR/IHL Violation],MATCH(tblSeverityAnalysis[[#This Row],[ID]], tblSeverityReference[ID], 0))= "", "",INDEX(tblSeverityReference[HR/IHL Violation],MATCH(tblSeverityAnalysis[[#This Row],[ID]], tblSeverityReference[ID], 0)) ), "")</f>
        <v/>
      </c>
      <c r="AB152" s="397">
        <f>IFERROR(AVERAGE(tblSeverityAnalysis[[#This Row],[SAMV]:[ASH]]), "")</f>
        <v>2.8333333333333335</v>
      </c>
      <c r="AC152" s="346">
        <f>IF(SUM(tblSeverityAnalysis[[#This Row],[SAMV]:[ASH]])=0, "", MAX(tblSeverityAnalysis[[#This Row],[SAMV]:[ASH]]))</f>
        <v>4</v>
      </c>
      <c r="AD152" s="261" t="str" cm="1">
        <f t="array" ref="AD152">IFERROR(IF(tblSeverityAnalysis[[#This Row],[Severidad máxima]]="", "", _xlfn.TEXTJOIN(CHAR(10), TRUE, IF(tblSeverityAnalysis[[#This Row],[SAMV]:[ASH]]=tblSeverityAnalysis[[#This Row],[Severidad máxima]], tblSeverityAnalysis[[#Headers],[SAMV]:[ASH]], ""), "")), "")</f>
        <v>PRO</v>
      </c>
      <c r="AE152" s="346" cm="1">
        <f t="array" ref="AE152">IFERROR(MAX(_xlfn._xlws.FILTER(tblSeverityAnalysis[[#This Row],[SAMV]:[ASH]], tblSeverityAnalysis[[#This Row],[SAMV]:[ASH]]&lt;tblSeverityAnalysis[[#This Row],[Severidad máxima]])), "")</f>
        <v>3</v>
      </c>
      <c r="AF152" s="398" t="str" cm="1">
        <f t="array" ref="AF152">IFERROR(IF(tblSeverityAnalysis[[#This Row],[2ª mayor severidad]]="", "", _xlfn.TEXTJOIN(CHAR(10), TRUE, IF(tblSeverityAnalysis[[#This Row],[SAMV]:[ASH]]=tblSeverityAnalysis[[#This Row],[2ª mayor severidad]], tblSeverityAnalysis[[#Headers],[SAMV]:[ASH]], ""), "")), "")</f>
        <v>SAMV
SAL
EDU
ASH</v>
      </c>
      <c r="AG152" s="405" t="str">
        <f>IFERROR(IF(AND(tblSeverityAnalysis[[#This Row],[5]] &lt;&gt; "", tblSeverityAnalysis[[#This Row],[5]]&gt;=sectors_sev_5), "Flagged", ""), "")</f>
        <v/>
      </c>
      <c r="AH152" s="347" t="str">
        <f>IFERROR(IF(AND(tblSeverityAnalysis[[#This Row],[Severidad preliminar basada en la superposición de privaciones sectoriales]]=5, SUM(tblSeverityAnalysis[[#This Row],[ 1 ]:[ 4 ]])&gt;=sectors_sev_5), "Flagged", ""), "")</f>
        <v/>
      </c>
      <c r="AI152" s="348" t="str" cm="1">
        <f t="array" ref="AI15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5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52" s="350"/>
      <c r="AL152" s="351"/>
      <c r="AM152" s="350"/>
      <c r="AN152" s="407">
        <f>COUNTIF(tblSeverityAnalysis[[#This Row],[1 sectores en fase de severidad 5 '[modificar el umbral']]:[Marcador manual]], "Flagged")</f>
        <v>0</v>
      </c>
      <c r="AO152" s="418">
        <f>tblSeverityAnalysis[[#This Row],[Severidad preliminar basada en la superposición de privaciones sectoriales]]</f>
        <v>3</v>
      </c>
      <c r="AP152" s="417"/>
      <c r="AQ152" s="421" t="s">
        <v>876</v>
      </c>
      <c r="AR152" s="417">
        <v>3</v>
      </c>
    </row>
    <row r="153" spans="1:44" hidden="1">
      <c r="A15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VenezolanosVE1306</v>
      </c>
      <c r="B153" s="363" t="s">
        <v>393</v>
      </c>
      <c r="C153" s="323" t="s">
        <v>394</v>
      </c>
      <c r="D153" s="322" t="s">
        <v>404</v>
      </c>
      <c r="E153" s="323" t="s">
        <v>405</v>
      </c>
      <c r="F153" s="323"/>
      <c r="G153" s="324">
        <v>174099</v>
      </c>
      <c r="H153" s="324" t="s">
        <v>102</v>
      </c>
      <c r="I153" s="374">
        <v>2</v>
      </c>
      <c r="J153" s="237">
        <v>1</v>
      </c>
      <c r="K153" s="237">
        <v>3</v>
      </c>
      <c r="L153" s="237">
        <v>3</v>
      </c>
      <c r="M153" s="237">
        <v>2</v>
      </c>
      <c r="N153" s="237">
        <v>2</v>
      </c>
      <c r="O153" s="237">
        <v>2</v>
      </c>
      <c r="P153" s="237">
        <v>2</v>
      </c>
      <c r="Q153" s="382">
        <f>IF(COUNTIF(tblSeverityAnalysis[[#This Row],[SAMV]:[ASH]], 1)=0, "", COUNTIF(tblSeverityAnalysis[[#This Row],[SAMV]:[ASH]], 1))</f>
        <v>1</v>
      </c>
      <c r="R153" s="325">
        <f>IF(COUNTIF(tblSeverityAnalysis[[#This Row],[SAMV]:[ASH]], 2)=0, "", COUNTIF(tblSeverityAnalysis[[#This Row],[SAMV]:[ASH]], 2))</f>
        <v>3</v>
      </c>
      <c r="S153" s="325">
        <f>IF(COUNTIF(tblSeverityAnalysis[[#This Row],[SAMV]:[ASH]], 3)=0, "", COUNTIF(tblSeverityAnalysis[[#This Row],[SAMV]:[ASH]], 3))</f>
        <v>2</v>
      </c>
      <c r="T153" s="325" t="str">
        <f>IF(COUNTIF(tblSeverityAnalysis[[#This Row],[SAMV]:[ASH]], 4)=0, "", COUNTIF(tblSeverityAnalysis[[#This Row],[SAMV]:[ASH]], 4))</f>
        <v/>
      </c>
      <c r="U153" s="383" t="str">
        <f>IF(COUNTIF(tblSeverityAnalysis[[#This Row],[SAMV]:[ASH]], 5)=0, "", COUNTIF(tblSeverityAnalysis[[#This Row],[SAMV]:[ASH]], 5))</f>
        <v/>
      </c>
      <c r="V153" s="375" cm="1">
        <f t="array" ref="V15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5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53" s="237" t="str">
        <f>IFERROR(IF(INDEX(tblSeverityReference[Severidad de la desnutrición],MATCH(tblSeverityAnalysis[[#This Row],[ID]], tblSeverityReference[ID], 0))= "", "",INDEX(tblSeverityReference[Severidad de la desnutrición],MATCH(tblSeverityAnalysis[[#This Row],[ID]], tblSeverityReference[ID], 0)) ), "")</f>
        <v/>
      </c>
      <c r="Y153" s="349" t="str">
        <f>IFERROR(IF(INDEX(tblSeverityReference[Severidad epidémica],MATCH(tblSeverityAnalysis[[#This Row],[ID]], tblSeverityReference[ID], 0))= "", "",INDEX(tblSeverityReference[Severidad epidémica],MATCH(tblSeverityAnalysis[[#This Row],[ID]], tblSeverityReference[ID], 0)) ), "")</f>
        <v/>
      </c>
      <c r="Z15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53" s="391" t="str">
        <f>IFERROR(IF(INDEX(tblSeverityReference[HR/IHL Violation],MATCH(tblSeverityAnalysis[[#This Row],[ID]], tblSeverityReference[ID], 0))= "", "",INDEX(tblSeverityReference[HR/IHL Violation],MATCH(tblSeverityAnalysis[[#This Row],[ID]], tblSeverityReference[ID], 0)) ), "")</f>
        <v/>
      </c>
      <c r="AB153" s="397">
        <f>IFERROR(AVERAGE(tblSeverityAnalysis[[#This Row],[SAMV]:[ASH]]), "")</f>
        <v>2.1666666666666665</v>
      </c>
      <c r="AC153" s="346">
        <f>IF(SUM(tblSeverityAnalysis[[#This Row],[SAMV]:[ASH]])=0, "", MAX(tblSeverityAnalysis[[#This Row],[SAMV]:[ASH]]))</f>
        <v>3</v>
      </c>
      <c r="AD153" s="261" t="str" cm="1">
        <f t="array" ref="AD153">IFERROR(IF(tblSeverityAnalysis[[#This Row],[Severidad máxima]]="", "", _xlfn.TEXTJOIN(CHAR(10), TRUE, IF(tblSeverityAnalysis[[#This Row],[SAMV]:[ASH]]=tblSeverityAnalysis[[#This Row],[Severidad máxima]], tblSeverityAnalysis[[#Headers],[SAMV]:[ASH]], ""), "")), "")</f>
        <v>SAL
EDU</v>
      </c>
      <c r="AE153" s="346" cm="1">
        <f t="array" ref="AE153">IFERROR(MAX(_xlfn._xlws.FILTER(tblSeverityAnalysis[[#This Row],[SAMV]:[ASH]], tblSeverityAnalysis[[#This Row],[SAMV]:[ASH]]&lt;tblSeverityAnalysis[[#This Row],[Severidad máxima]])), "")</f>
        <v>2</v>
      </c>
      <c r="AF153" s="398" t="str" cm="1">
        <f t="array" ref="AF153">IFERROR(IF(tblSeverityAnalysis[[#This Row],[2ª mayor severidad]]="", "", _xlfn.TEXTJOIN(CHAR(10), TRUE, IF(tblSeverityAnalysis[[#This Row],[SAMV]:[ASH]]=tblSeverityAnalysis[[#This Row],[2ª mayor severidad]], tblSeverityAnalysis[[#Headers],[SAMV]:[ASH]], ""), "")), "")</f>
        <v>SAMV
PRO
ASH</v>
      </c>
      <c r="AG153" s="405" t="str">
        <f>IFERROR(IF(AND(tblSeverityAnalysis[[#This Row],[5]] &lt;&gt; "", tblSeverityAnalysis[[#This Row],[5]]&gt;=sectors_sev_5), "Flagged", ""), "")</f>
        <v/>
      </c>
      <c r="AH153" s="347" t="str">
        <f>IFERROR(IF(AND(tblSeverityAnalysis[[#This Row],[Severidad preliminar basada en la superposición de privaciones sectoriales]]=5, SUM(tblSeverityAnalysis[[#This Row],[ 1 ]:[ 4 ]])&gt;=sectors_sev_5), "Flagged", ""), "")</f>
        <v/>
      </c>
      <c r="AI153" s="348" t="str" cm="1">
        <f t="array" ref="AI15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5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53" s="350"/>
      <c r="AL153" s="351"/>
      <c r="AM153" s="350"/>
      <c r="AN153" s="407">
        <f>COUNTIF(tblSeverityAnalysis[[#This Row],[1 sectores en fase de severidad 5 '[modificar el umbral']]:[Marcador manual]], "Flagged")</f>
        <v>0</v>
      </c>
      <c r="AO153" s="418">
        <f>tblSeverityAnalysis[[#This Row],[Severidad preliminar basada en la superposición de privaciones sectoriales]]</f>
        <v>2</v>
      </c>
      <c r="AP153" s="417"/>
      <c r="AQ153" s="421" t="s">
        <v>876</v>
      </c>
      <c r="AR153" s="417">
        <v>3</v>
      </c>
    </row>
    <row r="154" spans="1:44" hidden="1">
      <c r="A15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VenezolanosVE1307</v>
      </c>
      <c r="B154" s="363" t="s">
        <v>393</v>
      </c>
      <c r="C154" s="323" t="s">
        <v>394</v>
      </c>
      <c r="D154" s="322" t="s">
        <v>406</v>
      </c>
      <c r="E154" s="323" t="s">
        <v>407</v>
      </c>
      <c r="F154" s="323"/>
      <c r="G154" s="324">
        <v>35802</v>
      </c>
      <c r="H154" s="324" t="s">
        <v>102</v>
      </c>
      <c r="I154" s="374">
        <v>2</v>
      </c>
      <c r="J154" s="237">
        <v>1</v>
      </c>
      <c r="K154" s="237">
        <v>3</v>
      </c>
      <c r="L154" s="237">
        <v>4</v>
      </c>
      <c r="M154" s="237">
        <v>3</v>
      </c>
      <c r="N154" s="237">
        <v>2</v>
      </c>
      <c r="O154" s="237">
        <v>3</v>
      </c>
      <c r="P154" s="237">
        <v>3</v>
      </c>
      <c r="Q154" s="382">
        <f>IF(COUNTIF(tblSeverityAnalysis[[#This Row],[SAMV]:[ASH]], 1)=0, "", COUNTIF(tblSeverityAnalysis[[#This Row],[SAMV]:[ASH]], 1))</f>
        <v>1</v>
      </c>
      <c r="R154" s="325">
        <f>IF(COUNTIF(tblSeverityAnalysis[[#This Row],[SAMV]:[ASH]], 2)=0, "", COUNTIF(tblSeverityAnalysis[[#This Row],[SAMV]:[ASH]], 2))</f>
        <v>2</v>
      </c>
      <c r="S154" s="325">
        <f>IF(COUNTIF(tblSeverityAnalysis[[#This Row],[SAMV]:[ASH]], 3)=0, "", COUNTIF(tblSeverityAnalysis[[#This Row],[SAMV]:[ASH]], 3))</f>
        <v>2</v>
      </c>
      <c r="T154" s="325">
        <f>IF(COUNTIF(tblSeverityAnalysis[[#This Row],[SAMV]:[ASH]], 4)=0, "", COUNTIF(tblSeverityAnalysis[[#This Row],[SAMV]:[ASH]], 4))</f>
        <v>1</v>
      </c>
      <c r="U154" s="383" t="str">
        <f>IF(COUNTIF(tblSeverityAnalysis[[#This Row],[SAMV]:[ASH]], 5)=0, "", COUNTIF(tblSeverityAnalysis[[#This Row],[SAMV]:[ASH]], 5))</f>
        <v/>
      </c>
      <c r="V154" s="375" cm="1">
        <f t="array" ref="V15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5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54" s="237" t="str">
        <f>IFERROR(IF(INDEX(tblSeverityReference[Severidad de la desnutrición],MATCH(tblSeverityAnalysis[[#This Row],[ID]], tblSeverityReference[ID], 0))= "", "",INDEX(tblSeverityReference[Severidad de la desnutrición],MATCH(tblSeverityAnalysis[[#This Row],[ID]], tblSeverityReference[ID], 0)) ), "")</f>
        <v/>
      </c>
      <c r="Y154" s="349" t="str">
        <f>IFERROR(IF(INDEX(tblSeverityReference[Severidad epidémica],MATCH(tblSeverityAnalysis[[#This Row],[ID]], tblSeverityReference[ID], 0))= "", "",INDEX(tblSeverityReference[Severidad epidémica],MATCH(tblSeverityAnalysis[[#This Row],[ID]], tblSeverityReference[ID], 0)) ), "")</f>
        <v/>
      </c>
      <c r="Z15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54" s="391" t="str">
        <f>IFERROR(IF(INDEX(tblSeverityReference[HR/IHL Violation],MATCH(tblSeverityAnalysis[[#This Row],[ID]], tblSeverityReference[ID], 0))= "", "",INDEX(tblSeverityReference[HR/IHL Violation],MATCH(tblSeverityAnalysis[[#This Row],[ID]], tblSeverityReference[ID], 0)) ), "")</f>
        <v/>
      </c>
      <c r="AB154" s="397">
        <f>IFERROR(AVERAGE(tblSeverityAnalysis[[#This Row],[SAMV]:[ASH]]), "")</f>
        <v>2.5</v>
      </c>
      <c r="AC154" s="346">
        <f>IF(SUM(tblSeverityAnalysis[[#This Row],[SAMV]:[ASH]])=0, "", MAX(tblSeverityAnalysis[[#This Row],[SAMV]:[ASH]]))</f>
        <v>4</v>
      </c>
      <c r="AD154" s="261" t="str" cm="1">
        <f t="array" ref="AD154">IFERROR(IF(tblSeverityAnalysis[[#This Row],[Severidad máxima]]="", "", _xlfn.TEXTJOIN(CHAR(10), TRUE, IF(tblSeverityAnalysis[[#This Row],[SAMV]:[ASH]]=tblSeverityAnalysis[[#This Row],[Severidad máxima]], tblSeverityAnalysis[[#Headers],[SAMV]:[ASH]], ""), "")), "")</f>
        <v>EDU</v>
      </c>
      <c r="AE154" s="346" cm="1">
        <f t="array" ref="AE154">IFERROR(MAX(_xlfn._xlws.FILTER(tblSeverityAnalysis[[#This Row],[SAMV]:[ASH]], tblSeverityAnalysis[[#This Row],[SAMV]:[ASH]]&lt;tblSeverityAnalysis[[#This Row],[Severidad máxima]])), "")</f>
        <v>3</v>
      </c>
      <c r="AF154" s="398" t="str" cm="1">
        <f t="array" ref="AF154">IFERROR(IF(tblSeverityAnalysis[[#This Row],[2ª mayor severidad]]="", "", _xlfn.TEXTJOIN(CHAR(10), TRUE, IF(tblSeverityAnalysis[[#This Row],[SAMV]:[ASH]]=tblSeverityAnalysis[[#This Row],[2ª mayor severidad]], tblSeverityAnalysis[[#Headers],[SAMV]:[ASH]], ""), "")), "")</f>
        <v>SAL
PRO</v>
      </c>
      <c r="AG154" s="405" t="str">
        <f>IFERROR(IF(AND(tblSeverityAnalysis[[#This Row],[5]] &lt;&gt; "", tblSeverityAnalysis[[#This Row],[5]]&gt;=sectors_sev_5), "Flagged", ""), "")</f>
        <v/>
      </c>
      <c r="AH154" s="347" t="str">
        <f>IFERROR(IF(AND(tblSeverityAnalysis[[#This Row],[Severidad preliminar basada en la superposición de privaciones sectoriales]]=5, SUM(tblSeverityAnalysis[[#This Row],[ 1 ]:[ 4 ]])&gt;=sectors_sev_5), "Flagged", ""), "")</f>
        <v/>
      </c>
      <c r="AI154" s="348" t="str" cm="1">
        <f t="array" ref="AI15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5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54" s="350"/>
      <c r="AL154" s="351"/>
      <c r="AM154" s="350"/>
      <c r="AN154" s="407">
        <f>COUNTIF(tblSeverityAnalysis[[#This Row],[1 sectores en fase de severidad 5 '[modificar el umbral']]:[Marcador manual]], "Flagged")</f>
        <v>0</v>
      </c>
      <c r="AO154" s="418">
        <f>tblSeverityAnalysis[[#This Row],[Severidad preliminar basada en la superposición de privaciones sectoriales]]</f>
        <v>2</v>
      </c>
      <c r="AP154" s="417"/>
      <c r="AQ154" s="421" t="s">
        <v>876</v>
      </c>
      <c r="AR154" s="417">
        <v>3</v>
      </c>
    </row>
    <row r="155" spans="1:44" hidden="1">
      <c r="A15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VenezolanosVE1308</v>
      </c>
      <c r="B155" s="363" t="s">
        <v>393</v>
      </c>
      <c r="C155" s="323" t="s">
        <v>394</v>
      </c>
      <c r="D155" s="322" t="s">
        <v>408</v>
      </c>
      <c r="E155" s="323" t="s">
        <v>409</v>
      </c>
      <c r="F155" s="323"/>
      <c r="G155" s="324">
        <v>185275</v>
      </c>
      <c r="H155" s="324" t="s">
        <v>102</v>
      </c>
      <c r="I155" s="374">
        <v>4</v>
      </c>
      <c r="J155" s="237">
        <v>1</v>
      </c>
      <c r="K155" s="237">
        <v>3</v>
      </c>
      <c r="L155" s="237">
        <v>3</v>
      </c>
      <c r="M155" s="237">
        <v>2</v>
      </c>
      <c r="N155" s="237">
        <v>3</v>
      </c>
      <c r="O155" s="237">
        <v>2</v>
      </c>
      <c r="P155" s="237">
        <v>2</v>
      </c>
      <c r="Q155" s="382">
        <f>IF(COUNTIF(tblSeverityAnalysis[[#This Row],[SAMV]:[ASH]], 1)=0, "", COUNTIF(tblSeverityAnalysis[[#This Row],[SAMV]:[ASH]], 1))</f>
        <v>1</v>
      </c>
      <c r="R155" s="325">
        <f>IF(COUNTIF(tblSeverityAnalysis[[#This Row],[SAMV]:[ASH]], 2)=0, "", COUNTIF(tblSeverityAnalysis[[#This Row],[SAMV]:[ASH]], 2))</f>
        <v>1</v>
      </c>
      <c r="S155" s="325">
        <f>IF(COUNTIF(tblSeverityAnalysis[[#This Row],[SAMV]:[ASH]], 3)=0, "", COUNTIF(tblSeverityAnalysis[[#This Row],[SAMV]:[ASH]], 3))</f>
        <v>3</v>
      </c>
      <c r="T155" s="325">
        <f>IF(COUNTIF(tblSeverityAnalysis[[#This Row],[SAMV]:[ASH]], 4)=0, "", COUNTIF(tblSeverityAnalysis[[#This Row],[SAMV]:[ASH]], 4))</f>
        <v>1</v>
      </c>
      <c r="U155" s="383" t="str">
        <f>IF(COUNTIF(tblSeverityAnalysis[[#This Row],[SAMV]:[ASH]], 5)=0, "", COUNTIF(tblSeverityAnalysis[[#This Row],[SAMV]:[ASH]], 5))</f>
        <v/>
      </c>
      <c r="V155" s="375" cm="1">
        <f t="array" ref="V15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5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55" s="237" t="str">
        <f>IFERROR(IF(INDEX(tblSeverityReference[Severidad de la desnutrición],MATCH(tblSeverityAnalysis[[#This Row],[ID]], tblSeverityReference[ID], 0))= "", "",INDEX(tblSeverityReference[Severidad de la desnutrición],MATCH(tblSeverityAnalysis[[#This Row],[ID]], tblSeverityReference[ID], 0)) ), "")</f>
        <v/>
      </c>
      <c r="Y155" s="349" t="str">
        <f>IFERROR(IF(INDEX(tblSeverityReference[Severidad epidémica],MATCH(tblSeverityAnalysis[[#This Row],[ID]], tblSeverityReference[ID], 0))= "", "",INDEX(tblSeverityReference[Severidad epidémica],MATCH(tblSeverityAnalysis[[#This Row],[ID]], tblSeverityReference[ID], 0)) ), "")</f>
        <v/>
      </c>
      <c r="Z15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55" s="391" t="str">
        <f>IFERROR(IF(INDEX(tblSeverityReference[HR/IHL Violation],MATCH(tblSeverityAnalysis[[#This Row],[ID]], tblSeverityReference[ID], 0))= "", "",INDEX(tblSeverityReference[HR/IHL Violation],MATCH(tblSeverityAnalysis[[#This Row],[ID]], tblSeverityReference[ID], 0)) ), "")</f>
        <v/>
      </c>
      <c r="AB155" s="397">
        <f>IFERROR(AVERAGE(tblSeverityAnalysis[[#This Row],[SAMV]:[ASH]]), "")</f>
        <v>2.6666666666666665</v>
      </c>
      <c r="AC155" s="346">
        <f>IF(SUM(tblSeverityAnalysis[[#This Row],[SAMV]:[ASH]])=0, "", MAX(tblSeverityAnalysis[[#This Row],[SAMV]:[ASH]]))</f>
        <v>4</v>
      </c>
      <c r="AD155" s="261" t="str" cm="1">
        <f t="array" ref="AD155">IFERROR(IF(tblSeverityAnalysis[[#This Row],[Severidad máxima]]="", "", _xlfn.TEXTJOIN(CHAR(10), TRUE, IF(tblSeverityAnalysis[[#This Row],[SAMV]:[ASH]]=tblSeverityAnalysis[[#This Row],[Severidad máxima]], tblSeverityAnalysis[[#Headers],[SAMV]:[ASH]], ""), "")), "")</f>
        <v>SAMV</v>
      </c>
      <c r="AE155" s="346" cm="1">
        <f t="array" ref="AE155">IFERROR(MAX(_xlfn._xlws.FILTER(tblSeverityAnalysis[[#This Row],[SAMV]:[ASH]], tblSeverityAnalysis[[#This Row],[SAMV]:[ASH]]&lt;tblSeverityAnalysis[[#This Row],[Severidad máxima]])), "")</f>
        <v>3</v>
      </c>
      <c r="AF155" s="398" t="str" cm="1">
        <f t="array" ref="AF155">IFERROR(IF(tblSeverityAnalysis[[#This Row],[2ª mayor severidad]]="", "", _xlfn.TEXTJOIN(CHAR(10), TRUE, IF(tblSeverityAnalysis[[#This Row],[SAMV]:[ASH]]=tblSeverityAnalysis[[#This Row],[2ª mayor severidad]], tblSeverityAnalysis[[#Headers],[SAMV]:[ASH]], ""), "")), "")</f>
        <v>SAL
EDU
ASH</v>
      </c>
      <c r="AG155" s="405" t="str">
        <f>IFERROR(IF(AND(tblSeverityAnalysis[[#This Row],[5]] &lt;&gt; "", tblSeverityAnalysis[[#This Row],[5]]&gt;=sectors_sev_5), "Flagged", ""), "")</f>
        <v/>
      </c>
      <c r="AH155" s="347" t="str">
        <f>IFERROR(IF(AND(tblSeverityAnalysis[[#This Row],[Severidad preliminar basada en la superposición de privaciones sectoriales]]=5, SUM(tblSeverityAnalysis[[#This Row],[ 1 ]:[ 4 ]])&gt;=sectors_sev_5), "Flagged", ""), "")</f>
        <v/>
      </c>
      <c r="AI155" s="348" t="str" cm="1">
        <f t="array" ref="AI15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5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55" s="350"/>
      <c r="AL155" s="351"/>
      <c r="AM155" s="350"/>
      <c r="AN155" s="407">
        <f>COUNTIF(tblSeverityAnalysis[[#This Row],[1 sectores en fase de severidad 5 '[modificar el umbral']]:[Marcador manual]], "Flagged")</f>
        <v>0</v>
      </c>
      <c r="AO155" s="418">
        <f>tblSeverityAnalysis[[#This Row],[Severidad preliminar basada en la superposición de privaciones sectoriales]]</f>
        <v>3</v>
      </c>
      <c r="AP155" s="417"/>
      <c r="AQ155" s="421" t="s">
        <v>876</v>
      </c>
      <c r="AR155" s="417">
        <v>3</v>
      </c>
    </row>
    <row r="156" spans="1:44" hidden="1">
      <c r="A15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VenezolanosVE1309</v>
      </c>
      <c r="B156" s="363" t="s">
        <v>393</v>
      </c>
      <c r="C156" s="323" t="s">
        <v>394</v>
      </c>
      <c r="D156" s="322" t="s">
        <v>207</v>
      </c>
      <c r="E156" s="323" t="s">
        <v>410</v>
      </c>
      <c r="F156" s="323"/>
      <c r="G156" s="324">
        <v>61381</v>
      </c>
      <c r="H156" s="324" t="s">
        <v>102</v>
      </c>
      <c r="I156" s="374">
        <v>3</v>
      </c>
      <c r="J156" s="237">
        <v>2</v>
      </c>
      <c r="K156" s="237">
        <v>3</v>
      </c>
      <c r="L156" s="237">
        <v>3</v>
      </c>
      <c r="M156" s="237">
        <v>2</v>
      </c>
      <c r="N156" s="237">
        <v>3</v>
      </c>
      <c r="O156" s="237">
        <v>2</v>
      </c>
      <c r="P156" s="237">
        <v>2</v>
      </c>
      <c r="Q156" s="382" t="str">
        <f>IF(COUNTIF(tblSeverityAnalysis[[#This Row],[SAMV]:[ASH]], 1)=0, "", COUNTIF(tblSeverityAnalysis[[#This Row],[SAMV]:[ASH]], 1))</f>
        <v/>
      </c>
      <c r="R156" s="325">
        <f>IF(COUNTIF(tblSeverityAnalysis[[#This Row],[SAMV]:[ASH]], 2)=0, "", COUNTIF(tblSeverityAnalysis[[#This Row],[SAMV]:[ASH]], 2))</f>
        <v>2</v>
      </c>
      <c r="S156" s="325">
        <f>IF(COUNTIF(tblSeverityAnalysis[[#This Row],[SAMV]:[ASH]], 3)=0, "", COUNTIF(tblSeverityAnalysis[[#This Row],[SAMV]:[ASH]], 3))</f>
        <v>4</v>
      </c>
      <c r="T156" s="325" t="str">
        <f>IF(COUNTIF(tblSeverityAnalysis[[#This Row],[SAMV]:[ASH]], 4)=0, "", COUNTIF(tblSeverityAnalysis[[#This Row],[SAMV]:[ASH]], 4))</f>
        <v/>
      </c>
      <c r="U156" s="383" t="str">
        <f>IF(COUNTIF(tblSeverityAnalysis[[#This Row],[SAMV]:[ASH]], 5)=0, "", COUNTIF(tblSeverityAnalysis[[#This Row],[SAMV]:[ASH]], 5))</f>
        <v/>
      </c>
      <c r="V156" s="375" cm="1">
        <f t="array" ref="V15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5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56" s="237" t="str">
        <f>IFERROR(IF(INDEX(tblSeverityReference[Severidad de la desnutrición],MATCH(tblSeverityAnalysis[[#This Row],[ID]], tblSeverityReference[ID], 0))= "", "",INDEX(tblSeverityReference[Severidad de la desnutrición],MATCH(tblSeverityAnalysis[[#This Row],[ID]], tblSeverityReference[ID], 0)) ), "")</f>
        <v/>
      </c>
      <c r="Y156" s="349" t="str">
        <f>IFERROR(IF(INDEX(tblSeverityReference[Severidad epidémica],MATCH(tblSeverityAnalysis[[#This Row],[ID]], tblSeverityReference[ID], 0))= "", "",INDEX(tblSeverityReference[Severidad epidémica],MATCH(tblSeverityAnalysis[[#This Row],[ID]], tblSeverityReference[ID], 0)) ), "")</f>
        <v/>
      </c>
      <c r="Z15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56" s="391" t="str">
        <f>IFERROR(IF(INDEX(tblSeverityReference[HR/IHL Violation],MATCH(tblSeverityAnalysis[[#This Row],[ID]], tblSeverityReference[ID], 0))= "", "",INDEX(tblSeverityReference[HR/IHL Violation],MATCH(tblSeverityAnalysis[[#This Row],[ID]], tblSeverityReference[ID], 0)) ), "")</f>
        <v/>
      </c>
      <c r="AB156" s="397">
        <f>IFERROR(AVERAGE(tblSeverityAnalysis[[#This Row],[SAMV]:[ASH]]), "")</f>
        <v>2.6666666666666665</v>
      </c>
      <c r="AC156" s="346">
        <f>IF(SUM(tblSeverityAnalysis[[#This Row],[SAMV]:[ASH]])=0, "", MAX(tblSeverityAnalysis[[#This Row],[SAMV]:[ASH]]))</f>
        <v>3</v>
      </c>
      <c r="AD156" s="261" t="str" cm="1">
        <f t="array" ref="AD156">IFERROR(IF(tblSeverityAnalysis[[#This Row],[Severidad máxima]]="", "", _xlfn.TEXTJOIN(CHAR(10), TRUE, IF(tblSeverityAnalysis[[#This Row],[SAMV]:[ASH]]=tblSeverityAnalysis[[#This Row],[Severidad máxima]], tblSeverityAnalysis[[#Headers],[SAMV]:[ASH]], ""), "")), "")</f>
        <v>SAMV
SAL
EDU
ASH</v>
      </c>
      <c r="AE156" s="346" cm="1">
        <f t="array" ref="AE156">IFERROR(MAX(_xlfn._xlws.FILTER(tblSeverityAnalysis[[#This Row],[SAMV]:[ASH]], tblSeverityAnalysis[[#This Row],[SAMV]:[ASH]]&lt;tblSeverityAnalysis[[#This Row],[Severidad máxima]])), "")</f>
        <v>2</v>
      </c>
      <c r="AF156" s="398" t="str" cm="1">
        <f t="array" ref="AF156">IFERROR(IF(tblSeverityAnalysis[[#This Row],[2ª mayor severidad]]="", "", _xlfn.TEXTJOIN(CHAR(10), TRUE, IF(tblSeverityAnalysis[[#This Row],[SAMV]:[ASH]]=tblSeverityAnalysis[[#This Row],[2ª mayor severidad]], tblSeverityAnalysis[[#Headers],[SAMV]:[ASH]], ""), "")), "")</f>
        <v>NUT
PRO</v>
      </c>
      <c r="AG156" s="405" t="str">
        <f>IFERROR(IF(AND(tblSeverityAnalysis[[#This Row],[5]] &lt;&gt; "", tblSeverityAnalysis[[#This Row],[5]]&gt;=sectors_sev_5), "Flagged", ""), "")</f>
        <v/>
      </c>
      <c r="AH156" s="347" t="str">
        <f>IFERROR(IF(AND(tblSeverityAnalysis[[#This Row],[Severidad preliminar basada en la superposición de privaciones sectoriales]]=5, SUM(tblSeverityAnalysis[[#This Row],[ 1 ]:[ 4 ]])&gt;=sectors_sev_5), "Flagged", ""), "")</f>
        <v/>
      </c>
      <c r="AI156" s="348" t="str" cm="1">
        <f t="array" ref="AI15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5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56" s="350"/>
      <c r="AL156" s="351"/>
      <c r="AM156" s="350"/>
      <c r="AN156" s="407">
        <f>COUNTIF(tblSeverityAnalysis[[#This Row],[1 sectores en fase de severidad 5 '[modificar el umbral']]:[Marcador manual]], "Flagged")</f>
        <v>0</v>
      </c>
      <c r="AO156" s="418">
        <f>tblSeverityAnalysis[[#This Row],[Severidad preliminar basada en la superposición de privaciones sectoriales]]</f>
        <v>3</v>
      </c>
      <c r="AP156" s="417"/>
      <c r="AQ156" s="421" t="s">
        <v>876</v>
      </c>
      <c r="AR156" s="417">
        <v>4</v>
      </c>
    </row>
    <row r="157" spans="1:44" hidden="1">
      <c r="A15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VenezolanosVE1401</v>
      </c>
      <c r="B157" s="363" t="s">
        <v>411</v>
      </c>
      <c r="C157" s="323" t="s">
        <v>412</v>
      </c>
      <c r="D157" s="322" t="s">
        <v>413</v>
      </c>
      <c r="E157" s="323" t="s">
        <v>414</v>
      </c>
      <c r="F157" s="323"/>
      <c r="G157" s="324">
        <v>132681</v>
      </c>
      <c r="H157" s="324" t="s">
        <v>102</v>
      </c>
      <c r="I157" s="374">
        <v>3</v>
      </c>
      <c r="J157" s="237">
        <v>2</v>
      </c>
      <c r="K157" s="237">
        <v>3</v>
      </c>
      <c r="L157" s="237">
        <v>3</v>
      </c>
      <c r="M157" s="237">
        <v>3</v>
      </c>
      <c r="N157" s="237">
        <v>3</v>
      </c>
      <c r="O157" s="237">
        <v>3</v>
      </c>
      <c r="P157" s="237">
        <v>3</v>
      </c>
      <c r="Q157" s="382" t="str">
        <f>IF(COUNTIF(tblSeverityAnalysis[[#This Row],[SAMV]:[ASH]], 1)=0, "", COUNTIF(tblSeverityAnalysis[[#This Row],[SAMV]:[ASH]], 1))</f>
        <v/>
      </c>
      <c r="R157" s="325">
        <f>IF(COUNTIF(tblSeverityAnalysis[[#This Row],[SAMV]:[ASH]], 2)=0, "", COUNTIF(tblSeverityAnalysis[[#This Row],[SAMV]:[ASH]], 2))</f>
        <v>1</v>
      </c>
      <c r="S157" s="325">
        <f>IF(COUNTIF(tblSeverityAnalysis[[#This Row],[SAMV]:[ASH]], 3)=0, "", COUNTIF(tblSeverityAnalysis[[#This Row],[SAMV]:[ASH]], 3))</f>
        <v>5</v>
      </c>
      <c r="T157" s="325" t="str">
        <f>IF(COUNTIF(tblSeverityAnalysis[[#This Row],[SAMV]:[ASH]], 4)=0, "", COUNTIF(tblSeverityAnalysis[[#This Row],[SAMV]:[ASH]], 4))</f>
        <v/>
      </c>
      <c r="U157" s="383" t="str">
        <f>IF(COUNTIF(tblSeverityAnalysis[[#This Row],[SAMV]:[ASH]], 5)=0, "", COUNTIF(tblSeverityAnalysis[[#This Row],[SAMV]:[ASH]], 5))</f>
        <v/>
      </c>
      <c r="V157" s="375" cm="1">
        <f t="array" ref="V15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5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57" s="237" t="str">
        <f>IFERROR(IF(INDEX(tblSeverityReference[Severidad de la desnutrición],MATCH(tblSeverityAnalysis[[#This Row],[ID]], tblSeverityReference[ID], 0))= "", "",INDEX(tblSeverityReference[Severidad de la desnutrición],MATCH(tblSeverityAnalysis[[#This Row],[ID]], tblSeverityReference[ID], 0)) ), "")</f>
        <v/>
      </c>
      <c r="Y157" s="349" t="str">
        <f>IFERROR(IF(INDEX(tblSeverityReference[Severidad epidémica],MATCH(tblSeverityAnalysis[[#This Row],[ID]], tblSeverityReference[ID], 0))= "", "",INDEX(tblSeverityReference[Severidad epidémica],MATCH(tblSeverityAnalysis[[#This Row],[ID]], tblSeverityReference[ID], 0)) ), "")</f>
        <v/>
      </c>
      <c r="Z15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57" s="391" t="str">
        <f>IFERROR(IF(INDEX(tblSeverityReference[HR/IHL Violation],MATCH(tblSeverityAnalysis[[#This Row],[ID]], tblSeverityReference[ID], 0))= "", "",INDEX(tblSeverityReference[HR/IHL Violation],MATCH(tblSeverityAnalysis[[#This Row],[ID]], tblSeverityReference[ID], 0)) ), "")</f>
        <v/>
      </c>
      <c r="AB157" s="397">
        <f>IFERROR(AVERAGE(tblSeverityAnalysis[[#This Row],[SAMV]:[ASH]]), "")</f>
        <v>2.8333333333333335</v>
      </c>
      <c r="AC157" s="346">
        <f>IF(SUM(tblSeverityAnalysis[[#This Row],[SAMV]:[ASH]])=0, "", MAX(tblSeverityAnalysis[[#This Row],[SAMV]:[ASH]]))</f>
        <v>3</v>
      </c>
      <c r="AD157" s="261" t="str" cm="1">
        <f t="array" ref="AD157">IFERROR(IF(tblSeverityAnalysis[[#This Row],[Severidad máxima]]="", "", _xlfn.TEXTJOIN(CHAR(10), TRUE, IF(tblSeverityAnalysis[[#This Row],[SAMV]:[ASH]]=tblSeverityAnalysis[[#This Row],[Severidad máxima]], tblSeverityAnalysis[[#Headers],[SAMV]:[ASH]], ""), "")), "")</f>
        <v>SAMV
SAL
EDU
PRO
ASH</v>
      </c>
      <c r="AE157" s="346" cm="1">
        <f t="array" ref="AE157">IFERROR(MAX(_xlfn._xlws.FILTER(tblSeverityAnalysis[[#This Row],[SAMV]:[ASH]], tblSeverityAnalysis[[#This Row],[SAMV]:[ASH]]&lt;tblSeverityAnalysis[[#This Row],[Severidad máxima]])), "")</f>
        <v>2</v>
      </c>
      <c r="AF157" s="398" t="str" cm="1">
        <f t="array" ref="AF157">IFERROR(IF(tblSeverityAnalysis[[#This Row],[2ª mayor severidad]]="", "", _xlfn.TEXTJOIN(CHAR(10), TRUE, IF(tblSeverityAnalysis[[#This Row],[SAMV]:[ASH]]=tblSeverityAnalysis[[#This Row],[2ª mayor severidad]], tblSeverityAnalysis[[#Headers],[SAMV]:[ASH]], ""), "")), "")</f>
        <v>NUT</v>
      </c>
      <c r="AG157" s="405" t="str">
        <f>IFERROR(IF(AND(tblSeverityAnalysis[[#This Row],[5]] &lt;&gt; "", tblSeverityAnalysis[[#This Row],[5]]&gt;=sectors_sev_5), "Flagged", ""), "")</f>
        <v/>
      </c>
      <c r="AH157" s="347" t="str">
        <f>IFERROR(IF(AND(tblSeverityAnalysis[[#This Row],[Severidad preliminar basada en la superposición de privaciones sectoriales]]=5, SUM(tblSeverityAnalysis[[#This Row],[ 1 ]:[ 4 ]])&gt;=sectors_sev_5), "Flagged", ""), "")</f>
        <v/>
      </c>
      <c r="AI157" s="348" t="str" cm="1">
        <f t="array" ref="AI15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5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57" s="350"/>
      <c r="AL157" s="351"/>
      <c r="AM157" s="350"/>
      <c r="AN157" s="407">
        <f>COUNTIF(tblSeverityAnalysis[[#This Row],[1 sectores en fase de severidad 5 '[modificar el umbral']]:[Marcador manual]], "Flagged")</f>
        <v>0</v>
      </c>
      <c r="AO157" s="418">
        <f>tblSeverityAnalysis[[#This Row],[Severidad preliminar basada en la superposición de privaciones sectoriales]]</f>
        <v>3</v>
      </c>
      <c r="AP157" s="417"/>
      <c r="AQ157" s="421" t="s">
        <v>876</v>
      </c>
      <c r="AR157" s="417">
        <v>3</v>
      </c>
    </row>
    <row r="158" spans="1:44" hidden="1">
      <c r="A15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VenezolanosVE1402</v>
      </c>
      <c r="B158" s="363" t="s">
        <v>411</v>
      </c>
      <c r="C158" s="323" t="s">
        <v>412</v>
      </c>
      <c r="D158" s="322" t="s">
        <v>415</v>
      </c>
      <c r="E158" s="323" t="s">
        <v>416</v>
      </c>
      <c r="F158" s="323"/>
      <c r="G158" s="324">
        <v>14238</v>
      </c>
      <c r="H158" s="324" t="s">
        <v>102</v>
      </c>
      <c r="I158" s="374">
        <v>3</v>
      </c>
      <c r="J158" s="237">
        <v>1</v>
      </c>
      <c r="K158" s="237">
        <v>3</v>
      </c>
      <c r="L158" s="237">
        <v>3</v>
      </c>
      <c r="M158" s="237">
        <v>2</v>
      </c>
      <c r="N158" s="237">
        <v>1</v>
      </c>
      <c r="O158" s="237">
        <v>2</v>
      </c>
      <c r="P158" s="237">
        <v>2</v>
      </c>
      <c r="Q158" s="382">
        <f>IF(COUNTIF(tblSeverityAnalysis[[#This Row],[SAMV]:[ASH]], 1)=0, "", COUNTIF(tblSeverityAnalysis[[#This Row],[SAMV]:[ASH]], 1))</f>
        <v>2</v>
      </c>
      <c r="R158" s="325">
        <f>IF(COUNTIF(tblSeverityAnalysis[[#This Row],[SAMV]:[ASH]], 2)=0, "", COUNTIF(tblSeverityAnalysis[[#This Row],[SAMV]:[ASH]], 2))</f>
        <v>1</v>
      </c>
      <c r="S158" s="325">
        <f>IF(COUNTIF(tblSeverityAnalysis[[#This Row],[SAMV]:[ASH]], 3)=0, "", COUNTIF(tblSeverityAnalysis[[#This Row],[SAMV]:[ASH]], 3))</f>
        <v>3</v>
      </c>
      <c r="T158" s="325" t="str">
        <f>IF(COUNTIF(tblSeverityAnalysis[[#This Row],[SAMV]:[ASH]], 4)=0, "", COUNTIF(tblSeverityAnalysis[[#This Row],[SAMV]:[ASH]], 4))</f>
        <v/>
      </c>
      <c r="U158" s="383" t="str">
        <f>IF(COUNTIF(tblSeverityAnalysis[[#This Row],[SAMV]:[ASH]], 5)=0, "", COUNTIF(tblSeverityAnalysis[[#This Row],[SAMV]:[ASH]], 5))</f>
        <v/>
      </c>
      <c r="V158" s="375" cm="1">
        <f t="array" ref="V15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5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58" s="237" t="str">
        <f>IFERROR(IF(INDEX(tblSeverityReference[Severidad de la desnutrición],MATCH(tblSeverityAnalysis[[#This Row],[ID]], tblSeverityReference[ID], 0))= "", "",INDEX(tblSeverityReference[Severidad de la desnutrición],MATCH(tblSeverityAnalysis[[#This Row],[ID]], tblSeverityReference[ID], 0)) ), "")</f>
        <v/>
      </c>
      <c r="Y158" s="349" t="str">
        <f>IFERROR(IF(INDEX(tblSeverityReference[Severidad epidémica],MATCH(tblSeverityAnalysis[[#This Row],[ID]], tblSeverityReference[ID], 0))= "", "",INDEX(tblSeverityReference[Severidad epidémica],MATCH(tblSeverityAnalysis[[#This Row],[ID]], tblSeverityReference[ID], 0)) ), "")</f>
        <v/>
      </c>
      <c r="Z15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58" s="391" t="str">
        <f>IFERROR(IF(INDEX(tblSeverityReference[HR/IHL Violation],MATCH(tblSeverityAnalysis[[#This Row],[ID]], tblSeverityReference[ID], 0))= "", "",INDEX(tblSeverityReference[HR/IHL Violation],MATCH(tblSeverityAnalysis[[#This Row],[ID]], tblSeverityReference[ID], 0)) ), "")</f>
        <v/>
      </c>
      <c r="AB158" s="397">
        <f>IFERROR(AVERAGE(tblSeverityAnalysis[[#This Row],[SAMV]:[ASH]]), "")</f>
        <v>2.1666666666666665</v>
      </c>
      <c r="AC158" s="346">
        <f>IF(SUM(tblSeverityAnalysis[[#This Row],[SAMV]:[ASH]])=0, "", MAX(tblSeverityAnalysis[[#This Row],[SAMV]:[ASH]]))</f>
        <v>3</v>
      </c>
      <c r="AD158" s="261" t="str" cm="1">
        <f t="array" ref="AD158">IFERROR(IF(tblSeverityAnalysis[[#This Row],[Severidad máxima]]="", "", _xlfn.TEXTJOIN(CHAR(10), TRUE, IF(tblSeverityAnalysis[[#This Row],[SAMV]:[ASH]]=tblSeverityAnalysis[[#This Row],[Severidad máxima]], tblSeverityAnalysis[[#Headers],[SAMV]:[ASH]], ""), "")), "")</f>
        <v>SAMV
SAL
EDU</v>
      </c>
      <c r="AE158" s="346" cm="1">
        <f t="array" ref="AE158">IFERROR(MAX(_xlfn._xlws.FILTER(tblSeverityAnalysis[[#This Row],[SAMV]:[ASH]], tblSeverityAnalysis[[#This Row],[SAMV]:[ASH]]&lt;tblSeverityAnalysis[[#This Row],[Severidad máxima]])), "")</f>
        <v>2</v>
      </c>
      <c r="AF158" s="398" t="str" cm="1">
        <f t="array" ref="AF158">IFERROR(IF(tblSeverityAnalysis[[#This Row],[2ª mayor severidad]]="", "", _xlfn.TEXTJOIN(CHAR(10), TRUE, IF(tblSeverityAnalysis[[#This Row],[SAMV]:[ASH]]=tblSeverityAnalysis[[#This Row],[2ª mayor severidad]], tblSeverityAnalysis[[#Headers],[SAMV]:[ASH]], ""), "")), "")</f>
        <v>PRO</v>
      </c>
      <c r="AG158" s="405" t="str">
        <f>IFERROR(IF(AND(tblSeverityAnalysis[[#This Row],[5]] &lt;&gt; "", tblSeverityAnalysis[[#This Row],[5]]&gt;=sectors_sev_5), "Flagged", ""), "")</f>
        <v/>
      </c>
      <c r="AH158" s="347" t="str">
        <f>IFERROR(IF(AND(tblSeverityAnalysis[[#This Row],[Severidad preliminar basada en la superposición de privaciones sectoriales]]=5, SUM(tblSeverityAnalysis[[#This Row],[ 1 ]:[ 4 ]])&gt;=sectors_sev_5), "Flagged", ""), "")</f>
        <v/>
      </c>
      <c r="AI158" s="348" t="str" cm="1">
        <f t="array" ref="AI15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5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58" s="350"/>
      <c r="AL158" s="351"/>
      <c r="AM158" s="350"/>
      <c r="AN158" s="407">
        <f>COUNTIF(tblSeverityAnalysis[[#This Row],[1 sectores en fase de severidad 5 '[modificar el umbral']]:[Marcador manual]], "Flagged")</f>
        <v>0</v>
      </c>
      <c r="AO158" s="418">
        <f>tblSeverityAnalysis[[#This Row],[Severidad preliminar basada en la superposición de privaciones sectoriales]]</f>
        <v>2</v>
      </c>
      <c r="AP158" s="417"/>
      <c r="AQ158" s="421" t="s">
        <v>876</v>
      </c>
      <c r="AR158" s="417">
        <v>3</v>
      </c>
    </row>
    <row r="159" spans="1:44" hidden="1">
      <c r="A15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VenezolanosVE1403</v>
      </c>
      <c r="B159" s="363" t="s">
        <v>411</v>
      </c>
      <c r="C159" s="323" t="s">
        <v>412</v>
      </c>
      <c r="D159" s="322" t="s">
        <v>417</v>
      </c>
      <c r="E159" s="323" t="s">
        <v>418</v>
      </c>
      <c r="F159" s="323"/>
      <c r="G159" s="324">
        <v>24006</v>
      </c>
      <c r="H159" s="324" t="s">
        <v>102</v>
      </c>
      <c r="I159" s="374">
        <v>3</v>
      </c>
      <c r="J159" s="237">
        <v>1</v>
      </c>
      <c r="K159" s="237">
        <v>4</v>
      </c>
      <c r="L159" s="237">
        <v>3</v>
      </c>
      <c r="M159" s="237">
        <v>3</v>
      </c>
      <c r="N159" s="237">
        <v>2</v>
      </c>
      <c r="O159" s="237">
        <v>3</v>
      </c>
      <c r="P159" s="237">
        <v>3</v>
      </c>
      <c r="Q159" s="382">
        <f>IF(COUNTIF(tblSeverityAnalysis[[#This Row],[SAMV]:[ASH]], 1)=0, "", COUNTIF(tblSeverityAnalysis[[#This Row],[SAMV]:[ASH]], 1))</f>
        <v>1</v>
      </c>
      <c r="R159" s="325">
        <f>IF(COUNTIF(tblSeverityAnalysis[[#This Row],[SAMV]:[ASH]], 2)=0, "", COUNTIF(tblSeverityAnalysis[[#This Row],[SAMV]:[ASH]], 2))</f>
        <v>1</v>
      </c>
      <c r="S159" s="325">
        <f>IF(COUNTIF(tblSeverityAnalysis[[#This Row],[SAMV]:[ASH]], 3)=0, "", COUNTIF(tblSeverityAnalysis[[#This Row],[SAMV]:[ASH]], 3))</f>
        <v>3</v>
      </c>
      <c r="T159" s="325">
        <f>IF(COUNTIF(tblSeverityAnalysis[[#This Row],[SAMV]:[ASH]], 4)=0, "", COUNTIF(tblSeverityAnalysis[[#This Row],[SAMV]:[ASH]], 4))</f>
        <v>1</v>
      </c>
      <c r="U159" s="383" t="str">
        <f>IF(COUNTIF(tblSeverityAnalysis[[#This Row],[SAMV]:[ASH]], 5)=0, "", COUNTIF(tblSeverityAnalysis[[#This Row],[SAMV]:[ASH]], 5))</f>
        <v/>
      </c>
      <c r="V159" s="375" cm="1">
        <f t="array" ref="V15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5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59" s="237" t="str">
        <f>IFERROR(IF(INDEX(tblSeverityReference[Severidad de la desnutrición],MATCH(tblSeverityAnalysis[[#This Row],[ID]], tblSeverityReference[ID], 0))= "", "",INDEX(tblSeverityReference[Severidad de la desnutrición],MATCH(tblSeverityAnalysis[[#This Row],[ID]], tblSeverityReference[ID], 0)) ), "")</f>
        <v/>
      </c>
      <c r="Y159" s="349" t="str">
        <f>IFERROR(IF(INDEX(tblSeverityReference[Severidad epidémica],MATCH(tblSeverityAnalysis[[#This Row],[ID]], tblSeverityReference[ID], 0))= "", "",INDEX(tblSeverityReference[Severidad epidémica],MATCH(tblSeverityAnalysis[[#This Row],[ID]], tblSeverityReference[ID], 0)) ), "")</f>
        <v/>
      </c>
      <c r="Z15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59" s="391" t="str">
        <f>IFERROR(IF(INDEX(tblSeverityReference[HR/IHL Violation],MATCH(tblSeverityAnalysis[[#This Row],[ID]], tblSeverityReference[ID], 0))= "", "",INDEX(tblSeverityReference[HR/IHL Violation],MATCH(tblSeverityAnalysis[[#This Row],[ID]], tblSeverityReference[ID], 0)) ), "")</f>
        <v/>
      </c>
      <c r="AB159" s="397">
        <f>IFERROR(AVERAGE(tblSeverityAnalysis[[#This Row],[SAMV]:[ASH]]), "")</f>
        <v>2.6666666666666665</v>
      </c>
      <c r="AC159" s="346">
        <f>IF(SUM(tblSeverityAnalysis[[#This Row],[SAMV]:[ASH]])=0, "", MAX(tblSeverityAnalysis[[#This Row],[SAMV]:[ASH]]))</f>
        <v>4</v>
      </c>
      <c r="AD159" s="261" t="str" cm="1">
        <f t="array" ref="AD159">IFERROR(IF(tblSeverityAnalysis[[#This Row],[Severidad máxima]]="", "", _xlfn.TEXTJOIN(CHAR(10), TRUE, IF(tblSeverityAnalysis[[#This Row],[SAMV]:[ASH]]=tblSeverityAnalysis[[#This Row],[Severidad máxima]], tblSeverityAnalysis[[#Headers],[SAMV]:[ASH]], ""), "")), "")</f>
        <v>SAL</v>
      </c>
      <c r="AE159" s="346" cm="1">
        <f t="array" ref="AE159">IFERROR(MAX(_xlfn._xlws.FILTER(tblSeverityAnalysis[[#This Row],[SAMV]:[ASH]], tblSeverityAnalysis[[#This Row],[SAMV]:[ASH]]&lt;tblSeverityAnalysis[[#This Row],[Severidad máxima]])), "")</f>
        <v>3</v>
      </c>
      <c r="AF159" s="398" t="str" cm="1">
        <f t="array" ref="AF159">IFERROR(IF(tblSeverityAnalysis[[#This Row],[2ª mayor severidad]]="", "", _xlfn.TEXTJOIN(CHAR(10), TRUE, IF(tblSeverityAnalysis[[#This Row],[SAMV]:[ASH]]=tblSeverityAnalysis[[#This Row],[2ª mayor severidad]], tblSeverityAnalysis[[#Headers],[SAMV]:[ASH]], ""), "")), "")</f>
        <v>SAMV
EDU
PRO</v>
      </c>
      <c r="AG159" s="405" t="str">
        <f>IFERROR(IF(AND(tblSeverityAnalysis[[#This Row],[5]] &lt;&gt; "", tblSeverityAnalysis[[#This Row],[5]]&gt;=sectors_sev_5), "Flagged", ""), "")</f>
        <v/>
      </c>
      <c r="AH159" s="347" t="str">
        <f>IFERROR(IF(AND(tblSeverityAnalysis[[#This Row],[Severidad preliminar basada en la superposición de privaciones sectoriales]]=5, SUM(tblSeverityAnalysis[[#This Row],[ 1 ]:[ 4 ]])&gt;=sectors_sev_5), "Flagged", ""), "")</f>
        <v/>
      </c>
      <c r="AI159" s="348" t="str" cm="1">
        <f t="array" ref="AI15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5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59" s="350"/>
      <c r="AL159" s="351"/>
      <c r="AM159" s="350"/>
      <c r="AN159" s="407">
        <f>COUNTIF(tblSeverityAnalysis[[#This Row],[1 sectores en fase de severidad 5 '[modificar el umbral']]:[Marcador manual]], "Flagged")</f>
        <v>0</v>
      </c>
      <c r="AO159" s="418">
        <f>tblSeverityAnalysis[[#This Row],[Severidad preliminar basada en la superposición de privaciones sectoriales]]</f>
        <v>3</v>
      </c>
      <c r="AP159" s="417"/>
      <c r="AQ159" s="421" t="s">
        <v>876</v>
      </c>
      <c r="AR159" s="417">
        <v>4</v>
      </c>
    </row>
    <row r="160" spans="1:44" hidden="1">
      <c r="A16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VenezolanosVE1404</v>
      </c>
      <c r="B160" s="363" t="s">
        <v>411</v>
      </c>
      <c r="C160" s="323" t="s">
        <v>412</v>
      </c>
      <c r="D160" s="322" t="s">
        <v>419</v>
      </c>
      <c r="E160" s="323" t="s">
        <v>420</v>
      </c>
      <c r="F160" s="323"/>
      <c r="G160" s="324">
        <v>4242</v>
      </c>
      <c r="H160" s="324" t="s">
        <v>102</v>
      </c>
      <c r="I160" s="374">
        <v>3</v>
      </c>
      <c r="J160" s="237">
        <v>2</v>
      </c>
      <c r="K160" s="237">
        <v>4</v>
      </c>
      <c r="L160" s="237">
        <v>3</v>
      </c>
      <c r="M160" s="237">
        <v>2</v>
      </c>
      <c r="N160" s="237">
        <v>2</v>
      </c>
      <c r="O160" s="237">
        <v>2</v>
      </c>
      <c r="P160" s="237">
        <v>2</v>
      </c>
      <c r="Q160" s="382" t="str">
        <f>IF(COUNTIF(tblSeverityAnalysis[[#This Row],[SAMV]:[ASH]], 1)=0, "", COUNTIF(tblSeverityAnalysis[[#This Row],[SAMV]:[ASH]], 1))</f>
        <v/>
      </c>
      <c r="R160" s="325">
        <f>IF(COUNTIF(tblSeverityAnalysis[[#This Row],[SAMV]:[ASH]], 2)=0, "", COUNTIF(tblSeverityAnalysis[[#This Row],[SAMV]:[ASH]], 2))</f>
        <v>3</v>
      </c>
      <c r="S160" s="325">
        <f>IF(COUNTIF(tblSeverityAnalysis[[#This Row],[SAMV]:[ASH]], 3)=0, "", COUNTIF(tblSeverityAnalysis[[#This Row],[SAMV]:[ASH]], 3))</f>
        <v>2</v>
      </c>
      <c r="T160" s="325">
        <f>IF(COUNTIF(tblSeverityAnalysis[[#This Row],[SAMV]:[ASH]], 4)=0, "", COUNTIF(tblSeverityAnalysis[[#This Row],[SAMV]:[ASH]], 4))</f>
        <v>1</v>
      </c>
      <c r="U160" s="383" t="str">
        <f>IF(COUNTIF(tblSeverityAnalysis[[#This Row],[SAMV]:[ASH]], 5)=0, "", COUNTIF(tblSeverityAnalysis[[#This Row],[SAMV]:[ASH]], 5))</f>
        <v/>
      </c>
      <c r="V160" s="375" cm="1">
        <f t="array" ref="V16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6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60" s="237" t="str">
        <f>IFERROR(IF(INDEX(tblSeverityReference[Severidad de la desnutrición],MATCH(tblSeverityAnalysis[[#This Row],[ID]], tblSeverityReference[ID], 0))= "", "",INDEX(tblSeverityReference[Severidad de la desnutrición],MATCH(tblSeverityAnalysis[[#This Row],[ID]], tblSeverityReference[ID], 0)) ), "")</f>
        <v/>
      </c>
      <c r="Y160" s="349" t="str">
        <f>IFERROR(IF(INDEX(tblSeverityReference[Severidad epidémica],MATCH(tblSeverityAnalysis[[#This Row],[ID]], tblSeverityReference[ID], 0))= "", "",INDEX(tblSeverityReference[Severidad epidémica],MATCH(tblSeverityAnalysis[[#This Row],[ID]], tblSeverityReference[ID], 0)) ), "")</f>
        <v/>
      </c>
      <c r="Z16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60" s="391" t="str">
        <f>IFERROR(IF(INDEX(tblSeverityReference[HR/IHL Violation],MATCH(tblSeverityAnalysis[[#This Row],[ID]], tblSeverityReference[ID], 0))= "", "",INDEX(tblSeverityReference[HR/IHL Violation],MATCH(tblSeverityAnalysis[[#This Row],[ID]], tblSeverityReference[ID], 0)) ), "")</f>
        <v/>
      </c>
      <c r="AB160" s="397">
        <f>IFERROR(AVERAGE(tblSeverityAnalysis[[#This Row],[SAMV]:[ASH]]), "")</f>
        <v>2.6666666666666665</v>
      </c>
      <c r="AC160" s="346">
        <f>IF(SUM(tblSeverityAnalysis[[#This Row],[SAMV]:[ASH]])=0, "", MAX(tblSeverityAnalysis[[#This Row],[SAMV]:[ASH]]))</f>
        <v>4</v>
      </c>
      <c r="AD160" s="261" t="str" cm="1">
        <f t="array" ref="AD160">IFERROR(IF(tblSeverityAnalysis[[#This Row],[Severidad máxima]]="", "", _xlfn.TEXTJOIN(CHAR(10), TRUE, IF(tblSeverityAnalysis[[#This Row],[SAMV]:[ASH]]=tblSeverityAnalysis[[#This Row],[Severidad máxima]], tblSeverityAnalysis[[#Headers],[SAMV]:[ASH]], ""), "")), "")</f>
        <v>SAL</v>
      </c>
      <c r="AE160" s="346" cm="1">
        <f t="array" ref="AE160">IFERROR(MAX(_xlfn._xlws.FILTER(tblSeverityAnalysis[[#This Row],[SAMV]:[ASH]], tblSeverityAnalysis[[#This Row],[SAMV]:[ASH]]&lt;tblSeverityAnalysis[[#This Row],[Severidad máxima]])), "")</f>
        <v>3</v>
      </c>
      <c r="AF160" s="398" t="str" cm="1">
        <f t="array" ref="AF160">IFERROR(IF(tblSeverityAnalysis[[#This Row],[2ª mayor severidad]]="", "", _xlfn.TEXTJOIN(CHAR(10), TRUE, IF(tblSeverityAnalysis[[#This Row],[SAMV]:[ASH]]=tblSeverityAnalysis[[#This Row],[2ª mayor severidad]], tblSeverityAnalysis[[#Headers],[SAMV]:[ASH]], ""), "")), "")</f>
        <v>SAMV
EDU</v>
      </c>
      <c r="AG160" s="405" t="str">
        <f>IFERROR(IF(AND(tblSeverityAnalysis[[#This Row],[5]] &lt;&gt; "", tblSeverityAnalysis[[#This Row],[5]]&gt;=sectors_sev_5), "Flagged", ""), "")</f>
        <v/>
      </c>
      <c r="AH160" s="347" t="str">
        <f>IFERROR(IF(AND(tblSeverityAnalysis[[#This Row],[Severidad preliminar basada en la superposición de privaciones sectoriales]]=5, SUM(tblSeverityAnalysis[[#This Row],[ 1 ]:[ 4 ]])&gt;=sectors_sev_5), "Flagged", ""), "")</f>
        <v/>
      </c>
      <c r="AI160" s="348" t="str" cm="1">
        <f t="array" ref="AI16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6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60" s="350"/>
      <c r="AL160" s="351"/>
      <c r="AM160" s="350"/>
      <c r="AN160" s="407">
        <f>COUNTIF(tblSeverityAnalysis[[#This Row],[1 sectores en fase de severidad 5 '[modificar el umbral']]:[Marcador manual]], "Flagged")</f>
        <v>0</v>
      </c>
      <c r="AO160" s="418">
        <f>tblSeverityAnalysis[[#This Row],[Severidad preliminar basada en la superposición de privaciones sectoriales]]</f>
        <v>2</v>
      </c>
      <c r="AP160" s="417"/>
      <c r="AQ160" s="421" t="s">
        <v>876</v>
      </c>
      <c r="AR160" s="417">
        <v>3</v>
      </c>
    </row>
    <row r="161" spans="1:44" hidden="1">
      <c r="A16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VenezolanosVE1405</v>
      </c>
      <c r="B161" s="363" t="s">
        <v>411</v>
      </c>
      <c r="C161" s="323" t="s">
        <v>412</v>
      </c>
      <c r="D161" s="322" t="s">
        <v>421</v>
      </c>
      <c r="E161" s="323" t="s">
        <v>422</v>
      </c>
      <c r="F161" s="323"/>
      <c r="G161" s="324">
        <v>13083</v>
      </c>
      <c r="H161" s="324" t="s">
        <v>102</v>
      </c>
      <c r="I161" s="374">
        <v>3</v>
      </c>
      <c r="J161" s="237">
        <v>2</v>
      </c>
      <c r="K161" s="237">
        <v>4</v>
      </c>
      <c r="L161" s="237">
        <v>3</v>
      </c>
      <c r="M161" s="237">
        <v>2</v>
      </c>
      <c r="N161" s="237">
        <v>2</v>
      </c>
      <c r="O161" s="237">
        <v>2</v>
      </c>
      <c r="P161" s="237">
        <v>2</v>
      </c>
      <c r="Q161" s="382" t="str">
        <f>IF(COUNTIF(tblSeverityAnalysis[[#This Row],[SAMV]:[ASH]], 1)=0, "", COUNTIF(tblSeverityAnalysis[[#This Row],[SAMV]:[ASH]], 1))</f>
        <v/>
      </c>
      <c r="R161" s="325">
        <f>IF(COUNTIF(tblSeverityAnalysis[[#This Row],[SAMV]:[ASH]], 2)=0, "", COUNTIF(tblSeverityAnalysis[[#This Row],[SAMV]:[ASH]], 2))</f>
        <v>3</v>
      </c>
      <c r="S161" s="325">
        <f>IF(COUNTIF(tblSeverityAnalysis[[#This Row],[SAMV]:[ASH]], 3)=0, "", COUNTIF(tblSeverityAnalysis[[#This Row],[SAMV]:[ASH]], 3))</f>
        <v>2</v>
      </c>
      <c r="T161" s="325">
        <f>IF(COUNTIF(tblSeverityAnalysis[[#This Row],[SAMV]:[ASH]], 4)=0, "", COUNTIF(tblSeverityAnalysis[[#This Row],[SAMV]:[ASH]], 4))</f>
        <v>1</v>
      </c>
      <c r="U161" s="383" t="str">
        <f>IF(COUNTIF(tblSeverityAnalysis[[#This Row],[SAMV]:[ASH]], 5)=0, "", COUNTIF(tblSeverityAnalysis[[#This Row],[SAMV]:[ASH]], 5))</f>
        <v/>
      </c>
      <c r="V161" s="375" cm="1">
        <f t="array" ref="V16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6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61" s="237" t="str">
        <f>IFERROR(IF(INDEX(tblSeverityReference[Severidad de la desnutrición],MATCH(tblSeverityAnalysis[[#This Row],[ID]], tblSeverityReference[ID], 0))= "", "",INDEX(tblSeverityReference[Severidad de la desnutrición],MATCH(tblSeverityAnalysis[[#This Row],[ID]], tblSeverityReference[ID], 0)) ), "")</f>
        <v/>
      </c>
      <c r="Y161" s="349" t="str">
        <f>IFERROR(IF(INDEX(tblSeverityReference[Severidad epidémica],MATCH(tblSeverityAnalysis[[#This Row],[ID]], tblSeverityReference[ID], 0))= "", "",INDEX(tblSeverityReference[Severidad epidémica],MATCH(tblSeverityAnalysis[[#This Row],[ID]], tblSeverityReference[ID], 0)) ), "")</f>
        <v/>
      </c>
      <c r="Z16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61" s="391" t="str">
        <f>IFERROR(IF(INDEX(tblSeverityReference[HR/IHL Violation],MATCH(tblSeverityAnalysis[[#This Row],[ID]], tblSeverityReference[ID], 0))= "", "",INDEX(tblSeverityReference[HR/IHL Violation],MATCH(tblSeverityAnalysis[[#This Row],[ID]], tblSeverityReference[ID], 0)) ), "")</f>
        <v/>
      </c>
      <c r="AB161" s="397">
        <f>IFERROR(AVERAGE(tblSeverityAnalysis[[#This Row],[SAMV]:[ASH]]), "")</f>
        <v>2.6666666666666665</v>
      </c>
      <c r="AC161" s="346">
        <f>IF(SUM(tblSeverityAnalysis[[#This Row],[SAMV]:[ASH]])=0, "", MAX(tblSeverityAnalysis[[#This Row],[SAMV]:[ASH]]))</f>
        <v>4</v>
      </c>
      <c r="AD161" s="261" t="str" cm="1">
        <f t="array" ref="AD161">IFERROR(IF(tblSeverityAnalysis[[#This Row],[Severidad máxima]]="", "", _xlfn.TEXTJOIN(CHAR(10), TRUE, IF(tblSeverityAnalysis[[#This Row],[SAMV]:[ASH]]=tblSeverityAnalysis[[#This Row],[Severidad máxima]], tblSeverityAnalysis[[#Headers],[SAMV]:[ASH]], ""), "")), "")</f>
        <v>SAL</v>
      </c>
      <c r="AE161" s="346" cm="1">
        <f t="array" ref="AE161">IFERROR(MAX(_xlfn._xlws.FILTER(tblSeverityAnalysis[[#This Row],[SAMV]:[ASH]], tblSeverityAnalysis[[#This Row],[SAMV]:[ASH]]&lt;tblSeverityAnalysis[[#This Row],[Severidad máxima]])), "")</f>
        <v>3</v>
      </c>
      <c r="AF161" s="398" t="str" cm="1">
        <f t="array" ref="AF161">IFERROR(IF(tblSeverityAnalysis[[#This Row],[2ª mayor severidad]]="", "", _xlfn.TEXTJOIN(CHAR(10), TRUE, IF(tblSeverityAnalysis[[#This Row],[SAMV]:[ASH]]=tblSeverityAnalysis[[#This Row],[2ª mayor severidad]], tblSeverityAnalysis[[#Headers],[SAMV]:[ASH]], ""), "")), "")</f>
        <v>SAMV
EDU</v>
      </c>
      <c r="AG161" s="405" t="str">
        <f>IFERROR(IF(AND(tblSeverityAnalysis[[#This Row],[5]] &lt;&gt; "", tblSeverityAnalysis[[#This Row],[5]]&gt;=sectors_sev_5), "Flagged", ""), "")</f>
        <v/>
      </c>
      <c r="AH161" s="347" t="str">
        <f>IFERROR(IF(AND(tblSeverityAnalysis[[#This Row],[Severidad preliminar basada en la superposición de privaciones sectoriales]]=5, SUM(tblSeverityAnalysis[[#This Row],[ 1 ]:[ 4 ]])&gt;=sectors_sev_5), "Flagged", ""), "")</f>
        <v/>
      </c>
      <c r="AI161" s="348" t="str" cm="1">
        <f t="array" ref="AI16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6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61" s="350"/>
      <c r="AL161" s="351"/>
      <c r="AM161" s="350"/>
      <c r="AN161" s="407">
        <f>COUNTIF(tblSeverityAnalysis[[#This Row],[1 sectores en fase de severidad 5 '[modificar el umbral']]:[Marcador manual]], "Flagged")</f>
        <v>0</v>
      </c>
      <c r="AO161" s="418">
        <f>tblSeverityAnalysis[[#This Row],[Severidad preliminar basada en la superposición de privaciones sectoriales]]</f>
        <v>2</v>
      </c>
      <c r="AP161" s="417"/>
      <c r="AQ161" s="421" t="s">
        <v>876</v>
      </c>
      <c r="AR161" s="417">
        <v>4</v>
      </c>
    </row>
    <row r="162" spans="1:44" hidden="1">
      <c r="A16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VenezolanosVE1406</v>
      </c>
      <c r="B162" s="363" t="s">
        <v>411</v>
      </c>
      <c r="C162" s="323" t="s">
        <v>412</v>
      </c>
      <c r="D162" s="322" t="s">
        <v>423</v>
      </c>
      <c r="E162" s="323" t="s">
        <v>424</v>
      </c>
      <c r="F162" s="323"/>
      <c r="G162" s="324">
        <v>99873</v>
      </c>
      <c r="H162" s="324" t="s">
        <v>102</v>
      </c>
      <c r="I162" s="374">
        <v>2</v>
      </c>
      <c r="J162" s="237">
        <v>1</v>
      </c>
      <c r="K162" s="237">
        <v>3</v>
      </c>
      <c r="L162" s="237">
        <v>3</v>
      </c>
      <c r="M162" s="237">
        <v>3</v>
      </c>
      <c r="N162" s="237">
        <v>2</v>
      </c>
      <c r="O162" s="237">
        <v>3</v>
      </c>
      <c r="P162" s="237">
        <v>3</v>
      </c>
      <c r="Q162" s="382">
        <f>IF(COUNTIF(tblSeverityAnalysis[[#This Row],[SAMV]:[ASH]], 1)=0, "", COUNTIF(tblSeverityAnalysis[[#This Row],[SAMV]:[ASH]], 1))</f>
        <v>1</v>
      </c>
      <c r="R162" s="325">
        <f>IF(COUNTIF(tblSeverityAnalysis[[#This Row],[SAMV]:[ASH]], 2)=0, "", COUNTIF(tblSeverityAnalysis[[#This Row],[SAMV]:[ASH]], 2))</f>
        <v>2</v>
      </c>
      <c r="S162" s="325">
        <f>IF(COUNTIF(tblSeverityAnalysis[[#This Row],[SAMV]:[ASH]], 3)=0, "", COUNTIF(tblSeverityAnalysis[[#This Row],[SAMV]:[ASH]], 3))</f>
        <v>3</v>
      </c>
      <c r="T162" s="325" t="str">
        <f>IF(COUNTIF(tblSeverityAnalysis[[#This Row],[SAMV]:[ASH]], 4)=0, "", COUNTIF(tblSeverityAnalysis[[#This Row],[SAMV]:[ASH]], 4))</f>
        <v/>
      </c>
      <c r="U162" s="383" t="str">
        <f>IF(COUNTIF(tblSeverityAnalysis[[#This Row],[SAMV]:[ASH]], 5)=0, "", COUNTIF(tblSeverityAnalysis[[#This Row],[SAMV]:[ASH]], 5))</f>
        <v/>
      </c>
      <c r="V162" s="375" cm="1">
        <f t="array" ref="V16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6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62" s="237" t="str">
        <f>IFERROR(IF(INDEX(tblSeverityReference[Severidad de la desnutrición],MATCH(tblSeverityAnalysis[[#This Row],[ID]], tblSeverityReference[ID], 0))= "", "",INDEX(tblSeverityReference[Severidad de la desnutrición],MATCH(tblSeverityAnalysis[[#This Row],[ID]], tblSeverityReference[ID], 0)) ), "")</f>
        <v/>
      </c>
      <c r="Y162" s="349" t="str">
        <f>IFERROR(IF(INDEX(tblSeverityReference[Severidad epidémica],MATCH(tblSeverityAnalysis[[#This Row],[ID]], tblSeverityReference[ID], 0))= "", "",INDEX(tblSeverityReference[Severidad epidémica],MATCH(tblSeverityAnalysis[[#This Row],[ID]], tblSeverityReference[ID], 0)) ), "")</f>
        <v/>
      </c>
      <c r="Z16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62" s="391" t="str">
        <f>IFERROR(IF(INDEX(tblSeverityReference[HR/IHL Violation],MATCH(tblSeverityAnalysis[[#This Row],[ID]], tblSeverityReference[ID], 0))= "", "",INDEX(tblSeverityReference[HR/IHL Violation],MATCH(tblSeverityAnalysis[[#This Row],[ID]], tblSeverityReference[ID], 0)) ), "")</f>
        <v/>
      </c>
      <c r="AB162" s="397">
        <f>IFERROR(AVERAGE(tblSeverityAnalysis[[#This Row],[SAMV]:[ASH]]), "")</f>
        <v>2.3333333333333335</v>
      </c>
      <c r="AC162" s="346">
        <f>IF(SUM(tblSeverityAnalysis[[#This Row],[SAMV]:[ASH]])=0, "", MAX(tblSeverityAnalysis[[#This Row],[SAMV]:[ASH]]))</f>
        <v>3</v>
      </c>
      <c r="AD162" s="261" t="str" cm="1">
        <f t="array" ref="AD162">IFERROR(IF(tblSeverityAnalysis[[#This Row],[Severidad máxima]]="", "", _xlfn.TEXTJOIN(CHAR(10), TRUE, IF(tblSeverityAnalysis[[#This Row],[SAMV]:[ASH]]=tblSeverityAnalysis[[#This Row],[Severidad máxima]], tblSeverityAnalysis[[#Headers],[SAMV]:[ASH]], ""), "")), "")</f>
        <v>SAL
EDU
PRO</v>
      </c>
      <c r="AE162" s="346" cm="1">
        <f t="array" ref="AE162">IFERROR(MAX(_xlfn._xlws.FILTER(tblSeverityAnalysis[[#This Row],[SAMV]:[ASH]], tblSeverityAnalysis[[#This Row],[SAMV]:[ASH]]&lt;tblSeverityAnalysis[[#This Row],[Severidad máxima]])), "")</f>
        <v>2</v>
      </c>
      <c r="AF162" s="398" t="str" cm="1">
        <f t="array" ref="AF162">IFERROR(IF(tblSeverityAnalysis[[#This Row],[2ª mayor severidad]]="", "", _xlfn.TEXTJOIN(CHAR(10), TRUE, IF(tblSeverityAnalysis[[#This Row],[SAMV]:[ASH]]=tblSeverityAnalysis[[#This Row],[2ª mayor severidad]], tblSeverityAnalysis[[#Headers],[SAMV]:[ASH]], ""), "")), "")</f>
        <v>SAMV
ASH</v>
      </c>
      <c r="AG162" s="405" t="str">
        <f>IFERROR(IF(AND(tblSeverityAnalysis[[#This Row],[5]] &lt;&gt; "", tblSeverityAnalysis[[#This Row],[5]]&gt;=sectors_sev_5), "Flagged", ""), "")</f>
        <v/>
      </c>
      <c r="AH162" s="347" t="str">
        <f>IFERROR(IF(AND(tblSeverityAnalysis[[#This Row],[Severidad preliminar basada en la superposición de privaciones sectoriales]]=5, SUM(tblSeverityAnalysis[[#This Row],[ 1 ]:[ 4 ]])&gt;=sectors_sev_5), "Flagged", ""), "")</f>
        <v/>
      </c>
      <c r="AI162" s="348" t="str" cm="1">
        <f t="array" ref="AI16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6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62" s="350"/>
      <c r="AL162" s="351"/>
      <c r="AM162" s="350"/>
      <c r="AN162" s="407">
        <f>COUNTIF(tblSeverityAnalysis[[#This Row],[1 sectores en fase de severidad 5 '[modificar el umbral']]:[Marcador manual]], "Flagged")</f>
        <v>0</v>
      </c>
      <c r="AO162" s="418">
        <f>tblSeverityAnalysis[[#This Row],[Severidad preliminar basada en la superposición de privaciones sectoriales]]</f>
        <v>2</v>
      </c>
      <c r="AP162" s="417"/>
      <c r="AQ162" s="421" t="s">
        <v>876</v>
      </c>
      <c r="AR162" s="417">
        <v>2</v>
      </c>
    </row>
    <row r="163" spans="1:44" hidden="1">
      <c r="A16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VenezolanosVE1407</v>
      </c>
      <c r="B163" s="363" t="s">
        <v>411</v>
      </c>
      <c r="C163" s="323" t="s">
        <v>412</v>
      </c>
      <c r="D163" s="322" t="s">
        <v>425</v>
      </c>
      <c r="E163" s="323" t="s">
        <v>426</v>
      </c>
      <c r="F163" s="323"/>
      <c r="G163" s="324">
        <v>27632</v>
      </c>
      <c r="H163" s="324" t="s">
        <v>102</v>
      </c>
      <c r="I163" s="374">
        <v>3</v>
      </c>
      <c r="J163" s="237">
        <v>1</v>
      </c>
      <c r="K163" s="237">
        <v>3</v>
      </c>
      <c r="L163" s="237">
        <v>3</v>
      </c>
      <c r="M163" s="237">
        <v>2</v>
      </c>
      <c r="N163" s="237">
        <v>2</v>
      </c>
      <c r="O163" s="237">
        <v>2</v>
      </c>
      <c r="P163" s="237">
        <v>2</v>
      </c>
      <c r="Q163" s="382">
        <f>IF(COUNTIF(tblSeverityAnalysis[[#This Row],[SAMV]:[ASH]], 1)=0, "", COUNTIF(tblSeverityAnalysis[[#This Row],[SAMV]:[ASH]], 1))</f>
        <v>1</v>
      </c>
      <c r="R163" s="325">
        <f>IF(COUNTIF(tblSeverityAnalysis[[#This Row],[SAMV]:[ASH]], 2)=0, "", COUNTIF(tblSeverityAnalysis[[#This Row],[SAMV]:[ASH]], 2))</f>
        <v>2</v>
      </c>
      <c r="S163" s="325">
        <f>IF(COUNTIF(tblSeverityAnalysis[[#This Row],[SAMV]:[ASH]], 3)=0, "", COUNTIF(tblSeverityAnalysis[[#This Row],[SAMV]:[ASH]], 3))</f>
        <v>3</v>
      </c>
      <c r="T163" s="325" t="str">
        <f>IF(COUNTIF(tblSeverityAnalysis[[#This Row],[SAMV]:[ASH]], 4)=0, "", COUNTIF(tblSeverityAnalysis[[#This Row],[SAMV]:[ASH]], 4))</f>
        <v/>
      </c>
      <c r="U163" s="383" t="str">
        <f>IF(COUNTIF(tblSeverityAnalysis[[#This Row],[SAMV]:[ASH]], 5)=0, "", COUNTIF(tblSeverityAnalysis[[#This Row],[SAMV]:[ASH]], 5))</f>
        <v/>
      </c>
      <c r="V163" s="375" cm="1">
        <f t="array" ref="V16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6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63" s="237" t="str">
        <f>IFERROR(IF(INDEX(tblSeverityReference[Severidad de la desnutrición],MATCH(tblSeverityAnalysis[[#This Row],[ID]], tblSeverityReference[ID], 0))= "", "",INDEX(tblSeverityReference[Severidad de la desnutrición],MATCH(tblSeverityAnalysis[[#This Row],[ID]], tblSeverityReference[ID], 0)) ), "")</f>
        <v/>
      </c>
      <c r="Y163" s="349" t="str">
        <f>IFERROR(IF(INDEX(tblSeverityReference[Severidad epidémica],MATCH(tblSeverityAnalysis[[#This Row],[ID]], tblSeverityReference[ID], 0))= "", "",INDEX(tblSeverityReference[Severidad epidémica],MATCH(tblSeverityAnalysis[[#This Row],[ID]], tblSeverityReference[ID], 0)) ), "")</f>
        <v/>
      </c>
      <c r="Z16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63" s="391" t="str">
        <f>IFERROR(IF(INDEX(tblSeverityReference[HR/IHL Violation],MATCH(tblSeverityAnalysis[[#This Row],[ID]], tblSeverityReference[ID], 0))= "", "",INDEX(tblSeverityReference[HR/IHL Violation],MATCH(tblSeverityAnalysis[[#This Row],[ID]], tblSeverityReference[ID], 0)) ), "")</f>
        <v/>
      </c>
      <c r="AB163" s="397">
        <f>IFERROR(AVERAGE(tblSeverityAnalysis[[#This Row],[SAMV]:[ASH]]), "")</f>
        <v>2.3333333333333335</v>
      </c>
      <c r="AC163" s="346">
        <f>IF(SUM(tblSeverityAnalysis[[#This Row],[SAMV]:[ASH]])=0, "", MAX(tblSeverityAnalysis[[#This Row],[SAMV]:[ASH]]))</f>
        <v>3</v>
      </c>
      <c r="AD163" s="261" t="str" cm="1">
        <f t="array" ref="AD163">IFERROR(IF(tblSeverityAnalysis[[#This Row],[Severidad máxima]]="", "", _xlfn.TEXTJOIN(CHAR(10), TRUE, IF(tblSeverityAnalysis[[#This Row],[SAMV]:[ASH]]=tblSeverityAnalysis[[#This Row],[Severidad máxima]], tblSeverityAnalysis[[#Headers],[SAMV]:[ASH]], ""), "")), "")</f>
        <v>SAMV
SAL
EDU</v>
      </c>
      <c r="AE163" s="346" cm="1">
        <f t="array" ref="AE163">IFERROR(MAX(_xlfn._xlws.FILTER(tblSeverityAnalysis[[#This Row],[SAMV]:[ASH]], tblSeverityAnalysis[[#This Row],[SAMV]:[ASH]]&lt;tblSeverityAnalysis[[#This Row],[Severidad máxima]])), "")</f>
        <v>2</v>
      </c>
      <c r="AF163" s="398" t="str" cm="1">
        <f t="array" ref="AF163">IFERROR(IF(tblSeverityAnalysis[[#This Row],[2ª mayor severidad]]="", "", _xlfn.TEXTJOIN(CHAR(10), TRUE, IF(tblSeverityAnalysis[[#This Row],[SAMV]:[ASH]]=tblSeverityAnalysis[[#This Row],[2ª mayor severidad]], tblSeverityAnalysis[[#Headers],[SAMV]:[ASH]], ""), "")), "")</f>
        <v>PRO
ASH</v>
      </c>
      <c r="AG163" s="405" t="str">
        <f>IFERROR(IF(AND(tblSeverityAnalysis[[#This Row],[5]] &lt;&gt; "", tblSeverityAnalysis[[#This Row],[5]]&gt;=sectors_sev_5), "Flagged", ""), "")</f>
        <v/>
      </c>
      <c r="AH163" s="347" t="str">
        <f>IFERROR(IF(AND(tblSeverityAnalysis[[#This Row],[Severidad preliminar basada en la superposición de privaciones sectoriales]]=5, SUM(tblSeverityAnalysis[[#This Row],[ 1 ]:[ 4 ]])&gt;=sectors_sev_5), "Flagged", ""), "")</f>
        <v/>
      </c>
      <c r="AI163" s="348" t="str" cm="1">
        <f t="array" ref="AI16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6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63" s="350"/>
      <c r="AL163" s="351"/>
      <c r="AM163" s="350"/>
      <c r="AN163" s="407">
        <f>COUNTIF(tblSeverityAnalysis[[#This Row],[1 sectores en fase de severidad 5 '[modificar el umbral']]:[Marcador manual]], "Flagged")</f>
        <v>0</v>
      </c>
      <c r="AO163" s="418">
        <f>tblSeverityAnalysis[[#This Row],[Severidad preliminar basada en la superposición de privaciones sectoriales]]</f>
        <v>2</v>
      </c>
      <c r="AP163" s="417"/>
      <c r="AQ163" s="421" t="s">
        <v>876</v>
      </c>
      <c r="AR163" s="417">
        <v>3</v>
      </c>
    </row>
    <row r="164" spans="1:44" hidden="1">
      <c r="A16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VenezolanosVE1408</v>
      </c>
      <c r="B164" s="363" t="s">
        <v>411</v>
      </c>
      <c r="C164" s="323" t="s">
        <v>412</v>
      </c>
      <c r="D164" s="322" t="s">
        <v>427</v>
      </c>
      <c r="E164" s="323" t="s">
        <v>428</v>
      </c>
      <c r="F164" s="323"/>
      <c r="G164" s="324">
        <v>9441</v>
      </c>
      <c r="H164" s="324" t="s">
        <v>102</v>
      </c>
      <c r="I164" s="374">
        <v>2</v>
      </c>
      <c r="J164" s="237">
        <v>1</v>
      </c>
      <c r="K164" s="237">
        <v>3</v>
      </c>
      <c r="L164" s="237">
        <v>3</v>
      </c>
      <c r="M164" s="237">
        <v>2</v>
      </c>
      <c r="N164" s="237">
        <v>2</v>
      </c>
      <c r="O164" s="237">
        <v>2</v>
      </c>
      <c r="P164" s="237">
        <v>2</v>
      </c>
      <c r="Q164" s="382">
        <f>IF(COUNTIF(tblSeverityAnalysis[[#This Row],[SAMV]:[ASH]], 1)=0, "", COUNTIF(tblSeverityAnalysis[[#This Row],[SAMV]:[ASH]], 1))</f>
        <v>1</v>
      </c>
      <c r="R164" s="325">
        <f>IF(COUNTIF(tblSeverityAnalysis[[#This Row],[SAMV]:[ASH]], 2)=0, "", COUNTIF(tblSeverityAnalysis[[#This Row],[SAMV]:[ASH]], 2))</f>
        <v>3</v>
      </c>
      <c r="S164" s="325">
        <f>IF(COUNTIF(tblSeverityAnalysis[[#This Row],[SAMV]:[ASH]], 3)=0, "", COUNTIF(tblSeverityAnalysis[[#This Row],[SAMV]:[ASH]], 3))</f>
        <v>2</v>
      </c>
      <c r="T164" s="325" t="str">
        <f>IF(COUNTIF(tblSeverityAnalysis[[#This Row],[SAMV]:[ASH]], 4)=0, "", COUNTIF(tblSeverityAnalysis[[#This Row],[SAMV]:[ASH]], 4))</f>
        <v/>
      </c>
      <c r="U164" s="383" t="str">
        <f>IF(COUNTIF(tblSeverityAnalysis[[#This Row],[SAMV]:[ASH]], 5)=0, "", COUNTIF(tblSeverityAnalysis[[#This Row],[SAMV]:[ASH]], 5))</f>
        <v/>
      </c>
      <c r="V164" s="375" cm="1">
        <f t="array" ref="V16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6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64" s="237" t="str">
        <f>IFERROR(IF(INDEX(tblSeverityReference[Severidad de la desnutrición],MATCH(tblSeverityAnalysis[[#This Row],[ID]], tblSeverityReference[ID], 0))= "", "",INDEX(tblSeverityReference[Severidad de la desnutrición],MATCH(tblSeverityAnalysis[[#This Row],[ID]], tblSeverityReference[ID], 0)) ), "")</f>
        <v/>
      </c>
      <c r="Y164" s="349" t="str">
        <f>IFERROR(IF(INDEX(tblSeverityReference[Severidad epidémica],MATCH(tblSeverityAnalysis[[#This Row],[ID]], tblSeverityReference[ID], 0))= "", "",INDEX(tblSeverityReference[Severidad epidémica],MATCH(tblSeverityAnalysis[[#This Row],[ID]], tblSeverityReference[ID], 0)) ), "")</f>
        <v/>
      </c>
      <c r="Z16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64" s="391" t="str">
        <f>IFERROR(IF(INDEX(tblSeverityReference[HR/IHL Violation],MATCH(tblSeverityAnalysis[[#This Row],[ID]], tblSeverityReference[ID], 0))= "", "",INDEX(tblSeverityReference[HR/IHL Violation],MATCH(tblSeverityAnalysis[[#This Row],[ID]], tblSeverityReference[ID], 0)) ), "")</f>
        <v/>
      </c>
      <c r="AB164" s="397">
        <f>IFERROR(AVERAGE(tblSeverityAnalysis[[#This Row],[SAMV]:[ASH]]), "")</f>
        <v>2.1666666666666665</v>
      </c>
      <c r="AC164" s="346">
        <f>IF(SUM(tblSeverityAnalysis[[#This Row],[SAMV]:[ASH]])=0, "", MAX(tblSeverityAnalysis[[#This Row],[SAMV]:[ASH]]))</f>
        <v>3</v>
      </c>
      <c r="AD164" s="261" t="str" cm="1">
        <f t="array" ref="AD164">IFERROR(IF(tblSeverityAnalysis[[#This Row],[Severidad máxima]]="", "", _xlfn.TEXTJOIN(CHAR(10), TRUE, IF(tblSeverityAnalysis[[#This Row],[SAMV]:[ASH]]=tblSeverityAnalysis[[#This Row],[Severidad máxima]], tblSeverityAnalysis[[#Headers],[SAMV]:[ASH]], ""), "")), "")</f>
        <v>SAL
EDU</v>
      </c>
      <c r="AE164" s="346" cm="1">
        <f t="array" ref="AE164">IFERROR(MAX(_xlfn._xlws.FILTER(tblSeverityAnalysis[[#This Row],[SAMV]:[ASH]], tblSeverityAnalysis[[#This Row],[SAMV]:[ASH]]&lt;tblSeverityAnalysis[[#This Row],[Severidad máxima]])), "")</f>
        <v>2</v>
      </c>
      <c r="AF164" s="398" t="str" cm="1">
        <f t="array" ref="AF164">IFERROR(IF(tblSeverityAnalysis[[#This Row],[2ª mayor severidad]]="", "", _xlfn.TEXTJOIN(CHAR(10), TRUE, IF(tblSeverityAnalysis[[#This Row],[SAMV]:[ASH]]=tblSeverityAnalysis[[#This Row],[2ª mayor severidad]], tblSeverityAnalysis[[#Headers],[SAMV]:[ASH]], ""), "")), "")</f>
        <v>SAMV
PRO
ASH</v>
      </c>
      <c r="AG164" s="405" t="str">
        <f>IFERROR(IF(AND(tblSeverityAnalysis[[#This Row],[5]] &lt;&gt; "", tblSeverityAnalysis[[#This Row],[5]]&gt;=sectors_sev_5), "Flagged", ""), "")</f>
        <v/>
      </c>
      <c r="AH164" s="347" t="str">
        <f>IFERROR(IF(AND(tblSeverityAnalysis[[#This Row],[Severidad preliminar basada en la superposición de privaciones sectoriales]]=5, SUM(tblSeverityAnalysis[[#This Row],[ 1 ]:[ 4 ]])&gt;=sectors_sev_5), "Flagged", ""), "")</f>
        <v/>
      </c>
      <c r="AI164" s="348" t="str" cm="1">
        <f t="array" ref="AI16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6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64" s="350"/>
      <c r="AL164" s="351"/>
      <c r="AM164" s="350"/>
      <c r="AN164" s="407">
        <f>COUNTIF(tblSeverityAnalysis[[#This Row],[1 sectores en fase de severidad 5 '[modificar el umbral']]:[Marcador manual]], "Flagged")</f>
        <v>0</v>
      </c>
      <c r="AO164" s="418">
        <f>tblSeverityAnalysis[[#This Row],[Severidad preliminar basada en la superposición de privaciones sectoriales]]</f>
        <v>2</v>
      </c>
      <c r="AP164" s="417"/>
      <c r="AQ164" s="421" t="s">
        <v>876</v>
      </c>
      <c r="AR164" s="417">
        <v>3</v>
      </c>
    </row>
    <row r="165" spans="1:44" hidden="1">
      <c r="A16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VenezolanosVE1409</v>
      </c>
      <c r="B165" s="363" t="s">
        <v>411</v>
      </c>
      <c r="C165" s="323" t="s">
        <v>412</v>
      </c>
      <c r="D165" s="322" t="s">
        <v>429</v>
      </c>
      <c r="E165" s="323" t="s">
        <v>430</v>
      </c>
      <c r="F165" s="323"/>
      <c r="G165" s="324">
        <v>9064</v>
      </c>
      <c r="H165" s="324" t="s">
        <v>102</v>
      </c>
      <c r="I165" s="374">
        <v>3</v>
      </c>
      <c r="J165" s="237">
        <v>1</v>
      </c>
      <c r="K165" s="237">
        <v>3</v>
      </c>
      <c r="L165" s="237">
        <v>3</v>
      </c>
      <c r="M165" s="237">
        <v>2</v>
      </c>
      <c r="N165" s="237">
        <v>2</v>
      </c>
      <c r="O165" s="237">
        <v>2</v>
      </c>
      <c r="P165" s="237">
        <v>2</v>
      </c>
      <c r="Q165" s="382">
        <f>IF(COUNTIF(tblSeverityAnalysis[[#This Row],[SAMV]:[ASH]], 1)=0, "", COUNTIF(tblSeverityAnalysis[[#This Row],[SAMV]:[ASH]], 1))</f>
        <v>1</v>
      </c>
      <c r="R165" s="325">
        <f>IF(COUNTIF(tblSeverityAnalysis[[#This Row],[SAMV]:[ASH]], 2)=0, "", COUNTIF(tblSeverityAnalysis[[#This Row],[SAMV]:[ASH]], 2))</f>
        <v>2</v>
      </c>
      <c r="S165" s="325">
        <f>IF(COUNTIF(tblSeverityAnalysis[[#This Row],[SAMV]:[ASH]], 3)=0, "", COUNTIF(tblSeverityAnalysis[[#This Row],[SAMV]:[ASH]], 3))</f>
        <v>3</v>
      </c>
      <c r="T165" s="325" t="str">
        <f>IF(COUNTIF(tblSeverityAnalysis[[#This Row],[SAMV]:[ASH]], 4)=0, "", COUNTIF(tblSeverityAnalysis[[#This Row],[SAMV]:[ASH]], 4))</f>
        <v/>
      </c>
      <c r="U165" s="383" t="str">
        <f>IF(COUNTIF(tblSeverityAnalysis[[#This Row],[SAMV]:[ASH]], 5)=0, "", COUNTIF(tblSeverityAnalysis[[#This Row],[SAMV]:[ASH]], 5))</f>
        <v/>
      </c>
      <c r="V165" s="375" cm="1">
        <f t="array" ref="V16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6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65" s="237" t="str">
        <f>IFERROR(IF(INDEX(tblSeverityReference[Severidad de la desnutrición],MATCH(tblSeverityAnalysis[[#This Row],[ID]], tblSeverityReference[ID], 0))= "", "",INDEX(tblSeverityReference[Severidad de la desnutrición],MATCH(tblSeverityAnalysis[[#This Row],[ID]], tblSeverityReference[ID], 0)) ), "")</f>
        <v/>
      </c>
      <c r="Y165" s="349" t="str">
        <f>IFERROR(IF(INDEX(tblSeverityReference[Severidad epidémica],MATCH(tblSeverityAnalysis[[#This Row],[ID]], tblSeverityReference[ID], 0))= "", "",INDEX(tblSeverityReference[Severidad epidémica],MATCH(tblSeverityAnalysis[[#This Row],[ID]], tblSeverityReference[ID], 0)) ), "")</f>
        <v/>
      </c>
      <c r="Z16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65" s="391" t="str">
        <f>IFERROR(IF(INDEX(tblSeverityReference[HR/IHL Violation],MATCH(tblSeverityAnalysis[[#This Row],[ID]], tblSeverityReference[ID], 0))= "", "",INDEX(tblSeverityReference[HR/IHL Violation],MATCH(tblSeverityAnalysis[[#This Row],[ID]], tblSeverityReference[ID], 0)) ), "")</f>
        <v/>
      </c>
      <c r="AB165" s="397">
        <f>IFERROR(AVERAGE(tblSeverityAnalysis[[#This Row],[SAMV]:[ASH]]), "")</f>
        <v>2.3333333333333335</v>
      </c>
      <c r="AC165" s="346">
        <f>IF(SUM(tblSeverityAnalysis[[#This Row],[SAMV]:[ASH]])=0, "", MAX(tblSeverityAnalysis[[#This Row],[SAMV]:[ASH]]))</f>
        <v>3</v>
      </c>
      <c r="AD165" s="261" t="str" cm="1">
        <f t="array" ref="AD165">IFERROR(IF(tblSeverityAnalysis[[#This Row],[Severidad máxima]]="", "", _xlfn.TEXTJOIN(CHAR(10), TRUE, IF(tblSeverityAnalysis[[#This Row],[SAMV]:[ASH]]=tblSeverityAnalysis[[#This Row],[Severidad máxima]], tblSeverityAnalysis[[#Headers],[SAMV]:[ASH]], ""), "")), "")</f>
        <v>SAMV
SAL
EDU</v>
      </c>
      <c r="AE165" s="346" cm="1">
        <f t="array" ref="AE165">IFERROR(MAX(_xlfn._xlws.FILTER(tblSeverityAnalysis[[#This Row],[SAMV]:[ASH]], tblSeverityAnalysis[[#This Row],[SAMV]:[ASH]]&lt;tblSeverityAnalysis[[#This Row],[Severidad máxima]])), "")</f>
        <v>2</v>
      </c>
      <c r="AF165" s="398" t="str" cm="1">
        <f t="array" ref="AF165">IFERROR(IF(tblSeverityAnalysis[[#This Row],[2ª mayor severidad]]="", "", _xlfn.TEXTJOIN(CHAR(10), TRUE, IF(tblSeverityAnalysis[[#This Row],[SAMV]:[ASH]]=tblSeverityAnalysis[[#This Row],[2ª mayor severidad]], tblSeverityAnalysis[[#Headers],[SAMV]:[ASH]], ""), "")), "")</f>
        <v>PRO
ASH</v>
      </c>
      <c r="AG165" s="405" t="str">
        <f>IFERROR(IF(AND(tblSeverityAnalysis[[#This Row],[5]] &lt;&gt; "", tblSeverityAnalysis[[#This Row],[5]]&gt;=sectors_sev_5), "Flagged", ""), "")</f>
        <v/>
      </c>
      <c r="AH165" s="347" t="str">
        <f>IFERROR(IF(AND(tblSeverityAnalysis[[#This Row],[Severidad preliminar basada en la superposición de privaciones sectoriales]]=5, SUM(tblSeverityAnalysis[[#This Row],[ 1 ]:[ 4 ]])&gt;=sectors_sev_5), "Flagged", ""), "")</f>
        <v/>
      </c>
      <c r="AI165" s="348" t="str" cm="1">
        <f t="array" ref="AI16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6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65" s="350"/>
      <c r="AL165" s="351"/>
      <c r="AM165" s="350"/>
      <c r="AN165" s="407">
        <f>COUNTIF(tblSeverityAnalysis[[#This Row],[1 sectores en fase de severidad 5 '[modificar el umbral']]:[Marcador manual]], "Flagged")</f>
        <v>0</v>
      </c>
      <c r="AO165" s="418">
        <f>tblSeverityAnalysis[[#This Row],[Severidad preliminar basada en la superposición de privaciones sectoriales]]</f>
        <v>2</v>
      </c>
      <c r="AP165" s="417"/>
      <c r="AQ165" s="421" t="s">
        <v>876</v>
      </c>
      <c r="AR165" s="417">
        <v>3</v>
      </c>
    </row>
    <row r="166" spans="1:44" hidden="1">
      <c r="A16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VenezolanosVE1410</v>
      </c>
      <c r="B166" s="363" t="s">
        <v>411</v>
      </c>
      <c r="C166" s="323" t="s">
        <v>412</v>
      </c>
      <c r="D166" s="322" t="s">
        <v>431</v>
      </c>
      <c r="E166" s="323" t="s">
        <v>432</v>
      </c>
      <c r="F166" s="323"/>
      <c r="G166" s="324">
        <v>14666</v>
      </c>
      <c r="H166" s="324" t="s">
        <v>102</v>
      </c>
      <c r="I166" s="374">
        <v>3</v>
      </c>
      <c r="J166" s="237">
        <v>1</v>
      </c>
      <c r="K166" s="237">
        <v>3</v>
      </c>
      <c r="L166" s="237">
        <v>3</v>
      </c>
      <c r="M166" s="237">
        <v>2</v>
      </c>
      <c r="N166" s="237">
        <v>2</v>
      </c>
      <c r="O166" s="237">
        <v>2</v>
      </c>
      <c r="P166" s="237">
        <v>2</v>
      </c>
      <c r="Q166" s="382">
        <f>IF(COUNTIF(tblSeverityAnalysis[[#This Row],[SAMV]:[ASH]], 1)=0, "", COUNTIF(tblSeverityAnalysis[[#This Row],[SAMV]:[ASH]], 1))</f>
        <v>1</v>
      </c>
      <c r="R166" s="325">
        <f>IF(COUNTIF(tblSeverityAnalysis[[#This Row],[SAMV]:[ASH]], 2)=0, "", COUNTIF(tblSeverityAnalysis[[#This Row],[SAMV]:[ASH]], 2))</f>
        <v>2</v>
      </c>
      <c r="S166" s="325">
        <f>IF(COUNTIF(tblSeverityAnalysis[[#This Row],[SAMV]:[ASH]], 3)=0, "", COUNTIF(tblSeverityAnalysis[[#This Row],[SAMV]:[ASH]], 3))</f>
        <v>3</v>
      </c>
      <c r="T166" s="325" t="str">
        <f>IF(COUNTIF(tblSeverityAnalysis[[#This Row],[SAMV]:[ASH]], 4)=0, "", COUNTIF(tblSeverityAnalysis[[#This Row],[SAMV]:[ASH]], 4))</f>
        <v/>
      </c>
      <c r="U166" s="383" t="str">
        <f>IF(COUNTIF(tblSeverityAnalysis[[#This Row],[SAMV]:[ASH]], 5)=0, "", COUNTIF(tblSeverityAnalysis[[#This Row],[SAMV]:[ASH]], 5))</f>
        <v/>
      </c>
      <c r="V166" s="375" cm="1">
        <f t="array" ref="V16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6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66" s="237" t="str">
        <f>IFERROR(IF(INDEX(tblSeverityReference[Severidad de la desnutrición],MATCH(tblSeverityAnalysis[[#This Row],[ID]], tblSeverityReference[ID], 0))= "", "",INDEX(tblSeverityReference[Severidad de la desnutrición],MATCH(tblSeverityAnalysis[[#This Row],[ID]], tblSeverityReference[ID], 0)) ), "")</f>
        <v/>
      </c>
      <c r="Y166" s="349" t="str">
        <f>IFERROR(IF(INDEX(tblSeverityReference[Severidad epidémica],MATCH(tblSeverityAnalysis[[#This Row],[ID]], tblSeverityReference[ID], 0))= "", "",INDEX(tblSeverityReference[Severidad epidémica],MATCH(tblSeverityAnalysis[[#This Row],[ID]], tblSeverityReference[ID], 0)) ), "")</f>
        <v/>
      </c>
      <c r="Z16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66" s="391" t="str">
        <f>IFERROR(IF(INDEX(tblSeverityReference[HR/IHL Violation],MATCH(tblSeverityAnalysis[[#This Row],[ID]], tblSeverityReference[ID], 0))= "", "",INDEX(tblSeverityReference[HR/IHL Violation],MATCH(tblSeverityAnalysis[[#This Row],[ID]], tblSeverityReference[ID], 0)) ), "")</f>
        <v/>
      </c>
      <c r="AB166" s="397">
        <f>IFERROR(AVERAGE(tblSeverityAnalysis[[#This Row],[SAMV]:[ASH]]), "")</f>
        <v>2.3333333333333335</v>
      </c>
      <c r="AC166" s="346">
        <f>IF(SUM(tblSeverityAnalysis[[#This Row],[SAMV]:[ASH]])=0, "", MAX(tblSeverityAnalysis[[#This Row],[SAMV]:[ASH]]))</f>
        <v>3</v>
      </c>
      <c r="AD166" s="261" t="str" cm="1">
        <f t="array" ref="AD166">IFERROR(IF(tblSeverityAnalysis[[#This Row],[Severidad máxima]]="", "", _xlfn.TEXTJOIN(CHAR(10), TRUE, IF(tblSeverityAnalysis[[#This Row],[SAMV]:[ASH]]=tblSeverityAnalysis[[#This Row],[Severidad máxima]], tblSeverityAnalysis[[#Headers],[SAMV]:[ASH]], ""), "")), "")</f>
        <v>SAMV
SAL
EDU</v>
      </c>
      <c r="AE166" s="346" cm="1">
        <f t="array" ref="AE166">IFERROR(MAX(_xlfn._xlws.FILTER(tblSeverityAnalysis[[#This Row],[SAMV]:[ASH]], tblSeverityAnalysis[[#This Row],[SAMV]:[ASH]]&lt;tblSeverityAnalysis[[#This Row],[Severidad máxima]])), "")</f>
        <v>2</v>
      </c>
      <c r="AF166" s="398" t="str" cm="1">
        <f t="array" ref="AF166">IFERROR(IF(tblSeverityAnalysis[[#This Row],[2ª mayor severidad]]="", "", _xlfn.TEXTJOIN(CHAR(10), TRUE, IF(tblSeverityAnalysis[[#This Row],[SAMV]:[ASH]]=tblSeverityAnalysis[[#This Row],[2ª mayor severidad]], tblSeverityAnalysis[[#Headers],[SAMV]:[ASH]], ""), "")), "")</f>
        <v>PRO
ASH</v>
      </c>
      <c r="AG166" s="405" t="str">
        <f>IFERROR(IF(AND(tblSeverityAnalysis[[#This Row],[5]] &lt;&gt; "", tblSeverityAnalysis[[#This Row],[5]]&gt;=sectors_sev_5), "Flagged", ""), "")</f>
        <v/>
      </c>
      <c r="AH166" s="347" t="str">
        <f>IFERROR(IF(AND(tblSeverityAnalysis[[#This Row],[Severidad preliminar basada en la superposición de privaciones sectoriales]]=5, SUM(tblSeverityAnalysis[[#This Row],[ 1 ]:[ 4 ]])&gt;=sectors_sev_5), "Flagged", ""), "")</f>
        <v/>
      </c>
      <c r="AI166" s="348" t="str" cm="1">
        <f t="array" ref="AI16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6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66" s="350"/>
      <c r="AL166" s="351"/>
      <c r="AM166" s="350"/>
      <c r="AN166" s="407">
        <f>COUNTIF(tblSeverityAnalysis[[#This Row],[1 sectores en fase de severidad 5 '[modificar el umbral']]:[Marcador manual]], "Flagged")</f>
        <v>0</v>
      </c>
      <c r="AO166" s="418">
        <f>tblSeverityAnalysis[[#This Row],[Severidad preliminar basada en la superposición de privaciones sectoriales]]</f>
        <v>2</v>
      </c>
      <c r="AP166" s="417"/>
      <c r="AQ166" s="421" t="s">
        <v>876</v>
      </c>
      <c r="AR166" s="417">
        <v>3</v>
      </c>
    </row>
    <row r="167" spans="1:44" hidden="1">
      <c r="A16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VenezolanosVE1411</v>
      </c>
      <c r="B167" s="363" t="s">
        <v>411</v>
      </c>
      <c r="C167" s="323" t="s">
        <v>412</v>
      </c>
      <c r="D167" s="322" t="s">
        <v>433</v>
      </c>
      <c r="E167" s="323" t="s">
        <v>434</v>
      </c>
      <c r="F167" s="323"/>
      <c r="G167" s="324">
        <v>4895</v>
      </c>
      <c r="H167" s="324" t="s">
        <v>102</v>
      </c>
      <c r="I167" s="374">
        <v>3</v>
      </c>
      <c r="J167" s="237">
        <v>2</v>
      </c>
      <c r="K167" s="237">
        <v>4</v>
      </c>
      <c r="L167" s="237">
        <v>3</v>
      </c>
      <c r="M167" s="237">
        <v>1</v>
      </c>
      <c r="N167" s="237">
        <v>2</v>
      </c>
      <c r="O167" s="237">
        <v>1</v>
      </c>
      <c r="P167" s="237">
        <v>1</v>
      </c>
      <c r="Q167" s="382">
        <f>IF(COUNTIF(tblSeverityAnalysis[[#This Row],[SAMV]:[ASH]], 1)=0, "", COUNTIF(tblSeverityAnalysis[[#This Row],[SAMV]:[ASH]], 1))</f>
        <v>1</v>
      </c>
      <c r="R167" s="325">
        <f>IF(COUNTIF(tblSeverityAnalysis[[#This Row],[SAMV]:[ASH]], 2)=0, "", COUNTIF(tblSeverityAnalysis[[#This Row],[SAMV]:[ASH]], 2))</f>
        <v>2</v>
      </c>
      <c r="S167" s="325">
        <f>IF(COUNTIF(tblSeverityAnalysis[[#This Row],[SAMV]:[ASH]], 3)=0, "", COUNTIF(tblSeverityAnalysis[[#This Row],[SAMV]:[ASH]], 3))</f>
        <v>2</v>
      </c>
      <c r="T167" s="325">
        <f>IF(COUNTIF(tblSeverityAnalysis[[#This Row],[SAMV]:[ASH]], 4)=0, "", COUNTIF(tblSeverityAnalysis[[#This Row],[SAMV]:[ASH]], 4))</f>
        <v>1</v>
      </c>
      <c r="U167" s="383" t="str">
        <f>IF(COUNTIF(tblSeverityAnalysis[[#This Row],[SAMV]:[ASH]], 5)=0, "", COUNTIF(tblSeverityAnalysis[[#This Row],[SAMV]:[ASH]], 5))</f>
        <v/>
      </c>
      <c r="V167" s="375" cm="1">
        <f t="array" ref="V16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6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67" s="237" t="str">
        <f>IFERROR(IF(INDEX(tblSeverityReference[Severidad de la desnutrición],MATCH(tblSeverityAnalysis[[#This Row],[ID]], tblSeverityReference[ID], 0))= "", "",INDEX(tblSeverityReference[Severidad de la desnutrición],MATCH(tblSeverityAnalysis[[#This Row],[ID]], tblSeverityReference[ID], 0)) ), "")</f>
        <v/>
      </c>
      <c r="Y167" s="349" t="str">
        <f>IFERROR(IF(INDEX(tblSeverityReference[Severidad epidémica],MATCH(tblSeverityAnalysis[[#This Row],[ID]], tblSeverityReference[ID], 0))= "", "",INDEX(tblSeverityReference[Severidad epidémica],MATCH(tblSeverityAnalysis[[#This Row],[ID]], tblSeverityReference[ID], 0)) ), "")</f>
        <v/>
      </c>
      <c r="Z16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67" s="391" t="str">
        <f>IFERROR(IF(INDEX(tblSeverityReference[HR/IHL Violation],MATCH(tblSeverityAnalysis[[#This Row],[ID]], tblSeverityReference[ID], 0))= "", "",INDEX(tblSeverityReference[HR/IHL Violation],MATCH(tblSeverityAnalysis[[#This Row],[ID]], tblSeverityReference[ID], 0)) ), "")</f>
        <v/>
      </c>
      <c r="AB167" s="397">
        <f>IFERROR(AVERAGE(tblSeverityAnalysis[[#This Row],[SAMV]:[ASH]]), "")</f>
        <v>2.5</v>
      </c>
      <c r="AC167" s="346">
        <f>IF(SUM(tblSeverityAnalysis[[#This Row],[SAMV]:[ASH]])=0, "", MAX(tblSeverityAnalysis[[#This Row],[SAMV]:[ASH]]))</f>
        <v>4</v>
      </c>
      <c r="AD167" s="261" t="str" cm="1">
        <f t="array" ref="AD167">IFERROR(IF(tblSeverityAnalysis[[#This Row],[Severidad máxima]]="", "", _xlfn.TEXTJOIN(CHAR(10), TRUE, IF(tblSeverityAnalysis[[#This Row],[SAMV]:[ASH]]=tblSeverityAnalysis[[#This Row],[Severidad máxima]], tblSeverityAnalysis[[#Headers],[SAMV]:[ASH]], ""), "")), "")</f>
        <v>SAL</v>
      </c>
      <c r="AE167" s="346" cm="1">
        <f t="array" ref="AE167">IFERROR(MAX(_xlfn._xlws.FILTER(tblSeverityAnalysis[[#This Row],[SAMV]:[ASH]], tblSeverityAnalysis[[#This Row],[SAMV]:[ASH]]&lt;tblSeverityAnalysis[[#This Row],[Severidad máxima]])), "")</f>
        <v>3</v>
      </c>
      <c r="AF167" s="398" t="str" cm="1">
        <f t="array" ref="AF167">IFERROR(IF(tblSeverityAnalysis[[#This Row],[2ª mayor severidad]]="", "", _xlfn.TEXTJOIN(CHAR(10), TRUE, IF(tblSeverityAnalysis[[#This Row],[SAMV]:[ASH]]=tblSeverityAnalysis[[#This Row],[2ª mayor severidad]], tblSeverityAnalysis[[#Headers],[SAMV]:[ASH]], ""), "")), "")</f>
        <v>SAMV
EDU</v>
      </c>
      <c r="AG167" s="405" t="str">
        <f>IFERROR(IF(AND(tblSeverityAnalysis[[#This Row],[5]] &lt;&gt; "", tblSeverityAnalysis[[#This Row],[5]]&gt;=sectors_sev_5), "Flagged", ""), "")</f>
        <v/>
      </c>
      <c r="AH167" s="347" t="str">
        <f>IFERROR(IF(AND(tblSeverityAnalysis[[#This Row],[Severidad preliminar basada en la superposición de privaciones sectoriales]]=5, SUM(tblSeverityAnalysis[[#This Row],[ 1 ]:[ 4 ]])&gt;=sectors_sev_5), "Flagged", ""), "")</f>
        <v/>
      </c>
      <c r="AI167" s="348" t="str" cm="1">
        <f t="array" ref="AI16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6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67" s="350"/>
      <c r="AL167" s="351"/>
      <c r="AM167" s="350"/>
      <c r="AN167" s="407">
        <f>COUNTIF(tblSeverityAnalysis[[#This Row],[1 sectores en fase de severidad 5 '[modificar el umbral']]:[Marcador manual]], "Flagged")</f>
        <v>0</v>
      </c>
      <c r="AO167" s="418">
        <f>tblSeverityAnalysis[[#This Row],[Severidad preliminar basada en la superposición de privaciones sectoriales]]</f>
        <v>2</v>
      </c>
      <c r="AP167" s="417"/>
      <c r="AQ167" s="421" t="s">
        <v>876</v>
      </c>
      <c r="AR167" s="417">
        <v>4</v>
      </c>
    </row>
    <row r="168" spans="1:44" hidden="1">
      <c r="A16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VenezolanosVE1412</v>
      </c>
      <c r="B168" s="363" t="s">
        <v>411</v>
      </c>
      <c r="C168" s="323" t="s">
        <v>412</v>
      </c>
      <c r="D168" s="322" t="s">
        <v>100</v>
      </c>
      <c r="E168" s="323" t="s">
        <v>435</v>
      </c>
      <c r="F168" s="323"/>
      <c r="G168" s="324">
        <v>217537</v>
      </c>
      <c r="H168" s="324" t="s">
        <v>102</v>
      </c>
      <c r="I168" s="374">
        <v>3</v>
      </c>
      <c r="J168" s="237">
        <v>2</v>
      </c>
      <c r="K168" s="237">
        <v>3</v>
      </c>
      <c r="L168" s="237">
        <v>3</v>
      </c>
      <c r="M168" s="237">
        <v>3</v>
      </c>
      <c r="N168" s="237">
        <v>2</v>
      </c>
      <c r="O168" s="237">
        <v>3</v>
      </c>
      <c r="P168" s="237">
        <v>3</v>
      </c>
      <c r="Q168" s="382" t="str">
        <f>IF(COUNTIF(tblSeverityAnalysis[[#This Row],[SAMV]:[ASH]], 1)=0, "", COUNTIF(tblSeverityAnalysis[[#This Row],[SAMV]:[ASH]], 1))</f>
        <v/>
      </c>
      <c r="R168" s="325">
        <f>IF(COUNTIF(tblSeverityAnalysis[[#This Row],[SAMV]:[ASH]], 2)=0, "", COUNTIF(tblSeverityAnalysis[[#This Row],[SAMV]:[ASH]], 2))</f>
        <v>2</v>
      </c>
      <c r="S168" s="325">
        <f>IF(COUNTIF(tblSeverityAnalysis[[#This Row],[SAMV]:[ASH]], 3)=0, "", COUNTIF(tblSeverityAnalysis[[#This Row],[SAMV]:[ASH]], 3))</f>
        <v>4</v>
      </c>
      <c r="T168" s="325" t="str">
        <f>IF(COUNTIF(tblSeverityAnalysis[[#This Row],[SAMV]:[ASH]], 4)=0, "", COUNTIF(tblSeverityAnalysis[[#This Row],[SAMV]:[ASH]], 4))</f>
        <v/>
      </c>
      <c r="U168" s="383" t="str">
        <f>IF(COUNTIF(tblSeverityAnalysis[[#This Row],[SAMV]:[ASH]], 5)=0, "", COUNTIF(tblSeverityAnalysis[[#This Row],[SAMV]:[ASH]], 5))</f>
        <v/>
      </c>
      <c r="V168" s="375" cm="1">
        <f t="array" ref="V16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6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68" s="237" t="str">
        <f>IFERROR(IF(INDEX(tblSeverityReference[Severidad de la desnutrición],MATCH(tblSeverityAnalysis[[#This Row],[ID]], tblSeverityReference[ID], 0))= "", "",INDEX(tblSeverityReference[Severidad de la desnutrición],MATCH(tblSeverityAnalysis[[#This Row],[ID]], tblSeverityReference[ID], 0)) ), "")</f>
        <v/>
      </c>
      <c r="Y168" s="349" t="str">
        <f>IFERROR(IF(INDEX(tblSeverityReference[Severidad epidémica],MATCH(tblSeverityAnalysis[[#This Row],[ID]], tblSeverityReference[ID], 0))= "", "",INDEX(tblSeverityReference[Severidad epidémica],MATCH(tblSeverityAnalysis[[#This Row],[ID]], tblSeverityReference[ID], 0)) ), "")</f>
        <v/>
      </c>
      <c r="Z16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68" s="391" t="str">
        <f>IFERROR(IF(INDEX(tblSeverityReference[HR/IHL Violation],MATCH(tblSeverityAnalysis[[#This Row],[ID]], tblSeverityReference[ID], 0))= "", "",INDEX(tblSeverityReference[HR/IHL Violation],MATCH(tblSeverityAnalysis[[#This Row],[ID]], tblSeverityReference[ID], 0)) ), "")</f>
        <v/>
      </c>
      <c r="AB168" s="397">
        <f>IFERROR(AVERAGE(tblSeverityAnalysis[[#This Row],[SAMV]:[ASH]]), "")</f>
        <v>2.6666666666666665</v>
      </c>
      <c r="AC168" s="346">
        <f>IF(SUM(tblSeverityAnalysis[[#This Row],[SAMV]:[ASH]])=0, "", MAX(tblSeverityAnalysis[[#This Row],[SAMV]:[ASH]]))</f>
        <v>3</v>
      </c>
      <c r="AD168" s="261" t="str" cm="1">
        <f t="array" ref="AD168">IFERROR(IF(tblSeverityAnalysis[[#This Row],[Severidad máxima]]="", "", _xlfn.TEXTJOIN(CHAR(10), TRUE, IF(tblSeverityAnalysis[[#This Row],[SAMV]:[ASH]]=tblSeverityAnalysis[[#This Row],[Severidad máxima]], tblSeverityAnalysis[[#Headers],[SAMV]:[ASH]], ""), "")), "")</f>
        <v>SAMV
SAL
EDU
PRO</v>
      </c>
      <c r="AE168" s="346" cm="1">
        <f t="array" ref="AE168">IFERROR(MAX(_xlfn._xlws.FILTER(tblSeverityAnalysis[[#This Row],[SAMV]:[ASH]], tblSeverityAnalysis[[#This Row],[SAMV]:[ASH]]&lt;tblSeverityAnalysis[[#This Row],[Severidad máxima]])), "")</f>
        <v>2</v>
      </c>
      <c r="AF168" s="398" t="str" cm="1">
        <f t="array" ref="AF168">IFERROR(IF(tblSeverityAnalysis[[#This Row],[2ª mayor severidad]]="", "", _xlfn.TEXTJOIN(CHAR(10), TRUE, IF(tblSeverityAnalysis[[#This Row],[SAMV]:[ASH]]=tblSeverityAnalysis[[#This Row],[2ª mayor severidad]], tblSeverityAnalysis[[#Headers],[SAMV]:[ASH]], ""), "")), "")</f>
        <v>NUT
ASH</v>
      </c>
      <c r="AG168" s="405" t="str">
        <f>IFERROR(IF(AND(tblSeverityAnalysis[[#This Row],[5]] &lt;&gt; "", tblSeverityAnalysis[[#This Row],[5]]&gt;=sectors_sev_5), "Flagged", ""), "")</f>
        <v/>
      </c>
      <c r="AH168" s="347" t="str">
        <f>IFERROR(IF(AND(tblSeverityAnalysis[[#This Row],[Severidad preliminar basada en la superposición de privaciones sectoriales]]=5, SUM(tblSeverityAnalysis[[#This Row],[ 1 ]:[ 4 ]])&gt;=sectors_sev_5), "Flagged", ""), "")</f>
        <v/>
      </c>
      <c r="AI168" s="348" t="str" cm="1">
        <f t="array" ref="AI16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6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68" s="350"/>
      <c r="AL168" s="351"/>
      <c r="AM168" s="350"/>
      <c r="AN168" s="407">
        <f>COUNTIF(tblSeverityAnalysis[[#This Row],[1 sectores en fase de severidad 5 '[modificar el umbral']]:[Marcador manual]], "Flagged")</f>
        <v>0</v>
      </c>
      <c r="AO168" s="418">
        <f>tblSeverityAnalysis[[#This Row],[Severidad preliminar basada en la superposición de privaciones sectoriales]]</f>
        <v>3</v>
      </c>
      <c r="AP168" s="417"/>
      <c r="AQ168" s="421" t="s">
        <v>876</v>
      </c>
      <c r="AR168" s="417">
        <v>2</v>
      </c>
    </row>
    <row r="169" spans="1:44" hidden="1">
      <c r="A16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VenezolanosVE1413</v>
      </c>
      <c r="B169" s="363" t="s">
        <v>411</v>
      </c>
      <c r="C169" s="323" t="s">
        <v>412</v>
      </c>
      <c r="D169" s="322" t="s">
        <v>276</v>
      </c>
      <c r="E169" s="323" t="s">
        <v>436</v>
      </c>
      <c r="F169" s="323"/>
      <c r="G169" s="324">
        <v>21882</v>
      </c>
      <c r="H169" s="324" t="s">
        <v>102</v>
      </c>
      <c r="I169" s="374">
        <v>3</v>
      </c>
      <c r="J169" s="237">
        <v>1</v>
      </c>
      <c r="K169" s="237">
        <v>3</v>
      </c>
      <c r="L169" s="237">
        <v>3</v>
      </c>
      <c r="M169" s="237">
        <v>2</v>
      </c>
      <c r="N169" s="237">
        <v>2</v>
      </c>
      <c r="O169" s="237">
        <v>2</v>
      </c>
      <c r="P169" s="237">
        <v>2</v>
      </c>
      <c r="Q169" s="382">
        <f>IF(COUNTIF(tblSeverityAnalysis[[#This Row],[SAMV]:[ASH]], 1)=0, "", COUNTIF(tblSeverityAnalysis[[#This Row],[SAMV]:[ASH]], 1))</f>
        <v>1</v>
      </c>
      <c r="R169" s="325">
        <f>IF(COUNTIF(tblSeverityAnalysis[[#This Row],[SAMV]:[ASH]], 2)=0, "", COUNTIF(tblSeverityAnalysis[[#This Row],[SAMV]:[ASH]], 2))</f>
        <v>2</v>
      </c>
      <c r="S169" s="325">
        <f>IF(COUNTIF(tblSeverityAnalysis[[#This Row],[SAMV]:[ASH]], 3)=0, "", COUNTIF(tblSeverityAnalysis[[#This Row],[SAMV]:[ASH]], 3))</f>
        <v>3</v>
      </c>
      <c r="T169" s="325" t="str">
        <f>IF(COUNTIF(tblSeverityAnalysis[[#This Row],[SAMV]:[ASH]], 4)=0, "", COUNTIF(tblSeverityAnalysis[[#This Row],[SAMV]:[ASH]], 4))</f>
        <v/>
      </c>
      <c r="U169" s="383" t="str">
        <f>IF(COUNTIF(tblSeverityAnalysis[[#This Row],[SAMV]:[ASH]], 5)=0, "", COUNTIF(tblSeverityAnalysis[[#This Row],[SAMV]:[ASH]], 5))</f>
        <v/>
      </c>
      <c r="V169" s="375" cm="1">
        <f t="array" ref="V16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6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69" s="237" t="str">
        <f>IFERROR(IF(INDEX(tblSeverityReference[Severidad de la desnutrición],MATCH(tblSeverityAnalysis[[#This Row],[ID]], tblSeverityReference[ID], 0))= "", "",INDEX(tblSeverityReference[Severidad de la desnutrición],MATCH(tblSeverityAnalysis[[#This Row],[ID]], tblSeverityReference[ID], 0)) ), "")</f>
        <v/>
      </c>
      <c r="Y169" s="349" t="str">
        <f>IFERROR(IF(INDEX(tblSeverityReference[Severidad epidémica],MATCH(tblSeverityAnalysis[[#This Row],[ID]], tblSeverityReference[ID], 0))= "", "",INDEX(tblSeverityReference[Severidad epidémica],MATCH(tblSeverityAnalysis[[#This Row],[ID]], tblSeverityReference[ID], 0)) ), "")</f>
        <v/>
      </c>
      <c r="Z16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69" s="391" t="str">
        <f>IFERROR(IF(INDEX(tblSeverityReference[HR/IHL Violation],MATCH(tblSeverityAnalysis[[#This Row],[ID]], tblSeverityReference[ID], 0))= "", "",INDEX(tblSeverityReference[HR/IHL Violation],MATCH(tblSeverityAnalysis[[#This Row],[ID]], tblSeverityReference[ID], 0)) ), "")</f>
        <v/>
      </c>
      <c r="AB169" s="397">
        <f>IFERROR(AVERAGE(tblSeverityAnalysis[[#This Row],[SAMV]:[ASH]]), "")</f>
        <v>2.3333333333333335</v>
      </c>
      <c r="AC169" s="346">
        <f>IF(SUM(tblSeverityAnalysis[[#This Row],[SAMV]:[ASH]])=0, "", MAX(tblSeverityAnalysis[[#This Row],[SAMV]:[ASH]]))</f>
        <v>3</v>
      </c>
      <c r="AD169" s="261" t="str" cm="1">
        <f t="array" ref="AD169">IFERROR(IF(tblSeverityAnalysis[[#This Row],[Severidad máxima]]="", "", _xlfn.TEXTJOIN(CHAR(10), TRUE, IF(tblSeverityAnalysis[[#This Row],[SAMV]:[ASH]]=tblSeverityAnalysis[[#This Row],[Severidad máxima]], tblSeverityAnalysis[[#Headers],[SAMV]:[ASH]], ""), "")), "")</f>
        <v>SAMV
SAL
EDU</v>
      </c>
      <c r="AE169" s="346" cm="1">
        <f t="array" ref="AE169">IFERROR(MAX(_xlfn._xlws.FILTER(tblSeverityAnalysis[[#This Row],[SAMV]:[ASH]], tblSeverityAnalysis[[#This Row],[SAMV]:[ASH]]&lt;tblSeverityAnalysis[[#This Row],[Severidad máxima]])), "")</f>
        <v>2</v>
      </c>
      <c r="AF169" s="398" t="str" cm="1">
        <f t="array" ref="AF169">IFERROR(IF(tblSeverityAnalysis[[#This Row],[2ª mayor severidad]]="", "", _xlfn.TEXTJOIN(CHAR(10), TRUE, IF(tblSeverityAnalysis[[#This Row],[SAMV]:[ASH]]=tblSeverityAnalysis[[#This Row],[2ª mayor severidad]], tblSeverityAnalysis[[#Headers],[SAMV]:[ASH]], ""), "")), "")</f>
        <v>PRO
ASH</v>
      </c>
      <c r="AG169" s="405" t="str">
        <f>IFERROR(IF(AND(tblSeverityAnalysis[[#This Row],[5]] &lt;&gt; "", tblSeverityAnalysis[[#This Row],[5]]&gt;=sectors_sev_5), "Flagged", ""), "")</f>
        <v/>
      </c>
      <c r="AH169" s="347" t="str">
        <f>IFERROR(IF(AND(tblSeverityAnalysis[[#This Row],[Severidad preliminar basada en la superposición de privaciones sectoriales]]=5, SUM(tblSeverityAnalysis[[#This Row],[ 1 ]:[ 4 ]])&gt;=sectors_sev_5), "Flagged", ""), "")</f>
        <v/>
      </c>
      <c r="AI169" s="348" t="str" cm="1">
        <f t="array" ref="AI16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6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69" s="350"/>
      <c r="AL169" s="351"/>
      <c r="AM169" s="350"/>
      <c r="AN169" s="407">
        <f>COUNTIF(tblSeverityAnalysis[[#This Row],[1 sectores en fase de severidad 5 '[modificar el umbral']]:[Marcador manual]], "Flagged")</f>
        <v>0</v>
      </c>
      <c r="AO169" s="418">
        <f>tblSeverityAnalysis[[#This Row],[Severidad preliminar basada en la superposición de privaciones sectoriales]]</f>
        <v>2</v>
      </c>
      <c r="AP169" s="417"/>
      <c r="AQ169" s="421" t="s">
        <v>876</v>
      </c>
      <c r="AR169" s="417">
        <v>3</v>
      </c>
    </row>
    <row r="170" spans="1:44" hidden="1">
      <c r="A17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VenezolanosVE1414</v>
      </c>
      <c r="B170" s="363" t="s">
        <v>411</v>
      </c>
      <c r="C170" s="323" t="s">
        <v>412</v>
      </c>
      <c r="D170" s="322" t="s">
        <v>437</v>
      </c>
      <c r="E170" s="323" t="s">
        <v>438</v>
      </c>
      <c r="F170" s="323"/>
      <c r="G170" s="324">
        <v>24774</v>
      </c>
      <c r="H170" s="324" t="s">
        <v>102</v>
      </c>
      <c r="I170" s="374">
        <v>3</v>
      </c>
      <c r="J170" s="237">
        <v>1</v>
      </c>
      <c r="K170" s="237">
        <v>3</v>
      </c>
      <c r="L170" s="237">
        <v>3</v>
      </c>
      <c r="M170" s="237">
        <v>2</v>
      </c>
      <c r="N170" s="237">
        <v>2</v>
      </c>
      <c r="O170" s="237">
        <v>2</v>
      </c>
      <c r="P170" s="237">
        <v>2</v>
      </c>
      <c r="Q170" s="382">
        <f>IF(COUNTIF(tblSeverityAnalysis[[#This Row],[SAMV]:[ASH]], 1)=0, "", COUNTIF(tblSeverityAnalysis[[#This Row],[SAMV]:[ASH]], 1))</f>
        <v>1</v>
      </c>
      <c r="R170" s="325">
        <f>IF(COUNTIF(tblSeverityAnalysis[[#This Row],[SAMV]:[ASH]], 2)=0, "", COUNTIF(tblSeverityAnalysis[[#This Row],[SAMV]:[ASH]], 2))</f>
        <v>2</v>
      </c>
      <c r="S170" s="325">
        <f>IF(COUNTIF(tblSeverityAnalysis[[#This Row],[SAMV]:[ASH]], 3)=0, "", COUNTIF(tblSeverityAnalysis[[#This Row],[SAMV]:[ASH]], 3))</f>
        <v>3</v>
      </c>
      <c r="T170" s="325" t="str">
        <f>IF(COUNTIF(tblSeverityAnalysis[[#This Row],[SAMV]:[ASH]], 4)=0, "", COUNTIF(tblSeverityAnalysis[[#This Row],[SAMV]:[ASH]], 4))</f>
        <v/>
      </c>
      <c r="U170" s="383" t="str">
        <f>IF(COUNTIF(tblSeverityAnalysis[[#This Row],[SAMV]:[ASH]], 5)=0, "", COUNTIF(tblSeverityAnalysis[[#This Row],[SAMV]:[ASH]], 5))</f>
        <v/>
      </c>
      <c r="V170" s="375" cm="1">
        <f t="array" ref="V17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7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70" s="237" t="str">
        <f>IFERROR(IF(INDEX(tblSeverityReference[Severidad de la desnutrición],MATCH(tblSeverityAnalysis[[#This Row],[ID]], tblSeverityReference[ID], 0))= "", "",INDEX(tblSeverityReference[Severidad de la desnutrición],MATCH(tblSeverityAnalysis[[#This Row],[ID]], tblSeverityReference[ID], 0)) ), "")</f>
        <v/>
      </c>
      <c r="Y170" s="349" t="str">
        <f>IFERROR(IF(INDEX(tblSeverityReference[Severidad epidémica],MATCH(tblSeverityAnalysis[[#This Row],[ID]], tblSeverityReference[ID], 0))= "", "",INDEX(tblSeverityReference[Severidad epidémica],MATCH(tblSeverityAnalysis[[#This Row],[ID]], tblSeverityReference[ID], 0)) ), "")</f>
        <v/>
      </c>
      <c r="Z17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70" s="391" t="str">
        <f>IFERROR(IF(INDEX(tblSeverityReference[HR/IHL Violation],MATCH(tblSeverityAnalysis[[#This Row],[ID]], tblSeverityReference[ID], 0))= "", "",INDEX(tblSeverityReference[HR/IHL Violation],MATCH(tblSeverityAnalysis[[#This Row],[ID]], tblSeverityReference[ID], 0)) ), "")</f>
        <v/>
      </c>
      <c r="AB170" s="397">
        <f>IFERROR(AVERAGE(tblSeverityAnalysis[[#This Row],[SAMV]:[ASH]]), "")</f>
        <v>2.3333333333333335</v>
      </c>
      <c r="AC170" s="346">
        <f>IF(SUM(tblSeverityAnalysis[[#This Row],[SAMV]:[ASH]])=0, "", MAX(tblSeverityAnalysis[[#This Row],[SAMV]:[ASH]]))</f>
        <v>3</v>
      </c>
      <c r="AD170" s="261" t="str" cm="1">
        <f t="array" ref="AD170">IFERROR(IF(tblSeverityAnalysis[[#This Row],[Severidad máxima]]="", "", _xlfn.TEXTJOIN(CHAR(10), TRUE, IF(tblSeverityAnalysis[[#This Row],[SAMV]:[ASH]]=tblSeverityAnalysis[[#This Row],[Severidad máxima]], tblSeverityAnalysis[[#Headers],[SAMV]:[ASH]], ""), "")), "")</f>
        <v>SAMV
SAL
EDU</v>
      </c>
      <c r="AE170" s="346" cm="1">
        <f t="array" ref="AE170">IFERROR(MAX(_xlfn._xlws.FILTER(tblSeverityAnalysis[[#This Row],[SAMV]:[ASH]], tblSeverityAnalysis[[#This Row],[SAMV]:[ASH]]&lt;tblSeverityAnalysis[[#This Row],[Severidad máxima]])), "")</f>
        <v>2</v>
      </c>
      <c r="AF170" s="398" t="str" cm="1">
        <f t="array" ref="AF170">IFERROR(IF(tblSeverityAnalysis[[#This Row],[2ª mayor severidad]]="", "", _xlfn.TEXTJOIN(CHAR(10), TRUE, IF(tblSeverityAnalysis[[#This Row],[SAMV]:[ASH]]=tblSeverityAnalysis[[#This Row],[2ª mayor severidad]], tblSeverityAnalysis[[#Headers],[SAMV]:[ASH]], ""), "")), "")</f>
        <v>PRO
ASH</v>
      </c>
      <c r="AG170" s="405" t="str">
        <f>IFERROR(IF(AND(tblSeverityAnalysis[[#This Row],[5]] &lt;&gt; "", tblSeverityAnalysis[[#This Row],[5]]&gt;=sectors_sev_5), "Flagged", ""), "")</f>
        <v/>
      </c>
      <c r="AH170" s="347" t="str">
        <f>IFERROR(IF(AND(tblSeverityAnalysis[[#This Row],[Severidad preliminar basada en la superposición de privaciones sectoriales]]=5, SUM(tblSeverityAnalysis[[#This Row],[ 1 ]:[ 4 ]])&gt;=sectors_sev_5), "Flagged", ""), "")</f>
        <v/>
      </c>
      <c r="AI170" s="348" t="str" cm="1">
        <f t="array" ref="AI17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7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70" s="350"/>
      <c r="AL170" s="351"/>
      <c r="AM170" s="350"/>
      <c r="AN170" s="407">
        <f>COUNTIF(tblSeverityAnalysis[[#This Row],[1 sectores en fase de severidad 5 '[modificar el umbral']]:[Marcador manual]], "Flagged")</f>
        <v>0</v>
      </c>
      <c r="AO170" s="418">
        <f>tblSeverityAnalysis[[#This Row],[Severidad preliminar basada en la superposición de privaciones sectoriales]]</f>
        <v>2</v>
      </c>
      <c r="AP170" s="417"/>
      <c r="AQ170" s="421" t="s">
        <v>876</v>
      </c>
      <c r="AR170" s="417">
        <v>3</v>
      </c>
    </row>
    <row r="171" spans="1:44" hidden="1">
      <c r="A17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VenezolanosVE1415</v>
      </c>
      <c r="B171" s="363" t="s">
        <v>411</v>
      </c>
      <c r="C171" s="323" t="s">
        <v>412</v>
      </c>
      <c r="D171" s="322" t="s">
        <v>439</v>
      </c>
      <c r="E171" s="323" t="s">
        <v>440</v>
      </c>
      <c r="F171" s="323"/>
      <c r="G171" s="324">
        <v>3188</v>
      </c>
      <c r="H171" s="324" t="s">
        <v>102</v>
      </c>
      <c r="I171" s="374">
        <v>3</v>
      </c>
      <c r="J171" s="237">
        <v>1</v>
      </c>
      <c r="K171" s="237">
        <v>4</v>
      </c>
      <c r="L171" s="237">
        <v>3</v>
      </c>
      <c r="M171" s="237">
        <v>2</v>
      </c>
      <c r="N171" s="237">
        <v>2</v>
      </c>
      <c r="O171" s="237">
        <v>2</v>
      </c>
      <c r="P171" s="237">
        <v>2</v>
      </c>
      <c r="Q171" s="382">
        <f>IF(COUNTIF(tblSeverityAnalysis[[#This Row],[SAMV]:[ASH]], 1)=0, "", COUNTIF(tblSeverityAnalysis[[#This Row],[SAMV]:[ASH]], 1))</f>
        <v>1</v>
      </c>
      <c r="R171" s="325">
        <f>IF(COUNTIF(tblSeverityAnalysis[[#This Row],[SAMV]:[ASH]], 2)=0, "", COUNTIF(tblSeverityAnalysis[[#This Row],[SAMV]:[ASH]], 2))</f>
        <v>2</v>
      </c>
      <c r="S171" s="325">
        <f>IF(COUNTIF(tblSeverityAnalysis[[#This Row],[SAMV]:[ASH]], 3)=0, "", COUNTIF(tblSeverityAnalysis[[#This Row],[SAMV]:[ASH]], 3))</f>
        <v>2</v>
      </c>
      <c r="T171" s="325">
        <f>IF(COUNTIF(tblSeverityAnalysis[[#This Row],[SAMV]:[ASH]], 4)=0, "", COUNTIF(tblSeverityAnalysis[[#This Row],[SAMV]:[ASH]], 4))</f>
        <v>1</v>
      </c>
      <c r="U171" s="383" t="str">
        <f>IF(COUNTIF(tblSeverityAnalysis[[#This Row],[SAMV]:[ASH]], 5)=0, "", COUNTIF(tblSeverityAnalysis[[#This Row],[SAMV]:[ASH]], 5))</f>
        <v/>
      </c>
      <c r="V171" s="375" cm="1">
        <f t="array" ref="V17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7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71" s="237" t="str">
        <f>IFERROR(IF(INDEX(tblSeverityReference[Severidad de la desnutrición],MATCH(tblSeverityAnalysis[[#This Row],[ID]], tblSeverityReference[ID], 0))= "", "",INDEX(tblSeverityReference[Severidad de la desnutrición],MATCH(tblSeverityAnalysis[[#This Row],[ID]], tblSeverityReference[ID], 0)) ), "")</f>
        <v/>
      </c>
      <c r="Y171" s="349" t="str">
        <f>IFERROR(IF(INDEX(tblSeverityReference[Severidad epidémica],MATCH(tblSeverityAnalysis[[#This Row],[ID]], tblSeverityReference[ID], 0))= "", "",INDEX(tblSeverityReference[Severidad epidémica],MATCH(tblSeverityAnalysis[[#This Row],[ID]], tblSeverityReference[ID], 0)) ), "")</f>
        <v/>
      </c>
      <c r="Z17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71" s="391" t="str">
        <f>IFERROR(IF(INDEX(tblSeverityReference[HR/IHL Violation],MATCH(tblSeverityAnalysis[[#This Row],[ID]], tblSeverityReference[ID], 0))= "", "",INDEX(tblSeverityReference[HR/IHL Violation],MATCH(tblSeverityAnalysis[[#This Row],[ID]], tblSeverityReference[ID], 0)) ), "")</f>
        <v/>
      </c>
      <c r="AB171" s="397">
        <f>IFERROR(AVERAGE(tblSeverityAnalysis[[#This Row],[SAMV]:[ASH]]), "")</f>
        <v>2.5</v>
      </c>
      <c r="AC171" s="346">
        <f>IF(SUM(tblSeverityAnalysis[[#This Row],[SAMV]:[ASH]])=0, "", MAX(tblSeverityAnalysis[[#This Row],[SAMV]:[ASH]]))</f>
        <v>4</v>
      </c>
      <c r="AD171" s="261" t="str" cm="1">
        <f t="array" ref="AD171">IFERROR(IF(tblSeverityAnalysis[[#This Row],[Severidad máxima]]="", "", _xlfn.TEXTJOIN(CHAR(10), TRUE, IF(tblSeverityAnalysis[[#This Row],[SAMV]:[ASH]]=tblSeverityAnalysis[[#This Row],[Severidad máxima]], tblSeverityAnalysis[[#Headers],[SAMV]:[ASH]], ""), "")), "")</f>
        <v>SAL</v>
      </c>
      <c r="AE171" s="346" cm="1">
        <f t="array" ref="AE171">IFERROR(MAX(_xlfn._xlws.FILTER(tblSeverityAnalysis[[#This Row],[SAMV]:[ASH]], tblSeverityAnalysis[[#This Row],[SAMV]:[ASH]]&lt;tblSeverityAnalysis[[#This Row],[Severidad máxima]])), "")</f>
        <v>3</v>
      </c>
      <c r="AF171" s="398" t="str" cm="1">
        <f t="array" ref="AF171">IFERROR(IF(tblSeverityAnalysis[[#This Row],[2ª mayor severidad]]="", "", _xlfn.TEXTJOIN(CHAR(10), TRUE, IF(tblSeverityAnalysis[[#This Row],[SAMV]:[ASH]]=tblSeverityAnalysis[[#This Row],[2ª mayor severidad]], tblSeverityAnalysis[[#Headers],[SAMV]:[ASH]], ""), "")), "")</f>
        <v>SAMV
EDU</v>
      </c>
      <c r="AG171" s="405" t="str">
        <f>IFERROR(IF(AND(tblSeverityAnalysis[[#This Row],[5]] &lt;&gt; "", tblSeverityAnalysis[[#This Row],[5]]&gt;=sectors_sev_5), "Flagged", ""), "")</f>
        <v/>
      </c>
      <c r="AH171" s="347" t="str">
        <f>IFERROR(IF(AND(tblSeverityAnalysis[[#This Row],[Severidad preliminar basada en la superposición de privaciones sectoriales]]=5, SUM(tblSeverityAnalysis[[#This Row],[ 1 ]:[ 4 ]])&gt;=sectors_sev_5), "Flagged", ""), "")</f>
        <v/>
      </c>
      <c r="AI171" s="348" t="str" cm="1">
        <f t="array" ref="AI17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7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71" s="350"/>
      <c r="AL171" s="351"/>
      <c r="AM171" s="350"/>
      <c r="AN171" s="407">
        <f>COUNTIF(tblSeverityAnalysis[[#This Row],[1 sectores en fase de severidad 5 '[modificar el umbral']]:[Marcador manual]], "Flagged")</f>
        <v>0</v>
      </c>
      <c r="AO171" s="418">
        <f>tblSeverityAnalysis[[#This Row],[Severidad preliminar basada en la superposición de privaciones sectoriales]]</f>
        <v>2</v>
      </c>
      <c r="AP171" s="417"/>
      <c r="AQ171" s="421" t="s">
        <v>876</v>
      </c>
      <c r="AR171" s="417">
        <v>3</v>
      </c>
    </row>
    <row r="172" spans="1:44" hidden="1">
      <c r="A17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VenezolanosVE1416</v>
      </c>
      <c r="B172" s="363" t="s">
        <v>411</v>
      </c>
      <c r="C172" s="323" t="s">
        <v>412</v>
      </c>
      <c r="D172" s="322" t="s">
        <v>441</v>
      </c>
      <c r="E172" s="323" t="s">
        <v>442</v>
      </c>
      <c r="F172" s="323"/>
      <c r="G172" s="324">
        <v>10730</v>
      </c>
      <c r="H172" s="324" t="s">
        <v>102</v>
      </c>
      <c r="I172" s="374">
        <v>3</v>
      </c>
      <c r="J172" s="237">
        <v>1</v>
      </c>
      <c r="K172" s="237">
        <v>3</v>
      </c>
      <c r="L172" s="237">
        <v>3</v>
      </c>
      <c r="M172" s="237">
        <v>2</v>
      </c>
      <c r="N172" s="237">
        <v>2</v>
      </c>
      <c r="O172" s="237">
        <v>2</v>
      </c>
      <c r="P172" s="237">
        <v>2</v>
      </c>
      <c r="Q172" s="382">
        <f>IF(COUNTIF(tblSeverityAnalysis[[#This Row],[SAMV]:[ASH]], 1)=0, "", COUNTIF(tblSeverityAnalysis[[#This Row],[SAMV]:[ASH]], 1))</f>
        <v>1</v>
      </c>
      <c r="R172" s="325">
        <f>IF(COUNTIF(tblSeverityAnalysis[[#This Row],[SAMV]:[ASH]], 2)=0, "", COUNTIF(tblSeverityAnalysis[[#This Row],[SAMV]:[ASH]], 2))</f>
        <v>2</v>
      </c>
      <c r="S172" s="325">
        <f>IF(COUNTIF(tblSeverityAnalysis[[#This Row],[SAMV]:[ASH]], 3)=0, "", COUNTIF(tblSeverityAnalysis[[#This Row],[SAMV]:[ASH]], 3))</f>
        <v>3</v>
      </c>
      <c r="T172" s="325" t="str">
        <f>IF(COUNTIF(tblSeverityAnalysis[[#This Row],[SAMV]:[ASH]], 4)=0, "", COUNTIF(tblSeverityAnalysis[[#This Row],[SAMV]:[ASH]], 4))</f>
        <v/>
      </c>
      <c r="U172" s="383" t="str">
        <f>IF(COUNTIF(tblSeverityAnalysis[[#This Row],[SAMV]:[ASH]], 5)=0, "", COUNTIF(tblSeverityAnalysis[[#This Row],[SAMV]:[ASH]], 5))</f>
        <v/>
      </c>
      <c r="V172" s="375" cm="1">
        <f t="array" ref="V17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7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72" s="237" t="str">
        <f>IFERROR(IF(INDEX(tblSeverityReference[Severidad de la desnutrición],MATCH(tblSeverityAnalysis[[#This Row],[ID]], tblSeverityReference[ID], 0))= "", "",INDEX(tblSeverityReference[Severidad de la desnutrición],MATCH(tblSeverityAnalysis[[#This Row],[ID]], tblSeverityReference[ID], 0)) ), "")</f>
        <v/>
      </c>
      <c r="Y172" s="349" t="str">
        <f>IFERROR(IF(INDEX(tblSeverityReference[Severidad epidémica],MATCH(tblSeverityAnalysis[[#This Row],[ID]], tblSeverityReference[ID], 0))= "", "",INDEX(tblSeverityReference[Severidad epidémica],MATCH(tblSeverityAnalysis[[#This Row],[ID]], tblSeverityReference[ID], 0)) ), "")</f>
        <v/>
      </c>
      <c r="Z17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72" s="391" t="str">
        <f>IFERROR(IF(INDEX(tblSeverityReference[HR/IHL Violation],MATCH(tblSeverityAnalysis[[#This Row],[ID]], tblSeverityReference[ID], 0))= "", "",INDEX(tblSeverityReference[HR/IHL Violation],MATCH(tblSeverityAnalysis[[#This Row],[ID]], tblSeverityReference[ID], 0)) ), "")</f>
        <v/>
      </c>
      <c r="AB172" s="397">
        <f>IFERROR(AVERAGE(tblSeverityAnalysis[[#This Row],[SAMV]:[ASH]]), "")</f>
        <v>2.3333333333333335</v>
      </c>
      <c r="AC172" s="346">
        <f>IF(SUM(tblSeverityAnalysis[[#This Row],[SAMV]:[ASH]])=0, "", MAX(tblSeverityAnalysis[[#This Row],[SAMV]:[ASH]]))</f>
        <v>3</v>
      </c>
      <c r="AD172" s="261" t="str" cm="1">
        <f t="array" ref="AD172">IFERROR(IF(tblSeverityAnalysis[[#This Row],[Severidad máxima]]="", "", _xlfn.TEXTJOIN(CHAR(10), TRUE, IF(tblSeverityAnalysis[[#This Row],[SAMV]:[ASH]]=tblSeverityAnalysis[[#This Row],[Severidad máxima]], tblSeverityAnalysis[[#Headers],[SAMV]:[ASH]], ""), "")), "")</f>
        <v>SAMV
SAL
EDU</v>
      </c>
      <c r="AE172" s="346" cm="1">
        <f t="array" ref="AE172">IFERROR(MAX(_xlfn._xlws.FILTER(tblSeverityAnalysis[[#This Row],[SAMV]:[ASH]], tblSeverityAnalysis[[#This Row],[SAMV]:[ASH]]&lt;tblSeverityAnalysis[[#This Row],[Severidad máxima]])), "")</f>
        <v>2</v>
      </c>
      <c r="AF172" s="398" t="str" cm="1">
        <f t="array" ref="AF172">IFERROR(IF(tblSeverityAnalysis[[#This Row],[2ª mayor severidad]]="", "", _xlfn.TEXTJOIN(CHAR(10), TRUE, IF(tblSeverityAnalysis[[#This Row],[SAMV]:[ASH]]=tblSeverityAnalysis[[#This Row],[2ª mayor severidad]], tblSeverityAnalysis[[#Headers],[SAMV]:[ASH]], ""), "")), "")</f>
        <v>PRO
ASH</v>
      </c>
      <c r="AG172" s="405" t="str">
        <f>IFERROR(IF(AND(tblSeverityAnalysis[[#This Row],[5]] &lt;&gt; "", tblSeverityAnalysis[[#This Row],[5]]&gt;=sectors_sev_5), "Flagged", ""), "")</f>
        <v/>
      </c>
      <c r="AH172" s="347" t="str">
        <f>IFERROR(IF(AND(tblSeverityAnalysis[[#This Row],[Severidad preliminar basada en la superposición de privaciones sectoriales]]=5, SUM(tblSeverityAnalysis[[#This Row],[ 1 ]:[ 4 ]])&gt;=sectors_sev_5), "Flagged", ""), "")</f>
        <v/>
      </c>
      <c r="AI172" s="348" t="str" cm="1">
        <f t="array" ref="AI17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7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72" s="350"/>
      <c r="AL172" s="351"/>
      <c r="AM172" s="350"/>
      <c r="AN172" s="407">
        <f>COUNTIF(tblSeverityAnalysis[[#This Row],[1 sectores en fase de severidad 5 '[modificar el umbral']]:[Marcador manual]], "Flagged")</f>
        <v>0</v>
      </c>
      <c r="AO172" s="418">
        <f>tblSeverityAnalysis[[#This Row],[Severidad preliminar basada en la superposición de privaciones sectoriales]]</f>
        <v>2</v>
      </c>
      <c r="AP172" s="417"/>
      <c r="AQ172" s="421" t="s">
        <v>876</v>
      </c>
      <c r="AR172" s="417">
        <v>3</v>
      </c>
    </row>
    <row r="173" spans="1:44" hidden="1">
      <c r="A17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VenezolanosVE1417</v>
      </c>
      <c r="B173" s="363" t="s">
        <v>411</v>
      </c>
      <c r="C173" s="323" t="s">
        <v>412</v>
      </c>
      <c r="D173" s="322" t="s">
        <v>443</v>
      </c>
      <c r="E173" s="323" t="s">
        <v>444</v>
      </c>
      <c r="F173" s="323"/>
      <c r="G173" s="324">
        <v>19008</v>
      </c>
      <c r="H173" s="324" t="s">
        <v>102</v>
      </c>
      <c r="I173" s="374">
        <v>3</v>
      </c>
      <c r="J173" s="237">
        <v>1</v>
      </c>
      <c r="K173" s="237">
        <v>4</v>
      </c>
      <c r="L173" s="237">
        <v>3</v>
      </c>
      <c r="M173" s="237">
        <v>3</v>
      </c>
      <c r="N173" s="237">
        <v>3</v>
      </c>
      <c r="O173" s="237">
        <v>3</v>
      </c>
      <c r="P173" s="237">
        <v>3</v>
      </c>
      <c r="Q173" s="382">
        <f>IF(COUNTIF(tblSeverityAnalysis[[#This Row],[SAMV]:[ASH]], 1)=0, "", COUNTIF(tblSeverityAnalysis[[#This Row],[SAMV]:[ASH]], 1))</f>
        <v>1</v>
      </c>
      <c r="R173" s="325" t="str">
        <f>IF(COUNTIF(tblSeverityAnalysis[[#This Row],[SAMV]:[ASH]], 2)=0, "", COUNTIF(tblSeverityAnalysis[[#This Row],[SAMV]:[ASH]], 2))</f>
        <v/>
      </c>
      <c r="S173" s="325">
        <f>IF(COUNTIF(tblSeverityAnalysis[[#This Row],[SAMV]:[ASH]], 3)=0, "", COUNTIF(tblSeverityAnalysis[[#This Row],[SAMV]:[ASH]], 3))</f>
        <v>4</v>
      </c>
      <c r="T173" s="325">
        <f>IF(COUNTIF(tblSeverityAnalysis[[#This Row],[SAMV]:[ASH]], 4)=0, "", COUNTIF(tblSeverityAnalysis[[#This Row],[SAMV]:[ASH]], 4))</f>
        <v>1</v>
      </c>
      <c r="U173" s="383" t="str">
        <f>IF(COUNTIF(tblSeverityAnalysis[[#This Row],[SAMV]:[ASH]], 5)=0, "", COUNTIF(tblSeverityAnalysis[[#This Row],[SAMV]:[ASH]], 5))</f>
        <v/>
      </c>
      <c r="V173" s="375" cm="1">
        <f t="array" ref="V17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7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73" s="237" t="str">
        <f>IFERROR(IF(INDEX(tblSeverityReference[Severidad de la desnutrición],MATCH(tblSeverityAnalysis[[#This Row],[ID]], tblSeverityReference[ID], 0))= "", "",INDEX(tblSeverityReference[Severidad de la desnutrición],MATCH(tblSeverityAnalysis[[#This Row],[ID]], tblSeverityReference[ID], 0)) ), "")</f>
        <v/>
      </c>
      <c r="Y173" s="349" t="str">
        <f>IFERROR(IF(INDEX(tblSeverityReference[Severidad epidémica],MATCH(tblSeverityAnalysis[[#This Row],[ID]], tblSeverityReference[ID], 0))= "", "",INDEX(tblSeverityReference[Severidad epidémica],MATCH(tblSeverityAnalysis[[#This Row],[ID]], tblSeverityReference[ID], 0)) ), "")</f>
        <v/>
      </c>
      <c r="Z17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73" s="391" t="str">
        <f>IFERROR(IF(INDEX(tblSeverityReference[HR/IHL Violation],MATCH(tblSeverityAnalysis[[#This Row],[ID]], tblSeverityReference[ID], 0))= "", "",INDEX(tblSeverityReference[HR/IHL Violation],MATCH(tblSeverityAnalysis[[#This Row],[ID]], tblSeverityReference[ID], 0)) ), "")</f>
        <v/>
      </c>
      <c r="AB173" s="397">
        <f>IFERROR(AVERAGE(tblSeverityAnalysis[[#This Row],[SAMV]:[ASH]]), "")</f>
        <v>2.8333333333333335</v>
      </c>
      <c r="AC173" s="346">
        <f>IF(SUM(tblSeverityAnalysis[[#This Row],[SAMV]:[ASH]])=0, "", MAX(tblSeverityAnalysis[[#This Row],[SAMV]:[ASH]]))</f>
        <v>4</v>
      </c>
      <c r="AD173" s="261" t="str" cm="1">
        <f t="array" ref="AD173">IFERROR(IF(tblSeverityAnalysis[[#This Row],[Severidad máxima]]="", "", _xlfn.TEXTJOIN(CHAR(10), TRUE, IF(tblSeverityAnalysis[[#This Row],[SAMV]:[ASH]]=tblSeverityAnalysis[[#This Row],[Severidad máxima]], tblSeverityAnalysis[[#Headers],[SAMV]:[ASH]], ""), "")), "")</f>
        <v>SAL</v>
      </c>
      <c r="AE173" s="346" cm="1">
        <f t="array" ref="AE173">IFERROR(MAX(_xlfn._xlws.FILTER(tblSeverityAnalysis[[#This Row],[SAMV]:[ASH]], tblSeverityAnalysis[[#This Row],[SAMV]:[ASH]]&lt;tblSeverityAnalysis[[#This Row],[Severidad máxima]])), "")</f>
        <v>3</v>
      </c>
      <c r="AF173" s="398" t="str" cm="1">
        <f t="array" ref="AF173">IFERROR(IF(tblSeverityAnalysis[[#This Row],[2ª mayor severidad]]="", "", _xlfn.TEXTJOIN(CHAR(10), TRUE, IF(tblSeverityAnalysis[[#This Row],[SAMV]:[ASH]]=tblSeverityAnalysis[[#This Row],[2ª mayor severidad]], tblSeverityAnalysis[[#Headers],[SAMV]:[ASH]], ""), "")), "")</f>
        <v>SAMV
EDU
PRO
ASH</v>
      </c>
      <c r="AG173" s="405" t="str">
        <f>IFERROR(IF(AND(tblSeverityAnalysis[[#This Row],[5]] &lt;&gt; "", tblSeverityAnalysis[[#This Row],[5]]&gt;=sectors_sev_5), "Flagged", ""), "")</f>
        <v/>
      </c>
      <c r="AH173" s="347" t="str">
        <f>IFERROR(IF(AND(tblSeverityAnalysis[[#This Row],[Severidad preliminar basada en la superposición de privaciones sectoriales]]=5, SUM(tblSeverityAnalysis[[#This Row],[ 1 ]:[ 4 ]])&gt;=sectors_sev_5), "Flagged", ""), "")</f>
        <v/>
      </c>
      <c r="AI173" s="348" t="str" cm="1">
        <f t="array" ref="AI17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7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73" s="350"/>
      <c r="AL173" s="351"/>
      <c r="AM173" s="350"/>
      <c r="AN173" s="407">
        <f>COUNTIF(tblSeverityAnalysis[[#This Row],[1 sectores en fase de severidad 5 '[modificar el umbral']]:[Marcador manual]], "Flagged")</f>
        <v>0</v>
      </c>
      <c r="AO173" s="418">
        <f>tblSeverityAnalysis[[#This Row],[Severidad preliminar basada en la superposición de privaciones sectoriales]]</f>
        <v>3</v>
      </c>
      <c r="AP173" s="417"/>
      <c r="AQ173" s="421" t="s">
        <v>876</v>
      </c>
      <c r="AR173" s="417">
        <v>3</v>
      </c>
    </row>
    <row r="174" spans="1:44" hidden="1">
      <c r="A17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VenezolanosVE1418</v>
      </c>
      <c r="B174" s="363" t="s">
        <v>411</v>
      </c>
      <c r="C174" s="323" t="s">
        <v>412</v>
      </c>
      <c r="D174" s="322" t="s">
        <v>445</v>
      </c>
      <c r="E174" s="323" t="s">
        <v>446</v>
      </c>
      <c r="F174" s="323"/>
      <c r="G174" s="324">
        <v>20128</v>
      </c>
      <c r="H174" s="324" t="s">
        <v>102</v>
      </c>
      <c r="I174" s="374">
        <v>3</v>
      </c>
      <c r="J174" s="237">
        <v>1</v>
      </c>
      <c r="K174" s="237">
        <v>3</v>
      </c>
      <c r="L174" s="237">
        <v>3</v>
      </c>
      <c r="M174" s="237">
        <v>3</v>
      </c>
      <c r="N174" s="237">
        <v>3</v>
      </c>
      <c r="O174" s="237">
        <v>3</v>
      </c>
      <c r="P174" s="237">
        <v>3</v>
      </c>
      <c r="Q174" s="382">
        <f>IF(COUNTIF(tblSeverityAnalysis[[#This Row],[SAMV]:[ASH]], 1)=0, "", COUNTIF(tblSeverityAnalysis[[#This Row],[SAMV]:[ASH]], 1))</f>
        <v>1</v>
      </c>
      <c r="R174" s="325" t="str">
        <f>IF(COUNTIF(tblSeverityAnalysis[[#This Row],[SAMV]:[ASH]], 2)=0, "", COUNTIF(tblSeverityAnalysis[[#This Row],[SAMV]:[ASH]], 2))</f>
        <v/>
      </c>
      <c r="S174" s="325">
        <f>IF(COUNTIF(tblSeverityAnalysis[[#This Row],[SAMV]:[ASH]], 3)=0, "", COUNTIF(tblSeverityAnalysis[[#This Row],[SAMV]:[ASH]], 3))</f>
        <v>5</v>
      </c>
      <c r="T174" s="325" t="str">
        <f>IF(COUNTIF(tblSeverityAnalysis[[#This Row],[SAMV]:[ASH]], 4)=0, "", COUNTIF(tblSeverityAnalysis[[#This Row],[SAMV]:[ASH]], 4))</f>
        <v/>
      </c>
      <c r="U174" s="383" t="str">
        <f>IF(COUNTIF(tblSeverityAnalysis[[#This Row],[SAMV]:[ASH]], 5)=0, "", COUNTIF(tblSeverityAnalysis[[#This Row],[SAMV]:[ASH]], 5))</f>
        <v/>
      </c>
      <c r="V174" s="375" cm="1">
        <f t="array" ref="V17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7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74" s="237" t="str">
        <f>IFERROR(IF(INDEX(tblSeverityReference[Severidad de la desnutrición],MATCH(tblSeverityAnalysis[[#This Row],[ID]], tblSeverityReference[ID], 0))= "", "",INDEX(tblSeverityReference[Severidad de la desnutrición],MATCH(tblSeverityAnalysis[[#This Row],[ID]], tblSeverityReference[ID], 0)) ), "")</f>
        <v/>
      </c>
      <c r="Y174" s="349" t="str">
        <f>IFERROR(IF(INDEX(tblSeverityReference[Severidad epidémica],MATCH(tblSeverityAnalysis[[#This Row],[ID]], tblSeverityReference[ID], 0))= "", "",INDEX(tblSeverityReference[Severidad epidémica],MATCH(tblSeverityAnalysis[[#This Row],[ID]], tblSeverityReference[ID], 0)) ), "")</f>
        <v/>
      </c>
      <c r="Z17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74" s="391" t="str">
        <f>IFERROR(IF(INDEX(tblSeverityReference[HR/IHL Violation],MATCH(tblSeverityAnalysis[[#This Row],[ID]], tblSeverityReference[ID], 0))= "", "",INDEX(tblSeverityReference[HR/IHL Violation],MATCH(tblSeverityAnalysis[[#This Row],[ID]], tblSeverityReference[ID], 0)) ), "")</f>
        <v/>
      </c>
      <c r="AB174" s="397">
        <f>IFERROR(AVERAGE(tblSeverityAnalysis[[#This Row],[SAMV]:[ASH]]), "")</f>
        <v>2.6666666666666665</v>
      </c>
      <c r="AC174" s="346">
        <f>IF(SUM(tblSeverityAnalysis[[#This Row],[SAMV]:[ASH]])=0, "", MAX(tblSeverityAnalysis[[#This Row],[SAMV]:[ASH]]))</f>
        <v>3</v>
      </c>
      <c r="AD174" s="261" t="str" cm="1">
        <f t="array" ref="AD174">IFERROR(IF(tblSeverityAnalysis[[#This Row],[Severidad máxima]]="", "", _xlfn.TEXTJOIN(CHAR(10), TRUE, IF(tblSeverityAnalysis[[#This Row],[SAMV]:[ASH]]=tblSeverityAnalysis[[#This Row],[Severidad máxima]], tblSeverityAnalysis[[#Headers],[SAMV]:[ASH]], ""), "")), "")</f>
        <v>SAMV
SAL
EDU
PRO
ASH</v>
      </c>
      <c r="AE174" s="346" cm="1">
        <f t="array" ref="AE174">IFERROR(MAX(_xlfn._xlws.FILTER(tblSeverityAnalysis[[#This Row],[SAMV]:[ASH]], tblSeverityAnalysis[[#This Row],[SAMV]:[ASH]]&lt;tblSeverityAnalysis[[#This Row],[Severidad máxima]])), "")</f>
        <v>1</v>
      </c>
      <c r="AF174" s="398" t="str" cm="1">
        <f t="array" ref="AF174">IFERROR(IF(tblSeverityAnalysis[[#This Row],[2ª mayor severidad]]="", "", _xlfn.TEXTJOIN(CHAR(10), TRUE, IF(tblSeverityAnalysis[[#This Row],[SAMV]:[ASH]]=tblSeverityAnalysis[[#This Row],[2ª mayor severidad]], tblSeverityAnalysis[[#Headers],[SAMV]:[ASH]], ""), "")), "")</f>
        <v>NUT</v>
      </c>
      <c r="AG174" s="405" t="str">
        <f>IFERROR(IF(AND(tblSeverityAnalysis[[#This Row],[5]] &lt;&gt; "", tblSeverityAnalysis[[#This Row],[5]]&gt;=sectors_sev_5), "Flagged", ""), "")</f>
        <v/>
      </c>
      <c r="AH174" s="347" t="str">
        <f>IFERROR(IF(AND(tblSeverityAnalysis[[#This Row],[Severidad preliminar basada en la superposición de privaciones sectoriales]]=5, SUM(tblSeverityAnalysis[[#This Row],[ 1 ]:[ 4 ]])&gt;=sectors_sev_5), "Flagged", ""), "")</f>
        <v/>
      </c>
      <c r="AI174" s="348" t="str" cm="1">
        <f t="array" ref="AI17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7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74" s="350"/>
      <c r="AL174" s="351"/>
      <c r="AM174" s="350"/>
      <c r="AN174" s="407">
        <f>COUNTIF(tblSeverityAnalysis[[#This Row],[1 sectores en fase de severidad 5 '[modificar el umbral']]:[Marcador manual]], "Flagged")</f>
        <v>0</v>
      </c>
      <c r="AO174" s="418">
        <f>tblSeverityAnalysis[[#This Row],[Severidad preliminar basada en la superposición de privaciones sectoriales]]</f>
        <v>3</v>
      </c>
      <c r="AP174" s="417"/>
      <c r="AQ174" s="421" t="s">
        <v>876</v>
      </c>
      <c r="AR174" s="417">
        <v>3</v>
      </c>
    </row>
    <row r="175" spans="1:44" hidden="1">
      <c r="A17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VenezolanosVE1419</v>
      </c>
      <c r="B175" s="363" t="s">
        <v>411</v>
      </c>
      <c r="C175" s="323" t="s">
        <v>412</v>
      </c>
      <c r="D175" s="322" t="s">
        <v>447</v>
      </c>
      <c r="E175" s="323" t="s">
        <v>448</v>
      </c>
      <c r="F175" s="323"/>
      <c r="G175" s="324">
        <v>18037</v>
      </c>
      <c r="H175" s="324" t="s">
        <v>102</v>
      </c>
      <c r="I175" s="374">
        <v>2</v>
      </c>
      <c r="J175" s="237">
        <v>1</v>
      </c>
      <c r="K175" s="237">
        <v>3</v>
      </c>
      <c r="L175" s="237">
        <v>3</v>
      </c>
      <c r="M175" s="237">
        <v>2</v>
      </c>
      <c r="N175" s="237">
        <v>2</v>
      </c>
      <c r="O175" s="237">
        <v>2</v>
      </c>
      <c r="P175" s="237">
        <v>2</v>
      </c>
      <c r="Q175" s="382">
        <f>IF(COUNTIF(tblSeverityAnalysis[[#This Row],[SAMV]:[ASH]], 1)=0, "", COUNTIF(tblSeverityAnalysis[[#This Row],[SAMV]:[ASH]], 1))</f>
        <v>1</v>
      </c>
      <c r="R175" s="325">
        <f>IF(COUNTIF(tblSeverityAnalysis[[#This Row],[SAMV]:[ASH]], 2)=0, "", COUNTIF(tblSeverityAnalysis[[#This Row],[SAMV]:[ASH]], 2))</f>
        <v>3</v>
      </c>
      <c r="S175" s="325">
        <f>IF(COUNTIF(tblSeverityAnalysis[[#This Row],[SAMV]:[ASH]], 3)=0, "", COUNTIF(tblSeverityAnalysis[[#This Row],[SAMV]:[ASH]], 3))</f>
        <v>2</v>
      </c>
      <c r="T175" s="325" t="str">
        <f>IF(COUNTIF(tblSeverityAnalysis[[#This Row],[SAMV]:[ASH]], 4)=0, "", COUNTIF(tblSeverityAnalysis[[#This Row],[SAMV]:[ASH]], 4))</f>
        <v/>
      </c>
      <c r="U175" s="383" t="str">
        <f>IF(COUNTIF(tblSeverityAnalysis[[#This Row],[SAMV]:[ASH]], 5)=0, "", COUNTIF(tblSeverityAnalysis[[#This Row],[SAMV]:[ASH]], 5))</f>
        <v/>
      </c>
      <c r="V175" s="375" cm="1">
        <f t="array" ref="V17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7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75" s="237" t="str">
        <f>IFERROR(IF(INDEX(tblSeverityReference[Severidad de la desnutrición],MATCH(tblSeverityAnalysis[[#This Row],[ID]], tblSeverityReference[ID], 0))= "", "",INDEX(tblSeverityReference[Severidad de la desnutrición],MATCH(tblSeverityAnalysis[[#This Row],[ID]], tblSeverityReference[ID], 0)) ), "")</f>
        <v/>
      </c>
      <c r="Y175" s="349" t="str">
        <f>IFERROR(IF(INDEX(tblSeverityReference[Severidad epidémica],MATCH(tblSeverityAnalysis[[#This Row],[ID]], tblSeverityReference[ID], 0))= "", "",INDEX(tblSeverityReference[Severidad epidémica],MATCH(tblSeverityAnalysis[[#This Row],[ID]], tblSeverityReference[ID], 0)) ), "")</f>
        <v/>
      </c>
      <c r="Z17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75" s="391" t="str">
        <f>IFERROR(IF(INDEX(tblSeverityReference[HR/IHL Violation],MATCH(tblSeverityAnalysis[[#This Row],[ID]], tblSeverityReference[ID], 0))= "", "",INDEX(tblSeverityReference[HR/IHL Violation],MATCH(tblSeverityAnalysis[[#This Row],[ID]], tblSeverityReference[ID], 0)) ), "")</f>
        <v/>
      </c>
      <c r="AB175" s="397">
        <f>IFERROR(AVERAGE(tblSeverityAnalysis[[#This Row],[SAMV]:[ASH]]), "")</f>
        <v>2.1666666666666665</v>
      </c>
      <c r="AC175" s="346">
        <f>IF(SUM(tblSeverityAnalysis[[#This Row],[SAMV]:[ASH]])=0, "", MAX(tblSeverityAnalysis[[#This Row],[SAMV]:[ASH]]))</f>
        <v>3</v>
      </c>
      <c r="AD175" s="261" t="str" cm="1">
        <f t="array" ref="AD175">IFERROR(IF(tblSeverityAnalysis[[#This Row],[Severidad máxima]]="", "", _xlfn.TEXTJOIN(CHAR(10), TRUE, IF(tblSeverityAnalysis[[#This Row],[SAMV]:[ASH]]=tblSeverityAnalysis[[#This Row],[Severidad máxima]], tblSeverityAnalysis[[#Headers],[SAMV]:[ASH]], ""), "")), "")</f>
        <v>SAL
EDU</v>
      </c>
      <c r="AE175" s="346" cm="1">
        <f t="array" ref="AE175">IFERROR(MAX(_xlfn._xlws.FILTER(tblSeverityAnalysis[[#This Row],[SAMV]:[ASH]], tblSeverityAnalysis[[#This Row],[SAMV]:[ASH]]&lt;tblSeverityAnalysis[[#This Row],[Severidad máxima]])), "")</f>
        <v>2</v>
      </c>
      <c r="AF175" s="398" t="str" cm="1">
        <f t="array" ref="AF175">IFERROR(IF(tblSeverityAnalysis[[#This Row],[2ª mayor severidad]]="", "", _xlfn.TEXTJOIN(CHAR(10), TRUE, IF(tblSeverityAnalysis[[#This Row],[SAMV]:[ASH]]=tblSeverityAnalysis[[#This Row],[2ª mayor severidad]], tblSeverityAnalysis[[#Headers],[SAMV]:[ASH]], ""), "")), "")</f>
        <v>SAMV
PRO
ASH</v>
      </c>
      <c r="AG175" s="405" t="str">
        <f>IFERROR(IF(AND(tblSeverityAnalysis[[#This Row],[5]] &lt;&gt; "", tblSeverityAnalysis[[#This Row],[5]]&gt;=sectors_sev_5), "Flagged", ""), "")</f>
        <v/>
      </c>
      <c r="AH175" s="347" t="str">
        <f>IFERROR(IF(AND(tblSeverityAnalysis[[#This Row],[Severidad preliminar basada en la superposición de privaciones sectoriales]]=5, SUM(tblSeverityAnalysis[[#This Row],[ 1 ]:[ 4 ]])&gt;=sectors_sev_5), "Flagged", ""), "")</f>
        <v/>
      </c>
      <c r="AI175" s="348" t="str" cm="1">
        <f t="array" ref="AI17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7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75" s="350"/>
      <c r="AL175" s="351"/>
      <c r="AM175" s="350"/>
      <c r="AN175" s="407">
        <f>COUNTIF(tblSeverityAnalysis[[#This Row],[1 sectores en fase de severidad 5 '[modificar el umbral']]:[Marcador manual]], "Flagged")</f>
        <v>0</v>
      </c>
      <c r="AO175" s="418">
        <f>tblSeverityAnalysis[[#This Row],[Severidad preliminar basada en la superposición de privaciones sectoriales]]</f>
        <v>2</v>
      </c>
      <c r="AP175" s="417"/>
      <c r="AQ175" s="421" t="s">
        <v>876</v>
      </c>
      <c r="AR175" s="417">
        <v>2</v>
      </c>
    </row>
    <row r="176" spans="1:44" hidden="1">
      <c r="A17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VenezolanosVE1420</v>
      </c>
      <c r="B176" s="363" t="s">
        <v>411</v>
      </c>
      <c r="C176" s="323" t="s">
        <v>412</v>
      </c>
      <c r="D176" s="322" t="s">
        <v>203</v>
      </c>
      <c r="E176" s="323" t="s">
        <v>449</v>
      </c>
      <c r="F176" s="323"/>
      <c r="G176" s="324">
        <v>55840</v>
      </c>
      <c r="H176" s="324" t="s">
        <v>102</v>
      </c>
      <c r="I176" s="374">
        <v>3</v>
      </c>
      <c r="J176" s="237">
        <v>1</v>
      </c>
      <c r="K176" s="237">
        <v>3</v>
      </c>
      <c r="L176" s="237">
        <v>3</v>
      </c>
      <c r="M176" s="237">
        <v>3</v>
      </c>
      <c r="N176" s="237">
        <v>2</v>
      </c>
      <c r="O176" s="237">
        <v>3</v>
      </c>
      <c r="P176" s="237">
        <v>3</v>
      </c>
      <c r="Q176" s="382">
        <f>IF(COUNTIF(tblSeverityAnalysis[[#This Row],[SAMV]:[ASH]], 1)=0, "", COUNTIF(tblSeverityAnalysis[[#This Row],[SAMV]:[ASH]], 1))</f>
        <v>1</v>
      </c>
      <c r="R176" s="325">
        <f>IF(COUNTIF(tblSeverityAnalysis[[#This Row],[SAMV]:[ASH]], 2)=0, "", COUNTIF(tblSeverityAnalysis[[#This Row],[SAMV]:[ASH]], 2))</f>
        <v>1</v>
      </c>
      <c r="S176" s="325">
        <f>IF(COUNTIF(tblSeverityAnalysis[[#This Row],[SAMV]:[ASH]], 3)=0, "", COUNTIF(tblSeverityAnalysis[[#This Row],[SAMV]:[ASH]], 3))</f>
        <v>4</v>
      </c>
      <c r="T176" s="325" t="str">
        <f>IF(COUNTIF(tblSeverityAnalysis[[#This Row],[SAMV]:[ASH]], 4)=0, "", COUNTIF(tblSeverityAnalysis[[#This Row],[SAMV]:[ASH]], 4))</f>
        <v/>
      </c>
      <c r="U176" s="383" t="str">
        <f>IF(COUNTIF(tblSeverityAnalysis[[#This Row],[SAMV]:[ASH]], 5)=0, "", COUNTIF(tblSeverityAnalysis[[#This Row],[SAMV]:[ASH]], 5))</f>
        <v/>
      </c>
      <c r="V176" s="375" cm="1">
        <f t="array" ref="V17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7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76" s="237" t="str">
        <f>IFERROR(IF(INDEX(tblSeverityReference[Severidad de la desnutrición],MATCH(tblSeverityAnalysis[[#This Row],[ID]], tblSeverityReference[ID], 0))= "", "",INDEX(tblSeverityReference[Severidad de la desnutrición],MATCH(tblSeverityAnalysis[[#This Row],[ID]], tblSeverityReference[ID], 0)) ), "")</f>
        <v/>
      </c>
      <c r="Y176" s="349" t="str">
        <f>IFERROR(IF(INDEX(tblSeverityReference[Severidad epidémica],MATCH(tblSeverityAnalysis[[#This Row],[ID]], tblSeverityReference[ID], 0))= "", "",INDEX(tblSeverityReference[Severidad epidémica],MATCH(tblSeverityAnalysis[[#This Row],[ID]], tblSeverityReference[ID], 0)) ), "")</f>
        <v/>
      </c>
      <c r="Z17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76" s="391" t="str">
        <f>IFERROR(IF(INDEX(tblSeverityReference[HR/IHL Violation],MATCH(tblSeverityAnalysis[[#This Row],[ID]], tblSeverityReference[ID], 0))= "", "",INDEX(tblSeverityReference[HR/IHL Violation],MATCH(tblSeverityAnalysis[[#This Row],[ID]], tblSeverityReference[ID], 0)) ), "")</f>
        <v/>
      </c>
      <c r="AB176" s="397">
        <f>IFERROR(AVERAGE(tblSeverityAnalysis[[#This Row],[SAMV]:[ASH]]), "")</f>
        <v>2.5</v>
      </c>
      <c r="AC176" s="346">
        <f>IF(SUM(tblSeverityAnalysis[[#This Row],[SAMV]:[ASH]])=0, "", MAX(tblSeverityAnalysis[[#This Row],[SAMV]:[ASH]]))</f>
        <v>3</v>
      </c>
      <c r="AD176" s="261" t="str" cm="1">
        <f t="array" ref="AD176">IFERROR(IF(tblSeverityAnalysis[[#This Row],[Severidad máxima]]="", "", _xlfn.TEXTJOIN(CHAR(10), TRUE, IF(tblSeverityAnalysis[[#This Row],[SAMV]:[ASH]]=tblSeverityAnalysis[[#This Row],[Severidad máxima]], tblSeverityAnalysis[[#Headers],[SAMV]:[ASH]], ""), "")), "")</f>
        <v>SAMV
SAL
EDU
PRO</v>
      </c>
      <c r="AE176" s="346" cm="1">
        <f t="array" ref="AE176">IFERROR(MAX(_xlfn._xlws.FILTER(tblSeverityAnalysis[[#This Row],[SAMV]:[ASH]], tblSeverityAnalysis[[#This Row],[SAMV]:[ASH]]&lt;tblSeverityAnalysis[[#This Row],[Severidad máxima]])), "")</f>
        <v>2</v>
      </c>
      <c r="AF176" s="398" t="str" cm="1">
        <f t="array" ref="AF176">IFERROR(IF(tblSeverityAnalysis[[#This Row],[2ª mayor severidad]]="", "", _xlfn.TEXTJOIN(CHAR(10), TRUE, IF(tblSeverityAnalysis[[#This Row],[SAMV]:[ASH]]=tblSeverityAnalysis[[#This Row],[2ª mayor severidad]], tblSeverityAnalysis[[#Headers],[SAMV]:[ASH]], ""), "")), "")</f>
        <v>ASH</v>
      </c>
      <c r="AG176" s="405" t="str">
        <f>IFERROR(IF(AND(tblSeverityAnalysis[[#This Row],[5]] &lt;&gt; "", tblSeverityAnalysis[[#This Row],[5]]&gt;=sectors_sev_5), "Flagged", ""), "")</f>
        <v/>
      </c>
      <c r="AH176" s="347" t="str">
        <f>IFERROR(IF(AND(tblSeverityAnalysis[[#This Row],[Severidad preliminar basada en la superposición de privaciones sectoriales]]=5, SUM(tblSeverityAnalysis[[#This Row],[ 1 ]:[ 4 ]])&gt;=sectors_sev_5), "Flagged", ""), "")</f>
        <v/>
      </c>
      <c r="AI176" s="348" t="str" cm="1">
        <f t="array" ref="AI17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7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76" s="350"/>
      <c r="AL176" s="351"/>
      <c r="AM176" s="350"/>
      <c r="AN176" s="407">
        <f>COUNTIF(tblSeverityAnalysis[[#This Row],[1 sectores en fase de severidad 5 '[modificar el umbral']]:[Marcador manual]], "Flagged")</f>
        <v>0</v>
      </c>
      <c r="AO176" s="418">
        <f>tblSeverityAnalysis[[#This Row],[Severidad preliminar basada en la superposición de privaciones sectoriales]]</f>
        <v>3</v>
      </c>
      <c r="AP176" s="417"/>
      <c r="AQ176" s="421" t="s">
        <v>876</v>
      </c>
      <c r="AR176" s="417">
        <v>3</v>
      </c>
    </row>
    <row r="177" spans="1:44" hidden="1">
      <c r="A17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VenezolanosVE1421</v>
      </c>
      <c r="B177" s="363" t="s">
        <v>411</v>
      </c>
      <c r="C177" s="323" t="s">
        <v>412</v>
      </c>
      <c r="D177" s="322" t="s">
        <v>205</v>
      </c>
      <c r="E177" s="323" t="s">
        <v>450</v>
      </c>
      <c r="F177" s="323"/>
      <c r="G177" s="324">
        <v>38455</v>
      </c>
      <c r="H177" s="324" t="s">
        <v>102</v>
      </c>
      <c r="I177" s="374">
        <v>3</v>
      </c>
      <c r="J177" s="237">
        <v>2</v>
      </c>
      <c r="K177" s="237">
        <v>3</v>
      </c>
      <c r="L177" s="237">
        <v>3</v>
      </c>
      <c r="M177" s="237">
        <v>3</v>
      </c>
      <c r="N177" s="237">
        <v>2</v>
      </c>
      <c r="O177" s="237">
        <v>3</v>
      </c>
      <c r="P177" s="237">
        <v>3</v>
      </c>
      <c r="Q177" s="382" t="str">
        <f>IF(COUNTIF(tblSeverityAnalysis[[#This Row],[SAMV]:[ASH]], 1)=0, "", COUNTIF(tblSeverityAnalysis[[#This Row],[SAMV]:[ASH]], 1))</f>
        <v/>
      </c>
      <c r="R177" s="325">
        <f>IF(COUNTIF(tblSeverityAnalysis[[#This Row],[SAMV]:[ASH]], 2)=0, "", COUNTIF(tblSeverityAnalysis[[#This Row],[SAMV]:[ASH]], 2))</f>
        <v>2</v>
      </c>
      <c r="S177" s="325">
        <f>IF(COUNTIF(tblSeverityAnalysis[[#This Row],[SAMV]:[ASH]], 3)=0, "", COUNTIF(tblSeverityAnalysis[[#This Row],[SAMV]:[ASH]], 3))</f>
        <v>4</v>
      </c>
      <c r="T177" s="325" t="str">
        <f>IF(COUNTIF(tblSeverityAnalysis[[#This Row],[SAMV]:[ASH]], 4)=0, "", COUNTIF(tblSeverityAnalysis[[#This Row],[SAMV]:[ASH]], 4))</f>
        <v/>
      </c>
      <c r="U177" s="383" t="str">
        <f>IF(COUNTIF(tblSeverityAnalysis[[#This Row],[SAMV]:[ASH]], 5)=0, "", COUNTIF(tblSeverityAnalysis[[#This Row],[SAMV]:[ASH]], 5))</f>
        <v/>
      </c>
      <c r="V177" s="375" cm="1">
        <f t="array" ref="V17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7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77" s="237" t="str">
        <f>IFERROR(IF(INDEX(tblSeverityReference[Severidad de la desnutrición],MATCH(tblSeverityAnalysis[[#This Row],[ID]], tblSeverityReference[ID], 0))= "", "",INDEX(tblSeverityReference[Severidad de la desnutrición],MATCH(tblSeverityAnalysis[[#This Row],[ID]], tblSeverityReference[ID], 0)) ), "")</f>
        <v/>
      </c>
      <c r="Y177" s="349" t="str">
        <f>IFERROR(IF(INDEX(tblSeverityReference[Severidad epidémica],MATCH(tblSeverityAnalysis[[#This Row],[ID]], tblSeverityReference[ID], 0))= "", "",INDEX(tblSeverityReference[Severidad epidémica],MATCH(tblSeverityAnalysis[[#This Row],[ID]], tblSeverityReference[ID], 0)) ), "")</f>
        <v/>
      </c>
      <c r="Z17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77" s="391" t="str">
        <f>IFERROR(IF(INDEX(tblSeverityReference[HR/IHL Violation],MATCH(tblSeverityAnalysis[[#This Row],[ID]], tblSeverityReference[ID], 0))= "", "",INDEX(tblSeverityReference[HR/IHL Violation],MATCH(tblSeverityAnalysis[[#This Row],[ID]], tblSeverityReference[ID], 0)) ), "")</f>
        <v/>
      </c>
      <c r="AB177" s="397">
        <f>IFERROR(AVERAGE(tblSeverityAnalysis[[#This Row],[SAMV]:[ASH]]), "")</f>
        <v>2.6666666666666665</v>
      </c>
      <c r="AC177" s="346">
        <f>IF(SUM(tblSeverityAnalysis[[#This Row],[SAMV]:[ASH]])=0, "", MAX(tblSeverityAnalysis[[#This Row],[SAMV]:[ASH]]))</f>
        <v>3</v>
      </c>
      <c r="AD177" s="261" t="str" cm="1">
        <f t="array" ref="AD177">IFERROR(IF(tblSeverityAnalysis[[#This Row],[Severidad máxima]]="", "", _xlfn.TEXTJOIN(CHAR(10), TRUE, IF(tblSeverityAnalysis[[#This Row],[SAMV]:[ASH]]=tblSeverityAnalysis[[#This Row],[Severidad máxima]], tblSeverityAnalysis[[#Headers],[SAMV]:[ASH]], ""), "")), "")</f>
        <v>SAMV
SAL
EDU
PRO</v>
      </c>
      <c r="AE177" s="346" cm="1">
        <f t="array" ref="AE177">IFERROR(MAX(_xlfn._xlws.FILTER(tblSeverityAnalysis[[#This Row],[SAMV]:[ASH]], tblSeverityAnalysis[[#This Row],[SAMV]:[ASH]]&lt;tblSeverityAnalysis[[#This Row],[Severidad máxima]])), "")</f>
        <v>2</v>
      </c>
      <c r="AF177" s="398" t="str" cm="1">
        <f t="array" ref="AF177">IFERROR(IF(tblSeverityAnalysis[[#This Row],[2ª mayor severidad]]="", "", _xlfn.TEXTJOIN(CHAR(10), TRUE, IF(tblSeverityAnalysis[[#This Row],[SAMV]:[ASH]]=tblSeverityAnalysis[[#This Row],[2ª mayor severidad]], tblSeverityAnalysis[[#Headers],[SAMV]:[ASH]], ""), "")), "")</f>
        <v>NUT
ASH</v>
      </c>
      <c r="AG177" s="405" t="str">
        <f>IFERROR(IF(AND(tblSeverityAnalysis[[#This Row],[5]] &lt;&gt; "", tblSeverityAnalysis[[#This Row],[5]]&gt;=sectors_sev_5), "Flagged", ""), "")</f>
        <v/>
      </c>
      <c r="AH177" s="347" t="str">
        <f>IFERROR(IF(AND(tblSeverityAnalysis[[#This Row],[Severidad preliminar basada en la superposición de privaciones sectoriales]]=5, SUM(tblSeverityAnalysis[[#This Row],[ 1 ]:[ 4 ]])&gt;=sectors_sev_5), "Flagged", ""), "")</f>
        <v/>
      </c>
      <c r="AI177" s="348" t="str" cm="1">
        <f t="array" ref="AI17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7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77" s="350"/>
      <c r="AL177" s="351"/>
      <c r="AM177" s="350"/>
      <c r="AN177" s="407">
        <f>COUNTIF(tblSeverityAnalysis[[#This Row],[1 sectores en fase de severidad 5 '[modificar el umbral']]:[Marcador manual]], "Flagged")</f>
        <v>0</v>
      </c>
      <c r="AO177" s="418">
        <f>tblSeverityAnalysis[[#This Row],[Severidad preliminar basada en la superposición de privaciones sectoriales]]</f>
        <v>3</v>
      </c>
      <c r="AP177" s="417"/>
      <c r="AQ177" s="421" t="s">
        <v>876</v>
      </c>
      <c r="AR177" s="417">
        <v>3</v>
      </c>
    </row>
    <row r="178" spans="1:44" hidden="1">
      <c r="A17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VenezolanosVE1422</v>
      </c>
      <c r="B178" s="363" t="s">
        <v>411</v>
      </c>
      <c r="C178" s="323" t="s">
        <v>412</v>
      </c>
      <c r="D178" s="322" t="s">
        <v>451</v>
      </c>
      <c r="E178" s="323" t="s">
        <v>452</v>
      </c>
      <c r="F178" s="323"/>
      <c r="G178" s="324">
        <v>34030</v>
      </c>
      <c r="H178" s="324" t="s">
        <v>102</v>
      </c>
      <c r="I178" s="374">
        <v>3</v>
      </c>
      <c r="J178" s="237">
        <v>1</v>
      </c>
      <c r="K178" s="237">
        <v>3</v>
      </c>
      <c r="L178" s="237">
        <v>3</v>
      </c>
      <c r="M178" s="237">
        <v>2</v>
      </c>
      <c r="N178" s="237">
        <v>3</v>
      </c>
      <c r="O178" s="237">
        <v>2</v>
      </c>
      <c r="P178" s="237">
        <v>2</v>
      </c>
      <c r="Q178" s="382">
        <f>IF(COUNTIF(tblSeverityAnalysis[[#This Row],[SAMV]:[ASH]], 1)=0, "", COUNTIF(tblSeverityAnalysis[[#This Row],[SAMV]:[ASH]], 1))</f>
        <v>1</v>
      </c>
      <c r="R178" s="325">
        <f>IF(COUNTIF(tblSeverityAnalysis[[#This Row],[SAMV]:[ASH]], 2)=0, "", COUNTIF(tblSeverityAnalysis[[#This Row],[SAMV]:[ASH]], 2))</f>
        <v>1</v>
      </c>
      <c r="S178" s="325">
        <f>IF(COUNTIF(tblSeverityAnalysis[[#This Row],[SAMV]:[ASH]], 3)=0, "", COUNTIF(tblSeverityAnalysis[[#This Row],[SAMV]:[ASH]], 3))</f>
        <v>4</v>
      </c>
      <c r="T178" s="325" t="str">
        <f>IF(COUNTIF(tblSeverityAnalysis[[#This Row],[SAMV]:[ASH]], 4)=0, "", COUNTIF(tblSeverityAnalysis[[#This Row],[SAMV]:[ASH]], 4))</f>
        <v/>
      </c>
      <c r="U178" s="383" t="str">
        <f>IF(COUNTIF(tblSeverityAnalysis[[#This Row],[SAMV]:[ASH]], 5)=0, "", COUNTIF(tblSeverityAnalysis[[#This Row],[SAMV]:[ASH]], 5))</f>
        <v/>
      </c>
      <c r="V178" s="375" cm="1">
        <f t="array" ref="V17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7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78" s="237" t="str">
        <f>IFERROR(IF(INDEX(tblSeverityReference[Severidad de la desnutrición],MATCH(tblSeverityAnalysis[[#This Row],[ID]], tblSeverityReference[ID], 0))= "", "",INDEX(tblSeverityReference[Severidad de la desnutrición],MATCH(tblSeverityAnalysis[[#This Row],[ID]], tblSeverityReference[ID], 0)) ), "")</f>
        <v/>
      </c>
      <c r="Y178" s="349" t="str">
        <f>IFERROR(IF(INDEX(tblSeverityReference[Severidad epidémica],MATCH(tblSeverityAnalysis[[#This Row],[ID]], tblSeverityReference[ID], 0))= "", "",INDEX(tblSeverityReference[Severidad epidémica],MATCH(tblSeverityAnalysis[[#This Row],[ID]], tblSeverityReference[ID], 0)) ), "")</f>
        <v/>
      </c>
      <c r="Z17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78" s="391" t="str">
        <f>IFERROR(IF(INDEX(tblSeverityReference[HR/IHL Violation],MATCH(tblSeverityAnalysis[[#This Row],[ID]], tblSeverityReference[ID], 0))= "", "",INDEX(tblSeverityReference[HR/IHL Violation],MATCH(tblSeverityAnalysis[[#This Row],[ID]], tblSeverityReference[ID], 0)) ), "")</f>
        <v/>
      </c>
      <c r="AB178" s="397">
        <f>IFERROR(AVERAGE(tblSeverityAnalysis[[#This Row],[SAMV]:[ASH]]), "")</f>
        <v>2.5</v>
      </c>
      <c r="AC178" s="346">
        <f>IF(SUM(tblSeverityAnalysis[[#This Row],[SAMV]:[ASH]])=0, "", MAX(tblSeverityAnalysis[[#This Row],[SAMV]:[ASH]]))</f>
        <v>3</v>
      </c>
      <c r="AD178" s="261" t="str" cm="1">
        <f t="array" ref="AD178">IFERROR(IF(tblSeverityAnalysis[[#This Row],[Severidad máxima]]="", "", _xlfn.TEXTJOIN(CHAR(10), TRUE, IF(tblSeverityAnalysis[[#This Row],[SAMV]:[ASH]]=tblSeverityAnalysis[[#This Row],[Severidad máxima]], tblSeverityAnalysis[[#Headers],[SAMV]:[ASH]], ""), "")), "")</f>
        <v>SAMV
SAL
EDU
ASH</v>
      </c>
      <c r="AE178" s="346" cm="1">
        <f t="array" ref="AE178">IFERROR(MAX(_xlfn._xlws.FILTER(tblSeverityAnalysis[[#This Row],[SAMV]:[ASH]], tblSeverityAnalysis[[#This Row],[SAMV]:[ASH]]&lt;tblSeverityAnalysis[[#This Row],[Severidad máxima]])), "")</f>
        <v>2</v>
      </c>
      <c r="AF178" s="398" t="str" cm="1">
        <f t="array" ref="AF178">IFERROR(IF(tblSeverityAnalysis[[#This Row],[2ª mayor severidad]]="", "", _xlfn.TEXTJOIN(CHAR(10), TRUE, IF(tblSeverityAnalysis[[#This Row],[SAMV]:[ASH]]=tblSeverityAnalysis[[#This Row],[2ª mayor severidad]], tblSeverityAnalysis[[#Headers],[SAMV]:[ASH]], ""), "")), "")</f>
        <v>PRO</v>
      </c>
      <c r="AG178" s="405" t="str">
        <f>IFERROR(IF(AND(tblSeverityAnalysis[[#This Row],[5]] &lt;&gt; "", tblSeverityAnalysis[[#This Row],[5]]&gt;=sectors_sev_5), "Flagged", ""), "")</f>
        <v/>
      </c>
      <c r="AH178" s="347" t="str">
        <f>IFERROR(IF(AND(tblSeverityAnalysis[[#This Row],[Severidad preliminar basada en la superposición de privaciones sectoriales]]=5, SUM(tblSeverityAnalysis[[#This Row],[ 1 ]:[ 4 ]])&gt;=sectors_sev_5), "Flagged", ""), "")</f>
        <v/>
      </c>
      <c r="AI178" s="348" t="str" cm="1">
        <f t="array" ref="AI17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7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78" s="350"/>
      <c r="AL178" s="351"/>
      <c r="AM178" s="350"/>
      <c r="AN178" s="407">
        <f>COUNTIF(tblSeverityAnalysis[[#This Row],[1 sectores en fase de severidad 5 '[modificar el umbral']]:[Marcador manual]], "Flagged")</f>
        <v>0</v>
      </c>
      <c r="AO178" s="418">
        <f>tblSeverityAnalysis[[#This Row],[Severidad preliminar basada en la superposición de privaciones sectoriales]]</f>
        <v>3</v>
      </c>
      <c r="AP178" s="417"/>
      <c r="AQ178" s="421" t="s">
        <v>876</v>
      </c>
      <c r="AR178" s="417">
        <v>3</v>
      </c>
    </row>
    <row r="179" spans="1:44" hidden="1">
      <c r="A17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VenezolanosVE1423</v>
      </c>
      <c r="B179" s="363" t="s">
        <v>411</v>
      </c>
      <c r="C179" s="323" t="s">
        <v>412</v>
      </c>
      <c r="D179" s="322" t="s">
        <v>453</v>
      </c>
      <c r="E179" s="323" t="s">
        <v>454</v>
      </c>
      <c r="F179" s="323"/>
      <c r="G179" s="324">
        <v>11162</v>
      </c>
      <c r="H179" s="324" t="s">
        <v>102</v>
      </c>
      <c r="I179" s="374">
        <v>3</v>
      </c>
      <c r="J179" s="237">
        <v>1</v>
      </c>
      <c r="K179" s="237">
        <v>3</v>
      </c>
      <c r="L179" s="237">
        <v>3</v>
      </c>
      <c r="M179" s="237">
        <v>2</v>
      </c>
      <c r="N179" s="237">
        <v>3</v>
      </c>
      <c r="O179" s="237">
        <v>2</v>
      </c>
      <c r="P179" s="237">
        <v>2</v>
      </c>
      <c r="Q179" s="382">
        <f>IF(COUNTIF(tblSeverityAnalysis[[#This Row],[SAMV]:[ASH]], 1)=0, "", COUNTIF(tblSeverityAnalysis[[#This Row],[SAMV]:[ASH]], 1))</f>
        <v>1</v>
      </c>
      <c r="R179" s="325">
        <f>IF(COUNTIF(tblSeverityAnalysis[[#This Row],[SAMV]:[ASH]], 2)=0, "", COUNTIF(tblSeverityAnalysis[[#This Row],[SAMV]:[ASH]], 2))</f>
        <v>1</v>
      </c>
      <c r="S179" s="325">
        <f>IF(COUNTIF(tblSeverityAnalysis[[#This Row],[SAMV]:[ASH]], 3)=0, "", COUNTIF(tblSeverityAnalysis[[#This Row],[SAMV]:[ASH]], 3))</f>
        <v>4</v>
      </c>
      <c r="T179" s="325" t="str">
        <f>IF(COUNTIF(tblSeverityAnalysis[[#This Row],[SAMV]:[ASH]], 4)=0, "", COUNTIF(tblSeverityAnalysis[[#This Row],[SAMV]:[ASH]], 4))</f>
        <v/>
      </c>
      <c r="U179" s="383" t="str">
        <f>IF(COUNTIF(tblSeverityAnalysis[[#This Row],[SAMV]:[ASH]], 5)=0, "", COUNTIF(tblSeverityAnalysis[[#This Row],[SAMV]:[ASH]], 5))</f>
        <v/>
      </c>
      <c r="V179" s="375" cm="1">
        <f t="array" ref="V17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7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79" s="237" t="str">
        <f>IFERROR(IF(INDEX(tblSeverityReference[Severidad de la desnutrición],MATCH(tblSeverityAnalysis[[#This Row],[ID]], tblSeverityReference[ID], 0))= "", "",INDEX(tblSeverityReference[Severidad de la desnutrición],MATCH(tblSeverityAnalysis[[#This Row],[ID]], tblSeverityReference[ID], 0)) ), "")</f>
        <v/>
      </c>
      <c r="Y179" s="349" t="str">
        <f>IFERROR(IF(INDEX(tblSeverityReference[Severidad epidémica],MATCH(tblSeverityAnalysis[[#This Row],[ID]], tblSeverityReference[ID], 0))= "", "",INDEX(tblSeverityReference[Severidad epidémica],MATCH(tblSeverityAnalysis[[#This Row],[ID]], tblSeverityReference[ID], 0)) ), "")</f>
        <v/>
      </c>
      <c r="Z17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79" s="391" t="str">
        <f>IFERROR(IF(INDEX(tblSeverityReference[HR/IHL Violation],MATCH(tblSeverityAnalysis[[#This Row],[ID]], tblSeverityReference[ID], 0))= "", "",INDEX(tblSeverityReference[HR/IHL Violation],MATCH(tblSeverityAnalysis[[#This Row],[ID]], tblSeverityReference[ID], 0)) ), "")</f>
        <v/>
      </c>
      <c r="AB179" s="397">
        <f>IFERROR(AVERAGE(tblSeverityAnalysis[[#This Row],[SAMV]:[ASH]]), "")</f>
        <v>2.5</v>
      </c>
      <c r="AC179" s="346">
        <f>IF(SUM(tblSeverityAnalysis[[#This Row],[SAMV]:[ASH]])=0, "", MAX(tblSeverityAnalysis[[#This Row],[SAMV]:[ASH]]))</f>
        <v>3</v>
      </c>
      <c r="AD179" s="261" t="str" cm="1">
        <f t="array" ref="AD179">IFERROR(IF(tblSeverityAnalysis[[#This Row],[Severidad máxima]]="", "", _xlfn.TEXTJOIN(CHAR(10), TRUE, IF(tblSeverityAnalysis[[#This Row],[SAMV]:[ASH]]=tblSeverityAnalysis[[#This Row],[Severidad máxima]], tblSeverityAnalysis[[#Headers],[SAMV]:[ASH]], ""), "")), "")</f>
        <v>SAMV
SAL
EDU
ASH</v>
      </c>
      <c r="AE179" s="346" cm="1">
        <f t="array" ref="AE179">IFERROR(MAX(_xlfn._xlws.FILTER(tblSeverityAnalysis[[#This Row],[SAMV]:[ASH]], tblSeverityAnalysis[[#This Row],[SAMV]:[ASH]]&lt;tblSeverityAnalysis[[#This Row],[Severidad máxima]])), "")</f>
        <v>2</v>
      </c>
      <c r="AF179" s="398" t="str" cm="1">
        <f t="array" ref="AF179">IFERROR(IF(tblSeverityAnalysis[[#This Row],[2ª mayor severidad]]="", "", _xlfn.TEXTJOIN(CHAR(10), TRUE, IF(tblSeverityAnalysis[[#This Row],[SAMV]:[ASH]]=tblSeverityAnalysis[[#This Row],[2ª mayor severidad]], tblSeverityAnalysis[[#Headers],[SAMV]:[ASH]], ""), "")), "")</f>
        <v>PRO</v>
      </c>
      <c r="AG179" s="405" t="str">
        <f>IFERROR(IF(AND(tblSeverityAnalysis[[#This Row],[5]] &lt;&gt; "", tblSeverityAnalysis[[#This Row],[5]]&gt;=sectors_sev_5), "Flagged", ""), "")</f>
        <v/>
      </c>
      <c r="AH179" s="347" t="str">
        <f>IFERROR(IF(AND(tblSeverityAnalysis[[#This Row],[Severidad preliminar basada en la superposición de privaciones sectoriales]]=5, SUM(tblSeverityAnalysis[[#This Row],[ 1 ]:[ 4 ]])&gt;=sectors_sev_5), "Flagged", ""), "")</f>
        <v/>
      </c>
      <c r="AI179" s="348" t="str" cm="1">
        <f t="array" ref="AI17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7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79" s="350"/>
      <c r="AL179" s="351"/>
      <c r="AM179" s="350"/>
      <c r="AN179" s="407">
        <f>COUNTIF(tblSeverityAnalysis[[#This Row],[1 sectores en fase de severidad 5 '[modificar el umbral']]:[Marcador manual]], "Flagged")</f>
        <v>0</v>
      </c>
      <c r="AO179" s="418">
        <f>tblSeverityAnalysis[[#This Row],[Severidad preliminar basada en la superposición de privaciones sectoriales]]</f>
        <v>3</v>
      </c>
      <c r="AP179" s="417"/>
      <c r="AQ179" s="421" t="s">
        <v>876</v>
      </c>
      <c r="AR179" s="417">
        <v>3</v>
      </c>
    </row>
    <row r="180" spans="1:44" hidden="1">
      <c r="A18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VenezolanosVE1501</v>
      </c>
      <c r="B180" s="363" t="s">
        <v>276</v>
      </c>
      <c r="C180" s="323" t="s">
        <v>455</v>
      </c>
      <c r="D180" s="322" t="s">
        <v>456</v>
      </c>
      <c r="E180" s="323" t="s">
        <v>457</v>
      </c>
      <c r="F180" s="323"/>
      <c r="G180" s="324">
        <v>87371</v>
      </c>
      <c r="H180" s="324" t="s">
        <v>102</v>
      </c>
      <c r="I180" s="374">
        <v>3</v>
      </c>
      <c r="J180" s="237">
        <v>2</v>
      </c>
      <c r="K180" s="237">
        <v>3</v>
      </c>
      <c r="L180" s="237">
        <v>4</v>
      </c>
      <c r="M180" s="237">
        <v>5</v>
      </c>
      <c r="N180" s="237">
        <v>3</v>
      </c>
      <c r="O180" s="237">
        <v>5</v>
      </c>
      <c r="P180" s="237">
        <v>5</v>
      </c>
      <c r="Q180" s="382" t="str">
        <f>IF(COUNTIF(tblSeverityAnalysis[[#This Row],[SAMV]:[ASH]], 1)=0, "", COUNTIF(tblSeverityAnalysis[[#This Row],[SAMV]:[ASH]], 1))</f>
        <v/>
      </c>
      <c r="R180" s="325">
        <f>IF(COUNTIF(tblSeverityAnalysis[[#This Row],[SAMV]:[ASH]], 2)=0, "", COUNTIF(tblSeverityAnalysis[[#This Row],[SAMV]:[ASH]], 2))</f>
        <v>1</v>
      </c>
      <c r="S180" s="325">
        <f>IF(COUNTIF(tblSeverityAnalysis[[#This Row],[SAMV]:[ASH]], 3)=0, "", COUNTIF(tblSeverityAnalysis[[#This Row],[SAMV]:[ASH]], 3))</f>
        <v>3</v>
      </c>
      <c r="T180" s="325">
        <f>IF(COUNTIF(tblSeverityAnalysis[[#This Row],[SAMV]:[ASH]], 4)=0, "", COUNTIF(tblSeverityAnalysis[[#This Row],[SAMV]:[ASH]], 4))</f>
        <v>1</v>
      </c>
      <c r="U180" s="383">
        <f>IF(COUNTIF(tblSeverityAnalysis[[#This Row],[SAMV]:[ASH]], 5)=0, "", COUNTIF(tblSeverityAnalysis[[#This Row],[SAMV]:[ASH]], 5))</f>
        <v>1</v>
      </c>
      <c r="V180" s="376">
        <v>4</v>
      </c>
      <c r="W18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80" s="237" t="str">
        <f>IFERROR(IF(INDEX(tblSeverityReference[Severidad de la desnutrición],MATCH(tblSeverityAnalysis[[#This Row],[ID]], tblSeverityReference[ID], 0))= "", "",INDEX(tblSeverityReference[Severidad de la desnutrición],MATCH(tblSeverityAnalysis[[#This Row],[ID]], tblSeverityReference[ID], 0)) ), "")</f>
        <v/>
      </c>
      <c r="Y180" s="349" t="str">
        <f>IFERROR(IF(INDEX(tblSeverityReference[Severidad epidémica],MATCH(tblSeverityAnalysis[[#This Row],[ID]], tblSeverityReference[ID], 0))= "", "",INDEX(tblSeverityReference[Severidad epidémica],MATCH(tblSeverityAnalysis[[#This Row],[ID]], tblSeverityReference[ID], 0)) ), "")</f>
        <v/>
      </c>
      <c r="Z18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80" s="391" t="str">
        <f>IFERROR(IF(INDEX(tblSeverityReference[HR/IHL Violation],MATCH(tblSeverityAnalysis[[#This Row],[ID]], tblSeverityReference[ID], 0))= "", "",INDEX(tblSeverityReference[HR/IHL Violation],MATCH(tblSeverityAnalysis[[#This Row],[ID]], tblSeverityReference[ID], 0)) ), "")</f>
        <v/>
      </c>
      <c r="AB180" s="397">
        <f>IFERROR(AVERAGE(tblSeverityAnalysis[[#This Row],[SAMV]:[ASH]]), "")</f>
        <v>3.3333333333333335</v>
      </c>
      <c r="AC180" s="346">
        <f>IF(SUM(tblSeverityAnalysis[[#This Row],[SAMV]:[ASH]])=0, "", MAX(tblSeverityAnalysis[[#This Row],[SAMV]:[ASH]]))</f>
        <v>5</v>
      </c>
      <c r="AD180" s="261" t="str" cm="1">
        <f t="array" ref="AD180">IFERROR(IF(tblSeverityAnalysis[[#This Row],[Severidad máxima]]="", "", _xlfn.TEXTJOIN(CHAR(10), TRUE, IF(tblSeverityAnalysis[[#This Row],[SAMV]:[ASH]]=tblSeverityAnalysis[[#This Row],[Severidad máxima]], tblSeverityAnalysis[[#Headers],[SAMV]:[ASH]], ""), "")), "")</f>
        <v>PRO</v>
      </c>
      <c r="AE180" s="346" cm="1">
        <f t="array" ref="AE180">IFERROR(MAX(_xlfn._xlws.FILTER(tblSeverityAnalysis[[#This Row],[SAMV]:[ASH]], tblSeverityAnalysis[[#This Row],[SAMV]:[ASH]]&lt;tblSeverityAnalysis[[#This Row],[Severidad máxima]])), "")</f>
        <v>4</v>
      </c>
      <c r="AF180" s="398" t="str" cm="1">
        <f t="array" ref="AF180">IFERROR(IF(tblSeverityAnalysis[[#This Row],[2ª mayor severidad]]="", "", _xlfn.TEXTJOIN(CHAR(10), TRUE, IF(tblSeverityAnalysis[[#This Row],[SAMV]:[ASH]]=tblSeverityAnalysis[[#This Row],[2ª mayor severidad]], tblSeverityAnalysis[[#Headers],[SAMV]:[ASH]], ""), "")), "")</f>
        <v>EDU</v>
      </c>
      <c r="AG180" s="405" t="str">
        <f>IFERROR(IF(AND(tblSeverityAnalysis[[#This Row],[5]] &lt;&gt; "", tblSeverityAnalysis[[#This Row],[5]]&gt;=sectors_sev_5), "Flagged", ""), "")</f>
        <v/>
      </c>
      <c r="AH180" s="347" t="str">
        <f>IFERROR(IF(AND(tblSeverityAnalysis[[#This Row],[Severidad preliminar basada en la superposición de privaciones sectoriales]]=5, SUM(tblSeverityAnalysis[[#This Row],[ 1 ]:[ 4 ]])&gt;=sectors_sev_5), "Flagged", ""), "")</f>
        <v/>
      </c>
      <c r="AI180" s="348" t="str" cm="1">
        <f t="array" ref="AI18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8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80" s="350"/>
      <c r="AL180" s="351"/>
      <c r="AM180" s="350"/>
      <c r="AN180" s="407">
        <f>COUNTIF(tblSeverityAnalysis[[#This Row],[1 sectores en fase de severidad 5 '[modificar el umbral']]:[Marcador manual]], "Flagged")</f>
        <v>0</v>
      </c>
      <c r="AO180" s="418">
        <f>tblSeverityAnalysis[[#This Row],[Severidad preliminar basada en la superposición de privaciones sectoriales]]</f>
        <v>4</v>
      </c>
      <c r="AP180" s="417" t="s">
        <v>881</v>
      </c>
      <c r="AQ180" s="421" t="s">
        <v>876</v>
      </c>
      <c r="AR180" s="417">
        <v>4</v>
      </c>
    </row>
    <row r="181" spans="1:44" hidden="1">
      <c r="A18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VenezolanosVE1502</v>
      </c>
      <c r="B181" s="363" t="s">
        <v>276</v>
      </c>
      <c r="C181" s="323" t="s">
        <v>455</v>
      </c>
      <c r="D181" s="322" t="s">
        <v>415</v>
      </c>
      <c r="E181" s="323" t="s">
        <v>458</v>
      </c>
      <c r="F181" s="323"/>
      <c r="G181" s="324">
        <v>20981</v>
      </c>
      <c r="H181" s="324" t="s">
        <v>102</v>
      </c>
      <c r="I181" s="374">
        <v>4</v>
      </c>
      <c r="J181" s="237">
        <v>2</v>
      </c>
      <c r="K181" s="237">
        <v>4</v>
      </c>
      <c r="L181" s="237">
        <v>2</v>
      </c>
      <c r="M181" s="237">
        <v>3</v>
      </c>
      <c r="N181" s="237">
        <v>3</v>
      </c>
      <c r="O181" s="237">
        <v>3</v>
      </c>
      <c r="P181" s="237">
        <v>3</v>
      </c>
      <c r="Q181" s="382" t="str">
        <f>IF(COUNTIF(tblSeverityAnalysis[[#This Row],[SAMV]:[ASH]], 1)=0, "", COUNTIF(tblSeverityAnalysis[[#This Row],[SAMV]:[ASH]], 1))</f>
        <v/>
      </c>
      <c r="R181" s="325">
        <f>IF(COUNTIF(tblSeverityAnalysis[[#This Row],[SAMV]:[ASH]], 2)=0, "", COUNTIF(tblSeverityAnalysis[[#This Row],[SAMV]:[ASH]], 2))</f>
        <v>2</v>
      </c>
      <c r="S181" s="325">
        <f>IF(COUNTIF(tblSeverityAnalysis[[#This Row],[SAMV]:[ASH]], 3)=0, "", COUNTIF(tblSeverityAnalysis[[#This Row],[SAMV]:[ASH]], 3))</f>
        <v>2</v>
      </c>
      <c r="T181" s="325">
        <f>IF(COUNTIF(tblSeverityAnalysis[[#This Row],[SAMV]:[ASH]], 4)=0, "", COUNTIF(tblSeverityAnalysis[[#This Row],[SAMV]:[ASH]], 4))</f>
        <v>2</v>
      </c>
      <c r="U181" s="383" t="str">
        <f>IF(COUNTIF(tblSeverityAnalysis[[#This Row],[SAMV]:[ASH]], 5)=0, "", COUNTIF(tblSeverityAnalysis[[#This Row],[SAMV]:[ASH]], 5))</f>
        <v/>
      </c>
      <c r="V181" s="375" cm="1">
        <f t="array" ref="V18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8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81" s="237" t="str">
        <f>IFERROR(IF(INDEX(tblSeverityReference[Severidad de la desnutrición],MATCH(tblSeverityAnalysis[[#This Row],[ID]], tblSeverityReference[ID], 0))= "", "",INDEX(tblSeverityReference[Severidad de la desnutrición],MATCH(tblSeverityAnalysis[[#This Row],[ID]], tblSeverityReference[ID], 0)) ), "")</f>
        <v/>
      </c>
      <c r="Y181" s="349" t="str">
        <f>IFERROR(IF(INDEX(tblSeverityReference[Severidad epidémica],MATCH(tblSeverityAnalysis[[#This Row],[ID]], tblSeverityReference[ID], 0))= "", "",INDEX(tblSeverityReference[Severidad epidémica],MATCH(tblSeverityAnalysis[[#This Row],[ID]], tblSeverityReference[ID], 0)) ), "")</f>
        <v/>
      </c>
      <c r="Z18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81" s="391" t="str">
        <f>IFERROR(IF(INDEX(tblSeverityReference[HR/IHL Violation],MATCH(tblSeverityAnalysis[[#This Row],[ID]], tblSeverityReference[ID], 0))= "", "",INDEX(tblSeverityReference[HR/IHL Violation],MATCH(tblSeverityAnalysis[[#This Row],[ID]], tblSeverityReference[ID], 0)) ), "")</f>
        <v/>
      </c>
      <c r="AB181" s="397">
        <f>IFERROR(AVERAGE(tblSeverityAnalysis[[#This Row],[SAMV]:[ASH]]), "")</f>
        <v>3</v>
      </c>
      <c r="AC181" s="346">
        <f>IF(SUM(tblSeverityAnalysis[[#This Row],[SAMV]:[ASH]])=0, "", MAX(tblSeverityAnalysis[[#This Row],[SAMV]:[ASH]]))</f>
        <v>4</v>
      </c>
      <c r="AD181" s="261" t="str" cm="1">
        <f t="array" ref="AD181">IFERROR(IF(tblSeverityAnalysis[[#This Row],[Severidad máxima]]="", "", _xlfn.TEXTJOIN(CHAR(10), TRUE, IF(tblSeverityAnalysis[[#This Row],[SAMV]:[ASH]]=tblSeverityAnalysis[[#This Row],[Severidad máxima]], tblSeverityAnalysis[[#Headers],[SAMV]:[ASH]], ""), "")), "")</f>
        <v>SAMV
SAL</v>
      </c>
      <c r="AE181" s="346" cm="1">
        <f t="array" ref="AE181">IFERROR(MAX(_xlfn._xlws.FILTER(tblSeverityAnalysis[[#This Row],[SAMV]:[ASH]], tblSeverityAnalysis[[#This Row],[SAMV]:[ASH]]&lt;tblSeverityAnalysis[[#This Row],[Severidad máxima]])), "")</f>
        <v>3</v>
      </c>
      <c r="AF181" s="398" t="str" cm="1">
        <f t="array" ref="AF181">IFERROR(IF(tblSeverityAnalysis[[#This Row],[2ª mayor severidad]]="", "", _xlfn.TEXTJOIN(CHAR(10), TRUE, IF(tblSeverityAnalysis[[#This Row],[SAMV]:[ASH]]=tblSeverityAnalysis[[#This Row],[2ª mayor severidad]], tblSeverityAnalysis[[#Headers],[SAMV]:[ASH]], ""), "")), "")</f>
        <v>PRO
ASH</v>
      </c>
      <c r="AG181" s="405" t="str">
        <f>IFERROR(IF(AND(tblSeverityAnalysis[[#This Row],[5]] &lt;&gt; "", tblSeverityAnalysis[[#This Row],[5]]&gt;=sectors_sev_5), "Flagged", ""), "")</f>
        <v/>
      </c>
      <c r="AH181" s="347" t="str">
        <f>IFERROR(IF(AND(tblSeverityAnalysis[[#This Row],[Severidad preliminar basada en la superposición de privaciones sectoriales]]=5, SUM(tblSeverityAnalysis[[#This Row],[ 1 ]:[ 4 ]])&gt;=sectors_sev_5), "Flagged", ""), "")</f>
        <v/>
      </c>
      <c r="AI181" s="348" t="str" cm="1">
        <f t="array" ref="AI18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8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81" s="350"/>
      <c r="AL181" s="351"/>
      <c r="AM181" s="350"/>
      <c r="AN181" s="407">
        <f>COUNTIF(tblSeverityAnalysis[[#This Row],[1 sectores en fase de severidad 5 '[modificar el umbral']]:[Marcador manual]], "Flagged")</f>
        <v>0</v>
      </c>
      <c r="AO181" s="418">
        <f>tblSeverityAnalysis[[#This Row],[Severidad preliminar basada en la superposición de privaciones sectoriales]]</f>
        <v>3</v>
      </c>
      <c r="AP181" s="417"/>
      <c r="AQ181" s="421" t="s">
        <v>876</v>
      </c>
      <c r="AR181" s="417">
        <v>3</v>
      </c>
    </row>
    <row r="182" spans="1:44" hidden="1">
      <c r="A18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VenezolanosVE1503</v>
      </c>
      <c r="B182" s="363" t="s">
        <v>276</v>
      </c>
      <c r="C182" s="323" t="s">
        <v>455</v>
      </c>
      <c r="D182" s="322" t="s">
        <v>459</v>
      </c>
      <c r="E182" s="323" t="s">
        <v>460</v>
      </c>
      <c r="F182" s="323"/>
      <c r="G182" s="324">
        <v>240755</v>
      </c>
      <c r="H182" s="324" t="s">
        <v>102</v>
      </c>
      <c r="I182" s="374">
        <v>2</v>
      </c>
      <c r="J182" s="237">
        <v>1</v>
      </c>
      <c r="K182" s="237">
        <v>3</v>
      </c>
      <c r="L182" s="237">
        <v>3</v>
      </c>
      <c r="M182" s="237">
        <v>3</v>
      </c>
      <c r="N182" s="237">
        <v>3</v>
      </c>
      <c r="O182" s="237">
        <v>3</v>
      </c>
      <c r="P182" s="237">
        <v>3</v>
      </c>
      <c r="Q182" s="382">
        <f>IF(COUNTIF(tblSeverityAnalysis[[#This Row],[SAMV]:[ASH]], 1)=0, "", COUNTIF(tblSeverityAnalysis[[#This Row],[SAMV]:[ASH]], 1))</f>
        <v>1</v>
      </c>
      <c r="R182" s="325">
        <f>IF(COUNTIF(tblSeverityAnalysis[[#This Row],[SAMV]:[ASH]], 2)=0, "", COUNTIF(tblSeverityAnalysis[[#This Row],[SAMV]:[ASH]], 2))</f>
        <v>1</v>
      </c>
      <c r="S182" s="325">
        <f>IF(COUNTIF(tblSeverityAnalysis[[#This Row],[SAMV]:[ASH]], 3)=0, "", COUNTIF(tblSeverityAnalysis[[#This Row],[SAMV]:[ASH]], 3))</f>
        <v>4</v>
      </c>
      <c r="T182" s="325" t="str">
        <f>IF(COUNTIF(tblSeverityAnalysis[[#This Row],[SAMV]:[ASH]], 4)=0, "", COUNTIF(tblSeverityAnalysis[[#This Row],[SAMV]:[ASH]], 4))</f>
        <v/>
      </c>
      <c r="U182" s="383" t="str">
        <f>IF(COUNTIF(tblSeverityAnalysis[[#This Row],[SAMV]:[ASH]], 5)=0, "", COUNTIF(tblSeverityAnalysis[[#This Row],[SAMV]:[ASH]], 5))</f>
        <v/>
      </c>
      <c r="V182" s="375" cm="1">
        <f t="array" ref="V18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8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82" s="237" t="str">
        <f>IFERROR(IF(INDEX(tblSeverityReference[Severidad de la desnutrición],MATCH(tblSeverityAnalysis[[#This Row],[ID]], tblSeverityReference[ID], 0))= "", "",INDEX(tblSeverityReference[Severidad de la desnutrición],MATCH(tblSeverityAnalysis[[#This Row],[ID]], tblSeverityReference[ID], 0)) ), "")</f>
        <v/>
      </c>
      <c r="Y182" s="349" t="str">
        <f>IFERROR(IF(INDEX(tblSeverityReference[Severidad epidémica],MATCH(tblSeverityAnalysis[[#This Row],[ID]], tblSeverityReference[ID], 0))= "", "",INDEX(tblSeverityReference[Severidad epidémica],MATCH(tblSeverityAnalysis[[#This Row],[ID]], tblSeverityReference[ID], 0)) ), "")</f>
        <v/>
      </c>
      <c r="Z18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82" s="391" t="str">
        <f>IFERROR(IF(INDEX(tblSeverityReference[HR/IHL Violation],MATCH(tblSeverityAnalysis[[#This Row],[ID]], tblSeverityReference[ID], 0))= "", "",INDEX(tblSeverityReference[HR/IHL Violation],MATCH(tblSeverityAnalysis[[#This Row],[ID]], tblSeverityReference[ID], 0)) ), "")</f>
        <v/>
      </c>
      <c r="AB182" s="397">
        <f>IFERROR(AVERAGE(tblSeverityAnalysis[[#This Row],[SAMV]:[ASH]]), "")</f>
        <v>2.5</v>
      </c>
      <c r="AC182" s="346">
        <f>IF(SUM(tblSeverityAnalysis[[#This Row],[SAMV]:[ASH]])=0, "", MAX(tblSeverityAnalysis[[#This Row],[SAMV]:[ASH]]))</f>
        <v>3</v>
      </c>
      <c r="AD182" s="261" t="str" cm="1">
        <f t="array" ref="AD182">IFERROR(IF(tblSeverityAnalysis[[#This Row],[Severidad máxima]]="", "", _xlfn.TEXTJOIN(CHAR(10), TRUE, IF(tblSeverityAnalysis[[#This Row],[SAMV]:[ASH]]=tblSeverityAnalysis[[#This Row],[Severidad máxima]], tblSeverityAnalysis[[#Headers],[SAMV]:[ASH]], ""), "")), "")</f>
        <v>SAL
EDU
PRO
ASH</v>
      </c>
      <c r="AE182" s="346" cm="1">
        <f t="array" ref="AE182">IFERROR(MAX(_xlfn._xlws.FILTER(tblSeverityAnalysis[[#This Row],[SAMV]:[ASH]], tblSeverityAnalysis[[#This Row],[SAMV]:[ASH]]&lt;tblSeverityAnalysis[[#This Row],[Severidad máxima]])), "")</f>
        <v>2</v>
      </c>
      <c r="AF182" s="398" t="str" cm="1">
        <f t="array" ref="AF182">IFERROR(IF(tblSeverityAnalysis[[#This Row],[2ª mayor severidad]]="", "", _xlfn.TEXTJOIN(CHAR(10), TRUE, IF(tblSeverityAnalysis[[#This Row],[SAMV]:[ASH]]=tblSeverityAnalysis[[#This Row],[2ª mayor severidad]], tblSeverityAnalysis[[#Headers],[SAMV]:[ASH]], ""), "")), "")</f>
        <v>SAMV</v>
      </c>
      <c r="AG182" s="405" t="str">
        <f>IFERROR(IF(AND(tblSeverityAnalysis[[#This Row],[5]] &lt;&gt; "", tblSeverityAnalysis[[#This Row],[5]]&gt;=sectors_sev_5), "Flagged", ""), "")</f>
        <v/>
      </c>
      <c r="AH182" s="347" t="str">
        <f>IFERROR(IF(AND(tblSeverityAnalysis[[#This Row],[Severidad preliminar basada en la superposición de privaciones sectoriales]]=5, SUM(tblSeverityAnalysis[[#This Row],[ 1 ]:[ 4 ]])&gt;=sectors_sev_5), "Flagged", ""), "")</f>
        <v/>
      </c>
      <c r="AI182" s="348" t="str" cm="1">
        <f t="array" ref="AI18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8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82" s="350"/>
      <c r="AL182" s="351"/>
      <c r="AM182" s="350"/>
      <c r="AN182" s="407">
        <f>COUNTIF(tblSeverityAnalysis[[#This Row],[1 sectores en fase de severidad 5 '[modificar el umbral']]:[Marcador manual]], "Flagged")</f>
        <v>0</v>
      </c>
      <c r="AO182" s="418">
        <f>tblSeverityAnalysis[[#This Row],[Severidad preliminar basada en la superposición de privaciones sectoriales]]</f>
        <v>3</v>
      </c>
      <c r="AP182" s="417"/>
      <c r="AQ182" s="421" t="s">
        <v>876</v>
      </c>
      <c r="AR182" s="417">
        <v>3</v>
      </c>
    </row>
    <row r="183" spans="1:44" hidden="1">
      <c r="A18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VenezolanosVE1504</v>
      </c>
      <c r="B183" s="363" t="s">
        <v>276</v>
      </c>
      <c r="C183" s="323" t="s">
        <v>455</v>
      </c>
      <c r="D183" s="322" t="s">
        <v>461</v>
      </c>
      <c r="E183" s="323" t="s">
        <v>462</v>
      </c>
      <c r="F183" s="323"/>
      <c r="G183" s="324">
        <v>58940</v>
      </c>
      <c r="H183" s="324" t="s">
        <v>102</v>
      </c>
      <c r="I183" s="374">
        <v>3</v>
      </c>
      <c r="J183" s="237">
        <v>2</v>
      </c>
      <c r="K183" s="237">
        <v>4</v>
      </c>
      <c r="L183" s="237">
        <v>3</v>
      </c>
      <c r="M183" s="237">
        <v>4</v>
      </c>
      <c r="N183" s="237">
        <v>2</v>
      </c>
      <c r="O183" s="237">
        <v>4</v>
      </c>
      <c r="P183" s="237">
        <v>4</v>
      </c>
      <c r="Q183" s="382" t="str">
        <f>IF(COUNTIF(tblSeverityAnalysis[[#This Row],[SAMV]:[ASH]], 1)=0, "", COUNTIF(tblSeverityAnalysis[[#This Row],[SAMV]:[ASH]], 1))</f>
        <v/>
      </c>
      <c r="R183" s="325">
        <f>IF(COUNTIF(tblSeverityAnalysis[[#This Row],[SAMV]:[ASH]], 2)=0, "", COUNTIF(tblSeverityAnalysis[[#This Row],[SAMV]:[ASH]], 2))</f>
        <v>2</v>
      </c>
      <c r="S183" s="325">
        <f>IF(COUNTIF(tblSeverityAnalysis[[#This Row],[SAMV]:[ASH]], 3)=0, "", COUNTIF(tblSeverityAnalysis[[#This Row],[SAMV]:[ASH]], 3))</f>
        <v>2</v>
      </c>
      <c r="T183" s="325">
        <f>IF(COUNTIF(tblSeverityAnalysis[[#This Row],[SAMV]:[ASH]], 4)=0, "", COUNTIF(tblSeverityAnalysis[[#This Row],[SAMV]:[ASH]], 4))</f>
        <v>2</v>
      </c>
      <c r="U183" s="383" t="str">
        <f>IF(COUNTIF(tblSeverityAnalysis[[#This Row],[SAMV]:[ASH]], 5)=0, "", COUNTIF(tblSeverityAnalysis[[#This Row],[SAMV]:[ASH]], 5))</f>
        <v/>
      </c>
      <c r="V183" s="375" cm="1">
        <f t="array" ref="V18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8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83" s="237" t="str">
        <f>IFERROR(IF(INDEX(tblSeverityReference[Severidad de la desnutrición],MATCH(tblSeverityAnalysis[[#This Row],[ID]], tblSeverityReference[ID], 0))= "", "",INDEX(tblSeverityReference[Severidad de la desnutrición],MATCH(tblSeverityAnalysis[[#This Row],[ID]], tblSeverityReference[ID], 0)) ), "")</f>
        <v/>
      </c>
      <c r="Y183" s="349" t="str">
        <f>IFERROR(IF(INDEX(tblSeverityReference[Severidad epidémica],MATCH(tblSeverityAnalysis[[#This Row],[ID]], tblSeverityReference[ID], 0))= "", "",INDEX(tblSeverityReference[Severidad epidémica],MATCH(tblSeverityAnalysis[[#This Row],[ID]], tblSeverityReference[ID], 0)) ), "")</f>
        <v/>
      </c>
      <c r="Z18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83" s="391" t="str">
        <f>IFERROR(IF(INDEX(tblSeverityReference[HR/IHL Violation],MATCH(tblSeverityAnalysis[[#This Row],[ID]], tblSeverityReference[ID], 0))= "", "",INDEX(tblSeverityReference[HR/IHL Violation],MATCH(tblSeverityAnalysis[[#This Row],[ID]], tblSeverityReference[ID], 0)) ), "")</f>
        <v/>
      </c>
      <c r="AB183" s="397">
        <f>IFERROR(AVERAGE(tblSeverityAnalysis[[#This Row],[SAMV]:[ASH]]), "")</f>
        <v>3</v>
      </c>
      <c r="AC183" s="346">
        <f>IF(SUM(tblSeverityAnalysis[[#This Row],[SAMV]:[ASH]])=0, "", MAX(tblSeverityAnalysis[[#This Row],[SAMV]:[ASH]]))</f>
        <v>4</v>
      </c>
      <c r="AD183" s="261" t="str" cm="1">
        <f t="array" ref="AD183">IFERROR(IF(tblSeverityAnalysis[[#This Row],[Severidad máxima]]="", "", _xlfn.TEXTJOIN(CHAR(10), TRUE, IF(tblSeverityAnalysis[[#This Row],[SAMV]:[ASH]]=tblSeverityAnalysis[[#This Row],[Severidad máxima]], tblSeverityAnalysis[[#Headers],[SAMV]:[ASH]], ""), "")), "")</f>
        <v>SAL
PRO</v>
      </c>
      <c r="AE183" s="346" cm="1">
        <f t="array" ref="AE183">IFERROR(MAX(_xlfn._xlws.FILTER(tblSeverityAnalysis[[#This Row],[SAMV]:[ASH]], tblSeverityAnalysis[[#This Row],[SAMV]:[ASH]]&lt;tblSeverityAnalysis[[#This Row],[Severidad máxima]])), "")</f>
        <v>3</v>
      </c>
      <c r="AF183" s="398" t="str" cm="1">
        <f t="array" ref="AF183">IFERROR(IF(tblSeverityAnalysis[[#This Row],[2ª mayor severidad]]="", "", _xlfn.TEXTJOIN(CHAR(10), TRUE, IF(tblSeverityAnalysis[[#This Row],[SAMV]:[ASH]]=tblSeverityAnalysis[[#This Row],[2ª mayor severidad]], tblSeverityAnalysis[[#Headers],[SAMV]:[ASH]], ""), "")), "")</f>
        <v>SAMV
EDU</v>
      </c>
      <c r="AG183" s="405" t="str">
        <f>IFERROR(IF(AND(tblSeverityAnalysis[[#This Row],[5]] &lt;&gt; "", tblSeverityAnalysis[[#This Row],[5]]&gt;=sectors_sev_5), "Flagged", ""), "")</f>
        <v/>
      </c>
      <c r="AH183" s="347" t="str">
        <f>IFERROR(IF(AND(tblSeverityAnalysis[[#This Row],[Severidad preliminar basada en la superposición de privaciones sectoriales]]=5, SUM(tblSeverityAnalysis[[#This Row],[ 1 ]:[ 4 ]])&gt;=sectors_sev_5), "Flagged", ""), "")</f>
        <v/>
      </c>
      <c r="AI183" s="348" t="str" cm="1">
        <f t="array" ref="AI18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8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83" s="350"/>
      <c r="AL183" s="351"/>
      <c r="AM183" s="350"/>
      <c r="AN183" s="407">
        <f>COUNTIF(tblSeverityAnalysis[[#This Row],[1 sectores en fase de severidad 5 '[modificar el umbral']]:[Marcador manual]], "Flagged")</f>
        <v>0</v>
      </c>
      <c r="AO183" s="418">
        <f>tblSeverityAnalysis[[#This Row],[Severidad preliminar basada en la superposición de privaciones sectoriales]]</f>
        <v>3</v>
      </c>
      <c r="AP183" s="417"/>
      <c r="AQ183" s="421" t="s">
        <v>875</v>
      </c>
      <c r="AR183" s="417">
        <v>3</v>
      </c>
    </row>
    <row r="184" spans="1:44" hidden="1">
      <c r="A18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VenezolanosVE1505</v>
      </c>
      <c r="B184" s="363" t="s">
        <v>276</v>
      </c>
      <c r="C184" s="323" t="s">
        <v>455</v>
      </c>
      <c r="D184" s="322" t="s">
        <v>463</v>
      </c>
      <c r="E184" s="323" t="s">
        <v>464</v>
      </c>
      <c r="F184" s="323"/>
      <c r="G184" s="324">
        <v>27515</v>
      </c>
      <c r="H184" s="324" t="s">
        <v>102</v>
      </c>
      <c r="I184" s="374">
        <v>4</v>
      </c>
      <c r="J184" s="237">
        <v>3</v>
      </c>
      <c r="K184" s="237">
        <v>4</v>
      </c>
      <c r="L184" s="237">
        <v>3</v>
      </c>
      <c r="M184" s="237">
        <v>4</v>
      </c>
      <c r="N184" s="237">
        <v>3</v>
      </c>
      <c r="O184" s="237">
        <v>4</v>
      </c>
      <c r="P184" s="237">
        <v>4</v>
      </c>
      <c r="Q184" s="382" t="str">
        <f>IF(COUNTIF(tblSeverityAnalysis[[#This Row],[SAMV]:[ASH]], 1)=0, "", COUNTIF(tblSeverityAnalysis[[#This Row],[SAMV]:[ASH]], 1))</f>
        <v/>
      </c>
      <c r="R184" s="325" t="str">
        <f>IF(COUNTIF(tblSeverityAnalysis[[#This Row],[SAMV]:[ASH]], 2)=0, "", COUNTIF(tblSeverityAnalysis[[#This Row],[SAMV]:[ASH]], 2))</f>
        <v/>
      </c>
      <c r="S184" s="325">
        <f>IF(COUNTIF(tblSeverityAnalysis[[#This Row],[SAMV]:[ASH]], 3)=0, "", COUNTIF(tblSeverityAnalysis[[#This Row],[SAMV]:[ASH]], 3))</f>
        <v>3</v>
      </c>
      <c r="T184" s="325">
        <f>IF(COUNTIF(tblSeverityAnalysis[[#This Row],[SAMV]:[ASH]], 4)=0, "", COUNTIF(tblSeverityAnalysis[[#This Row],[SAMV]:[ASH]], 4))</f>
        <v>3</v>
      </c>
      <c r="U184" s="383" t="str">
        <f>IF(COUNTIF(tblSeverityAnalysis[[#This Row],[SAMV]:[ASH]], 5)=0, "", COUNTIF(tblSeverityAnalysis[[#This Row],[SAMV]:[ASH]], 5))</f>
        <v/>
      </c>
      <c r="V184" s="375" cm="1">
        <f t="array" ref="V18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8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84" s="237" t="str">
        <f>IFERROR(IF(INDEX(tblSeverityReference[Severidad de la desnutrición],MATCH(tblSeverityAnalysis[[#This Row],[ID]], tblSeverityReference[ID], 0))= "", "",INDEX(tblSeverityReference[Severidad de la desnutrición],MATCH(tblSeverityAnalysis[[#This Row],[ID]], tblSeverityReference[ID], 0)) ), "")</f>
        <v/>
      </c>
      <c r="Y184" s="349" t="str">
        <f>IFERROR(IF(INDEX(tblSeverityReference[Severidad epidémica],MATCH(tblSeverityAnalysis[[#This Row],[ID]], tblSeverityReference[ID], 0))= "", "",INDEX(tblSeverityReference[Severidad epidémica],MATCH(tblSeverityAnalysis[[#This Row],[ID]], tblSeverityReference[ID], 0)) ), "")</f>
        <v/>
      </c>
      <c r="Z18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84" s="391" t="str">
        <f>IFERROR(IF(INDEX(tblSeverityReference[HR/IHL Violation],MATCH(tblSeverityAnalysis[[#This Row],[ID]], tblSeverityReference[ID], 0))= "", "",INDEX(tblSeverityReference[HR/IHL Violation],MATCH(tblSeverityAnalysis[[#This Row],[ID]], tblSeverityReference[ID], 0)) ), "")</f>
        <v/>
      </c>
      <c r="AB184" s="397">
        <f>IFERROR(AVERAGE(tblSeverityAnalysis[[#This Row],[SAMV]:[ASH]]), "")</f>
        <v>3.5</v>
      </c>
      <c r="AC184" s="346">
        <f>IF(SUM(tblSeverityAnalysis[[#This Row],[SAMV]:[ASH]])=0, "", MAX(tblSeverityAnalysis[[#This Row],[SAMV]:[ASH]]))</f>
        <v>4</v>
      </c>
      <c r="AD184" s="261" t="str" cm="1">
        <f t="array" ref="AD184">IFERROR(IF(tblSeverityAnalysis[[#This Row],[Severidad máxima]]="", "", _xlfn.TEXTJOIN(CHAR(10), TRUE, IF(tblSeverityAnalysis[[#This Row],[SAMV]:[ASH]]=tblSeverityAnalysis[[#This Row],[Severidad máxima]], tblSeverityAnalysis[[#Headers],[SAMV]:[ASH]], ""), "")), "")</f>
        <v>SAMV
SAL
PRO</v>
      </c>
      <c r="AE184" s="346" cm="1">
        <f t="array" ref="AE184">IFERROR(MAX(_xlfn._xlws.FILTER(tblSeverityAnalysis[[#This Row],[SAMV]:[ASH]], tblSeverityAnalysis[[#This Row],[SAMV]:[ASH]]&lt;tblSeverityAnalysis[[#This Row],[Severidad máxima]])), "")</f>
        <v>3</v>
      </c>
      <c r="AF184" s="398" t="str" cm="1">
        <f t="array" ref="AF184">IFERROR(IF(tblSeverityAnalysis[[#This Row],[2ª mayor severidad]]="", "", _xlfn.TEXTJOIN(CHAR(10), TRUE, IF(tblSeverityAnalysis[[#This Row],[SAMV]:[ASH]]=tblSeverityAnalysis[[#This Row],[2ª mayor severidad]], tblSeverityAnalysis[[#Headers],[SAMV]:[ASH]], ""), "")), "")</f>
        <v>NUT
EDU
ASH</v>
      </c>
      <c r="AG184" s="405" t="str">
        <f>IFERROR(IF(AND(tblSeverityAnalysis[[#This Row],[5]] &lt;&gt; "", tblSeverityAnalysis[[#This Row],[5]]&gt;=sectors_sev_5), "Flagged", ""), "")</f>
        <v/>
      </c>
      <c r="AH184" s="347" t="str">
        <f>IFERROR(IF(AND(tblSeverityAnalysis[[#This Row],[Severidad preliminar basada en la superposición de privaciones sectoriales]]=5, SUM(tblSeverityAnalysis[[#This Row],[ 1 ]:[ 4 ]])&gt;=sectors_sev_5), "Flagged", ""), "")</f>
        <v/>
      </c>
      <c r="AI184" s="348" t="str" cm="1">
        <f t="array" ref="AI18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8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84" s="350"/>
      <c r="AL184" s="351"/>
      <c r="AM184" s="350"/>
      <c r="AN184" s="407">
        <f>COUNTIF(tblSeverityAnalysis[[#This Row],[1 sectores en fase de severidad 5 '[modificar el umbral']]:[Marcador manual]], "Flagged")</f>
        <v>0</v>
      </c>
      <c r="AO184" s="418">
        <f>tblSeverityAnalysis[[#This Row],[Severidad preliminar basada en la superposición de privaciones sectoriales]]</f>
        <v>3</v>
      </c>
      <c r="AP184" s="417"/>
      <c r="AQ184" s="421" t="s">
        <v>876</v>
      </c>
      <c r="AR184" s="417">
        <v>3</v>
      </c>
    </row>
    <row r="185" spans="1:44" hidden="1">
      <c r="A18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VenezolanosVE1506</v>
      </c>
      <c r="B185" s="363" t="s">
        <v>276</v>
      </c>
      <c r="C185" s="323" t="s">
        <v>455</v>
      </c>
      <c r="D185" s="322" t="s">
        <v>465</v>
      </c>
      <c r="E185" s="323" t="s">
        <v>466</v>
      </c>
      <c r="F185" s="323"/>
      <c r="G185" s="324">
        <v>51712</v>
      </c>
      <c r="H185" s="324" t="s">
        <v>102</v>
      </c>
      <c r="I185" s="374">
        <v>1</v>
      </c>
      <c r="J185" s="237">
        <v>1</v>
      </c>
      <c r="K185" s="237">
        <v>3</v>
      </c>
      <c r="L185" s="237">
        <v>3</v>
      </c>
      <c r="M185" s="237">
        <v>4</v>
      </c>
      <c r="N185" s="237">
        <v>3</v>
      </c>
      <c r="O185" s="237">
        <v>4</v>
      </c>
      <c r="P185" s="237">
        <v>4</v>
      </c>
      <c r="Q185" s="382">
        <f>IF(COUNTIF(tblSeverityAnalysis[[#This Row],[SAMV]:[ASH]], 1)=0, "", COUNTIF(tblSeverityAnalysis[[#This Row],[SAMV]:[ASH]], 1))</f>
        <v>2</v>
      </c>
      <c r="R185" s="325" t="str">
        <f>IF(COUNTIF(tblSeverityAnalysis[[#This Row],[SAMV]:[ASH]], 2)=0, "", COUNTIF(tblSeverityAnalysis[[#This Row],[SAMV]:[ASH]], 2))</f>
        <v/>
      </c>
      <c r="S185" s="325">
        <f>IF(COUNTIF(tblSeverityAnalysis[[#This Row],[SAMV]:[ASH]], 3)=0, "", COUNTIF(tblSeverityAnalysis[[#This Row],[SAMV]:[ASH]], 3))</f>
        <v>3</v>
      </c>
      <c r="T185" s="325">
        <f>IF(COUNTIF(tblSeverityAnalysis[[#This Row],[SAMV]:[ASH]], 4)=0, "", COUNTIF(tblSeverityAnalysis[[#This Row],[SAMV]:[ASH]], 4))</f>
        <v>1</v>
      </c>
      <c r="U185" s="383" t="str">
        <f>IF(COUNTIF(tblSeverityAnalysis[[#This Row],[SAMV]:[ASH]], 5)=0, "", COUNTIF(tblSeverityAnalysis[[#This Row],[SAMV]:[ASH]], 5))</f>
        <v/>
      </c>
      <c r="V185" s="375" cm="1">
        <f t="array" ref="V18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8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85" s="237" t="str">
        <f>IFERROR(IF(INDEX(tblSeverityReference[Severidad de la desnutrición],MATCH(tblSeverityAnalysis[[#This Row],[ID]], tblSeverityReference[ID], 0))= "", "",INDEX(tblSeverityReference[Severidad de la desnutrición],MATCH(tblSeverityAnalysis[[#This Row],[ID]], tblSeverityReference[ID], 0)) ), "")</f>
        <v/>
      </c>
      <c r="Y185" s="349" t="str">
        <f>IFERROR(IF(INDEX(tblSeverityReference[Severidad epidémica],MATCH(tblSeverityAnalysis[[#This Row],[ID]], tblSeverityReference[ID], 0))= "", "",INDEX(tblSeverityReference[Severidad epidémica],MATCH(tblSeverityAnalysis[[#This Row],[ID]], tblSeverityReference[ID], 0)) ), "")</f>
        <v/>
      </c>
      <c r="Z18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85" s="391" t="str">
        <f>IFERROR(IF(INDEX(tblSeverityReference[HR/IHL Violation],MATCH(tblSeverityAnalysis[[#This Row],[ID]], tblSeverityReference[ID], 0))= "", "",INDEX(tblSeverityReference[HR/IHL Violation],MATCH(tblSeverityAnalysis[[#This Row],[ID]], tblSeverityReference[ID], 0)) ), "")</f>
        <v/>
      </c>
      <c r="AB185" s="397">
        <f>IFERROR(AVERAGE(tblSeverityAnalysis[[#This Row],[SAMV]:[ASH]]), "")</f>
        <v>2.5</v>
      </c>
      <c r="AC185" s="346">
        <f>IF(SUM(tblSeverityAnalysis[[#This Row],[SAMV]:[ASH]])=0, "", MAX(tblSeverityAnalysis[[#This Row],[SAMV]:[ASH]]))</f>
        <v>4</v>
      </c>
      <c r="AD185" s="261" t="str" cm="1">
        <f t="array" ref="AD185">IFERROR(IF(tblSeverityAnalysis[[#This Row],[Severidad máxima]]="", "", _xlfn.TEXTJOIN(CHAR(10), TRUE, IF(tblSeverityAnalysis[[#This Row],[SAMV]:[ASH]]=tblSeverityAnalysis[[#This Row],[Severidad máxima]], tblSeverityAnalysis[[#Headers],[SAMV]:[ASH]], ""), "")), "")</f>
        <v>PRO</v>
      </c>
      <c r="AE185" s="346" cm="1">
        <f t="array" ref="AE185">IFERROR(MAX(_xlfn._xlws.FILTER(tblSeverityAnalysis[[#This Row],[SAMV]:[ASH]], tblSeverityAnalysis[[#This Row],[SAMV]:[ASH]]&lt;tblSeverityAnalysis[[#This Row],[Severidad máxima]])), "")</f>
        <v>3</v>
      </c>
      <c r="AF185" s="398" t="str" cm="1">
        <f t="array" ref="AF185">IFERROR(IF(tblSeverityAnalysis[[#This Row],[2ª mayor severidad]]="", "", _xlfn.TEXTJOIN(CHAR(10), TRUE, IF(tblSeverityAnalysis[[#This Row],[SAMV]:[ASH]]=tblSeverityAnalysis[[#This Row],[2ª mayor severidad]], tblSeverityAnalysis[[#Headers],[SAMV]:[ASH]], ""), "")), "")</f>
        <v>SAL
EDU
ASH</v>
      </c>
      <c r="AG185" s="405" t="str">
        <f>IFERROR(IF(AND(tblSeverityAnalysis[[#This Row],[5]] &lt;&gt; "", tblSeverityAnalysis[[#This Row],[5]]&gt;=sectors_sev_5), "Flagged", ""), "")</f>
        <v/>
      </c>
      <c r="AH185" s="347" t="str">
        <f>IFERROR(IF(AND(tblSeverityAnalysis[[#This Row],[Severidad preliminar basada en la superposición de privaciones sectoriales]]=5, SUM(tblSeverityAnalysis[[#This Row],[ 1 ]:[ 4 ]])&gt;=sectors_sev_5), "Flagged", ""), "")</f>
        <v/>
      </c>
      <c r="AI185" s="348" t="str" cm="1">
        <f t="array" ref="AI18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8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85" s="350"/>
      <c r="AL185" s="351"/>
      <c r="AM185" s="350"/>
      <c r="AN185" s="407">
        <f>COUNTIF(tblSeverityAnalysis[[#This Row],[1 sectores en fase de severidad 5 '[modificar el umbral']]:[Marcador manual]], "Flagged")</f>
        <v>0</v>
      </c>
      <c r="AO185" s="418">
        <f>tblSeverityAnalysis[[#This Row],[Severidad preliminar basada en la superposición de privaciones sectoriales]]</f>
        <v>3</v>
      </c>
      <c r="AP185" s="417"/>
      <c r="AQ185" s="421" t="s">
        <v>876</v>
      </c>
      <c r="AR185" s="417">
        <v>3</v>
      </c>
    </row>
    <row r="186" spans="1:44" hidden="1">
      <c r="A18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VenezolanosVE1507</v>
      </c>
      <c r="B186" s="363" t="s">
        <v>276</v>
      </c>
      <c r="C186" s="323" t="s">
        <v>455</v>
      </c>
      <c r="D186" s="322" t="s">
        <v>467</v>
      </c>
      <c r="E186" s="323" t="s">
        <v>468</v>
      </c>
      <c r="F186" s="323"/>
      <c r="G186" s="324">
        <v>61213</v>
      </c>
      <c r="H186" s="324" t="s">
        <v>102</v>
      </c>
      <c r="I186" s="374">
        <v>3</v>
      </c>
      <c r="J186" s="237">
        <v>1</v>
      </c>
      <c r="K186" s="237">
        <v>3</v>
      </c>
      <c r="L186" s="237">
        <v>3</v>
      </c>
      <c r="M186" s="237">
        <v>3</v>
      </c>
      <c r="N186" s="237">
        <v>2</v>
      </c>
      <c r="O186" s="237">
        <v>3</v>
      </c>
      <c r="P186" s="237">
        <v>3</v>
      </c>
      <c r="Q186" s="382">
        <f>IF(COUNTIF(tblSeverityAnalysis[[#This Row],[SAMV]:[ASH]], 1)=0, "", COUNTIF(tblSeverityAnalysis[[#This Row],[SAMV]:[ASH]], 1))</f>
        <v>1</v>
      </c>
      <c r="R186" s="325">
        <f>IF(COUNTIF(tblSeverityAnalysis[[#This Row],[SAMV]:[ASH]], 2)=0, "", COUNTIF(tblSeverityAnalysis[[#This Row],[SAMV]:[ASH]], 2))</f>
        <v>1</v>
      </c>
      <c r="S186" s="325">
        <f>IF(COUNTIF(tblSeverityAnalysis[[#This Row],[SAMV]:[ASH]], 3)=0, "", COUNTIF(tblSeverityAnalysis[[#This Row],[SAMV]:[ASH]], 3))</f>
        <v>4</v>
      </c>
      <c r="T186" s="325" t="str">
        <f>IF(COUNTIF(tblSeverityAnalysis[[#This Row],[SAMV]:[ASH]], 4)=0, "", COUNTIF(tblSeverityAnalysis[[#This Row],[SAMV]:[ASH]], 4))</f>
        <v/>
      </c>
      <c r="U186" s="383" t="str">
        <f>IF(COUNTIF(tblSeverityAnalysis[[#This Row],[SAMV]:[ASH]], 5)=0, "", COUNTIF(tblSeverityAnalysis[[#This Row],[SAMV]:[ASH]], 5))</f>
        <v/>
      </c>
      <c r="V186" s="375" cm="1">
        <f t="array" ref="V18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8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86" s="237" t="str">
        <f>IFERROR(IF(INDEX(tblSeverityReference[Severidad de la desnutrición],MATCH(tblSeverityAnalysis[[#This Row],[ID]], tblSeverityReference[ID], 0))= "", "",INDEX(tblSeverityReference[Severidad de la desnutrición],MATCH(tblSeverityAnalysis[[#This Row],[ID]], tblSeverityReference[ID], 0)) ), "")</f>
        <v/>
      </c>
      <c r="Y186" s="349" t="str">
        <f>IFERROR(IF(INDEX(tblSeverityReference[Severidad epidémica],MATCH(tblSeverityAnalysis[[#This Row],[ID]], tblSeverityReference[ID], 0))= "", "",INDEX(tblSeverityReference[Severidad epidémica],MATCH(tblSeverityAnalysis[[#This Row],[ID]], tblSeverityReference[ID], 0)) ), "")</f>
        <v/>
      </c>
      <c r="Z18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86" s="391" t="str">
        <f>IFERROR(IF(INDEX(tblSeverityReference[HR/IHL Violation],MATCH(tblSeverityAnalysis[[#This Row],[ID]], tblSeverityReference[ID], 0))= "", "",INDEX(tblSeverityReference[HR/IHL Violation],MATCH(tblSeverityAnalysis[[#This Row],[ID]], tblSeverityReference[ID], 0)) ), "")</f>
        <v/>
      </c>
      <c r="AB186" s="397">
        <f>IFERROR(AVERAGE(tblSeverityAnalysis[[#This Row],[SAMV]:[ASH]]), "")</f>
        <v>2.5</v>
      </c>
      <c r="AC186" s="346">
        <f>IF(SUM(tblSeverityAnalysis[[#This Row],[SAMV]:[ASH]])=0, "", MAX(tblSeverityAnalysis[[#This Row],[SAMV]:[ASH]]))</f>
        <v>3</v>
      </c>
      <c r="AD186" s="261" t="str" cm="1">
        <f t="array" ref="AD186">IFERROR(IF(tblSeverityAnalysis[[#This Row],[Severidad máxima]]="", "", _xlfn.TEXTJOIN(CHAR(10), TRUE, IF(tblSeverityAnalysis[[#This Row],[SAMV]:[ASH]]=tblSeverityAnalysis[[#This Row],[Severidad máxima]], tblSeverityAnalysis[[#Headers],[SAMV]:[ASH]], ""), "")), "")</f>
        <v>SAMV
SAL
EDU
PRO</v>
      </c>
      <c r="AE186" s="346" cm="1">
        <f t="array" ref="AE186">IFERROR(MAX(_xlfn._xlws.FILTER(tblSeverityAnalysis[[#This Row],[SAMV]:[ASH]], tblSeverityAnalysis[[#This Row],[SAMV]:[ASH]]&lt;tblSeverityAnalysis[[#This Row],[Severidad máxima]])), "")</f>
        <v>2</v>
      </c>
      <c r="AF186" s="398" t="str" cm="1">
        <f t="array" ref="AF186">IFERROR(IF(tblSeverityAnalysis[[#This Row],[2ª mayor severidad]]="", "", _xlfn.TEXTJOIN(CHAR(10), TRUE, IF(tblSeverityAnalysis[[#This Row],[SAMV]:[ASH]]=tblSeverityAnalysis[[#This Row],[2ª mayor severidad]], tblSeverityAnalysis[[#Headers],[SAMV]:[ASH]], ""), "")), "")</f>
        <v>ASH</v>
      </c>
      <c r="AG186" s="405" t="str">
        <f>IFERROR(IF(AND(tblSeverityAnalysis[[#This Row],[5]] &lt;&gt; "", tblSeverityAnalysis[[#This Row],[5]]&gt;=sectors_sev_5), "Flagged", ""), "")</f>
        <v/>
      </c>
      <c r="AH186" s="347" t="str">
        <f>IFERROR(IF(AND(tblSeverityAnalysis[[#This Row],[Severidad preliminar basada en la superposición de privaciones sectoriales]]=5, SUM(tblSeverityAnalysis[[#This Row],[ 1 ]:[ 4 ]])&gt;=sectors_sev_5), "Flagged", ""), "")</f>
        <v/>
      </c>
      <c r="AI186" s="348" t="str" cm="1">
        <f t="array" ref="AI18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8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86" s="350"/>
      <c r="AL186" s="351"/>
      <c r="AM186" s="350"/>
      <c r="AN186" s="407">
        <f>COUNTIF(tblSeverityAnalysis[[#This Row],[1 sectores en fase de severidad 5 '[modificar el umbral']]:[Marcador manual]], "Flagged")</f>
        <v>0</v>
      </c>
      <c r="AO186" s="418">
        <f>tblSeverityAnalysis[[#This Row],[Severidad preliminar basada en la superposición de privaciones sectoriales]]</f>
        <v>3</v>
      </c>
      <c r="AP186" s="417"/>
      <c r="AQ186" s="421" t="s">
        <v>876</v>
      </c>
      <c r="AR186" s="417">
        <v>3</v>
      </c>
    </row>
    <row r="187" spans="1:44" hidden="1">
      <c r="A18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VenezolanosVE1508</v>
      </c>
      <c r="B187" s="363" t="s">
        <v>276</v>
      </c>
      <c r="C187" s="323" t="s">
        <v>455</v>
      </c>
      <c r="D187" s="322" t="s">
        <v>469</v>
      </c>
      <c r="E187" s="323" t="s">
        <v>470</v>
      </c>
      <c r="F187" s="323"/>
      <c r="G187" s="324">
        <v>117888</v>
      </c>
      <c r="H187" s="324" t="s">
        <v>102</v>
      </c>
      <c r="I187" s="374">
        <v>3</v>
      </c>
      <c r="J187" s="237">
        <v>2</v>
      </c>
      <c r="K187" s="237">
        <v>3</v>
      </c>
      <c r="L187" s="237">
        <v>3</v>
      </c>
      <c r="M187" s="237">
        <v>4</v>
      </c>
      <c r="N187" s="237">
        <v>2</v>
      </c>
      <c r="O187" s="237">
        <v>4</v>
      </c>
      <c r="P187" s="237">
        <v>4</v>
      </c>
      <c r="Q187" s="382" t="str">
        <f>IF(COUNTIF(tblSeverityAnalysis[[#This Row],[SAMV]:[ASH]], 1)=0, "", COUNTIF(tblSeverityAnalysis[[#This Row],[SAMV]:[ASH]], 1))</f>
        <v/>
      </c>
      <c r="R187" s="325">
        <f>IF(COUNTIF(tblSeverityAnalysis[[#This Row],[SAMV]:[ASH]], 2)=0, "", COUNTIF(tblSeverityAnalysis[[#This Row],[SAMV]:[ASH]], 2))</f>
        <v>2</v>
      </c>
      <c r="S187" s="325">
        <f>IF(COUNTIF(tblSeverityAnalysis[[#This Row],[SAMV]:[ASH]], 3)=0, "", COUNTIF(tblSeverityAnalysis[[#This Row],[SAMV]:[ASH]], 3))</f>
        <v>3</v>
      </c>
      <c r="T187" s="325">
        <f>IF(COUNTIF(tblSeverityAnalysis[[#This Row],[SAMV]:[ASH]], 4)=0, "", COUNTIF(tblSeverityAnalysis[[#This Row],[SAMV]:[ASH]], 4))</f>
        <v>1</v>
      </c>
      <c r="U187" s="383" t="str">
        <f>IF(COUNTIF(tblSeverityAnalysis[[#This Row],[SAMV]:[ASH]], 5)=0, "", COUNTIF(tblSeverityAnalysis[[#This Row],[SAMV]:[ASH]], 5))</f>
        <v/>
      </c>
      <c r="V187" s="375" cm="1">
        <f t="array" ref="V18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8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87" s="237" t="str">
        <f>IFERROR(IF(INDEX(tblSeverityReference[Severidad de la desnutrición],MATCH(tblSeverityAnalysis[[#This Row],[ID]], tblSeverityReference[ID], 0))= "", "",INDEX(tblSeverityReference[Severidad de la desnutrición],MATCH(tblSeverityAnalysis[[#This Row],[ID]], tblSeverityReference[ID], 0)) ), "")</f>
        <v/>
      </c>
      <c r="Y187" s="349" t="str">
        <f>IFERROR(IF(INDEX(tblSeverityReference[Severidad epidémica],MATCH(tblSeverityAnalysis[[#This Row],[ID]], tblSeverityReference[ID], 0))= "", "",INDEX(tblSeverityReference[Severidad epidémica],MATCH(tblSeverityAnalysis[[#This Row],[ID]], tblSeverityReference[ID], 0)) ), "")</f>
        <v/>
      </c>
      <c r="Z18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87" s="391" t="str">
        <f>IFERROR(IF(INDEX(tblSeverityReference[HR/IHL Violation],MATCH(tblSeverityAnalysis[[#This Row],[ID]], tblSeverityReference[ID], 0))= "", "",INDEX(tblSeverityReference[HR/IHL Violation],MATCH(tblSeverityAnalysis[[#This Row],[ID]], tblSeverityReference[ID], 0)) ), "")</f>
        <v/>
      </c>
      <c r="AB187" s="397">
        <f>IFERROR(AVERAGE(tblSeverityAnalysis[[#This Row],[SAMV]:[ASH]]), "")</f>
        <v>2.8333333333333335</v>
      </c>
      <c r="AC187" s="346">
        <f>IF(SUM(tblSeverityAnalysis[[#This Row],[SAMV]:[ASH]])=0, "", MAX(tblSeverityAnalysis[[#This Row],[SAMV]:[ASH]]))</f>
        <v>4</v>
      </c>
      <c r="AD187" s="261" t="str" cm="1">
        <f t="array" ref="AD187">IFERROR(IF(tblSeverityAnalysis[[#This Row],[Severidad máxima]]="", "", _xlfn.TEXTJOIN(CHAR(10), TRUE, IF(tblSeverityAnalysis[[#This Row],[SAMV]:[ASH]]=tblSeverityAnalysis[[#This Row],[Severidad máxima]], tblSeverityAnalysis[[#Headers],[SAMV]:[ASH]], ""), "")), "")</f>
        <v>PRO</v>
      </c>
      <c r="AE187" s="346" cm="1">
        <f t="array" ref="AE187">IFERROR(MAX(_xlfn._xlws.FILTER(tblSeverityAnalysis[[#This Row],[SAMV]:[ASH]], tblSeverityAnalysis[[#This Row],[SAMV]:[ASH]]&lt;tblSeverityAnalysis[[#This Row],[Severidad máxima]])), "")</f>
        <v>3</v>
      </c>
      <c r="AF187" s="398" t="str" cm="1">
        <f t="array" ref="AF187">IFERROR(IF(tblSeverityAnalysis[[#This Row],[2ª mayor severidad]]="", "", _xlfn.TEXTJOIN(CHAR(10), TRUE, IF(tblSeverityAnalysis[[#This Row],[SAMV]:[ASH]]=tblSeverityAnalysis[[#This Row],[2ª mayor severidad]], tblSeverityAnalysis[[#Headers],[SAMV]:[ASH]], ""), "")), "")</f>
        <v>SAMV
SAL
EDU</v>
      </c>
      <c r="AG187" s="405" t="str">
        <f>IFERROR(IF(AND(tblSeverityAnalysis[[#This Row],[5]] &lt;&gt; "", tblSeverityAnalysis[[#This Row],[5]]&gt;=sectors_sev_5), "Flagged", ""), "")</f>
        <v/>
      </c>
      <c r="AH187" s="347" t="str">
        <f>IFERROR(IF(AND(tblSeverityAnalysis[[#This Row],[Severidad preliminar basada en la superposición de privaciones sectoriales]]=5, SUM(tblSeverityAnalysis[[#This Row],[ 1 ]:[ 4 ]])&gt;=sectors_sev_5), "Flagged", ""), "")</f>
        <v/>
      </c>
      <c r="AI187" s="348" t="str" cm="1">
        <f t="array" ref="AI18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8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87" s="350"/>
      <c r="AL187" s="351"/>
      <c r="AM187" s="350"/>
      <c r="AN187" s="407">
        <f>COUNTIF(tblSeverityAnalysis[[#This Row],[1 sectores en fase de severidad 5 '[modificar el umbral']]:[Marcador manual]], "Flagged")</f>
        <v>0</v>
      </c>
      <c r="AO187" s="418">
        <f>tblSeverityAnalysis[[#This Row],[Severidad preliminar basada en la superposición de privaciones sectoriales]]</f>
        <v>3</v>
      </c>
      <c r="AP187" s="417"/>
      <c r="AQ187" s="421" t="s">
        <v>876</v>
      </c>
      <c r="AR187" s="417">
        <v>3</v>
      </c>
    </row>
    <row r="188" spans="1:44" hidden="1">
      <c r="A18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VenezolanosVE1509</v>
      </c>
      <c r="B188" s="363" t="s">
        <v>276</v>
      </c>
      <c r="C188" s="323" t="s">
        <v>455</v>
      </c>
      <c r="D188" s="322" t="s">
        <v>471</v>
      </c>
      <c r="E188" s="323" t="s">
        <v>472</v>
      </c>
      <c r="F188" s="323"/>
      <c r="G188" s="324">
        <v>58156</v>
      </c>
      <c r="H188" s="324" t="s">
        <v>102</v>
      </c>
      <c r="I188" s="374">
        <v>2</v>
      </c>
      <c r="J188" s="237">
        <v>1</v>
      </c>
      <c r="K188" s="237">
        <v>3</v>
      </c>
      <c r="L188" s="237">
        <v>3</v>
      </c>
      <c r="M188" s="237">
        <v>3</v>
      </c>
      <c r="N188" s="237">
        <v>3</v>
      </c>
      <c r="O188" s="237">
        <v>3</v>
      </c>
      <c r="P188" s="237">
        <v>3</v>
      </c>
      <c r="Q188" s="382">
        <f>IF(COUNTIF(tblSeverityAnalysis[[#This Row],[SAMV]:[ASH]], 1)=0, "", COUNTIF(tblSeverityAnalysis[[#This Row],[SAMV]:[ASH]], 1))</f>
        <v>1</v>
      </c>
      <c r="R188" s="325">
        <f>IF(COUNTIF(tblSeverityAnalysis[[#This Row],[SAMV]:[ASH]], 2)=0, "", COUNTIF(tblSeverityAnalysis[[#This Row],[SAMV]:[ASH]], 2))</f>
        <v>1</v>
      </c>
      <c r="S188" s="325">
        <f>IF(COUNTIF(tblSeverityAnalysis[[#This Row],[SAMV]:[ASH]], 3)=0, "", COUNTIF(tblSeverityAnalysis[[#This Row],[SAMV]:[ASH]], 3))</f>
        <v>4</v>
      </c>
      <c r="T188" s="325" t="str">
        <f>IF(COUNTIF(tblSeverityAnalysis[[#This Row],[SAMV]:[ASH]], 4)=0, "", COUNTIF(tblSeverityAnalysis[[#This Row],[SAMV]:[ASH]], 4))</f>
        <v/>
      </c>
      <c r="U188" s="383" t="str">
        <f>IF(COUNTIF(tblSeverityAnalysis[[#This Row],[SAMV]:[ASH]], 5)=0, "", COUNTIF(tblSeverityAnalysis[[#This Row],[SAMV]:[ASH]], 5))</f>
        <v/>
      </c>
      <c r="V188" s="375" cm="1">
        <f t="array" ref="V18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8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88" s="237" t="str">
        <f>IFERROR(IF(INDEX(tblSeverityReference[Severidad de la desnutrición],MATCH(tblSeverityAnalysis[[#This Row],[ID]], tblSeverityReference[ID], 0))= "", "",INDEX(tblSeverityReference[Severidad de la desnutrición],MATCH(tblSeverityAnalysis[[#This Row],[ID]], tblSeverityReference[ID], 0)) ), "")</f>
        <v/>
      </c>
      <c r="Y188" s="349" t="str">
        <f>IFERROR(IF(INDEX(tblSeverityReference[Severidad epidémica],MATCH(tblSeverityAnalysis[[#This Row],[ID]], tblSeverityReference[ID], 0))= "", "",INDEX(tblSeverityReference[Severidad epidémica],MATCH(tblSeverityAnalysis[[#This Row],[ID]], tblSeverityReference[ID], 0)) ), "")</f>
        <v/>
      </c>
      <c r="Z18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88" s="391" t="str">
        <f>IFERROR(IF(INDEX(tblSeverityReference[HR/IHL Violation],MATCH(tblSeverityAnalysis[[#This Row],[ID]], tblSeverityReference[ID], 0))= "", "",INDEX(tblSeverityReference[HR/IHL Violation],MATCH(tblSeverityAnalysis[[#This Row],[ID]], tblSeverityReference[ID], 0)) ), "")</f>
        <v/>
      </c>
      <c r="AB188" s="397">
        <f>IFERROR(AVERAGE(tblSeverityAnalysis[[#This Row],[SAMV]:[ASH]]), "")</f>
        <v>2.5</v>
      </c>
      <c r="AC188" s="346">
        <f>IF(SUM(tblSeverityAnalysis[[#This Row],[SAMV]:[ASH]])=0, "", MAX(tblSeverityAnalysis[[#This Row],[SAMV]:[ASH]]))</f>
        <v>3</v>
      </c>
      <c r="AD188" s="261" t="str" cm="1">
        <f t="array" ref="AD188">IFERROR(IF(tblSeverityAnalysis[[#This Row],[Severidad máxima]]="", "", _xlfn.TEXTJOIN(CHAR(10), TRUE, IF(tblSeverityAnalysis[[#This Row],[SAMV]:[ASH]]=tblSeverityAnalysis[[#This Row],[Severidad máxima]], tblSeverityAnalysis[[#Headers],[SAMV]:[ASH]], ""), "")), "")</f>
        <v>SAL
EDU
PRO
ASH</v>
      </c>
      <c r="AE188" s="346" cm="1">
        <f t="array" ref="AE188">IFERROR(MAX(_xlfn._xlws.FILTER(tblSeverityAnalysis[[#This Row],[SAMV]:[ASH]], tblSeverityAnalysis[[#This Row],[SAMV]:[ASH]]&lt;tblSeverityAnalysis[[#This Row],[Severidad máxima]])), "")</f>
        <v>2</v>
      </c>
      <c r="AF188" s="398" t="str" cm="1">
        <f t="array" ref="AF188">IFERROR(IF(tblSeverityAnalysis[[#This Row],[2ª mayor severidad]]="", "", _xlfn.TEXTJOIN(CHAR(10), TRUE, IF(tblSeverityAnalysis[[#This Row],[SAMV]:[ASH]]=tblSeverityAnalysis[[#This Row],[2ª mayor severidad]], tblSeverityAnalysis[[#Headers],[SAMV]:[ASH]], ""), "")), "")</f>
        <v>SAMV</v>
      </c>
      <c r="AG188" s="405" t="str">
        <f>IFERROR(IF(AND(tblSeverityAnalysis[[#This Row],[5]] &lt;&gt; "", tblSeverityAnalysis[[#This Row],[5]]&gt;=sectors_sev_5), "Flagged", ""), "")</f>
        <v/>
      </c>
      <c r="AH188" s="347" t="str">
        <f>IFERROR(IF(AND(tblSeverityAnalysis[[#This Row],[Severidad preliminar basada en la superposición de privaciones sectoriales]]=5, SUM(tblSeverityAnalysis[[#This Row],[ 1 ]:[ 4 ]])&gt;=sectors_sev_5), "Flagged", ""), "")</f>
        <v/>
      </c>
      <c r="AI188" s="348" t="str" cm="1">
        <f t="array" ref="AI18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8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88" s="350"/>
      <c r="AL188" s="351"/>
      <c r="AM188" s="350"/>
      <c r="AN188" s="407">
        <f>COUNTIF(tblSeverityAnalysis[[#This Row],[1 sectores en fase de severidad 5 '[modificar el umbral']]:[Marcador manual]], "Flagged")</f>
        <v>0</v>
      </c>
      <c r="AO188" s="418">
        <f>tblSeverityAnalysis[[#This Row],[Severidad preliminar basada en la superposición de privaciones sectoriales]]</f>
        <v>3</v>
      </c>
      <c r="AP188" s="417"/>
      <c r="AQ188" s="421" t="s">
        <v>876</v>
      </c>
      <c r="AR188" s="417">
        <v>3</v>
      </c>
    </row>
    <row r="189" spans="1:44" hidden="1">
      <c r="A18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VenezolanosVE1510</v>
      </c>
      <c r="B189" s="363" t="s">
        <v>276</v>
      </c>
      <c r="C189" s="323" t="s">
        <v>455</v>
      </c>
      <c r="D189" s="322" t="s">
        <v>473</v>
      </c>
      <c r="E189" s="323" t="s">
        <v>474</v>
      </c>
      <c r="F189" s="323"/>
      <c r="G189" s="324">
        <v>252242</v>
      </c>
      <c r="H189" s="324" t="s">
        <v>102</v>
      </c>
      <c r="I189" s="374">
        <v>3</v>
      </c>
      <c r="J189" s="237">
        <v>2</v>
      </c>
      <c r="K189" s="237">
        <v>3</v>
      </c>
      <c r="L189" s="237">
        <v>3</v>
      </c>
      <c r="M189" s="237">
        <v>4</v>
      </c>
      <c r="N189" s="237">
        <v>4</v>
      </c>
      <c r="O189" s="237">
        <v>4</v>
      </c>
      <c r="P189" s="237">
        <v>4</v>
      </c>
      <c r="Q189" s="382" t="str">
        <f>IF(COUNTIF(tblSeverityAnalysis[[#This Row],[SAMV]:[ASH]], 1)=0, "", COUNTIF(tblSeverityAnalysis[[#This Row],[SAMV]:[ASH]], 1))</f>
        <v/>
      </c>
      <c r="R189" s="325">
        <f>IF(COUNTIF(tblSeverityAnalysis[[#This Row],[SAMV]:[ASH]], 2)=0, "", COUNTIF(tblSeverityAnalysis[[#This Row],[SAMV]:[ASH]], 2))</f>
        <v>1</v>
      </c>
      <c r="S189" s="325">
        <f>IF(COUNTIF(tblSeverityAnalysis[[#This Row],[SAMV]:[ASH]], 3)=0, "", COUNTIF(tblSeverityAnalysis[[#This Row],[SAMV]:[ASH]], 3))</f>
        <v>3</v>
      </c>
      <c r="T189" s="325">
        <f>IF(COUNTIF(tblSeverityAnalysis[[#This Row],[SAMV]:[ASH]], 4)=0, "", COUNTIF(tblSeverityAnalysis[[#This Row],[SAMV]:[ASH]], 4))</f>
        <v>2</v>
      </c>
      <c r="U189" s="383" t="str">
        <f>IF(COUNTIF(tblSeverityAnalysis[[#This Row],[SAMV]:[ASH]], 5)=0, "", COUNTIF(tblSeverityAnalysis[[#This Row],[SAMV]:[ASH]], 5))</f>
        <v/>
      </c>
      <c r="V189" s="375" cm="1">
        <f t="array" ref="V18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8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89" s="237" t="str">
        <f>IFERROR(IF(INDEX(tblSeverityReference[Severidad de la desnutrición],MATCH(tblSeverityAnalysis[[#This Row],[ID]], tblSeverityReference[ID], 0))= "", "",INDEX(tblSeverityReference[Severidad de la desnutrición],MATCH(tblSeverityAnalysis[[#This Row],[ID]], tblSeverityReference[ID], 0)) ), "")</f>
        <v/>
      </c>
      <c r="Y189" s="349" t="str">
        <f>IFERROR(IF(INDEX(tblSeverityReference[Severidad epidémica],MATCH(tblSeverityAnalysis[[#This Row],[ID]], tblSeverityReference[ID], 0))= "", "",INDEX(tblSeverityReference[Severidad epidémica],MATCH(tblSeverityAnalysis[[#This Row],[ID]], tblSeverityReference[ID], 0)) ), "")</f>
        <v/>
      </c>
      <c r="Z18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89" s="391" t="str">
        <f>IFERROR(IF(INDEX(tblSeverityReference[HR/IHL Violation],MATCH(tblSeverityAnalysis[[#This Row],[ID]], tblSeverityReference[ID], 0))= "", "",INDEX(tblSeverityReference[HR/IHL Violation],MATCH(tblSeverityAnalysis[[#This Row],[ID]], tblSeverityReference[ID], 0)) ), "")</f>
        <v/>
      </c>
      <c r="AB189" s="397">
        <f>IFERROR(AVERAGE(tblSeverityAnalysis[[#This Row],[SAMV]:[ASH]]), "")</f>
        <v>3.1666666666666665</v>
      </c>
      <c r="AC189" s="346">
        <f>IF(SUM(tblSeverityAnalysis[[#This Row],[SAMV]:[ASH]])=0, "", MAX(tblSeverityAnalysis[[#This Row],[SAMV]:[ASH]]))</f>
        <v>4</v>
      </c>
      <c r="AD189" s="261" t="str" cm="1">
        <f t="array" ref="AD189">IFERROR(IF(tblSeverityAnalysis[[#This Row],[Severidad máxima]]="", "", _xlfn.TEXTJOIN(CHAR(10), TRUE, IF(tblSeverityAnalysis[[#This Row],[SAMV]:[ASH]]=tblSeverityAnalysis[[#This Row],[Severidad máxima]], tblSeverityAnalysis[[#Headers],[SAMV]:[ASH]], ""), "")), "")</f>
        <v>PRO
ASH</v>
      </c>
      <c r="AE189" s="346" cm="1">
        <f t="array" ref="AE189">IFERROR(MAX(_xlfn._xlws.FILTER(tblSeverityAnalysis[[#This Row],[SAMV]:[ASH]], tblSeverityAnalysis[[#This Row],[SAMV]:[ASH]]&lt;tblSeverityAnalysis[[#This Row],[Severidad máxima]])), "")</f>
        <v>3</v>
      </c>
      <c r="AF189" s="398" t="str" cm="1">
        <f t="array" ref="AF189">IFERROR(IF(tblSeverityAnalysis[[#This Row],[2ª mayor severidad]]="", "", _xlfn.TEXTJOIN(CHAR(10), TRUE, IF(tblSeverityAnalysis[[#This Row],[SAMV]:[ASH]]=tblSeverityAnalysis[[#This Row],[2ª mayor severidad]], tblSeverityAnalysis[[#Headers],[SAMV]:[ASH]], ""), "")), "")</f>
        <v>SAMV
SAL
EDU</v>
      </c>
      <c r="AG189" s="405" t="str">
        <f>IFERROR(IF(AND(tblSeverityAnalysis[[#This Row],[5]] &lt;&gt; "", tblSeverityAnalysis[[#This Row],[5]]&gt;=sectors_sev_5), "Flagged", ""), "")</f>
        <v/>
      </c>
      <c r="AH189" s="347" t="str">
        <f>IFERROR(IF(AND(tblSeverityAnalysis[[#This Row],[Severidad preliminar basada en la superposición de privaciones sectoriales]]=5, SUM(tblSeverityAnalysis[[#This Row],[ 1 ]:[ 4 ]])&gt;=sectors_sev_5), "Flagged", ""), "")</f>
        <v/>
      </c>
      <c r="AI189" s="348" t="str" cm="1">
        <f t="array" ref="AI18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8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89" s="350"/>
      <c r="AL189" s="351"/>
      <c r="AM189" s="350"/>
      <c r="AN189" s="407">
        <f>COUNTIF(tblSeverityAnalysis[[#This Row],[1 sectores en fase de severidad 5 '[modificar el umbral']]:[Marcador manual]], "Flagged")</f>
        <v>0</v>
      </c>
      <c r="AO189" s="418">
        <f>tblSeverityAnalysis[[#This Row],[Severidad preliminar basada en la superposición de privaciones sectoriales]]</f>
        <v>3</v>
      </c>
      <c r="AP189" s="417"/>
      <c r="AQ189" s="421" t="s">
        <v>876</v>
      </c>
      <c r="AR189" s="417">
        <v>3</v>
      </c>
    </row>
    <row r="190" spans="1:44" hidden="1">
      <c r="A19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VenezolanosVE1511</v>
      </c>
      <c r="B190" s="363" t="s">
        <v>276</v>
      </c>
      <c r="C190" s="323" t="s">
        <v>455</v>
      </c>
      <c r="D190" s="322" t="s">
        <v>133</v>
      </c>
      <c r="E190" s="323" t="s">
        <v>475</v>
      </c>
      <c r="F190" s="323"/>
      <c r="G190" s="324">
        <v>138776</v>
      </c>
      <c r="H190" s="324" t="s">
        <v>102</v>
      </c>
      <c r="I190" s="374">
        <v>3</v>
      </c>
      <c r="J190" s="237">
        <v>2</v>
      </c>
      <c r="K190" s="237">
        <v>3</v>
      </c>
      <c r="L190" s="237">
        <v>4</v>
      </c>
      <c r="M190" s="237">
        <v>4</v>
      </c>
      <c r="N190" s="237">
        <v>3</v>
      </c>
      <c r="O190" s="237">
        <v>4</v>
      </c>
      <c r="P190" s="237">
        <v>4</v>
      </c>
      <c r="Q190" s="382" t="str">
        <f>IF(COUNTIF(tblSeverityAnalysis[[#This Row],[SAMV]:[ASH]], 1)=0, "", COUNTIF(tblSeverityAnalysis[[#This Row],[SAMV]:[ASH]], 1))</f>
        <v/>
      </c>
      <c r="R190" s="325">
        <f>IF(COUNTIF(tblSeverityAnalysis[[#This Row],[SAMV]:[ASH]], 2)=0, "", COUNTIF(tblSeverityAnalysis[[#This Row],[SAMV]:[ASH]], 2))</f>
        <v>1</v>
      </c>
      <c r="S190" s="325">
        <f>IF(COUNTIF(tblSeverityAnalysis[[#This Row],[SAMV]:[ASH]], 3)=0, "", COUNTIF(tblSeverityAnalysis[[#This Row],[SAMV]:[ASH]], 3))</f>
        <v>3</v>
      </c>
      <c r="T190" s="325">
        <f>IF(COUNTIF(tblSeverityAnalysis[[#This Row],[SAMV]:[ASH]], 4)=0, "", COUNTIF(tblSeverityAnalysis[[#This Row],[SAMV]:[ASH]], 4))</f>
        <v>2</v>
      </c>
      <c r="U190" s="383" t="str">
        <f>IF(COUNTIF(tblSeverityAnalysis[[#This Row],[SAMV]:[ASH]], 5)=0, "", COUNTIF(tblSeverityAnalysis[[#This Row],[SAMV]:[ASH]], 5))</f>
        <v/>
      </c>
      <c r="V190" s="375" cm="1">
        <f t="array" ref="V19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9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90" s="237" t="str">
        <f>IFERROR(IF(INDEX(tblSeverityReference[Severidad de la desnutrición],MATCH(tblSeverityAnalysis[[#This Row],[ID]], tblSeverityReference[ID], 0))= "", "",INDEX(tblSeverityReference[Severidad de la desnutrición],MATCH(tblSeverityAnalysis[[#This Row],[ID]], tblSeverityReference[ID], 0)) ), "")</f>
        <v/>
      </c>
      <c r="Y190" s="349" t="str">
        <f>IFERROR(IF(INDEX(tblSeverityReference[Severidad epidémica],MATCH(tblSeverityAnalysis[[#This Row],[ID]], tblSeverityReference[ID], 0))= "", "",INDEX(tblSeverityReference[Severidad epidémica],MATCH(tblSeverityAnalysis[[#This Row],[ID]], tblSeverityReference[ID], 0)) ), "")</f>
        <v/>
      </c>
      <c r="Z19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90" s="391" t="str">
        <f>IFERROR(IF(INDEX(tblSeverityReference[HR/IHL Violation],MATCH(tblSeverityAnalysis[[#This Row],[ID]], tblSeverityReference[ID], 0))= "", "",INDEX(tblSeverityReference[HR/IHL Violation],MATCH(tblSeverityAnalysis[[#This Row],[ID]], tblSeverityReference[ID], 0)) ), "")</f>
        <v/>
      </c>
      <c r="AB190" s="397">
        <f>IFERROR(AVERAGE(tblSeverityAnalysis[[#This Row],[SAMV]:[ASH]]), "")</f>
        <v>3.1666666666666665</v>
      </c>
      <c r="AC190" s="346">
        <f>IF(SUM(tblSeverityAnalysis[[#This Row],[SAMV]:[ASH]])=0, "", MAX(tblSeverityAnalysis[[#This Row],[SAMV]:[ASH]]))</f>
        <v>4</v>
      </c>
      <c r="AD190" s="261" t="str" cm="1">
        <f t="array" ref="AD190">IFERROR(IF(tblSeverityAnalysis[[#This Row],[Severidad máxima]]="", "", _xlfn.TEXTJOIN(CHAR(10), TRUE, IF(tblSeverityAnalysis[[#This Row],[SAMV]:[ASH]]=tblSeverityAnalysis[[#This Row],[Severidad máxima]], tblSeverityAnalysis[[#Headers],[SAMV]:[ASH]], ""), "")), "")</f>
        <v>EDU
PRO</v>
      </c>
      <c r="AE190" s="346" cm="1">
        <f t="array" ref="AE190">IFERROR(MAX(_xlfn._xlws.FILTER(tblSeverityAnalysis[[#This Row],[SAMV]:[ASH]], tblSeverityAnalysis[[#This Row],[SAMV]:[ASH]]&lt;tblSeverityAnalysis[[#This Row],[Severidad máxima]])), "")</f>
        <v>3</v>
      </c>
      <c r="AF190" s="398" t="str" cm="1">
        <f t="array" ref="AF190">IFERROR(IF(tblSeverityAnalysis[[#This Row],[2ª mayor severidad]]="", "", _xlfn.TEXTJOIN(CHAR(10), TRUE, IF(tblSeverityAnalysis[[#This Row],[SAMV]:[ASH]]=tblSeverityAnalysis[[#This Row],[2ª mayor severidad]], tblSeverityAnalysis[[#Headers],[SAMV]:[ASH]], ""), "")), "")</f>
        <v>SAMV
SAL
ASH</v>
      </c>
      <c r="AG190" s="405" t="str">
        <f>IFERROR(IF(AND(tblSeverityAnalysis[[#This Row],[5]] &lt;&gt; "", tblSeverityAnalysis[[#This Row],[5]]&gt;=sectors_sev_5), "Flagged", ""), "")</f>
        <v/>
      </c>
      <c r="AH190" s="347" t="str">
        <f>IFERROR(IF(AND(tblSeverityAnalysis[[#This Row],[Severidad preliminar basada en la superposición de privaciones sectoriales]]=5, SUM(tblSeverityAnalysis[[#This Row],[ 1 ]:[ 4 ]])&gt;=sectors_sev_5), "Flagged", ""), "")</f>
        <v/>
      </c>
      <c r="AI190" s="348" t="str" cm="1">
        <f t="array" ref="AI19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9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90" s="350"/>
      <c r="AL190" s="351"/>
      <c r="AM190" s="350"/>
      <c r="AN190" s="407">
        <f>COUNTIF(tblSeverityAnalysis[[#This Row],[1 sectores en fase de severidad 5 '[modificar el umbral']]:[Marcador manual]], "Flagged")</f>
        <v>0</v>
      </c>
      <c r="AO190" s="418">
        <f>tblSeverityAnalysis[[#This Row],[Severidad preliminar basada en la superposición de privaciones sectoriales]]</f>
        <v>3</v>
      </c>
      <c r="AP190" s="417"/>
      <c r="AQ190" s="421" t="s">
        <v>876</v>
      </c>
      <c r="AR190" s="417">
        <v>3</v>
      </c>
    </row>
    <row r="191" spans="1:44" hidden="1">
      <c r="A19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VenezolanosVE1512</v>
      </c>
      <c r="B191" s="363" t="s">
        <v>276</v>
      </c>
      <c r="C191" s="323" t="s">
        <v>455</v>
      </c>
      <c r="D191" s="322" t="s">
        <v>476</v>
      </c>
      <c r="E191" s="323" t="s">
        <v>477</v>
      </c>
      <c r="F191" s="323"/>
      <c r="G191" s="324">
        <v>144947</v>
      </c>
      <c r="H191" s="324" t="s">
        <v>102</v>
      </c>
      <c r="I191" s="374">
        <v>3</v>
      </c>
      <c r="J191" s="237">
        <v>3</v>
      </c>
      <c r="K191" s="237">
        <v>3</v>
      </c>
      <c r="L191" s="237">
        <v>3</v>
      </c>
      <c r="M191" s="237">
        <v>4</v>
      </c>
      <c r="N191" s="237">
        <v>3</v>
      </c>
      <c r="O191" s="237">
        <v>4</v>
      </c>
      <c r="P191" s="237">
        <v>4</v>
      </c>
      <c r="Q191" s="382" t="str">
        <f>IF(COUNTIF(tblSeverityAnalysis[[#This Row],[SAMV]:[ASH]], 1)=0, "", COUNTIF(tblSeverityAnalysis[[#This Row],[SAMV]:[ASH]], 1))</f>
        <v/>
      </c>
      <c r="R191" s="325" t="str">
        <f>IF(COUNTIF(tblSeverityAnalysis[[#This Row],[SAMV]:[ASH]], 2)=0, "", COUNTIF(tblSeverityAnalysis[[#This Row],[SAMV]:[ASH]], 2))</f>
        <v/>
      </c>
      <c r="S191" s="325">
        <f>IF(COUNTIF(tblSeverityAnalysis[[#This Row],[SAMV]:[ASH]], 3)=0, "", COUNTIF(tblSeverityAnalysis[[#This Row],[SAMV]:[ASH]], 3))</f>
        <v>5</v>
      </c>
      <c r="T191" s="325">
        <f>IF(COUNTIF(tblSeverityAnalysis[[#This Row],[SAMV]:[ASH]], 4)=0, "", COUNTIF(tblSeverityAnalysis[[#This Row],[SAMV]:[ASH]], 4))</f>
        <v>1</v>
      </c>
      <c r="U191" s="383" t="str">
        <f>IF(COUNTIF(tblSeverityAnalysis[[#This Row],[SAMV]:[ASH]], 5)=0, "", COUNTIF(tblSeverityAnalysis[[#This Row],[SAMV]:[ASH]], 5))</f>
        <v/>
      </c>
      <c r="V191" s="375" cm="1">
        <f t="array" ref="V19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9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91" s="237" t="str">
        <f>IFERROR(IF(INDEX(tblSeverityReference[Severidad de la desnutrición],MATCH(tblSeverityAnalysis[[#This Row],[ID]], tblSeverityReference[ID], 0))= "", "",INDEX(tblSeverityReference[Severidad de la desnutrición],MATCH(tblSeverityAnalysis[[#This Row],[ID]], tblSeverityReference[ID], 0)) ), "")</f>
        <v/>
      </c>
      <c r="Y191" s="349" t="str">
        <f>IFERROR(IF(INDEX(tblSeverityReference[Severidad epidémica],MATCH(tblSeverityAnalysis[[#This Row],[ID]], tblSeverityReference[ID], 0))= "", "",INDEX(tblSeverityReference[Severidad epidémica],MATCH(tblSeverityAnalysis[[#This Row],[ID]], tblSeverityReference[ID], 0)) ), "")</f>
        <v/>
      </c>
      <c r="Z19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91" s="391" t="str">
        <f>IFERROR(IF(INDEX(tblSeverityReference[HR/IHL Violation],MATCH(tblSeverityAnalysis[[#This Row],[ID]], tblSeverityReference[ID], 0))= "", "",INDEX(tblSeverityReference[HR/IHL Violation],MATCH(tblSeverityAnalysis[[#This Row],[ID]], tblSeverityReference[ID], 0)) ), "")</f>
        <v/>
      </c>
      <c r="AB191" s="397">
        <f>IFERROR(AVERAGE(tblSeverityAnalysis[[#This Row],[SAMV]:[ASH]]), "")</f>
        <v>3.1666666666666665</v>
      </c>
      <c r="AC191" s="346">
        <f>IF(SUM(tblSeverityAnalysis[[#This Row],[SAMV]:[ASH]])=0, "", MAX(tblSeverityAnalysis[[#This Row],[SAMV]:[ASH]]))</f>
        <v>4</v>
      </c>
      <c r="AD191" s="261" t="str" cm="1">
        <f t="array" ref="AD191">IFERROR(IF(tblSeverityAnalysis[[#This Row],[Severidad máxima]]="", "", _xlfn.TEXTJOIN(CHAR(10), TRUE, IF(tblSeverityAnalysis[[#This Row],[SAMV]:[ASH]]=tblSeverityAnalysis[[#This Row],[Severidad máxima]], tblSeverityAnalysis[[#Headers],[SAMV]:[ASH]], ""), "")), "")</f>
        <v>PRO</v>
      </c>
      <c r="AE191" s="346" cm="1">
        <f t="array" ref="AE191">IFERROR(MAX(_xlfn._xlws.FILTER(tblSeverityAnalysis[[#This Row],[SAMV]:[ASH]], tblSeverityAnalysis[[#This Row],[SAMV]:[ASH]]&lt;tblSeverityAnalysis[[#This Row],[Severidad máxima]])), "")</f>
        <v>3</v>
      </c>
      <c r="AF191" s="398" t="str" cm="1">
        <f t="array" ref="AF191">IFERROR(IF(tblSeverityAnalysis[[#This Row],[2ª mayor severidad]]="", "", _xlfn.TEXTJOIN(CHAR(10), TRUE, IF(tblSeverityAnalysis[[#This Row],[SAMV]:[ASH]]=tblSeverityAnalysis[[#This Row],[2ª mayor severidad]], tblSeverityAnalysis[[#Headers],[SAMV]:[ASH]], ""), "")), "")</f>
        <v>SAMV
NUT
SAL
EDU
ASH</v>
      </c>
      <c r="AG191" s="405" t="str">
        <f>IFERROR(IF(AND(tblSeverityAnalysis[[#This Row],[5]] &lt;&gt; "", tblSeverityAnalysis[[#This Row],[5]]&gt;=sectors_sev_5), "Flagged", ""), "")</f>
        <v/>
      </c>
      <c r="AH191" s="347" t="str">
        <f>IFERROR(IF(AND(tblSeverityAnalysis[[#This Row],[Severidad preliminar basada en la superposición de privaciones sectoriales]]=5, SUM(tblSeverityAnalysis[[#This Row],[ 1 ]:[ 4 ]])&gt;=sectors_sev_5), "Flagged", ""), "")</f>
        <v/>
      </c>
      <c r="AI191" s="348" t="str" cm="1">
        <f t="array" ref="AI19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9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91" s="350"/>
      <c r="AL191" s="351"/>
      <c r="AM191" s="350"/>
      <c r="AN191" s="407">
        <f>COUNTIF(tblSeverityAnalysis[[#This Row],[1 sectores en fase de severidad 5 '[modificar el umbral']]:[Marcador manual]], "Flagged")</f>
        <v>0</v>
      </c>
      <c r="AO191" s="418">
        <f>tblSeverityAnalysis[[#This Row],[Severidad preliminar basada en la superposición de privaciones sectoriales]]</f>
        <v>3</v>
      </c>
      <c r="AP191" s="417"/>
      <c r="AQ191" s="421" t="s">
        <v>875</v>
      </c>
      <c r="AR191" s="417">
        <v>4</v>
      </c>
    </row>
    <row r="192" spans="1:44" hidden="1">
      <c r="A19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VenezolanosVE1513</v>
      </c>
      <c r="B192" s="363" t="s">
        <v>276</v>
      </c>
      <c r="C192" s="323" t="s">
        <v>455</v>
      </c>
      <c r="D192" s="322" t="s">
        <v>478</v>
      </c>
      <c r="E192" s="323" t="s">
        <v>479</v>
      </c>
      <c r="F192" s="323"/>
      <c r="G192" s="324">
        <v>68255</v>
      </c>
      <c r="H192" s="324" t="s">
        <v>102</v>
      </c>
      <c r="I192" s="374">
        <v>1</v>
      </c>
      <c r="J192" s="237">
        <v>1</v>
      </c>
      <c r="K192" s="237">
        <v>3</v>
      </c>
      <c r="L192" s="237">
        <v>3</v>
      </c>
      <c r="M192" s="237">
        <v>3</v>
      </c>
      <c r="N192" s="237">
        <v>2</v>
      </c>
      <c r="O192" s="237">
        <v>3</v>
      </c>
      <c r="P192" s="237">
        <v>3</v>
      </c>
      <c r="Q192" s="382">
        <f>IF(COUNTIF(tblSeverityAnalysis[[#This Row],[SAMV]:[ASH]], 1)=0, "", COUNTIF(tblSeverityAnalysis[[#This Row],[SAMV]:[ASH]], 1))</f>
        <v>2</v>
      </c>
      <c r="R192" s="325">
        <f>IF(COUNTIF(tblSeverityAnalysis[[#This Row],[SAMV]:[ASH]], 2)=0, "", COUNTIF(tblSeverityAnalysis[[#This Row],[SAMV]:[ASH]], 2))</f>
        <v>1</v>
      </c>
      <c r="S192" s="325">
        <f>IF(COUNTIF(tblSeverityAnalysis[[#This Row],[SAMV]:[ASH]], 3)=0, "", COUNTIF(tblSeverityAnalysis[[#This Row],[SAMV]:[ASH]], 3))</f>
        <v>3</v>
      </c>
      <c r="T192" s="325" t="str">
        <f>IF(COUNTIF(tblSeverityAnalysis[[#This Row],[SAMV]:[ASH]], 4)=0, "", COUNTIF(tblSeverityAnalysis[[#This Row],[SAMV]:[ASH]], 4))</f>
        <v/>
      </c>
      <c r="U192" s="383" t="str">
        <f>IF(COUNTIF(tblSeverityAnalysis[[#This Row],[SAMV]:[ASH]], 5)=0, "", COUNTIF(tblSeverityAnalysis[[#This Row],[SAMV]:[ASH]], 5))</f>
        <v/>
      </c>
      <c r="V192" s="375" cm="1">
        <f t="array" ref="V19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9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92" s="237" t="str">
        <f>IFERROR(IF(INDEX(tblSeverityReference[Severidad de la desnutrición],MATCH(tblSeverityAnalysis[[#This Row],[ID]], tblSeverityReference[ID], 0))= "", "",INDEX(tblSeverityReference[Severidad de la desnutrición],MATCH(tblSeverityAnalysis[[#This Row],[ID]], tblSeverityReference[ID], 0)) ), "")</f>
        <v/>
      </c>
      <c r="Y192" s="349" t="str">
        <f>IFERROR(IF(INDEX(tblSeverityReference[Severidad epidémica],MATCH(tblSeverityAnalysis[[#This Row],[ID]], tblSeverityReference[ID], 0))= "", "",INDEX(tblSeverityReference[Severidad epidémica],MATCH(tblSeverityAnalysis[[#This Row],[ID]], tblSeverityReference[ID], 0)) ), "")</f>
        <v/>
      </c>
      <c r="Z19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92" s="391" t="str">
        <f>IFERROR(IF(INDEX(tblSeverityReference[HR/IHL Violation],MATCH(tblSeverityAnalysis[[#This Row],[ID]], tblSeverityReference[ID], 0))= "", "",INDEX(tblSeverityReference[HR/IHL Violation],MATCH(tblSeverityAnalysis[[#This Row],[ID]], tblSeverityReference[ID], 0)) ), "")</f>
        <v/>
      </c>
      <c r="AB192" s="397">
        <f>IFERROR(AVERAGE(tblSeverityAnalysis[[#This Row],[SAMV]:[ASH]]), "")</f>
        <v>2.1666666666666665</v>
      </c>
      <c r="AC192" s="346">
        <f>IF(SUM(tblSeverityAnalysis[[#This Row],[SAMV]:[ASH]])=0, "", MAX(tblSeverityAnalysis[[#This Row],[SAMV]:[ASH]]))</f>
        <v>3</v>
      </c>
      <c r="AD192" s="261" t="str" cm="1">
        <f t="array" ref="AD192">IFERROR(IF(tblSeverityAnalysis[[#This Row],[Severidad máxima]]="", "", _xlfn.TEXTJOIN(CHAR(10), TRUE, IF(tblSeverityAnalysis[[#This Row],[SAMV]:[ASH]]=tblSeverityAnalysis[[#This Row],[Severidad máxima]], tblSeverityAnalysis[[#Headers],[SAMV]:[ASH]], ""), "")), "")</f>
        <v>SAL
EDU
PRO</v>
      </c>
      <c r="AE192" s="346" cm="1">
        <f t="array" ref="AE192">IFERROR(MAX(_xlfn._xlws.FILTER(tblSeverityAnalysis[[#This Row],[SAMV]:[ASH]], tblSeverityAnalysis[[#This Row],[SAMV]:[ASH]]&lt;tblSeverityAnalysis[[#This Row],[Severidad máxima]])), "")</f>
        <v>2</v>
      </c>
      <c r="AF192" s="398" t="str" cm="1">
        <f t="array" ref="AF192">IFERROR(IF(tblSeverityAnalysis[[#This Row],[2ª mayor severidad]]="", "", _xlfn.TEXTJOIN(CHAR(10), TRUE, IF(tblSeverityAnalysis[[#This Row],[SAMV]:[ASH]]=tblSeverityAnalysis[[#This Row],[2ª mayor severidad]], tblSeverityAnalysis[[#Headers],[SAMV]:[ASH]], ""), "")), "")</f>
        <v>ASH</v>
      </c>
      <c r="AG192" s="405" t="str">
        <f>IFERROR(IF(AND(tblSeverityAnalysis[[#This Row],[5]] &lt;&gt; "", tblSeverityAnalysis[[#This Row],[5]]&gt;=sectors_sev_5), "Flagged", ""), "")</f>
        <v/>
      </c>
      <c r="AH192" s="347" t="str">
        <f>IFERROR(IF(AND(tblSeverityAnalysis[[#This Row],[Severidad preliminar basada en la superposición de privaciones sectoriales]]=5, SUM(tblSeverityAnalysis[[#This Row],[ 1 ]:[ 4 ]])&gt;=sectors_sev_5), "Flagged", ""), "")</f>
        <v/>
      </c>
      <c r="AI192" s="348" t="str" cm="1">
        <f t="array" ref="AI19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9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92" s="350"/>
      <c r="AL192" s="351"/>
      <c r="AM192" s="350"/>
      <c r="AN192" s="407">
        <f>COUNTIF(tblSeverityAnalysis[[#This Row],[1 sectores en fase de severidad 5 '[modificar el umbral']]:[Marcador manual]], "Flagged")</f>
        <v>0</v>
      </c>
      <c r="AO192" s="418">
        <f>tblSeverityAnalysis[[#This Row],[Severidad preliminar basada en la superposición de privaciones sectoriales]]</f>
        <v>2</v>
      </c>
      <c r="AP192" s="417"/>
      <c r="AQ192" s="421" t="s">
        <v>876</v>
      </c>
      <c r="AR192" s="417">
        <v>3</v>
      </c>
    </row>
    <row r="193" spans="1:44" hidden="1">
      <c r="A19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VenezolanosVE1514</v>
      </c>
      <c r="B193" s="363" t="s">
        <v>276</v>
      </c>
      <c r="C193" s="323" t="s">
        <v>455</v>
      </c>
      <c r="D193" s="322" t="s">
        <v>171</v>
      </c>
      <c r="E193" s="323" t="s">
        <v>480</v>
      </c>
      <c r="F193" s="323"/>
      <c r="G193" s="324">
        <v>37944</v>
      </c>
      <c r="H193" s="324" t="s">
        <v>102</v>
      </c>
      <c r="I193" s="374">
        <v>3</v>
      </c>
      <c r="J193" s="237">
        <v>2</v>
      </c>
      <c r="K193" s="237">
        <v>4</v>
      </c>
      <c r="L193" s="237">
        <v>3</v>
      </c>
      <c r="M193" s="237">
        <v>4</v>
      </c>
      <c r="N193" s="237">
        <v>2</v>
      </c>
      <c r="O193" s="237">
        <v>4</v>
      </c>
      <c r="P193" s="237">
        <v>4</v>
      </c>
      <c r="Q193" s="382" t="str">
        <f>IF(COUNTIF(tblSeverityAnalysis[[#This Row],[SAMV]:[ASH]], 1)=0, "", COUNTIF(tblSeverityAnalysis[[#This Row],[SAMV]:[ASH]], 1))</f>
        <v/>
      </c>
      <c r="R193" s="325">
        <f>IF(COUNTIF(tblSeverityAnalysis[[#This Row],[SAMV]:[ASH]], 2)=0, "", COUNTIF(tblSeverityAnalysis[[#This Row],[SAMV]:[ASH]], 2))</f>
        <v>2</v>
      </c>
      <c r="S193" s="325">
        <f>IF(COUNTIF(tblSeverityAnalysis[[#This Row],[SAMV]:[ASH]], 3)=0, "", COUNTIF(tblSeverityAnalysis[[#This Row],[SAMV]:[ASH]], 3))</f>
        <v>2</v>
      </c>
      <c r="T193" s="325">
        <f>IF(COUNTIF(tblSeverityAnalysis[[#This Row],[SAMV]:[ASH]], 4)=0, "", COUNTIF(tblSeverityAnalysis[[#This Row],[SAMV]:[ASH]], 4))</f>
        <v>2</v>
      </c>
      <c r="U193" s="383" t="str">
        <f>IF(COUNTIF(tblSeverityAnalysis[[#This Row],[SAMV]:[ASH]], 5)=0, "", COUNTIF(tblSeverityAnalysis[[#This Row],[SAMV]:[ASH]], 5))</f>
        <v/>
      </c>
      <c r="V193" s="375" cm="1">
        <f t="array" ref="V19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9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93" s="237" t="str">
        <f>IFERROR(IF(INDEX(tblSeverityReference[Severidad de la desnutrición],MATCH(tblSeverityAnalysis[[#This Row],[ID]], tblSeverityReference[ID], 0))= "", "",INDEX(tblSeverityReference[Severidad de la desnutrición],MATCH(tblSeverityAnalysis[[#This Row],[ID]], tblSeverityReference[ID], 0)) ), "")</f>
        <v/>
      </c>
      <c r="Y193" s="349" t="str">
        <f>IFERROR(IF(INDEX(tblSeverityReference[Severidad epidémica],MATCH(tblSeverityAnalysis[[#This Row],[ID]], tblSeverityReference[ID], 0))= "", "",INDEX(tblSeverityReference[Severidad epidémica],MATCH(tblSeverityAnalysis[[#This Row],[ID]], tblSeverityReference[ID], 0)) ), "")</f>
        <v/>
      </c>
      <c r="Z19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93" s="391" t="str">
        <f>IFERROR(IF(INDEX(tblSeverityReference[HR/IHL Violation],MATCH(tblSeverityAnalysis[[#This Row],[ID]], tblSeverityReference[ID], 0))= "", "",INDEX(tblSeverityReference[HR/IHL Violation],MATCH(tblSeverityAnalysis[[#This Row],[ID]], tblSeverityReference[ID], 0)) ), "")</f>
        <v/>
      </c>
      <c r="AB193" s="397">
        <f>IFERROR(AVERAGE(tblSeverityAnalysis[[#This Row],[SAMV]:[ASH]]), "")</f>
        <v>3</v>
      </c>
      <c r="AC193" s="346">
        <f>IF(SUM(tblSeverityAnalysis[[#This Row],[SAMV]:[ASH]])=0, "", MAX(tblSeverityAnalysis[[#This Row],[SAMV]:[ASH]]))</f>
        <v>4</v>
      </c>
      <c r="AD193" s="261" t="str" cm="1">
        <f t="array" ref="AD193">IFERROR(IF(tblSeverityAnalysis[[#This Row],[Severidad máxima]]="", "", _xlfn.TEXTJOIN(CHAR(10), TRUE, IF(tblSeverityAnalysis[[#This Row],[SAMV]:[ASH]]=tblSeverityAnalysis[[#This Row],[Severidad máxima]], tblSeverityAnalysis[[#Headers],[SAMV]:[ASH]], ""), "")), "")</f>
        <v>SAL
PRO</v>
      </c>
      <c r="AE193" s="346" cm="1">
        <f t="array" ref="AE193">IFERROR(MAX(_xlfn._xlws.FILTER(tblSeverityAnalysis[[#This Row],[SAMV]:[ASH]], tblSeverityAnalysis[[#This Row],[SAMV]:[ASH]]&lt;tblSeverityAnalysis[[#This Row],[Severidad máxima]])), "")</f>
        <v>3</v>
      </c>
      <c r="AF193" s="398" t="str" cm="1">
        <f t="array" ref="AF193">IFERROR(IF(tblSeverityAnalysis[[#This Row],[2ª mayor severidad]]="", "", _xlfn.TEXTJOIN(CHAR(10), TRUE, IF(tblSeverityAnalysis[[#This Row],[SAMV]:[ASH]]=tblSeverityAnalysis[[#This Row],[2ª mayor severidad]], tblSeverityAnalysis[[#Headers],[SAMV]:[ASH]], ""), "")), "")</f>
        <v>SAMV
EDU</v>
      </c>
      <c r="AG193" s="405" t="str">
        <f>IFERROR(IF(AND(tblSeverityAnalysis[[#This Row],[5]] &lt;&gt; "", tblSeverityAnalysis[[#This Row],[5]]&gt;=sectors_sev_5), "Flagged", ""), "")</f>
        <v/>
      </c>
      <c r="AH193" s="347" t="str">
        <f>IFERROR(IF(AND(tblSeverityAnalysis[[#This Row],[Severidad preliminar basada en la superposición de privaciones sectoriales]]=5, SUM(tblSeverityAnalysis[[#This Row],[ 1 ]:[ 4 ]])&gt;=sectors_sev_5), "Flagged", ""), "")</f>
        <v/>
      </c>
      <c r="AI193" s="348" t="str" cm="1">
        <f t="array" ref="AI19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9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93" s="350"/>
      <c r="AL193" s="351"/>
      <c r="AM193" s="350"/>
      <c r="AN193" s="407">
        <f>COUNTIF(tblSeverityAnalysis[[#This Row],[1 sectores en fase de severidad 5 '[modificar el umbral']]:[Marcador manual]], "Flagged")</f>
        <v>0</v>
      </c>
      <c r="AO193" s="418">
        <f>tblSeverityAnalysis[[#This Row],[Severidad preliminar basada en la superposición de privaciones sectoriales]]</f>
        <v>3</v>
      </c>
      <c r="AP193" s="417"/>
      <c r="AQ193" s="421" t="s">
        <v>876</v>
      </c>
      <c r="AR193" s="417">
        <v>3</v>
      </c>
    </row>
    <row r="194" spans="1:44" hidden="1">
      <c r="A19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VenezolanosVE1515</v>
      </c>
      <c r="B194" s="363" t="s">
        <v>276</v>
      </c>
      <c r="C194" s="323" t="s">
        <v>455</v>
      </c>
      <c r="D194" s="429" t="s">
        <v>481</v>
      </c>
      <c r="E194" s="323" t="s">
        <v>482</v>
      </c>
      <c r="F194" s="323"/>
      <c r="G194" s="324">
        <v>111197</v>
      </c>
      <c r="H194" s="324" t="s">
        <v>102</v>
      </c>
      <c r="I194" s="374">
        <v>3</v>
      </c>
      <c r="J194" s="237">
        <v>4</v>
      </c>
      <c r="K194" s="237">
        <v>3</v>
      </c>
      <c r="L194" s="237">
        <v>4</v>
      </c>
      <c r="M194" s="237">
        <v>4</v>
      </c>
      <c r="N194" s="237">
        <v>3</v>
      </c>
      <c r="O194" s="237">
        <v>4</v>
      </c>
      <c r="P194" s="237">
        <v>4</v>
      </c>
      <c r="Q194" s="382" t="str">
        <f>IF(COUNTIF(tblSeverityAnalysis[[#This Row],[SAMV]:[ASH]], 1)=0, "", COUNTIF(tblSeverityAnalysis[[#This Row],[SAMV]:[ASH]], 1))</f>
        <v/>
      </c>
      <c r="R194" s="325" t="str">
        <f>IF(COUNTIF(tblSeverityAnalysis[[#This Row],[SAMV]:[ASH]], 2)=0, "", COUNTIF(tblSeverityAnalysis[[#This Row],[SAMV]:[ASH]], 2))</f>
        <v/>
      </c>
      <c r="S194" s="325">
        <f>IF(COUNTIF(tblSeverityAnalysis[[#This Row],[SAMV]:[ASH]], 3)=0, "", COUNTIF(tblSeverityAnalysis[[#This Row],[SAMV]:[ASH]], 3))</f>
        <v>3</v>
      </c>
      <c r="T194" s="325">
        <f>IF(COUNTIF(tblSeverityAnalysis[[#This Row],[SAMV]:[ASH]], 4)=0, "", COUNTIF(tblSeverityAnalysis[[#This Row],[SAMV]:[ASH]], 4))</f>
        <v>3</v>
      </c>
      <c r="U194" s="383" t="str">
        <f>IF(COUNTIF(tblSeverityAnalysis[[#This Row],[SAMV]:[ASH]], 5)=0, "", COUNTIF(tblSeverityAnalysis[[#This Row],[SAMV]:[ASH]], 5))</f>
        <v/>
      </c>
      <c r="V194" s="376">
        <v>4</v>
      </c>
      <c r="W19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94" s="237" t="str">
        <f>IFERROR(IF(INDEX(tblSeverityReference[Severidad de la desnutrición],MATCH(tblSeverityAnalysis[[#This Row],[ID]], tblSeverityReference[ID], 0))= "", "",INDEX(tblSeverityReference[Severidad de la desnutrición],MATCH(tblSeverityAnalysis[[#This Row],[ID]], tblSeverityReference[ID], 0)) ), "")</f>
        <v/>
      </c>
      <c r="Y194" s="349" t="str">
        <f>IFERROR(IF(INDEX(tblSeverityReference[Severidad epidémica],MATCH(tblSeverityAnalysis[[#This Row],[ID]], tblSeverityReference[ID], 0))= "", "",INDEX(tblSeverityReference[Severidad epidémica],MATCH(tblSeverityAnalysis[[#This Row],[ID]], tblSeverityReference[ID], 0)) ), "")</f>
        <v/>
      </c>
      <c r="Z19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94" s="391" t="str">
        <f>IFERROR(IF(INDEX(tblSeverityReference[HR/IHL Violation],MATCH(tblSeverityAnalysis[[#This Row],[ID]], tblSeverityReference[ID], 0))= "", "",INDEX(tblSeverityReference[HR/IHL Violation],MATCH(tblSeverityAnalysis[[#This Row],[ID]], tblSeverityReference[ID], 0)) ), "")</f>
        <v/>
      </c>
      <c r="AB194" s="397">
        <f>IFERROR(AVERAGE(tblSeverityAnalysis[[#This Row],[SAMV]:[ASH]]), "")</f>
        <v>3.5</v>
      </c>
      <c r="AC194" s="346">
        <f>IF(SUM(tblSeverityAnalysis[[#This Row],[SAMV]:[ASH]])=0, "", MAX(tblSeverityAnalysis[[#This Row],[SAMV]:[ASH]]))</f>
        <v>4</v>
      </c>
      <c r="AD194" s="261" t="str" cm="1">
        <f t="array" ref="AD194">IFERROR(IF(tblSeverityAnalysis[[#This Row],[Severidad máxima]]="", "", _xlfn.TEXTJOIN(CHAR(10), TRUE, IF(tblSeverityAnalysis[[#This Row],[SAMV]:[ASH]]=tblSeverityAnalysis[[#This Row],[Severidad máxima]], tblSeverityAnalysis[[#Headers],[SAMV]:[ASH]], ""), "")), "")</f>
        <v>NUT
EDU
PRO</v>
      </c>
      <c r="AE194" s="346" cm="1">
        <f t="array" ref="AE194">IFERROR(MAX(_xlfn._xlws.FILTER(tblSeverityAnalysis[[#This Row],[SAMV]:[ASH]], tblSeverityAnalysis[[#This Row],[SAMV]:[ASH]]&lt;tblSeverityAnalysis[[#This Row],[Severidad máxima]])), "")</f>
        <v>3</v>
      </c>
      <c r="AF194" s="398" t="str" cm="1">
        <f t="array" ref="AF194">IFERROR(IF(tblSeverityAnalysis[[#This Row],[2ª mayor severidad]]="", "", _xlfn.TEXTJOIN(CHAR(10), TRUE, IF(tblSeverityAnalysis[[#This Row],[SAMV]:[ASH]]=tblSeverityAnalysis[[#This Row],[2ª mayor severidad]], tblSeverityAnalysis[[#Headers],[SAMV]:[ASH]], ""), "")), "")</f>
        <v>SAMV
SAL
ASH</v>
      </c>
      <c r="AG194" s="405" t="str">
        <f>IFERROR(IF(AND(tblSeverityAnalysis[[#This Row],[5]] &lt;&gt; "", tblSeverityAnalysis[[#This Row],[5]]&gt;=sectors_sev_5), "Flagged", ""), "")</f>
        <v/>
      </c>
      <c r="AH194" s="347" t="str">
        <f>IFERROR(IF(AND(tblSeverityAnalysis[[#This Row],[Severidad preliminar basada en la superposición de privaciones sectoriales]]=5, SUM(tblSeverityAnalysis[[#This Row],[ 1 ]:[ 4 ]])&gt;=sectors_sev_5), "Flagged", ""), "")</f>
        <v/>
      </c>
      <c r="AI194" s="348" t="str" cm="1">
        <f t="array" ref="AI19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9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94" s="350"/>
      <c r="AL194" s="351"/>
      <c r="AM194" s="350"/>
      <c r="AN194" s="407">
        <f>COUNTIF(tblSeverityAnalysis[[#This Row],[1 sectores en fase de severidad 5 '[modificar el umbral']]:[Marcador manual]], "Flagged")</f>
        <v>0</v>
      </c>
      <c r="AO194" s="418">
        <f>tblSeverityAnalysis[[#This Row],[Severidad preliminar basada en la superposición de privaciones sectoriales]]</f>
        <v>4</v>
      </c>
      <c r="AP194" s="417" t="s">
        <v>877</v>
      </c>
      <c r="AQ194" s="421" t="s">
        <v>876</v>
      </c>
      <c r="AR194" s="417">
        <v>3</v>
      </c>
    </row>
    <row r="195" spans="1:44" hidden="1">
      <c r="A19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VenezolanosVE1516</v>
      </c>
      <c r="B195" s="363" t="s">
        <v>276</v>
      </c>
      <c r="C195" s="323" t="s">
        <v>455</v>
      </c>
      <c r="D195" s="322" t="s">
        <v>483</v>
      </c>
      <c r="E195" s="323" t="s">
        <v>484</v>
      </c>
      <c r="F195" s="323"/>
      <c r="G195" s="324">
        <v>21831</v>
      </c>
      <c r="H195" s="324" t="s">
        <v>102</v>
      </c>
      <c r="I195" s="374">
        <v>3</v>
      </c>
      <c r="J195" s="237">
        <v>2</v>
      </c>
      <c r="K195" s="237">
        <v>4</v>
      </c>
      <c r="L195" s="237">
        <v>4</v>
      </c>
      <c r="M195" s="237">
        <v>4</v>
      </c>
      <c r="N195" s="237">
        <v>3</v>
      </c>
      <c r="O195" s="237">
        <v>4</v>
      </c>
      <c r="P195" s="237">
        <v>4</v>
      </c>
      <c r="Q195" s="382" t="str">
        <f>IF(COUNTIF(tblSeverityAnalysis[[#This Row],[SAMV]:[ASH]], 1)=0, "", COUNTIF(tblSeverityAnalysis[[#This Row],[SAMV]:[ASH]], 1))</f>
        <v/>
      </c>
      <c r="R195" s="325">
        <f>IF(COUNTIF(tblSeverityAnalysis[[#This Row],[SAMV]:[ASH]], 2)=0, "", COUNTIF(tblSeverityAnalysis[[#This Row],[SAMV]:[ASH]], 2))</f>
        <v>1</v>
      </c>
      <c r="S195" s="325">
        <f>IF(COUNTIF(tblSeverityAnalysis[[#This Row],[SAMV]:[ASH]], 3)=0, "", COUNTIF(tblSeverityAnalysis[[#This Row],[SAMV]:[ASH]], 3))</f>
        <v>2</v>
      </c>
      <c r="T195" s="325">
        <f>IF(COUNTIF(tblSeverityAnalysis[[#This Row],[SAMV]:[ASH]], 4)=0, "", COUNTIF(tblSeverityAnalysis[[#This Row],[SAMV]:[ASH]], 4))</f>
        <v>3</v>
      </c>
      <c r="U195" s="383" t="str">
        <f>IF(COUNTIF(tblSeverityAnalysis[[#This Row],[SAMV]:[ASH]], 5)=0, "", COUNTIF(tblSeverityAnalysis[[#This Row],[SAMV]:[ASH]], 5))</f>
        <v/>
      </c>
      <c r="V195" s="375" cm="1">
        <f t="array" ref="V19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9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95" s="237" t="str">
        <f>IFERROR(IF(INDEX(tblSeverityReference[Severidad de la desnutrición],MATCH(tblSeverityAnalysis[[#This Row],[ID]], tblSeverityReference[ID], 0))= "", "",INDEX(tblSeverityReference[Severidad de la desnutrición],MATCH(tblSeverityAnalysis[[#This Row],[ID]], tblSeverityReference[ID], 0)) ), "")</f>
        <v/>
      </c>
      <c r="Y195" s="349" t="str">
        <f>IFERROR(IF(INDEX(tblSeverityReference[Severidad epidémica],MATCH(tblSeverityAnalysis[[#This Row],[ID]], tblSeverityReference[ID], 0))= "", "",INDEX(tblSeverityReference[Severidad epidémica],MATCH(tblSeverityAnalysis[[#This Row],[ID]], tblSeverityReference[ID], 0)) ), "")</f>
        <v/>
      </c>
      <c r="Z19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95" s="391" t="str">
        <f>IFERROR(IF(INDEX(tblSeverityReference[HR/IHL Violation],MATCH(tblSeverityAnalysis[[#This Row],[ID]], tblSeverityReference[ID], 0))= "", "",INDEX(tblSeverityReference[HR/IHL Violation],MATCH(tblSeverityAnalysis[[#This Row],[ID]], tblSeverityReference[ID], 0)) ), "")</f>
        <v/>
      </c>
      <c r="AB195" s="397">
        <f>IFERROR(AVERAGE(tblSeverityAnalysis[[#This Row],[SAMV]:[ASH]]), "")</f>
        <v>3.3333333333333335</v>
      </c>
      <c r="AC195" s="346">
        <f>IF(SUM(tblSeverityAnalysis[[#This Row],[SAMV]:[ASH]])=0, "", MAX(tblSeverityAnalysis[[#This Row],[SAMV]:[ASH]]))</f>
        <v>4</v>
      </c>
      <c r="AD195" s="261" t="str" cm="1">
        <f t="array" ref="AD195">IFERROR(IF(tblSeverityAnalysis[[#This Row],[Severidad máxima]]="", "", _xlfn.TEXTJOIN(CHAR(10), TRUE, IF(tblSeverityAnalysis[[#This Row],[SAMV]:[ASH]]=tblSeverityAnalysis[[#This Row],[Severidad máxima]], tblSeverityAnalysis[[#Headers],[SAMV]:[ASH]], ""), "")), "")</f>
        <v>SAL
EDU
PRO</v>
      </c>
      <c r="AE195" s="346" cm="1">
        <f t="array" ref="AE195">IFERROR(MAX(_xlfn._xlws.FILTER(tblSeverityAnalysis[[#This Row],[SAMV]:[ASH]], tblSeverityAnalysis[[#This Row],[SAMV]:[ASH]]&lt;tblSeverityAnalysis[[#This Row],[Severidad máxima]])), "")</f>
        <v>3</v>
      </c>
      <c r="AF195" s="398" t="str" cm="1">
        <f t="array" ref="AF195">IFERROR(IF(tblSeverityAnalysis[[#This Row],[2ª mayor severidad]]="", "", _xlfn.TEXTJOIN(CHAR(10), TRUE, IF(tblSeverityAnalysis[[#This Row],[SAMV]:[ASH]]=tblSeverityAnalysis[[#This Row],[2ª mayor severidad]], tblSeverityAnalysis[[#Headers],[SAMV]:[ASH]], ""), "")), "")</f>
        <v>SAMV
ASH</v>
      </c>
      <c r="AG195" s="405" t="str">
        <f>IFERROR(IF(AND(tblSeverityAnalysis[[#This Row],[5]] &lt;&gt; "", tblSeverityAnalysis[[#This Row],[5]]&gt;=sectors_sev_5), "Flagged", ""), "")</f>
        <v/>
      </c>
      <c r="AH195" s="347" t="str">
        <f>IFERROR(IF(AND(tblSeverityAnalysis[[#This Row],[Severidad preliminar basada en la superposición de privaciones sectoriales]]=5, SUM(tblSeverityAnalysis[[#This Row],[ 1 ]:[ 4 ]])&gt;=sectors_sev_5), "Flagged", ""), "")</f>
        <v/>
      </c>
      <c r="AI195" s="348" t="str" cm="1">
        <f t="array" ref="AI19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9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95" s="350"/>
      <c r="AL195" s="351"/>
      <c r="AM195" s="350"/>
      <c r="AN195" s="407">
        <f>COUNTIF(tblSeverityAnalysis[[#This Row],[1 sectores en fase de severidad 5 '[modificar el umbral']]:[Marcador manual]], "Flagged")</f>
        <v>0</v>
      </c>
      <c r="AO195" s="418">
        <f>tblSeverityAnalysis[[#This Row],[Severidad preliminar basada en la superposición de privaciones sectoriales]]</f>
        <v>3</v>
      </c>
      <c r="AP195" s="417"/>
      <c r="AQ195" s="421" t="s">
        <v>876</v>
      </c>
      <c r="AR195" s="417">
        <v>4</v>
      </c>
    </row>
    <row r="196" spans="1:44" hidden="1">
      <c r="A19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VenezolanosVE1517</v>
      </c>
      <c r="B196" s="363" t="s">
        <v>276</v>
      </c>
      <c r="C196" s="323" t="s">
        <v>455</v>
      </c>
      <c r="D196" s="322" t="s">
        <v>485</v>
      </c>
      <c r="E196" s="323" t="s">
        <v>486</v>
      </c>
      <c r="F196" s="323"/>
      <c r="G196" s="324">
        <v>209987</v>
      </c>
      <c r="H196" s="324" t="s">
        <v>102</v>
      </c>
      <c r="I196" s="374">
        <v>2</v>
      </c>
      <c r="J196" s="237">
        <v>1</v>
      </c>
      <c r="K196" s="237">
        <v>3</v>
      </c>
      <c r="L196" s="237">
        <v>3</v>
      </c>
      <c r="M196" s="237">
        <v>4</v>
      </c>
      <c r="N196" s="237">
        <v>2</v>
      </c>
      <c r="O196" s="237">
        <v>4</v>
      </c>
      <c r="P196" s="237">
        <v>4</v>
      </c>
      <c r="Q196" s="382">
        <f>IF(COUNTIF(tblSeverityAnalysis[[#This Row],[SAMV]:[ASH]], 1)=0, "", COUNTIF(tblSeverityAnalysis[[#This Row],[SAMV]:[ASH]], 1))</f>
        <v>1</v>
      </c>
      <c r="R196" s="325">
        <f>IF(COUNTIF(tblSeverityAnalysis[[#This Row],[SAMV]:[ASH]], 2)=0, "", COUNTIF(tblSeverityAnalysis[[#This Row],[SAMV]:[ASH]], 2))</f>
        <v>2</v>
      </c>
      <c r="S196" s="325">
        <f>IF(COUNTIF(tblSeverityAnalysis[[#This Row],[SAMV]:[ASH]], 3)=0, "", COUNTIF(tblSeverityAnalysis[[#This Row],[SAMV]:[ASH]], 3))</f>
        <v>2</v>
      </c>
      <c r="T196" s="325">
        <f>IF(COUNTIF(tblSeverityAnalysis[[#This Row],[SAMV]:[ASH]], 4)=0, "", COUNTIF(tblSeverityAnalysis[[#This Row],[SAMV]:[ASH]], 4))</f>
        <v>1</v>
      </c>
      <c r="U196" s="383" t="str">
        <f>IF(COUNTIF(tblSeverityAnalysis[[#This Row],[SAMV]:[ASH]], 5)=0, "", COUNTIF(tblSeverityAnalysis[[#This Row],[SAMV]:[ASH]], 5))</f>
        <v/>
      </c>
      <c r="V196" s="375" cm="1">
        <f t="array" ref="V19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19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96" s="237" t="str">
        <f>IFERROR(IF(INDEX(tblSeverityReference[Severidad de la desnutrición],MATCH(tblSeverityAnalysis[[#This Row],[ID]], tblSeverityReference[ID], 0))= "", "",INDEX(tblSeverityReference[Severidad de la desnutrición],MATCH(tblSeverityAnalysis[[#This Row],[ID]], tblSeverityReference[ID], 0)) ), "")</f>
        <v/>
      </c>
      <c r="Y196" s="349" t="str">
        <f>IFERROR(IF(INDEX(tblSeverityReference[Severidad epidémica],MATCH(tblSeverityAnalysis[[#This Row],[ID]], tblSeverityReference[ID], 0))= "", "",INDEX(tblSeverityReference[Severidad epidémica],MATCH(tblSeverityAnalysis[[#This Row],[ID]], tblSeverityReference[ID], 0)) ), "")</f>
        <v/>
      </c>
      <c r="Z19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96" s="391" t="str">
        <f>IFERROR(IF(INDEX(tblSeverityReference[HR/IHL Violation],MATCH(tblSeverityAnalysis[[#This Row],[ID]], tblSeverityReference[ID], 0))= "", "",INDEX(tblSeverityReference[HR/IHL Violation],MATCH(tblSeverityAnalysis[[#This Row],[ID]], tblSeverityReference[ID], 0)) ), "")</f>
        <v/>
      </c>
      <c r="AB196" s="397">
        <f>IFERROR(AVERAGE(tblSeverityAnalysis[[#This Row],[SAMV]:[ASH]]), "")</f>
        <v>2.5</v>
      </c>
      <c r="AC196" s="346">
        <f>IF(SUM(tblSeverityAnalysis[[#This Row],[SAMV]:[ASH]])=0, "", MAX(tblSeverityAnalysis[[#This Row],[SAMV]:[ASH]]))</f>
        <v>4</v>
      </c>
      <c r="AD196" s="261" t="str" cm="1">
        <f t="array" ref="AD196">IFERROR(IF(tblSeverityAnalysis[[#This Row],[Severidad máxima]]="", "", _xlfn.TEXTJOIN(CHAR(10), TRUE, IF(tblSeverityAnalysis[[#This Row],[SAMV]:[ASH]]=tblSeverityAnalysis[[#This Row],[Severidad máxima]], tblSeverityAnalysis[[#Headers],[SAMV]:[ASH]], ""), "")), "")</f>
        <v>PRO</v>
      </c>
      <c r="AE196" s="346" cm="1">
        <f t="array" ref="AE196">IFERROR(MAX(_xlfn._xlws.FILTER(tblSeverityAnalysis[[#This Row],[SAMV]:[ASH]], tblSeverityAnalysis[[#This Row],[SAMV]:[ASH]]&lt;tblSeverityAnalysis[[#This Row],[Severidad máxima]])), "")</f>
        <v>3</v>
      </c>
      <c r="AF196" s="398" t="str" cm="1">
        <f t="array" ref="AF196">IFERROR(IF(tblSeverityAnalysis[[#This Row],[2ª mayor severidad]]="", "", _xlfn.TEXTJOIN(CHAR(10), TRUE, IF(tblSeverityAnalysis[[#This Row],[SAMV]:[ASH]]=tblSeverityAnalysis[[#This Row],[2ª mayor severidad]], tblSeverityAnalysis[[#Headers],[SAMV]:[ASH]], ""), "")), "")</f>
        <v>SAL
EDU</v>
      </c>
      <c r="AG196" s="405" t="str">
        <f>IFERROR(IF(AND(tblSeverityAnalysis[[#This Row],[5]] &lt;&gt; "", tblSeverityAnalysis[[#This Row],[5]]&gt;=sectors_sev_5), "Flagged", ""), "")</f>
        <v/>
      </c>
      <c r="AH196" s="347" t="str">
        <f>IFERROR(IF(AND(tblSeverityAnalysis[[#This Row],[Severidad preliminar basada en la superposición de privaciones sectoriales]]=5, SUM(tblSeverityAnalysis[[#This Row],[ 1 ]:[ 4 ]])&gt;=sectors_sev_5), "Flagged", ""), "")</f>
        <v/>
      </c>
      <c r="AI196" s="348" t="str" cm="1">
        <f t="array" ref="AI19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9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96" s="350"/>
      <c r="AL196" s="351"/>
      <c r="AM196" s="350"/>
      <c r="AN196" s="407">
        <f>COUNTIF(tblSeverityAnalysis[[#This Row],[1 sectores en fase de severidad 5 '[modificar el umbral']]:[Marcador manual]], "Flagged")</f>
        <v>0</v>
      </c>
      <c r="AO196" s="418">
        <f>tblSeverityAnalysis[[#This Row],[Severidad preliminar basada en la superposición de privaciones sectoriales]]</f>
        <v>2</v>
      </c>
      <c r="AP196" s="417"/>
      <c r="AQ196" s="421" t="s">
        <v>876</v>
      </c>
      <c r="AR196" s="417">
        <v>2</v>
      </c>
    </row>
    <row r="197" spans="1:44" hidden="1">
      <c r="A19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VenezolanosVE1518</v>
      </c>
      <c r="B197" s="363" t="s">
        <v>276</v>
      </c>
      <c r="C197" s="323" t="s">
        <v>455</v>
      </c>
      <c r="D197" s="322" t="s">
        <v>155</v>
      </c>
      <c r="E197" s="323" t="s">
        <v>487</v>
      </c>
      <c r="F197" s="323"/>
      <c r="G197" s="324">
        <v>42597</v>
      </c>
      <c r="H197" s="324" t="s">
        <v>102</v>
      </c>
      <c r="I197" s="374">
        <v>3</v>
      </c>
      <c r="J197" s="237">
        <v>1</v>
      </c>
      <c r="K197" s="237">
        <v>3</v>
      </c>
      <c r="L197" s="237">
        <v>4</v>
      </c>
      <c r="M197" s="237">
        <v>4</v>
      </c>
      <c r="N197" s="237">
        <v>2</v>
      </c>
      <c r="O197" s="237">
        <v>4</v>
      </c>
      <c r="P197" s="237">
        <v>4</v>
      </c>
      <c r="Q197" s="382">
        <f>IF(COUNTIF(tblSeverityAnalysis[[#This Row],[SAMV]:[ASH]], 1)=0, "", COUNTIF(tblSeverityAnalysis[[#This Row],[SAMV]:[ASH]], 1))</f>
        <v>1</v>
      </c>
      <c r="R197" s="325">
        <f>IF(COUNTIF(tblSeverityAnalysis[[#This Row],[SAMV]:[ASH]], 2)=0, "", COUNTIF(tblSeverityAnalysis[[#This Row],[SAMV]:[ASH]], 2))</f>
        <v>1</v>
      </c>
      <c r="S197" s="325">
        <f>IF(COUNTIF(tblSeverityAnalysis[[#This Row],[SAMV]:[ASH]], 3)=0, "", COUNTIF(tblSeverityAnalysis[[#This Row],[SAMV]:[ASH]], 3))</f>
        <v>2</v>
      </c>
      <c r="T197" s="325">
        <f>IF(COUNTIF(tblSeverityAnalysis[[#This Row],[SAMV]:[ASH]], 4)=0, "", COUNTIF(tblSeverityAnalysis[[#This Row],[SAMV]:[ASH]], 4))</f>
        <v>2</v>
      </c>
      <c r="U197" s="383" t="str">
        <f>IF(COUNTIF(tblSeverityAnalysis[[#This Row],[SAMV]:[ASH]], 5)=0, "", COUNTIF(tblSeverityAnalysis[[#This Row],[SAMV]:[ASH]], 5))</f>
        <v/>
      </c>
      <c r="V197" s="375" cm="1">
        <f t="array" ref="V19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9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97" s="237" t="str">
        <f>IFERROR(IF(INDEX(tblSeverityReference[Severidad de la desnutrición],MATCH(tblSeverityAnalysis[[#This Row],[ID]], tblSeverityReference[ID], 0))= "", "",INDEX(tblSeverityReference[Severidad de la desnutrición],MATCH(tblSeverityAnalysis[[#This Row],[ID]], tblSeverityReference[ID], 0)) ), "")</f>
        <v/>
      </c>
      <c r="Y197" s="349" t="str">
        <f>IFERROR(IF(INDEX(tblSeverityReference[Severidad epidémica],MATCH(tblSeverityAnalysis[[#This Row],[ID]], tblSeverityReference[ID], 0))= "", "",INDEX(tblSeverityReference[Severidad epidémica],MATCH(tblSeverityAnalysis[[#This Row],[ID]], tblSeverityReference[ID], 0)) ), "")</f>
        <v/>
      </c>
      <c r="Z19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97" s="391" t="str">
        <f>IFERROR(IF(INDEX(tblSeverityReference[HR/IHL Violation],MATCH(tblSeverityAnalysis[[#This Row],[ID]], tblSeverityReference[ID], 0))= "", "",INDEX(tblSeverityReference[HR/IHL Violation],MATCH(tblSeverityAnalysis[[#This Row],[ID]], tblSeverityReference[ID], 0)) ), "")</f>
        <v/>
      </c>
      <c r="AB197" s="397">
        <f>IFERROR(AVERAGE(tblSeverityAnalysis[[#This Row],[SAMV]:[ASH]]), "")</f>
        <v>2.8333333333333335</v>
      </c>
      <c r="AC197" s="346">
        <f>IF(SUM(tblSeverityAnalysis[[#This Row],[SAMV]:[ASH]])=0, "", MAX(tblSeverityAnalysis[[#This Row],[SAMV]:[ASH]]))</f>
        <v>4</v>
      </c>
      <c r="AD197" s="261" t="str" cm="1">
        <f t="array" ref="AD197">IFERROR(IF(tblSeverityAnalysis[[#This Row],[Severidad máxima]]="", "", _xlfn.TEXTJOIN(CHAR(10), TRUE, IF(tblSeverityAnalysis[[#This Row],[SAMV]:[ASH]]=tblSeverityAnalysis[[#This Row],[Severidad máxima]], tblSeverityAnalysis[[#Headers],[SAMV]:[ASH]], ""), "")), "")</f>
        <v>EDU
PRO</v>
      </c>
      <c r="AE197" s="346" cm="1">
        <f t="array" ref="AE197">IFERROR(MAX(_xlfn._xlws.FILTER(tblSeverityAnalysis[[#This Row],[SAMV]:[ASH]], tblSeverityAnalysis[[#This Row],[SAMV]:[ASH]]&lt;tblSeverityAnalysis[[#This Row],[Severidad máxima]])), "")</f>
        <v>3</v>
      </c>
      <c r="AF197" s="398" t="str" cm="1">
        <f t="array" ref="AF197">IFERROR(IF(tblSeverityAnalysis[[#This Row],[2ª mayor severidad]]="", "", _xlfn.TEXTJOIN(CHAR(10), TRUE, IF(tblSeverityAnalysis[[#This Row],[SAMV]:[ASH]]=tblSeverityAnalysis[[#This Row],[2ª mayor severidad]], tblSeverityAnalysis[[#Headers],[SAMV]:[ASH]], ""), "")), "")</f>
        <v>SAMV
SAL</v>
      </c>
      <c r="AG197" s="405" t="str">
        <f>IFERROR(IF(AND(tblSeverityAnalysis[[#This Row],[5]] &lt;&gt; "", tblSeverityAnalysis[[#This Row],[5]]&gt;=sectors_sev_5), "Flagged", ""), "")</f>
        <v/>
      </c>
      <c r="AH197" s="347" t="str">
        <f>IFERROR(IF(AND(tblSeverityAnalysis[[#This Row],[Severidad preliminar basada en la superposición de privaciones sectoriales]]=5, SUM(tblSeverityAnalysis[[#This Row],[ 1 ]:[ 4 ]])&gt;=sectors_sev_5), "Flagged", ""), "")</f>
        <v/>
      </c>
      <c r="AI197" s="348" t="str" cm="1">
        <f t="array" ref="AI19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9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97" s="350"/>
      <c r="AL197" s="351"/>
      <c r="AM197" s="350"/>
      <c r="AN197" s="407">
        <f>COUNTIF(tblSeverityAnalysis[[#This Row],[1 sectores en fase de severidad 5 '[modificar el umbral']]:[Marcador manual]], "Flagged")</f>
        <v>0</v>
      </c>
      <c r="AO197" s="418">
        <f>tblSeverityAnalysis[[#This Row],[Severidad preliminar basada en la superposición de privaciones sectoriales]]</f>
        <v>3</v>
      </c>
      <c r="AP197" s="417"/>
      <c r="AQ197" s="421" t="s">
        <v>876</v>
      </c>
      <c r="AR197" s="417">
        <v>3</v>
      </c>
    </row>
    <row r="198" spans="1:44" hidden="1">
      <c r="A19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VenezolanosVE1519</v>
      </c>
      <c r="B198" s="363" t="s">
        <v>276</v>
      </c>
      <c r="C198" s="323" t="s">
        <v>455</v>
      </c>
      <c r="D198" s="322" t="s">
        <v>203</v>
      </c>
      <c r="E198" s="323" t="s">
        <v>488</v>
      </c>
      <c r="F198" s="323"/>
      <c r="G198" s="324">
        <v>600351</v>
      </c>
      <c r="H198" s="324" t="s">
        <v>102</v>
      </c>
      <c r="I198" s="374">
        <v>2</v>
      </c>
      <c r="J198" s="237">
        <v>3</v>
      </c>
      <c r="K198" s="237">
        <v>3</v>
      </c>
      <c r="L198" s="237">
        <v>4</v>
      </c>
      <c r="M198" s="237">
        <v>4</v>
      </c>
      <c r="N198" s="237">
        <v>3</v>
      </c>
      <c r="O198" s="237">
        <v>4</v>
      </c>
      <c r="P198" s="237">
        <v>4</v>
      </c>
      <c r="Q198" s="382" t="str">
        <f>IF(COUNTIF(tblSeverityAnalysis[[#This Row],[SAMV]:[ASH]], 1)=0, "", COUNTIF(tblSeverityAnalysis[[#This Row],[SAMV]:[ASH]], 1))</f>
        <v/>
      </c>
      <c r="R198" s="325">
        <f>IF(COUNTIF(tblSeverityAnalysis[[#This Row],[SAMV]:[ASH]], 2)=0, "", COUNTIF(tblSeverityAnalysis[[#This Row],[SAMV]:[ASH]], 2))</f>
        <v>1</v>
      </c>
      <c r="S198" s="325">
        <f>IF(COUNTIF(tblSeverityAnalysis[[#This Row],[SAMV]:[ASH]], 3)=0, "", COUNTIF(tblSeverityAnalysis[[#This Row],[SAMV]:[ASH]], 3))</f>
        <v>3</v>
      </c>
      <c r="T198" s="325">
        <f>IF(COUNTIF(tblSeverityAnalysis[[#This Row],[SAMV]:[ASH]], 4)=0, "", COUNTIF(tblSeverityAnalysis[[#This Row],[SAMV]:[ASH]], 4))</f>
        <v>2</v>
      </c>
      <c r="U198" s="383" t="str">
        <f>IF(COUNTIF(tblSeverityAnalysis[[#This Row],[SAMV]:[ASH]], 5)=0, "", COUNTIF(tblSeverityAnalysis[[#This Row],[SAMV]:[ASH]], 5))</f>
        <v/>
      </c>
      <c r="V198" s="375" cm="1">
        <f t="array" ref="V19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9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98" s="237" t="str">
        <f>IFERROR(IF(INDEX(tblSeverityReference[Severidad de la desnutrición],MATCH(tblSeverityAnalysis[[#This Row],[ID]], tblSeverityReference[ID], 0))= "", "",INDEX(tblSeverityReference[Severidad de la desnutrición],MATCH(tblSeverityAnalysis[[#This Row],[ID]], tblSeverityReference[ID], 0)) ), "")</f>
        <v/>
      </c>
      <c r="Y198" s="349" t="str">
        <f>IFERROR(IF(INDEX(tblSeverityReference[Severidad epidémica],MATCH(tblSeverityAnalysis[[#This Row],[ID]], tblSeverityReference[ID], 0))= "", "",INDEX(tblSeverityReference[Severidad epidémica],MATCH(tblSeverityAnalysis[[#This Row],[ID]], tblSeverityReference[ID], 0)) ), "")</f>
        <v/>
      </c>
      <c r="Z19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98" s="391" t="str">
        <f>IFERROR(IF(INDEX(tblSeverityReference[HR/IHL Violation],MATCH(tblSeverityAnalysis[[#This Row],[ID]], tblSeverityReference[ID], 0))= "", "",INDEX(tblSeverityReference[HR/IHL Violation],MATCH(tblSeverityAnalysis[[#This Row],[ID]], tblSeverityReference[ID], 0)) ), "")</f>
        <v/>
      </c>
      <c r="AB198" s="397">
        <f>IFERROR(AVERAGE(tblSeverityAnalysis[[#This Row],[SAMV]:[ASH]]), "")</f>
        <v>3.1666666666666665</v>
      </c>
      <c r="AC198" s="346">
        <f>IF(SUM(tblSeverityAnalysis[[#This Row],[SAMV]:[ASH]])=0, "", MAX(tblSeverityAnalysis[[#This Row],[SAMV]:[ASH]]))</f>
        <v>4</v>
      </c>
      <c r="AD198" s="261" t="str" cm="1">
        <f t="array" ref="AD198">IFERROR(IF(tblSeverityAnalysis[[#This Row],[Severidad máxima]]="", "", _xlfn.TEXTJOIN(CHAR(10), TRUE, IF(tblSeverityAnalysis[[#This Row],[SAMV]:[ASH]]=tblSeverityAnalysis[[#This Row],[Severidad máxima]], tblSeverityAnalysis[[#Headers],[SAMV]:[ASH]], ""), "")), "")</f>
        <v>EDU
PRO</v>
      </c>
      <c r="AE198" s="346" cm="1">
        <f t="array" ref="AE198">IFERROR(MAX(_xlfn._xlws.FILTER(tblSeverityAnalysis[[#This Row],[SAMV]:[ASH]], tblSeverityAnalysis[[#This Row],[SAMV]:[ASH]]&lt;tblSeverityAnalysis[[#This Row],[Severidad máxima]])), "")</f>
        <v>3</v>
      </c>
      <c r="AF198" s="398" t="str" cm="1">
        <f t="array" ref="AF198">IFERROR(IF(tblSeverityAnalysis[[#This Row],[2ª mayor severidad]]="", "", _xlfn.TEXTJOIN(CHAR(10), TRUE, IF(tblSeverityAnalysis[[#This Row],[SAMV]:[ASH]]=tblSeverityAnalysis[[#This Row],[2ª mayor severidad]], tblSeverityAnalysis[[#Headers],[SAMV]:[ASH]], ""), "")), "")</f>
        <v>NUT
SAL
ASH</v>
      </c>
      <c r="AG198" s="405" t="str">
        <f>IFERROR(IF(AND(tblSeverityAnalysis[[#This Row],[5]] &lt;&gt; "", tblSeverityAnalysis[[#This Row],[5]]&gt;=sectors_sev_5), "Flagged", ""), "")</f>
        <v/>
      </c>
      <c r="AH198" s="347" t="str">
        <f>IFERROR(IF(AND(tblSeverityAnalysis[[#This Row],[Severidad preliminar basada en la superposición de privaciones sectoriales]]=5, SUM(tblSeverityAnalysis[[#This Row],[ 1 ]:[ 4 ]])&gt;=sectors_sev_5), "Flagged", ""), "")</f>
        <v/>
      </c>
      <c r="AI198" s="348" t="str" cm="1">
        <f t="array" ref="AI19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9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98" s="350"/>
      <c r="AL198" s="351"/>
      <c r="AM198" s="350"/>
      <c r="AN198" s="407">
        <f>COUNTIF(tblSeverityAnalysis[[#This Row],[1 sectores en fase de severidad 5 '[modificar el umbral']]:[Marcador manual]], "Flagged")</f>
        <v>0</v>
      </c>
      <c r="AO198" s="418">
        <f>tblSeverityAnalysis[[#This Row],[Severidad preliminar basada en la superposición de privaciones sectoriales]]</f>
        <v>3</v>
      </c>
      <c r="AP198" s="417"/>
      <c r="AQ198" s="421" t="s">
        <v>875</v>
      </c>
      <c r="AR198" s="417">
        <v>3</v>
      </c>
    </row>
    <row r="199" spans="1:44" hidden="1">
      <c r="A19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VenezolanosVE1520</v>
      </c>
      <c r="B199" s="363" t="s">
        <v>276</v>
      </c>
      <c r="C199" s="323" t="s">
        <v>455</v>
      </c>
      <c r="D199" s="322" t="s">
        <v>207</v>
      </c>
      <c r="E199" s="323" t="s">
        <v>489</v>
      </c>
      <c r="F199" s="323"/>
      <c r="G199" s="324">
        <v>135432</v>
      </c>
      <c r="H199" s="324" t="s">
        <v>102</v>
      </c>
      <c r="I199" s="374">
        <v>3</v>
      </c>
      <c r="J199" s="237">
        <v>1</v>
      </c>
      <c r="K199" s="237">
        <v>3</v>
      </c>
      <c r="L199" s="237">
        <v>3</v>
      </c>
      <c r="M199" s="237">
        <v>4</v>
      </c>
      <c r="N199" s="237">
        <v>3</v>
      </c>
      <c r="O199" s="237">
        <v>4</v>
      </c>
      <c r="P199" s="237">
        <v>4</v>
      </c>
      <c r="Q199" s="382">
        <f>IF(COUNTIF(tblSeverityAnalysis[[#This Row],[SAMV]:[ASH]], 1)=0, "", COUNTIF(tblSeverityAnalysis[[#This Row],[SAMV]:[ASH]], 1))</f>
        <v>1</v>
      </c>
      <c r="R199" s="325" t="str">
        <f>IF(COUNTIF(tblSeverityAnalysis[[#This Row],[SAMV]:[ASH]], 2)=0, "", COUNTIF(tblSeverityAnalysis[[#This Row],[SAMV]:[ASH]], 2))</f>
        <v/>
      </c>
      <c r="S199" s="325">
        <f>IF(COUNTIF(tblSeverityAnalysis[[#This Row],[SAMV]:[ASH]], 3)=0, "", COUNTIF(tblSeverityAnalysis[[#This Row],[SAMV]:[ASH]], 3))</f>
        <v>4</v>
      </c>
      <c r="T199" s="325">
        <f>IF(COUNTIF(tblSeverityAnalysis[[#This Row],[SAMV]:[ASH]], 4)=0, "", COUNTIF(tblSeverityAnalysis[[#This Row],[SAMV]:[ASH]], 4))</f>
        <v>1</v>
      </c>
      <c r="U199" s="383" t="str">
        <f>IF(COUNTIF(tblSeverityAnalysis[[#This Row],[SAMV]:[ASH]], 5)=0, "", COUNTIF(tblSeverityAnalysis[[#This Row],[SAMV]:[ASH]], 5))</f>
        <v/>
      </c>
      <c r="V199" s="375" cm="1">
        <f t="array" ref="V19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19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199" s="237" t="str">
        <f>IFERROR(IF(INDEX(tblSeverityReference[Severidad de la desnutrición],MATCH(tblSeverityAnalysis[[#This Row],[ID]], tblSeverityReference[ID], 0))= "", "",INDEX(tblSeverityReference[Severidad de la desnutrición],MATCH(tblSeverityAnalysis[[#This Row],[ID]], tblSeverityReference[ID], 0)) ), "")</f>
        <v/>
      </c>
      <c r="Y199" s="349" t="str">
        <f>IFERROR(IF(INDEX(tblSeverityReference[Severidad epidémica],MATCH(tblSeverityAnalysis[[#This Row],[ID]], tblSeverityReference[ID], 0))= "", "",INDEX(tblSeverityReference[Severidad epidémica],MATCH(tblSeverityAnalysis[[#This Row],[ID]], tblSeverityReference[ID], 0)) ), "")</f>
        <v/>
      </c>
      <c r="Z19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199" s="391" t="str">
        <f>IFERROR(IF(INDEX(tblSeverityReference[HR/IHL Violation],MATCH(tblSeverityAnalysis[[#This Row],[ID]], tblSeverityReference[ID], 0))= "", "",INDEX(tblSeverityReference[HR/IHL Violation],MATCH(tblSeverityAnalysis[[#This Row],[ID]], tblSeverityReference[ID], 0)) ), "")</f>
        <v/>
      </c>
      <c r="AB199" s="397">
        <f>IFERROR(AVERAGE(tblSeverityAnalysis[[#This Row],[SAMV]:[ASH]]), "")</f>
        <v>2.8333333333333335</v>
      </c>
      <c r="AC199" s="346">
        <f>IF(SUM(tblSeverityAnalysis[[#This Row],[SAMV]:[ASH]])=0, "", MAX(tblSeverityAnalysis[[#This Row],[SAMV]:[ASH]]))</f>
        <v>4</v>
      </c>
      <c r="AD199" s="261" t="str" cm="1">
        <f t="array" ref="AD199">IFERROR(IF(tblSeverityAnalysis[[#This Row],[Severidad máxima]]="", "", _xlfn.TEXTJOIN(CHAR(10), TRUE, IF(tblSeverityAnalysis[[#This Row],[SAMV]:[ASH]]=tblSeverityAnalysis[[#This Row],[Severidad máxima]], tblSeverityAnalysis[[#Headers],[SAMV]:[ASH]], ""), "")), "")</f>
        <v>PRO</v>
      </c>
      <c r="AE199" s="346" cm="1">
        <f t="array" ref="AE199">IFERROR(MAX(_xlfn._xlws.FILTER(tblSeverityAnalysis[[#This Row],[SAMV]:[ASH]], tblSeverityAnalysis[[#This Row],[SAMV]:[ASH]]&lt;tblSeverityAnalysis[[#This Row],[Severidad máxima]])), "")</f>
        <v>3</v>
      </c>
      <c r="AF199" s="398" t="str" cm="1">
        <f t="array" ref="AF199">IFERROR(IF(tblSeverityAnalysis[[#This Row],[2ª mayor severidad]]="", "", _xlfn.TEXTJOIN(CHAR(10), TRUE, IF(tblSeverityAnalysis[[#This Row],[SAMV]:[ASH]]=tblSeverityAnalysis[[#This Row],[2ª mayor severidad]], tblSeverityAnalysis[[#Headers],[SAMV]:[ASH]], ""), "")), "")</f>
        <v>SAMV
SAL
EDU
ASH</v>
      </c>
      <c r="AG199" s="405" t="str">
        <f>IFERROR(IF(AND(tblSeverityAnalysis[[#This Row],[5]] &lt;&gt; "", tblSeverityAnalysis[[#This Row],[5]]&gt;=sectors_sev_5), "Flagged", ""), "")</f>
        <v/>
      </c>
      <c r="AH199" s="347" t="str">
        <f>IFERROR(IF(AND(tblSeverityAnalysis[[#This Row],[Severidad preliminar basada en la superposición de privaciones sectoriales]]=5, SUM(tblSeverityAnalysis[[#This Row],[ 1 ]:[ 4 ]])&gt;=sectors_sev_5), "Flagged", ""), "")</f>
        <v/>
      </c>
      <c r="AI199" s="348" t="str" cm="1">
        <f t="array" ref="AI19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19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199" s="350"/>
      <c r="AL199" s="351"/>
      <c r="AM199" s="350"/>
      <c r="AN199" s="407">
        <f>COUNTIF(tblSeverityAnalysis[[#This Row],[1 sectores en fase de severidad 5 '[modificar el umbral']]:[Marcador manual]], "Flagged")</f>
        <v>0</v>
      </c>
      <c r="AO199" s="418">
        <f>tblSeverityAnalysis[[#This Row],[Severidad preliminar basada en la superposición de privaciones sectoriales]]</f>
        <v>3</v>
      </c>
      <c r="AP199" s="417"/>
      <c r="AQ199" s="421" t="s">
        <v>876</v>
      </c>
      <c r="AR199" s="417">
        <v>3</v>
      </c>
    </row>
    <row r="200" spans="1:44" hidden="1">
      <c r="A20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VenezolanosVE1521</v>
      </c>
      <c r="B200" s="363" t="s">
        <v>276</v>
      </c>
      <c r="C200" s="323" t="s">
        <v>455</v>
      </c>
      <c r="D200" s="322" t="s">
        <v>209</v>
      </c>
      <c r="E200" s="323" t="s">
        <v>490</v>
      </c>
      <c r="F200" s="323"/>
      <c r="G200" s="324">
        <v>187075</v>
      </c>
      <c r="H200" s="324" t="s">
        <v>102</v>
      </c>
      <c r="I200" s="374">
        <v>2</v>
      </c>
      <c r="J200" s="237">
        <v>2</v>
      </c>
      <c r="K200" s="237">
        <v>3</v>
      </c>
      <c r="L200" s="237">
        <v>4</v>
      </c>
      <c r="M200" s="237">
        <v>4</v>
      </c>
      <c r="N200" s="237">
        <v>2</v>
      </c>
      <c r="O200" s="237">
        <v>4</v>
      </c>
      <c r="P200" s="237">
        <v>4</v>
      </c>
      <c r="Q200" s="382" t="str">
        <f>IF(COUNTIF(tblSeverityAnalysis[[#This Row],[SAMV]:[ASH]], 1)=0, "", COUNTIF(tblSeverityAnalysis[[#This Row],[SAMV]:[ASH]], 1))</f>
        <v/>
      </c>
      <c r="R200" s="325">
        <f>IF(COUNTIF(tblSeverityAnalysis[[#This Row],[SAMV]:[ASH]], 2)=0, "", COUNTIF(tblSeverityAnalysis[[#This Row],[SAMV]:[ASH]], 2))</f>
        <v>3</v>
      </c>
      <c r="S200" s="325">
        <f>IF(COUNTIF(tblSeverityAnalysis[[#This Row],[SAMV]:[ASH]], 3)=0, "", COUNTIF(tblSeverityAnalysis[[#This Row],[SAMV]:[ASH]], 3))</f>
        <v>1</v>
      </c>
      <c r="T200" s="325">
        <f>IF(COUNTIF(tblSeverityAnalysis[[#This Row],[SAMV]:[ASH]], 4)=0, "", COUNTIF(tblSeverityAnalysis[[#This Row],[SAMV]:[ASH]], 4))</f>
        <v>2</v>
      </c>
      <c r="U200" s="383" t="str">
        <f>IF(COUNTIF(tblSeverityAnalysis[[#This Row],[SAMV]:[ASH]], 5)=0, "", COUNTIF(tblSeverityAnalysis[[#This Row],[SAMV]:[ASH]], 5))</f>
        <v/>
      </c>
      <c r="V200" s="375" cm="1">
        <f t="array" ref="V20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0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00" s="237" t="str">
        <f>IFERROR(IF(INDEX(tblSeverityReference[Severidad de la desnutrición],MATCH(tblSeverityAnalysis[[#This Row],[ID]], tblSeverityReference[ID], 0))= "", "",INDEX(tblSeverityReference[Severidad de la desnutrición],MATCH(tblSeverityAnalysis[[#This Row],[ID]], tblSeverityReference[ID], 0)) ), "")</f>
        <v/>
      </c>
      <c r="Y200" s="349" t="str">
        <f>IFERROR(IF(INDEX(tblSeverityReference[Severidad epidémica],MATCH(tblSeverityAnalysis[[#This Row],[ID]], tblSeverityReference[ID], 0))= "", "",INDEX(tblSeverityReference[Severidad epidémica],MATCH(tblSeverityAnalysis[[#This Row],[ID]], tblSeverityReference[ID], 0)) ), "")</f>
        <v/>
      </c>
      <c r="Z20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00" s="391" t="str">
        <f>IFERROR(IF(INDEX(tblSeverityReference[HR/IHL Violation],MATCH(tblSeverityAnalysis[[#This Row],[ID]], tblSeverityReference[ID], 0))= "", "",INDEX(tblSeverityReference[HR/IHL Violation],MATCH(tblSeverityAnalysis[[#This Row],[ID]], tblSeverityReference[ID], 0)) ), "")</f>
        <v/>
      </c>
      <c r="AB200" s="397">
        <f>IFERROR(AVERAGE(tblSeverityAnalysis[[#This Row],[SAMV]:[ASH]]), "")</f>
        <v>2.8333333333333335</v>
      </c>
      <c r="AC200" s="346">
        <f>IF(SUM(tblSeverityAnalysis[[#This Row],[SAMV]:[ASH]])=0, "", MAX(tblSeverityAnalysis[[#This Row],[SAMV]:[ASH]]))</f>
        <v>4</v>
      </c>
      <c r="AD200" s="261" t="str" cm="1">
        <f t="array" ref="AD200">IFERROR(IF(tblSeverityAnalysis[[#This Row],[Severidad máxima]]="", "", _xlfn.TEXTJOIN(CHAR(10), TRUE, IF(tblSeverityAnalysis[[#This Row],[SAMV]:[ASH]]=tblSeverityAnalysis[[#This Row],[Severidad máxima]], tblSeverityAnalysis[[#Headers],[SAMV]:[ASH]], ""), "")), "")</f>
        <v>EDU
PRO</v>
      </c>
      <c r="AE200" s="346" cm="1">
        <f t="array" ref="AE200">IFERROR(MAX(_xlfn._xlws.FILTER(tblSeverityAnalysis[[#This Row],[SAMV]:[ASH]], tblSeverityAnalysis[[#This Row],[SAMV]:[ASH]]&lt;tblSeverityAnalysis[[#This Row],[Severidad máxima]])), "")</f>
        <v>3</v>
      </c>
      <c r="AF200" s="398" t="str" cm="1">
        <f t="array" ref="AF200">IFERROR(IF(tblSeverityAnalysis[[#This Row],[2ª mayor severidad]]="", "", _xlfn.TEXTJOIN(CHAR(10), TRUE, IF(tblSeverityAnalysis[[#This Row],[SAMV]:[ASH]]=tblSeverityAnalysis[[#This Row],[2ª mayor severidad]], tblSeverityAnalysis[[#Headers],[SAMV]:[ASH]], ""), "")), "")</f>
        <v>SAL</v>
      </c>
      <c r="AG200" s="405" t="str">
        <f>IFERROR(IF(AND(tblSeverityAnalysis[[#This Row],[5]] &lt;&gt; "", tblSeverityAnalysis[[#This Row],[5]]&gt;=sectors_sev_5), "Flagged", ""), "")</f>
        <v/>
      </c>
      <c r="AH200" s="347" t="str">
        <f>IFERROR(IF(AND(tblSeverityAnalysis[[#This Row],[Severidad preliminar basada en la superposición de privaciones sectoriales]]=5, SUM(tblSeverityAnalysis[[#This Row],[ 1 ]:[ 4 ]])&gt;=sectors_sev_5), "Flagged", ""), "")</f>
        <v/>
      </c>
      <c r="AI200" s="348" t="str" cm="1">
        <f t="array" ref="AI20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0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00" s="350"/>
      <c r="AL200" s="351"/>
      <c r="AM200" s="350"/>
      <c r="AN200" s="407">
        <f>COUNTIF(tblSeverityAnalysis[[#This Row],[1 sectores en fase de severidad 5 '[modificar el umbral']]:[Marcador manual]], "Flagged")</f>
        <v>0</v>
      </c>
      <c r="AO200" s="418">
        <f>tblSeverityAnalysis[[#This Row],[Severidad preliminar basada en la superposición de privaciones sectoriales]]</f>
        <v>2</v>
      </c>
      <c r="AP200" s="417"/>
      <c r="AQ200" s="421" t="s">
        <v>876</v>
      </c>
      <c r="AR200" s="417">
        <v>3</v>
      </c>
    </row>
    <row r="201" spans="1:44" hidden="1">
      <c r="A20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VenezolanosVE1601</v>
      </c>
      <c r="B201" s="363" t="s">
        <v>491</v>
      </c>
      <c r="C201" s="323" t="s">
        <v>492</v>
      </c>
      <c r="D201" s="322" t="s">
        <v>318</v>
      </c>
      <c r="E201" s="323" t="s">
        <v>493</v>
      </c>
      <c r="F201" s="323"/>
      <c r="G201" s="324">
        <v>18218</v>
      </c>
      <c r="H201" s="324" t="s">
        <v>102</v>
      </c>
      <c r="I201" s="374">
        <v>3</v>
      </c>
      <c r="J201" s="237">
        <v>2</v>
      </c>
      <c r="K201" s="237">
        <v>4</v>
      </c>
      <c r="L201" s="237">
        <v>3</v>
      </c>
      <c r="M201" s="237">
        <v>3</v>
      </c>
      <c r="N201" s="237">
        <v>2</v>
      </c>
      <c r="O201" s="237">
        <v>3</v>
      </c>
      <c r="P201" s="237">
        <v>3</v>
      </c>
      <c r="Q201" s="382" t="str">
        <f>IF(COUNTIF(tblSeverityAnalysis[[#This Row],[SAMV]:[ASH]], 1)=0, "", COUNTIF(tblSeverityAnalysis[[#This Row],[SAMV]:[ASH]], 1))</f>
        <v/>
      </c>
      <c r="R201" s="325">
        <f>IF(COUNTIF(tblSeverityAnalysis[[#This Row],[SAMV]:[ASH]], 2)=0, "", COUNTIF(tblSeverityAnalysis[[#This Row],[SAMV]:[ASH]], 2))</f>
        <v>2</v>
      </c>
      <c r="S201" s="325">
        <f>IF(COUNTIF(tblSeverityAnalysis[[#This Row],[SAMV]:[ASH]], 3)=0, "", COUNTIF(tblSeverityAnalysis[[#This Row],[SAMV]:[ASH]], 3))</f>
        <v>3</v>
      </c>
      <c r="T201" s="325">
        <f>IF(COUNTIF(tblSeverityAnalysis[[#This Row],[SAMV]:[ASH]], 4)=0, "", COUNTIF(tblSeverityAnalysis[[#This Row],[SAMV]:[ASH]], 4))</f>
        <v>1</v>
      </c>
      <c r="U201" s="383" t="str">
        <f>IF(COUNTIF(tblSeverityAnalysis[[#This Row],[SAMV]:[ASH]], 5)=0, "", COUNTIF(tblSeverityAnalysis[[#This Row],[SAMV]:[ASH]], 5))</f>
        <v/>
      </c>
      <c r="V201" s="375" cm="1">
        <f t="array" ref="V20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0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01" s="237" t="str">
        <f>IFERROR(IF(INDEX(tblSeverityReference[Severidad de la desnutrición],MATCH(tblSeverityAnalysis[[#This Row],[ID]], tblSeverityReference[ID], 0))= "", "",INDEX(tblSeverityReference[Severidad de la desnutrición],MATCH(tblSeverityAnalysis[[#This Row],[ID]], tblSeverityReference[ID], 0)) ), "")</f>
        <v/>
      </c>
      <c r="Y201" s="349" t="str">
        <f>IFERROR(IF(INDEX(tblSeverityReference[Severidad epidémica],MATCH(tblSeverityAnalysis[[#This Row],[ID]], tblSeverityReference[ID], 0))= "", "",INDEX(tblSeverityReference[Severidad epidémica],MATCH(tblSeverityAnalysis[[#This Row],[ID]], tblSeverityReference[ID], 0)) ), "")</f>
        <v/>
      </c>
      <c r="Z20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01" s="391" t="str">
        <f>IFERROR(IF(INDEX(tblSeverityReference[HR/IHL Violation],MATCH(tblSeverityAnalysis[[#This Row],[ID]], tblSeverityReference[ID], 0))= "", "",INDEX(tblSeverityReference[HR/IHL Violation],MATCH(tblSeverityAnalysis[[#This Row],[ID]], tblSeverityReference[ID], 0)) ), "")</f>
        <v/>
      </c>
      <c r="AB201" s="397">
        <f>IFERROR(AVERAGE(tblSeverityAnalysis[[#This Row],[SAMV]:[ASH]]), "")</f>
        <v>2.8333333333333335</v>
      </c>
      <c r="AC201" s="346">
        <f>IF(SUM(tblSeverityAnalysis[[#This Row],[SAMV]:[ASH]])=0, "", MAX(tblSeverityAnalysis[[#This Row],[SAMV]:[ASH]]))</f>
        <v>4</v>
      </c>
      <c r="AD201" s="261" t="str" cm="1">
        <f t="array" ref="AD201">IFERROR(IF(tblSeverityAnalysis[[#This Row],[Severidad máxima]]="", "", _xlfn.TEXTJOIN(CHAR(10), TRUE, IF(tblSeverityAnalysis[[#This Row],[SAMV]:[ASH]]=tblSeverityAnalysis[[#This Row],[Severidad máxima]], tblSeverityAnalysis[[#Headers],[SAMV]:[ASH]], ""), "")), "")</f>
        <v>SAL</v>
      </c>
      <c r="AE201" s="346" cm="1">
        <f t="array" ref="AE201">IFERROR(MAX(_xlfn._xlws.FILTER(tblSeverityAnalysis[[#This Row],[SAMV]:[ASH]], tblSeverityAnalysis[[#This Row],[SAMV]:[ASH]]&lt;tblSeverityAnalysis[[#This Row],[Severidad máxima]])), "")</f>
        <v>3</v>
      </c>
      <c r="AF201" s="398" t="str" cm="1">
        <f t="array" ref="AF201">IFERROR(IF(tblSeverityAnalysis[[#This Row],[2ª mayor severidad]]="", "", _xlfn.TEXTJOIN(CHAR(10), TRUE, IF(tblSeverityAnalysis[[#This Row],[SAMV]:[ASH]]=tblSeverityAnalysis[[#This Row],[2ª mayor severidad]], tblSeverityAnalysis[[#Headers],[SAMV]:[ASH]], ""), "")), "")</f>
        <v>SAMV
EDU
PRO</v>
      </c>
      <c r="AG201" s="405" t="str">
        <f>IFERROR(IF(AND(tblSeverityAnalysis[[#This Row],[5]] &lt;&gt; "", tblSeverityAnalysis[[#This Row],[5]]&gt;=sectors_sev_5), "Flagged", ""), "")</f>
        <v/>
      </c>
      <c r="AH201" s="347" t="str">
        <f>IFERROR(IF(AND(tblSeverityAnalysis[[#This Row],[Severidad preliminar basada en la superposición de privaciones sectoriales]]=5, SUM(tblSeverityAnalysis[[#This Row],[ 1 ]:[ 4 ]])&gt;=sectors_sev_5), "Flagged", ""), "")</f>
        <v/>
      </c>
      <c r="AI201" s="348" t="str" cm="1">
        <f t="array" ref="AI20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0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01" s="350"/>
      <c r="AL201" s="351"/>
      <c r="AM201" s="350"/>
      <c r="AN201" s="407">
        <f>COUNTIF(tblSeverityAnalysis[[#This Row],[1 sectores en fase de severidad 5 '[modificar el umbral']]:[Marcador manual]], "Flagged")</f>
        <v>0</v>
      </c>
      <c r="AO201" s="418">
        <f>tblSeverityAnalysis[[#This Row],[Severidad preliminar basada en la superposición de privaciones sectoriales]]</f>
        <v>3</v>
      </c>
      <c r="AP201" s="417"/>
      <c r="AQ201" s="421" t="s">
        <v>876</v>
      </c>
      <c r="AR201" s="417">
        <v>3</v>
      </c>
    </row>
    <row r="202" spans="1:44" hidden="1">
      <c r="A20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VenezolanosVE1602</v>
      </c>
      <c r="B202" s="363" t="s">
        <v>491</v>
      </c>
      <c r="C202" s="323" t="s">
        <v>492</v>
      </c>
      <c r="D202" s="322" t="s">
        <v>494</v>
      </c>
      <c r="E202" s="323" t="s">
        <v>495</v>
      </c>
      <c r="F202" s="323"/>
      <c r="G202" s="324">
        <v>11856</v>
      </c>
      <c r="H202" s="324" t="s">
        <v>102</v>
      </c>
      <c r="I202" s="374">
        <v>3</v>
      </c>
      <c r="J202" s="237">
        <v>3</v>
      </c>
      <c r="K202" s="237">
        <v>4</v>
      </c>
      <c r="L202" s="237">
        <v>3</v>
      </c>
      <c r="M202" s="237">
        <v>3</v>
      </c>
      <c r="N202" s="237">
        <v>2</v>
      </c>
      <c r="O202" s="237">
        <v>3</v>
      </c>
      <c r="P202" s="237">
        <v>3</v>
      </c>
      <c r="Q202" s="382" t="str">
        <f>IF(COUNTIF(tblSeverityAnalysis[[#This Row],[SAMV]:[ASH]], 1)=0, "", COUNTIF(tblSeverityAnalysis[[#This Row],[SAMV]:[ASH]], 1))</f>
        <v/>
      </c>
      <c r="R202" s="325">
        <f>IF(COUNTIF(tblSeverityAnalysis[[#This Row],[SAMV]:[ASH]], 2)=0, "", COUNTIF(tblSeverityAnalysis[[#This Row],[SAMV]:[ASH]], 2))</f>
        <v>1</v>
      </c>
      <c r="S202" s="325">
        <f>IF(COUNTIF(tblSeverityAnalysis[[#This Row],[SAMV]:[ASH]], 3)=0, "", COUNTIF(tblSeverityAnalysis[[#This Row],[SAMV]:[ASH]], 3))</f>
        <v>4</v>
      </c>
      <c r="T202" s="325">
        <f>IF(COUNTIF(tblSeverityAnalysis[[#This Row],[SAMV]:[ASH]], 4)=0, "", COUNTIF(tblSeverityAnalysis[[#This Row],[SAMV]:[ASH]], 4))</f>
        <v>1</v>
      </c>
      <c r="U202" s="383" t="str">
        <f>IF(COUNTIF(tblSeverityAnalysis[[#This Row],[SAMV]:[ASH]], 5)=0, "", COUNTIF(tblSeverityAnalysis[[#This Row],[SAMV]:[ASH]], 5))</f>
        <v/>
      </c>
      <c r="V202" s="375" cm="1">
        <f t="array" ref="V20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0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02" s="237" t="str">
        <f>IFERROR(IF(INDEX(tblSeverityReference[Severidad de la desnutrición],MATCH(tblSeverityAnalysis[[#This Row],[ID]], tblSeverityReference[ID], 0))= "", "",INDEX(tblSeverityReference[Severidad de la desnutrición],MATCH(tblSeverityAnalysis[[#This Row],[ID]], tblSeverityReference[ID], 0)) ), "")</f>
        <v/>
      </c>
      <c r="Y202" s="349" t="str">
        <f>IFERROR(IF(INDEX(tblSeverityReference[Severidad epidémica],MATCH(tblSeverityAnalysis[[#This Row],[ID]], tblSeverityReference[ID], 0))= "", "",INDEX(tblSeverityReference[Severidad epidémica],MATCH(tblSeverityAnalysis[[#This Row],[ID]], tblSeverityReference[ID], 0)) ), "")</f>
        <v/>
      </c>
      <c r="Z20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02" s="391" t="str">
        <f>IFERROR(IF(INDEX(tblSeverityReference[HR/IHL Violation],MATCH(tblSeverityAnalysis[[#This Row],[ID]], tblSeverityReference[ID], 0))= "", "",INDEX(tblSeverityReference[HR/IHL Violation],MATCH(tblSeverityAnalysis[[#This Row],[ID]], tblSeverityReference[ID], 0)) ), "")</f>
        <v/>
      </c>
      <c r="AB202" s="397">
        <f>IFERROR(AVERAGE(tblSeverityAnalysis[[#This Row],[SAMV]:[ASH]]), "")</f>
        <v>3</v>
      </c>
      <c r="AC202" s="346">
        <f>IF(SUM(tblSeverityAnalysis[[#This Row],[SAMV]:[ASH]])=0, "", MAX(tblSeverityAnalysis[[#This Row],[SAMV]:[ASH]]))</f>
        <v>4</v>
      </c>
      <c r="AD202" s="261" t="str" cm="1">
        <f t="array" ref="AD202">IFERROR(IF(tblSeverityAnalysis[[#This Row],[Severidad máxima]]="", "", _xlfn.TEXTJOIN(CHAR(10), TRUE, IF(tblSeverityAnalysis[[#This Row],[SAMV]:[ASH]]=tblSeverityAnalysis[[#This Row],[Severidad máxima]], tblSeverityAnalysis[[#Headers],[SAMV]:[ASH]], ""), "")), "")</f>
        <v>SAL</v>
      </c>
      <c r="AE202" s="346" cm="1">
        <f t="array" ref="AE202">IFERROR(MAX(_xlfn._xlws.FILTER(tblSeverityAnalysis[[#This Row],[SAMV]:[ASH]], tblSeverityAnalysis[[#This Row],[SAMV]:[ASH]]&lt;tblSeverityAnalysis[[#This Row],[Severidad máxima]])), "")</f>
        <v>3</v>
      </c>
      <c r="AF202" s="398" t="str" cm="1">
        <f t="array" ref="AF202">IFERROR(IF(tblSeverityAnalysis[[#This Row],[2ª mayor severidad]]="", "", _xlfn.TEXTJOIN(CHAR(10), TRUE, IF(tblSeverityAnalysis[[#This Row],[SAMV]:[ASH]]=tblSeverityAnalysis[[#This Row],[2ª mayor severidad]], tblSeverityAnalysis[[#Headers],[SAMV]:[ASH]], ""), "")), "")</f>
        <v>SAMV
NUT
EDU
PRO</v>
      </c>
      <c r="AG202" s="405" t="str">
        <f>IFERROR(IF(AND(tblSeverityAnalysis[[#This Row],[5]] &lt;&gt; "", tblSeverityAnalysis[[#This Row],[5]]&gt;=sectors_sev_5), "Flagged", ""), "")</f>
        <v/>
      </c>
      <c r="AH202" s="347" t="str">
        <f>IFERROR(IF(AND(tblSeverityAnalysis[[#This Row],[Severidad preliminar basada en la superposición de privaciones sectoriales]]=5, SUM(tblSeverityAnalysis[[#This Row],[ 1 ]:[ 4 ]])&gt;=sectors_sev_5), "Flagged", ""), "")</f>
        <v/>
      </c>
      <c r="AI202" s="348" t="str" cm="1">
        <f t="array" ref="AI20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0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02" s="350"/>
      <c r="AL202" s="351"/>
      <c r="AM202" s="350"/>
      <c r="AN202" s="407">
        <f>COUNTIF(tblSeverityAnalysis[[#This Row],[1 sectores en fase de severidad 5 '[modificar el umbral']]:[Marcador manual]], "Flagged")</f>
        <v>0</v>
      </c>
      <c r="AO202" s="418">
        <f>tblSeverityAnalysis[[#This Row],[Severidad preliminar basada en la superposición de privaciones sectoriales]]</f>
        <v>3</v>
      </c>
      <c r="AP202" s="417"/>
      <c r="AQ202" s="421" t="s">
        <v>876</v>
      </c>
      <c r="AR202" s="417">
        <v>3</v>
      </c>
    </row>
    <row r="203" spans="1:44" hidden="1">
      <c r="A20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VenezolanosVE1603</v>
      </c>
      <c r="B203" s="363" t="s">
        <v>491</v>
      </c>
      <c r="C203" s="323" t="s">
        <v>492</v>
      </c>
      <c r="D203" s="322" t="s">
        <v>180</v>
      </c>
      <c r="E203" s="323" t="s">
        <v>496</v>
      </c>
      <c r="F203" s="323"/>
      <c r="G203" s="324">
        <v>38648</v>
      </c>
      <c r="H203" s="324" t="s">
        <v>102</v>
      </c>
      <c r="I203" s="374">
        <v>4</v>
      </c>
      <c r="J203" s="237">
        <v>2</v>
      </c>
      <c r="K203" s="237">
        <v>3</v>
      </c>
      <c r="L203" s="237">
        <v>3</v>
      </c>
      <c r="M203" s="237">
        <v>3</v>
      </c>
      <c r="N203" s="237">
        <v>3</v>
      </c>
      <c r="O203" s="237">
        <v>3</v>
      </c>
      <c r="P203" s="237">
        <v>3</v>
      </c>
      <c r="Q203" s="382" t="str">
        <f>IF(COUNTIF(tblSeverityAnalysis[[#This Row],[SAMV]:[ASH]], 1)=0, "", COUNTIF(tblSeverityAnalysis[[#This Row],[SAMV]:[ASH]], 1))</f>
        <v/>
      </c>
      <c r="R203" s="325">
        <f>IF(COUNTIF(tblSeverityAnalysis[[#This Row],[SAMV]:[ASH]], 2)=0, "", COUNTIF(tblSeverityAnalysis[[#This Row],[SAMV]:[ASH]], 2))</f>
        <v>1</v>
      </c>
      <c r="S203" s="325">
        <f>IF(COUNTIF(tblSeverityAnalysis[[#This Row],[SAMV]:[ASH]], 3)=0, "", COUNTIF(tblSeverityAnalysis[[#This Row],[SAMV]:[ASH]], 3))</f>
        <v>4</v>
      </c>
      <c r="T203" s="325">
        <f>IF(COUNTIF(tblSeverityAnalysis[[#This Row],[SAMV]:[ASH]], 4)=0, "", COUNTIF(tblSeverityAnalysis[[#This Row],[SAMV]:[ASH]], 4))</f>
        <v>1</v>
      </c>
      <c r="U203" s="383" t="str">
        <f>IF(COUNTIF(tblSeverityAnalysis[[#This Row],[SAMV]:[ASH]], 5)=0, "", COUNTIF(tblSeverityAnalysis[[#This Row],[SAMV]:[ASH]], 5))</f>
        <v/>
      </c>
      <c r="V203" s="375" cm="1">
        <f t="array" ref="V20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0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03" s="237" t="str">
        <f>IFERROR(IF(INDEX(tblSeverityReference[Severidad de la desnutrición],MATCH(tblSeverityAnalysis[[#This Row],[ID]], tblSeverityReference[ID], 0))= "", "",INDEX(tblSeverityReference[Severidad de la desnutrición],MATCH(tblSeverityAnalysis[[#This Row],[ID]], tblSeverityReference[ID], 0)) ), "")</f>
        <v/>
      </c>
      <c r="Y203" s="349" t="str">
        <f>IFERROR(IF(INDEX(tblSeverityReference[Severidad epidémica],MATCH(tblSeverityAnalysis[[#This Row],[ID]], tblSeverityReference[ID], 0))= "", "",INDEX(tblSeverityReference[Severidad epidémica],MATCH(tblSeverityAnalysis[[#This Row],[ID]], tblSeverityReference[ID], 0)) ), "")</f>
        <v/>
      </c>
      <c r="Z20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03" s="391" t="str">
        <f>IFERROR(IF(INDEX(tblSeverityReference[HR/IHL Violation],MATCH(tblSeverityAnalysis[[#This Row],[ID]], tblSeverityReference[ID], 0))= "", "",INDEX(tblSeverityReference[HR/IHL Violation],MATCH(tblSeverityAnalysis[[#This Row],[ID]], tblSeverityReference[ID], 0)) ), "")</f>
        <v/>
      </c>
      <c r="AB203" s="397">
        <f>IFERROR(AVERAGE(tblSeverityAnalysis[[#This Row],[SAMV]:[ASH]]), "")</f>
        <v>3</v>
      </c>
      <c r="AC203" s="346">
        <f>IF(SUM(tblSeverityAnalysis[[#This Row],[SAMV]:[ASH]])=0, "", MAX(tblSeverityAnalysis[[#This Row],[SAMV]:[ASH]]))</f>
        <v>4</v>
      </c>
      <c r="AD203" s="261" t="str" cm="1">
        <f t="array" ref="AD203">IFERROR(IF(tblSeverityAnalysis[[#This Row],[Severidad máxima]]="", "", _xlfn.TEXTJOIN(CHAR(10), TRUE, IF(tblSeverityAnalysis[[#This Row],[SAMV]:[ASH]]=tblSeverityAnalysis[[#This Row],[Severidad máxima]], tblSeverityAnalysis[[#Headers],[SAMV]:[ASH]], ""), "")), "")</f>
        <v>SAMV</v>
      </c>
      <c r="AE203" s="346" cm="1">
        <f t="array" ref="AE203">IFERROR(MAX(_xlfn._xlws.FILTER(tblSeverityAnalysis[[#This Row],[SAMV]:[ASH]], tblSeverityAnalysis[[#This Row],[SAMV]:[ASH]]&lt;tblSeverityAnalysis[[#This Row],[Severidad máxima]])), "")</f>
        <v>3</v>
      </c>
      <c r="AF203" s="398" t="str" cm="1">
        <f t="array" ref="AF203">IFERROR(IF(tblSeverityAnalysis[[#This Row],[2ª mayor severidad]]="", "", _xlfn.TEXTJOIN(CHAR(10), TRUE, IF(tblSeverityAnalysis[[#This Row],[SAMV]:[ASH]]=tblSeverityAnalysis[[#This Row],[2ª mayor severidad]], tblSeverityAnalysis[[#Headers],[SAMV]:[ASH]], ""), "")), "")</f>
        <v>SAL
EDU
PRO
ASH</v>
      </c>
      <c r="AG203" s="405" t="str">
        <f>IFERROR(IF(AND(tblSeverityAnalysis[[#This Row],[5]] &lt;&gt; "", tblSeverityAnalysis[[#This Row],[5]]&gt;=sectors_sev_5), "Flagged", ""), "")</f>
        <v/>
      </c>
      <c r="AH203" s="347" t="str">
        <f>IFERROR(IF(AND(tblSeverityAnalysis[[#This Row],[Severidad preliminar basada en la superposición de privaciones sectoriales]]=5, SUM(tblSeverityAnalysis[[#This Row],[ 1 ]:[ 4 ]])&gt;=sectors_sev_5), "Flagged", ""), "")</f>
        <v/>
      </c>
      <c r="AI203" s="348" t="str" cm="1">
        <f t="array" ref="AI20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0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03" s="350"/>
      <c r="AL203" s="351"/>
      <c r="AM203" s="350"/>
      <c r="AN203" s="407">
        <f>COUNTIF(tblSeverityAnalysis[[#This Row],[1 sectores en fase de severidad 5 '[modificar el umbral']]:[Marcador manual]], "Flagged")</f>
        <v>0</v>
      </c>
      <c r="AO203" s="418">
        <f>tblSeverityAnalysis[[#This Row],[Severidad preliminar basada en la superposición de privaciones sectoriales]]</f>
        <v>3</v>
      </c>
      <c r="AP203" s="417"/>
      <c r="AQ203" s="421" t="s">
        <v>876</v>
      </c>
      <c r="AR203" s="417">
        <v>3</v>
      </c>
    </row>
    <row r="204" spans="1:44" hidden="1">
      <c r="A20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VenezolanosVE1604</v>
      </c>
      <c r="B204" s="363" t="s">
        <v>491</v>
      </c>
      <c r="C204" s="323" t="s">
        <v>492</v>
      </c>
      <c r="D204" s="322" t="s">
        <v>497</v>
      </c>
      <c r="E204" s="323" t="s">
        <v>498</v>
      </c>
      <c r="F204" s="323"/>
      <c r="G204" s="324">
        <v>33738</v>
      </c>
      <c r="H204" s="324" t="s">
        <v>102</v>
      </c>
      <c r="I204" s="374">
        <v>3</v>
      </c>
      <c r="J204" s="237">
        <v>2</v>
      </c>
      <c r="K204" s="237">
        <v>3</v>
      </c>
      <c r="L204" s="237">
        <v>3</v>
      </c>
      <c r="M204" s="237">
        <v>3</v>
      </c>
      <c r="N204" s="237">
        <v>2</v>
      </c>
      <c r="O204" s="237">
        <v>3</v>
      </c>
      <c r="P204" s="237">
        <v>3</v>
      </c>
      <c r="Q204" s="382" t="str">
        <f>IF(COUNTIF(tblSeverityAnalysis[[#This Row],[SAMV]:[ASH]], 1)=0, "", COUNTIF(tblSeverityAnalysis[[#This Row],[SAMV]:[ASH]], 1))</f>
        <v/>
      </c>
      <c r="R204" s="325">
        <f>IF(COUNTIF(tblSeverityAnalysis[[#This Row],[SAMV]:[ASH]], 2)=0, "", COUNTIF(tblSeverityAnalysis[[#This Row],[SAMV]:[ASH]], 2))</f>
        <v>2</v>
      </c>
      <c r="S204" s="325">
        <f>IF(COUNTIF(tblSeverityAnalysis[[#This Row],[SAMV]:[ASH]], 3)=0, "", COUNTIF(tblSeverityAnalysis[[#This Row],[SAMV]:[ASH]], 3))</f>
        <v>4</v>
      </c>
      <c r="T204" s="325" t="str">
        <f>IF(COUNTIF(tblSeverityAnalysis[[#This Row],[SAMV]:[ASH]], 4)=0, "", COUNTIF(tblSeverityAnalysis[[#This Row],[SAMV]:[ASH]], 4))</f>
        <v/>
      </c>
      <c r="U204" s="383" t="str">
        <f>IF(COUNTIF(tblSeverityAnalysis[[#This Row],[SAMV]:[ASH]], 5)=0, "", COUNTIF(tblSeverityAnalysis[[#This Row],[SAMV]:[ASH]], 5))</f>
        <v/>
      </c>
      <c r="V204" s="375" cm="1">
        <f t="array" ref="V20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0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04" s="237" t="str">
        <f>IFERROR(IF(INDEX(tblSeverityReference[Severidad de la desnutrición],MATCH(tblSeverityAnalysis[[#This Row],[ID]], tblSeverityReference[ID], 0))= "", "",INDEX(tblSeverityReference[Severidad de la desnutrición],MATCH(tblSeverityAnalysis[[#This Row],[ID]], tblSeverityReference[ID], 0)) ), "")</f>
        <v/>
      </c>
      <c r="Y204" s="349" t="str">
        <f>IFERROR(IF(INDEX(tblSeverityReference[Severidad epidémica],MATCH(tblSeverityAnalysis[[#This Row],[ID]], tblSeverityReference[ID], 0))= "", "",INDEX(tblSeverityReference[Severidad epidémica],MATCH(tblSeverityAnalysis[[#This Row],[ID]], tblSeverityReference[ID], 0)) ), "")</f>
        <v/>
      </c>
      <c r="Z20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04" s="391" t="str">
        <f>IFERROR(IF(INDEX(tblSeverityReference[HR/IHL Violation],MATCH(tblSeverityAnalysis[[#This Row],[ID]], tblSeverityReference[ID], 0))= "", "",INDEX(tblSeverityReference[HR/IHL Violation],MATCH(tblSeverityAnalysis[[#This Row],[ID]], tblSeverityReference[ID], 0)) ), "")</f>
        <v/>
      </c>
      <c r="AB204" s="397">
        <f>IFERROR(AVERAGE(tblSeverityAnalysis[[#This Row],[SAMV]:[ASH]]), "")</f>
        <v>2.6666666666666665</v>
      </c>
      <c r="AC204" s="346">
        <f>IF(SUM(tblSeverityAnalysis[[#This Row],[SAMV]:[ASH]])=0, "", MAX(tblSeverityAnalysis[[#This Row],[SAMV]:[ASH]]))</f>
        <v>3</v>
      </c>
      <c r="AD204" s="261" t="str" cm="1">
        <f t="array" ref="AD204">IFERROR(IF(tblSeverityAnalysis[[#This Row],[Severidad máxima]]="", "", _xlfn.TEXTJOIN(CHAR(10), TRUE, IF(tblSeverityAnalysis[[#This Row],[SAMV]:[ASH]]=tblSeverityAnalysis[[#This Row],[Severidad máxima]], tblSeverityAnalysis[[#Headers],[SAMV]:[ASH]], ""), "")), "")</f>
        <v>SAMV
SAL
EDU
PRO</v>
      </c>
      <c r="AE204" s="346" cm="1">
        <f t="array" ref="AE204">IFERROR(MAX(_xlfn._xlws.FILTER(tblSeverityAnalysis[[#This Row],[SAMV]:[ASH]], tblSeverityAnalysis[[#This Row],[SAMV]:[ASH]]&lt;tblSeverityAnalysis[[#This Row],[Severidad máxima]])), "")</f>
        <v>2</v>
      </c>
      <c r="AF204" s="398" t="str" cm="1">
        <f t="array" ref="AF204">IFERROR(IF(tblSeverityAnalysis[[#This Row],[2ª mayor severidad]]="", "", _xlfn.TEXTJOIN(CHAR(10), TRUE, IF(tblSeverityAnalysis[[#This Row],[SAMV]:[ASH]]=tblSeverityAnalysis[[#This Row],[2ª mayor severidad]], tblSeverityAnalysis[[#Headers],[SAMV]:[ASH]], ""), "")), "")</f>
        <v>NUT
ASH</v>
      </c>
      <c r="AG204" s="405" t="str">
        <f>IFERROR(IF(AND(tblSeverityAnalysis[[#This Row],[5]] &lt;&gt; "", tblSeverityAnalysis[[#This Row],[5]]&gt;=sectors_sev_5), "Flagged", ""), "")</f>
        <v/>
      </c>
      <c r="AH204" s="347" t="str">
        <f>IFERROR(IF(AND(tblSeverityAnalysis[[#This Row],[Severidad preliminar basada en la superposición de privaciones sectoriales]]=5, SUM(tblSeverityAnalysis[[#This Row],[ 1 ]:[ 4 ]])&gt;=sectors_sev_5), "Flagged", ""), "")</f>
        <v/>
      </c>
      <c r="AI204" s="348" t="str" cm="1">
        <f t="array" ref="AI20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0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04" s="350"/>
      <c r="AL204" s="351"/>
      <c r="AM204" s="350"/>
      <c r="AN204" s="407">
        <f>COUNTIF(tblSeverityAnalysis[[#This Row],[1 sectores en fase de severidad 5 '[modificar el umbral']]:[Marcador manual]], "Flagged")</f>
        <v>0</v>
      </c>
      <c r="AO204" s="418">
        <f>tblSeverityAnalysis[[#This Row],[Severidad preliminar basada en la superposición de privaciones sectoriales]]</f>
        <v>3</v>
      </c>
      <c r="AP204" s="417"/>
      <c r="AQ204" s="421" t="s">
        <v>876</v>
      </c>
      <c r="AR204" s="417">
        <v>3</v>
      </c>
    </row>
    <row r="205" spans="1:44" hidden="1">
      <c r="A20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VenezolanosVE1605</v>
      </c>
      <c r="B205" s="363" t="s">
        <v>491</v>
      </c>
      <c r="C205" s="323" t="s">
        <v>492</v>
      </c>
      <c r="D205" s="322" t="s">
        <v>242</v>
      </c>
      <c r="E205" s="323" t="s">
        <v>499</v>
      </c>
      <c r="F205" s="323"/>
      <c r="G205" s="324">
        <v>34463</v>
      </c>
      <c r="H205" s="324" t="s">
        <v>102</v>
      </c>
      <c r="I205" s="374">
        <v>3</v>
      </c>
      <c r="J205" s="237">
        <v>2</v>
      </c>
      <c r="K205" s="237">
        <v>3</v>
      </c>
      <c r="L205" s="237">
        <v>3</v>
      </c>
      <c r="M205" s="237">
        <v>4</v>
      </c>
      <c r="N205" s="237">
        <v>3</v>
      </c>
      <c r="O205" s="237">
        <v>4</v>
      </c>
      <c r="P205" s="237">
        <v>4</v>
      </c>
      <c r="Q205" s="382" t="str">
        <f>IF(COUNTIF(tblSeverityAnalysis[[#This Row],[SAMV]:[ASH]], 1)=0, "", COUNTIF(tblSeverityAnalysis[[#This Row],[SAMV]:[ASH]], 1))</f>
        <v/>
      </c>
      <c r="R205" s="325">
        <f>IF(COUNTIF(tblSeverityAnalysis[[#This Row],[SAMV]:[ASH]], 2)=0, "", COUNTIF(tblSeverityAnalysis[[#This Row],[SAMV]:[ASH]], 2))</f>
        <v>1</v>
      </c>
      <c r="S205" s="325">
        <f>IF(COUNTIF(tblSeverityAnalysis[[#This Row],[SAMV]:[ASH]], 3)=0, "", COUNTIF(tblSeverityAnalysis[[#This Row],[SAMV]:[ASH]], 3))</f>
        <v>4</v>
      </c>
      <c r="T205" s="325">
        <f>IF(COUNTIF(tblSeverityAnalysis[[#This Row],[SAMV]:[ASH]], 4)=0, "", COUNTIF(tblSeverityAnalysis[[#This Row],[SAMV]:[ASH]], 4))</f>
        <v>1</v>
      </c>
      <c r="U205" s="383" t="str">
        <f>IF(COUNTIF(tblSeverityAnalysis[[#This Row],[SAMV]:[ASH]], 5)=0, "", COUNTIF(tblSeverityAnalysis[[#This Row],[SAMV]:[ASH]], 5))</f>
        <v/>
      </c>
      <c r="V205" s="375" cm="1">
        <f t="array" ref="V20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0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05" s="237" t="str">
        <f>IFERROR(IF(INDEX(tblSeverityReference[Severidad de la desnutrición],MATCH(tblSeverityAnalysis[[#This Row],[ID]], tblSeverityReference[ID], 0))= "", "",INDEX(tblSeverityReference[Severidad de la desnutrición],MATCH(tblSeverityAnalysis[[#This Row],[ID]], tblSeverityReference[ID], 0)) ), "")</f>
        <v/>
      </c>
      <c r="Y205" s="349" t="str">
        <f>IFERROR(IF(INDEX(tblSeverityReference[Severidad epidémica],MATCH(tblSeverityAnalysis[[#This Row],[ID]], tblSeverityReference[ID], 0))= "", "",INDEX(tblSeverityReference[Severidad epidémica],MATCH(tblSeverityAnalysis[[#This Row],[ID]], tblSeverityReference[ID], 0)) ), "")</f>
        <v/>
      </c>
      <c r="Z20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05" s="391" t="str">
        <f>IFERROR(IF(INDEX(tblSeverityReference[HR/IHL Violation],MATCH(tblSeverityAnalysis[[#This Row],[ID]], tblSeverityReference[ID], 0))= "", "",INDEX(tblSeverityReference[HR/IHL Violation],MATCH(tblSeverityAnalysis[[#This Row],[ID]], tblSeverityReference[ID], 0)) ), "")</f>
        <v/>
      </c>
      <c r="AB205" s="397">
        <f>IFERROR(AVERAGE(tblSeverityAnalysis[[#This Row],[SAMV]:[ASH]]), "")</f>
        <v>3</v>
      </c>
      <c r="AC205" s="346">
        <f>IF(SUM(tblSeverityAnalysis[[#This Row],[SAMV]:[ASH]])=0, "", MAX(tblSeverityAnalysis[[#This Row],[SAMV]:[ASH]]))</f>
        <v>4</v>
      </c>
      <c r="AD205" s="261" t="str" cm="1">
        <f t="array" ref="AD205">IFERROR(IF(tblSeverityAnalysis[[#This Row],[Severidad máxima]]="", "", _xlfn.TEXTJOIN(CHAR(10), TRUE, IF(tblSeverityAnalysis[[#This Row],[SAMV]:[ASH]]=tblSeverityAnalysis[[#This Row],[Severidad máxima]], tblSeverityAnalysis[[#Headers],[SAMV]:[ASH]], ""), "")), "")</f>
        <v>PRO</v>
      </c>
      <c r="AE205" s="346" cm="1">
        <f t="array" ref="AE205">IFERROR(MAX(_xlfn._xlws.FILTER(tblSeverityAnalysis[[#This Row],[SAMV]:[ASH]], tblSeverityAnalysis[[#This Row],[SAMV]:[ASH]]&lt;tblSeverityAnalysis[[#This Row],[Severidad máxima]])), "")</f>
        <v>3</v>
      </c>
      <c r="AF205" s="398" t="str" cm="1">
        <f t="array" ref="AF205">IFERROR(IF(tblSeverityAnalysis[[#This Row],[2ª mayor severidad]]="", "", _xlfn.TEXTJOIN(CHAR(10), TRUE, IF(tblSeverityAnalysis[[#This Row],[SAMV]:[ASH]]=tblSeverityAnalysis[[#This Row],[2ª mayor severidad]], tblSeverityAnalysis[[#Headers],[SAMV]:[ASH]], ""), "")), "")</f>
        <v>SAMV
SAL
EDU
ASH</v>
      </c>
      <c r="AG205" s="405" t="str">
        <f>IFERROR(IF(AND(tblSeverityAnalysis[[#This Row],[5]] &lt;&gt; "", tblSeverityAnalysis[[#This Row],[5]]&gt;=sectors_sev_5), "Flagged", ""), "")</f>
        <v/>
      </c>
      <c r="AH205" s="347" t="str">
        <f>IFERROR(IF(AND(tblSeverityAnalysis[[#This Row],[Severidad preliminar basada en la superposición de privaciones sectoriales]]=5, SUM(tblSeverityAnalysis[[#This Row],[ 1 ]:[ 4 ]])&gt;=sectors_sev_5), "Flagged", ""), "")</f>
        <v/>
      </c>
      <c r="AI205" s="348" t="str" cm="1">
        <f t="array" ref="AI20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0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05" s="350"/>
      <c r="AL205" s="351"/>
      <c r="AM205" s="350"/>
      <c r="AN205" s="407">
        <f>COUNTIF(tblSeverityAnalysis[[#This Row],[1 sectores en fase de severidad 5 '[modificar el umbral']]:[Marcador manual]], "Flagged")</f>
        <v>0</v>
      </c>
      <c r="AO205" s="418">
        <f>tblSeverityAnalysis[[#This Row],[Severidad preliminar basada en la superposición de privaciones sectoriales]]</f>
        <v>3</v>
      </c>
      <c r="AP205" s="417"/>
      <c r="AQ205" s="421" t="s">
        <v>876</v>
      </c>
      <c r="AR205" s="417">
        <v>3</v>
      </c>
    </row>
    <row r="206" spans="1:44" hidden="1">
      <c r="A20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VenezolanosVE1606</v>
      </c>
      <c r="B206" s="363" t="s">
        <v>491</v>
      </c>
      <c r="C206" s="323" t="s">
        <v>492</v>
      </c>
      <c r="D206" s="322" t="s">
        <v>227</v>
      </c>
      <c r="E206" s="323" t="s">
        <v>500</v>
      </c>
      <c r="F206" s="323"/>
      <c r="G206" s="324">
        <v>62751</v>
      </c>
      <c r="H206" s="324" t="s">
        <v>102</v>
      </c>
      <c r="I206" s="374">
        <v>3</v>
      </c>
      <c r="J206" s="237">
        <v>2</v>
      </c>
      <c r="K206" s="237">
        <v>3</v>
      </c>
      <c r="L206" s="237">
        <v>4</v>
      </c>
      <c r="M206" s="237">
        <v>3</v>
      </c>
      <c r="N206" s="237">
        <v>2</v>
      </c>
      <c r="O206" s="237">
        <v>3</v>
      </c>
      <c r="P206" s="237">
        <v>3</v>
      </c>
      <c r="Q206" s="382" t="str">
        <f>IF(COUNTIF(tblSeverityAnalysis[[#This Row],[SAMV]:[ASH]], 1)=0, "", COUNTIF(tblSeverityAnalysis[[#This Row],[SAMV]:[ASH]], 1))</f>
        <v/>
      </c>
      <c r="R206" s="325">
        <f>IF(COUNTIF(tblSeverityAnalysis[[#This Row],[SAMV]:[ASH]], 2)=0, "", COUNTIF(tblSeverityAnalysis[[#This Row],[SAMV]:[ASH]], 2))</f>
        <v>2</v>
      </c>
      <c r="S206" s="325">
        <f>IF(COUNTIF(tblSeverityAnalysis[[#This Row],[SAMV]:[ASH]], 3)=0, "", COUNTIF(tblSeverityAnalysis[[#This Row],[SAMV]:[ASH]], 3))</f>
        <v>3</v>
      </c>
      <c r="T206" s="325">
        <f>IF(COUNTIF(tblSeverityAnalysis[[#This Row],[SAMV]:[ASH]], 4)=0, "", COUNTIF(tblSeverityAnalysis[[#This Row],[SAMV]:[ASH]], 4))</f>
        <v>1</v>
      </c>
      <c r="U206" s="383" t="str">
        <f>IF(COUNTIF(tblSeverityAnalysis[[#This Row],[SAMV]:[ASH]], 5)=0, "", COUNTIF(tblSeverityAnalysis[[#This Row],[SAMV]:[ASH]], 5))</f>
        <v/>
      </c>
      <c r="V206" s="375" cm="1">
        <f t="array" ref="V20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0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06" s="237" t="str">
        <f>IFERROR(IF(INDEX(tblSeverityReference[Severidad de la desnutrición],MATCH(tblSeverityAnalysis[[#This Row],[ID]], tblSeverityReference[ID], 0))= "", "",INDEX(tblSeverityReference[Severidad de la desnutrición],MATCH(tblSeverityAnalysis[[#This Row],[ID]], tblSeverityReference[ID], 0)) ), "")</f>
        <v/>
      </c>
      <c r="Y206" s="349" t="str">
        <f>IFERROR(IF(INDEX(tblSeverityReference[Severidad epidémica],MATCH(tblSeverityAnalysis[[#This Row],[ID]], tblSeverityReference[ID], 0))= "", "",INDEX(tblSeverityReference[Severidad epidémica],MATCH(tblSeverityAnalysis[[#This Row],[ID]], tblSeverityReference[ID], 0)) ), "")</f>
        <v/>
      </c>
      <c r="Z20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06" s="391" t="str">
        <f>IFERROR(IF(INDEX(tblSeverityReference[HR/IHL Violation],MATCH(tblSeverityAnalysis[[#This Row],[ID]], tblSeverityReference[ID], 0))= "", "",INDEX(tblSeverityReference[HR/IHL Violation],MATCH(tblSeverityAnalysis[[#This Row],[ID]], tblSeverityReference[ID], 0)) ), "")</f>
        <v/>
      </c>
      <c r="AB206" s="397">
        <f>IFERROR(AVERAGE(tblSeverityAnalysis[[#This Row],[SAMV]:[ASH]]), "")</f>
        <v>2.8333333333333335</v>
      </c>
      <c r="AC206" s="346">
        <f>IF(SUM(tblSeverityAnalysis[[#This Row],[SAMV]:[ASH]])=0, "", MAX(tblSeverityAnalysis[[#This Row],[SAMV]:[ASH]]))</f>
        <v>4</v>
      </c>
      <c r="AD206" s="261" t="str" cm="1">
        <f t="array" ref="AD206">IFERROR(IF(tblSeverityAnalysis[[#This Row],[Severidad máxima]]="", "", _xlfn.TEXTJOIN(CHAR(10), TRUE, IF(tblSeverityAnalysis[[#This Row],[SAMV]:[ASH]]=tblSeverityAnalysis[[#This Row],[Severidad máxima]], tblSeverityAnalysis[[#Headers],[SAMV]:[ASH]], ""), "")), "")</f>
        <v>EDU</v>
      </c>
      <c r="AE206" s="346" cm="1">
        <f t="array" ref="AE206">IFERROR(MAX(_xlfn._xlws.FILTER(tblSeverityAnalysis[[#This Row],[SAMV]:[ASH]], tblSeverityAnalysis[[#This Row],[SAMV]:[ASH]]&lt;tblSeverityAnalysis[[#This Row],[Severidad máxima]])), "")</f>
        <v>3</v>
      </c>
      <c r="AF206" s="398" t="str" cm="1">
        <f t="array" ref="AF206">IFERROR(IF(tblSeverityAnalysis[[#This Row],[2ª mayor severidad]]="", "", _xlfn.TEXTJOIN(CHAR(10), TRUE, IF(tblSeverityAnalysis[[#This Row],[SAMV]:[ASH]]=tblSeverityAnalysis[[#This Row],[2ª mayor severidad]], tblSeverityAnalysis[[#Headers],[SAMV]:[ASH]], ""), "")), "")</f>
        <v>SAMV
SAL
PRO</v>
      </c>
      <c r="AG206" s="405" t="str">
        <f>IFERROR(IF(AND(tblSeverityAnalysis[[#This Row],[5]] &lt;&gt; "", tblSeverityAnalysis[[#This Row],[5]]&gt;=sectors_sev_5), "Flagged", ""), "")</f>
        <v/>
      </c>
      <c r="AH206" s="347" t="str">
        <f>IFERROR(IF(AND(tblSeverityAnalysis[[#This Row],[Severidad preliminar basada en la superposición de privaciones sectoriales]]=5, SUM(tblSeverityAnalysis[[#This Row],[ 1 ]:[ 4 ]])&gt;=sectors_sev_5), "Flagged", ""), "")</f>
        <v/>
      </c>
      <c r="AI206" s="348" t="str" cm="1">
        <f t="array" ref="AI20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0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06" s="350"/>
      <c r="AL206" s="351"/>
      <c r="AM206" s="350"/>
      <c r="AN206" s="407">
        <f>COUNTIF(tblSeverityAnalysis[[#This Row],[1 sectores en fase de severidad 5 '[modificar el umbral']]:[Marcador manual]], "Flagged")</f>
        <v>0</v>
      </c>
      <c r="AO206" s="418">
        <f>tblSeverityAnalysis[[#This Row],[Severidad preliminar basada en la superposición de privaciones sectoriales]]</f>
        <v>3</v>
      </c>
      <c r="AP206" s="417"/>
      <c r="AQ206" s="421" t="s">
        <v>876</v>
      </c>
      <c r="AR206" s="417">
        <v>3</v>
      </c>
    </row>
    <row r="207" spans="1:44" hidden="1">
      <c r="A20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VenezolanosVE1607</v>
      </c>
      <c r="B207" s="363" t="s">
        <v>491</v>
      </c>
      <c r="C207" s="323" t="s">
        <v>492</v>
      </c>
      <c r="D207" s="322" t="s">
        <v>100</v>
      </c>
      <c r="E207" s="323" t="s">
        <v>501</v>
      </c>
      <c r="F207" s="323"/>
      <c r="G207" s="324">
        <v>45274</v>
      </c>
      <c r="H207" s="324" t="s">
        <v>102</v>
      </c>
      <c r="I207" s="374">
        <v>3</v>
      </c>
      <c r="J207" s="237">
        <v>2</v>
      </c>
      <c r="K207" s="237">
        <v>3</v>
      </c>
      <c r="L207" s="237">
        <v>3</v>
      </c>
      <c r="M207" s="237">
        <v>4</v>
      </c>
      <c r="N207" s="237">
        <v>2</v>
      </c>
      <c r="O207" s="237">
        <v>4</v>
      </c>
      <c r="P207" s="237">
        <v>4</v>
      </c>
      <c r="Q207" s="382" t="str">
        <f>IF(COUNTIF(tblSeverityAnalysis[[#This Row],[SAMV]:[ASH]], 1)=0, "", COUNTIF(tblSeverityAnalysis[[#This Row],[SAMV]:[ASH]], 1))</f>
        <v/>
      </c>
      <c r="R207" s="325">
        <f>IF(COUNTIF(tblSeverityAnalysis[[#This Row],[SAMV]:[ASH]], 2)=0, "", COUNTIF(tblSeverityAnalysis[[#This Row],[SAMV]:[ASH]], 2))</f>
        <v>2</v>
      </c>
      <c r="S207" s="325">
        <f>IF(COUNTIF(tblSeverityAnalysis[[#This Row],[SAMV]:[ASH]], 3)=0, "", COUNTIF(tblSeverityAnalysis[[#This Row],[SAMV]:[ASH]], 3))</f>
        <v>3</v>
      </c>
      <c r="T207" s="325">
        <f>IF(COUNTIF(tblSeverityAnalysis[[#This Row],[SAMV]:[ASH]], 4)=0, "", COUNTIF(tblSeverityAnalysis[[#This Row],[SAMV]:[ASH]], 4))</f>
        <v>1</v>
      </c>
      <c r="U207" s="383" t="str">
        <f>IF(COUNTIF(tblSeverityAnalysis[[#This Row],[SAMV]:[ASH]], 5)=0, "", COUNTIF(tblSeverityAnalysis[[#This Row],[SAMV]:[ASH]], 5))</f>
        <v/>
      </c>
      <c r="V207" s="375" cm="1">
        <f t="array" ref="V20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0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07" s="237" t="str">
        <f>IFERROR(IF(INDEX(tblSeverityReference[Severidad de la desnutrición],MATCH(tblSeverityAnalysis[[#This Row],[ID]], tblSeverityReference[ID], 0))= "", "",INDEX(tblSeverityReference[Severidad de la desnutrición],MATCH(tblSeverityAnalysis[[#This Row],[ID]], tblSeverityReference[ID], 0)) ), "")</f>
        <v/>
      </c>
      <c r="Y207" s="349" t="str">
        <f>IFERROR(IF(INDEX(tblSeverityReference[Severidad epidémica],MATCH(tblSeverityAnalysis[[#This Row],[ID]], tblSeverityReference[ID], 0))= "", "",INDEX(tblSeverityReference[Severidad epidémica],MATCH(tblSeverityAnalysis[[#This Row],[ID]], tblSeverityReference[ID], 0)) ), "")</f>
        <v/>
      </c>
      <c r="Z20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07" s="391" t="str">
        <f>IFERROR(IF(INDEX(tblSeverityReference[HR/IHL Violation],MATCH(tblSeverityAnalysis[[#This Row],[ID]], tblSeverityReference[ID], 0))= "", "",INDEX(tblSeverityReference[HR/IHL Violation],MATCH(tblSeverityAnalysis[[#This Row],[ID]], tblSeverityReference[ID], 0)) ), "")</f>
        <v/>
      </c>
      <c r="AB207" s="397">
        <f>IFERROR(AVERAGE(tblSeverityAnalysis[[#This Row],[SAMV]:[ASH]]), "")</f>
        <v>2.8333333333333335</v>
      </c>
      <c r="AC207" s="346">
        <f>IF(SUM(tblSeverityAnalysis[[#This Row],[SAMV]:[ASH]])=0, "", MAX(tblSeverityAnalysis[[#This Row],[SAMV]:[ASH]]))</f>
        <v>4</v>
      </c>
      <c r="AD207" s="261" t="str" cm="1">
        <f t="array" ref="AD207">IFERROR(IF(tblSeverityAnalysis[[#This Row],[Severidad máxima]]="", "", _xlfn.TEXTJOIN(CHAR(10), TRUE, IF(tblSeverityAnalysis[[#This Row],[SAMV]:[ASH]]=tblSeverityAnalysis[[#This Row],[Severidad máxima]], tblSeverityAnalysis[[#Headers],[SAMV]:[ASH]], ""), "")), "")</f>
        <v>PRO</v>
      </c>
      <c r="AE207" s="346" cm="1">
        <f t="array" ref="AE207">IFERROR(MAX(_xlfn._xlws.FILTER(tblSeverityAnalysis[[#This Row],[SAMV]:[ASH]], tblSeverityAnalysis[[#This Row],[SAMV]:[ASH]]&lt;tblSeverityAnalysis[[#This Row],[Severidad máxima]])), "")</f>
        <v>3</v>
      </c>
      <c r="AF207" s="398" t="str" cm="1">
        <f t="array" ref="AF207">IFERROR(IF(tblSeverityAnalysis[[#This Row],[2ª mayor severidad]]="", "", _xlfn.TEXTJOIN(CHAR(10), TRUE, IF(tblSeverityAnalysis[[#This Row],[SAMV]:[ASH]]=tblSeverityAnalysis[[#This Row],[2ª mayor severidad]], tblSeverityAnalysis[[#Headers],[SAMV]:[ASH]], ""), "")), "")</f>
        <v>SAMV
SAL
EDU</v>
      </c>
      <c r="AG207" s="405" t="str">
        <f>IFERROR(IF(AND(tblSeverityAnalysis[[#This Row],[5]] &lt;&gt; "", tblSeverityAnalysis[[#This Row],[5]]&gt;=sectors_sev_5), "Flagged", ""), "")</f>
        <v/>
      </c>
      <c r="AH207" s="347" t="str">
        <f>IFERROR(IF(AND(tblSeverityAnalysis[[#This Row],[Severidad preliminar basada en la superposición de privaciones sectoriales]]=5, SUM(tblSeverityAnalysis[[#This Row],[ 1 ]:[ 4 ]])&gt;=sectors_sev_5), "Flagged", ""), "")</f>
        <v/>
      </c>
      <c r="AI207" s="348" t="str" cm="1">
        <f t="array" ref="AI20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0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07" s="350"/>
      <c r="AL207" s="351"/>
      <c r="AM207" s="350"/>
      <c r="AN207" s="407">
        <f>COUNTIF(tblSeverityAnalysis[[#This Row],[1 sectores en fase de severidad 5 '[modificar el umbral']]:[Marcador manual]], "Flagged")</f>
        <v>0</v>
      </c>
      <c r="AO207" s="418">
        <f>tblSeverityAnalysis[[#This Row],[Severidad preliminar basada en la superposición de privaciones sectoriales]]</f>
        <v>3</v>
      </c>
      <c r="AP207" s="417"/>
      <c r="AQ207" s="421" t="s">
        <v>876</v>
      </c>
      <c r="AR207" s="417">
        <v>3</v>
      </c>
    </row>
    <row r="208" spans="1:44" hidden="1">
      <c r="A20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VenezolanosVE1608</v>
      </c>
      <c r="B208" s="363" t="s">
        <v>491</v>
      </c>
      <c r="C208" s="323" t="s">
        <v>492</v>
      </c>
      <c r="D208" s="322" t="s">
        <v>502</v>
      </c>
      <c r="E208" s="323" t="s">
        <v>503</v>
      </c>
      <c r="F208" s="323"/>
      <c r="G208" s="324">
        <v>542259</v>
      </c>
      <c r="H208" s="324" t="s">
        <v>102</v>
      </c>
      <c r="I208" s="374">
        <v>3</v>
      </c>
      <c r="J208" s="237">
        <v>2</v>
      </c>
      <c r="K208" s="237">
        <v>3</v>
      </c>
      <c r="L208" s="237">
        <v>4</v>
      </c>
      <c r="M208" s="237">
        <v>3</v>
      </c>
      <c r="N208" s="237">
        <v>2</v>
      </c>
      <c r="O208" s="237">
        <v>3</v>
      </c>
      <c r="P208" s="237">
        <v>3</v>
      </c>
      <c r="Q208" s="382" t="str">
        <f>IF(COUNTIF(tblSeverityAnalysis[[#This Row],[SAMV]:[ASH]], 1)=0, "", COUNTIF(tblSeverityAnalysis[[#This Row],[SAMV]:[ASH]], 1))</f>
        <v/>
      </c>
      <c r="R208" s="325">
        <f>IF(COUNTIF(tblSeverityAnalysis[[#This Row],[SAMV]:[ASH]], 2)=0, "", COUNTIF(tblSeverityAnalysis[[#This Row],[SAMV]:[ASH]], 2))</f>
        <v>2</v>
      </c>
      <c r="S208" s="325">
        <f>IF(COUNTIF(tblSeverityAnalysis[[#This Row],[SAMV]:[ASH]], 3)=0, "", COUNTIF(tblSeverityAnalysis[[#This Row],[SAMV]:[ASH]], 3))</f>
        <v>3</v>
      </c>
      <c r="T208" s="325">
        <f>IF(COUNTIF(tblSeverityAnalysis[[#This Row],[SAMV]:[ASH]], 4)=0, "", COUNTIF(tblSeverityAnalysis[[#This Row],[SAMV]:[ASH]], 4))</f>
        <v>1</v>
      </c>
      <c r="U208" s="383" t="str">
        <f>IF(COUNTIF(tblSeverityAnalysis[[#This Row],[SAMV]:[ASH]], 5)=0, "", COUNTIF(tblSeverityAnalysis[[#This Row],[SAMV]:[ASH]], 5))</f>
        <v/>
      </c>
      <c r="V208" s="375" cm="1">
        <f t="array" ref="V20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0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08" s="237" t="str">
        <f>IFERROR(IF(INDEX(tblSeverityReference[Severidad de la desnutrición],MATCH(tblSeverityAnalysis[[#This Row],[ID]], tblSeverityReference[ID], 0))= "", "",INDEX(tblSeverityReference[Severidad de la desnutrición],MATCH(tblSeverityAnalysis[[#This Row],[ID]], tblSeverityReference[ID], 0)) ), "")</f>
        <v/>
      </c>
      <c r="Y208" s="349" t="str">
        <f>IFERROR(IF(INDEX(tblSeverityReference[Severidad epidémica],MATCH(tblSeverityAnalysis[[#This Row],[ID]], tblSeverityReference[ID], 0))= "", "",INDEX(tblSeverityReference[Severidad epidémica],MATCH(tblSeverityAnalysis[[#This Row],[ID]], tblSeverityReference[ID], 0)) ), "")</f>
        <v/>
      </c>
      <c r="Z20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08" s="391" t="str">
        <f>IFERROR(IF(INDEX(tblSeverityReference[HR/IHL Violation],MATCH(tblSeverityAnalysis[[#This Row],[ID]], tblSeverityReference[ID], 0))= "", "",INDEX(tblSeverityReference[HR/IHL Violation],MATCH(tblSeverityAnalysis[[#This Row],[ID]], tblSeverityReference[ID], 0)) ), "")</f>
        <v/>
      </c>
      <c r="AB208" s="397">
        <f>IFERROR(AVERAGE(tblSeverityAnalysis[[#This Row],[SAMV]:[ASH]]), "")</f>
        <v>2.8333333333333335</v>
      </c>
      <c r="AC208" s="346">
        <f>IF(SUM(tblSeverityAnalysis[[#This Row],[SAMV]:[ASH]])=0, "", MAX(tblSeverityAnalysis[[#This Row],[SAMV]:[ASH]]))</f>
        <v>4</v>
      </c>
      <c r="AD208" s="261" t="str" cm="1">
        <f t="array" ref="AD208">IFERROR(IF(tblSeverityAnalysis[[#This Row],[Severidad máxima]]="", "", _xlfn.TEXTJOIN(CHAR(10), TRUE, IF(tblSeverityAnalysis[[#This Row],[SAMV]:[ASH]]=tblSeverityAnalysis[[#This Row],[Severidad máxima]], tblSeverityAnalysis[[#Headers],[SAMV]:[ASH]], ""), "")), "")</f>
        <v>EDU</v>
      </c>
      <c r="AE208" s="346" cm="1">
        <f t="array" ref="AE208">IFERROR(MAX(_xlfn._xlws.FILTER(tblSeverityAnalysis[[#This Row],[SAMV]:[ASH]], tblSeverityAnalysis[[#This Row],[SAMV]:[ASH]]&lt;tblSeverityAnalysis[[#This Row],[Severidad máxima]])), "")</f>
        <v>3</v>
      </c>
      <c r="AF208" s="398" t="str" cm="1">
        <f t="array" ref="AF208">IFERROR(IF(tblSeverityAnalysis[[#This Row],[2ª mayor severidad]]="", "", _xlfn.TEXTJOIN(CHAR(10), TRUE, IF(tblSeverityAnalysis[[#This Row],[SAMV]:[ASH]]=tblSeverityAnalysis[[#This Row],[2ª mayor severidad]], tblSeverityAnalysis[[#Headers],[SAMV]:[ASH]], ""), "")), "")</f>
        <v>SAMV
SAL
PRO</v>
      </c>
      <c r="AG208" s="405" t="str">
        <f>IFERROR(IF(AND(tblSeverityAnalysis[[#This Row],[5]] &lt;&gt; "", tblSeverityAnalysis[[#This Row],[5]]&gt;=sectors_sev_5), "Flagged", ""), "")</f>
        <v/>
      </c>
      <c r="AH208" s="347" t="str">
        <f>IFERROR(IF(AND(tblSeverityAnalysis[[#This Row],[Severidad preliminar basada en la superposición de privaciones sectoriales]]=5, SUM(tblSeverityAnalysis[[#This Row],[ 1 ]:[ 4 ]])&gt;=sectors_sev_5), "Flagged", ""), "")</f>
        <v/>
      </c>
      <c r="AI208" s="348" t="str" cm="1">
        <f t="array" ref="AI20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0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08" s="350"/>
      <c r="AL208" s="351"/>
      <c r="AM208" s="350"/>
      <c r="AN208" s="407">
        <f>COUNTIF(tblSeverityAnalysis[[#This Row],[1 sectores en fase de severidad 5 '[modificar el umbral']]:[Marcador manual]], "Flagged")</f>
        <v>0</v>
      </c>
      <c r="AO208" s="418">
        <f>tblSeverityAnalysis[[#This Row],[Severidad preliminar basada en la superposición de privaciones sectoriales]]</f>
        <v>3</v>
      </c>
      <c r="AP208" s="417"/>
      <c r="AQ208" s="421" t="s">
        <v>876</v>
      </c>
      <c r="AR208" s="417">
        <v>3</v>
      </c>
    </row>
    <row r="209" spans="1:44" hidden="1">
      <c r="A20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VenezolanosVE1609</v>
      </c>
      <c r="B209" s="363" t="s">
        <v>491</v>
      </c>
      <c r="C209" s="323" t="s">
        <v>492</v>
      </c>
      <c r="D209" s="322" t="s">
        <v>250</v>
      </c>
      <c r="E209" s="323" t="s">
        <v>504</v>
      </c>
      <c r="F209" s="323"/>
      <c r="G209" s="324">
        <v>46610</v>
      </c>
      <c r="H209" s="324" t="s">
        <v>102</v>
      </c>
      <c r="I209" s="374">
        <v>4</v>
      </c>
      <c r="J209" s="237">
        <v>2</v>
      </c>
      <c r="K209" s="237">
        <v>3</v>
      </c>
      <c r="L209" s="237">
        <v>3</v>
      </c>
      <c r="M209" s="237">
        <v>3</v>
      </c>
      <c r="N209" s="237">
        <v>2</v>
      </c>
      <c r="O209" s="237">
        <v>3</v>
      </c>
      <c r="P209" s="237">
        <v>3</v>
      </c>
      <c r="Q209" s="382" t="str">
        <f>IF(COUNTIF(tblSeverityAnalysis[[#This Row],[SAMV]:[ASH]], 1)=0, "", COUNTIF(tblSeverityAnalysis[[#This Row],[SAMV]:[ASH]], 1))</f>
        <v/>
      </c>
      <c r="R209" s="325">
        <f>IF(COUNTIF(tblSeverityAnalysis[[#This Row],[SAMV]:[ASH]], 2)=0, "", COUNTIF(tblSeverityAnalysis[[#This Row],[SAMV]:[ASH]], 2))</f>
        <v>2</v>
      </c>
      <c r="S209" s="325">
        <f>IF(COUNTIF(tblSeverityAnalysis[[#This Row],[SAMV]:[ASH]], 3)=0, "", COUNTIF(tblSeverityAnalysis[[#This Row],[SAMV]:[ASH]], 3))</f>
        <v>3</v>
      </c>
      <c r="T209" s="325">
        <f>IF(COUNTIF(tblSeverityAnalysis[[#This Row],[SAMV]:[ASH]], 4)=0, "", COUNTIF(tblSeverityAnalysis[[#This Row],[SAMV]:[ASH]], 4))</f>
        <v>1</v>
      </c>
      <c r="U209" s="383" t="str">
        <f>IF(COUNTIF(tblSeverityAnalysis[[#This Row],[SAMV]:[ASH]], 5)=0, "", COUNTIF(tblSeverityAnalysis[[#This Row],[SAMV]:[ASH]], 5))</f>
        <v/>
      </c>
      <c r="V209" s="375" cm="1">
        <f t="array" ref="V20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0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09" s="237" t="str">
        <f>IFERROR(IF(INDEX(tblSeverityReference[Severidad de la desnutrición],MATCH(tblSeverityAnalysis[[#This Row],[ID]], tblSeverityReference[ID], 0))= "", "",INDEX(tblSeverityReference[Severidad de la desnutrición],MATCH(tblSeverityAnalysis[[#This Row],[ID]], tblSeverityReference[ID], 0)) ), "")</f>
        <v/>
      </c>
      <c r="Y209" s="349" t="str">
        <f>IFERROR(IF(INDEX(tblSeverityReference[Severidad epidémica],MATCH(tblSeverityAnalysis[[#This Row],[ID]], tblSeverityReference[ID], 0))= "", "",INDEX(tblSeverityReference[Severidad epidémica],MATCH(tblSeverityAnalysis[[#This Row],[ID]], tblSeverityReference[ID], 0)) ), "")</f>
        <v/>
      </c>
      <c r="Z20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09" s="391" t="str">
        <f>IFERROR(IF(INDEX(tblSeverityReference[HR/IHL Violation],MATCH(tblSeverityAnalysis[[#This Row],[ID]], tblSeverityReference[ID], 0))= "", "",INDEX(tblSeverityReference[HR/IHL Violation],MATCH(tblSeverityAnalysis[[#This Row],[ID]], tblSeverityReference[ID], 0)) ), "")</f>
        <v/>
      </c>
      <c r="AB209" s="397">
        <f>IFERROR(AVERAGE(tblSeverityAnalysis[[#This Row],[SAMV]:[ASH]]), "")</f>
        <v>2.8333333333333335</v>
      </c>
      <c r="AC209" s="346">
        <f>IF(SUM(tblSeverityAnalysis[[#This Row],[SAMV]:[ASH]])=0, "", MAX(tblSeverityAnalysis[[#This Row],[SAMV]:[ASH]]))</f>
        <v>4</v>
      </c>
      <c r="AD209" s="261" t="str" cm="1">
        <f t="array" ref="AD209">IFERROR(IF(tblSeverityAnalysis[[#This Row],[Severidad máxima]]="", "", _xlfn.TEXTJOIN(CHAR(10), TRUE, IF(tblSeverityAnalysis[[#This Row],[SAMV]:[ASH]]=tblSeverityAnalysis[[#This Row],[Severidad máxima]], tblSeverityAnalysis[[#Headers],[SAMV]:[ASH]], ""), "")), "")</f>
        <v>SAMV</v>
      </c>
      <c r="AE209" s="346" cm="1">
        <f t="array" ref="AE209">IFERROR(MAX(_xlfn._xlws.FILTER(tblSeverityAnalysis[[#This Row],[SAMV]:[ASH]], tblSeverityAnalysis[[#This Row],[SAMV]:[ASH]]&lt;tblSeverityAnalysis[[#This Row],[Severidad máxima]])), "")</f>
        <v>3</v>
      </c>
      <c r="AF209" s="398" t="str" cm="1">
        <f t="array" ref="AF209">IFERROR(IF(tblSeverityAnalysis[[#This Row],[2ª mayor severidad]]="", "", _xlfn.TEXTJOIN(CHAR(10), TRUE, IF(tblSeverityAnalysis[[#This Row],[SAMV]:[ASH]]=tblSeverityAnalysis[[#This Row],[2ª mayor severidad]], tblSeverityAnalysis[[#Headers],[SAMV]:[ASH]], ""), "")), "")</f>
        <v>SAL
EDU
PRO</v>
      </c>
      <c r="AG209" s="405" t="str">
        <f>IFERROR(IF(AND(tblSeverityAnalysis[[#This Row],[5]] &lt;&gt; "", tblSeverityAnalysis[[#This Row],[5]]&gt;=sectors_sev_5), "Flagged", ""), "")</f>
        <v/>
      </c>
      <c r="AH209" s="347" t="str">
        <f>IFERROR(IF(AND(tblSeverityAnalysis[[#This Row],[Severidad preliminar basada en la superposición de privaciones sectoriales]]=5, SUM(tblSeverityAnalysis[[#This Row],[ 1 ]:[ 4 ]])&gt;=sectors_sev_5), "Flagged", ""), "")</f>
        <v/>
      </c>
      <c r="AI209" s="348" t="str" cm="1">
        <f t="array" ref="AI20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0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09" s="350"/>
      <c r="AL209" s="351"/>
      <c r="AM209" s="350"/>
      <c r="AN209" s="407">
        <f>COUNTIF(tblSeverityAnalysis[[#This Row],[1 sectores en fase de severidad 5 '[modificar el umbral']]:[Marcador manual]], "Flagged")</f>
        <v>0</v>
      </c>
      <c r="AO209" s="418">
        <f>tblSeverityAnalysis[[#This Row],[Severidad preliminar basada en la superposición de privaciones sectoriales]]</f>
        <v>3</v>
      </c>
      <c r="AP209" s="417"/>
      <c r="AQ209" s="421" t="s">
        <v>876</v>
      </c>
      <c r="AR209" s="417">
        <v>3</v>
      </c>
    </row>
    <row r="210" spans="1:44" hidden="1">
      <c r="A21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VenezolanosVE1610</v>
      </c>
      <c r="B210" s="363" t="s">
        <v>491</v>
      </c>
      <c r="C210" s="323" t="s">
        <v>492</v>
      </c>
      <c r="D210" s="322" t="s">
        <v>505</v>
      </c>
      <c r="E210" s="323" t="s">
        <v>506</v>
      </c>
      <c r="F210" s="323"/>
      <c r="G210" s="324">
        <v>27954</v>
      </c>
      <c r="H210" s="324" t="s">
        <v>102</v>
      </c>
      <c r="I210" s="374">
        <v>3</v>
      </c>
      <c r="J210" s="237">
        <v>1</v>
      </c>
      <c r="K210" s="237">
        <v>3</v>
      </c>
      <c r="L210" s="237">
        <v>3</v>
      </c>
      <c r="M210" s="237">
        <v>3</v>
      </c>
      <c r="N210" s="237">
        <v>2</v>
      </c>
      <c r="O210" s="237">
        <v>3</v>
      </c>
      <c r="P210" s="237">
        <v>3</v>
      </c>
      <c r="Q210" s="382">
        <f>IF(COUNTIF(tblSeverityAnalysis[[#This Row],[SAMV]:[ASH]], 1)=0, "", COUNTIF(tblSeverityAnalysis[[#This Row],[SAMV]:[ASH]], 1))</f>
        <v>1</v>
      </c>
      <c r="R210" s="325">
        <f>IF(COUNTIF(tblSeverityAnalysis[[#This Row],[SAMV]:[ASH]], 2)=0, "", COUNTIF(tblSeverityAnalysis[[#This Row],[SAMV]:[ASH]], 2))</f>
        <v>1</v>
      </c>
      <c r="S210" s="325">
        <f>IF(COUNTIF(tblSeverityAnalysis[[#This Row],[SAMV]:[ASH]], 3)=0, "", COUNTIF(tblSeverityAnalysis[[#This Row],[SAMV]:[ASH]], 3))</f>
        <v>4</v>
      </c>
      <c r="T210" s="325" t="str">
        <f>IF(COUNTIF(tblSeverityAnalysis[[#This Row],[SAMV]:[ASH]], 4)=0, "", COUNTIF(tblSeverityAnalysis[[#This Row],[SAMV]:[ASH]], 4))</f>
        <v/>
      </c>
      <c r="U210" s="383" t="str">
        <f>IF(COUNTIF(tblSeverityAnalysis[[#This Row],[SAMV]:[ASH]], 5)=0, "", COUNTIF(tblSeverityAnalysis[[#This Row],[SAMV]:[ASH]], 5))</f>
        <v/>
      </c>
      <c r="V210" s="375" cm="1">
        <f t="array" ref="V21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1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10" s="237" t="str">
        <f>IFERROR(IF(INDEX(tblSeverityReference[Severidad de la desnutrición],MATCH(tblSeverityAnalysis[[#This Row],[ID]], tblSeverityReference[ID], 0))= "", "",INDEX(tblSeverityReference[Severidad de la desnutrición],MATCH(tblSeverityAnalysis[[#This Row],[ID]], tblSeverityReference[ID], 0)) ), "")</f>
        <v/>
      </c>
      <c r="Y210" s="349" t="str">
        <f>IFERROR(IF(INDEX(tblSeverityReference[Severidad epidémica],MATCH(tblSeverityAnalysis[[#This Row],[ID]], tblSeverityReference[ID], 0))= "", "",INDEX(tblSeverityReference[Severidad epidémica],MATCH(tblSeverityAnalysis[[#This Row],[ID]], tblSeverityReference[ID], 0)) ), "")</f>
        <v/>
      </c>
      <c r="Z21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10" s="391" t="str">
        <f>IFERROR(IF(INDEX(tblSeverityReference[HR/IHL Violation],MATCH(tblSeverityAnalysis[[#This Row],[ID]], tblSeverityReference[ID], 0))= "", "",INDEX(tblSeverityReference[HR/IHL Violation],MATCH(tblSeverityAnalysis[[#This Row],[ID]], tblSeverityReference[ID], 0)) ), "")</f>
        <v/>
      </c>
      <c r="AB210" s="397">
        <f>IFERROR(AVERAGE(tblSeverityAnalysis[[#This Row],[SAMV]:[ASH]]), "")</f>
        <v>2.5</v>
      </c>
      <c r="AC210" s="346">
        <f>IF(SUM(tblSeverityAnalysis[[#This Row],[SAMV]:[ASH]])=0, "", MAX(tblSeverityAnalysis[[#This Row],[SAMV]:[ASH]]))</f>
        <v>3</v>
      </c>
      <c r="AD210" s="261" t="str" cm="1">
        <f t="array" ref="AD210">IFERROR(IF(tblSeverityAnalysis[[#This Row],[Severidad máxima]]="", "", _xlfn.TEXTJOIN(CHAR(10), TRUE, IF(tblSeverityAnalysis[[#This Row],[SAMV]:[ASH]]=tblSeverityAnalysis[[#This Row],[Severidad máxima]], tblSeverityAnalysis[[#Headers],[SAMV]:[ASH]], ""), "")), "")</f>
        <v>SAMV
SAL
EDU
PRO</v>
      </c>
      <c r="AE210" s="346" cm="1">
        <f t="array" ref="AE210">IFERROR(MAX(_xlfn._xlws.FILTER(tblSeverityAnalysis[[#This Row],[SAMV]:[ASH]], tblSeverityAnalysis[[#This Row],[SAMV]:[ASH]]&lt;tblSeverityAnalysis[[#This Row],[Severidad máxima]])), "")</f>
        <v>2</v>
      </c>
      <c r="AF210" s="398" t="str" cm="1">
        <f t="array" ref="AF210">IFERROR(IF(tblSeverityAnalysis[[#This Row],[2ª mayor severidad]]="", "", _xlfn.TEXTJOIN(CHAR(10), TRUE, IF(tblSeverityAnalysis[[#This Row],[SAMV]:[ASH]]=tblSeverityAnalysis[[#This Row],[2ª mayor severidad]], tblSeverityAnalysis[[#Headers],[SAMV]:[ASH]], ""), "")), "")</f>
        <v>ASH</v>
      </c>
      <c r="AG210" s="405" t="str">
        <f>IFERROR(IF(AND(tblSeverityAnalysis[[#This Row],[5]] &lt;&gt; "", tblSeverityAnalysis[[#This Row],[5]]&gt;=sectors_sev_5), "Flagged", ""), "")</f>
        <v/>
      </c>
      <c r="AH210" s="347" t="str">
        <f>IFERROR(IF(AND(tblSeverityAnalysis[[#This Row],[Severidad preliminar basada en la superposición de privaciones sectoriales]]=5, SUM(tblSeverityAnalysis[[#This Row],[ 1 ]:[ 4 ]])&gt;=sectors_sev_5), "Flagged", ""), "")</f>
        <v/>
      </c>
      <c r="AI210" s="348" t="str" cm="1">
        <f t="array" ref="AI21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1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10" s="350"/>
      <c r="AL210" s="351"/>
      <c r="AM210" s="350"/>
      <c r="AN210" s="407">
        <f>COUNTIF(tblSeverityAnalysis[[#This Row],[1 sectores en fase de severidad 5 '[modificar el umbral']]:[Marcador manual]], "Flagged")</f>
        <v>0</v>
      </c>
      <c r="AO210" s="418">
        <f>tblSeverityAnalysis[[#This Row],[Severidad preliminar basada en la superposición de privaciones sectoriales]]</f>
        <v>3</v>
      </c>
      <c r="AP210" s="417"/>
      <c r="AQ210" s="421" t="s">
        <v>876</v>
      </c>
      <c r="AR210" s="417">
        <v>3</v>
      </c>
    </row>
    <row r="211" spans="1:44" hidden="1">
      <c r="A21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VenezolanosVE1611</v>
      </c>
      <c r="B211" s="363" t="s">
        <v>491</v>
      </c>
      <c r="C211" s="323" t="s">
        <v>492</v>
      </c>
      <c r="D211" s="322" t="s">
        <v>507</v>
      </c>
      <c r="E211" s="323" t="s">
        <v>508</v>
      </c>
      <c r="F211" s="323"/>
      <c r="G211" s="324">
        <v>9809</v>
      </c>
      <c r="H211" s="324" t="s">
        <v>102</v>
      </c>
      <c r="I211" s="374">
        <v>3</v>
      </c>
      <c r="J211" s="237">
        <v>2</v>
      </c>
      <c r="K211" s="237">
        <v>4</v>
      </c>
      <c r="L211" s="237">
        <v>3</v>
      </c>
      <c r="M211" s="237">
        <v>4</v>
      </c>
      <c r="N211" s="237">
        <v>2</v>
      </c>
      <c r="O211" s="237">
        <v>4</v>
      </c>
      <c r="P211" s="237">
        <v>4</v>
      </c>
      <c r="Q211" s="382" t="str">
        <f>IF(COUNTIF(tblSeverityAnalysis[[#This Row],[SAMV]:[ASH]], 1)=0, "", COUNTIF(tblSeverityAnalysis[[#This Row],[SAMV]:[ASH]], 1))</f>
        <v/>
      </c>
      <c r="R211" s="325">
        <f>IF(COUNTIF(tblSeverityAnalysis[[#This Row],[SAMV]:[ASH]], 2)=0, "", COUNTIF(tblSeverityAnalysis[[#This Row],[SAMV]:[ASH]], 2))</f>
        <v>2</v>
      </c>
      <c r="S211" s="325">
        <f>IF(COUNTIF(tblSeverityAnalysis[[#This Row],[SAMV]:[ASH]], 3)=0, "", COUNTIF(tblSeverityAnalysis[[#This Row],[SAMV]:[ASH]], 3))</f>
        <v>2</v>
      </c>
      <c r="T211" s="325">
        <f>IF(COUNTIF(tblSeverityAnalysis[[#This Row],[SAMV]:[ASH]], 4)=0, "", COUNTIF(tblSeverityAnalysis[[#This Row],[SAMV]:[ASH]], 4))</f>
        <v>2</v>
      </c>
      <c r="U211" s="383" t="str">
        <f>IF(COUNTIF(tblSeverityAnalysis[[#This Row],[SAMV]:[ASH]], 5)=0, "", COUNTIF(tblSeverityAnalysis[[#This Row],[SAMV]:[ASH]], 5))</f>
        <v/>
      </c>
      <c r="V211" s="375" cm="1">
        <f t="array" ref="V21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1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11" s="237" t="str">
        <f>IFERROR(IF(INDEX(tblSeverityReference[Severidad de la desnutrición],MATCH(tblSeverityAnalysis[[#This Row],[ID]], tblSeverityReference[ID], 0))= "", "",INDEX(tblSeverityReference[Severidad de la desnutrición],MATCH(tblSeverityAnalysis[[#This Row],[ID]], tblSeverityReference[ID], 0)) ), "")</f>
        <v/>
      </c>
      <c r="Y211" s="349" t="str">
        <f>IFERROR(IF(INDEX(tblSeverityReference[Severidad epidémica],MATCH(tblSeverityAnalysis[[#This Row],[ID]], tblSeverityReference[ID], 0))= "", "",INDEX(tblSeverityReference[Severidad epidémica],MATCH(tblSeverityAnalysis[[#This Row],[ID]], tblSeverityReference[ID], 0)) ), "")</f>
        <v/>
      </c>
      <c r="Z21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11" s="391" t="str">
        <f>IFERROR(IF(INDEX(tblSeverityReference[HR/IHL Violation],MATCH(tblSeverityAnalysis[[#This Row],[ID]], tblSeverityReference[ID], 0))= "", "",INDEX(tblSeverityReference[HR/IHL Violation],MATCH(tblSeverityAnalysis[[#This Row],[ID]], tblSeverityReference[ID], 0)) ), "")</f>
        <v/>
      </c>
      <c r="AB211" s="397">
        <f>IFERROR(AVERAGE(tblSeverityAnalysis[[#This Row],[SAMV]:[ASH]]), "")</f>
        <v>3</v>
      </c>
      <c r="AC211" s="346">
        <f>IF(SUM(tblSeverityAnalysis[[#This Row],[SAMV]:[ASH]])=0, "", MAX(tblSeverityAnalysis[[#This Row],[SAMV]:[ASH]]))</f>
        <v>4</v>
      </c>
      <c r="AD211" s="261" t="str" cm="1">
        <f t="array" ref="AD211">IFERROR(IF(tblSeverityAnalysis[[#This Row],[Severidad máxima]]="", "", _xlfn.TEXTJOIN(CHAR(10), TRUE, IF(tblSeverityAnalysis[[#This Row],[SAMV]:[ASH]]=tblSeverityAnalysis[[#This Row],[Severidad máxima]], tblSeverityAnalysis[[#Headers],[SAMV]:[ASH]], ""), "")), "")</f>
        <v>SAL
PRO</v>
      </c>
      <c r="AE211" s="346" cm="1">
        <f t="array" ref="AE211">IFERROR(MAX(_xlfn._xlws.FILTER(tblSeverityAnalysis[[#This Row],[SAMV]:[ASH]], tblSeverityAnalysis[[#This Row],[SAMV]:[ASH]]&lt;tblSeverityAnalysis[[#This Row],[Severidad máxima]])), "")</f>
        <v>3</v>
      </c>
      <c r="AF211" s="398" t="str" cm="1">
        <f t="array" ref="AF211">IFERROR(IF(tblSeverityAnalysis[[#This Row],[2ª mayor severidad]]="", "", _xlfn.TEXTJOIN(CHAR(10), TRUE, IF(tblSeverityAnalysis[[#This Row],[SAMV]:[ASH]]=tblSeverityAnalysis[[#This Row],[2ª mayor severidad]], tblSeverityAnalysis[[#Headers],[SAMV]:[ASH]], ""), "")), "")</f>
        <v>SAMV
EDU</v>
      </c>
      <c r="AG211" s="405" t="str">
        <f>IFERROR(IF(AND(tblSeverityAnalysis[[#This Row],[5]] &lt;&gt; "", tblSeverityAnalysis[[#This Row],[5]]&gt;=sectors_sev_5), "Flagged", ""), "")</f>
        <v/>
      </c>
      <c r="AH211" s="347" t="str">
        <f>IFERROR(IF(AND(tblSeverityAnalysis[[#This Row],[Severidad preliminar basada en la superposición de privaciones sectoriales]]=5, SUM(tblSeverityAnalysis[[#This Row],[ 1 ]:[ 4 ]])&gt;=sectors_sev_5), "Flagged", ""), "")</f>
        <v/>
      </c>
      <c r="AI211" s="348" t="str" cm="1">
        <f t="array" ref="AI21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1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11" s="350"/>
      <c r="AL211" s="351"/>
      <c r="AM211" s="350"/>
      <c r="AN211" s="407">
        <f>COUNTIF(tblSeverityAnalysis[[#This Row],[1 sectores en fase de severidad 5 '[modificar el umbral']]:[Marcador manual]], "Flagged")</f>
        <v>0</v>
      </c>
      <c r="AO211" s="418">
        <f>tblSeverityAnalysis[[#This Row],[Severidad preliminar basada en la superposición de privaciones sectoriales]]</f>
        <v>3</v>
      </c>
      <c r="AP211" s="417"/>
      <c r="AQ211" s="421" t="s">
        <v>876</v>
      </c>
      <c r="AR211" s="417">
        <v>3</v>
      </c>
    </row>
    <row r="212" spans="1:44" hidden="1">
      <c r="A21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VenezolanosVE1612</v>
      </c>
      <c r="B212" s="363" t="s">
        <v>491</v>
      </c>
      <c r="C212" s="323" t="s">
        <v>492</v>
      </c>
      <c r="D212" s="322" t="s">
        <v>509</v>
      </c>
      <c r="E212" s="323" t="s">
        <v>510</v>
      </c>
      <c r="F212" s="323"/>
      <c r="G212" s="324">
        <v>24238</v>
      </c>
      <c r="H212" s="324" t="s">
        <v>102</v>
      </c>
      <c r="I212" s="374">
        <v>3</v>
      </c>
      <c r="J212" s="237">
        <v>2</v>
      </c>
      <c r="K212" s="237">
        <v>3</v>
      </c>
      <c r="L212" s="237">
        <v>3</v>
      </c>
      <c r="M212" s="237">
        <v>3</v>
      </c>
      <c r="N212" s="237">
        <v>2</v>
      </c>
      <c r="O212" s="237">
        <v>3</v>
      </c>
      <c r="P212" s="237">
        <v>3</v>
      </c>
      <c r="Q212" s="382" t="str">
        <f>IF(COUNTIF(tblSeverityAnalysis[[#This Row],[SAMV]:[ASH]], 1)=0, "", COUNTIF(tblSeverityAnalysis[[#This Row],[SAMV]:[ASH]], 1))</f>
        <v/>
      </c>
      <c r="R212" s="325">
        <f>IF(COUNTIF(tblSeverityAnalysis[[#This Row],[SAMV]:[ASH]], 2)=0, "", COUNTIF(tblSeverityAnalysis[[#This Row],[SAMV]:[ASH]], 2))</f>
        <v>2</v>
      </c>
      <c r="S212" s="325">
        <f>IF(COUNTIF(tblSeverityAnalysis[[#This Row],[SAMV]:[ASH]], 3)=0, "", COUNTIF(tblSeverityAnalysis[[#This Row],[SAMV]:[ASH]], 3))</f>
        <v>4</v>
      </c>
      <c r="T212" s="325" t="str">
        <f>IF(COUNTIF(tblSeverityAnalysis[[#This Row],[SAMV]:[ASH]], 4)=0, "", COUNTIF(tblSeverityAnalysis[[#This Row],[SAMV]:[ASH]], 4))</f>
        <v/>
      </c>
      <c r="U212" s="383" t="str">
        <f>IF(COUNTIF(tblSeverityAnalysis[[#This Row],[SAMV]:[ASH]], 5)=0, "", COUNTIF(tblSeverityAnalysis[[#This Row],[SAMV]:[ASH]], 5))</f>
        <v/>
      </c>
      <c r="V212" s="375" cm="1">
        <f t="array" ref="V21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1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12" s="237" t="str">
        <f>IFERROR(IF(INDEX(tblSeverityReference[Severidad de la desnutrición],MATCH(tblSeverityAnalysis[[#This Row],[ID]], tblSeverityReference[ID], 0))= "", "",INDEX(tblSeverityReference[Severidad de la desnutrición],MATCH(tblSeverityAnalysis[[#This Row],[ID]], tblSeverityReference[ID], 0)) ), "")</f>
        <v/>
      </c>
      <c r="Y212" s="349" t="str">
        <f>IFERROR(IF(INDEX(tblSeverityReference[Severidad epidémica],MATCH(tblSeverityAnalysis[[#This Row],[ID]], tblSeverityReference[ID], 0))= "", "",INDEX(tblSeverityReference[Severidad epidémica],MATCH(tblSeverityAnalysis[[#This Row],[ID]], tblSeverityReference[ID], 0)) ), "")</f>
        <v/>
      </c>
      <c r="Z21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12" s="391" t="str">
        <f>IFERROR(IF(INDEX(tblSeverityReference[HR/IHL Violation],MATCH(tblSeverityAnalysis[[#This Row],[ID]], tblSeverityReference[ID], 0))= "", "",INDEX(tblSeverityReference[HR/IHL Violation],MATCH(tblSeverityAnalysis[[#This Row],[ID]], tblSeverityReference[ID], 0)) ), "")</f>
        <v/>
      </c>
      <c r="AB212" s="397">
        <f>IFERROR(AVERAGE(tblSeverityAnalysis[[#This Row],[SAMV]:[ASH]]), "")</f>
        <v>2.6666666666666665</v>
      </c>
      <c r="AC212" s="346">
        <f>IF(SUM(tblSeverityAnalysis[[#This Row],[SAMV]:[ASH]])=0, "", MAX(tblSeverityAnalysis[[#This Row],[SAMV]:[ASH]]))</f>
        <v>3</v>
      </c>
      <c r="AD212" s="261" t="str" cm="1">
        <f t="array" ref="AD212">IFERROR(IF(tblSeverityAnalysis[[#This Row],[Severidad máxima]]="", "", _xlfn.TEXTJOIN(CHAR(10), TRUE, IF(tblSeverityAnalysis[[#This Row],[SAMV]:[ASH]]=tblSeverityAnalysis[[#This Row],[Severidad máxima]], tblSeverityAnalysis[[#Headers],[SAMV]:[ASH]], ""), "")), "")</f>
        <v>SAMV
SAL
EDU
PRO</v>
      </c>
      <c r="AE212" s="346" cm="1">
        <f t="array" ref="AE212">IFERROR(MAX(_xlfn._xlws.FILTER(tblSeverityAnalysis[[#This Row],[SAMV]:[ASH]], tblSeverityAnalysis[[#This Row],[SAMV]:[ASH]]&lt;tblSeverityAnalysis[[#This Row],[Severidad máxima]])), "")</f>
        <v>2</v>
      </c>
      <c r="AF212" s="398" t="str" cm="1">
        <f t="array" ref="AF212">IFERROR(IF(tblSeverityAnalysis[[#This Row],[2ª mayor severidad]]="", "", _xlfn.TEXTJOIN(CHAR(10), TRUE, IF(tblSeverityAnalysis[[#This Row],[SAMV]:[ASH]]=tblSeverityAnalysis[[#This Row],[2ª mayor severidad]], tblSeverityAnalysis[[#Headers],[SAMV]:[ASH]], ""), "")), "")</f>
        <v>NUT
ASH</v>
      </c>
      <c r="AG212" s="405" t="str">
        <f>IFERROR(IF(AND(tblSeverityAnalysis[[#This Row],[5]] &lt;&gt; "", tblSeverityAnalysis[[#This Row],[5]]&gt;=sectors_sev_5), "Flagged", ""), "")</f>
        <v/>
      </c>
      <c r="AH212" s="347" t="str">
        <f>IFERROR(IF(AND(tblSeverityAnalysis[[#This Row],[Severidad preliminar basada en la superposición de privaciones sectoriales]]=5, SUM(tblSeverityAnalysis[[#This Row],[ 1 ]:[ 4 ]])&gt;=sectors_sev_5), "Flagged", ""), "")</f>
        <v/>
      </c>
      <c r="AI212" s="348" t="str" cm="1">
        <f t="array" ref="AI21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1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12" s="350"/>
      <c r="AL212" s="351"/>
      <c r="AM212" s="350"/>
      <c r="AN212" s="407">
        <f>COUNTIF(tblSeverityAnalysis[[#This Row],[1 sectores en fase de severidad 5 '[modificar el umbral']]:[Marcador manual]], "Flagged")</f>
        <v>0</v>
      </c>
      <c r="AO212" s="418">
        <f>tblSeverityAnalysis[[#This Row],[Severidad preliminar basada en la superposición de privaciones sectoriales]]</f>
        <v>3</v>
      </c>
      <c r="AP212" s="417"/>
      <c r="AQ212" s="421" t="s">
        <v>876</v>
      </c>
      <c r="AR212" s="417">
        <v>4</v>
      </c>
    </row>
    <row r="213" spans="1:44" hidden="1">
      <c r="A21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VenezolanosVE1613</v>
      </c>
      <c r="B213" s="363" t="s">
        <v>491</v>
      </c>
      <c r="C213" s="323" t="s">
        <v>492</v>
      </c>
      <c r="D213" s="322" t="s">
        <v>511</v>
      </c>
      <c r="E213" s="323" t="s">
        <v>512</v>
      </c>
      <c r="F213" s="323"/>
      <c r="G213" s="324">
        <v>9625</v>
      </c>
      <c r="H213" s="324" t="s">
        <v>102</v>
      </c>
      <c r="I213" s="374">
        <v>4</v>
      </c>
      <c r="J213" s="237">
        <v>3</v>
      </c>
      <c r="K213" s="237">
        <v>4</v>
      </c>
      <c r="L213" s="237">
        <v>3</v>
      </c>
      <c r="M213" s="237">
        <v>2</v>
      </c>
      <c r="N213" s="237">
        <v>2</v>
      </c>
      <c r="O213" s="237">
        <v>2</v>
      </c>
      <c r="P213" s="237">
        <v>2</v>
      </c>
      <c r="Q213" s="382" t="str">
        <f>IF(COUNTIF(tblSeverityAnalysis[[#This Row],[SAMV]:[ASH]], 1)=0, "", COUNTIF(tblSeverityAnalysis[[#This Row],[SAMV]:[ASH]], 1))</f>
        <v/>
      </c>
      <c r="R213" s="325">
        <f>IF(COUNTIF(tblSeverityAnalysis[[#This Row],[SAMV]:[ASH]], 2)=0, "", COUNTIF(tblSeverityAnalysis[[#This Row],[SAMV]:[ASH]], 2))</f>
        <v>2</v>
      </c>
      <c r="S213" s="325">
        <f>IF(COUNTIF(tblSeverityAnalysis[[#This Row],[SAMV]:[ASH]], 3)=0, "", COUNTIF(tblSeverityAnalysis[[#This Row],[SAMV]:[ASH]], 3))</f>
        <v>2</v>
      </c>
      <c r="T213" s="325">
        <f>IF(COUNTIF(tblSeverityAnalysis[[#This Row],[SAMV]:[ASH]], 4)=0, "", COUNTIF(tblSeverityAnalysis[[#This Row],[SAMV]:[ASH]], 4))</f>
        <v>2</v>
      </c>
      <c r="U213" s="383" t="str">
        <f>IF(COUNTIF(tblSeverityAnalysis[[#This Row],[SAMV]:[ASH]], 5)=0, "", COUNTIF(tblSeverityAnalysis[[#This Row],[SAMV]:[ASH]], 5))</f>
        <v/>
      </c>
      <c r="V213" s="375" cm="1">
        <f t="array" ref="V21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1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13" s="237" t="str">
        <f>IFERROR(IF(INDEX(tblSeverityReference[Severidad de la desnutrición],MATCH(tblSeverityAnalysis[[#This Row],[ID]], tblSeverityReference[ID], 0))= "", "",INDEX(tblSeverityReference[Severidad de la desnutrición],MATCH(tblSeverityAnalysis[[#This Row],[ID]], tblSeverityReference[ID], 0)) ), "")</f>
        <v/>
      </c>
      <c r="Y213" s="349" t="str">
        <f>IFERROR(IF(INDEX(tblSeverityReference[Severidad epidémica],MATCH(tblSeverityAnalysis[[#This Row],[ID]], tblSeverityReference[ID], 0))= "", "",INDEX(tblSeverityReference[Severidad epidémica],MATCH(tblSeverityAnalysis[[#This Row],[ID]], tblSeverityReference[ID], 0)) ), "")</f>
        <v/>
      </c>
      <c r="Z21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13" s="391" t="str">
        <f>IFERROR(IF(INDEX(tblSeverityReference[HR/IHL Violation],MATCH(tblSeverityAnalysis[[#This Row],[ID]], tblSeverityReference[ID], 0))= "", "",INDEX(tblSeverityReference[HR/IHL Violation],MATCH(tblSeverityAnalysis[[#This Row],[ID]], tblSeverityReference[ID], 0)) ), "")</f>
        <v/>
      </c>
      <c r="AB213" s="397">
        <f>IFERROR(AVERAGE(tblSeverityAnalysis[[#This Row],[SAMV]:[ASH]]), "")</f>
        <v>3</v>
      </c>
      <c r="AC213" s="346">
        <f>IF(SUM(tblSeverityAnalysis[[#This Row],[SAMV]:[ASH]])=0, "", MAX(tblSeverityAnalysis[[#This Row],[SAMV]:[ASH]]))</f>
        <v>4</v>
      </c>
      <c r="AD213" s="261" t="str" cm="1">
        <f t="array" ref="AD213">IFERROR(IF(tblSeverityAnalysis[[#This Row],[Severidad máxima]]="", "", _xlfn.TEXTJOIN(CHAR(10), TRUE, IF(tblSeverityAnalysis[[#This Row],[SAMV]:[ASH]]=tblSeverityAnalysis[[#This Row],[Severidad máxima]], tblSeverityAnalysis[[#Headers],[SAMV]:[ASH]], ""), "")), "")</f>
        <v>SAMV
SAL</v>
      </c>
      <c r="AE213" s="346" cm="1">
        <f t="array" ref="AE213">IFERROR(MAX(_xlfn._xlws.FILTER(tblSeverityAnalysis[[#This Row],[SAMV]:[ASH]], tblSeverityAnalysis[[#This Row],[SAMV]:[ASH]]&lt;tblSeverityAnalysis[[#This Row],[Severidad máxima]])), "")</f>
        <v>3</v>
      </c>
      <c r="AF213" s="398" t="str" cm="1">
        <f t="array" ref="AF213">IFERROR(IF(tblSeverityAnalysis[[#This Row],[2ª mayor severidad]]="", "", _xlfn.TEXTJOIN(CHAR(10), TRUE, IF(tblSeverityAnalysis[[#This Row],[SAMV]:[ASH]]=tblSeverityAnalysis[[#This Row],[2ª mayor severidad]], tblSeverityAnalysis[[#Headers],[SAMV]:[ASH]], ""), "")), "")</f>
        <v>NUT
EDU</v>
      </c>
      <c r="AG213" s="405" t="str">
        <f>IFERROR(IF(AND(tblSeverityAnalysis[[#This Row],[5]] &lt;&gt; "", tblSeverityAnalysis[[#This Row],[5]]&gt;=sectors_sev_5), "Flagged", ""), "")</f>
        <v/>
      </c>
      <c r="AH213" s="347" t="str">
        <f>IFERROR(IF(AND(tblSeverityAnalysis[[#This Row],[Severidad preliminar basada en la superposición de privaciones sectoriales]]=5, SUM(tblSeverityAnalysis[[#This Row],[ 1 ]:[ 4 ]])&gt;=sectors_sev_5), "Flagged", ""), "")</f>
        <v/>
      </c>
      <c r="AI213" s="348" t="str" cm="1">
        <f t="array" ref="AI21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1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13" s="350"/>
      <c r="AL213" s="351"/>
      <c r="AM213" s="350"/>
      <c r="AN213" s="407">
        <f>COUNTIF(tblSeverityAnalysis[[#This Row],[1 sectores en fase de severidad 5 '[modificar el umbral']]:[Marcador manual]], "Flagged")</f>
        <v>0</v>
      </c>
      <c r="AO213" s="418">
        <f>tblSeverityAnalysis[[#This Row],[Severidad preliminar basada en la superposición de privaciones sectoriales]]</f>
        <v>3</v>
      </c>
      <c r="AP213" s="417"/>
      <c r="AQ213" s="421" t="s">
        <v>876</v>
      </c>
      <c r="AR213" s="417">
        <v>3</v>
      </c>
    </row>
    <row r="214" spans="1:44" hidden="1">
      <c r="A21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VenezolanosVE1701</v>
      </c>
      <c r="B214" s="363" t="s">
        <v>513</v>
      </c>
      <c r="C214" s="323" t="s">
        <v>514</v>
      </c>
      <c r="D214" s="322" t="s">
        <v>515</v>
      </c>
      <c r="E214" s="323" t="s">
        <v>516</v>
      </c>
      <c r="F214" s="323"/>
      <c r="G214" s="324">
        <v>28294</v>
      </c>
      <c r="H214" s="324" t="s">
        <v>102</v>
      </c>
      <c r="I214" s="374">
        <v>2</v>
      </c>
      <c r="J214" s="237">
        <v>2</v>
      </c>
      <c r="K214" s="237">
        <v>3</v>
      </c>
      <c r="L214" s="237">
        <v>3</v>
      </c>
      <c r="M214" s="237">
        <v>1</v>
      </c>
      <c r="N214" s="237">
        <v>4</v>
      </c>
      <c r="O214" s="237">
        <v>1</v>
      </c>
      <c r="P214" s="237">
        <v>1</v>
      </c>
      <c r="Q214" s="382">
        <f>IF(COUNTIF(tblSeverityAnalysis[[#This Row],[SAMV]:[ASH]], 1)=0, "", COUNTIF(tblSeverityAnalysis[[#This Row],[SAMV]:[ASH]], 1))</f>
        <v>1</v>
      </c>
      <c r="R214" s="325">
        <f>IF(COUNTIF(tblSeverityAnalysis[[#This Row],[SAMV]:[ASH]], 2)=0, "", COUNTIF(tblSeverityAnalysis[[#This Row],[SAMV]:[ASH]], 2))</f>
        <v>2</v>
      </c>
      <c r="S214" s="325">
        <f>IF(COUNTIF(tblSeverityAnalysis[[#This Row],[SAMV]:[ASH]], 3)=0, "", COUNTIF(tblSeverityAnalysis[[#This Row],[SAMV]:[ASH]], 3))</f>
        <v>2</v>
      </c>
      <c r="T214" s="325">
        <f>IF(COUNTIF(tblSeverityAnalysis[[#This Row],[SAMV]:[ASH]], 4)=0, "", COUNTIF(tblSeverityAnalysis[[#This Row],[SAMV]:[ASH]], 4))</f>
        <v>1</v>
      </c>
      <c r="U214" s="383" t="str">
        <f>IF(COUNTIF(tblSeverityAnalysis[[#This Row],[SAMV]:[ASH]], 5)=0, "", COUNTIF(tblSeverityAnalysis[[#This Row],[SAMV]:[ASH]], 5))</f>
        <v/>
      </c>
      <c r="V214" s="375" cm="1">
        <f t="array" ref="V21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1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14" s="237" t="str">
        <f>IFERROR(IF(INDEX(tblSeverityReference[Severidad de la desnutrición],MATCH(tblSeverityAnalysis[[#This Row],[ID]], tblSeverityReference[ID], 0))= "", "",INDEX(tblSeverityReference[Severidad de la desnutrición],MATCH(tblSeverityAnalysis[[#This Row],[ID]], tblSeverityReference[ID], 0)) ), "")</f>
        <v/>
      </c>
      <c r="Y214" s="349" t="str">
        <f>IFERROR(IF(INDEX(tblSeverityReference[Severidad epidémica],MATCH(tblSeverityAnalysis[[#This Row],[ID]], tblSeverityReference[ID], 0))= "", "",INDEX(tblSeverityReference[Severidad epidémica],MATCH(tblSeverityAnalysis[[#This Row],[ID]], tblSeverityReference[ID], 0)) ), "")</f>
        <v/>
      </c>
      <c r="Z21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14" s="391" t="str">
        <f>IFERROR(IF(INDEX(tblSeverityReference[HR/IHL Violation],MATCH(tblSeverityAnalysis[[#This Row],[ID]], tblSeverityReference[ID], 0))= "", "",INDEX(tblSeverityReference[HR/IHL Violation],MATCH(tblSeverityAnalysis[[#This Row],[ID]], tblSeverityReference[ID], 0)) ), "")</f>
        <v/>
      </c>
      <c r="AB214" s="397">
        <f>IFERROR(AVERAGE(tblSeverityAnalysis[[#This Row],[SAMV]:[ASH]]), "")</f>
        <v>2.5</v>
      </c>
      <c r="AC214" s="346">
        <f>IF(SUM(tblSeverityAnalysis[[#This Row],[SAMV]:[ASH]])=0, "", MAX(tblSeverityAnalysis[[#This Row],[SAMV]:[ASH]]))</f>
        <v>4</v>
      </c>
      <c r="AD214" s="261" t="str" cm="1">
        <f t="array" ref="AD214">IFERROR(IF(tblSeverityAnalysis[[#This Row],[Severidad máxima]]="", "", _xlfn.TEXTJOIN(CHAR(10), TRUE, IF(tblSeverityAnalysis[[#This Row],[SAMV]:[ASH]]=tblSeverityAnalysis[[#This Row],[Severidad máxima]], tblSeverityAnalysis[[#Headers],[SAMV]:[ASH]], ""), "")), "")</f>
        <v>ASH</v>
      </c>
      <c r="AE214" s="346" cm="1">
        <f t="array" ref="AE214">IFERROR(MAX(_xlfn._xlws.FILTER(tblSeverityAnalysis[[#This Row],[SAMV]:[ASH]], tblSeverityAnalysis[[#This Row],[SAMV]:[ASH]]&lt;tblSeverityAnalysis[[#This Row],[Severidad máxima]])), "")</f>
        <v>3</v>
      </c>
      <c r="AF214" s="398" t="str" cm="1">
        <f t="array" ref="AF214">IFERROR(IF(tblSeverityAnalysis[[#This Row],[2ª mayor severidad]]="", "", _xlfn.TEXTJOIN(CHAR(10), TRUE, IF(tblSeverityAnalysis[[#This Row],[SAMV]:[ASH]]=tblSeverityAnalysis[[#This Row],[2ª mayor severidad]], tblSeverityAnalysis[[#Headers],[SAMV]:[ASH]], ""), "")), "")</f>
        <v>SAL
EDU</v>
      </c>
      <c r="AG214" s="405" t="str">
        <f>IFERROR(IF(AND(tblSeverityAnalysis[[#This Row],[5]] &lt;&gt; "", tblSeverityAnalysis[[#This Row],[5]]&gt;=sectors_sev_5), "Flagged", ""), "")</f>
        <v/>
      </c>
      <c r="AH214" s="347" t="str">
        <f>IFERROR(IF(AND(tblSeverityAnalysis[[#This Row],[Severidad preliminar basada en la superposición de privaciones sectoriales]]=5, SUM(tblSeverityAnalysis[[#This Row],[ 1 ]:[ 4 ]])&gt;=sectors_sev_5), "Flagged", ""), "")</f>
        <v/>
      </c>
      <c r="AI214" s="348" t="str" cm="1">
        <f t="array" ref="AI21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1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14" s="350"/>
      <c r="AL214" s="351"/>
      <c r="AM214" s="350"/>
      <c r="AN214" s="407">
        <f>COUNTIF(tblSeverityAnalysis[[#This Row],[1 sectores en fase de severidad 5 '[modificar el umbral']]:[Marcador manual]], "Flagged")</f>
        <v>0</v>
      </c>
      <c r="AO214" s="418">
        <f>tblSeverityAnalysis[[#This Row],[Severidad preliminar basada en la superposición de privaciones sectoriales]]</f>
        <v>2</v>
      </c>
      <c r="AP214" s="417"/>
      <c r="AQ214" s="421" t="s">
        <v>876</v>
      </c>
      <c r="AR214" s="417">
        <v>3</v>
      </c>
    </row>
    <row r="215" spans="1:44" hidden="1">
      <c r="A21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VenezolanosVE1702</v>
      </c>
      <c r="B215" s="363" t="s">
        <v>513</v>
      </c>
      <c r="C215" s="323" t="s">
        <v>514</v>
      </c>
      <c r="D215" s="322" t="s">
        <v>221</v>
      </c>
      <c r="E215" s="323" t="s">
        <v>517</v>
      </c>
      <c r="F215" s="323"/>
      <c r="G215" s="324">
        <v>28309</v>
      </c>
      <c r="H215" s="324" t="s">
        <v>102</v>
      </c>
      <c r="I215" s="374">
        <v>2</v>
      </c>
      <c r="J215" s="237">
        <v>2</v>
      </c>
      <c r="K215" s="237">
        <v>3</v>
      </c>
      <c r="L215" s="237">
        <v>3</v>
      </c>
      <c r="M215" s="237">
        <v>3</v>
      </c>
      <c r="N215" s="237">
        <v>4</v>
      </c>
      <c r="O215" s="237">
        <v>3</v>
      </c>
      <c r="P215" s="237">
        <v>3</v>
      </c>
      <c r="Q215" s="382" t="str">
        <f>IF(COUNTIF(tblSeverityAnalysis[[#This Row],[SAMV]:[ASH]], 1)=0, "", COUNTIF(tblSeverityAnalysis[[#This Row],[SAMV]:[ASH]], 1))</f>
        <v/>
      </c>
      <c r="R215" s="325">
        <f>IF(COUNTIF(tblSeverityAnalysis[[#This Row],[SAMV]:[ASH]], 2)=0, "", COUNTIF(tblSeverityAnalysis[[#This Row],[SAMV]:[ASH]], 2))</f>
        <v>2</v>
      </c>
      <c r="S215" s="325">
        <f>IF(COUNTIF(tblSeverityAnalysis[[#This Row],[SAMV]:[ASH]], 3)=0, "", COUNTIF(tblSeverityAnalysis[[#This Row],[SAMV]:[ASH]], 3))</f>
        <v>3</v>
      </c>
      <c r="T215" s="325">
        <f>IF(COUNTIF(tblSeverityAnalysis[[#This Row],[SAMV]:[ASH]], 4)=0, "", COUNTIF(tblSeverityAnalysis[[#This Row],[SAMV]:[ASH]], 4))</f>
        <v>1</v>
      </c>
      <c r="U215" s="383" t="str">
        <f>IF(COUNTIF(tblSeverityAnalysis[[#This Row],[SAMV]:[ASH]], 5)=0, "", COUNTIF(tblSeverityAnalysis[[#This Row],[SAMV]:[ASH]], 5))</f>
        <v/>
      </c>
      <c r="V215" s="375" cm="1">
        <f t="array" ref="V21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1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15" s="237" t="str">
        <f>IFERROR(IF(INDEX(tblSeverityReference[Severidad de la desnutrición],MATCH(tblSeverityAnalysis[[#This Row],[ID]], tblSeverityReference[ID], 0))= "", "",INDEX(tblSeverityReference[Severidad de la desnutrición],MATCH(tblSeverityAnalysis[[#This Row],[ID]], tblSeverityReference[ID], 0)) ), "")</f>
        <v/>
      </c>
      <c r="Y215" s="349" t="str">
        <f>IFERROR(IF(INDEX(tblSeverityReference[Severidad epidémica],MATCH(tblSeverityAnalysis[[#This Row],[ID]], tblSeverityReference[ID], 0))= "", "",INDEX(tblSeverityReference[Severidad epidémica],MATCH(tblSeverityAnalysis[[#This Row],[ID]], tblSeverityReference[ID], 0)) ), "")</f>
        <v/>
      </c>
      <c r="Z21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15" s="391" t="str">
        <f>IFERROR(IF(INDEX(tblSeverityReference[HR/IHL Violation],MATCH(tblSeverityAnalysis[[#This Row],[ID]], tblSeverityReference[ID], 0))= "", "",INDEX(tblSeverityReference[HR/IHL Violation],MATCH(tblSeverityAnalysis[[#This Row],[ID]], tblSeverityReference[ID], 0)) ), "")</f>
        <v/>
      </c>
      <c r="AB215" s="397">
        <f>IFERROR(AVERAGE(tblSeverityAnalysis[[#This Row],[SAMV]:[ASH]]), "")</f>
        <v>2.8333333333333335</v>
      </c>
      <c r="AC215" s="346">
        <f>IF(SUM(tblSeverityAnalysis[[#This Row],[SAMV]:[ASH]])=0, "", MAX(tblSeverityAnalysis[[#This Row],[SAMV]:[ASH]]))</f>
        <v>4</v>
      </c>
      <c r="AD215" s="261" t="str" cm="1">
        <f t="array" ref="AD215">IFERROR(IF(tblSeverityAnalysis[[#This Row],[Severidad máxima]]="", "", _xlfn.TEXTJOIN(CHAR(10), TRUE, IF(tblSeverityAnalysis[[#This Row],[SAMV]:[ASH]]=tblSeverityAnalysis[[#This Row],[Severidad máxima]], tblSeverityAnalysis[[#Headers],[SAMV]:[ASH]], ""), "")), "")</f>
        <v>ASH</v>
      </c>
      <c r="AE215" s="346" cm="1">
        <f t="array" ref="AE215">IFERROR(MAX(_xlfn._xlws.FILTER(tblSeverityAnalysis[[#This Row],[SAMV]:[ASH]], tblSeverityAnalysis[[#This Row],[SAMV]:[ASH]]&lt;tblSeverityAnalysis[[#This Row],[Severidad máxima]])), "")</f>
        <v>3</v>
      </c>
      <c r="AF215" s="398" t="str" cm="1">
        <f t="array" ref="AF215">IFERROR(IF(tblSeverityAnalysis[[#This Row],[2ª mayor severidad]]="", "", _xlfn.TEXTJOIN(CHAR(10), TRUE, IF(tblSeverityAnalysis[[#This Row],[SAMV]:[ASH]]=tblSeverityAnalysis[[#This Row],[2ª mayor severidad]], tblSeverityAnalysis[[#Headers],[SAMV]:[ASH]], ""), "")), "")</f>
        <v>SAL
EDU
PRO</v>
      </c>
      <c r="AG215" s="405" t="str">
        <f>IFERROR(IF(AND(tblSeverityAnalysis[[#This Row],[5]] &lt;&gt; "", tblSeverityAnalysis[[#This Row],[5]]&gt;=sectors_sev_5), "Flagged", ""), "")</f>
        <v/>
      </c>
      <c r="AH215" s="347" t="str">
        <f>IFERROR(IF(AND(tblSeverityAnalysis[[#This Row],[Severidad preliminar basada en la superposición de privaciones sectoriales]]=5, SUM(tblSeverityAnalysis[[#This Row],[ 1 ]:[ 4 ]])&gt;=sectors_sev_5), "Flagged", ""), "")</f>
        <v/>
      </c>
      <c r="AI215" s="348" t="str" cm="1">
        <f t="array" ref="AI21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1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15" s="350"/>
      <c r="AL215" s="351"/>
      <c r="AM215" s="350"/>
      <c r="AN215" s="407">
        <f>COUNTIF(tblSeverityAnalysis[[#This Row],[1 sectores en fase de severidad 5 '[modificar el umbral']]:[Marcador manual]], "Flagged")</f>
        <v>0</v>
      </c>
      <c r="AO215" s="418">
        <f>tblSeverityAnalysis[[#This Row],[Severidad preliminar basada en la superposición de privaciones sectoriales]]</f>
        <v>3</v>
      </c>
      <c r="AP215" s="417"/>
      <c r="AQ215" s="421" t="s">
        <v>876</v>
      </c>
      <c r="AR215" s="417">
        <v>3</v>
      </c>
    </row>
    <row r="216" spans="1:44" hidden="1">
      <c r="A21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VenezolanosVE1703</v>
      </c>
      <c r="B216" s="363" t="s">
        <v>513</v>
      </c>
      <c r="C216" s="323" t="s">
        <v>514</v>
      </c>
      <c r="D216" s="322" t="s">
        <v>518</v>
      </c>
      <c r="E216" s="323" t="s">
        <v>519</v>
      </c>
      <c r="F216" s="323"/>
      <c r="G216" s="324">
        <v>71466</v>
      </c>
      <c r="H216" s="324" t="s">
        <v>102</v>
      </c>
      <c r="I216" s="374">
        <v>3</v>
      </c>
      <c r="J216" s="237">
        <v>2</v>
      </c>
      <c r="K216" s="237">
        <v>3</v>
      </c>
      <c r="L216" s="237">
        <v>3</v>
      </c>
      <c r="M216" s="237">
        <v>2</v>
      </c>
      <c r="N216" s="237">
        <v>4</v>
      </c>
      <c r="O216" s="237">
        <v>2</v>
      </c>
      <c r="P216" s="237">
        <v>2</v>
      </c>
      <c r="Q216" s="382" t="str">
        <f>IF(COUNTIF(tblSeverityAnalysis[[#This Row],[SAMV]:[ASH]], 1)=0, "", COUNTIF(tblSeverityAnalysis[[#This Row],[SAMV]:[ASH]], 1))</f>
        <v/>
      </c>
      <c r="R216" s="325">
        <f>IF(COUNTIF(tblSeverityAnalysis[[#This Row],[SAMV]:[ASH]], 2)=0, "", COUNTIF(tblSeverityAnalysis[[#This Row],[SAMV]:[ASH]], 2))</f>
        <v>2</v>
      </c>
      <c r="S216" s="325">
        <f>IF(COUNTIF(tblSeverityAnalysis[[#This Row],[SAMV]:[ASH]], 3)=0, "", COUNTIF(tblSeverityAnalysis[[#This Row],[SAMV]:[ASH]], 3))</f>
        <v>3</v>
      </c>
      <c r="T216" s="325">
        <f>IF(COUNTIF(tblSeverityAnalysis[[#This Row],[SAMV]:[ASH]], 4)=0, "", COUNTIF(tblSeverityAnalysis[[#This Row],[SAMV]:[ASH]], 4))</f>
        <v>1</v>
      </c>
      <c r="U216" s="383" t="str">
        <f>IF(COUNTIF(tblSeverityAnalysis[[#This Row],[SAMV]:[ASH]], 5)=0, "", COUNTIF(tblSeverityAnalysis[[#This Row],[SAMV]:[ASH]], 5))</f>
        <v/>
      </c>
      <c r="V216" s="375" cm="1">
        <f t="array" ref="V21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1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16" s="237" t="str">
        <f>IFERROR(IF(INDEX(tblSeverityReference[Severidad de la desnutrición],MATCH(tblSeverityAnalysis[[#This Row],[ID]], tblSeverityReference[ID], 0))= "", "",INDEX(tblSeverityReference[Severidad de la desnutrición],MATCH(tblSeverityAnalysis[[#This Row],[ID]], tblSeverityReference[ID], 0)) ), "")</f>
        <v/>
      </c>
      <c r="Y216" s="349" t="str">
        <f>IFERROR(IF(INDEX(tblSeverityReference[Severidad epidémica],MATCH(tblSeverityAnalysis[[#This Row],[ID]], tblSeverityReference[ID], 0))= "", "",INDEX(tblSeverityReference[Severidad epidémica],MATCH(tblSeverityAnalysis[[#This Row],[ID]], tblSeverityReference[ID], 0)) ), "")</f>
        <v/>
      </c>
      <c r="Z21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16" s="391" t="str">
        <f>IFERROR(IF(INDEX(tblSeverityReference[HR/IHL Violation],MATCH(tblSeverityAnalysis[[#This Row],[ID]], tblSeverityReference[ID], 0))= "", "",INDEX(tblSeverityReference[HR/IHL Violation],MATCH(tblSeverityAnalysis[[#This Row],[ID]], tblSeverityReference[ID], 0)) ), "")</f>
        <v/>
      </c>
      <c r="AB216" s="397">
        <f>IFERROR(AVERAGE(tblSeverityAnalysis[[#This Row],[SAMV]:[ASH]]), "")</f>
        <v>2.8333333333333335</v>
      </c>
      <c r="AC216" s="346">
        <f>IF(SUM(tblSeverityAnalysis[[#This Row],[SAMV]:[ASH]])=0, "", MAX(tblSeverityAnalysis[[#This Row],[SAMV]:[ASH]]))</f>
        <v>4</v>
      </c>
      <c r="AD216" s="261" t="str" cm="1">
        <f t="array" ref="AD216">IFERROR(IF(tblSeverityAnalysis[[#This Row],[Severidad máxima]]="", "", _xlfn.TEXTJOIN(CHAR(10), TRUE, IF(tblSeverityAnalysis[[#This Row],[SAMV]:[ASH]]=tblSeverityAnalysis[[#This Row],[Severidad máxima]], tblSeverityAnalysis[[#Headers],[SAMV]:[ASH]], ""), "")), "")</f>
        <v>ASH</v>
      </c>
      <c r="AE216" s="346" cm="1">
        <f t="array" ref="AE216">IFERROR(MAX(_xlfn._xlws.FILTER(tblSeverityAnalysis[[#This Row],[SAMV]:[ASH]], tblSeverityAnalysis[[#This Row],[SAMV]:[ASH]]&lt;tblSeverityAnalysis[[#This Row],[Severidad máxima]])), "")</f>
        <v>3</v>
      </c>
      <c r="AF216" s="398" t="str" cm="1">
        <f t="array" ref="AF216">IFERROR(IF(tblSeverityAnalysis[[#This Row],[2ª mayor severidad]]="", "", _xlfn.TEXTJOIN(CHAR(10), TRUE, IF(tblSeverityAnalysis[[#This Row],[SAMV]:[ASH]]=tblSeverityAnalysis[[#This Row],[2ª mayor severidad]], tblSeverityAnalysis[[#Headers],[SAMV]:[ASH]], ""), "")), "")</f>
        <v>SAMV
SAL
EDU</v>
      </c>
      <c r="AG216" s="405" t="str">
        <f>IFERROR(IF(AND(tblSeverityAnalysis[[#This Row],[5]] &lt;&gt; "", tblSeverityAnalysis[[#This Row],[5]]&gt;=sectors_sev_5), "Flagged", ""), "")</f>
        <v/>
      </c>
      <c r="AH216" s="347" t="str">
        <f>IFERROR(IF(AND(tblSeverityAnalysis[[#This Row],[Severidad preliminar basada en la superposición de privaciones sectoriales]]=5, SUM(tblSeverityAnalysis[[#This Row],[ 1 ]:[ 4 ]])&gt;=sectors_sev_5), "Flagged", ""), "")</f>
        <v/>
      </c>
      <c r="AI216" s="348" t="str" cm="1">
        <f t="array" ref="AI21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1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16" s="350"/>
      <c r="AL216" s="351"/>
      <c r="AM216" s="350"/>
      <c r="AN216" s="407">
        <f>COUNTIF(tblSeverityAnalysis[[#This Row],[1 sectores en fase de severidad 5 '[modificar el umbral']]:[Marcador manual]], "Flagged")</f>
        <v>0</v>
      </c>
      <c r="AO216" s="418">
        <f>tblSeverityAnalysis[[#This Row],[Severidad preliminar basada en la superposición de privaciones sectoriales]]</f>
        <v>3</v>
      </c>
      <c r="AP216" s="417"/>
      <c r="AQ216" s="421" t="s">
        <v>876</v>
      </c>
      <c r="AR216" s="417">
        <v>3</v>
      </c>
    </row>
    <row r="217" spans="1:44" hidden="1">
      <c r="A21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VenezolanosVE1704</v>
      </c>
      <c r="B217" s="363" t="s">
        <v>513</v>
      </c>
      <c r="C217" s="323" t="s">
        <v>514</v>
      </c>
      <c r="D217" s="322" t="s">
        <v>520</v>
      </c>
      <c r="E217" s="323" t="s">
        <v>521</v>
      </c>
      <c r="F217" s="323"/>
      <c r="G217" s="324">
        <v>68490</v>
      </c>
      <c r="H217" s="324" t="s">
        <v>102</v>
      </c>
      <c r="I217" s="374">
        <v>3</v>
      </c>
      <c r="J217" s="237">
        <v>2</v>
      </c>
      <c r="K217" s="237">
        <v>3</v>
      </c>
      <c r="L217" s="237">
        <v>3</v>
      </c>
      <c r="M217" s="237">
        <v>2</v>
      </c>
      <c r="N217" s="237">
        <v>4</v>
      </c>
      <c r="O217" s="237">
        <v>2</v>
      </c>
      <c r="P217" s="237">
        <v>2</v>
      </c>
      <c r="Q217" s="382" t="str">
        <f>IF(COUNTIF(tblSeverityAnalysis[[#This Row],[SAMV]:[ASH]], 1)=0, "", COUNTIF(tblSeverityAnalysis[[#This Row],[SAMV]:[ASH]], 1))</f>
        <v/>
      </c>
      <c r="R217" s="325">
        <f>IF(COUNTIF(tblSeverityAnalysis[[#This Row],[SAMV]:[ASH]], 2)=0, "", COUNTIF(tblSeverityAnalysis[[#This Row],[SAMV]:[ASH]], 2))</f>
        <v>2</v>
      </c>
      <c r="S217" s="325">
        <f>IF(COUNTIF(tblSeverityAnalysis[[#This Row],[SAMV]:[ASH]], 3)=0, "", COUNTIF(tblSeverityAnalysis[[#This Row],[SAMV]:[ASH]], 3))</f>
        <v>3</v>
      </c>
      <c r="T217" s="325">
        <f>IF(COUNTIF(tblSeverityAnalysis[[#This Row],[SAMV]:[ASH]], 4)=0, "", COUNTIF(tblSeverityAnalysis[[#This Row],[SAMV]:[ASH]], 4))</f>
        <v>1</v>
      </c>
      <c r="U217" s="383" t="str">
        <f>IF(COUNTIF(tblSeverityAnalysis[[#This Row],[SAMV]:[ASH]], 5)=0, "", COUNTIF(tblSeverityAnalysis[[#This Row],[SAMV]:[ASH]], 5))</f>
        <v/>
      </c>
      <c r="V217" s="375" cm="1">
        <f t="array" ref="V21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1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17" s="237" t="str">
        <f>IFERROR(IF(INDEX(tblSeverityReference[Severidad de la desnutrición],MATCH(tblSeverityAnalysis[[#This Row],[ID]], tblSeverityReference[ID], 0))= "", "",INDEX(tblSeverityReference[Severidad de la desnutrición],MATCH(tblSeverityAnalysis[[#This Row],[ID]], tblSeverityReference[ID], 0)) ), "")</f>
        <v/>
      </c>
      <c r="Y217" s="349" t="str">
        <f>IFERROR(IF(INDEX(tblSeverityReference[Severidad epidémica],MATCH(tblSeverityAnalysis[[#This Row],[ID]], tblSeverityReference[ID], 0))= "", "",INDEX(tblSeverityReference[Severidad epidémica],MATCH(tblSeverityAnalysis[[#This Row],[ID]], tblSeverityReference[ID], 0)) ), "")</f>
        <v/>
      </c>
      <c r="Z21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17" s="391" t="str">
        <f>IFERROR(IF(INDEX(tblSeverityReference[HR/IHL Violation],MATCH(tblSeverityAnalysis[[#This Row],[ID]], tblSeverityReference[ID], 0))= "", "",INDEX(tblSeverityReference[HR/IHL Violation],MATCH(tblSeverityAnalysis[[#This Row],[ID]], tblSeverityReference[ID], 0)) ), "")</f>
        <v/>
      </c>
      <c r="AB217" s="397">
        <f>IFERROR(AVERAGE(tblSeverityAnalysis[[#This Row],[SAMV]:[ASH]]), "")</f>
        <v>2.8333333333333335</v>
      </c>
      <c r="AC217" s="346">
        <f>IF(SUM(tblSeverityAnalysis[[#This Row],[SAMV]:[ASH]])=0, "", MAX(tblSeverityAnalysis[[#This Row],[SAMV]:[ASH]]))</f>
        <v>4</v>
      </c>
      <c r="AD217" s="261" t="str" cm="1">
        <f t="array" ref="AD217">IFERROR(IF(tblSeverityAnalysis[[#This Row],[Severidad máxima]]="", "", _xlfn.TEXTJOIN(CHAR(10), TRUE, IF(tblSeverityAnalysis[[#This Row],[SAMV]:[ASH]]=tblSeverityAnalysis[[#This Row],[Severidad máxima]], tblSeverityAnalysis[[#Headers],[SAMV]:[ASH]], ""), "")), "")</f>
        <v>ASH</v>
      </c>
      <c r="AE217" s="346" cm="1">
        <f t="array" ref="AE217">IFERROR(MAX(_xlfn._xlws.FILTER(tblSeverityAnalysis[[#This Row],[SAMV]:[ASH]], tblSeverityAnalysis[[#This Row],[SAMV]:[ASH]]&lt;tblSeverityAnalysis[[#This Row],[Severidad máxima]])), "")</f>
        <v>3</v>
      </c>
      <c r="AF217" s="398" t="str" cm="1">
        <f t="array" ref="AF217">IFERROR(IF(tblSeverityAnalysis[[#This Row],[2ª mayor severidad]]="", "", _xlfn.TEXTJOIN(CHAR(10), TRUE, IF(tblSeverityAnalysis[[#This Row],[SAMV]:[ASH]]=tblSeverityAnalysis[[#This Row],[2ª mayor severidad]], tblSeverityAnalysis[[#Headers],[SAMV]:[ASH]], ""), "")), "")</f>
        <v>SAMV
SAL
EDU</v>
      </c>
      <c r="AG217" s="405" t="str">
        <f>IFERROR(IF(AND(tblSeverityAnalysis[[#This Row],[5]] &lt;&gt; "", tblSeverityAnalysis[[#This Row],[5]]&gt;=sectors_sev_5), "Flagged", ""), "")</f>
        <v/>
      </c>
      <c r="AH217" s="347" t="str">
        <f>IFERROR(IF(AND(tblSeverityAnalysis[[#This Row],[Severidad preliminar basada en la superposición de privaciones sectoriales]]=5, SUM(tblSeverityAnalysis[[#This Row],[ 1 ]:[ 4 ]])&gt;=sectors_sev_5), "Flagged", ""), "")</f>
        <v/>
      </c>
      <c r="AI217" s="348" t="str" cm="1">
        <f t="array" ref="AI21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1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17" s="350"/>
      <c r="AL217" s="351"/>
      <c r="AM217" s="350"/>
      <c r="AN217" s="407">
        <f>COUNTIF(tblSeverityAnalysis[[#This Row],[1 sectores en fase de severidad 5 '[modificar el umbral']]:[Marcador manual]], "Flagged")</f>
        <v>0</v>
      </c>
      <c r="AO217" s="418">
        <f>tblSeverityAnalysis[[#This Row],[Severidad preliminar basada en la superposición de privaciones sectoriales]]</f>
        <v>3</v>
      </c>
      <c r="AP217" s="417"/>
      <c r="AQ217" s="421" t="s">
        <v>876</v>
      </c>
      <c r="AR217" s="417">
        <v>3</v>
      </c>
    </row>
    <row r="218" spans="1:44" hidden="1">
      <c r="A21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VenezolanosVE1705</v>
      </c>
      <c r="B218" s="363" t="s">
        <v>513</v>
      </c>
      <c r="C218" s="323" t="s">
        <v>514</v>
      </c>
      <c r="D218" s="322" t="s">
        <v>522</v>
      </c>
      <c r="E218" s="323" t="s">
        <v>523</v>
      </c>
      <c r="F218" s="323"/>
      <c r="G218" s="324">
        <v>40409</v>
      </c>
      <c r="H218" s="324" t="s">
        <v>102</v>
      </c>
      <c r="I218" s="374">
        <v>2</v>
      </c>
      <c r="J218" s="237">
        <v>2</v>
      </c>
      <c r="K218" s="237">
        <v>3</v>
      </c>
      <c r="L218" s="237">
        <v>3</v>
      </c>
      <c r="M218" s="237">
        <v>2</v>
      </c>
      <c r="N218" s="237">
        <v>4</v>
      </c>
      <c r="O218" s="237">
        <v>2</v>
      </c>
      <c r="P218" s="237">
        <v>2</v>
      </c>
      <c r="Q218" s="382" t="str">
        <f>IF(COUNTIF(tblSeverityAnalysis[[#This Row],[SAMV]:[ASH]], 1)=0, "", COUNTIF(tblSeverityAnalysis[[#This Row],[SAMV]:[ASH]], 1))</f>
        <v/>
      </c>
      <c r="R218" s="325">
        <f>IF(COUNTIF(tblSeverityAnalysis[[#This Row],[SAMV]:[ASH]], 2)=0, "", COUNTIF(tblSeverityAnalysis[[#This Row],[SAMV]:[ASH]], 2))</f>
        <v>3</v>
      </c>
      <c r="S218" s="325">
        <f>IF(COUNTIF(tblSeverityAnalysis[[#This Row],[SAMV]:[ASH]], 3)=0, "", COUNTIF(tblSeverityAnalysis[[#This Row],[SAMV]:[ASH]], 3))</f>
        <v>2</v>
      </c>
      <c r="T218" s="325">
        <f>IF(COUNTIF(tblSeverityAnalysis[[#This Row],[SAMV]:[ASH]], 4)=0, "", COUNTIF(tblSeverityAnalysis[[#This Row],[SAMV]:[ASH]], 4))</f>
        <v>1</v>
      </c>
      <c r="U218" s="383" t="str">
        <f>IF(COUNTIF(tblSeverityAnalysis[[#This Row],[SAMV]:[ASH]], 5)=0, "", COUNTIF(tblSeverityAnalysis[[#This Row],[SAMV]:[ASH]], 5))</f>
        <v/>
      </c>
      <c r="V218" s="375" cm="1">
        <f t="array" ref="V21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1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18" s="237" t="str">
        <f>IFERROR(IF(INDEX(tblSeverityReference[Severidad de la desnutrición],MATCH(tblSeverityAnalysis[[#This Row],[ID]], tblSeverityReference[ID], 0))= "", "",INDEX(tblSeverityReference[Severidad de la desnutrición],MATCH(tblSeverityAnalysis[[#This Row],[ID]], tblSeverityReference[ID], 0)) ), "")</f>
        <v/>
      </c>
      <c r="Y218" s="349" t="str">
        <f>IFERROR(IF(INDEX(tblSeverityReference[Severidad epidémica],MATCH(tblSeverityAnalysis[[#This Row],[ID]], tblSeverityReference[ID], 0))= "", "",INDEX(tblSeverityReference[Severidad epidémica],MATCH(tblSeverityAnalysis[[#This Row],[ID]], tblSeverityReference[ID], 0)) ), "")</f>
        <v/>
      </c>
      <c r="Z21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18" s="391" t="str">
        <f>IFERROR(IF(INDEX(tblSeverityReference[HR/IHL Violation],MATCH(tblSeverityAnalysis[[#This Row],[ID]], tblSeverityReference[ID], 0))= "", "",INDEX(tblSeverityReference[HR/IHL Violation],MATCH(tblSeverityAnalysis[[#This Row],[ID]], tblSeverityReference[ID], 0)) ), "")</f>
        <v/>
      </c>
      <c r="AB218" s="397">
        <f>IFERROR(AVERAGE(tblSeverityAnalysis[[#This Row],[SAMV]:[ASH]]), "")</f>
        <v>2.6666666666666665</v>
      </c>
      <c r="AC218" s="346">
        <f>IF(SUM(tblSeverityAnalysis[[#This Row],[SAMV]:[ASH]])=0, "", MAX(tblSeverityAnalysis[[#This Row],[SAMV]:[ASH]]))</f>
        <v>4</v>
      </c>
      <c r="AD218" s="261" t="str" cm="1">
        <f t="array" ref="AD218">IFERROR(IF(tblSeverityAnalysis[[#This Row],[Severidad máxima]]="", "", _xlfn.TEXTJOIN(CHAR(10), TRUE, IF(tblSeverityAnalysis[[#This Row],[SAMV]:[ASH]]=tblSeverityAnalysis[[#This Row],[Severidad máxima]], tblSeverityAnalysis[[#Headers],[SAMV]:[ASH]], ""), "")), "")</f>
        <v>ASH</v>
      </c>
      <c r="AE218" s="346" cm="1">
        <f t="array" ref="AE218">IFERROR(MAX(_xlfn._xlws.FILTER(tblSeverityAnalysis[[#This Row],[SAMV]:[ASH]], tblSeverityAnalysis[[#This Row],[SAMV]:[ASH]]&lt;tblSeverityAnalysis[[#This Row],[Severidad máxima]])), "")</f>
        <v>3</v>
      </c>
      <c r="AF218" s="398" t="str" cm="1">
        <f t="array" ref="AF218">IFERROR(IF(tblSeverityAnalysis[[#This Row],[2ª mayor severidad]]="", "", _xlfn.TEXTJOIN(CHAR(10), TRUE, IF(tblSeverityAnalysis[[#This Row],[SAMV]:[ASH]]=tblSeverityAnalysis[[#This Row],[2ª mayor severidad]], tblSeverityAnalysis[[#Headers],[SAMV]:[ASH]], ""), "")), "")</f>
        <v>SAL
EDU</v>
      </c>
      <c r="AG218" s="405" t="str">
        <f>IFERROR(IF(AND(tblSeverityAnalysis[[#This Row],[5]] &lt;&gt; "", tblSeverityAnalysis[[#This Row],[5]]&gt;=sectors_sev_5), "Flagged", ""), "")</f>
        <v/>
      </c>
      <c r="AH218" s="347" t="str">
        <f>IFERROR(IF(AND(tblSeverityAnalysis[[#This Row],[Severidad preliminar basada en la superposición de privaciones sectoriales]]=5, SUM(tblSeverityAnalysis[[#This Row],[ 1 ]:[ 4 ]])&gt;=sectors_sev_5), "Flagged", ""), "")</f>
        <v/>
      </c>
      <c r="AI218" s="348" t="str" cm="1">
        <f t="array" ref="AI21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1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18" s="350"/>
      <c r="AL218" s="351"/>
      <c r="AM218" s="350"/>
      <c r="AN218" s="407">
        <f>COUNTIF(tblSeverityAnalysis[[#This Row],[1 sectores en fase de severidad 5 '[modificar el umbral']]:[Marcador manual]], "Flagged")</f>
        <v>0</v>
      </c>
      <c r="AO218" s="418">
        <f>tblSeverityAnalysis[[#This Row],[Severidad preliminar basada en la superposición de privaciones sectoriales]]</f>
        <v>2</v>
      </c>
      <c r="AP218" s="417"/>
      <c r="AQ218" s="421" t="s">
        <v>876</v>
      </c>
      <c r="AR218" s="417">
        <v>3</v>
      </c>
    </row>
    <row r="219" spans="1:44" hidden="1">
      <c r="A21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VenezolanosVE1706</v>
      </c>
      <c r="B219" s="363" t="s">
        <v>513</v>
      </c>
      <c r="C219" s="323" t="s">
        <v>514</v>
      </c>
      <c r="D219" s="322" t="s">
        <v>524</v>
      </c>
      <c r="E219" s="323" t="s">
        <v>525</v>
      </c>
      <c r="F219" s="323"/>
      <c r="G219" s="324">
        <v>48952</v>
      </c>
      <c r="H219" s="324" t="s">
        <v>102</v>
      </c>
      <c r="I219" s="374">
        <v>1</v>
      </c>
      <c r="J219" s="237">
        <v>2</v>
      </c>
      <c r="K219" s="237">
        <v>3</v>
      </c>
      <c r="L219" s="237">
        <v>3</v>
      </c>
      <c r="M219" s="237">
        <v>1</v>
      </c>
      <c r="N219" s="237">
        <v>4</v>
      </c>
      <c r="O219" s="237">
        <v>1</v>
      </c>
      <c r="P219" s="237">
        <v>1</v>
      </c>
      <c r="Q219" s="382">
        <f>IF(COUNTIF(tblSeverityAnalysis[[#This Row],[SAMV]:[ASH]], 1)=0, "", COUNTIF(tblSeverityAnalysis[[#This Row],[SAMV]:[ASH]], 1))</f>
        <v>2</v>
      </c>
      <c r="R219" s="325">
        <f>IF(COUNTIF(tblSeverityAnalysis[[#This Row],[SAMV]:[ASH]], 2)=0, "", COUNTIF(tblSeverityAnalysis[[#This Row],[SAMV]:[ASH]], 2))</f>
        <v>1</v>
      </c>
      <c r="S219" s="325">
        <f>IF(COUNTIF(tblSeverityAnalysis[[#This Row],[SAMV]:[ASH]], 3)=0, "", COUNTIF(tblSeverityAnalysis[[#This Row],[SAMV]:[ASH]], 3))</f>
        <v>2</v>
      </c>
      <c r="T219" s="325">
        <f>IF(COUNTIF(tblSeverityAnalysis[[#This Row],[SAMV]:[ASH]], 4)=0, "", COUNTIF(tblSeverityAnalysis[[#This Row],[SAMV]:[ASH]], 4))</f>
        <v>1</v>
      </c>
      <c r="U219" s="383" t="str">
        <f>IF(COUNTIF(tblSeverityAnalysis[[#This Row],[SAMV]:[ASH]], 5)=0, "", COUNTIF(tblSeverityAnalysis[[#This Row],[SAMV]:[ASH]], 5))</f>
        <v/>
      </c>
      <c r="V219" s="375" cm="1">
        <f t="array" ref="V21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1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19" s="237" t="str">
        <f>IFERROR(IF(INDEX(tblSeverityReference[Severidad de la desnutrición],MATCH(tblSeverityAnalysis[[#This Row],[ID]], tblSeverityReference[ID], 0))= "", "",INDEX(tblSeverityReference[Severidad de la desnutrición],MATCH(tblSeverityAnalysis[[#This Row],[ID]], tblSeverityReference[ID], 0)) ), "")</f>
        <v/>
      </c>
      <c r="Y219" s="349" t="str">
        <f>IFERROR(IF(INDEX(tblSeverityReference[Severidad epidémica],MATCH(tblSeverityAnalysis[[#This Row],[ID]], tblSeverityReference[ID], 0))= "", "",INDEX(tblSeverityReference[Severidad epidémica],MATCH(tblSeverityAnalysis[[#This Row],[ID]], tblSeverityReference[ID], 0)) ), "")</f>
        <v/>
      </c>
      <c r="Z21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19" s="391" t="str">
        <f>IFERROR(IF(INDEX(tblSeverityReference[HR/IHL Violation],MATCH(tblSeverityAnalysis[[#This Row],[ID]], tblSeverityReference[ID], 0))= "", "",INDEX(tblSeverityReference[HR/IHL Violation],MATCH(tblSeverityAnalysis[[#This Row],[ID]], tblSeverityReference[ID], 0)) ), "")</f>
        <v/>
      </c>
      <c r="AB219" s="397">
        <f>IFERROR(AVERAGE(tblSeverityAnalysis[[#This Row],[SAMV]:[ASH]]), "")</f>
        <v>2.3333333333333335</v>
      </c>
      <c r="AC219" s="346">
        <f>IF(SUM(tblSeverityAnalysis[[#This Row],[SAMV]:[ASH]])=0, "", MAX(tblSeverityAnalysis[[#This Row],[SAMV]:[ASH]]))</f>
        <v>4</v>
      </c>
      <c r="AD219" s="261" t="str" cm="1">
        <f t="array" ref="AD219">IFERROR(IF(tblSeverityAnalysis[[#This Row],[Severidad máxima]]="", "", _xlfn.TEXTJOIN(CHAR(10), TRUE, IF(tblSeverityAnalysis[[#This Row],[SAMV]:[ASH]]=tblSeverityAnalysis[[#This Row],[Severidad máxima]], tblSeverityAnalysis[[#Headers],[SAMV]:[ASH]], ""), "")), "")</f>
        <v>ASH</v>
      </c>
      <c r="AE219" s="346" cm="1">
        <f t="array" ref="AE219">IFERROR(MAX(_xlfn._xlws.FILTER(tblSeverityAnalysis[[#This Row],[SAMV]:[ASH]], tblSeverityAnalysis[[#This Row],[SAMV]:[ASH]]&lt;tblSeverityAnalysis[[#This Row],[Severidad máxima]])), "")</f>
        <v>3</v>
      </c>
      <c r="AF219" s="398" t="str" cm="1">
        <f t="array" ref="AF219">IFERROR(IF(tblSeverityAnalysis[[#This Row],[2ª mayor severidad]]="", "", _xlfn.TEXTJOIN(CHAR(10), TRUE, IF(tblSeverityAnalysis[[#This Row],[SAMV]:[ASH]]=tblSeverityAnalysis[[#This Row],[2ª mayor severidad]], tblSeverityAnalysis[[#Headers],[SAMV]:[ASH]], ""), "")), "")</f>
        <v>SAL
EDU</v>
      </c>
      <c r="AG219" s="405" t="str">
        <f>IFERROR(IF(AND(tblSeverityAnalysis[[#This Row],[5]] &lt;&gt; "", tblSeverityAnalysis[[#This Row],[5]]&gt;=sectors_sev_5), "Flagged", ""), "")</f>
        <v/>
      </c>
      <c r="AH219" s="347" t="str">
        <f>IFERROR(IF(AND(tblSeverityAnalysis[[#This Row],[Severidad preliminar basada en la superposición de privaciones sectoriales]]=5, SUM(tblSeverityAnalysis[[#This Row],[ 1 ]:[ 4 ]])&gt;=sectors_sev_5), "Flagged", ""), "")</f>
        <v/>
      </c>
      <c r="AI219" s="348" t="str" cm="1">
        <f t="array" ref="AI21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1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19" s="350"/>
      <c r="AL219" s="351"/>
      <c r="AM219" s="350"/>
      <c r="AN219" s="407">
        <f>COUNTIF(tblSeverityAnalysis[[#This Row],[1 sectores en fase de severidad 5 '[modificar el umbral']]:[Marcador manual]], "Flagged")</f>
        <v>0</v>
      </c>
      <c r="AO219" s="418">
        <f>tblSeverityAnalysis[[#This Row],[Severidad preliminar basada en la superposición de privaciones sectoriales]]</f>
        <v>2</v>
      </c>
      <c r="AP219" s="417"/>
      <c r="AQ219" s="421" t="s">
        <v>876</v>
      </c>
      <c r="AR219" s="417">
        <v>3</v>
      </c>
    </row>
    <row r="220" spans="1:44" hidden="1">
      <c r="A22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VenezolanosVE1707</v>
      </c>
      <c r="B220" s="363" t="s">
        <v>513</v>
      </c>
      <c r="C220" s="323" t="s">
        <v>514</v>
      </c>
      <c r="D220" s="322" t="s">
        <v>526</v>
      </c>
      <c r="E220" s="323" t="s">
        <v>527</v>
      </c>
      <c r="F220" s="323"/>
      <c r="G220" s="324">
        <v>35691</v>
      </c>
      <c r="H220" s="324" t="s">
        <v>102</v>
      </c>
      <c r="I220" s="374">
        <v>2</v>
      </c>
      <c r="J220" s="237">
        <v>2</v>
      </c>
      <c r="K220" s="237">
        <v>3</v>
      </c>
      <c r="L220" s="237">
        <v>3</v>
      </c>
      <c r="M220" s="237">
        <v>1</v>
      </c>
      <c r="N220" s="237">
        <v>4</v>
      </c>
      <c r="O220" s="237">
        <v>1</v>
      </c>
      <c r="P220" s="237">
        <v>1</v>
      </c>
      <c r="Q220" s="382">
        <f>IF(COUNTIF(tblSeverityAnalysis[[#This Row],[SAMV]:[ASH]], 1)=0, "", COUNTIF(tblSeverityAnalysis[[#This Row],[SAMV]:[ASH]], 1))</f>
        <v>1</v>
      </c>
      <c r="R220" s="325">
        <f>IF(COUNTIF(tblSeverityAnalysis[[#This Row],[SAMV]:[ASH]], 2)=0, "", COUNTIF(tblSeverityAnalysis[[#This Row],[SAMV]:[ASH]], 2))</f>
        <v>2</v>
      </c>
      <c r="S220" s="325">
        <f>IF(COUNTIF(tblSeverityAnalysis[[#This Row],[SAMV]:[ASH]], 3)=0, "", COUNTIF(tblSeverityAnalysis[[#This Row],[SAMV]:[ASH]], 3))</f>
        <v>2</v>
      </c>
      <c r="T220" s="325">
        <f>IF(COUNTIF(tblSeverityAnalysis[[#This Row],[SAMV]:[ASH]], 4)=0, "", COUNTIF(tblSeverityAnalysis[[#This Row],[SAMV]:[ASH]], 4))</f>
        <v>1</v>
      </c>
      <c r="U220" s="383" t="str">
        <f>IF(COUNTIF(tblSeverityAnalysis[[#This Row],[SAMV]:[ASH]], 5)=0, "", COUNTIF(tblSeverityAnalysis[[#This Row],[SAMV]:[ASH]], 5))</f>
        <v/>
      </c>
      <c r="V220" s="375" cm="1">
        <f t="array" ref="V22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2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20" s="237" t="str">
        <f>IFERROR(IF(INDEX(tblSeverityReference[Severidad de la desnutrición],MATCH(tblSeverityAnalysis[[#This Row],[ID]], tblSeverityReference[ID], 0))= "", "",INDEX(tblSeverityReference[Severidad de la desnutrición],MATCH(tblSeverityAnalysis[[#This Row],[ID]], tblSeverityReference[ID], 0)) ), "")</f>
        <v/>
      </c>
      <c r="Y220" s="349" t="str">
        <f>IFERROR(IF(INDEX(tblSeverityReference[Severidad epidémica],MATCH(tblSeverityAnalysis[[#This Row],[ID]], tblSeverityReference[ID], 0))= "", "",INDEX(tblSeverityReference[Severidad epidémica],MATCH(tblSeverityAnalysis[[#This Row],[ID]], tblSeverityReference[ID], 0)) ), "")</f>
        <v/>
      </c>
      <c r="Z22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20" s="391" t="str">
        <f>IFERROR(IF(INDEX(tblSeverityReference[HR/IHL Violation],MATCH(tblSeverityAnalysis[[#This Row],[ID]], tblSeverityReference[ID], 0))= "", "",INDEX(tblSeverityReference[HR/IHL Violation],MATCH(tblSeverityAnalysis[[#This Row],[ID]], tblSeverityReference[ID], 0)) ), "")</f>
        <v/>
      </c>
      <c r="AB220" s="397">
        <f>IFERROR(AVERAGE(tblSeverityAnalysis[[#This Row],[SAMV]:[ASH]]), "")</f>
        <v>2.5</v>
      </c>
      <c r="AC220" s="346">
        <f>IF(SUM(tblSeverityAnalysis[[#This Row],[SAMV]:[ASH]])=0, "", MAX(tblSeverityAnalysis[[#This Row],[SAMV]:[ASH]]))</f>
        <v>4</v>
      </c>
      <c r="AD220" s="261" t="str" cm="1">
        <f t="array" ref="AD220">IFERROR(IF(tblSeverityAnalysis[[#This Row],[Severidad máxima]]="", "", _xlfn.TEXTJOIN(CHAR(10), TRUE, IF(tblSeverityAnalysis[[#This Row],[SAMV]:[ASH]]=tblSeverityAnalysis[[#This Row],[Severidad máxima]], tblSeverityAnalysis[[#Headers],[SAMV]:[ASH]], ""), "")), "")</f>
        <v>ASH</v>
      </c>
      <c r="AE220" s="346" cm="1">
        <f t="array" ref="AE220">IFERROR(MAX(_xlfn._xlws.FILTER(tblSeverityAnalysis[[#This Row],[SAMV]:[ASH]], tblSeverityAnalysis[[#This Row],[SAMV]:[ASH]]&lt;tblSeverityAnalysis[[#This Row],[Severidad máxima]])), "")</f>
        <v>3</v>
      </c>
      <c r="AF220" s="398" t="str" cm="1">
        <f t="array" ref="AF220">IFERROR(IF(tblSeverityAnalysis[[#This Row],[2ª mayor severidad]]="", "", _xlfn.TEXTJOIN(CHAR(10), TRUE, IF(tblSeverityAnalysis[[#This Row],[SAMV]:[ASH]]=tblSeverityAnalysis[[#This Row],[2ª mayor severidad]], tblSeverityAnalysis[[#Headers],[SAMV]:[ASH]], ""), "")), "")</f>
        <v>SAL
EDU</v>
      </c>
      <c r="AG220" s="405" t="str">
        <f>IFERROR(IF(AND(tblSeverityAnalysis[[#This Row],[5]] &lt;&gt; "", tblSeverityAnalysis[[#This Row],[5]]&gt;=sectors_sev_5), "Flagged", ""), "")</f>
        <v/>
      </c>
      <c r="AH220" s="347" t="str">
        <f>IFERROR(IF(AND(tblSeverityAnalysis[[#This Row],[Severidad preliminar basada en la superposición de privaciones sectoriales]]=5, SUM(tblSeverityAnalysis[[#This Row],[ 1 ]:[ 4 ]])&gt;=sectors_sev_5), "Flagged", ""), "")</f>
        <v/>
      </c>
      <c r="AI220" s="348" t="str" cm="1">
        <f t="array" ref="AI22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2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20" s="350"/>
      <c r="AL220" s="351"/>
      <c r="AM220" s="350"/>
      <c r="AN220" s="407">
        <f>COUNTIF(tblSeverityAnalysis[[#This Row],[1 sectores en fase de severidad 5 '[modificar el umbral']]:[Marcador manual]], "Flagged")</f>
        <v>0</v>
      </c>
      <c r="AO220" s="418">
        <f>tblSeverityAnalysis[[#This Row],[Severidad preliminar basada en la superposición de privaciones sectoriales]]</f>
        <v>2</v>
      </c>
      <c r="AP220" s="417"/>
      <c r="AQ220" s="421" t="s">
        <v>876</v>
      </c>
      <c r="AR220" s="417">
        <v>3</v>
      </c>
    </row>
    <row r="221" spans="1:44" hidden="1">
      <c r="A22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VenezolanosVE1708</v>
      </c>
      <c r="B221" s="363" t="s">
        <v>513</v>
      </c>
      <c r="C221" s="323" t="s">
        <v>514</v>
      </c>
      <c r="D221" s="322" t="s">
        <v>528</v>
      </c>
      <c r="E221" s="323" t="s">
        <v>529</v>
      </c>
      <c r="F221" s="323"/>
      <c r="G221" s="324">
        <v>97667</v>
      </c>
      <c r="H221" s="324" t="s">
        <v>102</v>
      </c>
      <c r="I221" s="374">
        <v>2</v>
      </c>
      <c r="J221" s="237">
        <v>2</v>
      </c>
      <c r="K221" s="237">
        <v>3</v>
      </c>
      <c r="L221" s="237">
        <v>3</v>
      </c>
      <c r="M221" s="237">
        <v>2</v>
      </c>
      <c r="N221" s="237">
        <v>4</v>
      </c>
      <c r="O221" s="237">
        <v>2</v>
      </c>
      <c r="P221" s="237">
        <v>2</v>
      </c>
      <c r="Q221" s="382" t="str">
        <f>IF(COUNTIF(tblSeverityAnalysis[[#This Row],[SAMV]:[ASH]], 1)=0, "", COUNTIF(tblSeverityAnalysis[[#This Row],[SAMV]:[ASH]], 1))</f>
        <v/>
      </c>
      <c r="R221" s="325">
        <f>IF(COUNTIF(tblSeverityAnalysis[[#This Row],[SAMV]:[ASH]], 2)=0, "", COUNTIF(tblSeverityAnalysis[[#This Row],[SAMV]:[ASH]], 2))</f>
        <v>3</v>
      </c>
      <c r="S221" s="325">
        <f>IF(COUNTIF(tblSeverityAnalysis[[#This Row],[SAMV]:[ASH]], 3)=0, "", COUNTIF(tblSeverityAnalysis[[#This Row],[SAMV]:[ASH]], 3))</f>
        <v>2</v>
      </c>
      <c r="T221" s="325">
        <f>IF(COUNTIF(tblSeverityAnalysis[[#This Row],[SAMV]:[ASH]], 4)=0, "", COUNTIF(tblSeverityAnalysis[[#This Row],[SAMV]:[ASH]], 4))</f>
        <v>1</v>
      </c>
      <c r="U221" s="383" t="str">
        <f>IF(COUNTIF(tblSeverityAnalysis[[#This Row],[SAMV]:[ASH]], 5)=0, "", COUNTIF(tblSeverityAnalysis[[#This Row],[SAMV]:[ASH]], 5))</f>
        <v/>
      </c>
      <c r="V221" s="375" cm="1">
        <f t="array" ref="V22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2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21" s="237" t="str">
        <f>IFERROR(IF(INDEX(tblSeverityReference[Severidad de la desnutrición],MATCH(tblSeverityAnalysis[[#This Row],[ID]], tblSeverityReference[ID], 0))= "", "",INDEX(tblSeverityReference[Severidad de la desnutrición],MATCH(tblSeverityAnalysis[[#This Row],[ID]], tblSeverityReference[ID], 0)) ), "")</f>
        <v/>
      </c>
      <c r="Y221" s="349" t="str">
        <f>IFERROR(IF(INDEX(tblSeverityReference[Severidad epidémica],MATCH(tblSeverityAnalysis[[#This Row],[ID]], tblSeverityReference[ID], 0))= "", "",INDEX(tblSeverityReference[Severidad epidémica],MATCH(tblSeverityAnalysis[[#This Row],[ID]], tblSeverityReference[ID], 0)) ), "")</f>
        <v/>
      </c>
      <c r="Z22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21" s="391" t="str">
        <f>IFERROR(IF(INDEX(tblSeverityReference[HR/IHL Violation],MATCH(tblSeverityAnalysis[[#This Row],[ID]], tblSeverityReference[ID], 0))= "", "",INDEX(tblSeverityReference[HR/IHL Violation],MATCH(tblSeverityAnalysis[[#This Row],[ID]], tblSeverityReference[ID], 0)) ), "")</f>
        <v/>
      </c>
      <c r="AB221" s="397">
        <f>IFERROR(AVERAGE(tblSeverityAnalysis[[#This Row],[SAMV]:[ASH]]), "")</f>
        <v>2.6666666666666665</v>
      </c>
      <c r="AC221" s="346">
        <f>IF(SUM(tblSeverityAnalysis[[#This Row],[SAMV]:[ASH]])=0, "", MAX(tblSeverityAnalysis[[#This Row],[SAMV]:[ASH]]))</f>
        <v>4</v>
      </c>
      <c r="AD221" s="261" t="str" cm="1">
        <f t="array" ref="AD221">IFERROR(IF(tblSeverityAnalysis[[#This Row],[Severidad máxima]]="", "", _xlfn.TEXTJOIN(CHAR(10), TRUE, IF(tblSeverityAnalysis[[#This Row],[SAMV]:[ASH]]=tblSeverityAnalysis[[#This Row],[Severidad máxima]], tblSeverityAnalysis[[#Headers],[SAMV]:[ASH]], ""), "")), "")</f>
        <v>ASH</v>
      </c>
      <c r="AE221" s="346" cm="1">
        <f t="array" ref="AE221">IFERROR(MAX(_xlfn._xlws.FILTER(tblSeverityAnalysis[[#This Row],[SAMV]:[ASH]], tblSeverityAnalysis[[#This Row],[SAMV]:[ASH]]&lt;tblSeverityAnalysis[[#This Row],[Severidad máxima]])), "")</f>
        <v>3</v>
      </c>
      <c r="AF221" s="398" t="str" cm="1">
        <f t="array" ref="AF221">IFERROR(IF(tblSeverityAnalysis[[#This Row],[2ª mayor severidad]]="", "", _xlfn.TEXTJOIN(CHAR(10), TRUE, IF(tblSeverityAnalysis[[#This Row],[SAMV]:[ASH]]=tblSeverityAnalysis[[#This Row],[2ª mayor severidad]], tblSeverityAnalysis[[#Headers],[SAMV]:[ASH]], ""), "")), "")</f>
        <v>SAL
EDU</v>
      </c>
      <c r="AG221" s="405" t="str">
        <f>IFERROR(IF(AND(tblSeverityAnalysis[[#This Row],[5]] &lt;&gt; "", tblSeverityAnalysis[[#This Row],[5]]&gt;=sectors_sev_5), "Flagged", ""), "")</f>
        <v/>
      </c>
      <c r="AH221" s="347" t="str">
        <f>IFERROR(IF(AND(tblSeverityAnalysis[[#This Row],[Severidad preliminar basada en la superposición de privaciones sectoriales]]=5, SUM(tblSeverityAnalysis[[#This Row],[ 1 ]:[ 4 ]])&gt;=sectors_sev_5), "Flagged", ""), "")</f>
        <v/>
      </c>
      <c r="AI221" s="348" t="str" cm="1">
        <f t="array" ref="AI22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2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21" s="350"/>
      <c r="AL221" s="351"/>
      <c r="AM221" s="350"/>
      <c r="AN221" s="407">
        <f>COUNTIF(tblSeverityAnalysis[[#This Row],[1 sectores en fase de severidad 5 '[modificar el umbral']]:[Marcador manual]], "Flagged")</f>
        <v>0</v>
      </c>
      <c r="AO221" s="418">
        <f>tblSeverityAnalysis[[#This Row],[Severidad preliminar basada en la superposición de privaciones sectoriales]]</f>
        <v>2</v>
      </c>
      <c r="AP221" s="417"/>
      <c r="AQ221" s="421" t="s">
        <v>876</v>
      </c>
      <c r="AR221" s="417">
        <v>3</v>
      </c>
    </row>
    <row r="222" spans="1:44" hidden="1">
      <c r="A22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VenezolanosVE1709</v>
      </c>
      <c r="B222" s="363" t="s">
        <v>513</v>
      </c>
      <c r="C222" s="323" t="s">
        <v>514</v>
      </c>
      <c r="D222" s="322" t="s">
        <v>530</v>
      </c>
      <c r="E222" s="323" t="s">
        <v>531</v>
      </c>
      <c r="F222" s="323"/>
      <c r="G222" s="324">
        <v>26423</v>
      </c>
      <c r="H222" s="324" t="s">
        <v>102</v>
      </c>
      <c r="I222" s="374">
        <v>3</v>
      </c>
      <c r="J222" s="237">
        <v>2</v>
      </c>
      <c r="K222" s="237">
        <v>3</v>
      </c>
      <c r="L222" s="237">
        <v>3</v>
      </c>
      <c r="M222" s="237">
        <v>1</v>
      </c>
      <c r="N222" s="237">
        <v>3</v>
      </c>
      <c r="O222" s="237">
        <v>1</v>
      </c>
      <c r="P222" s="237">
        <v>1</v>
      </c>
      <c r="Q222" s="382">
        <f>IF(COUNTIF(tblSeverityAnalysis[[#This Row],[SAMV]:[ASH]], 1)=0, "", COUNTIF(tblSeverityAnalysis[[#This Row],[SAMV]:[ASH]], 1))</f>
        <v>1</v>
      </c>
      <c r="R222" s="325">
        <f>IF(COUNTIF(tblSeverityAnalysis[[#This Row],[SAMV]:[ASH]], 2)=0, "", COUNTIF(tblSeverityAnalysis[[#This Row],[SAMV]:[ASH]], 2))</f>
        <v>1</v>
      </c>
      <c r="S222" s="325">
        <f>IF(COUNTIF(tblSeverityAnalysis[[#This Row],[SAMV]:[ASH]], 3)=0, "", COUNTIF(tblSeverityAnalysis[[#This Row],[SAMV]:[ASH]], 3))</f>
        <v>4</v>
      </c>
      <c r="T222" s="325" t="str">
        <f>IF(COUNTIF(tblSeverityAnalysis[[#This Row],[SAMV]:[ASH]], 4)=0, "", COUNTIF(tblSeverityAnalysis[[#This Row],[SAMV]:[ASH]], 4))</f>
        <v/>
      </c>
      <c r="U222" s="383" t="str">
        <f>IF(COUNTIF(tblSeverityAnalysis[[#This Row],[SAMV]:[ASH]], 5)=0, "", COUNTIF(tblSeverityAnalysis[[#This Row],[SAMV]:[ASH]], 5))</f>
        <v/>
      </c>
      <c r="V222" s="375" cm="1">
        <f t="array" ref="V22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2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22" s="237" t="str">
        <f>IFERROR(IF(INDEX(tblSeverityReference[Severidad de la desnutrición],MATCH(tblSeverityAnalysis[[#This Row],[ID]], tblSeverityReference[ID], 0))= "", "",INDEX(tblSeverityReference[Severidad de la desnutrición],MATCH(tblSeverityAnalysis[[#This Row],[ID]], tblSeverityReference[ID], 0)) ), "")</f>
        <v/>
      </c>
      <c r="Y222" s="349" t="str">
        <f>IFERROR(IF(INDEX(tblSeverityReference[Severidad epidémica],MATCH(tblSeverityAnalysis[[#This Row],[ID]], tblSeverityReference[ID], 0))= "", "",INDEX(tblSeverityReference[Severidad epidémica],MATCH(tblSeverityAnalysis[[#This Row],[ID]], tblSeverityReference[ID], 0)) ), "")</f>
        <v/>
      </c>
      <c r="Z22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22" s="391" t="str">
        <f>IFERROR(IF(INDEX(tblSeverityReference[HR/IHL Violation],MATCH(tblSeverityAnalysis[[#This Row],[ID]], tblSeverityReference[ID], 0))= "", "",INDEX(tblSeverityReference[HR/IHL Violation],MATCH(tblSeverityAnalysis[[#This Row],[ID]], tblSeverityReference[ID], 0)) ), "")</f>
        <v/>
      </c>
      <c r="AB222" s="397">
        <f>IFERROR(AVERAGE(tblSeverityAnalysis[[#This Row],[SAMV]:[ASH]]), "")</f>
        <v>2.5</v>
      </c>
      <c r="AC222" s="346">
        <f>IF(SUM(tblSeverityAnalysis[[#This Row],[SAMV]:[ASH]])=0, "", MAX(tblSeverityAnalysis[[#This Row],[SAMV]:[ASH]]))</f>
        <v>3</v>
      </c>
      <c r="AD222" s="261" t="str" cm="1">
        <f t="array" ref="AD222">IFERROR(IF(tblSeverityAnalysis[[#This Row],[Severidad máxima]]="", "", _xlfn.TEXTJOIN(CHAR(10), TRUE, IF(tblSeverityAnalysis[[#This Row],[SAMV]:[ASH]]=tblSeverityAnalysis[[#This Row],[Severidad máxima]], tblSeverityAnalysis[[#Headers],[SAMV]:[ASH]], ""), "")), "")</f>
        <v>SAMV
SAL
EDU
ASH</v>
      </c>
      <c r="AE222" s="346" cm="1">
        <f t="array" ref="AE222">IFERROR(MAX(_xlfn._xlws.FILTER(tblSeverityAnalysis[[#This Row],[SAMV]:[ASH]], tblSeverityAnalysis[[#This Row],[SAMV]:[ASH]]&lt;tblSeverityAnalysis[[#This Row],[Severidad máxima]])), "")</f>
        <v>2</v>
      </c>
      <c r="AF222" s="398" t="str" cm="1">
        <f t="array" ref="AF222">IFERROR(IF(tblSeverityAnalysis[[#This Row],[2ª mayor severidad]]="", "", _xlfn.TEXTJOIN(CHAR(10), TRUE, IF(tblSeverityAnalysis[[#This Row],[SAMV]:[ASH]]=tblSeverityAnalysis[[#This Row],[2ª mayor severidad]], tblSeverityAnalysis[[#Headers],[SAMV]:[ASH]], ""), "")), "")</f>
        <v>NUT</v>
      </c>
      <c r="AG222" s="405" t="str">
        <f>IFERROR(IF(AND(tblSeverityAnalysis[[#This Row],[5]] &lt;&gt; "", tblSeverityAnalysis[[#This Row],[5]]&gt;=sectors_sev_5), "Flagged", ""), "")</f>
        <v/>
      </c>
      <c r="AH222" s="347" t="str">
        <f>IFERROR(IF(AND(tblSeverityAnalysis[[#This Row],[Severidad preliminar basada en la superposición de privaciones sectoriales]]=5, SUM(tblSeverityAnalysis[[#This Row],[ 1 ]:[ 4 ]])&gt;=sectors_sev_5), "Flagged", ""), "")</f>
        <v/>
      </c>
      <c r="AI222" s="348" t="str" cm="1">
        <f t="array" ref="AI22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2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22" s="350"/>
      <c r="AL222" s="351"/>
      <c r="AM222" s="350"/>
      <c r="AN222" s="407">
        <f>COUNTIF(tblSeverityAnalysis[[#This Row],[1 sectores en fase de severidad 5 '[modificar el umbral']]:[Marcador manual]], "Flagged")</f>
        <v>0</v>
      </c>
      <c r="AO222" s="418">
        <f>tblSeverityAnalysis[[#This Row],[Severidad preliminar basada en la superposición de privaciones sectoriales]]</f>
        <v>3</v>
      </c>
      <c r="AP222" s="417"/>
      <c r="AQ222" s="421" t="s">
        <v>876</v>
      </c>
      <c r="AR222" s="417">
        <v>3</v>
      </c>
    </row>
    <row r="223" spans="1:44" hidden="1">
      <c r="A22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VenezolanosVE1710</v>
      </c>
      <c r="B223" s="363" t="s">
        <v>513</v>
      </c>
      <c r="C223" s="323" t="s">
        <v>514</v>
      </c>
      <c r="D223" s="322" t="s">
        <v>532</v>
      </c>
      <c r="E223" s="323" t="s">
        <v>533</v>
      </c>
      <c r="F223" s="323"/>
      <c r="G223" s="324">
        <v>36924</v>
      </c>
      <c r="H223" s="324" t="s">
        <v>102</v>
      </c>
      <c r="I223" s="374">
        <v>3</v>
      </c>
      <c r="J223" s="237">
        <v>2</v>
      </c>
      <c r="K223" s="237">
        <v>3</v>
      </c>
      <c r="L223" s="237">
        <v>3</v>
      </c>
      <c r="M223" s="237">
        <v>2</v>
      </c>
      <c r="N223" s="237">
        <v>4</v>
      </c>
      <c r="O223" s="237">
        <v>2</v>
      </c>
      <c r="P223" s="237">
        <v>2</v>
      </c>
      <c r="Q223" s="382" t="str">
        <f>IF(COUNTIF(tblSeverityAnalysis[[#This Row],[SAMV]:[ASH]], 1)=0, "", COUNTIF(tblSeverityAnalysis[[#This Row],[SAMV]:[ASH]], 1))</f>
        <v/>
      </c>
      <c r="R223" s="325">
        <f>IF(COUNTIF(tblSeverityAnalysis[[#This Row],[SAMV]:[ASH]], 2)=0, "", COUNTIF(tblSeverityAnalysis[[#This Row],[SAMV]:[ASH]], 2))</f>
        <v>2</v>
      </c>
      <c r="S223" s="325">
        <f>IF(COUNTIF(tblSeverityAnalysis[[#This Row],[SAMV]:[ASH]], 3)=0, "", COUNTIF(tblSeverityAnalysis[[#This Row],[SAMV]:[ASH]], 3))</f>
        <v>3</v>
      </c>
      <c r="T223" s="325">
        <f>IF(COUNTIF(tblSeverityAnalysis[[#This Row],[SAMV]:[ASH]], 4)=0, "", COUNTIF(tblSeverityAnalysis[[#This Row],[SAMV]:[ASH]], 4))</f>
        <v>1</v>
      </c>
      <c r="U223" s="383" t="str">
        <f>IF(COUNTIF(tblSeverityAnalysis[[#This Row],[SAMV]:[ASH]], 5)=0, "", COUNTIF(tblSeverityAnalysis[[#This Row],[SAMV]:[ASH]], 5))</f>
        <v/>
      </c>
      <c r="V223" s="375" cm="1">
        <f t="array" ref="V22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2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23" s="237" t="str">
        <f>IFERROR(IF(INDEX(tblSeverityReference[Severidad de la desnutrición],MATCH(tblSeverityAnalysis[[#This Row],[ID]], tblSeverityReference[ID], 0))= "", "",INDEX(tblSeverityReference[Severidad de la desnutrición],MATCH(tblSeverityAnalysis[[#This Row],[ID]], tblSeverityReference[ID], 0)) ), "")</f>
        <v/>
      </c>
      <c r="Y223" s="349" t="str">
        <f>IFERROR(IF(INDEX(tblSeverityReference[Severidad epidémica],MATCH(tblSeverityAnalysis[[#This Row],[ID]], tblSeverityReference[ID], 0))= "", "",INDEX(tblSeverityReference[Severidad epidémica],MATCH(tblSeverityAnalysis[[#This Row],[ID]], tblSeverityReference[ID], 0)) ), "")</f>
        <v/>
      </c>
      <c r="Z22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23" s="391" t="str">
        <f>IFERROR(IF(INDEX(tblSeverityReference[HR/IHL Violation],MATCH(tblSeverityAnalysis[[#This Row],[ID]], tblSeverityReference[ID], 0))= "", "",INDEX(tblSeverityReference[HR/IHL Violation],MATCH(tblSeverityAnalysis[[#This Row],[ID]], tblSeverityReference[ID], 0)) ), "")</f>
        <v/>
      </c>
      <c r="AB223" s="397">
        <f>IFERROR(AVERAGE(tblSeverityAnalysis[[#This Row],[SAMV]:[ASH]]), "")</f>
        <v>2.8333333333333335</v>
      </c>
      <c r="AC223" s="346">
        <f>IF(SUM(tblSeverityAnalysis[[#This Row],[SAMV]:[ASH]])=0, "", MAX(tblSeverityAnalysis[[#This Row],[SAMV]:[ASH]]))</f>
        <v>4</v>
      </c>
      <c r="AD223" s="261" t="str" cm="1">
        <f t="array" ref="AD223">IFERROR(IF(tblSeverityAnalysis[[#This Row],[Severidad máxima]]="", "", _xlfn.TEXTJOIN(CHAR(10), TRUE, IF(tblSeverityAnalysis[[#This Row],[SAMV]:[ASH]]=tblSeverityAnalysis[[#This Row],[Severidad máxima]], tblSeverityAnalysis[[#Headers],[SAMV]:[ASH]], ""), "")), "")</f>
        <v>ASH</v>
      </c>
      <c r="AE223" s="346" cm="1">
        <f t="array" ref="AE223">IFERROR(MAX(_xlfn._xlws.FILTER(tblSeverityAnalysis[[#This Row],[SAMV]:[ASH]], tblSeverityAnalysis[[#This Row],[SAMV]:[ASH]]&lt;tblSeverityAnalysis[[#This Row],[Severidad máxima]])), "")</f>
        <v>3</v>
      </c>
      <c r="AF223" s="398" t="str" cm="1">
        <f t="array" ref="AF223">IFERROR(IF(tblSeverityAnalysis[[#This Row],[2ª mayor severidad]]="", "", _xlfn.TEXTJOIN(CHAR(10), TRUE, IF(tblSeverityAnalysis[[#This Row],[SAMV]:[ASH]]=tblSeverityAnalysis[[#This Row],[2ª mayor severidad]], tblSeverityAnalysis[[#Headers],[SAMV]:[ASH]], ""), "")), "")</f>
        <v>SAMV
SAL
EDU</v>
      </c>
      <c r="AG223" s="405" t="str">
        <f>IFERROR(IF(AND(tblSeverityAnalysis[[#This Row],[5]] &lt;&gt; "", tblSeverityAnalysis[[#This Row],[5]]&gt;=sectors_sev_5), "Flagged", ""), "")</f>
        <v/>
      </c>
      <c r="AH223" s="347" t="str">
        <f>IFERROR(IF(AND(tblSeverityAnalysis[[#This Row],[Severidad preliminar basada en la superposición de privaciones sectoriales]]=5, SUM(tblSeverityAnalysis[[#This Row],[ 1 ]:[ 4 ]])&gt;=sectors_sev_5), "Flagged", ""), "")</f>
        <v/>
      </c>
      <c r="AI223" s="348" t="str" cm="1">
        <f t="array" ref="AI22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2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23" s="350"/>
      <c r="AL223" s="351"/>
      <c r="AM223" s="350"/>
      <c r="AN223" s="407">
        <f>COUNTIF(tblSeverityAnalysis[[#This Row],[1 sectores en fase de severidad 5 '[modificar el umbral']]:[Marcador manual]], "Flagged")</f>
        <v>0</v>
      </c>
      <c r="AO223" s="418">
        <f>tblSeverityAnalysis[[#This Row],[Severidad preliminar basada en la superposición de privaciones sectoriales]]</f>
        <v>3</v>
      </c>
      <c r="AP223" s="417"/>
      <c r="AQ223" s="421" t="s">
        <v>876</v>
      </c>
      <c r="AR223" s="417">
        <v>3</v>
      </c>
    </row>
    <row r="224" spans="1:44" hidden="1">
      <c r="A22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VenezolanosVE1711</v>
      </c>
      <c r="B224" s="363" t="s">
        <v>513</v>
      </c>
      <c r="C224" s="323" t="s">
        <v>514</v>
      </c>
      <c r="D224" s="322" t="s">
        <v>534</v>
      </c>
      <c r="E224" s="323" t="s">
        <v>535</v>
      </c>
      <c r="F224" s="323"/>
      <c r="G224" s="324">
        <v>8985</v>
      </c>
      <c r="H224" s="324" t="s">
        <v>102</v>
      </c>
      <c r="I224" s="374">
        <v>3</v>
      </c>
      <c r="J224" s="237">
        <v>2</v>
      </c>
      <c r="K224" s="237">
        <v>3</v>
      </c>
      <c r="L224" s="237">
        <v>3</v>
      </c>
      <c r="M224" s="237">
        <v>1</v>
      </c>
      <c r="N224" s="237">
        <v>4</v>
      </c>
      <c r="O224" s="237">
        <v>1</v>
      </c>
      <c r="P224" s="237">
        <v>1</v>
      </c>
      <c r="Q224" s="382">
        <f>IF(COUNTIF(tblSeverityAnalysis[[#This Row],[SAMV]:[ASH]], 1)=0, "", COUNTIF(tblSeverityAnalysis[[#This Row],[SAMV]:[ASH]], 1))</f>
        <v>1</v>
      </c>
      <c r="R224" s="325">
        <f>IF(COUNTIF(tblSeverityAnalysis[[#This Row],[SAMV]:[ASH]], 2)=0, "", COUNTIF(tblSeverityAnalysis[[#This Row],[SAMV]:[ASH]], 2))</f>
        <v>1</v>
      </c>
      <c r="S224" s="325">
        <f>IF(COUNTIF(tblSeverityAnalysis[[#This Row],[SAMV]:[ASH]], 3)=0, "", COUNTIF(tblSeverityAnalysis[[#This Row],[SAMV]:[ASH]], 3))</f>
        <v>3</v>
      </c>
      <c r="T224" s="325">
        <f>IF(COUNTIF(tblSeverityAnalysis[[#This Row],[SAMV]:[ASH]], 4)=0, "", COUNTIF(tblSeverityAnalysis[[#This Row],[SAMV]:[ASH]], 4))</f>
        <v>1</v>
      </c>
      <c r="U224" s="383" t="str">
        <f>IF(COUNTIF(tblSeverityAnalysis[[#This Row],[SAMV]:[ASH]], 5)=0, "", COUNTIF(tblSeverityAnalysis[[#This Row],[SAMV]:[ASH]], 5))</f>
        <v/>
      </c>
      <c r="V224" s="375" cm="1">
        <f t="array" ref="V22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2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24" s="237" t="str">
        <f>IFERROR(IF(INDEX(tblSeverityReference[Severidad de la desnutrición],MATCH(tblSeverityAnalysis[[#This Row],[ID]], tblSeverityReference[ID], 0))= "", "",INDEX(tblSeverityReference[Severidad de la desnutrición],MATCH(tblSeverityAnalysis[[#This Row],[ID]], tblSeverityReference[ID], 0)) ), "")</f>
        <v/>
      </c>
      <c r="Y224" s="349" t="str">
        <f>IFERROR(IF(INDEX(tblSeverityReference[Severidad epidémica],MATCH(tblSeverityAnalysis[[#This Row],[ID]], tblSeverityReference[ID], 0))= "", "",INDEX(tblSeverityReference[Severidad epidémica],MATCH(tblSeverityAnalysis[[#This Row],[ID]], tblSeverityReference[ID], 0)) ), "")</f>
        <v/>
      </c>
      <c r="Z22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24" s="391" t="str">
        <f>IFERROR(IF(INDEX(tblSeverityReference[HR/IHL Violation],MATCH(tblSeverityAnalysis[[#This Row],[ID]], tblSeverityReference[ID], 0))= "", "",INDEX(tblSeverityReference[HR/IHL Violation],MATCH(tblSeverityAnalysis[[#This Row],[ID]], tblSeverityReference[ID], 0)) ), "")</f>
        <v/>
      </c>
      <c r="AB224" s="397">
        <f>IFERROR(AVERAGE(tblSeverityAnalysis[[#This Row],[SAMV]:[ASH]]), "")</f>
        <v>2.6666666666666665</v>
      </c>
      <c r="AC224" s="346">
        <f>IF(SUM(tblSeverityAnalysis[[#This Row],[SAMV]:[ASH]])=0, "", MAX(tblSeverityAnalysis[[#This Row],[SAMV]:[ASH]]))</f>
        <v>4</v>
      </c>
      <c r="AD224" s="261" t="str" cm="1">
        <f t="array" ref="AD224">IFERROR(IF(tblSeverityAnalysis[[#This Row],[Severidad máxima]]="", "", _xlfn.TEXTJOIN(CHAR(10), TRUE, IF(tblSeverityAnalysis[[#This Row],[SAMV]:[ASH]]=tblSeverityAnalysis[[#This Row],[Severidad máxima]], tblSeverityAnalysis[[#Headers],[SAMV]:[ASH]], ""), "")), "")</f>
        <v>ASH</v>
      </c>
      <c r="AE224" s="346" cm="1">
        <f t="array" ref="AE224">IFERROR(MAX(_xlfn._xlws.FILTER(tblSeverityAnalysis[[#This Row],[SAMV]:[ASH]], tblSeverityAnalysis[[#This Row],[SAMV]:[ASH]]&lt;tblSeverityAnalysis[[#This Row],[Severidad máxima]])), "")</f>
        <v>3</v>
      </c>
      <c r="AF224" s="398" t="str" cm="1">
        <f t="array" ref="AF224">IFERROR(IF(tblSeverityAnalysis[[#This Row],[2ª mayor severidad]]="", "", _xlfn.TEXTJOIN(CHAR(10), TRUE, IF(tblSeverityAnalysis[[#This Row],[SAMV]:[ASH]]=tblSeverityAnalysis[[#This Row],[2ª mayor severidad]], tblSeverityAnalysis[[#Headers],[SAMV]:[ASH]], ""), "")), "")</f>
        <v>SAMV
SAL
EDU</v>
      </c>
      <c r="AG224" s="405" t="str">
        <f>IFERROR(IF(AND(tblSeverityAnalysis[[#This Row],[5]] &lt;&gt; "", tblSeverityAnalysis[[#This Row],[5]]&gt;=sectors_sev_5), "Flagged", ""), "")</f>
        <v/>
      </c>
      <c r="AH224" s="347" t="str">
        <f>IFERROR(IF(AND(tblSeverityAnalysis[[#This Row],[Severidad preliminar basada en la superposición de privaciones sectoriales]]=5, SUM(tblSeverityAnalysis[[#This Row],[ 1 ]:[ 4 ]])&gt;=sectors_sev_5), "Flagged", ""), "")</f>
        <v/>
      </c>
      <c r="AI224" s="348" t="str" cm="1">
        <f t="array" ref="AI22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2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24" s="350"/>
      <c r="AL224" s="351"/>
      <c r="AM224" s="350"/>
      <c r="AN224" s="407">
        <f>COUNTIF(tblSeverityAnalysis[[#This Row],[1 sectores en fase de severidad 5 '[modificar el umbral']]:[Marcador manual]], "Flagged")</f>
        <v>0</v>
      </c>
      <c r="AO224" s="418">
        <f>tblSeverityAnalysis[[#This Row],[Severidad preliminar basada en la superposición de privaciones sectoriales]]</f>
        <v>3</v>
      </c>
      <c r="AP224" s="417"/>
      <c r="AQ224" s="421" t="s">
        <v>876</v>
      </c>
      <c r="AR224" s="417">
        <v>2</v>
      </c>
    </row>
    <row r="225" spans="1:44" hidden="1">
      <c r="A22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VenezolanosVE1801</v>
      </c>
      <c r="B225" s="363" t="s">
        <v>536</v>
      </c>
      <c r="C225" s="323" t="s">
        <v>537</v>
      </c>
      <c r="D225" s="322" t="s">
        <v>538</v>
      </c>
      <c r="E225" s="323" t="s">
        <v>539</v>
      </c>
      <c r="F225" s="323"/>
      <c r="G225" s="324">
        <v>20717</v>
      </c>
      <c r="H225" s="324" t="s">
        <v>102</v>
      </c>
      <c r="I225" s="374">
        <v>3</v>
      </c>
      <c r="J225" s="237">
        <v>2</v>
      </c>
      <c r="K225" s="237">
        <v>3</v>
      </c>
      <c r="L225" s="237">
        <v>3</v>
      </c>
      <c r="M225" s="237">
        <v>2</v>
      </c>
      <c r="N225" s="237">
        <v>2</v>
      </c>
      <c r="O225" s="237">
        <v>2</v>
      </c>
      <c r="P225" s="237">
        <v>2</v>
      </c>
      <c r="Q225" s="382" t="str">
        <f>IF(COUNTIF(tblSeverityAnalysis[[#This Row],[SAMV]:[ASH]], 1)=0, "", COUNTIF(tblSeverityAnalysis[[#This Row],[SAMV]:[ASH]], 1))</f>
        <v/>
      </c>
      <c r="R225" s="325">
        <f>IF(COUNTIF(tblSeverityAnalysis[[#This Row],[SAMV]:[ASH]], 2)=0, "", COUNTIF(tblSeverityAnalysis[[#This Row],[SAMV]:[ASH]], 2))</f>
        <v>3</v>
      </c>
      <c r="S225" s="325">
        <f>IF(COUNTIF(tblSeverityAnalysis[[#This Row],[SAMV]:[ASH]], 3)=0, "", COUNTIF(tblSeverityAnalysis[[#This Row],[SAMV]:[ASH]], 3))</f>
        <v>3</v>
      </c>
      <c r="T225" s="325" t="str">
        <f>IF(COUNTIF(tblSeverityAnalysis[[#This Row],[SAMV]:[ASH]], 4)=0, "", COUNTIF(tblSeverityAnalysis[[#This Row],[SAMV]:[ASH]], 4))</f>
        <v/>
      </c>
      <c r="U225" s="383" t="str">
        <f>IF(COUNTIF(tblSeverityAnalysis[[#This Row],[SAMV]:[ASH]], 5)=0, "", COUNTIF(tblSeverityAnalysis[[#This Row],[SAMV]:[ASH]], 5))</f>
        <v/>
      </c>
      <c r="V225" s="375" cm="1">
        <f t="array" ref="V22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2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25" s="237" t="str">
        <f>IFERROR(IF(INDEX(tblSeverityReference[Severidad de la desnutrición],MATCH(tblSeverityAnalysis[[#This Row],[ID]], tblSeverityReference[ID], 0))= "", "",INDEX(tblSeverityReference[Severidad de la desnutrición],MATCH(tblSeverityAnalysis[[#This Row],[ID]], tblSeverityReference[ID], 0)) ), "")</f>
        <v/>
      </c>
      <c r="Y225" s="349" t="str">
        <f>IFERROR(IF(INDEX(tblSeverityReference[Severidad epidémica],MATCH(tblSeverityAnalysis[[#This Row],[ID]], tblSeverityReference[ID], 0))= "", "",INDEX(tblSeverityReference[Severidad epidémica],MATCH(tblSeverityAnalysis[[#This Row],[ID]], tblSeverityReference[ID], 0)) ), "")</f>
        <v/>
      </c>
      <c r="Z22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25" s="391" t="str">
        <f>IFERROR(IF(INDEX(tblSeverityReference[HR/IHL Violation],MATCH(tblSeverityAnalysis[[#This Row],[ID]], tblSeverityReference[ID], 0))= "", "",INDEX(tblSeverityReference[HR/IHL Violation],MATCH(tblSeverityAnalysis[[#This Row],[ID]], tblSeverityReference[ID], 0)) ), "")</f>
        <v/>
      </c>
      <c r="AB225" s="397">
        <f>IFERROR(AVERAGE(tblSeverityAnalysis[[#This Row],[SAMV]:[ASH]]), "")</f>
        <v>2.5</v>
      </c>
      <c r="AC225" s="346">
        <f>IF(SUM(tblSeverityAnalysis[[#This Row],[SAMV]:[ASH]])=0, "", MAX(tblSeverityAnalysis[[#This Row],[SAMV]:[ASH]]))</f>
        <v>3</v>
      </c>
      <c r="AD225" s="261" t="str" cm="1">
        <f t="array" ref="AD225">IFERROR(IF(tblSeverityAnalysis[[#This Row],[Severidad máxima]]="", "", _xlfn.TEXTJOIN(CHAR(10), TRUE, IF(tblSeverityAnalysis[[#This Row],[SAMV]:[ASH]]=tblSeverityAnalysis[[#This Row],[Severidad máxima]], tblSeverityAnalysis[[#Headers],[SAMV]:[ASH]], ""), "")), "")</f>
        <v>SAMV
SAL
EDU</v>
      </c>
      <c r="AE225" s="346" cm="1">
        <f t="array" ref="AE225">IFERROR(MAX(_xlfn._xlws.FILTER(tblSeverityAnalysis[[#This Row],[SAMV]:[ASH]], tblSeverityAnalysis[[#This Row],[SAMV]:[ASH]]&lt;tblSeverityAnalysis[[#This Row],[Severidad máxima]])), "")</f>
        <v>2</v>
      </c>
      <c r="AF225" s="398" t="str" cm="1">
        <f t="array" ref="AF225">IFERROR(IF(tblSeverityAnalysis[[#This Row],[2ª mayor severidad]]="", "", _xlfn.TEXTJOIN(CHAR(10), TRUE, IF(tblSeverityAnalysis[[#This Row],[SAMV]:[ASH]]=tblSeverityAnalysis[[#This Row],[2ª mayor severidad]], tblSeverityAnalysis[[#Headers],[SAMV]:[ASH]], ""), "")), "")</f>
        <v>NUT
PRO
ASH</v>
      </c>
      <c r="AG225" s="405" t="str">
        <f>IFERROR(IF(AND(tblSeverityAnalysis[[#This Row],[5]] &lt;&gt; "", tblSeverityAnalysis[[#This Row],[5]]&gt;=sectors_sev_5), "Flagged", ""), "")</f>
        <v/>
      </c>
      <c r="AH225" s="347" t="str">
        <f>IFERROR(IF(AND(tblSeverityAnalysis[[#This Row],[Severidad preliminar basada en la superposición de privaciones sectoriales]]=5, SUM(tblSeverityAnalysis[[#This Row],[ 1 ]:[ 4 ]])&gt;=sectors_sev_5), "Flagged", ""), "")</f>
        <v/>
      </c>
      <c r="AI225" s="348" t="str" cm="1">
        <f t="array" ref="AI22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2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25" s="350"/>
      <c r="AL225" s="351"/>
      <c r="AM225" s="350"/>
      <c r="AN225" s="407">
        <f>COUNTIF(tblSeverityAnalysis[[#This Row],[1 sectores en fase de severidad 5 '[modificar el umbral']]:[Marcador manual]], "Flagged")</f>
        <v>0</v>
      </c>
      <c r="AO225" s="418">
        <f>tblSeverityAnalysis[[#This Row],[Severidad preliminar basada en la superposición de privaciones sectoriales]]</f>
        <v>2</v>
      </c>
      <c r="AP225" s="417"/>
      <c r="AQ225" s="421" t="s">
        <v>876</v>
      </c>
      <c r="AR225" s="417">
        <v>3</v>
      </c>
    </row>
    <row r="226" spans="1:44" hidden="1">
      <c r="A22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VenezolanosVE1802</v>
      </c>
      <c r="B226" s="363" t="s">
        <v>536</v>
      </c>
      <c r="C226" s="323" t="s">
        <v>537</v>
      </c>
      <c r="D226" s="322" t="s">
        <v>540</v>
      </c>
      <c r="E226" s="323" t="s">
        <v>541</v>
      </c>
      <c r="F226" s="323"/>
      <c r="G226" s="324">
        <v>151334</v>
      </c>
      <c r="H226" s="324" t="s">
        <v>102</v>
      </c>
      <c r="I226" s="374">
        <v>2</v>
      </c>
      <c r="J226" s="237">
        <v>3</v>
      </c>
      <c r="K226" s="237">
        <v>3</v>
      </c>
      <c r="L226" s="237">
        <v>3</v>
      </c>
      <c r="M226" s="237">
        <v>4</v>
      </c>
      <c r="N226" s="237">
        <v>3</v>
      </c>
      <c r="O226" s="237">
        <v>4</v>
      </c>
      <c r="P226" s="237">
        <v>4</v>
      </c>
      <c r="Q226" s="382" t="str">
        <f>IF(COUNTIF(tblSeverityAnalysis[[#This Row],[SAMV]:[ASH]], 1)=0, "", COUNTIF(tblSeverityAnalysis[[#This Row],[SAMV]:[ASH]], 1))</f>
        <v/>
      </c>
      <c r="R226" s="325">
        <f>IF(COUNTIF(tblSeverityAnalysis[[#This Row],[SAMV]:[ASH]], 2)=0, "", COUNTIF(tblSeverityAnalysis[[#This Row],[SAMV]:[ASH]], 2))</f>
        <v>1</v>
      </c>
      <c r="S226" s="325">
        <f>IF(COUNTIF(tblSeverityAnalysis[[#This Row],[SAMV]:[ASH]], 3)=0, "", COUNTIF(tblSeverityAnalysis[[#This Row],[SAMV]:[ASH]], 3))</f>
        <v>4</v>
      </c>
      <c r="T226" s="325">
        <f>IF(COUNTIF(tblSeverityAnalysis[[#This Row],[SAMV]:[ASH]], 4)=0, "", COUNTIF(tblSeverityAnalysis[[#This Row],[SAMV]:[ASH]], 4))</f>
        <v>1</v>
      </c>
      <c r="U226" s="383" t="str">
        <f>IF(COUNTIF(tblSeverityAnalysis[[#This Row],[SAMV]:[ASH]], 5)=0, "", COUNTIF(tblSeverityAnalysis[[#This Row],[SAMV]:[ASH]], 5))</f>
        <v/>
      </c>
      <c r="V226" s="375" cm="1">
        <f t="array" ref="V22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2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26" s="237" t="str">
        <f>IFERROR(IF(INDEX(tblSeverityReference[Severidad de la desnutrición],MATCH(tblSeverityAnalysis[[#This Row],[ID]], tblSeverityReference[ID], 0))= "", "",INDEX(tblSeverityReference[Severidad de la desnutrición],MATCH(tblSeverityAnalysis[[#This Row],[ID]], tblSeverityReference[ID], 0)) ), "")</f>
        <v/>
      </c>
      <c r="Y226" s="349" t="str">
        <f>IFERROR(IF(INDEX(tblSeverityReference[Severidad epidémica],MATCH(tblSeverityAnalysis[[#This Row],[ID]], tblSeverityReference[ID], 0))= "", "",INDEX(tblSeverityReference[Severidad epidémica],MATCH(tblSeverityAnalysis[[#This Row],[ID]], tblSeverityReference[ID], 0)) ), "")</f>
        <v/>
      </c>
      <c r="Z22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26" s="391" t="str">
        <f>IFERROR(IF(INDEX(tblSeverityReference[HR/IHL Violation],MATCH(tblSeverityAnalysis[[#This Row],[ID]], tblSeverityReference[ID], 0))= "", "",INDEX(tblSeverityReference[HR/IHL Violation],MATCH(tblSeverityAnalysis[[#This Row],[ID]], tblSeverityReference[ID], 0)) ), "")</f>
        <v/>
      </c>
      <c r="AB226" s="397">
        <f>IFERROR(AVERAGE(tblSeverityAnalysis[[#This Row],[SAMV]:[ASH]]), "")</f>
        <v>3</v>
      </c>
      <c r="AC226" s="346">
        <f>IF(SUM(tblSeverityAnalysis[[#This Row],[SAMV]:[ASH]])=0, "", MAX(tblSeverityAnalysis[[#This Row],[SAMV]:[ASH]]))</f>
        <v>4</v>
      </c>
      <c r="AD226" s="261" t="str" cm="1">
        <f t="array" ref="AD226">IFERROR(IF(tblSeverityAnalysis[[#This Row],[Severidad máxima]]="", "", _xlfn.TEXTJOIN(CHAR(10), TRUE, IF(tblSeverityAnalysis[[#This Row],[SAMV]:[ASH]]=tblSeverityAnalysis[[#This Row],[Severidad máxima]], tblSeverityAnalysis[[#Headers],[SAMV]:[ASH]], ""), "")), "")</f>
        <v>PRO</v>
      </c>
      <c r="AE226" s="346" cm="1">
        <f t="array" ref="AE226">IFERROR(MAX(_xlfn._xlws.FILTER(tblSeverityAnalysis[[#This Row],[SAMV]:[ASH]], tblSeverityAnalysis[[#This Row],[SAMV]:[ASH]]&lt;tblSeverityAnalysis[[#This Row],[Severidad máxima]])), "")</f>
        <v>3</v>
      </c>
      <c r="AF226" s="398" t="str" cm="1">
        <f t="array" ref="AF226">IFERROR(IF(tblSeverityAnalysis[[#This Row],[2ª mayor severidad]]="", "", _xlfn.TEXTJOIN(CHAR(10), TRUE, IF(tblSeverityAnalysis[[#This Row],[SAMV]:[ASH]]=tblSeverityAnalysis[[#This Row],[2ª mayor severidad]], tblSeverityAnalysis[[#Headers],[SAMV]:[ASH]], ""), "")), "")</f>
        <v>NUT
SAL
EDU
ASH</v>
      </c>
      <c r="AG226" s="405" t="str">
        <f>IFERROR(IF(AND(tblSeverityAnalysis[[#This Row],[5]] &lt;&gt; "", tblSeverityAnalysis[[#This Row],[5]]&gt;=sectors_sev_5), "Flagged", ""), "")</f>
        <v/>
      </c>
      <c r="AH226" s="347" t="str">
        <f>IFERROR(IF(AND(tblSeverityAnalysis[[#This Row],[Severidad preliminar basada en la superposición de privaciones sectoriales]]=5, SUM(tblSeverityAnalysis[[#This Row],[ 1 ]:[ 4 ]])&gt;=sectors_sev_5), "Flagged", ""), "")</f>
        <v/>
      </c>
      <c r="AI226" s="348" t="str" cm="1">
        <f t="array" ref="AI22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2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26" s="350"/>
      <c r="AL226" s="351"/>
      <c r="AM226" s="350"/>
      <c r="AN226" s="407">
        <f>COUNTIF(tblSeverityAnalysis[[#This Row],[1 sectores en fase de severidad 5 '[modificar el umbral']]:[Marcador manual]], "Flagged")</f>
        <v>0</v>
      </c>
      <c r="AO226" s="418">
        <f>tblSeverityAnalysis[[#This Row],[Severidad preliminar basada en la superposición de privaciones sectoriales]]</f>
        <v>3</v>
      </c>
      <c r="AP226" s="417"/>
      <c r="AQ226" s="421" t="s">
        <v>876</v>
      </c>
      <c r="AR226" s="417">
        <v>3</v>
      </c>
    </row>
    <row r="227" spans="1:44" hidden="1">
      <c r="A22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VenezolanosVE1803</v>
      </c>
      <c r="B227" s="363" t="s">
        <v>536</v>
      </c>
      <c r="C227" s="323" t="s">
        <v>537</v>
      </c>
      <c r="D227" s="322" t="s">
        <v>542</v>
      </c>
      <c r="E227" s="323" t="s">
        <v>543</v>
      </c>
      <c r="F227" s="323"/>
      <c r="G227" s="324">
        <v>44945</v>
      </c>
      <c r="H227" s="324" t="s">
        <v>102</v>
      </c>
      <c r="I227" s="374">
        <v>4</v>
      </c>
      <c r="J227" s="237">
        <v>2</v>
      </c>
      <c r="K227" s="237">
        <v>3</v>
      </c>
      <c r="L227" s="237">
        <v>3</v>
      </c>
      <c r="M227" s="237">
        <v>3</v>
      </c>
      <c r="N227" s="237">
        <v>2</v>
      </c>
      <c r="O227" s="237">
        <v>3</v>
      </c>
      <c r="P227" s="237">
        <v>3</v>
      </c>
      <c r="Q227" s="382" t="str">
        <f>IF(COUNTIF(tblSeverityAnalysis[[#This Row],[SAMV]:[ASH]], 1)=0, "", COUNTIF(tblSeverityAnalysis[[#This Row],[SAMV]:[ASH]], 1))</f>
        <v/>
      </c>
      <c r="R227" s="325">
        <f>IF(COUNTIF(tblSeverityAnalysis[[#This Row],[SAMV]:[ASH]], 2)=0, "", COUNTIF(tblSeverityAnalysis[[#This Row],[SAMV]:[ASH]], 2))</f>
        <v>2</v>
      </c>
      <c r="S227" s="325">
        <f>IF(COUNTIF(tblSeverityAnalysis[[#This Row],[SAMV]:[ASH]], 3)=0, "", COUNTIF(tblSeverityAnalysis[[#This Row],[SAMV]:[ASH]], 3))</f>
        <v>3</v>
      </c>
      <c r="T227" s="325">
        <f>IF(COUNTIF(tblSeverityAnalysis[[#This Row],[SAMV]:[ASH]], 4)=0, "", COUNTIF(tblSeverityAnalysis[[#This Row],[SAMV]:[ASH]], 4))</f>
        <v>1</v>
      </c>
      <c r="U227" s="383" t="str">
        <f>IF(COUNTIF(tblSeverityAnalysis[[#This Row],[SAMV]:[ASH]], 5)=0, "", COUNTIF(tblSeverityAnalysis[[#This Row],[SAMV]:[ASH]], 5))</f>
        <v/>
      </c>
      <c r="V227" s="375" cm="1">
        <f t="array" ref="V22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2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27" s="237" t="str">
        <f>IFERROR(IF(INDEX(tblSeverityReference[Severidad de la desnutrición],MATCH(tblSeverityAnalysis[[#This Row],[ID]], tblSeverityReference[ID], 0))= "", "",INDEX(tblSeverityReference[Severidad de la desnutrición],MATCH(tblSeverityAnalysis[[#This Row],[ID]], tblSeverityReference[ID], 0)) ), "")</f>
        <v/>
      </c>
      <c r="Y227" s="349" t="str">
        <f>IFERROR(IF(INDEX(tblSeverityReference[Severidad epidémica],MATCH(tblSeverityAnalysis[[#This Row],[ID]], tblSeverityReference[ID], 0))= "", "",INDEX(tblSeverityReference[Severidad epidémica],MATCH(tblSeverityAnalysis[[#This Row],[ID]], tblSeverityReference[ID], 0)) ), "")</f>
        <v/>
      </c>
      <c r="Z22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27" s="391" t="str">
        <f>IFERROR(IF(INDEX(tblSeverityReference[HR/IHL Violation],MATCH(tblSeverityAnalysis[[#This Row],[ID]], tblSeverityReference[ID], 0))= "", "",INDEX(tblSeverityReference[HR/IHL Violation],MATCH(tblSeverityAnalysis[[#This Row],[ID]], tblSeverityReference[ID], 0)) ), "")</f>
        <v/>
      </c>
      <c r="AB227" s="397">
        <f>IFERROR(AVERAGE(tblSeverityAnalysis[[#This Row],[SAMV]:[ASH]]), "")</f>
        <v>2.8333333333333335</v>
      </c>
      <c r="AC227" s="346">
        <f>IF(SUM(tblSeverityAnalysis[[#This Row],[SAMV]:[ASH]])=0, "", MAX(tblSeverityAnalysis[[#This Row],[SAMV]:[ASH]]))</f>
        <v>4</v>
      </c>
      <c r="AD227" s="261" t="str" cm="1">
        <f t="array" ref="AD227">IFERROR(IF(tblSeverityAnalysis[[#This Row],[Severidad máxima]]="", "", _xlfn.TEXTJOIN(CHAR(10), TRUE, IF(tblSeverityAnalysis[[#This Row],[SAMV]:[ASH]]=tblSeverityAnalysis[[#This Row],[Severidad máxima]], tblSeverityAnalysis[[#Headers],[SAMV]:[ASH]], ""), "")), "")</f>
        <v>SAMV</v>
      </c>
      <c r="AE227" s="346" cm="1">
        <f t="array" ref="AE227">IFERROR(MAX(_xlfn._xlws.FILTER(tblSeverityAnalysis[[#This Row],[SAMV]:[ASH]], tblSeverityAnalysis[[#This Row],[SAMV]:[ASH]]&lt;tblSeverityAnalysis[[#This Row],[Severidad máxima]])), "")</f>
        <v>3</v>
      </c>
      <c r="AF227" s="398" t="str" cm="1">
        <f t="array" ref="AF227">IFERROR(IF(tblSeverityAnalysis[[#This Row],[2ª mayor severidad]]="", "", _xlfn.TEXTJOIN(CHAR(10), TRUE, IF(tblSeverityAnalysis[[#This Row],[SAMV]:[ASH]]=tblSeverityAnalysis[[#This Row],[2ª mayor severidad]], tblSeverityAnalysis[[#Headers],[SAMV]:[ASH]], ""), "")), "")</f>
        <v>SAL
EDU
PRO</v>
      </c>
      <c r="AG227" s="405" t="str">
        <f>IFERROR(IF(AND(tblSeverityAnalysis[[#This Row],[5]] &lt;&gt; "", tblSeverityAnalysis[[#This Row],[5]]&gt;=sectors_sev_5), "Flagged", ""), "")</f>
        <v/>
      </c>
      <c r="AH227" s="347" t="str">
        <f>IFERROR(IF(AND(tblSeverityAnalysis[[#This Row],[Severidad preliminar basada en la superposición de privaciones sectoriales]]=5, SUM(tblSeverityAnalysis[[#This Row],[ 1 ]:[ 4 ]])&gt;=sectors_sev_5), "Flagged", ""), "")</f>
        <v/>
      </c>
      <c r="AI227" s="348" t="str" cm="1">
        <f t="array" ref="AI22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2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27" s="350"/>
      <c r="AL227" s="351"/>
      <c r="AM227" s="350"/>
      <c r="AN227" s="407">
        <f>COUNTIF(tblSeverityAnalysis[[#This Row],[1 sectores en fase de severidad 5 '[modificar el umbral']]:[Marcador manual]], "Flagged")</f>
        <v>0</v>
      </c>
      <c r="AO227" s="418">
        <f>tblSeverityAnalysis[[#This Row],[Severidad preliminar basada en la superposición de privaciones sectoriales]]</f>
        <v>3</v>
      </c>
      <c r="AP227" s="417"/>
      <c r="AQ227" s="421" t="s">
        <v>876</v>
      </c>
      <c r="AR227" s="417">
        <v>3</v>
      </c>
    </row>
    <row r="228" spans="1:44" hidden="1">
      <c r="A22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VenezolanosVE1804</v>
      </c>
      <c r="B228" s="363" t="s">
        <v>536</v>
      </c>
      <c r="C228" s="323" t="s">
        <v>537</v>
      </c>
      <c r="D228" s="322" t="s">
        <v>544</v>
      </c>
      <c r="E228" s="323" t="s">
        <v>545</v>
      </c>
      <c r="F228" s="323"/>
      <c r="G228" s="324">
        <v>192644</v>
      </c>
      <c r="H228" s="324" t="s">
        <v>102</v>
      </c>
      <c r="I228" s="374">
        <v>4</v>
      </c>
      <c r="J228" s="237">
        <v>2</v>
      </c>
      <c r="K228" s="237">
        <v>3</v>
      </c>
      <c r="L228" s="237">
        <v>3</v>
      </c>
      <c r="M228" s="237">
        <v>2</v>
      </c>
      <c r="N228" s="237">
        <v>2</v>
      </c>
      <c r="O228" s="237">
        <v>2</v>
      </c>
      <c r="P228" s="237">
        <v>2</v>
      </c>
      <c r="Q228" s="382" t="str">
        <f>IF(COUNTIF(tblSeverityAnalysis[[#This Row],[SAMV]:[ASH]], 1)=0, "", COUNTIF(tblSeverityAnalysis[[#This Row],[SAMV]:[ASH]], 1))</f>
        <v/>
      </c>
      <c r="R228" s="325">
        <f>IF(COUNTIF(tblSeverityAnalysis[[#This Row],[SAMV]:[ASH]], 2)=0, "", COUNTIF(tblSeverityAnalysis[[#This Row],[SAMV]:[ASH]], 2))</f>
        <v>3</v>
      </c>
      <c r="S228" s="325">
        <f>IF(COUNTIF(tblSeverityAnalysis[[#This Row],[SAMV]:[ASH]], 3)=0, "", COUNTIF(tblSeverityAnalysis[[#This Row],[SAMV]:[ASH]], 3))</f>
        <v>2</v>
      </c>
      <c r="T228" s="325">
        <f>IF(COUNTIF(tblSeverityAnalysis[[#This Row],[SAMV]:[ASH]], 4)=0, "", COUNTIF(tblSeverityAnalysis[[#This Row],[SAMV]:[ASH]], 4))</f>
        <v>1</v>
      </c>
      <c r="U228" s="383" t="str">
        <f>IF(COUNTIF(tblSeverityAnalysis[[#This Row],[SAMV]:[ASH]], 5)=0, "", COUNTIF(tblSeverityAnalysis[[#This Row],[SAMV]:[ASH]], 5))</f>
        <v/>
      </c>
      <c r="V228" s="375" cm="1">
        <f t="array" ref="V22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2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28" s="237" t="str">
        <f>IFERROR(IF(INDEX(tblSeverityReference[Severidad de la desnutrición],MATCH(tblSeverityAnalysis[[#This Row],[ID]], tblSeverityReference[ID], 0))= "", "",INDEX(tblSeverityReference[Severidad de la desnutrición],MATCH(tblSeverityAnalysis[[#This Row],[ID]], tblSeverityReference[ID], 0)) ), "")</f>
        <v/>
      </c>
      <c r="Y228" s="349" t="str">
        <f>IFERROR(IF(INDEX(tblSeverityReference[Severidad epidémica],MATCH(tblSeverityAnalysis[[#This Row],[ID]], tblSeverityReference[ID], 0))= "", "",INDEX(tblSeverityReference[Severidad epidémica],MATCH(tblSeverityAnalysis[[#This Row],[ID]], tblSeverityReference[ID], 0)) ), "")</f>
        <v/>
      </c>
      <c r="Z22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28" s="391" t="str">
        <f>IFERROR(IF(INDEX(tblSeverityReference[HR/IHL Violation],MATCH(tblSeverityAnalysis[[#This Row],[ID]], tblSeverityReference[ID], 0))= "", "",INDEX(tblSeverityReference[HR/IHL Violation],MATCH(tblSeverityAnalysis[[#This Row],[ID]], tblSeverityReference[ID], 0)) ), "")</f>
        <v/>
      </c>
      <c r="AB228" s="397">
        <f>IFERROR(AVERAGE(tblSeverityAnalysis[[#This Row],[SAMV]:[ASH]]), "")</f>
        <v>2.6666666666666665</v>
      </c>
      <c r="AC228" s="346">
        <f>IF(SUM(tblSeverityAnalysis[[#This Row],[SAMV]:[ASH]])=0, "", MAX(tblSeverityAnalysis[[#This Row],[SAMV]:[ASH]]))</f>
        <v>4</v>
      </c>
      <c r="AD228" s="261" t="str" cm="1">
        <f t="array" ref="AD228">IFERROR(IF(tblSeverityAnalysis[[#This Row],[Severidad máxima]]="", "", _xlfn.TEXTJOIN(CHAR(10), TRUE, IF(tblSeverityAnalysis[[#This Row],[SAMV]:[ASH]]=tblSeverityAnalysis[[#This Row],[Severidad máxima]], tblSeverityAnalysis[[#Headers],[SAMV]:[ASH]], ""), "")), "")</f>
        <v>SAMV</v>
      </c>
      <c r="AE228" s="346" cm="1">
        <f t="array" ref="AE228">IFERROR(MAX(_xlfn._xlws.FILTER(tblSeverityAnalysis[[#This Row],[SAMV]:[ASH]], tblSeverityAnalysis[[#This Row],[SAMV]:[ASH]]&lt;tblSeverityAnalysis[[#This Row],[Severidad máxima]])), "")</f>
        <v>3</v>
      </c>
      <c r="AF228" s="398" t="str" cm="1">
        <f t="array" ref="AF228">IFERROR(IF(tblSeverityAnalysis[[#This Row],[2ª mayor severidad]]="", "", _xlfn.TEXTJOIN(CHAR(10), TRUE, IF(tblSeverityAnalysis[[#This Row],[SAMV]:[ASH]]=tblSeverityAnalysis[[#This Row],[2ª mayor severidad]], tblSeverityAnalysis[[#Headers],[SAMV]:[ASH]], ""), "")), "")</f>
        <v>SAL
EDU</v>
      </c>
      <c r="AG228" s="405" t="str">
        <f>IFERROR(IF(AND(tblSeverityAnalysis[[#This Row],[5]] &lt;&gt; "", tblSeverityAnalysis[[#This Row],[5]]&gt;=sectors_sev_5), "Flagged", ""), "")</f>
        <v/>
      </c>
      <c r="AH228" s="347" t="str">
        <f>IFERROR(IF(AND(tblSeverityAnalysis[[#This Row],[Severidad preliminar basada en la superposición de privaciones sectoriales]]=5, SUM(tblSeverityAnalysis[[#This Row],[ 1 ]:[ 4 ]])&gt;=sectors_sev_5), "Flagged", ""), "")</f>
        <v/>
      </c>
      <c r="AI228" s="348" t="str" cm="1">
        <f t="array" ref="AI22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2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28" s="350"/>
      <c r="AL228" s="351"/>
      <c r="AM228" s="350"/>
      <c r="AN228" s="407">
        <f>COUNTIF(tblSeverityAnalysis[[#This Row],[1 sectores en fase de severidad 5 '[modificar el umbral']]:[Marcador manual]], "Flagged")</f>
        <v>0</v>
      </c>
      <c r="AO228" s="418">
        <f>tblSeverityAnalysis[[#This Row],[Severidad preliminar basada en la superposición de privaciones sectoriales]]</f>
        <v>2</v>
      </c>
      <c r="AP228" s="417"/>
      <c r="AQ228" s="421" t="s">
        <v>876</v>
      </c>
      <c r="AR228" s="417">
        <v>3</v>
      </c>
    </row>
    <row r="229" spans="1:44" hidden="1">
      <c r="A22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VenezolanosVE1805</v>
      </c>
      <c r="B229" s="363" t="s">
        <v>536</v>
      </c>
      <c r="C229" s="323" t="s">
        <v>537</v>
      </c>
      <c r="D229" s="322" t="s">
        <v>546</v>
      </c>
      <c r="E229" s="323" t="s">
        <v>547</v>
      </c>
      <c r="F229" s="323"/>
      <c r="G229" s="324">
        <v>37553</v>
      </c>
      <c r="H229" s="324" t="s">
        <v>102</v>
      </c>
      <c r="I229" s="374">
        <v>3</v>
      </c>
      <c r="J229" s="237">
        <v>2</v>
      </c>
      <c r="K229" s="237">
        <v>3</v>
      </c>
      <c r="L229" s="237">
        <v>3</v>
      </c>
      <c r="M229" s="237">
        <v>1</v>
      </c>
      <c r="N229" s="237">
        <v>2</v>
      </c>
      <c r="O229" s="237">
        <v>1</v>
      </c>
      <c r="P229" s="237">
        <v>1</v>
      </c>
      <c r="Q229" s="382">
        <f>IF(COUNTIF(tblSeverityAnalysis[[#This Row],[SAMV]:[ASH]], 1)=0, "", COUNTIF(tblSeverityAnalysis[[#This Row],[SAMV]:[ASH]], 1))</f>
        <v>1</v>
      </c>
      <c r="R229" s="325">
        <f>IF(COUNTIF(tblSeverityAnalysis[[#This Row],[SAMV]:[ASH]], 2)=0, "", COUNTIF(tblSeverityAnalysis[[#This Row],[SAMV]:[ASH]], 2))</f>
        <v>2</v>
      </c>
      <c r="S229" s="325">
        <f>IF(COUNTIF(tblSeverityAnalysis[[#This Row],[SAMV]:[ASH]], 3)=0, "", COUNTIF(tblSeverityAnalysis[[#This Row],[SAMV]:[ASH]], 3))</f>
        <v>3</v>
      </c>
      <c r="T229" s="325" t="str">
        <f>IF(COUNTIF(tblSeverityAnalysis[[#This Row],[SAMV]:[ASH]], 4)=0, "", COUNTIF(tblSeverityAnalysis[[#This Row],[SAMV]:[ASH]], 4))</f>
        <v/>
      </c>
      <c r="U229" s="383" t="str">
        <f>IF(COUNTIF(tblSeverityAnalysis[[#This Row],[SAMV]:[ASH]], 5)=0, "", COUNTIF(tblSeverityAnalysis[[#This Row],[SAMV]:[ASH]], 5))</f>
        <v/>
      </c>
      <c r="V229" s="375" cm="1">
        <f t="array" ref="V22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2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29" s="237" t="str">
        <f>IFERROR(IF(INDEX(tblSeverityReference[Severidad de la desnutrición],MATCH(tblSeverityAnalysis[[#This Row],[ID]], tblSeverityReference[ID], 0))= "", "",INDEX(tblSeverityReference[Severidad de la desnutrición],MATCH(tblSeverityAnalysis[[#This Row],[ID]], tblSeverityReference[ID], 0)) ), "")</f>
        <v/>
      </c>
      <c r="Y229" s="349" t="str">
        <f>IFERROR(IF(INDEX(tblSeverityReference[Severidad epidémica],MATCH(tblSeverityAnalysis[[#This Row],[ID]], tblSeverityReference[ID], 0))= "", "",INDEX(tblSeverityReference[Severidad epidémica],MATCH(tblSeverityAnalysis[[#This Row],[ID]], tblSeverityReference[ID], 0)) ), "")</f>
        <v/>
      </c>
      <c r="Z22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29" s="391" t="str">
        <f>IFERROR(IF(INDEX(tblSeverityReference[HR/IHL Violation],MATCH(tblSeverityAnalysis[[#This Row],[ID]], tblSeverityReference[ID], 0))= "", "",INDEX(tblSeverityReference[HR/IHL Violation],MATCH(tblSeverityAnalysis[[#This Row],[ID]], tblSeverityReference[ID], 0)) ), "")</f>
        <v/>
      </c>
      <c r="AB229" s="397">
        <f>IFERROR(AVERAGE(tblSeverityAnalysis[[#This Row],[SAMV]:[ASH]]), "")</f>
        <v>2.3333333333333335</v>
      </c>
      <c r="AC229" s="346">
        <f>IF(SUM(tblSeverityAnalysis[[#This Row],[SAMV]:[ASH]])=0, "", MAX(tblSeverityAnalysis[[#This Row],[SAMV]:[ASH]]))</f>
        <v>3</v>
      </c>
      <c r="AD229" s="261" t="str" cm="1">
        <f t="array" ref="AD229">IFERROR(IF(tblSeverityAnalysis[[#This Row],[Severidad máxima]]="", "", _xlfn.TEXTJOIN(CHAR(10), TRUE, IF(tblSeverityAnalysis[[#This Row],[SAMV]:[ASH]]=tblSeverityAnalysis[[#This Row],[Severidad máxima]], tblSeverityAnalysis[[#Headers],[SAMV]:[ASH]], ""), "")), "")</f>
        <v>SAMV
SAL
EDU</v>
      </c>
      <c r="AE229" s="346" cm="1">
        <f t="array" ref="AE229">IFERROR(MAX(_xlfn._xlws.FILTER(tblSeverityAnalysis[[#This Row],[SAMV]:[ASH]], tblSeverityAnalysis[[#This Row],[SAMV]:[ASH]]&lt;tblSeverityAnalysis[[#This Row],[Severidad máxima]])), "")</f>
        <v>2</v>
      </c>
      <c r="AF229" s="398" t="str" cm="1">
        <f t="array" ref="AF229">IFERROR(IF(tblSeverityAnalysis[[#This Row],[2ª mayor severidad]]="", "", _xlfn.TEXTJOIN(CHAR(10), TRUE, IF(tblSeverityAnalysis[[#This Row],[SAMV]:[ASH]]=tblSeverityAnalysis[[#This Row],[2ª mayor severidad]], tblSeverityAnalysis[[#Headers],[SAMV]:[ASH]], ""), "")), "")</f>
        <v>NUT
ASH</v>
      </c>
      <c r="AG229" s="405" t="str">
        <f>IFERROR(IF(AND(tblSeverityAnalysis[[#This Row],[5]] &lt;&gt; "", tblSeverityAnalysis[[#This Row],[5]]&gt;=sectors_sev_5), "Flagged", ""), "")</f>
        <v/>
      </c>
      <c r="AH229" s="347" t="str">
        <f>IFERROR(IF(AND(tblSeverityAnalysis[[#This Row],[Severidad preliminar basada en la superposición de privaciones sectoriales]]=5, SUM(tblSeverityAnalysis[[#This Row],[ 1 ]:[ 4 ]])&gt;=sectors_sev_5), "Flagged", ""), "")</f>
        <v/>
      </c>
      <c r="AI229" s="348" t="str" cm="1">
        <f t="array" ref="AI22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2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29" s="350"/>
      <c r="AL229" s="351"/>
      <c r="AM229" s="350"/>
      <c r="AN229" s="407">
        <f>COUNTIF(tblSeverityAnalysis[[#This Row],[1 sectores en fase de severidad 5 '[modificar el umbral']]:[Marcador manual]], "Flagged")</f>
        <v>0</v>
      </c>
      <c r="AO229" s="418">
        <f>tblSeverityAnalysis[[#This Row],[Severidad preliminar basada en la superposición de privaciones sectoriales]]</f>
        <v>2</v>
      </c>
      <c r="AP229" s="417"/>
      <c r="AQ229" s="421" t="s">
        <v>876</v>
      </c>
      <c r="AR229" s="417">
        <v>3</v>
      </c>
    </row>
    <row r="230" spans="1:44" hidden="1">
      <c r="A23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VenezolanosVE1806</v>
      </c>
      <c r="B230" s="363" t="s">
        <v>536</v>
      </c>
      <c r="C230" s="323" t="s">
        <v>537</v>
      </c>
      <c r="D230" s="322" t="s">
        <v>548</v>
      </c>
      <c r="E230" s="323" t="s">
        <v>549</v>
      </c>
      <c r="F230" s="323"/>
      <c r="G230" s="324">
        <v>23744</v>
      </c>
      <c r="H230" s="324" t="s">
        <v>102</v>
      </c>
      <c r="I230" s="374">
        <v>4</v>
      </c>
      <c r="J230" s="237">
        <v>2</v>
      </c>
      <c r="K230" s="237">
        <v>3</v>
      </c>
      <c r="L230" s="237">
        <v>3</v>
      </c>
      <c r="M230" s="237">
        <v>3</v>
      </c>
      <c r="N230" s="237">
        <v>2</v>
      </c>
      <c r="O230" s="237">
        <v>3</v>
      </c>
      <c r="P230" s="237">
        <v>3</v>
      </c>
      <c r="Q230" s="382" t="str">
        <f>IF(COUNTIF(tblSeverityAnalysis[[#This Row],[SAMV]:[ASH]], 1)=0, "", COUNTIF(tblSeverityAnalysis[[#This Row],[SAMV]:[ASH]], 1))</f>
        <v/>
      </c>
      <c r="R230" s="325">
        <f>IF(COUNTIF(tblSeverityAnalysis[[#This Row],[SAMV]:[ASH]], 2)=0, "", COUNTIF(tblSeverityAnalysis[[#This Row],[SAMV]:[ASH]], 2))</f>
        <v>2</v>
      </c>
      <c r="S230" s="325">
        <f>IF(COUNTIF(tblSeverityAnalysis[[#This Row],[SAMV]:[ASH]], 3)=0, "", COUNTIF(tblSeverityAnalysis[[#This Row],[SAMV]:[ASH]], 3))</f>
        <v>3</v>
      </c>
      <c r="T230" s="325">
        <f>IF(COUNTIF(tblSeverityAnalysis[[#This Row],[SAMV]:[ASH]], 4)=0, "", COUNTIF(tblSeverityAnalysis[[#This Row],[SAMV]:[ASH]], 4))</f>
        <v>1</v>
      </c>
      <c r="U230" s="383" t="str">
        <f>IF(COUNTIF(tblSeverityAnalysis[[#This Row],[SAMV]:[ASH]], 5)=0, "", COUNTIF(tblSeverityAnalysis[[#This Row],[SAMV]:[ASH]], 5))</f>
        <v/>
      </c>
      <c r="V230" s="375" cm="1">
        <f t="array" ref="V23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3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30" s="237" t="str">
        <f>IFERROR(IF(INDEX(tblSeverityReference[Severidad de la desnutrición],MATCH(tblSeverityAnalysis[[#This Row],[ID]], tblSeverityReference[ID], 0))= "", "",INDEX(tblSeverityReference[Severidad de la desnutrición],MATCH(tblSeverityAnalysis[[#This Row],[ID]], tblSeverityReference[ID], 0)) ), "")</f>
        <v/>
      </c>
      <c r="Y230" s="349" t="str">
        <f>IFERROR(IF(INDEX(tblSeverityReference[Severidad epidémica],MATCH(tblSeverityAnalysis[[#This Row],[ID]], tblSeverityReference[ID], 0))= "", "",INDEX(tblSeverityReference[Severidad epidémica],MATCH(tblSeverityAnalysis[[#This Row],[ID]], tblSeverityReference[ID], 0)) ), "")</f>
        <v/>
      </c>
      <c r="Z23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30" s="391" t="str">
        <f>IFERROR(IF(INDEX(tblSeverityReference[HR/IHL Violation],MATCH(tblSeverityAnalysis[[#This Row],[ID]], tblSeverityReference[ID], 0))= "", "",INDEX(tblSeverityReference[HR/IHL Violation],MATCH(tblSeverityAnalysis[[#This Row],[ID]], tblSeverityReference[ID], 0)) ), "")</f>
        <v/>
      </c>
      <c r="AB230" s="397">
        <f>IFERROR(AVERAGE(tblSeverityAnalysis[[#This Row],[SAMV]:[ASH]]), "")</f>
        <v>2.8333333333333335</v>
      </c>
      <c r="AC230" s="346">
        <f>IF(SUM(tblSeverityAnalysis[[#This Row],[SAMV]:[ASH]])=0, "", MAX(tblSeverityAnalysis[[#This Row],[SAMV]:[ASH]]))</f>
        <v>4</v>
      </c>
      <c r="AD230" s="261" t="str" cm="1">
        <f t="array" ref="AD230">IFERROR(IF(tblSeverityAnalysis[[#This Row],[Severidad máxima]]="", "", _xlfn.TEXTJOIN(CHAR(10), TRUE, IF(tblSeverityAnalysis[[#This Row],[SAMV]:[ASH]]=tblSeverityAnalysis[[#This Row],[Severidad máxima]], tblSeverityAnalysis[[#Headers],[SAMV]:[ASH]], ""), "")), "")</f>
        <v>SAMV</v>
      </c>
      <c r="AE230" s="346" cm="1">
        <f t="array" ref="AE230">IFERROR(MAX(_xlfn._xlws.FILTER(tblSeverityAnalysis[[#This Row],[SAMV]:[ASH]], tblSeverityAnalysis[[#This Row],[SAMV]:[ASH]]&lt;tblSeverityAnalysis[[#This Row],[Severidad máxima]])), "")</f>
        <v>3</v>
      </c>
      <c r="AF230" s="398" t="str" cm="1">
        <f t="array" ref="AF230">IFERROR(IF(tblSeverityAnalysis[[#This Row],[2ª mayor severidad]]="", "", _xlfn.TEXTJOIN(CHAR(10), TRUE, IF(tblSeverityAnalysis[[#This Row],[SAMV]:[ASH]]=tblSeverityAnalysis[[#This Row],[2ª mayor severidad]], tblSeverityAnalysis[[#Headers],[SAMV]:[ASH]], ""), "")), "")</f>
        <v>SAL
EDU
PRO</v>
      </c>
      <c r="AG230" s="405" t="str">
        <f>IFERROR(IF(AND(tblSeverityAnalysis[[#This Row],[5]] &lt;&gt; "", tblSeverityAnalysis[[#This Row],[5]]&gt;=sectors_sev_5), "Flagged", ""), "")</f>
        <v/>
      </c>
      <c r="AH230" s="347" t="str">
        <f>IFERROR(IF(AND(tblSeverityAnalysis[[#This Row],[Severidad preliminar basada en la superposición de privaciones sectoriales]]=5, SUM(tblSeverityAnalysis[[#This Row],[ 1 ]:[ 4 ]])&gt;=sectors_sev_5), "Flagged", ""), "")</f>
        <v/>
      </c>
      <c r="AI230" s="348" t="str" cm="1">
        <f t="array" ref="AI23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3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30" s="350"/>
      <c r="AL230" s="351"/>
      <c r="AM230" s="350"/>
      <c r="AN230" s="407">
        <f>COUNTIF(tblSeverityAnalysis[[#This Row],[1 sectores en fase de severidad 5 '[modificar el umbral']]:[Marcador manual]], "Flagged")</f>
        <v>0</v>
      </c>
      <c r="AO230" s="418">
        <f>tblSeverityAnalysis[[#This Row],[Severidad preliminar basada en la superposición de privaciones sectoriales]]</f>
        <v>3</v>
      </c>
      <c r="AP230" s="417"/>
      <c r="AQ230" s="421" t="s">
        <v>876</v>
      </c>
      <c r="AR230" s="417">
        <v>3</v>
      </c>
    </row>
    <row r="231" spans="1:44" hidden="1">
      <c r="A23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VenezolanosVE1807</v>
      </c>
      <c r="B231" s="363" t="s">
        <v>536</v>
      </c>
      <c r="C231" s="323" t="s">
        <v>537</v>
      </c>
      <c r="D231" s="322" t="s">
        <v>550</v>
      </c>
      <c r="E231" s="323" t="s">
        <v>551</v>
      </c>
      <c r="F231" s="323"/>
      <c r="G231" s="324">
        <v>49228</v>
      </c>
      <c r="H231" s="324" t="s">
        <v>102</v>
      </c>
      <c r="I231" s="374">
        <v>3</v>
      </c>
      <c r="J231" s="237">
        <v>2</v>
      </c>
      <c r="K231" s="237">
        <v>3</v>
      </c>
      <c r="L231" s="237">
        <v>3</v>
      </c>
      <c r="M231" s="237">
        <v>3</v>
      </c>
      <c r="N231" s="237">
        <v>2</v>
      </c>
      <c r="O231" s="237">
        <v>3</v>
      </c>
      <c r="P231" s="237">
        <v>3</v>
      </c>
      <c r="Q231" s="382" t="str">
        <f>IF(COUNTIF(tblSeverityAnalysis[[#This Row],[SAMV]:[ASH]], 1)=0, "", COUNTIF(tblSeverityAnalysis[[#This Row],[SAMV]:[ASH]], 1))</f>
        <v/>
      </c>
      <c r="R231" s="325">
        <f>IF(COUNTIF(tblSeverityAnalysis[[#This Row],[SAMV]:[ASH]], 2)=0, "", COUNTIF(tblSeverityAnalysis[[#This Row],[SAMV]:[ASH]], 2))</f>
        <v>2</v>
      </c>
      <c r="S231" s="325">
        <f>IF(COUNTIF(tblSeverityAnalysis[[#This Row],[SAMV]:[ASH]], 3)=0, "", COUNTIF(tblSeverityAnalysis[[#This Row],[SAMV]:[ASH]], 3))</f>
        <v>4</v>
      </c>
      <c r="T231" s="325" t="str">
        <f>IF(COUNTIF(tblSeverityAnalysis[[#This Row],[SAMV]:[ASH]], 4)=0, "", COUNTIF(tblSeverityAnalysis[[#This Row],[SAMV]:[ASH]], 4))</f>
        <v/>
      </c>
      <c r="U231" s="383" t="str">
        <f>IF(COUNTIF(tblSeverityAnalysis[[#This Row],[SAMV]:[ASH]], 5)=0, "", COUNTIF(tblSeverityAnalysis[[#This Row],[SAMV]:[ASH]], 5))</f>
        <v/>
      </c>
      <c r="V231" s="375" cm="1">
        <f t="array" ref="V23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3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31" s="237" t="str">
        <f>IFERROR(IF(INDEX(tblSeverityReference[Severidad de la desnutrición],MATCH(tblSeverityAnalysis[[#This Row],[ID]], tblSeverityReference[ID], 0))= "", "",INDEX(tblSeverityReference[Severidad de la desnutrición],MATCH(tblSeverityAnalysis[[#This Row],[ID]], tblSeverityReference[ID], 0)) ), "")</f>
        <v/>
      </c>
      <c r="Y231" s="349" t="str">
        <f>IFERROR(IF(INDEX(tblSeverityReference[Severidad epidémica],MATCH(tblSeverityAnalysis[[#This Row],[ID]], tblSeverityReference[ID], 0))= "", "",INDEX(tblSeverityReference[Severidad epidémica],MATCH(tblSeverityAnalysis[[#This Row],[ID]], tblSeverityReference[ID], 0)) ), "")</f>
        <v/>
      </c>
      <c r="Z23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31" s="391" t="str">
        <f>IFERROR(IF(INDEX(tblSeverityReference[HR/IHL Violation],MATCH(tblSeverityAnalysis[[#This Row],[ID]], tblSeverityReference[ID], 0))= "", "",INDEX(tblSeverityReference[HR/IHL Violation],MATCH(tblSeverityAnalysis[[#This Row],[ID]], tblSeverityReference[ID], 0)) ), "")</f>
        <v/>
      </c>
      <c r="AB231" s="397">
        <f>IFERROR(AVERAGE(tblSeverityAnalysis[[#This Row],[SAMV]:[ASH]]), "")</f>
        <v>2.6666666666666665</v>
      </c>
      <c r="AC231" s="346">
        <f>IF(SUM(tblSeverityAnalysis[[#This Row],[SAMV]:[ASH]])=0, "", MAX(tblSeverityAnalysis[[#This Row],[SAMV]:[ASH]]))</f>
        <v>3</v>
      </c>
      <c r="AD231" s="261" t="str" cm="1">
        <f t="array" ref="AD231">IFERROR(IF(tblSeverityAnalysis[[#This Row],[Severidad máxima]]="", "", _xlfn.TEXTJOIN(CHAR(10), TRUE, IF(tblSeverityAnalysis[[#This Row],[SAMV]:[ASH]]=tblSeverityAnalysis[[#This Row],[Severidad máxima]], tblSeverityAnalysis[[#Headers],[SAMV]:[ASH]], ""), "")), "")</f>
        <v>SAMV
SAL
EDU
PRO</v>
      </c>
      <c r="AE231" s="346" cm="1">
        <f t="array" ref="AE231">IFERROR(MAX(_xlfn._xlws.FILTER(tblSeverityAnalysis[[#This Row],[SAMV]:[ASH]], tblSeverityAnalysis[[#This Row],[SAMV]:[ASH]]&lt;tblSeverityAnalysis[[#This Row],[Severidad máxima]])), "")</f>
        <v>2</v>
      </c>
      <c r="AF231" s="398" t="str" cm="1">
        <f t="array" ref="AF231">IFERROR(IF(tblSeverityAnalysis[[#This Row],[2ª mayor severidad]]="", "", _xlfn.TEXTJOIN(CHAR(10), TRUE, IF(tblSeverityAnalysis[[#This Row],[SAMV]:[ASH]]=tblSeverityAnalysis[[#This Row],[2ª mayor severidad]], tblSeverityAnalysis[[#Headers],[SAMV]:[ASH]], ""), "")), "")</f>
        <v>NUT
ASH</v>
      </c>
      <c r="AG231" s="405" t="str">
        <f>IFERROR(IF(AND(tblSeverityAnalysis[[#This Row],[5]] &lt;&gt; "", tblSeverityAnalysis[[#This Row],[5]]&gt;=sectors_sev_5), "Flagged", ""), "")</f>
        <v/>
      </c>
      <c r="AH231" s="347" t="str">
        <f>IFERROR(IF(AND(tblSeverityAnalysis[[#This Row],[Severidad preliminar basada en la superposición de privaciones sectoriales]]=5, SUM(tblSeverityAnalysis[[#This Row],[ 1 ]:[ 4 ]])&gt;=sectors_sev_5), "Flagged", ""), "")</f>
        <v/>
      </c>
      <c r="AI231" s="348" t="str" cm="1">
        <f t="array" ref="AI23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3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31" s="350"/>
      <c r="AL231" s="351"/>
      <c r="AM231" s="350"/>
      <c r="AN231" s="407">
        <f>COUNTIF(tblSeverityAnalysis[[#This Row],[1 sectores en fase de severidad 5 '[modificar el umbral']]:[Marcador manual]], "Flagged")</f>
        <v>0</v>
      </c>
      <c r="AO231" s="418">
        <f>tblSeverityAnalysis[[#This Row],[Severidad preliminar basada en la superposición de privaciones sectoriales]]</f>
        <v>3</v>
      </c>
      <c r="AP231" s="417"/>
      <c r="AQ231" s="421" t="s">
        <v>876</v>
      </c>
      <c r="AR231" s="417">
        <v>3</v>
      </c>
    </row>
    <row r="232" spans="1:44" hidden="1">
      <c r="A23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VenezolanosVE1808</v>
      </c>
      <c r="B232" s="363" t="s">
        <v>536</v>
      </c>
      <c r="C232" s="323" t="s">
        <v>537</v>
      </c>
      <c r="D232" s="322" t="s">
        <v>171</v>
      </c>
      <c r="E232" s="323" t="s">
        <v>552</v>
      </c>
      <c r="F232" s="323"/>
      <c r="G232" s="324">
        <v>177175</v>
      </c>
      <c r="H232" s="324" t="s">
        <v>102</v>
      </c>
      <c r="I232" s="374">
        <v>4</v>
      </c>
      <c r="J232" s="237">
        <v>2</v>
      </c>
      <c r="K232" s="237">
        <v>3</v>
      </c>
      <c r="L232" s="237">
        <v>3</v>
      </c>
      <c r="M232" s="237">
        <v>4</v>
      </c>
      <c r="N232" s="237">
        <v>2</v>
      </c>
      <c r="O232" s="237">
        <v>4</v>
      </c>
      <c r="P232" s="237">
        <v>4</v>
      </c>
      <c r="Q232" s="382" t="str">
        <f>IF(COUNTIF(tblSeverityAnalysis[[#This Row],[SAMV]:[ASH]], 1)=0, "", COUNTIF(tblSeverityAnalysis[[#This Row],[SAMV]:[ASH]], 1))</f>
        <v/>
      </c>
      <c r="R232" s="325">
        <f>IF(COUNTIF(tblSeverityAnalysis[[#This Row],[SAMV]:[ASH]], 2)=0, "", COUNTIF(tblSeverityAnalysis[[#This Row],[SAMV]:[ASH]], 2))</f>
        <v>2</v>
      </c>
      <c r="S232" s="325">
        <f>IF(COUNTIF(tblSeverityAnalysis[[#This Row],[SAMV]:[ASH]], 3)=0, "", COUNTIF(tblSeverityAnalysis[[#This Row],[SAMV]:[ASH]], 3))</f>
        <v>2</v>
      </c>
      <c r="T232" s="325">
        <f>IF(COUNTIF(tblSeverityAnalysis[[#This Row],[SAMV]:[ASH]], 4)=0, "", COUNTIF(tblSeverityAnalysis[[#This Row],[SAMV]:[ASH]], 4))</f>
        <v>2</v>
      </c>
      <c r="U232" s="383" t="str">
        <f>IF(COUNTIF(tblSeverityAnalysis[[#This Row],[SAMV]:[ASH]], 5)=0, "", COUNTIF(tblSeverityAnalysis[[#This Row],[SAMV]:[ASH]], 5))</f>
        <v/>
      </c>
      <c r="V232" s="375" cm="1">
        <f t="array" ref="V23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3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32" s="237" t="str">
        <f>IFERROR(IF(INDEX(tblSeverityReference[Severidad de la desnutrición],MATCH(tblSeverityAnalysis[[#This Row],[ID]], tblSeverityReference[ID], 0))= "", "",INDEX(tblSeverityReference[Severidad de la desnutrición],MATCH(tblSeverityAnalysis[[#This Row],[ID]], tblSeverityReference[ID], 0)) ), "")</f>
        <v/>
      </c>
      <c r="Y232" s="349" t="str">
        <f>IFERROR(IF(INDEX(tblSeverityReference[Severidad epidémica],MATCH(tblSeverityAnalysis[[#This Row],[ID]], tblSeverityReference[ID], 0))= "", "",INDEX(tblSeverityReference[Severidad epidémica],MATCH(tblSeverityAnalysis[[#This Row],[ID]], tblSeverityReference[ID], 0)) ), "")</f>
        <v/>
      </c>
      <c r="Z23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32" s="391" t="str">
        <f>IFERROR(IF(INDEX(tblSeverityReference[HR/IHL Violation],MATCH(tblSeverityAnalysis[[#This Row],[ID]], tblSeverityReference[ID], 0))= "", "",INDEX(tblSeverityReference[HR/IHL Violation],MATCH(tblSeverityAnalysis[[#This Row],[ID]], tblSeverityReference[ID], 0)) ), "")</f>
        <v/>
      </c>
      <c r="AB232" s="397">
        <f>IFERROR(AVERAGE(tblSeverityAnalysis[[#This Row],[SAMV]:[ASH]]), "")</f>
        <v>3</v>
      </c>
      <c r="AC232" s="346">
        <f>IF(SUM(tblSeverityAnalysis[[#This Row],[SAMV]:[ASH]])=0, "", MAX(tblSeverityAnalysis[[#This Row],[SAMV]:[ASH]]))</f>
        <v>4</v>
      </c>
      <c r="AD232" s="261" t="str" cm="1">
        <f t="array" ref="AD232">IFERROR(IF(tblSeverityAnalysis[[#This Row],[Severidad máxima]]="", "", _xlfn.TEXTJOIN(CHAR(10), TRUE, IF(tblSeverityAnalysis[[#This Row],[SAMV]:[ASH]]=tblSeverityAnalysis[[#This Row],[Severidad máxima]], tblSeverityAnalysis[[#Headers],[SAMV]:[ASH]], ""), "")), "")</f>
        <v>SAMV
PRO</v>
      </c>
      <c r="AE232" s="346" cm="1">
        <f t="array" ref="AE232">IFERROR(MAX(_xlfn._xlws.FILTER(tblSeverityAnalysis[[#This Row],[SAMV]:[ASH]], tblSeverityAnalysis[[#This Row],[SAMV]:[ASH]]&lt;tblSeverityAnalysis[[#This Row],[Severidad máxima]])), "")</f>
        <v>3</v>
      </c>
      <c r="AF232" s="398" t="str" cm="1">
        <f t="array" ref="AF232">IFERROR(IF(tblSeverityAnalysis[[#This Row],[2ª mayor severidad]]="", "", _xlfn.TEXTJOIN(CHAR(10), TRUE, IF(tblSeverityAnalysis[[#This Row],[SAMV]:[ASH]]=tblSeverityAnalysis[[#This Row],[2ª mayor severidad]], tblSeverityAnalysis[[#Headers],[SAMV]:[ASH]], ""), "")), "")</f>
        <v>SAL
EDU</v>
      </c>
      <c r="AG232" s="405" t="str">
        <f>IFERROR(IF(AND(tblSeverityAnalysis[[#This Row],[5]] &lt;&gt; "", tblSeverityAnalysis[[#This Row],[5]]&gt;=sectors_sev_5), "Flagged", ""), "")</f>
        <v/>
      </c>
      <c r="AH232" s="347" t="str">
        <f>IFERROR(IF(AND(tblSeverityAnalysis[[#This Row],[Severidad preliminar basada en la superposición de privaciones sectoriales]]=5, SUM(tblSeverityAnalysis[[#This Row],[ 1 ]:[ 4 ]])&gt;=sectors_sev_5), "Flagged", ""), "")</f>
        <v/>
      </c>
      <c r="AI232" s="348" t="str" cm="1">
        <f t="array" ref="AI23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3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32" s="350"/>
      <c r="AL232" s="351"/>
      <c r="AM232" s="350"/>
      <c r="AN232" s="407">
        <f>COUNTIF(tblSeverityAnalysis[[#This Row],[1 sectores en fase de severidad 5 '[modificar el umbral']]:[Marcador manual]], "Flagged")</f>
        <v>0</v>
      </c>
      <c r="AO232" s="418">
        <f>tblSeverityAnalysis[[#This Row],[Severidad preliminar basada en la superposición de privaciones sectoriales]]</f>
        <v>3</v>
      </c>
      <c r="AP232" s="417"/>
      <c r="AQ232" s="421" t="s">
        <v>876</v>
      </c>
      <c r="AR232" s="417">
        <v>3</v>
      </c>
    </row>
    <row r="233" spans="1:44" hidden="1">
      <c r="A23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VenezolanosVE1809</v>
      </c>
      <c r="B233" s="363" t="s">
        <v>536</v>
      </c>
      <c r="C233" s="323" t="s">
        <v>537</v>
      </c>
      <c r="D233" s="322" t="s">
        <v>553</v>
      </c>
      <c r="E233" s="323" t="s">
        <v>554</v>
      </c>
      <c r="F233" s="323"/>
      <c r="G233" s="324">
        <v>16191</v>
      </c>
      <c r="H233" s="324" t="s">
        <v>102</v>
      </c>
      <c r="I233" s="374">
        <v>3</v>
      </c>
      <c r="J233" s="237">
        <v>2</v>
      </c>
      <c r="K233" s="237">
        <v>4</v>
      </c>
      <c r="L233" s="237">
        <v>3</v>
      </c>
      <c r="M233" s="237">
        <v>2</v>
      </c>
      <c r="N233" s="237">
        <v>2</v>
      </c>
      <c r="O233" s="237">
        <v>2</v>
      </c>
      <c r="P233" s="237">
        <v>2</v>
      </c>
      <c r="Q233" s="382" t="str">
        <f>IF(COUNTIF(tblSeverityAnalysis[[#This Row],[SAMV]:[ASH]], 1)=0, "", COUNTIF(tblSeverityAnalysis[[#This Row],[SAMV]:[ASH]], 1))</f>
        <v/>
      </c>
      <c r="R233" s="325">
        <f>IF(COUNTIF(tblSeverityAnalysis[[#This Row],[SAMV]:[ASH]], 2)=0, "", COUNTIF(tblSeverityAnalysis[[#This Row],[SAMV]:[ASH]], 2))</f>
        <v>3</v>
      </c>
      <c r="S233" s="325">
        <f>IF(COUNTIF(tblSeverityAnalysis[[#This Row],[SAMV]:[ASH]], 3)=0, "", COUNTIF(tblSeverityAnalysis[[#This Row],[SAMV]:[ASH]], 3))</f>
        <v>2</v>
      </c>
      <c r="T233" s="325">
        <f>IF(COUNTIF(tblSeverityAnalysis[[#This Row],[SAMV]:[ASH]], 4)=0, "", COUNTIF(tblSeverityAnalysis[[#This Row],[SAMV]:[ASH]], 4))</f>
        <v>1</v>
      </c>
      <c r="U233" s="383" t="str">
        <f>IF(COUNTIF(tblSeverityAnalysis[[#This Row],[SAMV]:[ASH]], 5)=0, "", COUNTIF(tblSeverityAnalysis[[#This Row],[SAMV]:[ASH]], 5))</f>
        <v/>
      </c>
      <c r="V233" s="375" cm="1">
        <f t="array" ref="V23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3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33" s="237" t="str">
        <f>IFERROR(IF(INDEX(tblSeverityReference[Severidad de la desnutrición],MATCH(tblSeverityAnalysis[[#This Row],[ID]], tblSeverityReference[ID], 0))= "", "",INDEX(tblSeverityReference[Severidad de la desnutrición],MATCH(tblSeverityAnalysis[[#This Row],[ID]], tblSeverityReference[ID], 0)) ), "")</f>
        <v/>
      </c>
      <c r="Y233" s="349" t="str">
        <f>IFERROR(IF(INDEX(tblSeverityReference[Severidad epidémica],MATCH(tblSeverityAnalysis[[#This Row],[ID]], tblSeverityReference[ID], 0))= "", "",INDEX(tblSeverityReference[Severidad epidémica],MATCH(tblSeverityAnalysis[[#This Row],[ID]], tblSeverityReference[ID], 0)) ), "")</f>
        <v/>
      </c>
      <c r="Z23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33" s="391" t="str">
        <f>IFERROR(IF(INDEX(tblSeverityReference[HR/IHL Violation],MATCH(tblSeverityAnalysis[[#This Row],[ID]], tblSeverityReference[ID], 0))= "", "",INDEX(tblSeverityReference[HR/IHL Violation],MATCH(tblSeverityAnalysis[[#This Row],[ID]], tblSeverityReference[ID], 0)) ), "")</f>
        <v/>
      </c>
      <c r="AB233" s="397">
        <f>IFERROR(AVERAGE(tblSeverityAnalysis[[#This Row],[SAMV]:[ASH]]), "")</f>
        <v>2.6666666666666665</v>
      </c>
      <c r="AC233" s="346">
        <f>IF(SUM(tblSeverityAnalysis[[#This Row],[SAMV]:[ASH]])=0, "", MAX(tblSeverityAnalysis[[#This Row],[SAMV]:[ASH]]))</f>
        <v>4</v>
      </c>
      <c r="AD233" s="261" t="str" cm="1">
        <f t="array" ref="AD233">IFERROR(IF(tblSeverityAnalysis[[#This Row],[Severidad máxima]]="", "", _xlfn.TEXTJOIN(CHAR(10), TRUE, IF(tblSeverityAnalysis[[#This Row],[SAMV]:[ASH]]=tblSeverityAnalysis[[#This Row],[Severidad máxima]], tblSeverityAnalysis[[#Headers],[SAMV]:[ASH]], ""), "")), "")</f>
        <v>SAL</v>
      </c>
      <c r="AE233" s="346" cm="1">
        <f t="array" ref="AE233">IFERROR(MAX(_xlfn._xlws.FILTER(tblSeverityAnalysis[[#This Row],[SAMV]:[ASH]], tblSeverityAnalysis[[#This Row],[SAMV]:[ASH]]&lt;tblSeverityAnalysis[[#This Row],[Severidad máxima]])), "")</f>
        <v>3</v>
      </c>
      <c r="AF233" s="398" t="str" cm="1">
        <f t="array" ref="AF233">IFERROR(IF(tblSeverityAnalysis[[#This Row],[2ª mayor severidad]]="", "", _xlfn.TEXTJOIN(CHAR(10), TRUE, IF(tblSeverityAnalysis[[#This Row],[SAMV]:[ASH]]=tblSeverityAnalysis[[#This Row],[2ª mayor severidad]], tblSeverityAnalysis[[#Headers],[SAMV]:[ASH]], ""), "")), "")</f>
        <v>SAMV
EDU</v>
      </c>
      <c r="AG233" s="405" t="str">
        <f>IFERROR(IF(AND(tblSeverityAnalysis[[#This Row],[5]] &lt;&gt; "", tblSeverityAnalysis[[#This Row],[5]]&gt;=sectors_sev_5), "Flagged", ""), "")</f>
        <v/>
      </c>
      <c r="AH233" s="347" t="str">
        <f>IFERROR(IF(AND(tblSeverityAnalysis[[#This Row],[Severidad preliminar basada en la superposición de privaciones sectoriales]]=5, SUM(tblSeverityAnalysis[[#This Row],[ 1 ]:[ 4 ]])&gt;=sectors_sev_5), "Flagged", ""), "")</f>
        <v/>
      </c>
      <c r="AI233" s="348" t="str" cm="1">
        <f t="array" ref="AI23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3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33" s="350"/>
      <c r="AL233" s="351"/>
      <c r="AM233" s="350"/>
      <c r="AN233" s="407">
        <f>COUNTIF(tblSeverityAnalysis[[#This Row],[1 sectores en fase de severidad 5 '[modificar el umbral']]:[Marcador manual]], "Flagged")</f>
        <v>0</v>
      </c>
      <c r="AO233" s="418">
        <f>tblSeverityAnalysis[[#This Row],[Severidad preliminar basada en la superposición de privaciones sectoriales]]</f>
        <v>2</v>
      </c>
      <c r="AP233" s="417"/>
      <c r="AQ233" s="421" t="s">
        <v>876</v>
      </c>
      <c r="AR233" s="417">
        <v>4</v>
      </c>
    </row>
    <row r="234" spans="1:44" hidden="1">
      <c r="A23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VenezolanosVE1810</v>
      </c>
      <c r="B234" s="363" t="s">
        <v>536</v>
      </c>
      <c r="C234" s="323" t="s">
        <v>537</v>
      </c>
      <c r="D234" s="322" t="s">
        <v>555</v>
      </c>
      <c r="E234" s="323" t="s">
        <v>556</v>
      </c>
      <c r="F234" s="323"/>
      <c r="G234" s="324">
        <v>23757</v>
      </c>
      <c r="H234" s="324" t="s">
        <v>102</v>
      </c>
      <c r="I234" s="374">
        <v>3</v>
      </c>
      <c r="J234" s="237">
        <v>2</v>
      </c>
      <c r="K234" s="237">
        <v>3</v>
      </c>
      <c r="L234" s="237">
        <v>3</v>
      </c>
      <c r="M234" s="237">
        <v>2</v>
      </c>
      <c r="N234" s="237">
        <v>2</v>
      </c>
      <c r="O234" s="237">
        <v>2</v>
      </c>
      <c r="P234" s="237">
        <v>2</v>
      </c>
      <c r="Q234" s="382" t="str">
        <f>IF(COUNTIF(tblSeverityAnalysis[[#This Row],[SAMV]:[ASH]], 1)=0, "", COUNTIF(tblSeverityAnalysis[[#This Row],[SAMV]:[ASH]], 1))</f>
        <v/>
      </c>
      <c r="R234" s="325">
        <f>IF(COUNTIF(tblSeverityAnalysis[[#This Row],[SAMV]:[ASH]], 2)=0, "", COUNTIF(tblSeverityAnalysis[[#This Row],[SAMV]:[ASH]], 2))</f>
        <v>3</v>
      </c>
      <c r="S234" s="325">
        <f>IF(COUNTIF(tblSeverityAnalysis[[#This Row],[SAMV]:[ASH]], 3)=0, "", COUNTIF(tblSeverityAnalysis[[#This Row],[SAMV]:[ASH]], 3))</f>
        <v>3</v>
      </c>
      <c r="T234" s="325" t="str">
        <f>IF(COUNTIF(tblSeverityAnalysis[[#This Row],[SAMV]:[ASH]], 4)=0, "", COUNTIF(tblSeverityAnalysis[[#This Row],[SAMV]:[ASH]], 4))</f>
        <v/>
      </c>
      <c r="U234" s="383" t="str">
        <f>IF(COUNTIF(tblSeverityAnalysis[[#This Row],[SAMV]:[ASH]], 5)=0, "", COUNTIF(tblSeverityAnalysis[[#This Row],[SAMV]:[ASH]], 5))</f>
        <v/>
      </c>
      <c r="V234" s="375" cm="1">
        <f t="array" ref="V23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3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34" s="237" t="str">
        <f>IFERROR(IF(INDEX(tblSeverityReference[Severidad de la desnutrición],MATCH(tblSeverityAnalysis[[#This Row],[ID]], tblSeverityReference[ID], 0))= "", "",INDEX(tblSeverityReference[Severidad de la desnutrición],MATCH(tblSeverityAnalysis[[#This Row],[ID]], tblSeverityReference[ID], 0)) ), "")</f>
        <v/>
      </c>
      <c r="Y234" s="349" t="str">
        <f>IFERROR(IF(INDEX(tblSeverityReference[Severidad epidémica],MATCH(tblSeverityAnalysis[[#This Row],[ID]], tblSeverityReference[ID], 0))= "", "",INDEX(tblSeverityReference[Severidad epidémica],MATCH(tblSeverityAnalysis[[#This Row],[ID]], tblSeverityReference[ID], 0)) ), "")</f>
        <v/>
      </c>
      <c r="Z23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34" s="391" t="str">
        <f>IFERROR(IF(INDEX(tblSeverityReference[HR/IHL Violation],MATCH(tblSeverityAnalysis[[#This Row],[ID]], tblSeverityReference[ID], 0))= "", "",INDEX(tblSeverityReference[HR/IHL Violation],MATCH(tblSeverityAnalysis[[#This Row],[ID]], tblSeverityReference[ID], 0)) ), "")</f>
        <v/>
      </c>
      <c r="AB234" s="397">
        <f>IFERROR(AVERAGE(tblSeverityAnalysis[[#This Row],[SAMV]:[ASH]]), "")</f>
        <v>2.5</v>
      </c>
      <c r="AC234" s="346">
        <f>IF(SUM(tblSeverityAnalysis[[#This Row],[SAMV]:[ASH]])=0, "", MAX(tblSeverityAnalysis[[#This Row],[SAMV]:[ASH]]))</f>
        <v>3</v>
      </c>
      <c r="AD234" s="261" t="str" cm="1">
        <f t="array" ref="AD234">IFERROR(IF(tblSeverityAnalysis[[#This Row],[Severidad máxima]]="", "", _xlfn.TEXTJOIN(CHAR(10), TRUE, IF(tblSeverityAnalysis[[#This Row],[SAMV]:[ASH]]=tblSeverityAnalysis[[#This Row],[Severidad máxima]], tblSeverityAnalysis[[#Headers],[SAMV]:[ASH]], ""), "")), "")</f>
        <v>SAMV
SAL
EDU</v>
      </c>
      <c r="AE234" s="346" cm="1">
        <f t="array" ref="AE234">IFERROR(MAX(_xlfn._xlws.FILTER(tblSeverityAnalysis[[#This Row],[SAMV]:[ASH]], tblSeverityAnalysis[[#This Row],[SAMV]:[ASH]]&lt;tblSeverityAnalysis[[#This Row],[Severidad máxima]])), "")</f>
        <v>2</v>
      </c>
      <c r="AF234" s="398" t="str" cm="1">
        <f t="array" ref="AF234">IFERROR(IF(tblSeverityAnalysis[[#This Row],[2ª mayor severidad]]="", "", _xlfn.TEXTJOIN(CHAR(10), TRUE, IF(tblSeverityAnalysis[[#This Row],[SAMV]:[ASH]]=tblSeverityAnalysis[[#This Row],[2ª mayor severidad]], tblSeverityAnalysis[[#Headers],[SAMV]:[ASH]], ""), "")), "")</f>
        <v>NUT
PRO
ASH</v>
      </c>
      <c r="AG234" s="405" t="str">
        <f>IFERROR(IF(AND(tblSeverityAnalysis[[#This Row],[5]] &lt;&gt; "", tblSeverityAnalysis[[#This Row],[5]]&gt;=sectors_sev_5), "Flagged", ""), "")</f>
        <v/>
      </c>
      <c r="AH234" s="347" t="str">
        <f>IFERROR(IF(AND(tblSeverityAnalysis[[#This Row],[Severidad preliminar basada en la superposición de privaciones sectoriales]]=5, SUM(tblSeverityAnalysis[[#This Row],[ 1 ]:[ 4 ]])&gt;=sectors_sev_5), "Flagged", ""), "")</f>
        <v/>
      </c>
      <c r="AI234" s="348" t="str" cm="1">
        <f t="array" ref="AI23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3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34" s="350"/>
      <c r="AL234" s="351"/>
      <c r="AM234" s="350"/>
      <c r="AN234" s="407">
        <f>COUNTIF(tblSeverityAnalysis[[#This Row],[1 sectores en fase de severidad 5 '[modificar el umbral']]:[Marcador manual]], "Flagged")</f>
        <v>0</v>
      </c>
      <c r="AO234" s="418">
        <f>tblSeverityAnalysis[[#This Row],[Severidad preliminar basada en la superposición de privaciones sectoriales]]</f>
        <v>2</v>
      </c>
      <c r="AP234" s="417"/>
      <c r="AQ234" s="421" t="s">
        <v>876</v>
      </c>
      <c r="AR234" s="417">
        <v>3</v>
      </c>
    </row>
    <row r="235" spans="1:44" hidden="1">
      <c r="A23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VenezolanosVE1811</v>
      </c>
      <c r="B235" s="363" t="s">
        <v>536</v>
      </c>
      <c r="C235" s="323" t="s">
        <v>537</v>
      </c>
      <c r="D235" s="322" t="s">
        <v>557</v>
      </c>
      <c r="E235" s="323" t="s">
        <v>558</v>
      </c>
      <c r="F235" s="323"/>
      <c r="G235" s="324">
        <v>17623</v>
      </c>
      <c r="H235" s="324" t="s">
        <v>102</v>
      </c>
      <c r="I235" s="374">
        <v>4</v>
      </c>
      <c r="J235" s="237">
        <v>2</v>
      </c>
      <c r="K235" s="237">
        <v>3</v>
      </c>
      <c r="L235" s="237">
        <v>3</v>
      </c>
      <c r="M235" s="237">
        <v>2</v>
      </c>
      <c r="N235" s="237">
        <v>2</v>
      </c>
      <c r="O235" s="237">
        <v>2</v>
      </c>
      <c r="P235" s="237">
        <v>2</v>
      </c>
      <c r="Q235" s="382" t="str">
        <f>IF(COUNTIF(tblSeverityAnalysis[[#This Row],[SAMV]:[ASH]], 1)=0, "", COUNTIF(tblSeverityAnalysis[[#This Row],[SAMV]:[ASH]], 1))</f>
        <v/>
      </c>
      <c r="R235" s="325">
        <f>IF(COUNTIF(tblSeverityAnalysis[[#This Row],[SAMV]:[ASH]], 2)=0, "", COUNTIF(tblSeverityAnalysis[[#This Row],[SAMV]:[ASH]], 2))</f>
        <v>3</v>
      </c>
      <c r="S235" s="325">
        <f>IF(COUNTIF(tblSeverityAnalysis[[#This Row],[SAMV]:[ASH]], 3)=0, "", COUNTIF(tblSeverityAnalysis[[#This Row],[SAMV]:[ASH]], 3))</f>
        <v>2</v>
      </c>
      <c r="T235" s="325">
        <f>IF(COUNTIF(tblSeverityAnalysis[[#This Row],[SAMV]:[ASH]], 4)=0, "", COUNTIF(tblSeverityAnalysis[[#This Row],[SAMV]:[ASH]], 4))</f>
        <v>1</v>
      </c>
      <c r="U235" s="383" t="str">
        <f>IF(COUNTIF(tblSeverityAnalysis[[#This Row],[SAMV]:[ASH]], 5)=0, "", COUNTIF(tblSeverityAnalysis[[#This Row],[SAMV]:[ASH]], 5))</f>
        <v/>
      </c>
      <c r="V235" s="375" cm="1">
        <f t="array" ref="V23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3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35" s="237" t="str">
        <f>IFERROR(IF(INDEX(tblSeverityReference[Severidad de la desnutrición],MATCH(tblSeverityAnalysis[[#This Row],[ID]], tblSeverityReference[ID], 0))= "", "",INDEX(tblSeverityReference[Severidad de la desnutrición],MATCH(tblSeverityAnalysis[[#This Row],[ID]], tblSeverityReference[ID], 0)) ), "")</f>
        <v/>
      </c>
      <c r="Y235" s="349" t="str">
        <f>IFERROR(IF(INDEX(tblSeverityReference[Severidad epidémica],MATCH(tblSeverityAnalysis[[#This Row],[ID]], tblSeverityReference[ID], 0))= "", "",INDEX(tblSeverityReference[Severidad epidémica],MATCH(tblSeverityAnalysis[[#This Row],[ID]], tblSeverityReference[ID], 0)) ), "")</f>
        <v/>
      </c>
      <c r="Z23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35" s="391" t="str">
        <f>IFERROR(IF(INDEX(tblSeverityReference[HR/IHL Violation],MATCH(tblSeverityAnalysis[[#This Row],[ID]], tblSeverityReference[ID], 0))= "", "",INDEX(tblSeverityReference[HR/IHL Violation],MATCH(tblSeverityAnalysis[[#This Row],[ID]], tblSeverityReference[ID], 0)) ), "")</f>
        <v/>
      </c>
      <c r="AB235" s="397">
        <f>IFERROR(AVERAGE(tblSeverityAnalysis[[#This Row],[SAMV]:[ASH]]), "")</f>
        <v>2.6666666666666665</v>
      </c>
      <c r="AC235" s="346">
        <f>IF(SUM(tblSeverityAnalysis[[#This Row],[SAMV]:[ASH]])=0, "", MAX(tblSeverityAnalysis[[#This Row],[SAMV]:[ASH]]))</f>
        <v>4</v>
      </c>
      <c r="AD235" s="261" t="str" cm="1">
        <f t="array" ref="AD235">IFERROR(IF(tblSeverityAnalysis[[#This Row],[Severidad máxima]]="", "", _xlfn.TEXTJOIN(CHAR(10), TRUE, IF(tblSeverityAnalysis[[#This Row],[SAMV]:[ASH]]=tblSeverityAnalysis[[#This Row],[Severidad máxima]], tblSeverityAnalysis[[#Headers],[SAMV]:[ASH]], ""), "")), "")</f>
        <v>SAMV</v>
      </c>
      <c r="AE235" s="346" cm="1">
        <f t="array" ref="AE235">IFERROR(MAX(_xlfn._xlws.FILTER(tblSeverityAnalysis[[#This Row],[SAMV]:[ASH]], tblSeverityAnalysis[[#This Row],[SAMV]:[ASH]]&lt;tblSeverityAnalysis[[#This Row],[Severidad máxima]])), "")</f>
        <v>3</v>
      </c>
      <c r="AF235" s="398" t="str" cm="1">
        <f t="array" ref="AF235">IFERROR(IF(tblSeverityAnalysis[[#This Row],[2ª mayor severidad]]="", "", _xlfn.TEXTJOIN(CHAR(10), TRUE, IF(tblSeverityAnalysis[[#This Row],[SAMV]:[ASH]]=tblSeverityAnalysis[[#This Row],[2ª mayor severidad]], tblSeverityAnalysis[[#Headers],[SAMV]:[ASH]], ""), "")), "")</f>
        <v>SAL
EDU</v>
      </c>
      <c r="AG235" s="405" t="str">
        <f>IFERROR(IF(AND(tblSeverityAnalysis[[#This Row],[5]] &lt;&gt; "", tblSeverityAnalysis[[#This Row],[5]]&gt;=sectors_sev_5), "Flagged", ""), "")</f>
        <v/>
      </c>
      <c r="AH235" s="347" t="str">
        <f>IFERROR(IF(AND(tblSeverityAnalysis[[#This Row],[Severidad preliminar basada en la superposición de privaciones sectoriales]]=5, SUM(tblSeverityAnalysis[[#This Row],[ 1 ]:[ 4 ]])&gt;=sectors_sev_5), "Flagged", ""), "")</f>
        <v/>
      </c>
      <c r="AI235" s="348" t="str" cm="1">
        <f t="array" ref="AI23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3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35" s="350"/>
      <c r="AL235" s="351"/>
      <c r="AM235" s="350"/>
      <c r="AN235" s="407">
        <f>COUNTIF(tblSeverityAnalysis[[#This Row],[1 sectores en fase de severidad 5 '[modificar el umbral']]:[Marcador manual]], "Flagged")</f>
        <v>0</v>
      </c>
      <c r="AO235" s="418">
        <f>tblSeverityAnalysis[[#This Row],[Severidad preliminar basada en la superposición de privaciones sectoriales]]</f>
        <v>2</v>
      </c>
      <c r="AP235" s="417"/>
      <c r="AQ235" s="421" t="s">
        <v>876</v>
      </c>
      <c r="AR235" s="417">
        <v>3</v>
      </c>
    </row>
    <row r="236" spans="1:44" hidden="1">
      <c r="A23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VenezolanosVE1812</v>
      </c>
      <c r="B236" s="363" t="s">
        <v>536</v>
      </c>
      <c r="C236" s="323" t="s">
        <v>537</v>
      </c>
      <c r="D236" s="322" t="s">
        <v>559</v>
      </c>
      <c r="E236" s="323" t="s">
        <v>560</v>
      </c>
      <c r="F236" s="323"/>
      <c r="G236" s="324">
        <v>17601</v>
      </c>
      <c r="H236" s="324" t="s">
        <v>102</v>
      </c>
      <c r="I236" s="374">
        <v>3</v>
      </c>
      <c r="J236" s="237">
        <v>2</v>
      </c>
      <c r="K236" s="237">
        <v>3</v>
      </c>
      <c r="L236" s="237">
        <v>4</v>
      </c>
      <c r="M236" s="237">
        <v>3</v>
      </c>
      <c r="N236" s="237">
        <v>2</v>
      </c>
      <c r="O236" s="237">
        <v>3</v>
      </c>
      <c r="P236" s="237">
        <v>3</v>
      </c>
      <c r="Q236" s="382" t="str">
        <f>IF(COUNTIF(tblSeverityAnalysis[[#This Row],[SAMV]:[ASH]], 1)=0, "", COUNTIF(tblSeverityAnalysis[[#This Row],[SAMV]:[ASH]], 1))</f>
        <v/>
      </c>
      <c r="R236" s="325">
        <f>IF(COUNTIF(tblSeverityAnalysis[[#This Row],[SAMV]:[ASH]], 2)=0, "", COUNTIF(tblSeverityAnalysis[[#This Row],[SAMV]:[ASH]], 2))</f>
        <v>2</v>
      </c>
      <c r="S236" s="325">
        <f>IF(COUNTIF(tblSeverityAnalysis[[#This Row],[SAMV]:[ASH]], 3)=0, "", COUNTIF(tblSeverityAnalysis[[#This Row],[SAMV]:[ASH]], 3))</f>
        <v>3</v>
      </c>
      <c r="T236" s="325">
        <f>IF(COUNTIF(tblSeverityAnalysis[[#This Row],[SAMV]:[ASH]], 4)=0, "", COUNTIF(tblSeverityAnalysis[[#This Row],[SAMV]:[ASH]], 4))</f>
        <v>1</v>
      </c>
      <c r="U236" s="383" t="str">
        <f>IF(COUNTIF(tblSeverityAnalysis[[#This Row],[SAMV]:[ASH]], 5)=0, "", COUNTIF(tblSeverityAnalysis[[#This Row],[SAMV]:[ASH]], 5))</f>
        <v/>
      </c>
      <c r="V236" s="375" cm="1">
        <f t="array" ref="V23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3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36" s="237" t="str">
        <f>IFERROR(IF(INDEX(tblSeverityReference[Severidad de la desnutrición],MATCH(tblSeverityAnalysis[[#This Row],[ID]], tblSeverityReference[ID], 0))= "", "",INDEX(tblSeverityReference[Severidad de la desnutrición],MATCH(tblSeverityAnalysis[[#This Row],[ID]], tblSeverityReference[ID], 0)) ), "")</f>
        <v/>
      </c>
      <c r="Y236" s="349" t="str">
        <f>IFERROR(IF(INDEX(tblSeverityReference[Severidad epidémica],MATCH(tblSeverityAnalysis[[#This Row],[ID]], tblSeverityReference[ID], 0))= "", "",INDEX(tblSeverityReference[Severidad epidémica],MATCH(tblSeverityAnalysis[[#This Row],[ID]], tblSeverityReference[ID], 0)) ), "")</f>
        <v/>
      </c>
      <c r="Z23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36" s="391" t="str">
        <f>IFERROR(IF(INDEX(tblSeverityReference[HR/IHL Violation],MATCH(tblSeverityAnalysis[[#This Row],[ID]], tblSeverityReference[ID], 0))= "", "",INDEX(tblSeverityReference[HR/IHL Violation],MATCH(tblSeverityAnalysis[[#This Row],[ID]], tblSeverityReference[ID], 0)) ), "")</f>
        <v/>
      </c>
      <c r="AB236" s="397">
        <f>IFERROR(AVERAGE(tblSeverityAnalysis[[#This Row],[SAMV]:[ASH]]), "")</f>
        <v>2.8333333333333335</v>
      </c>
      <c r="AC236" s="346">
        <f>IF(SUM(tblSeverityAnalysis[[#This Row],[SAMV]:[ASH]])=0, "", MAX(tblSeverityAnalysis[[#This Row],[SAMV]:[ASH]]))</f>
        <v>4</v>
      </c>
      <c r="AD236" s="261" t="str" cm="1">
        <f t="array" ref="AD236">IFERROR(IF(tblSeverityAnalysis[[#This Row],[Severidad máxima]]="", "", _xlfn.TEXTJOIN(CHAR(10), TRUE, IF(tblSeverityAnalysis[[#This Row],[SAMV]:[ASH]]=tblSeverityAnalysis[[#This Row],[Severidad máxima]], tblSeverityAnalysis[[#Headers],[SAMV]:[ASH]], ""), "")), "")</f>
        <v>EDU</v>
      </c>
      <c r="AE236" s="346" cm="1">
        <f t="array" ref="AE236">IFERROR(MAX(_xlfn._xlws.FILTER(tblSeverityAnalysis[[#This Row],[SAMV]:[ASH]], tblSeverityAnalysis[[#This Row],[SAMV]:[ASH]]&lt;tblSeverityAnalysis[[#This Row],[Severidad máxima]])), "")</f>
        <v>3</v>
      </c>
      <c r="AF236" s="398" t="str" cm="1">
        <f t="array" ref="AF236">IFERROR(IF(tblSeverityAnalysis[[#This Row],[2ª mayor severidad]]="", "", _xlfn.TEXTJOIN(CHAR(10), TRUE, IF(tblSeverityAnalysis[[#This Row],[SAMV]:[ASH]]=tblSeverityAnalysis[[#This Row],[2ª mayor severidad]], tblSeverityAnalysis[[#Headers],[SAMV]:[ASH]], ""), "")), "")</f>
        <v>SAMV
SAL
PRO</v>
      </c>
      <c r="AG236" s="405" t="str">
        <f>IFERROR(IF(AND(tblSeverityAnalysis[[#This Row],[5]] &lt;&gt; "", tblSeverityAnalysis[[#This Row],[5]]&gt;=sectors_sev_5), "Flagged", ""), "")</f>
        <v/>
      </c>
      <c r="AH236" s="347" t="str">
        <f>IFERROR(IF(AND(tblSeverityAnalysis[[#This Row],[Severidad preliminar basada en la superposición de privaciones sectoriales]]=5, SUM(tblSeverityAnalysis[[#This Row],[ 1 ]:[ 4 ]])&gt;=sectors_sev_5), "Flagged", ""), "")</f>
        <v/>
      </c>
      <c r="AI236" s="348" t="str" cm="1">
        <f t="array" ref="AI23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3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36" s="350"/>
      <c r="AL236" s="351"/>
      <c r="AM236" s="350"/>
      <c r="AN236" s="407">
        <f>COUNTIF(tblSeverityAnalysis[[#This Row],[1 sectores en fase de severidad 5 '[modificar el umbral']]:[Marcador manual]], "Flagged")</f>
        <v>0</v>
      </c>
      <c r="AO236" s="418">
        <f>tblSeverityAnalysis[[#This Row],[Severidad preliminar basada en la superposición de privaciones sectoriales]]</f>
        <v>3</v>
      </c>
      <c r="AP236" s="417"/>
      <c r="AQ236" s="421" t="s">
        <v>876</v>
      </c>
      <c r="AR236" s="417">
        <v>3</v>
      </c>
    </row>
    <row r="237" spans="1:44" hidden="1">
      <c r="A23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VenezolanosVE1813</v>
      </c>
      <c r="B237" s="363" t="s">
        <v>536</v>
      </c>
      <c r="C237" s="323" t="s">
        <v>537</v>
      </c>
      <c r="D237" s="322" t="s">
        <v>203</v>
      </c>
      <c r="E237" s="323" t="s">
        <v>561</v>
      </c>
      <c r="F237" s="323"/>
      <c r="G237" s="324">
        <v>41037</v>
      </c>
      <c r="H237" s="324" t="s">
        <v>102</v>
      </c>
      <c r="I237" s="374">
        <v>4</v>
      </c>
      <c r="J237" s="237">
        <v>2</v>
      </c>
      <c r="K237" s="237">
        <v>3</v>
      </c>
      <c r="L237" s="237">
        <v>3</v>
      </c>
      <c r="M237" s="237">
        <v>2</v>
      </c>
      <c r="N237" s="237">
        <v>2</v>
      </c>
      <c r="O237" s="237">
        <v>2</v>
      </c>
      <c r="P237" s="237">
        <v>2</v>
      </c>
      <c r="Q237" s="382" t="str">
        <f>IF(COUNTIF(tblSeverityAnalysis[[#This Row],[SAMV]:[ASH]], 1)=0, "", COUNTIF(tblSeverityAnalysis[[#This Row],[SAMV]:[ASH]], 1))</f>
        <v/>
      </c>
      <c r="R237" s="325">
        <f>IF(COUNTIF(tblSeverityAnalysis[[#This Row],[SAMV]:[ASH]], 2)=0, "", COUNTIF(tblSeverityAnalysis[[#This Row],[SAMV]:[ASH]], 2))</f>
        <v>3</v>
      </c>
      <c r="S237" s="325">
        <f>IF(COUNTIF(tblSeverityAnalysis[[#This Row],[SAMV]:[ASH]], 3)=0, "", COUNTIF(tblSeverityAnalysis[[#This Row],[SAMV]:[ASH]], 3))</f>
        <v>2</v>
      </c>
      <c r="T237" s="325">
        <f>IF(COUNTIF(tblSeverityAnalysis[[#This Row],[SAMV]:[ASH]], 4)=0, "", COUNTIF(tblSeverityAnalysis[[#This Row],[SAMV]:[ASH]], 4))</f>
        <v>1</v>
      </c>
      <c r="U237" s="383" t="str">
        <f>IF(COUNTIF(tblSeverityAnalysis[[#This Row],[SAMV]:[ASH]], 5)=0, "", COUNTIF(tblSeverityAnalysis[[#This Row],[SAMV]:[ASH]], 5))</f>
        <v/>
      </c>
      <c r="V237" s="375" cm="1">
        <f t="array" ref="V23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3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37" s="237" t="str">
        <f>IFERROR(IF(INDEX(tblSeverityReference[Severidad de la desnutrición],MATCH(tblSeverityAnalysis[[#This Row],[ID]], tblSeverityReference[ID], 0))= "", "",INDEX(tblSeverityReference[Severidad de la desnutrición],MATCH(tblSeverityAnalysis[[#This Row],[ID]], tblSeverityReference[ID], 0)) ), "")</f>
        <v/>
      </c>
      <c r="Y237" s="349" t="str">
        <f>IFERROR(IF(INDEX(tblSeverityReference[Severidad epidémica],MATCH(tblSeverityAnalysis[[#This Row],[ID]], tblSeverityReference[ID], 0))= "", "",INDEX(tblSeverityReference[Severidad epidémica],MATCH(tblSeverityAnalysis[[#This Row],[ID]], tblSeverityReference[ID], 0)) ), "")</f>
        <v/>
      </c>
      <c r="Z23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37" s="391" t="str">
        <f>IFERROR(IF(INDEX(tblSeverityReference[HR/IHL Violation],MATCH(tblSeverityAnalysis[[#This Row],[ID]], tblSeverityReference[ID], 0))= "", "",INDEX(tblSeverityReference[HR/IHL Violation],MATCH(tblSeverityAnalysis[[#This Row],[ID]], tblSeverityReference[ID], 0)) ), "")</f>
        <v/>
      </c>
      <c r="AB237" s="397">
        <f>IFERROR(AVERAGE(tblSeverityAnalysis[[#This Row],[SAMV]:[ASH]]), "")</f>
        <v>2.6666666666666665</v>
      </c>
      <c r="AC237" s="346">
        <f>IF(SUM(tblSeverityAnalysis[[#This Row],[SAMV]:[ASH]])=0, "", MAX(tblSeverityAnalysis[[#This Row],[SAMV]:[ASH]]))</f>
        <v>4</v>
      </c>
      <c r="AD237" s="261" t="str" cm="1">
        <f t="array" ref="AD237">IFERROR(IF(tblSeverityAnalysis[[#This Row],[Severidad máxima]]="", "", _xlfn.TEXTJOIN(CHAR(10), TRUE, IF(tblSeverityAnalysis[[#This Row],[SAMV]:[ASH]]=tblSeverityAnalysis[[#This Row],[Severidad máxima]], tblSeverityAnalysis[[#Headers],[SAMV]:[ASH]], ""), "")), "")</f>
        <v>SAMV</v>
      </c>
      <c r="AE237" s="346" cm="1">
        <f t="array" ref="AE237">IFERROR(MAX(_xlfn._xlws.FILTER(tblSeverityAnalysis[[#This Row],[SAMV]:[ASH]], tblSeverityAnalysis[[#This Row],[SAMV]:[ASH]]&lt;tblSeverityAnalysis[[#This Row],[Severidad máxima]])), "")</f>
        <v>3</v>
      </c>
      <c r="AF237" s="398" t="str" cm="1">
        <f t="array" ref="AF237">IFERROR(IF(tblSeverityAnalysis[[#This Row],[2ª mayor severidad]]="", "", _xlfn.TEXTJOIN(CHAR(10), TRUE, IF(tblSeverityAnalysis[[#This Row],[SAMV]:[ASH]]=tblSeverityAnalysis[[#This Row],[2ª mayor severidad]], tblSeverityAnalysis[[#Headers],[SAMV]:[ASH]], ""), "")), "")</f>
        <v>SAL
EDU</v>
      </c>
      <c r="AG237" s="405" t="str">
        <f>IFERROR(IF(AND(tblSeverityAnalysis[[#This Row],[5]] &lt;&gt; "", tblSeverityAnalysis[[#This Row],[5]]&gt;=sectors_sev_5), "Flagged", ""), "")</f>
        <v/>
      </c>
      <c r="AH237" s="347" t="str">
        <f>IFERROR(IF(AND(tblSeverityAnalysis[[#This Row],[Severidad preliminar basada en la superposición de privaciones sectoriales]]=5, SUM(tblSeverityAnalysis[[#This Row],[ 1 ]:[ 4 ]])&gt;=sectors_sev_5), "Flagged", ""), "")</f>
        <v/>
      </c>
      <c r="AI237" s="348" t="str" cm="1">
        <f t="array" ref="AI23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3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37" s="350"/>
      <c r="AL237" s="351"/>
      <c r="AM237" s="350"/>
      <c r="AN237" s="407">
        <f>COUNTIF(tblSeverityAnalysis[[#This Row],[1 sectores en fase de severidad 5 '[modificar el umbral']]:[Marcador manual]], "Flagged")</f>
        <v>0</v>
      </c>
      <c r="AO237" s="418">
        <f>tblSeverityAnalysis[[#This Row],[Severidad preliminar basada en la superposición de privaciones sectoriales]]</f>
        <v>2</v>
      </c>
      <c r="AP237" s="417"/>
      <c r="AQ237" s="421" t="s">
        <v>876</v>
      </c>
      <c r="AR237" s="417">
        <v>3</v>
      </c>
    </row>
    <row r="238" spans="1:44" hidden="1">
      <c r="A23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VenezolanosVE1814</v>
      </c>
      <c r="B238" s="363" t="s">
        <v>536</v>
      </c>
      <c r="C238" s="323" t="s">
        <v>537</v>
      </c>
      <c r="D238" s="322" t="s">
        <v>562</v>
      </c>
      <c r="E238" s="323" t="s">
        <v>563</v>
      </c>
      <c r="F238" s="323"/>
      <c r="G238" s="324">
        <v>62947</v>
      </c>
      <c r="H238" s="324" t="s">
        <v>102</v>
      </c>
      <c r="I238" s="374">
        <v>3</v>
      </c>
      <c r="J238" s="237">
        <v>2</v>
      </c>
      <c r="K238" s="237">
        <v>3</v>
      </c>
      <c r="L238" s="237">
        <v>3</v>
      </c>
      <c r="M238" s="237">
        <v>4</v>
      </c>
      <c r="N238" s="237">
        <v>2</v>
      </c>
      <c r="O238" s="237">
        <v>4</v>
      </c>
      <c r="P238" s="237">
        <v>4</v>
      </c>
      <c r="Q238" s="382" t="str">
        <f>IF(COUNTIF(tblSeverityAnalysis[[#This Row],[SAMV]:[ASH]], 1)=0, "", COUNTIF(tblSeverityAnalysis[[#This Row],[SAMV]:[ASH]], 1))</f>
        <v/>
      </c>
      <c r="R238" s="325">
        <f>IF(COUNTIF(tblSeverityAnalysis[[#This Row],[SAMV]:[ASH]], 2)=0, "", COUNTIF(tblSeverityAnalysis[[#This Row],[SAMV]:[ASH]], 2))</f>
        <v>2</v>
      </c>
      <c r="S238" s="325">
        <f>IF(COUNTIF(tblSeverityAnalysis[[#This Row],[SAMV]:[ASH]], 3)=0, "", COUNTIF(tblSeverityAnalysis[[#This Row],[SAMV]:[ASH]], 3))</f>
        <v>3</v>
      </c>
      <c r="T238" s="325">
        <f>IF(COUNTIF(tblSeverityAnalysis[[#This Row],[SAMV]:[ASH]], 4)=0, "", COUNTIF(tblSeverityAnalysis[[#This Row],[SAMV]:[ASH]], 4))</f>
        <v>1</v>
      </c>
      <c r="U238" s="383" t="str">
        <f>IF(COUNTIF(tblSeverityAnalysis[[#This Row],[SAMV]:[ASH]], 5)=0, "", COUNTIF(tblSeverityAnalysis[[#This Row],[SAMV]:[ASH]], 5))</f>
        <v/>
      </c>
      <c r="V238" s="375" cm="1">
        <f t="array" ref="V23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3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38" s="237" t="str">
        <f>IFERROR(IF(INDEX(tblSeverityReference[Severidad de la desnutrición],MATCH(tblSeverityAnalysis[[#This Row],[ID]], tblSeverityReference[ID], 0))= "", "",INDEX(tblSeverityReference[Severidad de la desnutrición],MATCH(tblSeverityAnalysis[[#This Row],[ID]], tblSeverityReference[ID], 0)) ), "")</f>
        <v/>
      </c>
      <c r="Y238" s="349" t="str">
        <f>IFERROR(IF(INDEX(tblSeverityReference[Severidad epidémica],MATCH(tblSeverityAnalysis[[#This Row],[ID]], tblSeverityReference[ID], 0))= "", "",INDEX(tblSeverityReference[Severidad epidémica],MATCH(tblSeverityAnalysis[[#This Row],[ID]], tblSeverityReference[ID], 0)) ), "")</f>
        <v/>
      </c>
      <c r="Z23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38" s="391" t="str">
        <f>IFERROR(IF(INDEX(tblSeverityReference[HR/IHL Violation],MATCH(tblSeverityAnalysis[[#This Row],[ID]], tblSeverityReference[ID], 0))= "", "",INDEX(tblSeverityReference[HR/IHL Violation],MATCH(tblSeverityAnalysis[[#This Row],[ID]], tblSeverityReference[ID], 0)) ), "")</f>
        <v/>
      </c>
      <c r="AB238" s="397">
        <f>IFERROR(AVERAGE(tblSeverityAnalysis[[#This Row],[SAMV]:[ASH]]), "")</f>
        <v>2.8333333333333335</v>
      </c>
      <c r="AC238" s="346">
        <f>IF(SUM(tblSeverityAnalysis[[#This Row],[SAMV]:[ASH]])=0, "", MAX(tblSeverityAnalysis[[#This Row],[SAMV]:[ASH]]))</f>
        <v>4</v>
      </c>
      <c r="AD238" s="261" t="str" cm="1">
        <f t="array" ref="AD238">IFERROR(IF(tblSeverityAnalysis[[#This Row],[Severidad máxima]]="", "", _xlfn.TEXTJOIN(CHAR(10), TRUE, IF(tblSeverityAnalysis[[#This Row],[SAMV]:[ASH]]=tblSeverityAnalysis[[#This Row],[Severidad máxima]], tblSeverityAnalysis[[#Headers],[SAMV]:[ASH]], ""), "")), "")</f>
        <v>PRO</v>
      </c>
      <c r="AE238" s="346" cm="1">
        <f t="array" ref="AE238">IFERROR(MAX(_xlfn._xlws.FILTER(tblSeverityAnalysis[[#This Row],[SAMV]:[ASH]], tblSeverityAnalysis[[#This Row],[SAMV]:[ASH]]&lt;tblSeverityAnalysis[[#This Row],[Severidad máxima]])), "")</f>
        <v>3</v>
      </c>
      <c r="AF238" s="398" t="str" cm="1">
        <f t="array" ref="AF238">IFERROR(IF(tblSeverityAnalysis[[#This Row],[2ª mayor severidad]]="", "", _xlfn.TEXTJOIN(CHAR(10), TRUE, IF(tblSeverityAnalysis[[#This Row],[SAMV]:[ASH]]=tblSeverityAnalysis[[#This Row],[2ª mayor severidad]], tblSeverityAnalysis[[#Headers],[SAMV]:[ASH]], ""), "")), "")</f>
        <v>SAMV
SAL
EDU</v>
      </c>
      <c r="AG238" s="405" t="str">
        <f>IFERROR(IF(AND(tblSeverityAnalysis[[#This Row],[5]] &lt;&gt; "", tblSeverityAnalysis[[#This Row],[5]]&gt;=sectors_sev_5), "Flagged", ""), "")</f>
        <v/>
      </c>
      <c r="AH238" s="347" t="str">
        <f>IFERROR(IF(AND(tblSeverityAnalysis[[#This Row],[Severidad preliminar basada en la superposición de privaciones sectoriales]]=5, SUM(tblSeverityAnalysis[[#This Row],[ 1 ]:[ 4 ]])&gt;=sectors_sev_5), "Flagged", ""), "")</f>
        <v/>
      </c>
      <c r="AI238" s="348" t="str" cm="1">
        <f t="array" ref="AI23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3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38" s="350"/>
      <c r="AL238" s="351"/>
      <c r="AM238" s="350"/>
      <c r="AN238" s="407">
        <f>COUNTIF(tblSeverityAnalysis[[#This Row],[1 sectores en fase de severidad 5 '[modificar el umbral']]:[Marcador manual]], "Flagged")</f>
        <v>0</v>
      </c>
      <c r="AO238" s="418">
        <f>tblSeverityAnalysis[[#This Row],[Severidad preliminar basada en la superposición de privaciones sectoriales]]</f>
        <v>3</v>
      </c>
      <c r="AP238" s="417"/>
      <c r="AQ238" s="421" t="s">
        <v>876</v>
      </c>
      <c r="AR238" s="417">
        <v>3</v>
      </c>
    </row>
    <row r="239" spans="1:44" hidden="1">
      <c r="A23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VenezolanosVE1901</v>
      </c>
      <c r="B239" s="363" t="s">
        <v>203</v>
      </c>
      <c r="C239" s="323" t="s">
        <v>564</v>
      </c>
      <c r="D239" s="322" t="s">
        <v>237</v>
      </c>
      <c r="E239" s="323" t="s">
        <v>565</v>
      </c>
      <c r="F239" s="323"/>
      <c r="G239" s="324">
        <v>25652</v>
      </c>
      <c r="H239" s="324" t="s">
        <v>102</v>
      </c>
      <c r="I239" s="374">
        <v>4</v>
      </c>
      <c r="J239" s="237">
        <v>2</v>
      </c>
      <c r="K239" s="237">
        <v>4</v>
      </c>
      <c r="L239" s="237">
        <v>3</v>
      </c>
      <c r="M239" s="237">
        <v>3</v>
      </c>
      <c r="N239" s="237">
        <v>3</v>
      </c>
      <c r="O239" s="237">
        <v>3</v>
      </c>
      <c r="P239" s="237">
        <v>3</v>
      </c>
      <c r="Q239" s="382" t="str">
        <f>IF(COUNTIF(tblSeverityAnalysis[[#This Row],[SAMV]:[ASH]], 1)=0, "", COUNTIF(tblSeverityAnalysis[[#This Row],[SAMV]:[ASH]], 1))</f>
        <v/>
      </c>
      <c r="R239" s="325">
        <f>IF(COUNTIF(tblSeverityAnalysis[[#This Row],[SAMV]:[ASH]], 2)=0, "", COUNTIF(tblSeverityAnalysis[[#This Row],[SAMV]:[ASH]], 2))</f>
        <v>1</v>
      </c>
      <c r="S239" s="325">
        <f>IF(COUNTIF(tblSeverityAnalysis[[#This Row],[SAMV]:[ASH]], 3)=0, "", COUNTIF(tblSeverityAnalysis[[#This Row],[SAMV]:[ASH]], 3))</f>
        <v>3</v>
      </c>
      <c r="T239" s="325">
        <f>IF(COUNTIF(tblSeverityAnalysis[[#This Row],[SAMV]:[ASH]], 4)=0, "", COUNTIF(tblSeverityAnalysis[[#This Row],[SAMV]:[ASH]], 4))</f>
        <v>2</v>
      </c>
      <c r="U239" s="383" t="str">
        <f>IF(COUNTIF(tblSeverityAnalysis[[#This Row],[SAMV]:[ASH]], 5)=0, "", COUNTIF(tblSeverityAnalysis[[#This Row],[SAMV]:[ASH]], 5))</f>
        <v/>
      </c>
      <c r="V239" s="375" cm="1">
        <f t="array" ref="V23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3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39" s="237" t="str">
        <f>IFERROR(IF(INDEX(tblSeverityReference[Severidad de la desnutrición],MATCH(tblSeverityAnalysis[[#This Row],[ID]], tblSeverityReference[ID], 0))= "", "",INDEX(tblSeverityReference[Severidad de la desnutrición],MATCH(tblSeverityAnalysis[[#This Row],[ID]], tblSeverityReference[ID], 0)) ), "")</f>
        <v/>
      </c>
      <c r="Y239" s="349" t="str">
        <f>IFERROR(IF(INDEX(tblSeverityReference[Severidad epidémica],MATCH(tblSeverityAnalysis[[#This Row],[ID]], tblSeverityReference[ID], 0))= "", "",INDEX(tblSeverityReference[Severidad epidémica],MATCH(tblSeverityAnalysis[[#This Row],[ID]], tblSeverityReference[ID], 0)) ), "")</f>
        <v/>
      </c>
      <c r="Z23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39" s="391" t="str">
        <f>IFERROR(IF(INDEX(tblSeverityReference[HR/IHL Violation],MATCH(tblSeverityAnalysis[[#This Row],[ID]], tblSeverityReference[ID], 0))= "", "",INDEX(tblSeverityReference[HR/IHL Violation],MATCH(tblSeverityAnalysis[[#This Row],[ID]], tblSeverityReference[ID], 0)) ), "")</f>
        <v/>
      </c>
      <c r="AB239" s="397">
        <f>IFERROR(AVERAGE(tblSeverityAnalysis[[#This Row],[SAMV]:[ASH]]), "")</f>
        <v>3.1666666666666665</v>
      </c>
      <c r="AC239" s="346">
        <f>IF(SUM(tblSeverityAnalysis[[#This Row],[SAMV]:[ASH]])=0, "", MAX(tblSeverityAnalysis[[#This Row],[SAMV]:[ASH]]))</f>
        <v>4</v>
      </c>
      <c r="AD239" s="261" t="str" cm="1">
        <f t="array" ref="AD239">IFERROR(IF(tblSeverityAnalysis[[#This Row],[Severidad máxima]]="", "", _xlfn.TEXTJOIN(CHAR(10), TRUE, IF(tblSeverityAnalysis[[#This Row],[SAMV]:[ASH]]=tblSeverityAnalysis[[#This Row],[Severidad máxima]], tblSeverityAnalysis[[#Headers],[SAMV]:[ASH]], ""), "")), "")</f>
        <v>SAMV
SAL</v>
      </c>
      <c r="AE239" s="346" cm="1">
        <f t="array" ref="AE239">IFERROR(MAX(_xlfn._xlws.FILTER(tblSeverityAnalysis[[#This Row],[SAMV]:[ASH]], tblSeverityAnalysis[[#This Row],[SAMV]:[ASH]]&lt;tblSeverityAnalysis[[#This Row],[Severidad máxima]])), "")</f>
        <v>3</v>
      </c>
      <c r="AF239" s="398" t="str" cm="1">
        <f t="array" ref="AF239">IFERROR(IF(tblSeverityAnalysis[[#This Row],[2ª mayor severidad]]="", "", _xlfn.TEXTJOIN(CHAR(10), TRUE, IF(tblSeverityAnalysis[[#This Row],[SAMV]:[ASH]]=tblSeverityAnalysis[[#This Row],[2ª mayor severidad]], tblSeverityAnalysis[[#Headers],[SAMV]:[ASH]], ""), "")), "")</f>
        <v>EDU
PRO
ASH</v>
      </c>
      <c r="AG239" s="405" t="str">
        <f>IFERROR(IF(AND(tblSeverityAnalysis[[#This Row],[5]] &lt;&gt; "", tblSeverityAnalysis[[#This Row],[5]]&gt;=sectors_sev_5), "Flagged", ""), "")</f>
        <v/>
      </c>
      <c r="AH239" s="347" t="str">
        <f>IFERROR(IF(AND(tblSeverityAnalysis[[#This Row],[Severidad preliminar basada en la superposición de privaciones sectoriales]]=5, SUM(tblSeverityAnalysis[[#This Row],[ 1 ]:[ 4 ]])&gt;=sectors_sev_5), "Flagged", ""), "")</f>
        <v/>
      </c>
      <c r="AI239" s="348" t="str" cm="1">
        <f t="array" ref="AI23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3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39" s="350"/>
      <c r="AL239" s="351"/>
      <c r="AM239" s="350"/>
      <c r="AN239" s="407">
        <f>COUNTIF(tblSeverityAnalysis[[#This Row],[1 sectores en fase de severidad 5 '[modificar el umbral']]:[Marcador manual]], "Flagged")</f>
        <v>0</v>
      </c>
      <c r="AO239" s="418">
        <f>tblSeverityAnalysis[[#This Row],[Severidad preliminar basada en la superposición de privaciones sectoriales]]</f>
        <v>3</v>
      </c>
      <c r="AP239" s="417"/>
      <c r="AQ239" s="421" t="s">
        <v>876</v>
      </c>
      <c r="AR239" s="417">
        <v>3</v>
      </c>
    </row>
    <row r="240" spans="1:44" hidden="1">
      <c r="A24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VenezolanosVE1902</v>
      </c>
      <c r="B240" s="363" t="s">
        <v>203</v>
      </c>
      <c r="C240" s="323" t="s">
        <v>564</v>
      </c>
      <c r="D240" s="322" t="s">
        <v>566</v>
      </c>
      <c r="E240" s="323" t="s">
        <v>567</v>
      </c>
      <c r="F240" s="323"/>
      <c r="G240" s="324">
        <v>20073</v>
      </c>
      <c r="H240" s="324" t="s">
        <v>102</v>
      </c>
      <c r="I240" s="374">
        <v>3</v>
      </c>
      <c r="J240" s="237">
        <v>2</v>
      </c>
      <c r="K240" s="237">
        <v>3</v>
      </c>
      <c r="L240" s="237">
        <v>2</v>
      </c>
      <c r="M240" s="237">
        <v>4</v>
      </c>
      <c r="N240" s="237">
        <v>2</v>
      </c>
      <c r="O240" s="237">
        <v>4</v>
      </c>
      <c r="P240" s="237">
        <v>4</v>
      </c>
      <c r="Q240" s="382" t="str">
        <f>IF(COUNTIF(tblSeverityAnalysis[[#This Row],[SAMV]:[ASH]], 1)=0, "", COUNTIF(tblSeverityAnalysis[[#This Row],[SAMV]:[ASH]], 1))</f>
        <v/>
      </c>
      <c r="R240" s="325">
        <f>IF(COUNTIF(tblSeverityAnalysis[[#This Row],[SAMV]:[ASH]], 2)=0, "", COUNTIF(tblSeverityAnalysis[[#This Row],[SAMV]:[ASH]], 2))</f>
        <v>3</v>
      </c>
      <c r="S240" s="325">
        <f>IF(COUNTIF(tblSeverityAnalysis[[#This Row],[SAMV]:[ASH]], 3)=0, "", COUNTIF(tblSeverityAnalysis[[#This Row],[SAMV]:[ASH]], 3))</f>
        <v>2</v>
      </c>
      <c r="T240" s="325">
        <f>IF(COUNTIF(tblSeverityAnalysis[[#This Row],[SAMV]:[ASH]], 4)=0, "", COUNTIF(tblSeverityAnalysis[[#This Row],[SAMV]:[ASH]], 4))</f>
        <v>1</v>
      </c>
      <c r="U240" s="383" t="str">
        <f>IF(COUNTIF(tblSeverityAnalysis[[#This Row],[SAMV]:[ASH]], 5)=0, "", COUNTIF(tblSeverityAnalysis[[#This Row],[SAMV]:[ASH]], 5))</f>
        <v/>
      </c>
      <c r="V240" s="375" cm="1">
        <f t="array" ref="V24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4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40" s="237" t="str">
        <f>IFERROR(IF(INDEX(tblSeverityReference[Severidad de la desnutrición],MATCH(tblSeverityAnalysis[[#This Row],[ID]], tblSeverityReference[ID], 0))= "", "",INDEX(tblSeverityReference[Severidad de la desnutrición],MATCH(tblSeverityAnalysis[[#This Row],[ID]], tblSeverityReference[ID], 0)) ), "")</f>
        <v/>
      </c>
      <c r="Y240" s="349" t="str">
        <f>IFERROR(IF(INDEX(tblSeverityReference[Severidad epidémica],MATCH(tblSeverityAnalysis[[#This Row],[ID]], tblSeverityReference[ID], 0))= "", "",INDEX(tblSeverityReference[Severidad epidémica],MATCH(tblSeverityAnalysis[[#This Row],[ID]], tblSeverityReference[ID], 0)) ), "")</f>
        <v/>
      </c>
      <c r="Z24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40" s="391" t="str">
        <f>IFERROR(IF(INDEX(tblSeverityReference[HR/IHL Violation],MATCH(tblSeverityAnalysis[[#This Row],[ID]], tblSeverityReference[ID], 0))= "", "",INDEX(tblSeverityReference[HR/IHL Violation],MATCH(tblSeverityAnalysis[[#This Row],[ID]], tblSeverityReference[ID], 0)) ), "")</f>
        <v/>
      </c>
      <c r="AB240" s="397">
        <f>IFERROR(AVERAGE(tblSeverityAnalysis[[#This Row],[SAMV]:[ASH]]), "")</f>
        <v>2.6666666666666665</v>
      </c>
      <c r="AC240" s="346">
        <f>IF(SUM(tblSeverityAnalysis[[#This Row],[SAMV]:[ASH]])=0, "", MAX(tblSeverityAnalysis[[#This Row],[SAMV]:[ASH]]))</f>
        <v>4</v>
      </c>
      <c r="AD240" s="261" t="str" cm="1">
        <f t="array" ref="AD240">IFERROR(IF(tblSeverityAnalysis[[#This Row],[Severidad máxima]]="", "", _xlfn.TEXTJOIN(CHAR(10), TRUE, IF(tblSeverityAnalysis[[#This Row],[SAMV]:[ASH]]=tblSeverityAnalysis[[#This Row],[Severidad máxima]], tblSeverityAnalysis[[#Headers],[SAMV]:[ASH]], ""), "")), "")</f>
        <v>PRO</v>
      </c>
      <c r="AE240" s="346" cm="1">
        <f t="array" ref="AE240">IFERROR(MAX(_xlfn._xlws.FILTER(tblSeverityAnalysis[[#This Row],[SAMV]:[ASH]], tblSeverityAnalysis[[#This Row],[SAMV]:[ASH]]&lt;tblSeverityAnalysis[[#This Row],[Severidad máxima]])), "")</f>
        <v>3</v>
      </c>
      <c r="AF240" s="398" t="str" cm="1">
        <f t="array" ref="AF240">IFERROR(IF(tblSeverityAnalysis[[#This Row],[2ª mayor severidad]]="", "", _xlfn.TEXTJOIN(CHAR(10), TRUE, IF(tblSeverityAnalysis[[#This Row],[SAMV]:[ASH]]=tblSeverityAnalysis[[#This Row],[2ª mayor severidad]], tblSeverityAnalysis[[#Headers],[SAMV]:[ASH]], ""), "")), "")</f>
        <v>SAMV
SAL</v>
      </c>
      <c r="AG240" s="405" t="str">
        <f>IFERROR(IF(AND(tblSeverityAnalysis[[#This Row],[5]] &lt;&gt; "", tblSeverityAnalysis[[#This Row],[5]]&gt;=sectors_sev_5), "Flagged", ""), "")</f>
        <v/>
      </c>
      <c r="AH240" s="347" t="str">
        <f>IFERROR(IF(AND(tblSeverityAnalysis[[#This Row],[Severidad preliminar basada en la superposición de privaciones sectoriales]]=5, SUM(tblSeverityAnalysis[[#This Row],[ 1 ]:[ 4 ]])&gt;=sectors_sev_5), "Flagged", ""), "")</f>
        <v/>
      </c>
      <c r="AI240" s="348" t="str" cm="1">
        <f t="array" ref="AI24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4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40" s="350"/>
      <c r="AL240" s="351"/>
      <c r="AM240" s="350"/>
      <c r="AN240" s="407">
        <f>COUNTIF(tblSeverityAnalysis[[#This Row],[1 sectores en fase de severidad 5 '[modificar el umbral']]:[Marcador manual]], "Flagged")</f>
        <v>0</v>
      </c>
      <c r="AO240" s="418">
        <f>tblSeverityAnalysis[[#This Row],[Severidad preliminar basada en la superposición de privaciones sectoriales]]</f>
        <v>2</v>
      </c>
      <c r="AP240" s="417"/>
      <c r="AQ240" s="421" t="s">
        <v>876</v>
      </c>
      <c r="AR240" s="417">
        <v>3</v>
      </c>
    </row>
    <row r="241" spans="1:44" hidden="1">
      <c r="A24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VenezolanosVE1903</v>
      </c>
      <c r="B241" s="363" t="s">
        <v>203</v>
      </c>
      <c r="C241" s="323" t="s">
        <v>564</v>
      </c>
      <c r="D241" s="322" t="s">
        <v>221</v>
      </c>
      <c r="E241" s="323" t="s">
        <v>568</v>
      </c>
      <c r="F241" s="323"/>
      <c r="G241" s="324">
        <v>47200</v>
      </c>
      <c r="H241" s="324" t="s">
        <v>102</v>
      </c>
      <c r="I241" s="374">
        <v>4</v>
      </c>
      <c r="J241" s="237">
        <v>2</v>
      </c>
      <c r="K241" s="237">
        <v>4</v>
      </c>
      <c r="L241" s="237">
        <v>3</v>
      </c>
      <c r="M241" s="237">
        <v>4</v>
      </c>
      <c r="N241" s="237">
        <v>2</v>
      </c>
      <c r="O241" s="237">
        <v>4</v>
      </c>
      <c r="P241" s="237">
        <v>4</v>
      </c>
      <c r="Q241" s="382" t="str">
        <f>IF(COUNTIF(tblSeverityAnalysis[[#This Row],[SAMV]:[ASH]], 1)=0, "", COUNTIF(tblSeverityAnalysis[[#This Row],[SAMV]:[ASH]], 1))</f>
        <v/>
      </c>
      <c r="R241" s="325">
        <f>IF(COUNTIF(tblSeverityAnalysis[[#This Row],[SAMV]:[ASH]], 2)=0, "", COUNTIF(tblSeverityAnalysis[[#This Row],[SAMV]:[ASH]], 2))</f>
        <v>2</v>
      </c>
      <c r="S241" s="325">
        <f>IF(COUNTIF(tblSeverityAnalysis[[#This Row],[SAMV]:[ASH]], 3)=0, "", COUNTIF(tblSeverityAnalysis[[#This Row],[SAMV]:[ASH]], 3))</f>
        <v>1</v>
      </c>
      <c r="T241" s="325">
        <f>IF(COUNTIF(tblSeverityAnalysis[[#This Row],[SAMV]:[ASH]], 4)=0, "", COUNTIF(tblSeverityAnalysis[[#This Row],[SAMV]:[ASH]], 4))</f>
        <v>3</v>
      </c>
      <c r="U241" s="383" t="str">
        <f>IF(COUNTIF(tblSeverityAnalysis[[#This Row],[SAMV]:[ASH]], 5)=0, "", COUNTIF(tblSeverityAnalysis[[#This Row],[SAMV]:[ASH]], 5))</f>
        <v/>
      </c>
      <c r="V241" s="375" cm="1">
        <f t="array" ref="V24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4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41" s="237" t="str">
        <f>IFERROR(IF(INDEX(tblSeverityReference[Severidad de la desnutrición],MATCH(tblSeverityAnalysis[[#This Row],[ID]], tblSeverityReference[ID], 0))= "", "",INDEX(tblSeverityReference[Severidad de la desnutrición],MATCH(tblSeverityAnalysis[[#This Row],[ID]], tblSeverityReference[ID], 0)) ), "")</f>
        <v/>
      </c>
      <c r="Y241" s="349" t="str">
        <f>IFERROR(IF(INDEX(tblSeverityReference[Severidad epidémica],MATCH(tblSeverityAnalysis[[#This Row],[ID]], tblSeverityReference[ID], 0))= "", "",INDEX(tblSeverityReference[Severidad epidémica],MATCH(tblSeverityAnalysis[[#This Row],[ID]], tblSeverityReference[ID], 0)) ), "")</f>
        <v/>
      </c>
      <c r="Z24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41" s="391" t="str">
        <f>IFERROR(IF(INDEX(tblSeverityReference[HR/IHL Violation],MATCH(tblSeverityAnalysis[[#This Row],[ID]], tblSeverityReference[ID], 0))= "", "",INDEX(tblSeverityReference[HR/IHL Violation],MATCH(tblSeverityAnalysis[[#This Row],[ID]], tblSeverityReference[ID], 0)) ), "")</f>
        <v/>
      </c>
      <c r="AB241" s="397">
        <f>IFERROR(AVERAGE(tblSeverityAnalysis[[#This Row],[SAMV]:[ASH]]), "")</f>
        <v>3.1666666666666665</v>
      </c>
      <c r="AC241" s="346">
        <f>IF(SUM(tblSeverityAnalysis[[#This Row],[SAMV]:[ASH]])=0, "", MAX(tblSeverityAnalysis[[#This Row],[SAMV]:[ASH]]))</f>
        <v>4</v>
      </c>
      <c r="AD241" s="261" t="str" cm="1">
        <f t="array" ref="AD241">IFERROR(IF(tblSeverityAnalysis[[#This Row],[Severidad máxima]]="", "", _xlfn.TEXTJOIN(CHAR(10), TRUE, IF(tblSeverityAnalysis[[#This Row],[SAMV]:[ASH]]=tblSeverityAnalysis[[#This Row],[Severidad máxima]], tblSeverityAnalysis[[#Headers],[SAMV]:[ASH]], ""), "")), "")</f>
        <v>SAMV
SAL
PRO</v>
      </c>
      <c r="AE241" s="346" cm="1">
        <f t="array" ref="AE241">IFERROR(MAX(_xlfn._xlws.FILTER(tblSeverityAnalysis[[#This Row],[SAMV]:[ASH]], tblSeverityAnalysis[[#This Row],[SAMV]:[ASH]]&lt;tblSeverityAnalysis[[#This Row],[Severidad máxima]])), "")</f>
        <v>3</v>
      </c>
      <c r="AF241" s="398" t="str" cm="1">
        <f t="array" ref="AF241">IFERROR(IF(tblSeverityAnalysis[[#This Row],[2ª mayor severidad]]="", "", _xlfn.TEXTJOIN(CHAR(10), TRUE, IF(tblSeverityAnalysis[[#This Row],[SAMV]:[ASH]]=tblSeverityAnalysis[[#This Row],[2ª mayor severidad]], tblSeverityAnalysis[[#Headers],[SAMV]:[ASH]], ""), "")), "")</f>
        <v>EDU</v>
      </c>
      <c r="AG241" s="405" t="str">
        <f>IFERROR(IF(AND(tblSeverityAnalysis[[#This Row],[5]] &lt;&gt; "", tblSeverityAnalysis[[#This Row],[5]]&gt;=sectors_sev_5), "Flagged", ""), "")</f>
        <v/>
      </c>
      <c r="AH241" s="347" t="str">
        <f>IFERROR(IF(AND(tblSeverityAnalysis[[#This Row],[Severidad preliminar basada en la superposición de privaciones sectoriales]]=5, SUM(tblSeverityAnalysis[[#This Row],[ 1 ]:[ 4 ]])&gt;=sectors_sev_5), "Flagged", ""), "")</f>
        <v/>
      </c>
      <c r="AI241" s="348" t="str" cm="1">
        <f t="array" ref="AI24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4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41" s="350"/>
      <c r="AL241" s="351"/>
      <c r="AM241" s="350"/>
      <c r="AN241" s="407">
        <f>COUNTIF(tblSeverityAnalysis[[#This Row],[1 sectores en fase de severidad 5 '[modificar el umbral']]:[Marcador manual]], "Flagged")</f>
        <v>0</v>
      </c>
      <c r="AO241" s="418">
        <f>tblSeverityAnalysis[[#This Row],[Severidad preliminar basada en la superposición de privaciones sectoriales]]</f>
        <v>3</v>
      </c>
      <c r="AP241" s="417"/>
      <c r="AQ241" s="421" t="s">
        <v>876</v>
      </c>
      <c r="AR241" s="417">
        <v>4</v>
      </c>
    </row>
    <row r="242" spans="1:44" hidden="1">
      <c r="A24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VenezolanosVE1904</v>
      </c>
      <c r="B242" s="363" t="s">
        <v>203</v>
      </c>
      <c r="C242" s="323" t="s">
        <v>564</v>
      </c>
      <c r="D242" s="322" t="s">
        <v>569</v>
      </c>
      <c r="E242" s="323" t="s">
        <v>570</v>
      </c>
      <c r="F242" s="323"/>
      <c r="G242" s="324">
        <v>31111</v>
      </c>
      <c r="H242" s="324" t="s">
        <v>102</v>
      </c>
      <c r="I242" s="374">
        <v>4</v>
      </c>
      <c r="J242" s="237">
        <v>2</v>
      </c>
      <c r="K242" s="237">
        <v>3</v>
      </c>
      <c r="L242" s="237">
        <v>3</v>
      </c>
      <c r="M242" s="237">
        <v>3</v>
      </c>
      <c r="N242" s="237">
        <v>3</v>
      </c>
      <c r="O242" s="237">
        <v>3</v>
      </c>
      <c r="P242" s="237">
        <v>3</v>
      </c>
      <c r="Q242" s="382" t="str">
        <f>IF(COUNTIF(tblSeverityAnalysis[[#This Row],[SAMV]:[ASH]], 1)=0, "", COUNTIF(tblSeverityAnalysis[[#This Row],[SAMV]:[ASH]], 1))</f>
        <v/>
      </c>
      <c r="R242" s="325">
        <f>IF(COUNTIF(tblSeverityAnalysis[[#This Row],[SAMV]:[ASH]], 2)=0, "", COUNTIF(tblSeverityAnalysis[[#This Row],[SAMV]:[ASH]], 2))</f>
        <v>1</v>
      </c>
      <c r="S242" s="325">
        <f>IF(COUNTIF(tblSeverityAnalysis[[#This Row],[SAMV]:[ASH]], 3)=0, "", COUNTIF(tblSeverityAnalysis[[#This Row],[SAMV]:[ASH]], 3))</f>
        <v>4</v>
      </c>
      <c r="T242" s="325">
        <f>IF(COUNTIF(tblSeverityAnalysis[[#This Row],[SAMV]:[ASH]], 4)=0, "", COUNTIF(tblSeverityAnalysis[[#This Row],[SAMV]:[ASH]], 4))</f>
        <v>1</v>
      </c>
      <c r="U242" s="383" t="str">
        <f>IF(COUNTIF(tblSeverityAnalysis[[#This Row],[SAMV]:[ASH]], 5)=0, "", COUNTIF(tblSeverityAnalysis[[#This Row],[SAMV]:[ASH]], 5))</f>
        <v/>
      </c>
      <c r="V242" s="375" cm="1">
        <f t="array" ref="V24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4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42" s="237" t="str">
        <f>IFERROR(IF(INDEX(tblSeverityReference[Severidad de la desnutrición],MATCH(tblSeverityAnalysis[[#This Row],[ID]], tblSeverityReference[ID], 0))= "", "",INDEX(tblSeverityReference[Severidad de la desnutrición],MATCH(tblSeverityAnalysis[[#This Row],[ID]], tblSeverityReference[ID], 0)) ), "")</f>
        <v/>
      </c>
      <c r="Y242" s="349" t="str">
        <f>IFERROR(IF(INDEX(tblSeverityReference[Severidad epidémica],MATCH(tblSeverityAnalysis[[#This Row],[ID]], tblSeverityReference[ID], 0))= "", "",INDEX(tblSeverityReference[Severidad epidémica],MATCH(tblSeverityAnalysis[[#This Row],[ID]], tblSeverityReference[ID], 0)) ), "")</f>
        <v/>
      </c>
      <c r="Z24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42" s="391" t="str">
        <f>IFERROR(IF(INDEX(tblSeverityReference[HR/IHL Violation],MATCH(tblSeverityAnalysis[[#This Row],[ID]], tblSeverityReference[ID], 0))= "", "",INDEX(tblSeverityReference[HR/IHL Violation],MATCH(tblSeverityAnalysis[[#This Row],[ID]], tblSeverityReference[ID], 0)) ), "")</f>
        <v/>
      </c>
      <c r="AB242" s="397">
        <f>IFERROR(AVERAGE(tblSeverityAnalysis[[#This Row],[SAMV]:[ASH]]), "")</f>
        <v>3</v>
      </c>
      <c r="AC242" s="346">
        <f>IF(SUM(tblSeverityAnalysis[[#This Row],[SAMV]:[ASH]])=0, "", MAX(tblSeverityAnalysis[[#This Row],[SAMV]:[ASH]]))</f>
        <v>4</v>
      </c>
      <c r="AD242" s="261" t="str" cm="1">
        <f t="array" ref="AD242">IFERROR(IF(tblSeverityAnalysis[[#This Row],[Severidad máxima]]="", "", _xlfn.TEXTJOIN(CHAR(10), TRUE, IF(tblSeverityAnalysis[[#This Row],[SAMV]:[ASH]]=tblSeverityAnalysis[[#This Row],[Severidad máxima]], tblSeverityAnalysis[[#Headers],[SAMV]:[ASH]], ""), "")), "")</f>
        <v>SAMV</v>
      </c>
      <c r="AE242" s="346" cm="1">
        <f t="array" ref="AE242">IFERROR(MAX(_xlfn._xlws.FILTER(tblSeverityAnalysis[[#This Row],[SAMV]:[ASH]], tblSeverityAnalysis[[#This Row],[SAMV]:[ASH]]&lt;tblSeverityAnalysis[[#This Row],[Severidad máxima]])), "")</f>
        <v>3</v>
      </c>
      <c r="AF242" s="398" t="str" cm="1">
        <f t="array" ref="AF242">IFERROR(IF(tblSeverityAnalysis[[#This Row],[2ª mayor severidad]]="", "", _xlfn.TEXTJOIN(CHAR(10), TRUE, IF(tblSeverityAnalysis[[#This Row],[SAMV]:[ASH]]=tblSeverityAnalysis[[#This Row],[2ª mayor severidad]], tblSeverityAnalysis[[#Headers],[SAMV]:[ASH]], ""), "")), "")</f>
        <v>SAL
EDU
PRO
ASH</v>
      </c>
      <c r="AG242" s="405" t="str">
        <f>IFERROR(IF(AND(tblSeverityAnalysis[[#This Row],[5]] &lt;&gt; "", tblSeverityAnalysis[[#This Row],[5]]&gt;=sectors_sev_5), "Flagged", ""), "")</f>
        <v/>
      </c>
      <c r="AH242" s="347" t="str">
        <f>IFERROR(IF(AND(tblSeverityAnalysis[[#This Row],[Severidad preliminar basada en la superposición de privaciones sectoriales]]=5, SUM(tblSeverityAnalysis[[#This Row],[ 1 ]:[ 4 ]])&gt;=sectors_sev_5), "Flagged", ""), "")</f>
        <v/>
      </c>
      <c r="AI242" s="348" t="str" cm="1">
        <f t="array" ref="AI24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4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42" s="350"/>
      <c r="AL242" s="351"/>
      <c r="AM242" s="350"/>
      <c r="AN242" s="407">
        <f>COUNTIF(tblSeverityAnalysis[[#This Row],[1 sectores en fase de severidad 5 '[modificar el umbral']]:[Marcador manual]], "Flagged")</f>
        <v>0</v>
      </c>
      <c r="AO242" s="418">
        <f>tblSeverityAnalysis[[#This Row],[Severidad preliminar basada en la superposición de privaciones sectoriales]]</f>
        <v>3</v>
      </c>
      <c r="AP242" s="417"/>
      <c r="AQ242" s="421" t="s">
        <v>876</v>
      </c>
      <c r="AR242" s="417">
        <v>3</v>
      </c>
    </row>
    <row r="243" spans="1:44" hidden="1">
      <c r="A24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VenezolanosVE1905</v>
      </c>
      <c r="B243" s="363" t="s">
        <v>203</v>
      </c>
      <c r="C243" s="323" t="s">
        <v>564</v>
      </c>
      <c r="D243" s="322" t="s">
        <v>571</v>
      </c>
      <c r="E243" s="323" t="s">
        <v>572</v>
      </c>
      <c r="F243" s="323"/>
      <c r="G243" s="324">
        <v>138798</v>
      </c>
      <c r="H243" s="324" t="s">
        <v>102</v>
      </c>
      <c r="I243" s="374">
        <v>3</v>
      </c>
      <c r="J243" s="237">
        <v>3</v>
      </c>
      <c r="K243" s="237">
        <v>4</v>
      </c>
      <c r="L243" s="237">
        <v>3</v>
      </c>
      <c r="M243" s="237">
        <v>4</v>
      </c>
      <c r="N243" s="237">
        <v>4</v>
      </c>
      <c r="O243" s="237">
        <v>4</v>
      </c>
      <c r="P243" s="237">
        <v>4</v>
      </c>
      <c r="Q243" s="382" t="str">
        <f>IF(COUNTIF(tblSeverityAnalysis[[#This Row],[SAMV]:[ASH]], 1)=0, "", COUNTIF(tblSeverityAnalysis[[#This Row],[SAMV]:[ASH]], 1))</f>
        <v/>
      </c>
      <c r="R243" s="325" t="str">
        <f>IF(COUNTIF(tblSeverityAnalysis[[#This Row],[SAMV]:[ASH]], 2)=0, "", COUNTIF(tblSeverityAnalysis[[#This Row],[SAMV]:[ASH]], 2))</f>
        <v/>
      </c>
      <c r="S243" s="325">
        <f>IF(COUNTIF(tblSeverityAnalysis[[#This Row],[SAMV]:[ASH]], 3)=0, "", COUNTIF(tblSeverityAnalysis[[#This Row],[SAMV]:[ASH]], 3))</f>
        <v>3</v>
      </c>
      <c r="T243" s="325">
        <f>IF(COUNTIF(tblSeverityAnalysis[[#This Row],[SAMV]:[ASH]], 4)=0, "", COUNTIF(tblSeverityAnalysis[[#This Row],[SAMV]:[ASH]], 4))</f>
        <v>3</v>
      </c>
      <c r="U243" s="383" t="str">
        <f>IF(COUNTIF(tblSeverityAnalysis[[#This Row],[SAMV]:[ASH]], 5)=0, "", COUNTIF(tblSeverityAnalysis[[#This Row],[SAMV]:[ASH]], 5))</f>
        <v/>
      </c>
      <c r="V243" s="375" cm="1">
        <f t="array" ref="V24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4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43" s="237" t="str">
        <f>IFERROR(IF(INDEX(tblSeverityReference[Severidad de la desnutrición],MATCH(tblSeverityAnalysis[[#This Row],[ID]], tblSeverityReference[ID], 0))= "", "",INDEX(tblSeverityReference[Severidad de la desnutrición],MATCH(tblSeverityAnalysis[[#This Row],[ID]], tblSeverityReference[ID], 0)) ), "")</f>
        <v/>
      </c>
      <c r="Y243" s="349" t="str">
        <f>IFERROR(IF(INDEX(tblSeverityReference[Severidad epidémica],MATCH(tblSeverityAnalysis[[#This Row],[ID]], tblSeverityReference[ID], 0))= "", "",INDEX(tblSeverityReference[Severidad epidémica],MATCH(tblSeverityAnalysis[[#This Row],[ID]], tblSeverityReference[ID], 0)) ), "")</f>
        <v/>
      </c>
      <c r="Z24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43" s="391" t="str">
        <f>IFERROR(IF(INDEX(tblSeverityReference[HR/IHL Violation],MATCH(tblSeverityAnalysis[[#This Row],[ID]], tblSeverityReference[ID], 0))= "", "",INDEX(tblSeverityReference[HR/IHL Violation],MATCH(tblSeverityAnalysis[[#This Row],[ID]], tblSeverityReference[ID], 0)) ), "")</f>
        <v/>
      </c>
      <c r="AB243" s="397">
        <f>IFERROR(AVERAGE(tblSeverityAnalysis[[#This Row],[SAMV]:[ASH]]), "")</f>
        <v>3.5</v>
      </c>
      <c r="AC243" s="346">
        <f>IF(SUM(tblSeverityAnalysis[[#This Row],[SAMV]:[ASH]])=0, "", MAX(tblSeverityAnalysis[[#This Row],[SAMV]:[ASH]]))</f>
        <v>4</v>
      </c>
      <c r="AD243" s="261" t="str" cm="1">
        <f t="array" ref="AD243">IFERROR(IF(tblSeverityAnalysis[[#This Row],[Severidad máxima]]="", "", _xlfn.TEXTJOIN(CHAR(10), TRUE, IF(tblSeverityAnalysis[[#This Row],[SAMV]:[ASH]]=tblSeverityAnalysis[[#This Row],[Severidad máxima]], tblSeverityAnalysis[[#Headers],[SAMV]:[ASH]], ""), "")), "")</f>
        <v>SAL
PRO
ASH</v>
      </c>
      <c r="AE243" s="346" cm="1">
        <f t="array" ref="AE243">IFERROR(MAX(_xlfn._xlws.FILTER(tblSeverityAnalysis[[#This Row],[SAMV]:[ASH]], tblSeverityAnalysis[[#This Row],[SAMV]:[ASH]]&lt;tblSeverityAnalysis[[#This Row],[Severidad máxima]])), "")</f>
        <v>3</v>
      </c>
      <c r="AF243" s="398" t="str" cm="1">
        <f t="array" ref="AF243">IFERROR(IF(tblSeverityAnalysis[[#This Row],[2ª mayor severidad]]="", "", _xlfn.TEXTJOIN(CHAR(10), TRUE, IF(tblSeverityAnalysis[[#This Row],[SAMV]:[ASH]]=tblSeverityAnalysis[[#This Row],[2ª mayor severidad]], tblSeverityAnalysis[[#Headers],[SAMV]:[ASH]], ""), "")), "")</f>
        <v>SAMV
NUT
EDU</v>
      </c>
      <c r="AG243" s="405" t="str">
        <f>IFERROR(IF(AND(tblSeverityAnalysis[[#This Row],[5]] &lt;&gt; "", tblSeverityAnalysis[[#This Row],[5]]&gt;=sectors_sev_5), "Flagged", ""), "")</f>
        <v/>
      </c>
      <c r="AH243" s="347" t="str">
        <f>IFERROR(IF(AND(tblSeverityAnalysis[[#This Row],[Severidad preliminar basada en la superposición de privaciones sectoriales]]=5, SUM(tblSeverityAnalysis[[#This Row],[ 1 ]:[ 4 ]])&gt;=sectors_sev_5), "Flagged", ""), "")</f>
        <v/>
      </c>
      <c r="AI243" s="348" t="str" cm="1">
        <f t="array" ref="AI24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4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43" s="350"/>
      <c r="AL243" s="351"/>
      <c r="AM243" s="350"/>
      <c r="AN243" s="407">
        <f>COUNTIF(tblSeverityAnalysis[[#This Row],[1 sectores en fase de severidad 5 '[modificar el umbral']]:[Marcador manual]], "Flagged")</f>
        <v>0</v>
      </c>
      <c r="AO243" s="418">
        <f>tblSeverityAnalysis[[#This Row],[Severidad preliminar basada en la superposición de privaciones sectoriales]]</f>
        <v>3</v>
      </c>
      <c r="AP243" s="417"/>
      <c r="AQ243" s="421" t="s">
        <v>875</v>
      </c>
      <c r="AR243" s="417">
        <v>3</v>
      </c>
    </row>
    <row r="244" spans="1:44" hidden="1">
      <c r="A24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VenezolanosVE1906</v>
      </c>
      <c r="B244" s="363" t="s">
        <v>203</v>
      </c>
      <c r="C244" s="323" t="s">
        <v>564</v>
      </c>
      <c r="D244" s="322" t="s">
        <v>180</v>
      </c>
      <c r="E244" s="323" t="s">
        <v>573</v>
      </c>
      <c r="F244" s="323"/>
      <c r="G244" s="324">
        <v>21871</v>
      </c>
      <c r="H244" s="324" t="s">
        <v>102</v>
      </c>
      <c r="I244" s="374">
        <v>3</v>
      </c>
      <c r="J244" s="237">
        <v>2</v>
      </c>
      <c r="K244" s="237">
        <v>3</v>
      </c>
      <c r="L244" s="237">
        <v>3</v>
      </c>
      <c r="M244" s="237">
        <v>3</v>
      </c>
      <c r="N244" s="237">
        <v>2</v>
      </c>
      <c r="O244" s="237">
        <v>3</v>
      </c>
      <c r="P244" s="237">
        <v>3</v>
      </c>
      <c r="Q244" s="382" t="str">
        <f>IF(COUNTIF(tblSeverityAnalysis[[#This Row],[SAMV]:[ASH]], 1)=0, "", COUNTIF(tblSeverityAnalysis[[#This Row],[SAMV]:[ASH]], 1))</f>
        <v/>
      </c>
      <c r="R244" s="325">
        <f>IF(COUNTIF(tblSeverityAnalysis[[#This Row],[SAMV]:[ASH]], 2)=0, "", COUNTIF(tblSeverityAnalysis[[#This Row],[SAMV]:[ASH]], 2))</f>
        <v>2</v>
      </c>
      <c r="S244" s="325">
        <f>IF(COUNTIF(tblSeverityAnalysis[[#This Row],[SAMV]:[ASH]], 3)=0, "", COUNTIF(tblSeverityAnalysis[[#This Row],[SAMV]:[ASH]], 3))</f>
        <v>4</v>
      </c>
      <c r="T244" s="325" t="str">
        <f>IF(COUNTIF(tblSeverityAnalysis[[#This Row],[SAMV]:[ASH]], 4)=0, "", COUNTIF(tblSeverityAnalysis[[#This Row],[SAMV]:[ASH]], 4))</f>
        <v/>
      </c>
      <c r="U244" s="383" t="str">
        <f>IF(COUNTIF(tblSeverityAnalysis[[#This Row],[SAMV]:[ASH]], 5)=0, "", COUNTIF(tblSeverityAnalysis[[#This Row],[SAMV]:[ASH]], 5))</f>
        <v/>
      </c>
      <c r="V244" s="375" cm="1">
        <f t="array" ref="V24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4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44" s="237" t="str">
        <f>IFERROR(IF(INDEX(tblSeverityReference[Severidad de la desnutrición],MATCH(tblSeverityAnalysis[[#This Row],[ID]], tblSeverityReference[ID], 0))= "", "",INDEX(tblSeverityReference[Severidad de la desnutrición],MATCH(tblSeverityAnalysis[[#This Row],[ID]], tblSeverityReference[ID], 0)) ), "")</f>
        <v/>
      </c>
      <c r="Y244" s="349" t="str">
        <f>IFERROR(IF(INDEX(tblSeverityReference[Severidad epidémica],MATCH(tblSeverityAnalysis[[#This Row],[ID]], tblSeverityReference[ID], 0))= "", "",INDEX(tblSeverityReference[Severidad epidémica],MATCH(tblSeverityAnalysis[[#This Row],[ID]], tblSeverityReference[ID], 0)) ), "")</f>
        <v/>
      </c>
      <c r="Z24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44" s="391" t="str">
        <f>IFERROR(IF(INDEX(tblSeverityReference[HR/IHL Violation],MATCH(tblSeverityAnalysis[[#This Row],[ID]], tblSeverityReference[ID], 0))= "", "",INDEX(tblSeverityReference[HR/IHL Violation],MATCH(tblSeverityAnalysis[[#This Row],[ID]], tblSeverityReference[ID], 0)) ), "")</f>
        <v/>
      </c>
      <c r="AB244" s="397">
        <f>IFERROR(AVERAGE(tblSeverityAnalysis[[#This Row],[SAMV]:[ASH]]), "")</f>
        <v>2.6666666666666665</v>
      </c>
      <c r="AC244" s="346">
        <f>IF(SUM(tblSeverityAnalysis[[#This Row],[SAMV]:[ASH]])=0, "", MAX(tblSeverityAnalysis[[#This Row],[SAMV]:[ASH]]))</f>
        <v>3</v>
      </c>
      <c r="AD244" s="261" t="str" cm="1">
        <f t="array" ref="AD244">IFERROR(IF(tblSeverityAnalysis[[#This Row],[Severidad máxima]]="", "", _xlfn.TEXTJOIN(CHAR(10), TRUE, IF(tblSeverityAnalysis[[#This Row],[SAMV]:[ASH]]=tblSeverityAnalysis[[#This Row],[Severidad máxima]], tblSeverityAnalysis[[#Headers],[SAMV]:[ASH]], ""), "")), "")</f>
        <v>SAMV
SAL
EDU
PRO</v>
      </c>
      <c r="AE244" s="346" cm="1">
        <f t="array" ref="AE244">IFERROR(MAX(_xlfn._xlws.FILTER(tblSeverityAnalysis[[#This Row],[SAMV]:[ASH]], tblSeverityAnalysis[[#This Row],[SAMV]:[ASH]]&lt;tblSeverityAnalysis[[#This Row],[Severidad máxima]])), "")</f>
        <v>2</v>
      </c>
      <c r="AF244" s="398" t="str" cm="1">
        <f t="array" ref="AF244">IFERROR(IF(tblSeverityAnalysis[[#This Row],[2ª mayor severidad]]="", "", _xlfn.TEXTJOIN(CHAR(10), TRUE, IF(tblSeverityAnalysis[[#This Row],[SAMV]:[ASH]]=tblSeverityAnalysis[[#This Row],[2ª mayor severidad]], tblSeverityAnalysis[[#Headers],[SAMV]:[ASH]], ""), "")), "")</f>
        <v>NUT
ASH</v>
      </c>
      <c r="AG244" s="405" t="str">
        <f>IFERROR(IF(AND(tblSeverityAnalysis[[#This Row],[5]] &lt;&gt; "", tblSeverityAnalysis[[#This Row],[5]]&gt;=sectors_sev_5), "Flagged", ""), "")</f>
        <v/>
      </c>
      <c r="AH244" s="347" t="str">
        <f>IFERROR(IF(AND(tblSeverityAnalysis[[#This Row],[Severidad preliminar basada en la superposición de privaciones sectoriales]]=5, SUM(tblSeverityAnalysis[[#This Row],[ 1 ]:[ 4 ]])&gt;=sectors_sev_5), "Flagged", ""), "")</f>
        <v/>
      </c>
      <c r="AI244" s="348" t="str" cm="1">
        <f t="array" ref="AI24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4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44" s="350"/>
      <c r="AL244" s="351"/>
      <c r="AM244" s="350"/>
      <c r="AN244" s="407">
        <f>COUNTIF(tblSeverityAnalysis[[#This Row],[1 sectores en fase de severidad 5 '[modificar el umbral']]:[Marcador manual]], "Flagged")</f>
        <v>0</v>
      </c>
      <c r="AO244" s="418">
        <f>tblSeverityAnalysis[[#This Row],[Severidad preliminar basada en la superposición de privaciones sectoriales]]</f>
        <v>3</v>
      </c>
      <c r="AP244" s="417"/>
      <c r="AQ244" s="421" t="s">
        <v>876</v>
      </c>
      <c r="AR244" s="417">
        <v>3</v>
      </c>
    </row>
    <row r="245" spans="1:44" hidden="1">
      <c r="A24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VenezolanosVE1907</v>
      </c>
      <c r="B245" s="363" t="s">
        <v>203</v>
      </c>
      <c r="C245" s="323" t="s">
        <v>564</v>
      </c>
      <c r="D245" s="322" t="s">
        <v>574</v>
      </c>
      <c r="E245" s="323" t="s">
        <v>575</v>
      </c>
      <c r="F245" s="323"/>
      <c r="G245" s="324">
        <v>20915</v>
      </c>
      <c r="H245" s="324" t="s">
        <v>102</v>
      </c>
      <c r="I245" s="374">
        <v>3</v>
      </c>
      <c r="J245" s="237">
        <v>3</v>
      </c>
      <c r="K245" s="237">
        <v>3</v>
      </c>
      <c r="L245" s="237">
        <v>3</v>
      </c>
      <c r="M245" s="237">
        <v>4</v>
      </c>
      <c r="N245" s="237">
        <v>3</v>
      </c>
      <c r="O245" s="237">
        <v>4</v>
      </c>
      <c r="P245" s="237">
        <v>4</v>
      </c>
      <c r="Q245" s="382" t="str">
        <f>IF(COUNTIF(tblSeverityAnalysis[[#This Row],[SAMV]:[ASH]], 1)=0, "", COUNTIF(tblSeverityAnalysis[[#This Row],[SAMV]:[ASH]], 1))</f>
        <v/>
      </c>
      <c r="R245" s="325" t="str">
        <f>IF(COUNTIF(tblSeverityAnalysis[[#This Row],[SAMV]:[ASH]], 2)=0, "", COUNTIF(tblSeverityAnalysis[[#This Row],[SAMV]:[ASH]], 2))</f>
        <v/>
      </c>
      <c r="S245" s="325">
        <f>IF(COUNTIF(tblSeverityAnalysis[[#This Row],[SAMV]:[ASH]], 3)=0, "", COUNTIF(tblSeverityAnalysis[[#This Row],[SAMV]:[ASH]], 3))</f>
        <v>5</v>
      </c>
      <c r="T245" s="325">
        <f>IF(COUNTIF(tblSeverityAnalysis[[#This Row],[SAMV]:[ASH]], 4)=0, "", COUNTIF(tblSeverityAnalysis[[#This Row],[SAMV]:[ASH]], 4))</f>
        <v>1</v>
      </c>
      <c r="U245" s="383" t="str">
        <f>IF(COUNTIF(tblSeverityAnalysis[[#This Row],[SAMV]:[ASH]], 5)=0, "", COUNTIF(tblSeverityAnalysis[[#This Row],[SAMV]:[ASH]], 5))</f>
        <v/>
      </c>
      <c r="V245" s="375" cm="1">
        <f t="array" ref="V24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4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45" s="237" t="str">
        <f>IFERROR(IF(INDEX(tblSeverityReference[Severidad de la desnutrición],MATCH(tblSeverityAnalysis[[#This Row],[ID]], tblSeverityReference[ID], 0))= "", "",INDEX(tblSeverityReference[Severidad de la desnutrición],MATCH(tblSeverityAnalysis[[#This Row],[ID]], tblSeverityReference[ID], 0)) ), "")</f>
        <v/>
      </c>
      <c r="Y245" s="349" t="str">
        <f>IFERROR(IF(INDEX(tblSeverityReference[Severidad epidémica],MATCH(tblSeverityAnalysis[[#This Row],[ID]], tblSeverityReference[ID], 0))= "", "",INDEX(tblSeverityReference[Severidad epidémica],MATCH(tblSeverityAnalysis[[#This Row],[ID]], tblSeverityReference[ID], 0)) ), "")</f>
        <v/>
      </c>
      <c r="Z24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45" s="391" t="str">
        <f>IFERROR(IF(INDEX(tblSeverityReference[HR/IHL Violation],MATCH(tblSeverityAnalysis[[#This Row],[ID]], tblSeverityReference[ID], 0))= "", "",INDEX(tblSeverityReference[HR/IHL Violation],MATCH(tblSeverityAnalysis[[#This Row],[ID]], tblSeverityReference[ID], 0)) ), "")</f>
        <v/>
      </c>
      <c r="AB245" s="397">
        <f>IFERROR(AVERAGE(tblSeverityAnalysis[[#This Row],[SAMV]:[ASH]]), "")</f>
        <v>3.1666666666666665</v>
      </c>
      <c r="AC245" s="346">
        <f>IF(SUM(tblSeverityAnalysis[[#This Row],[SAMV]:[ASH]])=0, "", MAX(tblSeverityAnalysis[[#This Row],[SAMV]:[ASH]]))</f>
        <v>4</v>
      </c>
      <c r="AD245" s="261" t="str" cm="1">
        <f t="array" ref="AD245">IFERROR(IF(tblSeverityAnalysis[[#This Row],[Severidad máxima]]="", "", _xlfn.TEXTJOIN(CHAR(10), TRUE, IF(tblSeverityAnalysis[[#This Row],[SAMV]:[ASH]]=tblSeverityAnalysis[[#This Row],[Severidad máxima]], tblSeverityAnalysis[[#Headers],[SAMV]:[ASH]], ""), "")), "")</f>
        <v>PRO</v>
      </c>
      <c r="AE245" s="346" cm="1">
        <f t="array" ref="AE245">IFERROR(MAX(_xlfn._xlws.FILTER(tblSeverityAnalysis[[#This Row],[SAMV]:[ASH]], tblSeverityAnalysis[[#This Row],[SAMV]:[ASH]]&lt;tblSeverityAnalysis[[#This Row],[Severidad máxima]])), "")</f>
        <v>3</v>
      </c>
      <c r="AF245" s="398" t="str" cm="1">
        <f t="array" ref="AF245">IFERROR(IF(tblSeverityAnalysis[[#This Row],[2ª mayor severidad]]="", "", _xlfn.TEXTJOIN(CHAR(10), TRUE, IF(tblSeverityAnalysis[[#This Row],[SAMV]:[ASH]]=tblSeverityAnalysis[[#This Row],[2ª mayor severidad]], tblSeverityAnalysis[[#Headers],[SAMV]:[ASH]], ""), "")), "")</f>
        <v>SAMV
NUT
SAL
EDU
ASH</v>
      </c>
      <c r="AG245" s="405" t="str">
        <f>IFERROR(IF(AND(tblSeverityAnalysis[[#This Row],[5]] &lt;&gt; "", tblSeverityAnalysis[[#This Row],[5]]&gt;=sectors_sev_5), "Flagged", ""), "")</f>
        <v/>
      </c>
      <c r="AH245" s="347" t="str">
        <f>IFERROR(IF(AND(tblSeverityAnalysis[[#This Row],[Severidad preliminar basada en la superposición de privaciones sectoriales]]=5, SUM(tblSeverityAnalysis[[#This Row],[ 1 ]:[ 4 ]])&gt;=sectors_sev_5), "Flagged", ""), "")</f>
        <v/>
      </c>
      <c r="AI245" s="348" t="str" cm="1">
        <f t="array" ref="AI24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4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45" s="350"/>
      <c r="AL245" s="351"/>
      <c r="AM245" s="350"/>
      <c r="AN245" s="407">
        <f>COUNTIF(tblSeverityAnalysis[[#This Row],[1 sectores en fase de severidad 5 '[modificar el umbral']]:[Marcador manual]], "Flagged")</f>
        <v>0</v>
      </c>
      <c r="AO245" s="418">
        <f>tblSeverityAnalysis[[#This Row],[Severidad preliminar basada en la superposición de privaciones sectoriales]]</f>
        <v>3</v>
      </c>
      <c r="AP245" s="417"/>
      <c r="AQ245" s="421" t="s">
        <v>876</v>
      </c>
      <c r="AR245" s="417">
        <v>3</v>
      </c>
    </row>
    <row r="246" spans="1:44" hidden="1">
      <c r="A24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VenezolanosVE1908</v>
      </c>
      <c r="B246" s="363" t="s">
        <v>203</v>
      </c>
      <c r="C246" s="323" t="s">
        <v>564</v>
      </c>
      <c r="D246" s="322" t="s">
        <v>576</v>
      </c>
      <c r="E246" s="323" t="s">
        <v>577</v>
      </c>
      <c r="F246" s="323"/>
      <c r="G246" s="324">
        <v>34936</v>
      </c>
      <c r="H246" s="324" t="s">
        <v>102</v>
      </c>
      <c r="I246" s="374">
        <v>4</v>
      </c>
      <c r="J246" s="237">
        <v>2</v>
      </c>
      <c r="K246" s="237">
        <v>4</v>
      </c>
      <c r="L246" s="237">
        <v>4</v>
      </c>
      <c r="M246" s="237">
        <v>4</v>
      </c>
      <c r="N246" s="237">
        <v>4</v>
      </c>
      <c r="O246" s="237">
        <v>4</v>
      </c>
      <c r="P246" s="237">
        <v>4</v>
      </c>
      <c r="Q246" s="382" t="str">
        <f>IF(COUNTIF(tblSeverityAnalysis[[#This Row],[SAMV]:[ASH]], 1)=0, "", COUNTIF(tblSeverityAnalysis[[#This Row],[SAMV]:[ASH]], 1))</f>
        <v/>
      </c>
      <c r="R246" s="325">
        <f>IF(COUNTIF(tblSeverityAnalysis[[#This Row],[SAMV]:[ASH]], 2)=0, "", COUNTIF(tblSeverityAnalysis[[#This Row],[SAMV]:[ASH]], 2))</f>
        <v>1</v>
      </c>
      <c r="S246" s="325" t="str">
        <f>IF(COUNTIF(tblSeverityAnalysis[[#This Row],[SAMV]:[ASH]], 3)=0, "", COUNTIF(tblSeverityAnalysis[[#This Row],[SAMV]:[ASH]], 3))</f>
        <v/>
      </c>
      <c r="T246" s="325">
        <f>IF(COUNTIF(tblSeverityAnalysis[[#This Row],[SAMV]:[ASH]], 4)=0, "", COUNTIF(tblSeverityAnalysis[[#This Row],[SAMV]:[ASH]], 4))</f>
        <v>5</v>
      </c>
      <c r="U246" s="383" t="str">
        <f>IF(COUNTIF(tblSeverityAnalysis[[#This Row],[SAMV]:[ASH]], 5)=0, "", COUNTIF(tblSeverityAnalysis[[#This Row],[SAMV]:[ASH]], 5))</f>
        <v/>
      </c>
      <c r="V246" s="375" cm="1">
        <f t="array" ref="V24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24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46" s="237" t="str">
        <f>IFERROR(IF(INDEX(tblSeverityReference[Severidad de la desnutrición],MATCH(tblSeverityAnalysis[[#This Row],[ID]], tblSeverityReference[ID], 0))= "", "",INDEX(tblSeverityReference[Severidad de la desnutrición],MATCH(tblSeverityAnalysis[[#This Row],[ID]], tblSeverityReference[ID], 0)) ), "")</f>
        <v/>
      </c>
      <c r="Y246" s="349" t="str">
        <f>IFERROR(IF(INDEX(tblSeverityReference[Severidad epidémica],MATCH(tblSeverityAnalysis[[#This Row],[ID]], tblSeverityReference[ID], 0))= "", "",INDEX(tblSeverityReference[Severidad epidémica],MATCH(tblSeverityAnalysis[[#This Row],[ID]], tblSeverityReference[ID], 0)) ), "")</f>
        <v/>
      </c>
      <c r="Z24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46" s="391" t="str">
        <f>IFERROR(IF(INDEX(tblSeverityReference[HR/IHL Violation],MATCH(tblSeverityAnalysis[[#This Row],[ID]], tblSeverityReference[ID], 0))= "", "",INDEX(tblSeverityReference[HR/IHL Violation],MATCH(tblSeverityAnalysis[[#This Row],[ID]], tblSeverityReference[ID], 0)) ), "")</f>
        <v/>
      </c>
      <c r="AB246" s="397">
        <f>IFERROR(AVERAGE(tblSeverityAnalysis[[#This Row],[SAMV]:[ASH]]), "")</f>
        <v>3.6666666666666665</v>
      </c>
      <c r="AC246" s="346">
        <f>IF(SUM(tblSeverityAnalysis[[#This Row],[SAMV]:[ASH]])=0, "", MAX(tblSeverityAnalysis[[#This Row],[SAMV]:[ASH]]))</f>
        <v>4</v>
      </c>
      <c r="AD246" s="261" t="str" cm="1">
        <f t="array" ref="AD246">IFERROR(IF(tblSeverityAnalysis[[#This Row],[Severidad máxima]]="", "", _xlfn.TEXTJOIN(CHAR(10), TRUE, IF(tblSeverityAnalysis[[#This Row],[SAMV]:[ASH]]=tblSeverityAnalysis[[#This Row],[Severidad máxima]], tblSeverityAnalysis[[#Headers],[SAMV]:[ASH]], ""), "")), "")</f>
        <v>SAMV
SAL
EDU
PRO
ASH</v>
      </c>
      <c r="AE246" s="346" cm="1">
        <f t="array" ref="AE246">IFERROR(MAX(_xlfn._xlws.FILTER(tblSeverityAnalysis[[#This Row],[SAMV]:[ASH]], tblSeverityAnalysis[[#This Row],[SAMV]:[ASH]]&lt;tblSeverityAnalysis[[#This Row],[Severidad máxima]])), "")</f>
        <v>2</v>
      </c>
      <c r="AF246" s="398" t="str" cm="1">
        <f t="array" ref="AF246">IFERROR(IF(tblSeverityAnalysis[[#This Row],[2ª mayor severidad]]="", "", _xlfn.TEXTJOIN(CHAR(10), TRUE, IF(tblSeverityAnalysis[[#This Row],[SAMV]:[ASH]]=tblSeverityAnalysis[[#This Row],[2ª mayor severidad]], tblSeverityAnalysis[[#Headers],[SAMV]:[ASH]], ""), "")), "")</f>
        <v>NUT</v>
      </c>
      <c r="AG246" s="405" t="str">
        <f>IFERROR(IF(AND(tblSeverityAnalysis[[#This Row],[5]] &lt;&gt; "", tblSeverityAnalysis[[#This Row],[5]]&gt;=sectors_sev_5), "Flagged", ""), "")</f>
        <v/>
      </c>
      <c r="AH246" s="347" t="str">
        <f>IFERROR(IF(AND(tblSeverityAnalysis[[#This Row],[Severidad preliminar basada en la superposición de privaciones sectoriales]]=5, SUM(tblSeverityAnalysis[[#This Row],[ 1 ]:[ 4 ]])&gt;=sectors_sev_5), "Flagged", ""), "")</f>
        <v/>
      </c>
      <c r="AI246" s="348" t="str" cm="1">
        <f t="array" ref="AI24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4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46" s="350"/>
      <c r="AL246" s="351"/>
      <c r="AM246" s="350"/>
      <c r="AN246" s="407">
        <f>COUNTIF(tblSeverityAnalysis[[#This Row],[1 sectores en fase de severidad 5 '[modificar el umbral']]:[Marcador manual]], "Flagged")</f>
        <v>0</v>
      </c>
      <c r="AO246" s="418">
        <f>tblSeverityAnalysis[[#This Row],[Severidad preliminar basada en la superposición de privaciones sectoriales]]</f>
        <v>4</v>
      </c>
      <c r="AP246" s="417"/>
      <c r="AQ246" s="421" t="s">
        <v>875</v>
      </c>
      <c r="AR246" s="417">
        <v>4</v>
      </c>
    </row>
    <row r="247" spans="1:44" hidden="1">
      <c r="A24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VenezolanosVE1909</v>
      </c>
      <c r="B247" s="363" t="s">
        <v>203</v>
      </c>
      <c r="C247" s="323" t="s">
        <v>564</v>
      </c>
      <c r="D247" s="322" t="s">
        <v>100</v>
      </c>
      <c r="E247" s="323" t="s">
        <v>578</v>
      </c>
      <c r="F247" s="323"/>
      <c r="G247" s="324">
        <v>9586</v>
      </c>
      <c r="H247" s="324" t="s">
        <v>102</v>
      </c>
      <c r="I247" s="374">
        <v>4</v>
      </c>
      <c r="J247" s="237">
        <v>2</v>
      </c>
      <c r="K247" s="237">
        <v>3</v>
      </c>
      <c r="L247" s="237">
        <v>3</v>
      </c>
      <c r="M247" s="237">
        <v>3</v>
      </c>
      <c r="N247" s="237">
        <v>2</v>
      </c>
      <c r="O247" s="237">
        <v>3</v>
      </c>
      <c r="P247" s="237">
        <v>3</v>
      </c>
      <c r="Q247" s="382" t="str">
        <f>IF(COUNTIF(tblSeverityAnalysis[[#This Row],[SAMV]:[ASH]], 1)=0, "", COUNTIF(tblSeverityAnalysis[[#This Row],[SAMV]:[ASH]], 1))</f>
        <v/>
      </c>
      <c r="R247" s="325">
        <f>IF(COUNTIF(tblSeverityAnalysis[[#This Row],[SAMV]:[ASH]], 2)=0, "", COUNTIF(tblSeverityAnalysis[[#This Row],[SAMV]:[ASH]], 2))</f>
        <v>2</v>
      </c>
      <c r="S247" s="325">
        <f>IF(COUNTIF(tblSeverityAnalysis[[#This Row],[SAMV]:[ASH]], 3)=0, "", COUNTIF(tblSeverityAnalysis[[#This Row],[SAMV]:[ASH]], 3))</f>
        <v>3</v>
      </c>
      <c r="T247" s="325">
        <f>IF(COUNTIF(tblSeverityAnalysis[[#This Row],[SAMV]:[ASH]], 4)=0, "", COUNTIF(tblSeverityAnalysis[[#This Row],[SAMV]:[ASH]], 4))</f>
        <v>1</v>
      </c>
      <c r="U247" s="383" t="str">
        <f>IF(COUNTIF(tblSeverityAnalysis[[#This Row],[SAMV]:[ASH]], 5)=0, "", COUNTIF(tblSeverityAnalysis[[#This Row],[SAMV]:[ASH]], 5))</f>
        <v/>
      </c>
      <c r="V247" s="375" cm="1">
        <f t="array" ref="V24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4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47" s="237" t="str">
        <f>IFERROR(IF(INDEX(tblSeverityReference[Severidad de la desnutrición],MATCH(tblSeverityAnalysis[[#This Row],[ID]], tblSeverityReference[ID], 0))= "", "",INDEX(tblSeverityReference[Severidad de la desnutrición],MATCH(tblSeverityAnalysis[[#This Row],[ID]], tblSeverityReference[ID], 0)) ), "")</f>
        <v/>
      </c>
      <c r="Y247" s="349" t="str">
        <f>IFERROR(IF(INDEX(tblSeverityReference[Severidad epidémica],MATCH(tblSeverityAnalysis[[#This Row],[ID]], tblSeverityReference[ID], 0))= "", "",INDEX(tblSeverityReference[Severidad epidémica],MATCH(tblSeverityAnalysis[[#This Row],[ID]], tblSeverityReference[ID], 0)) ), "")</f>
        <v/>
      </c>
      <c r="Z24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47" s="391" t="str">
        <f>IFERROR(IF(INDEX(tblSeverityReference[HR/IHL Violation],MATCH(tblSeverityAnalysis[[#This Row],[ID]], tblSeverityReference[ID], 0))= "", "",INDEX(tblSeverityReference[HR/IHL Violation],MATCH(tblSeverityAnalysis[[#This Row],[ID]], tblSeverityReference[ID], 0)) ), "")</f>
        <v/>
      </c>
      <c r="AB247" s="397">
        <f>IFERROR(AVERAGE(tblSeverityAnalysis[[#This Row],[SAMV]:[ASH]]), "")</f>
        <v>2.8333333333333335</v>
      </c>
      <c r="AC247" s="346">
        <f>IF(SUM(tblSeverityAnalysis[[#This Row],[SAMV]:[ASH]])=0, "", MAX(tblSeverityAnalysis[[#This Row],[SAMV]:[ASH]]))</f>
        <v>4</v>
      </c>
      <c r="AD247" s="261" t="str" cm="1">
        <f t="array" ref="AD247">IFERROR(IF(tblSeverityAnalysis[[#This Row],[Severidad máxima]]="", "", _xlfn.TEXTJOIN(CHAR(10), TRUE, IF(tblSeverityAnalysis[[#This Row],[SAMV]:[ASH]]=tblSeverityAnalysis[[#This Row],[Severidad máxima]], tblSeverityAnalysis[[#Headers],[SAMV]:[ASH]], ""), "")), "")</f>
        <v>SAMV</v>
      </c>
      <c r="AE247" s="346" cm="1">
        <f t="array" ref="AE247">IFERROR(MAX(_xlfn._xlws.FILTER(tblSeverityAnalysis[[#This Row],[SAMV]:[ASH]], tblSeverityAnalysis[[#This Row],[SAMV]:[ASH]]&lt;tblSeverityAnalysis[[#This Row],[Severidad máxima]])), "")</f>
        <v>3</v>
      </c>
      <c r="AF247" s="398" t="str" cm="1">
        <f t="array" ref="AF247">IFERROR(IF(tblSeverityAnalysis[[#This Row],[2ª mayor severidad]]="", "", _xlfn.TEXTJOIN(CHAR(10), TRUE, IF(tblSeverityAnalysis[[#This Row],[SAMV]:[ASH]]=tblSeverityAnalysis[[#This Row],[2ª mayor severidad]], tblSeverityAnalysis[[#Headers],[SAMV]:[ASH]], ""), "")), "")</f>
        <v>SAL
EDU
PRO</v>
      </c>
      <c r="AG247" s="405" t="str">
        <f>IFERROR(IF(AND(tblSeverityAnalysis[[#This Row],[5]] &lt;&gt; "", tblSeverityAnalysis[[#This Row],[5]]&gt;=sectors_sev_5), "Flagged", ""), "")</f>
        <v/>
      </c>
      <c r="AH247" s="347" t="str">
        <f>IFERROR(IF(AND(tblSeverityAnalysis[[#This Row],[Severidad preliminar basada en la superposición de privaciones sectoriales]]=5, SUM(tblSeverityAnalysis[[#This Row],[ 1 ]:[ 4 ]])&gt;=sectors_sev_5), "Flagged", ""), "")</f>
        <v/>
      </c>
      <c r="AI247" s="348" t="str" cm="1">
        <f t="array" ref="AI24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4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47" s="350"/>
      <c r="AL247" s="351"/>
      <c r="AM247" s="350"/>
      <c r="AN247" s="407">
        <f>COUNTIF(tblSeverityAnalysis[[#This Row],[1 sectores en fase de severidad 5 '[modificar el umbral']]:[Marcador manual]], "Flagged")</f>
        <v>0</v>
      </c>
      <c r="AO247" s="418">
        <f>tblSeverityAnalysis[[#This Row],[Severidad preliminar basada en la superposición de privaciones sectoriales]]</f>
        <v>3</v>
      </c>
      <c r="AP247" s="417"/>
      <c r="AQ247" s="421" t="s">
        <v>876</v>
      </c>
      <c r="AR247" s="417">
        <v>3</v>
      </c>
    </row>
    <row r="248" spans="1:44" hidden="1">
      <c r="A24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VenezolanosVE1910</v>
      </c>
      <c r="B248" s="363" t="s">
        <v>203</v>
      </c>
      <c r="C248" s="323" t="s">
        <v>564</v>
      </c>
      <c r="D248" s="322" t="s">
        <v>528</v>
      </c>
      <c r="E248" s="323" t="s">
        <v>579</v>
      </c>
      <c r="F248" s="323"/>
      <c r="G248" s="324">
        <v>22338</v>
      </c>
      <c r="H248" s="324" t="s">
        <v>102</v>
      </c>
      <c r="I248" s="374">
        <v>3</v>
      </c>
      <c r="J248" s="237">
        <v>3</v>
      </c>
      <c r="K248" s="237">
        <v>3</v>
      </c>
      <c r="L248" s="237">
        <v>4</v>
      </c>
      <c r="M248" s="237">
        <v>3</v>
      </c>
      <c r="N248" s="237">
        <v>2</v>
      </c>
      <c r="O248" s="237">
        <v>3</v>
      </c>
      <c r="P248" s="237">
        <v>3</v>
      </c>
      <c r="Q248" s="382" t="str">
        <f>IF(COUNTIF(tblSeverityAnalysis[[#This Row],[SAMV]:[ASH]], 1)=0, "", COUNTIF(tblSeverityAnalysis[[#This Row],[SAMV]:[ASH]], 1))</f>
        <v/>
      </c>
      <c r="R248" s="325">
        <f>IF(COUNTIF(tblSeverityAnalysis[[#This Row],[SAMV]:[ASH]], 2)=0, "", COUNTIF(tblSeverityAnalysis[[#This Row],[SAMV]:[ASH]], 2))</f>
        <v>1</v>
      </c>
      <c r="S248" s="325">
        <f>IF(COUNTIF(tblSeverityAnalysis[[#This Row],[SAMV]:[ASH]], 3)=0, "", COUNTIF(tblSeverityAnalysis[[#This Row],[SAMV]:[ASH]], 3))</f>
        <v>4</v>
      </c>
      <c r="T248" s="325">
        <f>IF(COUNTIF(tblSeverityAnalysis[[#This Row],[SAMV]:[ASH]], 4)=0, "", COUNTIF(tblSeverityAnalysis[[#This Row],[SAMV]:[ASH]], 4))</f>
        <v>1</v>
      </c>
      <c r="U248" s="383" t="str">
        <f>IF(COUNTIF(tblSeverityAnalysis[[#This Row],[SAMV]:[ASH]], 5)=0, "", COUNTIF(tblSeverityAnalysis[[#This Row],[SAMV]:[ASH]], 5))</f>
        <v/>
      </c>
      <c r="V248" s="375" cm="1">
        <f t="array" ref="V24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4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48" s="237" t="str">
        <f>IFERROR(IF(INDEX(tblSeverityReference[Severidad de la desnutrición],MATCH(tblSeverityAnalysis[[#This Row],[ID]], tblSeverityReference[ID], 0))= "", "",INDEX(tblSeverityReference[Severidad de la desnutrición],MATCH(tblSeverityAnalysis[[#This Row],[ID]], tblSeverityReference[ID], 0)) ), "")</f>
        <v/>
      </c>
      <c r="Y248" s="349" t="str">
        <f>IFERROR(IF(INDEX(tblSeverityReference[Severidad epidémica],MATCH(tblSeverityAnalysis[[#This Row],[ID]], tblSeverityReference[ID], 0))= "", "",INDEX(tblSeverityReference[Severidad epidémica],MATCH(tblSeverityAnalysis[[#This Row],[ID]], tblSeverityReference[ID], 0)) ), "")</f>
        <v/>
      </c>
      <c r="Z24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48" s="391" t="str">
        <f>IFERROR(IF(INDEX(tblSeverityReference[HR/IHL Violation],MATCH(tblSeverityAnalysis[[#This Row],[ID]], tblSeverityReference[ID], 0))= "", "",INDEX(tblSeverityReference[HR/IHL Violation],MATCH(tblSeverityAnalysis[[#This Row],[ID]], tblSeverityReference[ID], 0)) ), "")</f>
        <v/>
      </c>
      <c r="AB248" s="397">
        <f>IFERROR(AVERAGE(tblSeverityAnalysis[[#This Row],[SAMV]:[ASH]]), "")</f>
        <v>3</v>
      </c>
      <c r="AC248" s="346">
        <f>IF(SUM(tblSeverityAnalysis[[#This Row],[SAMV]:[ASH]])=0, "", MAX(tblSeverityAnalysis[[#This Row],[SAMV]:[ASH]]))</f>
        <v>4</v>
      </c>
      <c r="AD248" s="261" t="str" cm="1">
        <f t="array" ref="AD248">IFERROR(IF(tblSeverityAnalysis[[#This Row],[Severidad máxima]]="", "", _xlfn.TEXTJOIN(CHAR(10), TRUE, IF(tblSeverityAnalysis[[#This Row],[SAMV]:[ASH]]=tblSeverityAnalysis[[#This Row],[Severidad máxima]], tblSeverityAnalysis[[#Headers],[SAMV]:[ASH]], ""), "")), "")</f>
        <v>EDU</v>
      </c>
      <c r="AE248" s="346" cm="1">
        <f t="array" ref="AE248">IFERROR(MAX(_xlfn._xlws.FILTER(tblSeverityAnalysis[[#This Row],[SAMV]:[ASH]], tblSeverityAnalysis[[#This Row],[SAMV]:[ASH]]&lt;tblSeverityAnalysis[[#This Row],[Severidad máxima]])), "")</f>
        <v>3</v>
      </c>
      <c r="AF248" s="398" t="str" cm="1">
        <f t="array" ref="AF248">IFERROR(IF(tblSeverityAnalysis[[#This Row],[2ª mayor severidad]]="", "", _xlfn.TEXTJOIN(CHAR(10), TRUE, IF(tblSeverityAnalysis[[#This Row],[SAMV]:[ASH]]=tblSeverityAnalysis[[#This Row],[2ª mayor severidad]], tblSeverityAnalysis[[#Headers],[SAMV]:[ASH]], ""), "")), "")</f>
        <v>SAMV
NUT
SAL
PRO</v>
      </c>
      <c r="AG248" s="405" t="str">
        <f>IFERROR(IF(AND(tblSeverityAnalysis[[#This Row],[5]] &lt;&gt; "", tblSeverityAnalysis[[#This Row],[5]]&gt;=sectors_sev_5), "Flagged", ""), "")</f>
        <v/>
      </c>
      <c r="AH248" s="347" t="str">
        <f>IFERROR(IF(AND(tblSeverityAnalysis[[#This Row],[Severidad preliminar basada en la superposición de privaciones sectoriales]]=5, SUM(tblSeverityAnalysis[[#This Row],[ 1 ]:[ 4 ]])&gt;=sectors_sev_5), "Flagged", ""), "")</f>
        <v/>
      </c>
      <c r="AI248" s="348" t="str" cm="1">
        <f t="array" ref="AI24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4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48" s="350"/>
      <c r="AL248" s="351"/>
      <c r="AM248" s="350"/>
      <c r="AN248" s="407">
        <f>COUNTIF(tblSeverityAnalysis[[#This Row],[1 sectores en fase de severidad 5 '[modificar el umbral']]:[Marcador manual]], "Flagged")</f>
        <v>0</v>
      </c>
      <c r="AO248" s="418">
        <f>tblSeverityAnalysis[[#This Row],[Severidad preliminar basada en la superposición de privaciones sectoriales]]</f>
        <v>3</v>
      </c>
      <c r="AP248" s="417"/>
      <c r="AQ248" s="421" t="s">
        <v>876</v>
      </c>
      <c r="AR248" s="417">
        <v>3</v>
      </c>
    </row>
    <row r="249" spans="1:44" hidden="1">
      <c r="A24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VenezolanosVE1911</v>
      </c>
      <c r="B249" s="363" t="s">
        <v>203</v>
      </c>
      <c r="C249" s="323" t="s">
        <v>564</v>
      </c>
      <c r="D249" s="322" t="s">
        <v>580</v>
      </c>
      <c r="E249" s="323" t="s">
        <v>581</v>
      </c>
      <c r="F249" s="323"/>
      <c r="G249" s="324">
        <v>14300</v>
      </c>
      <c r="H249" s="324" t="s">
        <v>102</v>
      </c>
      <c r="I249" s="374">
        <v>3</v>
      </c>
      <c r="J249" s="237">
        <v>2</v>
      </c>
      <c r="K249" s="237">
        <v>3</v>
      </c>
      <c r="L249" s="237">
        <v>3</v>
      </c>
      <c r="M249" s="237">
        <v>3</v>
      </c>
      <c r="N249" s="237">
        <v>2</v>
      </c>
      <c r="O249" s="237">
        <v>3</v>
      </c>
      <c r="P249" s="237">
        <v>3</v>
      </c>
      <c r="Q249" s="382" t="str">
        <f>IF(COUNTIF(tblSeverityAnalysis[[#This Row],[SAMV]:[ASH]], 1)=0, "", COUNTIF(tblSeverityAnalysis[[#This Row],[SAMV]:[ASH]], 1))</f>
        <v/>
      </c>
      <c r="R249" s="325">
        <f>IF(COUNTIF(tblSeverityAnalysis[[#This Row],[SAMV]:[ASH]], 2)=0, "", COUNTIF(tblSeverityAnalysis[[#This Row],[SAMV]:[ASH]], 2))</f>
        <v>2</v>
      </c>
      <c r="S249" s="325">
        <f>IF(COUNTIF(tblSeverityAnalysis[[#This Row],[SAMV]:[ASH]], 3)=0, "", COUNTIF(tblSeverityAnalysis[[#This Row],[SAMV]:[ASH]], 3))</f>
        <v>4</v>
      </c>
      <c r="T249" s="325" t="str">
        <f>IF(COUNTIF(tblSeverityAnalysis[[#This Row],[SAMV]:[ASH]], 4)=0, "", COUNTIF(tblSeverityAnalysis[[#This Row],[SAMV]:[ASH]], 4))</f>
        <v/>
      </c>
      <c r="U249" s="383" t="str">
        <f>IF(COUNTIF(tblSeverityAnalysis[[#This Row],[SAMV]:[ASH]], 5)=0, "", COUNTIF(tblSeverityAnalysis[[#This Row],[SAMV]:[ASH]], 5))</f>
        <v/>
      </c>
      <c r="V249" s="375" cm="1">
        <f t="array" ref="V24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4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49" s="237" t="str">
        <f>IFERROR(IF(INDEX(tblSeverityReference[Severidad de la desnutrición],MATCH(tblSeverityAnalysis[[#This Row],[ID]], tblSeverityReference[ID], 0))= "", "",INDEX(tblSeverityReference[Severidad de la desnutrición],MATCH(tblSeverityAnalysis[[#This Row],[ID]], tblSeverityReference[ID], 0)) ), "")</f>
        <v/>
      </c>
      <c r="Y249" s="349" t="str">
        <f>IFERROR(IF(INDEX(tblSeverityReference[Severidad epidémica],MATCH(tblSeverityAnalysis[[#This Row],[ID]], tblSeverityReference[ID], 0))= "", "",INDEX(tblSeverityReference[Severidad epidémica],MATCH(tblSeverityAnalysis[[#This Row],[ID]], tblSeverityReference[ID], 0)) ), "")</f>
        <v/>
      </c>
      <c r="Z24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49" s="391" t="str">
        <f>IFERROR(IF(INDEX(tblSeverityReference[HR/IHL Violation],MATCH(tblSeverityAnalysis[[#This Row],[ID]], tblSeverityReference[ID], 0))= "", "",INDEX(tblSeverityReference[HR/IHL Violation],MATCH(tblSeverityAnalysis[[#This Row],[ID]], tblSeverityReference[ID], 0)) ), "")</f>
        <v/>
      </c>
      <c r="AB249" s="397">
        <f>IFERROR(AVERAGE(tblSeverityAnalysis[[#This Row],[SAMV]:[ASH]]), "")</f>
        <v>2.6666666666666665</v>
      </c>
      <c r="AC249" s="346">
        <f>IF(SUM(tblSeverityAnalysis[[#This Row],[SAMV]:[ASH]])=0, "", MAX(tblSeverityAnalysis[[#This Row],[SAMV]:[ASH]]))</f>
        <v>3</v>
      </c>
      <c r="AD249" s="261" t="str" cm="1">
        <f t="array" ref="AD249">IFERROR(IF(tblSeverityAnalysis[[#This Row],[Severidad máxima]]="", "", _xlfn.TEXTJOIN(CHAR(10), TRUE, IF(tblSeverityAnalysis[[#This Row],[SAMV]:[ASH]]=tblSeverityAnalysis[[#This Row],[Severidad máxima]], tblSeverityAnalysis[[#Headers],[SAMV]:[ASH]], ""), "")), "")</f>
        <v>SAMV
SAL
EDU
PRO</v>
      </c>
      <c r="AE249" s="346" cm="1">
        <f t="array" ref="AE249">IFERROR(MAX(_xlfn._xlws.FILTER(tblSeverityAnalysis[[#This Row],[SAMV]:[ASH]], tblSeverityAnalysis[[#This Row],[SAMV]:[ASH]]&lt;tblSeverityAnalysis[[#This Row],[Severidad máxima]])), "")</f>
        <v>2</v>
      </c>
      <c r="AF249" s="398" t="str" cm="1">
        <f t="array" ref="AF249">IFERROR(IF(tblSeverityAnalysis[[#This Row],[2ª mayor severidad]]="", "", _xlfn.TEXTJOIN(CHAR(10), TRUE, IF(tblSeverityAnalysis[[#This Row],[SAMV]:[ASH]]=tblSeverityAnalysis[[#This Row],[2ª mayor severidad]], tblSeverityAnalysis[[#Headers],[SAMV]:[ASH]], ""), "")), "")</f>
        <v>NUT
ASH</v>
      </c>
      <c r="AG249" s="405" t="str">
        <f>IFERROR(IF(AND(tblSeverityAnalysis[[#This Row],[5]] &lt;&gt; "", tblSeverityAnalysis[[#This Row],[5]]&gt;=sectors_sev_5), "Flagged", ""), "")</f>
        <v/>
      </c>
      <c r="AH249" s="347" t="str">
        <f>IFERROR(IF(AND(tblSeverityAnalysis[[#This Row],[Severidad preliminar basada en la superposición de privaciones sectoriales]]=5, SUM(tblSeverityAnalysis[[#This Row],[ 1 ]:[ 4 ]])&gt;=sectors_sev_5), "Flagged", ""), "")</f>
        <v/>
      </c>
      <c r="AI249" s="348" t="str" cm="1">
        <f t="array" ref="AI24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4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49" s="350"/>
      <c r="AL249" s="351"/>
      <c r="AM249" s="350"/>
      <c r="AN249" s="407">
        <f>COUNTIF(tblSeverityAnalysis[[#This Row],[1 sectores en fase de severidad 5 '[modificar el umbral']]:[Marcador manual]], "Flagged")</f>
        <v>0</v>
      </c>
      <c r="AO249" s="418">
        <f>tblSeverityAnalysis[[#This Row],[Severidad preliminar basada en la superposición de privaciones sectoriales]]</f>
        <v>3</v>
      </c>
      <c r="AP249" s="417"/>
      <c r="AQ249" s="421" t="s">
        <v>876</v>
      </c>
      <c r="AR249" s="417">
        <v>3</v>
      </c>
    </row>
    <row r="250" spans="1:44" hidden="1">
      <c r="A25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VenezolanosVE1912</v>
      </c>
      <c r="B250" s="363" t="s">
        <v>203</v>
      </c>
      <c r="C250" s="323" t="s">
        <v>564</v>
      </c>
      <c r="D250" s="322" t="s">
        <v>582</v>
      </c>
      <c r="E250" s="323" t="s">
        <v>583</v>
      </c>
      <c r="F250" s="323"/>
      <c r="G250" s="324">
        <v>53889</v>
      </c>
      <c r="H250" s="324" t="s">
        <v>102</v>
      </c>
      <c r="I250" s="374">
        <v>4</v>
      </c>
      <c r="J250" s="237">
        <v>2</v>
      </c>
      <c r="K250" s="237">
        <v>3</v>
      </c>
      <c r="L250" s="237">
        <v>4</v>
      </c>
      <c r="M250" s="237">
        <v>3</v>
      </c>
      <c r="N250" s="237">
        <v>2</v>
      </c>
      <c r="O250" s="237">
        <v>3</v>
      </c>
      <c r="P250" s="237">
        <v>3</v>
      </c>
      <c r="Q250" s="382" t="str">
        <f>IF(COUNTIF(tblSeverityAnalysis[[#This Row],[SAMV]:[ASH]], 1)=0, "", COUNTIF(tblSeverityAnalysis[[#This Row],[SAMV]:[ASH]], 1))</f>
        <v/>
      </c>
      <c r="R250" s="325">
        <f>IF(COUNTIF(tblSeverityAnalysis[[#This Row],[SAMV]:[ASH]], 2)=0, "", COUNTIF(tblSeverityAnalysis[[#This Row],[SAMV]:[ASH]], 2))</f>
        <v>2</v>
      </c>
      <c r="S250" s="325">
        <f>IF(COUNTIF(tblSeverityAnalysis[[#This Row],[SAMV]:[ASH]], 3)=0, "", COUNTIF(tblSeverityAnalysis[[#This Row],[SAMV]:[ASH]], 3))</f>
        <v>2</v>
      </c>
      <c r="T250" s="325">
        <f>IF(COUNTIF(tblSeverityAnalysis[[#This Row],[SAMV]:[ASH]], 4)=0, "", COUNTIF(tblSeverityAnalysis[[#This Row],[SAMV]:[ASH]], 4))</f>
        <v>2</v>
      </c>
      <c r="U250" s="383" t="str">
        <f>IF(COUNTIF(tblSeverityAnalysis[[#This Row],[SAMV]:[ASH]], 5)=0, "", COUNTIF(tblSeverityAnalysis[[#This Row],[SAMV]:[ASH]], 5))</f>
        <v/>
      </c>
      <c r="V250" s="375" cm="1">
        <f t="array" ref="V25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5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50" s="237" t="str">
        <f>IFERROR(IF(INDEX(tblSeverityReference[Severidad de la desnutrición],MATCH(tblSeverityAnalysis[[#This Row],[ID]], tblSeverityReference[ID], 0))= "", "",INDEX(tblSeverityReference[Severidad de la desnutrición],MATCH(tblSeverityAnalysis[[#This Row],[ID]], tblSeverityReference[ID], 0)) ), "")</f>
        <v/>
      </c>
      <c r="Y250" s="349" t="str">
        <f>IFERROR(IF(INDEX(tblSeverityReference[Severidad epidémica],MATCH(tblSeverityAnalysis[[#This Row],[ID]], tblSeverityReference[ID], 0))= "", "",INDEX(tblSeverityReference[Severidad epidémica],MATCH(tblSeverityAnalysis[[#This Row],[ID]], tblSeverityReference[ID], 0)) ), "")</f>
        <v/>
      </c>
      <c r="Z25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50" s="391" t="str">
        <f>IFERROR(IF(INDEX(tblSeverityReference[HR/IHL Violation],MATCH(tblSeverityAnalysis[[#This Row],[ID]], tblSeverityReference[ID], 0))= "", "",INDEX(tblSeverityReference[HR/IHL Violation],MATCH(tblSeverityAnalysis[[#This Row],[ID]], tblSeverityReference[ID], 0)) ), "")</f>
        <v/>
      </c>
      <c r="AB250" s="397">
        <f>IFERROR(AVERAGE(tblSeverityAnalysis[[#This Row],[SAMV]:[ASH]]), "")</f>
        <v>3</v>
      </c>
      <c r="AC250" s="346">
        <f>IF(SUM(tblSeverityAnalysis[[#This Row],[SAMV]:[ASH]])=0, "", MAX(tblSeverityAnalysis[[#This Row],[SAMV]:[ASH]]))</f>
        <v>4</v>
      </c>
      <c r="AD250" s="261" t="str" cm="1">
        <f t="array" ref="AD250">IFERROR(IF(tblSeverityAnalysis[[#This Row],[Severidad máxima]]="", "", _xlfn.TEXTJOIN(CHAR(10), TRUE, IF(tblSeverityAnalysis[[#This Row],[SAMV]:[ASH]]=tblSeverityAnalysis[[#This Row],[Severidad máxima]], tblSeverityAnalysis[[#Headers],[SAMV]:[ASH]], ""), "")), "")</f>
        <v>SAMV
EDU</v>
      </c>
      <c r="AE250" s="346" cm="1">
        <f t="array" ref="AE250">IFERROR(MAX(_xlfn._xlws.FILTER(tblSeverityAnalysis[[#This Row],[SAMV]:[ASH]], tblSeverityAnalysis[[#This Row],[SAMV]:[ASH]]&lt;tblSeverityAnalysis[[#This Row],[Severidad máxima]])), "")</f>
        <v>3</v>
      </c>
      <c r="AF250" s="398" t="str" cm="1">
        <f t="array" ref="AF250">IFERROR(IF(tblSeverityAnalysis[[#This Row],[2ª mayor severidad]]="", "", _xlfn.TEXTJOIN(CHAR(10), TRUE, IF(tblSeverityAnalysis[[#This Row],[SAMV]:[ASH]]=tblSeverityAnalysis[[#This Row],[2ª mayor severidad]], tblSeverityAnalysis[[#Headers],[SAMV]:[ASH]], ""), "")), "")</f>
        <v>SAL
PRO</v>
      </c>
      <c r="AG250" s="405" t="str">
        <f>IFERROR(IF(AND(tblSeverityAnalysis[[#This Row],[5]] &lt;&gt; "", tblSeverityAnalysis[[#This Row],[5]]&gt;=sectors_sev_5), "Flagged", ""), "")</f>
        <v/>
      </c>
      <c r="AH250" s="347" t="str">
        <f>IFERROR(IF(AND(tblSeverityAnalysis[[#This Row],[Severidad preliminar basada en la superposición de privaciones sectoriales]]=5, SUM(tblSeverityAnalysis[[#This Row],[ 1 ]:[ 4 ]])&gt;=sectors_sev_5), "Flagged", ""), "")</f>
        <v/>
      </c>
      <c r="AI250" s="348" t="str" cm="1">
        <f t="array" ref="AI25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5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50" s="350"/>
      <c r="AL250" s="351"/>
      <c r="AM250" s="350"/>
      <c r="AN250" s="407">
        <f>COUNTIF(tblSeverityAnalysis[[#This Row],[1 sectores en fase de severidad 5 '[modificar el umbral']]:[Marcador manual]], "Flagged")</f>
        <v>0</v>
      </c>
      <c r="AO250" s="418">
        <f>tblSeverityAnalysis[[#This Row],[Severidad preliminar basada en la superposición de privaciones sectoriales]]</f>
        <v>3</v>
      </c>
      <c r="AP250" s="417"/>
      <c r="AQ250" s="421" t="s">
        <v>876</v>
      </c>
      <c r="AR250" s="417">
        <v>4</v>
      </c>
    </row>
    <row r="251" spans="1:44" hidden="1">
      <c r="A25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VenezolanosVE1913</v>
      </c>
      <c r="B251" s="363" t="s">
        <v>203</v>
      </c>
      <c r="C251" s="323" t="s">
        <v>564</v>
      </c>
      <c r="D251" s="322" t="s">
        <v>584</v>
      </c>
      <c r="E251" s="323" t="s">
        <v>585</v>
      </c>
      <c r="F251" s="323"/>
      <c r="G251" s="324">
        <v>58192</v>
      </c>
      <c r="H251" s="324" t="s">
        <v>102</v>
      </c>
      <c r="I251" s="374">
        <v>3</v>
      </c>
      <c r="J251" s="237">
        <v>2</v>
      </c>
      <c r="K251" s="237">
        <v>3</v>
      </c>
      <c r="L251" s="237">
        <v>3</v>
      </c>
      <c r="M251" s="237">
        <v>3</v>
      </c>
      <c r="N251" s="237">
        <v>2</v>
      </c>
      <c r="O251" s="237">
        <v>3</v>
      </c>
      <c r="P251" s="237">
        <v>3</v>
      </c>
      <c r="Q251" s="382" t="str">
        <f>IF(COUNTIF(tblSeverityAnalysis[[#This Row],[SAMV]:[ASH]], 1)=0, "", COUNTIF(tblSeverityAnalysis[[#This Row],[SAMV]:[ASH]], 1))</f>
        <v/>
      </c>
      <c r="R251" s="325">
        <f>IF(COUNTIF(tblSeverityAnalysis[[#This Row],[SAMV]:[ASH]], 2)=0, "", COUNTIF(tblSeverityAnalysis[[#This Row],[SAMV]:[ASH]], 2))</f>
        <v>2</v>
      </c>
      <c r="S251" s="325">
        <f>IF(COUNTIF(tblSeverityAnalysis[[#This Row],[SAMV]:[ASH]], 3)=0, "", COUNTIF(tblSeverityAnalysis[[#This Row],[SAMV]:[ASH]], 3))</f>
        <v>4</v>
      </c>
      <c r="T251" s="325" t="str">
        <f>IF(COUNTIF(tblSeverityAnalysis[[#This Row],[SAMV]:[ASH]], 4)=0, "", COUNTIF(tblSeverityAnalysis[[#This Row],[SAMV]:[ASH]], 4))</f>
        <v/>
      </c>
      <c r="U251" s="383" t="str">
        <f>IF(COUNTIF(tblSeverityAnalysis[[#This Row],[SAMV]:[ASH]], 5)=0, "", COUNTIF(tblSeverityAnalysis[[#This Row],[SAMV]:[ASH]], 5))</f>
        <v/>
      </c>
      <c r="V251" s="375" cm="1">
        <f t="array" ref="V25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5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51" s="237" t="str">
        <f>IFERROR(IF(INDEX(tblSeverityReference[Severidad de la desnutrición],MATCH(tblSeverityAnalysis[[#This Row],[ID]], tblSeverityReference[ID], 0))= "", "",INDEX(tblSeverityReference[Severidad de la desnutrición],MATCH(tblSeverityAnalysis[[#This Row],[ID]], tblSeverityReference[ID], 0)) ), "")</f>
        <v/>
      </c>
      <c r="Y251" s="349" t="str">
        <f>IFERROR(IF(INDEX(tblSeverityReference[Severidad epidémica],MATCH(tblSeverityAnalysis[[#This Row],[ID]], tblSeverityReference[ID], 0))= "", "",INDEX(tblSeverityReference[Severidad epidémica],MATCH(tblSeverityAnalysis[[#This Row],[ID]], tblSeverityReference[ID], 0)) ), "")</f>
        <v/>
      </c>
      <c r="Z25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51" s="391" t="str">
        <f>IFERROR(IF(INDEX(tblSeverityReference[HR/IHL Violation],MATCH(tblSeverityAnalysis[[#This Row],[ID]], tblSeverityReference[ID], 0))= "", "",INDEX(tblSeverityReference[HR/IHL Violation],MATCH(tblSeverityAnalysis[[#This Row],[ID]], tblSeverityReference[ID], 0)) ), "")</f>
        <v/>
      </c>
      <c r="AB251" s="397">
        <f>IFERROR(AVERAGE(tblSeverityAnalysis[[#This Row],[SAMV]:[ASH]]), "")</f>
        <v>2.6666666666666665</v>
      </c>
      <c r="AC251" s="346">
        <f>IF(SUM(tblSeverityAnalysis[[#This Row],[SAMV]:[ASH]])=0, "", MAX(tblSeverityAnalysis[[#This Row],[SAMV]:[ASH]]))</f>
        <v>3</v>
      </c>
      <c r="AD251" s="261" t="str" cm="1">
        <f t="array" ref="AD251">IFERROR(IF(tblSeverityAnalysis[[#This Row],[Severidad máxima]]="", "", _xlfn.TEXTJOIN(CHAR(10), TRUE, IF(tblSeverityAnalysis[[#This Row],[SAMV]:[ASH]]=tblSeverityAnalysis[[#This Row],[Severidad máxima]], tblSeverityAnalysis[[#Headers],[SAMV]:[ASH]], ""), "")), "")</f>
        <v>SAMV
SAL
EDU
PRO</v>
      </c>
      <c r="AE251" s="346" cm="1">
        <f t="array" ref="AE251">IFERROR(MAX(_xlfn._xlws.FILTER(tblSeverityAnalysis[[#This Row],[SAMV]:[ASH]], tblSeverityAnalysis[[#This Row],[SAMV]:[ASH]]&lt;tblSeverityAnalysis[[#This Row],[Severidad máxima]])), "")</f>
        <v>2</v>
      </c>
      <c r="AF251" s="398" t="str" cm="1">
        <f t="array" ref="AF251">IFERROR(IF(tblSeverityAnalysis[[#This Row],[2ª mayor severidad]]="", "", _xlfn.TEXTJOIN(CHAR(10), TRUE, IF(tblSeverityAnalysis[[#This Row],[SAMV]:[ASH]]=tblSeverityAnalysis[[#This Row],[2ª mayor severidad]], tblSeverityAnalysis[[#Headers],[SAMV]:[ASH]], ""), "")), "")</f>
        <v>NUT
ASH</v>
      </c>
      <c r="AG251" s="405" t="str">
        <f>IFERROR(IF(AND(tblSeverityAnalysis[[#This Row],[5]] &lt;&gt; "", tblSeverityAnalysis[[#This Row],[5]]&gt;=sectors_sev_5), "Flagged", ""), "")</f>
        <v/>
      </c>
      <c r="AH251" s="347" t="str">
        <f>IFERROR(IF(AND(tblSeverityAnalysis[[#This Row],[Severidad preliminar basada en la superposición de privaciones sectoriales]]=5, SUM(tblSeverityAnalysis[[#This Row],[ 1 ]:[ 4 ]])&gt;=sectors_sev_5), "Flagged", ""), "")</f>
        <v/>
      </c>
      <c r="AI251" s="348" t="str" cm="1">
        <f t="array" ref="AI25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5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51" s="350"/>
      <c r="AL251" s="351"/>
      <c r="AM251" s="350"/>
      <c r="AN251" s="407">
        <f>COUNTIF(tblSeverityAnalysis[[#This Row],[1 sectores en fase de severidad 5 '[modificar el umbral']]:[Marcador manual]], "Flagged")</f>
        <v>0</v>
      </c>
      <c r="AO251" s="418">
        <f>tblSeverityAnalysis[[#This Row],[Severidad preliminar basada en la superposición de privaciones sectoriales]]</f>
        <v>3</v>
      </c>
      <c r="AP251" s="417"/>
      <c r="AQ251" s="421" t="s">
        <v>876</v>
      </c>
      <c r="AR251" s="417">
        <v>3</v>
      </c>
    </row>
    <row r="252" spans="1:44" hidden="1">
      <c r="A25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VenezolanosVE1914</v>
      </c>
      <c r="B252" s="363" t="s">
        <v>203</v>
      </c>
      <c r="C252" s="323" t="s">
        <v>564</v>
      </c>
      <c r="D252" s="322" t="s">
        <v>203</v>
      </c>
      <c r="E252" s="323" t="s">
        <v>586</v>
      </c>
      <c r="F252" s="323"/>
      <c r="G252" s="324">
        <v>358919</v>
      </c>
      <c r="H252" s="324" t="s">
        <v>102</v>
      </c>
      <c r="I252" s="374">
        <v>3</v>
      </c>
      <c r="J252" s="237">
        <v>2</v>
      </c>
      <c r="K252" s="237">
        <v>3</v>
      </c>
      <c r="L252" s="237">
        <v>3</v>
      </c>
      <c r="M252" s="237">
        <v>4</v>
      </c>
      <c r="N252" s="237">
        <v>3</v>
      </c>
      <c r="O252" s="237">
        <v>4</v>
      </c>
      <c r="P252" s="237">
        <v>4</v>
      </c>
      <c r="Q252" s="382" t="str">
        <f>IF(COUNTIF(tblSeverityAnalysis[[#This Row],[SAMV]:[ASH]], 1)=0, "", COUNTIF(tblSeverityAnalysis[[#This Row],[SAMV]:[ASH]], 1))</f>
        <v/>
      </c>
      <c r="R252" s="325">
        <f>IF(COUNTIF(tblSeverityAnalysis[[#This Row],[SAMV]:[ASH]], 2)=0, "", COUNTIF(tblSeverityAnalysis[[#This Row],[SAMV]:[ASH]], 2))</f>
        <v>1</v>
      </c>
      <c r="S252" s="325">
        <f>IF(COUNTIF(tblSeverityAnalysis[[#This Row],[SAMV]:[ASH]], 3)=0, "", COUNTIF(tblSeverityAnalysis[[#This Row],[SAMV]:[ASH]], 3))</f>
        <v>4</v>
      </c>
      <c r="T252" s="325">
        <f>IF(COUNTIF(tblSeverityAnalysis[[#This Row],[SAMV]:[ASH]], 4)=0, "", COUNTIF(tblSeverityAnalysis[[#This Row],[SAMV]:[ASH]], 4))</f>
        <v>1</v>
      </c>
      <c r="U252" s="383" t="str">
        <f>IF(COUNTIF(tblSeverityAnalysis[[#This Row],[SAMV]:[ASH]], 5)=0, "", COUNTIF(tblSeverityAnalysis[[#This Row],[SAMV]:[ASH]], 5))</f>
        <v/>
      </c>
      <c r="V252" s="375" cm="1">
        <f t="array" ref="V25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5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52" s="237" t="str">
        <f>IFERROR(IF(INDEX(tblSeverityReference[Severidad de la desnutrición],MATCH(tblSeverityAnalysis[[#This Row],[ID]], tblSeverityReference[ID], 0))= "", "",INDEX(tblSeverityReference[Severidad de la desnutrición],MATCH(tblSeverityAnalysis[[#This Row],[ID]], tblSeverityReference[ID], 0)) ), "")</f>
        <v/>
      </c>
      <c r="Y252" s="349" t="str">
        <f>IFERROR(IF(INDEX(tblSeverityReference[Severidad epidémica],MATCH(tblSeverityAnalysis[[#This Row],[ID]], tblSeverityReference[ID], 0))= "", "",INDEX(tblSeverityReference[Severidad epidémica],MATCH(tblSeverityAnalysis[[#This Row],[ID]], tblSeverityReference[ID], 0)) ), "")</f>
        <v/>
      </c>
      <c r="Z25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52" s="391" t="str">
        <f>IFERROR(IF(INDEX(tblSeverityReference[HR/IHL Violation],MATCH(tblSeverityAnalysis[[#This Row],[ID]], tblSeverityReference[ID], 0))= "", "",INDEX(tblSeverityReference[HR/IHL Violation],MATCH(tblSeverityAnalysis[[#This Row],[ID]], tblSeverityReference[ID], 0)) ), "")</f>
        <v/>
      </c>
      <c r="AB252" s="397">
        <f>IFERROR(AVERAGE(tblSeverityAnalysis[[#This Row],[SAMV]:[ASH]]), "")</f>
        <v>3</v>
      </c>
      <c r="AC252" s="346">
        <f>IF(SUM(tblSeverityAnalysis[[#This Row],[SAMV]:[ASH]])=0, "", MAX(tblSeverityAnalysis[[#This Row],[SAMV]:[ASH]]))</f>
        <v>4</v>
      </c>
      <c r="AD252" s="261" t="str" cm="1">
        <f t="array" ref="AD252">IFERROR(IF(tblSeverityAnalysis[[#This Row],[Severidad máxima]]="", "", _xlfn.TEXTJOIN(CHAR(10), TRUE, IF(tblSeverityAnalysis[[#This Row],[SAMV]:[ASH]]=tblSeverityAnalysis[[#This Row],[Severidad máxima]], tblSeverityAnalysis[[#Headers],[SAMV]:[ASH]], ""), "")), "")</f>
        <v>PRO</v>
      </c>
      <c r="AE252" s="346" cm="1">
        <f t="array" ref="AE252">IFERROR(MAX(_xlfn._xlws.FILTER(tblSeverityAnalysis[[#This Row],[SAMV]:[ASH]], tblSeverityAnalysis[[#This Row],[SAMV]:[ASH]]&lt;tblSeverityAnalysis[[#This Row],[Severidad máxima]])), "")</f>
        <v>3</v>
      </c>
      <c r="AF252" s="398" t="str" cm="1">
        <f t="array" ref="AF252">IFERROR(IF(tblSeverityAnalysis[[#This Row],[2ª mayor severidad]]="", "", _xlfn.TEXTJOIN(CHAR(10), TRUE, IF(tblSeverityAnalysis[[#This Row],[SAMV]:[ASH]]=tblSeverityAnalysis[[#This Row],[2ª mayor severidad]], tblSeverityAnalysis[[#Headers],[SAMV]:[ASH]], ""), "")), "")</f>
        <v>SAMV
SAL
EDU
ASH</v>
      </c>
      <c r="AG252" s="405" t="str">
        <f>IFERROR(IF(AND(tblSeverityAnalysis[[#This Row],[5]] &lt;&gt; "", tblSeverityAnalysis[[#This Row],[5]]&gt;=sectors_sev_5), "Flagged", ""), "")</f>
        <v/>
      </c>
      <c r="AH252" s="347" t="str">
        <f>IFERROR(IF(AND(tblSeverityAnalysis[[#This Row],[Severidad preliminar basada en la superposición de privaciones sectoriales]]=5, SUM(tblSeverityAnalysis[[#This Row],[ 1 ]:[ 4 ]])&gt;=sectors_sev_5), "Flagged", ""), "")</f>
        <v/>
      </c>
      <c r="AI252" s="348" t="str" cm="1">
        <f t="array" ref="AI25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5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52" s="350"/>
      <c r="AL252" s="351"/>
      <c r="AM252" s="350"/>
      <c r="AN252" s="407">
        <f>COUNTIF(tblSeverityAnalysis[[#This Row],[1 sectores en fase de severidad 5 '[modificar el umbral']]:[Marcador manual]], "Flagged")</f>
        <v>0</v>
      </c>
      <c r="AO252" s="418">
        <f>tblSeverityAnalysis[[#This Row],[Severidad preliminar basada en la superposición de privaciones sectoriales]]</f>
        <v>3</v>
      </c>
      <c r="AP252" s="417"/>
      <c r="AQ252" s="421" t="s">
        <v>875</v>
      </c>
      <c r="AR252" s="417">
        <v>3</v>
      </c>
    </row>
    <row r="253" spans="1:44" hidden="1">
      <c r="A25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VenezolanosVE1915</v>
      </c>
      <c r="B253" s="363" t="s">
        <v>203</v>
      </c>
      <c r="C253" s="323" t="s">
        <v>564</v>
      </c>
      <c r="D253" s="322" t="s">
        <v>587</v>
      </c>
      <c r="E253" s="323" t="s">
        <v>588</v>
      </c>
      <c r="F253" s="323"/>
      <c r="G253" s="324">
        <v>38511</v>
      </c>
      <c r="H253" s="324" t="s">
        <v>102</v>
      </c>
      <c r="I253" s="374">
        <v>4</v>
      </c>
      <c r="J253" s="237">
        <v>2</v>
      </c>
      <c r="K253" s="237">
        <v>4</v>
      </c>
      <c r="L253" s="237">
        <v>4</v>
      </c>
      <c r="M253" s="237">
        <v>5</v>
      </c>
      <c r="N253" s="237">
        <v>4</v>
      </c>
      <c r="O253" s="237">
        <v>5</v>
      </c>
      <c r="P253" s="237">
        <v>5</v>
      </c>
      <c r="Q253" s="382" t="str">
        <f>IF(COUNTIF(tblSeverityAnalysis[[#This Row],[SAMV]:[ASH]], 1)=0, "", COUNTIF(tblSeverityAnalysis[[#This Row],[SAMV]:[ASH]], 1))</f>
        <v/>
      </c>
      <c r="R253" s="325">
        <f>IF(COUNTIF(tblSeverityAnalysis[[#This Row],[SAMV]:[ASH]], 2)=0, "", COUNTIF(tblSeverityAnalysis[[#This Row],[SAMV]:[ASH]], 2))</f>
        <v>1</v>
      </c>
      <c r="S253" s="325" t="str">
        <f>IF(COUNTIF(tblSeverityAnalysis[[#This Row],[SAMV]:[ASH]], 3)=0, "", COUNTIF(tblSeverityAnalysis[[#This Row],[SAMV]:[ASH]], 3))</f>
        <v/>
      </c>
      <c r="T253" s="325">
        <f>IF(COUNTIF(tblSeverityAnalysis[[#This Row],[SAMV]:[ASH]], 4)=0, "", COUNTIF(tblSeverityAnalysis[[#This Row],[SAMV]:[ASH]], 4))</f>
        <v>4</v>
      </c>
      <c r="U253" s="383">
        <f>IF(COUNTIF(tblSeverityAnalysis[[#This Row],[SAMV]:[ASH]], 5)=0, "", COUNTIF(tblSeverityAnalysis[[#This Row],[SAMV]:[ASH]], 5))</f>
        <v>1</v>
      </c>
      <c r="V253" s="375" cm="1">
        <f t="array" ref="V25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25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53" s="237" t="str">
        <f>IFERROR(IF(INDEX(tblSeverityReference[Severidad de la desnutrición],MATCH(tblSeverityAnalysis[[#This Row],[ID]], tblSeverityReference[ID], 0))= "", "",INDEX(tblSeverityReference[Severidad de la desnutrición],MATCH(tblSeverityAnalysis[[#This Row],[ID]], tblSeverityReference[ID], 0)) ), "")</f>
        <v/>
      </c>
      <c r="Y253" s="349" t="str">
        <f>IFERROR(IF(INDEX(tblSeverityReference[Severidad epidémica],MATCH(tblSeverityAnalysis[[#This Row],[ID]], tblSeverityReference[ID], 0))= "", "",INDEX(tblSeverityReference[Severidad epidémica],MATCH(tblSeverityAnalysis[[#This Row],[ID]], tblSeverityReference[ID], 0)) ), "")</f>
        <v/>
      </c>
      <c r="Z25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53" s="391" t="str">
        <f>IFERROR(IF(INDEX(tblSeverityReference[HR/IHL Violation],MATCH(tblSeverityAnalysis[[#This Row],[ID]], tblSeverityReference[ID], 0))= "", "",INDEX(tblSeverityReference[HR/IHL Violation],MATCH(tblSeverityAnalysis[[#This Row],[ID]], tblSeverityReference[ID], 0)) ), "")</f>
        <v/>
      </c>
      <c r="AB253" s="397">
        <f>IFERROR(AVERAGE(tblSeverityAnalysis[[#This Row],[SAMV]:[ASH]]), "")</f>
        <v>3.8333333333333335</v>
      </c>
      <c r="AC253" s="346">
        <f>IF(SUM(tblSeverityAnalysis[[#This Row],[SAMV]:[ASH]])=0, "", MAX(tblSeverityAnalysis[[#This Row],[SAMV]:[ASH]]))</f>
        <v>5</v>
      </c>
      <c r="AD253" s="261" t="str" cm="1">
        <f t="array" ref="AD253">IFERROR(IF(tblSeverityAnalysis[[#This Row],[Severidad máxima]]="", "", _xlfn.TEXTJOIN(CHAR(10), TRUE, IF(tblSeverityAnalysis[[#This Row],[SAMV]:[ASH]]=tblSeverityAnalysis[[#This Row],[Severidad máxima]], tblSeverityAnalysis[[#Headers],[SAMV]:[ASH]], ""), "")), "")</f>
        <v>PRO</v>
      </c>
      <c r="AE253" s="346" cm="1">
        <f t="array" ref="AE253">IFERROR(MAX(_xlfn._xlws.FILTER(tblSeverityAnalysis[[#This Row],[SAMV]:[ASH]], tblSeverityAnalysis[[#This Row],[SAMV]:[ASH]]&lt;tblSeverityAnalysis[[#This Row],[Severidad máxima]])), "")</f>
        <v>4</v>
      </c>
      <c r="AF253" s="398" t="str" cm="1">
        <f t="array" ref="AF253">IFERROR(IF(tblSeverityAnalysis[[#This Row],[2ª mayor severidad]]="", "", _xlfn.TEXTJOIN(CHAR(10), TRUE, IF(tblSeverityAnalysis[[#This Row],[SAMV]:[ASH]]=tblSeverityAnalysis[[#This Row],[2ª mayor severidad]], tblSeverityAnalysis[[#Headers],[SAMV]:[ASH]], ""), "")), "")</f>
        <v>SAMV
SAL
EDU
ASH</v>
      </c>
      <c r="AG253" s="405" t="str">
        <f>IFERROR(IF(AND(tblSeverityAnalysis[[#This Row],[5]] &lt;&gt; "", tblSeverityAnalysis[[#This Row],[5]]&gt;=sectors_sev_5), "Flagged", ""), "")</f>
        <v/>
      </c>
      <c r="AH253" s="347" t="str">
        <f>IFERROR(IF(AND(tblSeverityAnalysis[[#This Row],[Severidad preliminar basada en la superposición de privaciones sectoriales]]=5, SUM(tblSeverityAnalysis[[#This Row],[ 1 ]:[ 4 ]])&gt;=sectors_sev_5), "Flagged", ""), "")</f>
        <v/>
      </c>
      <c r="AI253" s="348" t="str" cm="1">
        <f t="array" ref="AI25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5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53" s="350"/>
      <c r="AL253" s="351"/>
      <c r="AM253" s="350"/>
      <c r="AN253" s="407">
        <f>COUNTIF(tblSeverityAnalysis[[#This Row],[1 sectores en fase de severidad 5 '[modificar el umbral']]:[Marcador manual]], "Flagged")</f>
        <v>0</v>
      </c>
      <c r="AO253" s="418">
        <f>tblSeverityAnalysis[[#This Row],[Severidad preliminar basada en la superposición de privaciones sectoriales]]</f>
        <v>4</v>
      </c>
      <c r="AP253" s="417"/>
      <c r="AQ253" s="421" t="s">
        <v>875</v>
      </c>
      <c r="AR253" s="417">
        <v>3</v>
      </c>
    </row>
    <row r="254" spans="1:44" hidden="1">
      <c r="A25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VenezolanosVE2001</v>
      </c>
      <c r="B254" s="363" t="s">
        <v>589</v>
      </c>
      <c r="C254" s="323" t="s">
        <v>590</v>
      </c>
      <c r="D254" s="322" t="s">
        <v>591</v>
      </c>
      <c r="E254" s="323" t="s">
        <v>592</v>
      </c>
      <c r="F254" s="323"/>
      <c r="G254" s="324">
        <v>20358</v>
      </c>
      <c r="H254" s="324" t="s">
        <v>102</v>
      </c>
      <c r="I254" s="374">
        <v>2</v>
      </c>
      <c r="J254" s="237">
        <v>1</v>
      </c>
      <c r="K254" s="237">
        <v>3</v>
      </c>
      <c r="L254" s="237">
        <v>3</v>
      </c>
      <c r="M254" s="237">
        <v>3</v>
      </c>
      <c r="N254" s="237">
        <v>2</v>
      </c>
      <c r="O254" s="237">
        <v>3</v>
      </c>
      <c r="P254" s="237">
        <v>3</v>
      </c>
      <c r="Q254" s="382">
        <f>IF(COUNTIF(tblSeverityAnalysis[[#This Row],[SAMV]:[ASH]], 1)=0, "", COUNTIF(tblSeverityAnalysis[[#This Row],[SAMV]:[ASH]], 1))</f>
        <v>1</v>
      </c>
      <c r="R254" s="325">
        <f>IF(COUNTIF(tblSeverityAnalysis[[#This Row],[SAMV]:[ASH]], 2)=0, "", COUNTIF(tblSeverityAnalysis[[#This Row],[SAMV]:[ASH]], 2))</f>
        <v>2</v>
      </c>
      <c r="S254" s="325">
        <f>IF(COUNTIF(tblSeverityAnalysis[[#This Row],[SAMV]:[ASH]], 3)=0, "", COUNTIF(tblSeverityAnalysis[[#This Row],[SAMV]:[ASH]], 3))</f>
        <v>3</v>
      </c>
      <c r="T254" s="325" t="str">
        <f>IF(COUNTIF(tblSeverityAnalysis[[#This Row],[SAMV]:[ASH]], 4)=0, "", COUNTIF(tblSeverityAnalysis[[#This Row],[SAMV]:[ASH]], 4))</f>
        <v/>
      </c>
      <c r="U254" s="383" t="str">
        <f>IF(COUNTIF(tblSeverityAnalysis[[#This Row],[SAMV]:[ASH]], 5)=0, "", COUNTIF(tblSeverityAnalysis[[#This Row],[SAMV]:[ASH]], 5))</f>
        <v/>
      </c>
      <c r="V254" s="375" cm="1">
        <f t="array" ref="V25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5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54" s="237" t="str">
        <f>IFERROR(IF(INDEX(tblSeverityReference[Severidad de la desnutrición],MATCH(tblSeverityAnalysis[[#This Row],[ID]], tblSeverityReference[ID], 0))= "", "",INDEX(tblSeverityReference[Severidad de la desnutrición],MATCH(tblSeverityAnalysis[[#This Row],[ID]], tblSeverityReference[ID], 0)) ), "")</f>
        <v/>
      </c>
      <c r="Y254" s="349" t="str">
        <f>IFERROR(IF(INDEX(tblSeverityReference[Severidad epidémica],MATCH(tblSeverityAnalysis[[#This Row],[ID]], tblSeverityReference[ID], 0))= "", "",INDEX(tblSeverityReference[Severidad epidémica],MATCH(tblSeverityAnalysis[[#This Row],[ID]], tblSeverityReference[ID], 0)) ), "")</f>
        <v/>
      </c>
      <c r="Z25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54" s="391" t="str">
        <f>IFERROR(IF(INDEX(tblSeverityReference[HR/IHL Violation],MATCH(tblSeverityAnalysis[[#This Row],[ID]], tblSeverityReference[ID], 0))= "", "",INDEX(tblSeverityReference[HR/IHL Violation],MATCH(tblSeverityAnalysis[[#This Row],[ID]], tblSeverityReference[ID], 0)) ), "")</f>
        <v/>
      </c>
      <c r="AB254" s="397">
        <f>IFERROR(AVERAGE(tblSeverityAnalysis[[#This Row],[SAMV]:[ASH]]), "")</f>
        <v>2.3333333333333335</v>
      </c>
      <c r="AC254" s="346">
        <f>IF(SUM(tblSeverityAnalysis[[#This Row],[SAMV]:[ASH]])=0, "", MAX(tblSeverityAnalysis[[#This Row],[SAMV]:[ASH]]))</f>
        <v>3</v>
      </c>
      <c r="AD254" s="261" t="str" cm="1">
        <f t="array" ref="AD254">IFERROR(IF(tblSeverityAnalysis[[#This Row],[Severidad máxima]]="", "", _xlfn.TEXTJOIN(CHAR(10), TRUE, IF(tblSeverityAnalysis[[#This Row],[SAMV]:[ASH]]=tblSeverityAnalysis[[#This Row],[Severidad máxima]], tblSeverityAnalysis[[#Headers],[SAMV]:[ASH]], ""), "")), "")</f>
        <v>SAL
EDU
PRO</v>
      </c>
      <c r="AE254" s="346" cm="1">
        <f t="array" ref="AE254">IFERROR(MAX(_xlfn._xlws.FILTER(tblSeverityAnalysis[[#This Row],[SAMV]:[ASH]], tblSeverityAnalysis[[#This Row],[SAMV]:[ASH]]&lt;tblSeverityAnalysis[[#This Row],[Severidad máxima]])), "")</f>
        <v>2</v>
      </c>
      <c r="AF254" s="398" t="str" cm="1">
        <f t="array" ref="AF254">IFERROR(IF(tblSeverityAnalysis[[#This Row],[2ª mayor severidad]]="", "", _xlfn.TEXTJOIN(CHAR(10), TRUE, IF(tblSeverityAnalysis[[#This Row],[SAMV]:[ASH]]=tblSeverityAnalysis[[#This Row],[2ª mayor severidad]], tblSeverityAnalysis[[#Headers],[SAMV]:[ASH]], ""), "")), "")</f>
        <v>SAMV
ASH</v>
      </c>
      <c r="AG254" s="405" t="str">
        <f>IFERROR(IF(AND(tblSeverityAnalysis[[#This Row],[5]] &lt;&gt; "", tblSeverityAnalysis[[#This Row],[5]]&gt;=sectors_sev_5), "Flagged", ""), "")</f>
        <v/>
      </c>
      <c r="AH254" s="347" t="str">
        <f>IFERROR(IF(AND(tblSeverityAnalysis[[#This Row],[Severidad preliminar basada en la superposición de privaciones sectoriales]]=5, SUM(tblSeverityAnalysis[[#This Row],[ 1 ]:[ 4 ]])&gt;=sectors_sev_5), "Flagged", ""), "")</f>
        <v/>
      </c>
      <c r="AI254" s="348" t="str" cm="1">
        <f t="array" ref="AI25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5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54" s="350"/>
      <c r="AL254" s="351"/>
      <c r="AM254" s="350"/>
      <c r="AN254" s="407">
        <f>COUNTIF(tblSeverityAnalysis[[#This Row],[1 sectores en fase de severidad 5 '[modificar el umbral']]:[Marcador manual]], "Flagged")</f>
        <v>0</v>
      </c>
      <c r="AO254" s="418">
        <f>tblSeverityAnalysis[[#This Row],[Severidad preliminar basada en la superposición de privaciones sectoriales]]</f>
        <v>2</v>
      </c>
      <c r="AP254" s="417"/>
      <c r="AQ254" s="421" t="s">
        <v>876</v>
      </c>
      <c r="AR254" s="417">
        <v>3</v>
      </c>
    </row>
    <row r="255" spans="1:44" hidden="1">
      <c r="A25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VenezolanosVE2002</v>
      </c>
      <c r="B255" s="363" t="s">
        <v>589</v>
      </c>
      <c r="C255" s="323" t="s">
        <v>590</v>
      </c>
      <c r="D255" s="322" t="s">
        <v>593</v>
      </c>
      <c r="E255" s="323" t="s">
        <v>594</v>
      </c>
      <c r="F255" s="323"/>
      <c r="G255" s="324">
        <v>10061</v>
      </c>
      <c r="H255" s="324" t="s">
        <v>102</v>
      </c>
      <c r="I255" s="374">
        <v>3</v>
      </c>
      <c r="J255" s="237">
        <v>2</v>
      </c>
      <c r="K255" s="237">
        <v>4</v>
      </c>
      <c r="L255" s="237">
        <v>3</v>
      </c>
      <c r="M255" s="237">
        <v>2</v>
      </c>
      <c r="N255" s="237">
        <v>2</v>
      </c>
      <c r="O255" s="237">
        <v>2</v>
      </c>
      <c r="P255" s="237">
        <v>2</v>
      </c>
      <c r="Q255" s="382" t="str">
        <f>IF(COUNTIF(tblSeverityAnalysis[[#This Row],[SAMV]:[ASH]], 1)=0, "", COUNTIF(tblSeverityAnalysis[[#This Row],[SAMV]:[ASH]], 1))</f>
        <v/>
      </c>
      <c r="R255" s="325">
        <f>IF(COUNTIF(tblSeverityAnalysis[[#This Row],[SAMV]:[ASH]], 2)=0, "", COUNTIF(tblSeverityAnalysis[[#This Row],[SAMV]:[ASH]], 2))</f>
        <v>3</v>
      </c>
      <c r="S255" s="325">
        <f>IF(COUNTIF(tblSeverityAnalysis[[#This Row],[SAMV]:[ASH]], 3)=0, "", COUNTIF(tblSeverityAnalysis[[#This Row],[SAMV]:[ASH]], 3))</f>
        <v>2</v>
      </c>
      <c r="T255" s="325">
        <f>IF(COUNTIF(tblSeverityAnalysis[[#This Row],[SAMV]:[ASH]], 4)=0, "", COUNTIF(tblSeverityAnalysis[[#This Row],[SAMV]:[ASH]], 4))</f>
        <v>1</v>
      </c>
      <c r="U255" s="383" t="str">
        <f>IF(COUNTIF(tblSeverityAnalysis[[#This Row],[SAMV]:[ASH]], 5)=0, "", COUNTIF(tblSeverityAnalysis[[#This Row],[SAMV]:[ASH]], 5))</f>
        <v/>
      </c>
      <c r="V255" s="375" cm="1">
        <f t="array" ref="V25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5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55" s="237" t="str">
        <f>IFERROR(IF(INDEX(tblSeverityReference[Severidad de la desnutrición],MATCH(tblSeverityAnalysis[[#This Row],[ID]], tblSeverityReference[ID], 0))= "", "",INDEX(tblSeverityReference[Severidad de la desnutrición],MATCH(tblSeverityAnalysis[[#This Row],[ID]], tblSeverityReference[ID], 0)) ), "")</f>
        <v/>
      </c>
      <c r="Y255" s="349" t="str">
        <f>IFERROR(IF(INDEX(tblSeverityReference[Severidad epidémica],MATCH(tblSeverityAnalysis[[#This Row],[ID]], tblSeverityReference[ID], 0))= "", "",INDEX(tblSeverityReference[Severidad epidémica],MATCH(tblSeverityAnalysis[[#This Row],[ID]], tblSeverityReference[ID], 0)) ), "")</f>
        <v/>
      </c>
      <c r="Z25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55" s="391" t="str">
        <f>IFERROR(IF(INDEX(tblSeverityReference[HR/IHL Violation],MATCH(tblSeverityAnalysis[[#This Row],[ID]], tblSeverityReference[ID], 0))= "", "",INDEX(tblSeverityReference[HR/IHL Violation],MATCH(tblSeverityAnalysis[[#This Row],[ID]], tblSeverityReference[ID], 0)) ), "")</f>
        <v/>
      </c>
      <c r="AB255" s="397">
        <f>IFERROR(AVERAGE(tblSeverityAnalysis[[#This Row],[SAMV]:[ASH]]), "")</f>
        <v>2.6666666666666665</v>
      </c>
      <c r="AC255" s="346">
        <f>IF(SUM(tblSeverityAnalysis[[#This Row],[SAMV]:[ASH]])=0, "", MAX(tblSeverityAnalysis[[#This Row],[SAMV]:[ASH]]))</f>
        <v>4</v>
      </c>
      <c r="AD255" s="261" t="str" cm="1">
        <f t="array" ref="AD255">IFERROR(IF(tblSeverityAnalysis[[#This Row],[Severidad máxima]]="", "", _xlfn.TEXTJOIN(CHAR(10), TRUE, IF(tblSeverityAnalysis[[#This Row],[SAMV]:[ASH]]=tblSeverityAnalysis[[#This Row],[Severidad máxima]], tblSeverityAnalysis[[#Headers],[SAMV]:[ASH]], ""), "")), "")</f>
        <v>SAL</v>
      </c>
      <c r="AE255" s="346" cm="1">
        <f t="array" ref="AE255">IFERROR(MAX(_xlfn._xlws.FILTER(tblSeverityAnalysis[[#This Row],[SAMV]:[ASH]], tblSeverityAnalysis[[#This Row],[SAMV]:[ASH]]&lt;tblSeverityAnalysis[[#This Row],[Severidad máxima]])), "")</f>
        <v>3</v>
      </c>
      <c r="AF255" s="398" t="str" cm="1">
        <f t="array" ref="AF255">IFERROR(IF(tblSeverityAnalysis[[#This Row],[2ª mayor severidad]]="", "", _xlfn.TEXTJOIN(CHAR(10), TRUE, IF(tblSeverityAnalysis[[#This Row],[SAMV]:[ASH]]=tblSeverityAnalysis[[#This Row],[2ª mayor severidad]], tblSeverityAnalysis[[#Headers],[SAMV]:[ASH]], ""), "")), "")</f>
        <v>SAMV
EDU</v>
      </c>
      <c r="AG255" s="405" t="str">
        <f>IFERROR(IF(AND(tblSeverityAnalysis[[#This Row],[5]] &lt;&gt; "", tblSeverityAnalysis[[#This Row],[5]]&gt;=sectors_sev_5), "Flagged", ""), "")</f>
        <v/>
      </c>
      <c r="AH255" s="347" t="str">
        <f>IFERROR(IF(AND(tblSeverityAnalysis[[#This Row],[Severidad preliminar basada en la superposición de privaciones sectoriales]]=5, SUM(tblSeverityAnalysis[[#This Row],[ 1 ]:[ 4 ]])&gt;=sectors_sev_5), "Flagged", ""), "")</f>
        <v/>
      </c>
      <c r="AI255" s="348" t="str" cm="1">
        <f t="array" ref="AI25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5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55" s="350"/>
      <c r="AL255" s="351"/>
      <c r="AM255" s="350"/>
      <c r="AN255" s="407">
        <f>COUNTIF(tblSeverityAnalysis[[#This Row],[1 sectores en fase de severidad 5 '[modificar el umbral']]:[Marcador manual]], "Flagged")</f>
        <v>0</v>
      </c>
      <c r="AO255" s="418">
        <f>tblSeverityAnalysis[[#This Row],[Severidad preliminar basada en la superposición de privaciones sectoriales]]</f>
        <v>2</v>
      </c>
      <c r="AP255" s="417"/>
      <c r="AQ255" s="421" t="s">
        <v>876</v>
      </c>
      <c r="AR255" s="417">
        <v>4</v>
      </c>
    </row>
    <row r="256" spans="1:44" hidden="1">
      <c r="A25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VenezolanosVE2003</v>
      </c>
      <c r="B256" s="363" t="s">
        <v>589</v>
      </c>
      <c r="C256" s="323" t="s">
        <v>590</v>
      </c>
      <c r="D256" s="322" t="s">
        <v>595</v>
      </c>
      <c r="E256" s="323" t="s">
        <v>596</v>
      </c>
      <c r="F256" s="323"/>
      <c r="G256" s="324">
        <v>59335</v>
      </c>
      <c r="H256" s="324" t="s">
        <v>102</v>
      </c>
      <c r="I256" s="374">
        <v>3</v>
      </c>
      <c r="J256" s="237">
        <v>2</v>
      </c>
      <c r="K256" s="237">
        <v>3</v>
      </c>
      <c r="L256" s="237">
        <v>4</v>
      </c>
      <c r="M256" s="237">
        <v>2</v>
      </c>
      <c r="N256" s="237">
        <v>3</v>
      </c>
      <c r="O256" s="237">
        <v>2</v>
      </c>
      <c r="P256" s="237">
        <v>2</v>
      </c>
      <c r="Q256" s="382" t="str">
        <f>IF(COUNTIF(tblSeverityAnalysis[[#This Row],[SAMV]:[ASH]], 1)=0, "", COUNTIF(tblSeverityAnalysis[[#This Row],[SAMV]:[ASH]], 1))</f>
        <v/>
      </c>
      <c r="R256" s="325">
        <f>IF(COUNTIF(tblSeverityAnalysis[[#This Row],[SAMV]:[ASH]], 2)=0, "", COUNTIF(tblSeverityAnalysis[[#This Row],[SAMV]:[ASH]], 2))</f>
        <v>2</v>
      </c>
      <c r="S256" s="325">
        <f>IF(COUNTIF(tblSeverityAnalysis[[#This Row],[SAMV]:[ASH]], 3)=0, "", COUNTIF(tblSeverityAnalysis[[#This Row],[SAMV]:[ASH]], 3))</f>
        <v>3</v>
      </c>
      <c r="T256" s="325">
        <f>IF(COUNTIF(tblSeverityAnalysis[[#This Row],[SAMV]:[ASH]], 4)=0, "", COUNTIF(tblSeverityAnalysis[[#This Row],[SAMV]:[ASH]], 4))</f>
        <v>1</v>
      </c>
      <c r="U256" s="383" t="str">
        <f>IF(COUNTIF(tblSeverityAnalysis[[#This Row],[SAMV]:[ASH]], 5)=0, "", COUNTIF(tblSeverityAnalysis[[#This Row],[SAMV]:[ASH]], 5))</f>
        <v/>
      </c>
      <c r="V256" s="375" cm="1">
        <f t="array" ref="V25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5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56" s="237" t="str">
        <f>IFERROR(IF(INDEX(tblSeverityReference[Severidad de la desnutrición],MATCH(tblSeverityAnalysis[[#This Row],[ID]], tblSeverityReference[ID], 0))= "", "",INDEX(tblSeverityReference[Severidad de la desnutrición],MATCH(tblSeverityAnalysis[[#This Row],[ID]], tblSeverityReference[ID], 0)) ), "")</f>
        <v/>
      </c>
      <c r="Y256" s="349" t="str">
        <f>IFERROR(IF(INDEX(tblSeverityReference[Severidad epidémica],MATCH(tblSeverityAnalysis[[#This Row],[ID]], tblSeverityReference[ID], 0))= "", "",INDEX(tblSeverityReference[Severidad epidémica],MATCH(tblSeverityAnalysis[[#This Row],[ID]], tblSeverityReference[ID], 0)) ), "")</f>
        <v/>
      </c>
      <c r="Z25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56" s="391" t="str">
        <f>IFERROR(IF(INDEX(tblSeverityReference[HR/IHL Violation],MATCH(tblSeverityAnalysis[[#This Row],[ID]], tblSeverityReference[ID], 0))= "", "",INDEX(tblSeverityReference[HR/IHL Violation],MATCH(tblSeverityAnalysis[[#This Row],[ID]], tblSeverityReference[ID], 0)) ), "")</f>
        <v/>
      </c>
      <c r="AB256" s="397">
        <f>IFERROR(AVERAGE(tblSeverityAnalysis[[#This Row],[SAMV]:[ASH]]), "")</f>
        <v>2.8333333333333335</v>
      </c>
      <c r="AC256" s="346">
        <f>IF(SUM(tblSeverityAnalysis[[#This Row],[SAMV]:[ASH]])=0, "", MAX(tblSeverityAnalysis[[#This Row],[SAMV]:[ASH]]))</f>
        <v>4</v>
      </c>
      <c r="AD256" s="261" t="str" cm="1">
        <f t="array" ref="AD256">IFERROR(IF(tblSeverityAnalysis[[#This Row],[Severidad máxima]]="", "", _xlfn.TEXTJOIN(CHAR(10), TRUE, IF(tblSeverityAnalysis[[#This Row],[SAMV]:[ASH]]=tblSeverityAnalysis[[#This Row],[Severidad máxima]], tblSeverityAnalysis[[#Headers],[SAMV]:[ASH]], ""), "")), "")</f>
        <v>EDU</v>
      </c>
      <c r="AE256" s="346" cm="1">
        <f t="array" ref="AE256">IFERROR(MAX(_xlfn._xlws.FILTER(tblSeverityAnalysis[[#This Row],[SAMV]:[ASH]], tblSeverityAnalysis[[#This Row],[SAMV]:[ASH]]&lt;tblSeverityAnalysis[[#This Row],[Severidad máxima]])), "")</f>
        <v>3</v>
      </c>
      <c r="AF256" s="398" t="str" cm="1">
        <f t="array" ref="AF256">IFERROR(IF(tblSeverityAnalysis[[#This Row],[2ª mayor severidad]]="", "", _xlfn.TEXTJOIN(CHAR(10), TRUE, IF(tblSeverityAnalysis[[#This Row],[SAMV]:[ASH]]=tblSeverityAnalysis[[#This Row],[2ª mayor severidad]], tblSeverityAnalysis[[#Headers],[SAMV]:[ASH]], ""), "")), "")</f>
        <v>SAMV
SAL
ASH</v>
      </c>
      <c r="AG256" s="405" t="str">
        <f>IFERROR(IF(AND(tblSeverityAnalysis[[#This Row],[5]] &lt;&gt; "", tblSeverityAnalysis[[#This Row],[5]]&gt;=sectors_sev_5), "Flagged", ""), "")</f>
        <v/>
      </c>
      <c r="AH256" s="347" t="str">
        <f>IFERROR(IF(AND(tblSeverityAnalysis[[#This Row],[Severidad preliminar basada en la superposición de privaciones sectoriales]]=5, SUM(tblSeverityAnalysis[[#This Row],[ 1 ]:[ 4 ]])&gt;=sectors_sev_5), "Flagged", ""), "")</f>
        <v/>
      </c>
      <c r="AI256" s="348" t="str" cm="1">
        <f t="array" ref="AI25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5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56" s="350"/>
      <c r="AL256" s="351"/>
      <c r="AM256" s="350"/>
      <c r="AN256" s="407">
        <f>COUNTIF(tblSeverityAnalysis[[#This Row],[1 sectores en fase de severidad 5 '[modificar el umbral']]:[Marcador manual]], "Flagged")</f>
        <v>0</v>
      </c>
      <c r="AO256" s="418">
        <f>tblSeverityAnalysis[[#This Row],[Severidad preliminar basada en la superposición de privaciones sectoriales]]</f>
        <v>3</v>
      </c>
      <c r="AP256" s="417"/>
      <c r="AQ256" s="421" t="s">
        <v>876</v>
      </c>
      <c r="AR256" s="417">
        <v>3</v>
      </c>
    </row>
    <row r="257" spans="1:44" hidden="1">
      <c r="A25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VenezolanosVE2004</v>
      </c>
      <c r="B257" s="363" t="s">
        <v>589</v>
      </c>
      <c r="C257" s="323" t="s">
        <v>590</v>
      </c>
      <c r="D257" s="322" t="s">
        <v>180</v>
      </c>
      <c r="E257" s="323" t="s">
        <v>597</v>
      </c>
      <c r="F257" s="323"/>
      <c r="G257" s="324">
        <v>61630</v>
      </c>
      <c r="H257" s="324" t="s">
        <v>102</v>
      </c>
      <c r="I257" s="374">
        <v>3</v>
      </c>
      <c r="J257" s="237">
        <v>3</v>
      </c>
      <c r="K257" s="237">
        <v>4</v>
      </c>
      <c r="L257" s="237">
        <v>4</v>
      </c>
      <c r="M257" s="237">
        <v>4</v>
      </c>
      <c r="N257" s="237">
        <v>4</v>
      </c>
      <c r="O257" s="237">
        <v>4</v>
      </c>
      <c r="P257" s="237">
        <v>4</v>
      </c>
      <c r="Q257" s="382" t="str">
        <f>IF(COUNTIF(tblSeverityAnalysis[[#This Row],[SAMV]:[ASH]], 1)=0, "", COUNTIF(tblSeverityAnalysis[[#This Row],[SAMV]:[ASH]], 1))</f>
        <v/>
      </c>
      <c r="R257" s="325" t="str">
        <f>IF(COUNTIF(tblSeverityAnalysis[[#This Row],[SAMV]:[ASH]], 2)=0, "", COUNTIF(tblSeverityAnalysis[[#This Row],[SAMV]:[ASH]], 2))</f>
        <v/>
      </c>
      <c r="S257" s="325">
        <f>IF(COUNTIF(tblSeverityAnalysis[[#This Row],[SAMV]:[ASH]], 3)=0, "", COUNTIF(tblSeverityAnalysis[[#This Row],[SAMV]:[ASH]], 3))</f>
        <v>2</v>
      </c>
      <c r="T257" s="325">
        <f>IF(COUNTIF(tblSeverityAnalysis[[#This Row],[SAMV]:[ASH]], 4)=0, "", COUNTIF(tblSeverityAnalysis[[#This Row],[SAMV]:[ASH]], 4))</f>
        <v>4</v>
      </c>
      <c r="U257" s="383" t="str">
        <f>IF(COUNTIF(tblSeverityAnalysis[[#This Row],[SAMV]:[ASH]], 5)=0, "", COUNTIF(tblSeverityAnalysis[[#This Row],[SAMV]:[ASH]], 5))</f>
        <v/>
      </c>
      <c r="V257" s="375" cm="1">
        <f t="array" ref="V25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25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57" s="237" t="str">
        <f>IFERROR(IF(INDEX(tblSeverityReference[Severidad de la desnutrición],MATCH(tblSeverityAnalysis[[#This Row],[ID]], tblSeverityReference[ID], 0))= "", "",INDEX(tblSeverityReference[Severidad de la desnutrición],MATCH(tblSeverityAnalysis[[#This Row],[ID]], tblSeverityReference[ID], 0)) ), "")</f>
        <v/>
      </c>
      <c r="Y257" s="349" t="str">
        <f>IFERROR(IF(INDEX(tblSeverityReference[Severidad epidémica],MATCH(tblSeverityAnalysis[[#This Row],[ID]], tblSeverityReference[ID], 0))= "", "",INDEX(tblSeverityReference[Severidad epidémica],MATCH(tblSeverityAnalysis[[#This Row],[ID]], tblSeverityReference[ID], 0)) ), "")</f>
        <v/>
      </c>
      <c r="Z25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57" s="391" t="str">
        <f>IFERROR(IF(INDEX(tblSeverityReference[HR/IHL Violation],MATCH(tblSeverityAnalysis[[#This Row],[ID]], tblSeverityReference[ID], 0))= "", "",INDEX(tblSeverityReference[HR/IHL Violation],MATCH(tblSeverityAnalysis[[#This Row],[ID]], tblSeverityReference[ID], 0)) ), "")</f>
        <v/>
      </c>
      <c r="AB257" s="397">
        <f>IFERROR(AVERAGE(tblSeverityAnalysis[[#This Row],[SAMV]:[ASH]]), "")</f>
        <v>3.6666666666666665</v>
      </c>
      <c r="AC257" s="346">
        <f>IF(SUM(tblSeverityAnalysis[[#This Row],[SAMV]:[ASH]])=0, "", MAX(tblSeverityAnalysis[[#This Row],[SAMV]:[ASH]]))</f>
        <v>4</v>
      </c>
      <c r="AD257" s="261" t="str" cm="1">
        <f t="array" ref="AD257">IFERROR(IF(tblSeverityAnalysis[[#This Row],[Severidad máxima]]="", "", _xlfn.TEXTJOIN(CHAR(10), TRUE, IF(tblSeverityAnalysis[[#This Row],[SAMV]:[ASH]]=tblSeverityAnalysis[[#This Row],[Severidad máxima]], tblSeverityAnalysis[[#Headers],[SAMV]:[ASH]], ""), "")), "")</f>
        <v>SAL
EDU
PRO
ASH</v>
      </c>
      <c r="AE257" s="346" cm="1">
        <f t="array" ref="AE257">IFERROR(MAX(_xlfn._xlws.FILTER(tblSeverityAnalysis[[#This Row],[SAMV]:[ASH]], tblSeverityAnalysis[[#This Row],[SAMV]:[ASH]]&lt;tblSeverityAnalysis[[#This Row],[Severidad máxima]])), "")</f>
        <v>3</v>
      </c>
      <c r="AF257" s="398" t="str" cm="1">
        <f t="array" ref="AF257">IFERROR(IF(tblSeverityAnalysis[[#This Row],[2ª mayor severidad]]="", "", _xlfn.TEXTJOIN(CHAR(10), TRUE, IF(tblSeverityAnalysis[[#This Row],[SAMV]:[ASH]]=tblSeverityAnalysis[[#This Row],[2ª mayor severidad]], tblSeverityAnalysis[[#Headers],[SAMV]:[ASH]], ""), "")), "")</f>
        <v>SAMV
NUT</v>
      </c>
      <c r="AG257" s="405" t="str">
        <f>IFERROR(IF(AND(tblSeverityAnalysis[[#This Row],[5]] &lt;&gt; "", tblSeverityAnalysis[[#This Row],[5]]&gt;=sectors_sev_5), "Flagged", ""), "")</f>
        <v/>
      </c>
      <c r="AH257" s="347" t="str">
        <f>IFERROR(IF(AND(tblSeverityAnalysis[[#This Row],[Severidad preliminar basada en la superposición de privaciones sectoriales]]=5, SUM(tblSeverityAnalysis[[#This Row],[ 1 ]:[ 4 ]])&gt;=sectors_sev_5), "Flagged", ""), "")</f>
        <v/>
      </c>
      <c r="AI257" s="348" t="str" cm="1">
        <f t="array" ref="AI25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5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57" s="350"/>
      <c r="AL257" s="351"/>
      <c r="AM257" s="350"/>
      <c r="AN257" s="407">
        <f>COUNTIF(tblSeverityAnalysis[[#This Row],[1 sectores en fase de severidad 5 '[modificar el umbral']]:[Marcador manual]], "Flagged")</f>
        <v>0</v>
      </c>
      <c r="AO257" s="418">
        <f>tblSeverityAnalysis[[#This Row],[Severidad preliminar basada en la superposición de privaciones sectoriales]]</f>
        <v>4</v>
      </c>
      <c r="AP257" s="417"/>
      <c r="AQ257" s="421" t="s">
        <v>875</v>
      </c>
      <c r="AR257" s="417">
        <v>3</v>
      </c>
    </row>
    <row r="258" spans="1:44" hidden="1">
      <c r="A25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VenezolanosVE2005</v>
      </c>
      <c r="B258" s="363" t="s">
        <v>589</v>
      </c>
      <c r="C258" s="323" t="s">
        <v>590</v>
      </c>
      <c r="D258" s="322" t="s">
        <v>598</v>
      </c>
      <c r="E258" s="323" t="s">
        <v>599</v>
      </c>
      <c r="F258" s="323"/>
      <c r="G258" s="324">
        <v>122053</v>
      </c>
      <c r="H258" s="324" t="s">
        <v>102</v>
      </c>
      <c r="I258" s="374">
        <v>2</v>
      </c>
      <c r="J258" s="237">
        <v>1</v>
      </c>
      <c r="K258" s="237">
        <v>3</v>
      </c>
      <c r="L258" s="237">
        <v>4</v>
      </c>
      <c r="M258" s="237">
        <v>3</v>
      </c>
      <c r="N258" s="237">
        <v>2</v>
      </c>
      <c r="O258" s="237">
        <v>3</v>
      </c>
      <c r="P258" s="237">
        <v>3</v>
      </c>
      <c r="Q258" s="382">
        <f>IF(COUNTIF(tblSeverityAnalysis[[#This Row],[SAMV]:[ASH]], 1)=0, "", COUNTIF(tblSeverityAnalysis[[#This Row],[SAMV]:[ASH]], 1))</f>
        <v>1</v>
      </c>
      <c r="R258" s="325">
        <f>IF(COUNTIF(tblSeverityAnalysis[[#This Row],[SAMV]:[ASH]], 2)=0, "", COUNTIF(tblSeverityAnalysis[[#This Row],[SAMV]:[ASH]], 2))</f>
        <v>2</v>
      </c>
      <c r="S258" s="325">
        <f>IF(COUNTIF(tblSeverityAnalysis[[#This Row],[SAMV]:[ASH]], 3)=0, "", COUNTIF(tblSeverityAnalysis[[#This Row],[SAMV]:[ASH]], 3))</f>
        <v>2</v>
      </c>
      <c r="T258" s="325">
        <f>IF(COUNTIF(tblSeverityAnalysis[[#This Row],[SAMV]:[ASH]], 4)=0, "", COUNTIF(tblSeverityAnalysis[[#This Row],[SAMV]:[ASH]], 4))</f>
        <v>1</v>
      </c>
      <c r="U258" s="383" t="str">
        <f>IF(COUNTIF(tblSeverityAnalysis[[#This Row],[SAMV]:[ASH]], 5)=0, "", COUNTIF(tblSeverityAnalysis[[#This Row],[SAMV]:[ASH]], 5))</f>
        <v/>
      </c>
      <c r="V258" s="375" cm="1">
        <f t="array" ref="V25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5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58" s="237" t="str">
        <f>IFERROR(IF(INDEX(tblSeverityReference[Severidad de la desnutrición],MATCH(tblSeverityAnalysis[[#This Row],[ID]], tblSeverityReference[ID], 0))= "", "",INDEX(tblSeverityReference[Severidad de la desnutrición],MATCH(tblSeverityAnalysis[[#This Row],[ID]], tblSeverityReference[ID], 0)) ), "")</f>
        <v/>
      </c>
      <c r="Y258" s="349" t="str">
        <f>IFERROR(IF(INDEX(tblSeverityReference[Severidad epidémica],MATCH(tblSeverityAnalysis[[#This Row],[ID]], tblSeverityReference[ID], 0))= "", "",INDEX(tblSeverityReference[Severidad epidémica],MATCH(tblSeverityAnalysis[[#This Row],[ID]], tblSeverityReference[ID], 0)) ), "")</f>
        <v/>
      </c>
      <c r="Z25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58" s="391" t="str">
        <f>IFERROR(IF(INDEX(tblSeverityReference[HR/IHL Violation],MATCH(tblSeverityAnalysis[[#This Row],[ID]], tblSeverityReference[ID], 0))= "", "",INDEX(tblSeverityReference[HR/IHL Violation],MATCH(tblSeverityAnalysis[[#This Row],[ID]], tblSeverityReference[ID], 0)) ), "")</f>
        <v/>
      </c>
      <c r="AB258" s="397">
        <f>IFERROR(AVERAGE(tblSeverityAnalysis[[#This Row],[SAMV]:[ASH]]), "")</f>
        <v>2.5</v>
      </c>
      <c r="AC258" s="346">
        <f>IF(SUM(tblSeverityAnalysis[[#This Row],[SAMV]:[ASH]])=0, "", MAX(tblSeverityAnalysis[[#This Row],[SAMV]:[ASH]]))</f>
        <v>4</v>
      </c>
      <c r="AD258" s="261" t="str" cm="1">
        <f t="array" ref="AD258">IFERROR(IF(tblSeverityAnalysis[[#This Row],[Severidad máxima]]="", "", _xlfn.TEXTJOIN(CHAR(10), TRUE, IF(tblSeverityAnalysis[[#This Row],[SAMV]:[ASH]]=tblSeverityAnalysis[[#This Row],[Severidad máxima]], tblSeverityAnalysis[[#Headers],[SAMV]:[ASH]], ""), "")), "")</f>
        <v>EDU</v>
      </c>
      <c r="AE258" s="346" cm="1">
        <f t="array" ref="AE258">IFERROR(MAX(_xlfn._xlws.FILTER(tblSeverityAnalysis[[#This Row],[SAMV]:[ASH]], tblSeverityAnalysis[[#This Row],[SAMV]:[ASH]]&lt;tblSeverityAnalysis[[#This Row],[Severidad máxima]])), "")</f>
        <v>3</v>
      </c>
      <c r="AF258" s="398" t="str" cm="1">
        <f t="array" ref="AF258">IFERROR(IF(tblSeverityAnalysis[[#This Row],[2ª mayor severidad]]="", "", _xlfn.TEXTJOIN(CHAR(10), TRUE, IF(tblSeverityAnalysis[[#This Row],[SAMV]:[ASH]]=tblSeverityAnalysis[[#This Row],[2ª mayor severidad]], tblSeverityAnalysis[[#Headers],[SAMV]:[ASH]], ""), "")), "")</f>
        <v>SAL
PRO</v>
      </c>
      <c r="AG258" s="405" t="str">
        <f>IFERROR(IF(AND(tblSeverityAnalysis[[#This Row],[5]] &lt;&gt; "", tblSeverityAnalysis[[#This Row],[5]]&gt;=sectors_sev_5), "Flagged", ""), "")</f>
        <v/>
      </c>
      <c r="AH258" s="347" t="str">
        <f>IFERROR(IF(AND(tblSeverityAnalysis[[#This Row],[Severidad preliminar basada en la superposición de privaciones sectoriales]]=5, SUM(tblSeverityAnalysis[[#This Row],[ 1 ]:[ 4 ]])&gt;=sectors_sev_5), "Flagged", ""), "")</f>
        <v/>
      </c>
      <c r="AI258" s="348" t="str" cm="1">
        <f t="array" ref="AI25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5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58" s="350"/>
      <c r="AL258" s="351"/>
      <c r="AM258" s="350"/>
      <c r="AN258" s="407">
        <f>COUNTIF(tblSeverityAnalysis[[#This Row],[1 sectores en fase de severidad 5 '[modificar el umbral']]:[Marcador manual]], "Flagged")</f>
        <v>0</v>
      </c>
      <c r="AO258" s="418">
        <f>tblSeverityAnalysis[[#This Row],[Severidad preliminar basada en la superposición de privaciones sectoriales]]</f>
        <v>2</v>
      </c>
      <c r="AP258" s="417"/>
      <c r="AQ258" s="421" t="s">
        <v>876</v>
      </c>
      <c r="AR258" s="417">
        <v>3</v>
      </c>
    </row>
    <row r="259" spans="1:44" hidden="1">
      <c r="A25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VenezolanosVE2006</v>
      </c>
      <c r="B259" s="363" t="s">
        <v>589</v>
      </c>
      <c r="C259" s="323" t="s">
        <v>590</v>
      </c>
      <c r="D259" s="322" t="s">
        <v>600</v>
      </c>
      <c r="E259" s="323" t="s">
        <v>601</v>
      </c>
      <c r="F259" s="323"/>
      <c r="G259" s="324">
        <v>33124</v>
      </c>
      <c r="H259" s="324" t="s">
        <v>102</v>
      </c>
      <c r="I259" s="374">
        <v>2</v>
      </c>
      <c r="J259" s="237">
        <v>1</v>
      </c>
      <c r="K259" s="237">
        <v>3</v>
      </c>
      <c r="L259" s="237">
        <v>3</v>
      </c>
      <c r="M259" s="237">
        <v>2</v>
      </c>
      <c r="N259" s="237">
        <v>2</v>
      </c>
      <c r="O259" s="237">
        <v>2</v>
      </c>
      <c r="P259" s="237">
        <v>2</v>
      </c>
      <c r="Q259" s="382">
        <f>IF(COUNTIF(tblSeverityAnalysis[[#This Row],[SAMV]:[ASH]], 1)=0, "", COUNTIF(tblSeverityAnalysis[[#This Row],[SAMV]:[ASH]], 1))</f>
        <v>1</v>
      </c>
      <c r="R259" s="325">
        <f>IF(COUNTIF(tblSeverityAnalysis[[#This Row],[SAMV]:[ASH]], 2)=0, "", COUNTIF(tblSeverityAnalysis[[#This Row],[SAMV]:[ASH]], 2))</f>
        <v>3</v>
      </c>
      <c r="S259" s="325">
        <f>IF(COUNTIF(tblSeverityAnalysis[[#This Row],[SAMV]:[ASH]], 3)=0, "", COUNTIF(tblSeverityAnalysis[[#This Row],[SAMV]:[ASH]], 3))</f>
        <v>2</v>
      </c>
      <c r="T259" s="325" t="str">
        <f>IF(COUNTIF(tblSeverityAnalysis[[#This Row],[SAMV]:[ASH]], 4)=0, "", COUNTIF(tblSeverityAnalysis[[#This Row],[SAMV]:[ASH]], 4))</f>
        <v/>
      </c>
      <c r="U259" s="383" t="str">
        <f>IF(COUNTIF(tblSeverityAnalysis[[#This Row],[SAMV]:[ASH]], 5)=0, "", COUNTIF(tblSeverityAnalysis[[#This Row],[SAMV]:[ASH]], 5))</f>
        <v/>
      </c>
      <c r="V259" s="375" cm="1">
        <f t="array" ref="V25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5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59" s="237" t="str">
        <f>IFERROR(IF(INDEX(tblSeverityReference[Severidad de la desnutrición],MATCH(tblSeverityAnalysis[[#This Row],[ID]], tblSeverityReference[ID], 0))= "", "",INDEX(tblSeverityReference[Severidad de la desnutrición],MATCH(tblSeverityAnalysis[[#This Row],[ID]], tblSeverityReference[ID], 0)) ), "")</f>
        <v/>
      </c>
      <c r="Y259" s="349" t="str">
        <f>IFERROR(IF(INDEX(tblSeverityReference[Severidad epidémica],MATCH(tblSeverityAnalysis[[#This Row],[ID]], tblSeverityReference[ID], 0))= "", "",INDEX(tblSeverityReference[Severidad epidémica],MATCH(tblSeverityAnalysis[[#This Row],[ID]], tblSeverityReference[ID], 0)) ), "")</f>
        <v/>
      </c>
      <c r="Z25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59" s="391" t="str">
        <f>IFERROR(IF(INDEX(tblSeverityReference[HR/IHL Violation],MATCH(tblSeverityAnalysis[[#This Row],[ID]], tblSeverityReference[ID], 0))= "", "",INDEX(tblSeverityReference[HR/IHL Violation],MATCH(tblSeverityAnalysis[[#This Row],[ID]], tblSeverityReference[ID], 0)) ), "")</f>
        <v/>
      </c>
      <c r="AB259" s="397">
        <f>IFERROR(AVERAGE(tblSeverityAnalysis[[#This Row],[SAMV]:[ASH]]), "")</f>
        <v>2.1666666666666665</v>
      </c>
      <c r="AC259" s="346">
        <f>IF(SUM(tblSeverityAnalysis[[#This Row],[SAMV]:[ASH]])=0, "", MAX(tblSeverityAnalysis[[#This Row],[SAMV]:[ASH]]))</f>
        <v>3</v>
      </c>
      <c r="AD259" s="261" t="str" cm="1">
        <f t="array" ref="AD259">IFERROR(IF(tblSeverityAnalysis[[#This Row],[Severidad máxima]]="", "", _xlfn.TEXTJOIN(CHAR(10), TRUE, IF(tblSeverityAnalysis[[#This Row],[SAMV]:[ASH]]=tblSeverityAnalysis[[#This Row],[Severidad máxima]], tblSeverityAnalysis[[#Headers],[SAMV]:[ASH]], ""), "")), "")</f>
        <v>SAL
EDU</v>
      </c>
      <c r="AE259" s="346" cm="1">
        <f t="array" ref="AE259">IFERROR(MAX(_xlfn._xlws.FILTER(tblSeverityAnalysis[[#This Row],[SAMV]:[ASH]], tblSeverityAnalysis[[#This Row],[SAMV]:[ASH]]&lt;tblSeverityAnalysis[[#This Row],[Severidad máxima]])), "")</f>
        <v>2</v>
      </c>
      <c r="AF259" s="398" t="str" cm="1">
        <f t="array" ref="AF259">IFERROR(IF(tblSeverityAnalysis[[#This Row],[2ª mayor severidad]]="", "", _xlfn.TEXTJOIN(CHAR(10), TRUE, IF(tblSeverityAnalysis[[#This Row],[SAMV]:[ASH]]=tblSeverityAnalysis[[#This Row],[2ª mayor severidad]], tblSeverityAnalysis[[#Headers],[SAMV]:[ASH]], ""), "")), "")</f>
        <v>SAMV
PRO
ASH</v>
      </c>
      <c r="AG259" s="405" t="str">
        <f>IFERROR(IF(AND(tblSeverityAnalysis[[#This Row],[5]] &lt;&gt; "", tblSeverityAnalysis[[#This Row],[5]]&gt;=sectors_sev_5), "Flagged", ""), "")</f>
        <v/>
      </c>
      <c r="AH259" s="347" t="str">
        <f>IFERROR(IF(AND(tblSeverityAnalysis[[#This Row],[Severidad preliminar basada en la superposición de privaciones sectoriales]]=5, SUM(tblSeverityAnalysis[[#This Row],[ 1 ]:[ 4 ]])&gt;=sectors_sev_5), "Flagged", ""), "")</f>
        <v/>
      </c>
      <c r="AI259" s="348" t="str" cm="1">
        <f t="array" ref="AI25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5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59" s="350"/>
      <c r="AL259" s="351"/>
      <c r="AM259" s="350"/>
      <c r="AN259" s="407">
        <f>COUNTIF(tblSeverityAnalysis[[#This Row],[1 sectores en fase de severidad 5 '[modificar el umbral']]:[Marcador manual]], "Flagged")</f>
        <v>0</v>
      </c>
      <c r="AO259" s="418">
        <f>tblSeverityAnalysis[[#This Row],[Severidad preliminar basada en la superposición de privaciones sectoriales]]</f>
        <v>2</v>
      </c>
      <c r="AP259" s="417"/>
      <c r="AQ259" s="421" t="s">
        <v>876</v>
      </c>
      <c r="AR259" s="417">
        <v>3</v>
      </c>
    </row>
    <row r="260" spans="1:44" hidden="1">
      <c r="A26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VenezolanosVE2007</v>
      </c>
      <c r="B260" s="363" t="s">
        <v>589</v>
      </c>
      <c r="C260" s="323" t="s">
        <v>590</v>
      </c>
      <c r="D260" s="322" t="s">
        <v>602</v>
      </c>
      <c r="E260" s="323" t="s">
        <v>603</v>
      </c>
      <c r="F260" s="323"/>
      <c r="G260" s="324">
        <v>45891</v>
      </c>
      <c r="H260" s="324" t="s">
        <v>102</v>
      </c>
      <c r="I260" s="374">
        <v>3</v>
      </c>
      <c r="J260" s="237">
        <v>2</v>
      </c>
      <c r="K260" s="237">
        <v>3</v>
      </c>
      <c r="L260" s="237">
        <v>4</v>
      </c>
      <c r="M260" s="237">
        <v>4</v>
      </c>
      <c r="N260" s="237">
        <v>2</v>
      </c>
      <c r="O260" s="237">
        <v>4</v>
      </c>
      <c r="P260" s="237">
        <v>4</v>
      </c>
      <c r="Q260" s="382" t="str">
        <f>IF(COUNTIF(tblSeverityAnalysis[[#This Row],[SAMV]:[ASH]], 1)=0, "", COUNTIF(tblSeverityAnalysis[[#This Row],[SAMV]:[ASH]], 1))</f>
        <v/>
      </c>
      <c r="R260" s="325">
        <f>IF(COUNTIF(tblSeverityAnalysis[[#This Row],[SAMV]:[ASH]], 2)=0, "", COUNTIF(tblSeverityAnalysis[[#This Row],[SAMV]:[ASH]], 2))</f>
        <v>2</v>
      </c>
      <c r="S260" s="325">
        <f>IF(COUNTIF(tblSeverityAnalysis[[#This Row],[SAMV]:[ASH]], 3)=0, "", COUNTIF(tblSeverityAnalysis[[#This Row],[SAMV]:[ASH]], 3))</f>
        <v>2</v>
      </c>
      <c r="T260" s="325">
        <f>IF(COUNTIF(tblSeverityAnalysis[[#This Row],[SAMV]:[ASH]], 4)=0, "", COUNTIF(tblSeverityAnalysis[[#This Row],[SAMV]:[ASH]], 4))</f>
        <v>2</v>
      </c>
      <c r="U260" s="383" t="str">
        <f>IF(COUNTIF(tblSeverityAnalysis[[#This Row],[SAMV]:[ASH]], 5)=0, "", COUNTIF(tblSeverityAnalysis[[#This Row],[SAMV]:[ASH]], 5))</f>
        <v/>
      </c>
      <c r="V260" s="375" cm="1">
        <f t="array" ref="V26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6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60" s="237" t="str">
        <f>IFERROR(IF(INDEX(tblSeverityReference[Severidad de la desnutrición],MATCH(tblSeverityAnalysis[[#This Row],[ID]], tblSeverityReference[ID], 0))= "", "",INDEX(tblSeverityReference[Severidad de la desnutrición],MATCH(tblSeverityAnalysis[[#This Row],[ID]], tblSeverityReference[ID], 0)) ), "")</f>
        <v/>
      </c>
      <c r="Y260" s="349" t="str">
        <f>IFERROR(IF(INDEX(tblSeverityReference[Severidad epidémica],MATCH(tblSeverityAnalysis[[#This Row],[ID]], tblSeverityReference[ID], 0))= "", "",INDEX(tblSeverityReference[Severidad epidémica],MATCH(tblSeverityAnalysis[[#This Row],[ID]], tblSeverityReference[ID], 0)) ), "")</f>
        <v/>
      </c>
      <c r="Z26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60" s="391" t="str">
        <f>IFERROR(IF(INDEX(tblSeverityReference[HR/IHL Violation],MATCH(tblSeverityAnalysis[[#This Row],[ID]], tblSeverityReference[ID], 0))= "", "",INDEX(tblSeverityReference[HR/IHL Violation],MATCH(tblSeverityAnalysis[[#This Row],[ID]], tblSeverityReference[ID], 0)) ), "")</f>
        <v/>
      </c>
      <c r="AB260" s="397">
        <f>IFERROR(AVERAGE(tblSeverityAnalysis[[#This Row],[SAMV]:[ASH]]), "")</f>
        <v>3</v>
      </c>
      <c r="AC260" s="346">
        <f>IF(SUM(tblSeverityAnalysis[[#This Row],[SAMV]:[ASH]])=0, "", MAX(tblSeverityAnalysis[[#This Row],[SAMV]:[ASH]]))</f>
        <v>4</v>
      </c>
      <c r="AD260" s="261" t="str" cm="1">
        <f t="array" ref="AD260">IFERROR(IF(tblSeverityAnalysis[[#This Row],[Severidad máxima]]="", "", _xlfn.TEXTJOIN(CHAR(10), TRUE, IF(tblSeverityAnalysis[[#This Row],[SAMV]:[ASH]]=tblSeverityAnalysis[[#This Row],[Severidad máxima]], tblSeverityAnalysis[[#Headers],[SAMV]:[ASH]], ""), "")), "")</f>
        <v>EDU
PRO</v>
      </c>
      <c r="AE260" s="346" cm="1">
        <f t="array" ref="AE260">IFERROR(MAX(_xlfn._xlws.FILTER(tblSeverityAnalysis[[#This Row],[SAMV]:[ASH]], tblSeverityAnalysis[[#This Row],[SAMV]:[ASH]]&lt;tblSeverityAnalysis[[#This Row],[Severidad máxima]])), "")</f>
        <v>3</v>
      </c>
      <c r="AF260" s="398" t="str" cm="1">
        <f t="array" ref="AF260">IFERROR(IF(tblSeverityAnalysis[[#This Row],[2ª mayor severidad]]="", "", _xlfn.TEXTJOIN(CHAR(10), TRUE, IF(tblSeverityAnalysis[[#This Row],[SAMV]:[ASH]]=tblSeverityAnalysis[[#This Row],[2ª mayor severidad]], tblSeverityAnalysis[[#Headers],[SAMV]:[ASH]], ""), "")), "")</f>
        <v>SAMV
SAL</v>
      </c>
      <c r="AG260" s="405" t="str">
        <f>IFERROR(IF(AND(tblSeverityAnalysis[[#This Row],[5]] &lt;&gt; "", tblSeverityAnalysis[[#This Row],[5]]&gt;=sectors_sev_5), "Flagged", ""), "")</f>
        <v/>
      </c>
      <c r="AH260" s="347" t="str">
        <f>IFERROR(IF(AND(tblSeverityAnalysis[[#This Row],[Severidad preliminar basada en la superposición de privaciones sectoriales]]=5, SUM(tblSeverityAnalysis[[#This Row],[ 1 ]:[ 4 ]])&gt;=sectors_sev_5), "Flagged", ""), "")</f>
        <v/>
      </c>
      <c r="AI260" s="348" t="str" cm="1">
        <f t="array" ref="AI26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6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60" s="350"/>
      <c r="AL260" s="351"/>
      <c r="AM260" s="350"/>
      <c r="AN260" s="407">
        <f>COUNTIF(tblSeverityAnalysis[[#This Row],[1 sectores en fase de severidad 5 '[modificar el umbral']]:[Marcador manual]], "Flagged")</f>
        <v>0</v>
      </c>
      <c r="AO260" s="418">
        <f>tblSeverityAnalysis[[#This Row],[Severidad preliminar basada en la superposición de privaciones sectoriales]]</f>
        <v>3</v>
      </c>
      <c r="AP260" s="417"/>
      <c r="AQ260" s="421" t="s">
        <v>876</v>
      </c>
      <c r="AR260" s="417">
        <v>3</v>
      </c>
    </row>
    <row r="261" spans="1:44" hidden="1">
      <c r="A26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VenezolanosVE2008</v>
      </c>
      <c r="B261" s="363" t="s">
        <v>589</v>
      </c>
      <c r="C261" s="323" t="s">
        <v>590</v>
      </c>
      <c r="D261" s="322" t="s">
        <v>129</v>
      </c>
      <c r="E261" s="323" t="s">
        <v>604</v>
      </c>
      <c r="F261" s="323"/>
      <c r="G261" s="324">
        <v>4127</v>
      </c>
      <c r="H261" s="324" t="s">
        <v>102</v>
      </c>
      <c r="I261" s="374">
        <v>1</v>
      </c>
      <c r="J261" s="237">
        <v>1</v>
      </c>
      <c r="K261" s="237">
        <v>3</v>
      </c>
      <c r="L261" s="237">
        <v>3</v>
      </c>
      <c r="M261" s="237">
        <v>2</v>
      </c>
      <c r="N261" s="237">
        <v>2</v>
      </c>
      <c r="O261" s="237">
        <v>2</v>
      </c>
      <c r="P261" s="237">
        <v>2</v>
      </c>
      <c r="Q261" s="382">
        <f>IF(COUNTIF(tblSeverityAnalysis[[#This Row],[SAMV]:[ASH]], 1)=0, "", COUNTIF(tblSeverityAnalysis[[#This Row],[SAMV]:[ASH]], 1))</f>
        <v>2</v>
      </c>
      <c r="R261" s="325">
        <f>IF(COUNTIF(tblSeverityAnalysis[[#This Row],[SAMV]:[ASH]], 2)=0, "", COUNTIF(tblSeverityAnalysis[[#This Row],[SAMV]:[ASH]], 2))</f>
        <v>2</v>
      </c>
      <c r="S261" s="325">
        <f>IF(COUNTIF(tblSeverityAnalysis[[#This Row],[SAMV]:[ASH]], 3)=0, "", COUNTIF(tblSeverityAnalysis[[#This Row],[SAMV]:[ASH]], 3))</f>
        <v>2</v>
      </c>
      <c r="T261" s="325" t="str">
        <f>IF(COUNTIF(tblSeverityAnalysis[[#This Row],[SAMV]:[ASH]], 4)=0, "", COUNTIF(tblSeverityAnalysis[[#This Row],[SAMV]:[ASH]], 4))</f>
        <v/>
      </c>
      <c r="U261" s="383" t="str">
        <f>IF(COUNTIF(tblSeverityAnalysis[[#This Row],[SAMV]:[ASH]], 5)=0, "", COUNTIF(tblSeverityAnalysis[[#This Row],[SAMV]:[ASH]], 5))</f>
        <v/>
      </c>
      <c r="V261" s="375" cm="1">
        <f t="array" ref="V26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6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61" s="237" t="str">
        <f>IFERROR(IF(INDEX(tblSeverityReference[Severidad de la desnutrición],MATCH(tblSeverityAnalysis[[#This Row],[ID]], tblSeverityReference[ID], 0))= "", "",INDEX(tblSeverityReference[Severidad de la desnutrición],MATCH(tblSeverityAnalysis[[#This Row],[ID]], tblSeverityReference[ID], 0)) ), "")</f>
        <v/>
      </c>
      <c r="Y261" s="349" t="str">
        <f>IFERROR(IF(INDEX(tblSeverityReference[Severidad epidémica],MATCH(tblSeverityAnalysis[[#This Row],[ID]], tblSeverityReference[ID], 0))= "", "",INDEX(tblSeverityReference[Severidad epidémica],MATCH(tblSeverityAnalysis[[#This Row],[ID]], tblSeverityReference[ID], 0)) ), "")</f>
        <v/>
      </c>
      <c r="Z26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61" s="391" t="str">
        <f>IFERROR(IF(INDEX(tblSeverityReference[HR/IHL Violation],MATCH(tblSeverityAnalysis[[#This Row],[ID]], tblSeverityReference[ID], 0))= "", "",INDEX(tblSeverityReference[HR/IHL Violation],MATCH(tblSeverityAnalysis[[#This Row],[ID]], tblSeverityReference[ID], 0)) ), "")</f>
        <v/>
      </c>
      <c r="AB261" s="397">
        <f>IFERROR(AVERAGE(tblSeverityAnalysis[[#This Row],[SAMV]:[ASH]]), "")</f>
        <v>2</v>
      </c>
      <c r="AC261" s="346">
        <f>IF(SUM(tblSeverityAnalysis[[#This Row],[SAMV]:[ASH]])=0, "", MAX(tblSeverityAnalysis[[#This Row],[SAMV]:[ASH]]))</f>
        <v>3</v>
      </c>
      <c r="AD261" s="261" t="str" cm="1">
        <f t="array" ref="AD261">IFERROR(IF(tblSeverityAnalysis[[#This Row],[Severidad máxima]]="", "", _xlfn.TEXTJOIN(CHAR(10), TRUE, IF(tblSeverityAnalysis[[#This Row],[SAMV]:[ASH]]=tblSeverityAnalysis[[#This Row],[Severidad máxima]], tblSeverityAnalysis[[#Headers],[SAMV]:[ASH]], ""), "")), "")</f>
        <v>SAL
EDU</v>
      </c>
      <c r="AE261" s="346" cm="1">
        <f t="array" ref="AE261">IFERROR(MAX(_xlfn._xlws.FILTER(tblSeverityAnalysis[[#This Row],[SAMV]:[ASH]], tblSeverityAnalysis[[#This Row],[SAMV]:[ASH]]&lt;tblSeverityAnalysis[[#This Row],[Severidad máxima]])), "")</f>
        <v>2</v>
      </c>
      <c r="AF261" s="398" t="str" cm="1">
        <f t="array" ref="AF261">IFERROR(IF(tblSeverityAnalysis[[#This Row],[2ª mayor severidad]]="", "", _xlfn.TEXTJOIN(CHAR(10), TRUE, IF(tblSeverityAnalysis[[#This Row],[SAMV]:[ASH]]=tblSeverityAnalysis[[#This Row],[2ª mayor severidad]], tblSeverityAnalysis[[#Headers],[SAMV]:[ASH]], ""), "")), "")</f>
        <v>PRO
ASH</v>
      </c>
      <c r="AG261" s="405" t="str">
        <f>IFERROR(IF(AND(tblSeverityAnalysis[[#This Row],[5]] &lt;&gt; "", tblSeverityAnalysis[[#This Row],[5]]&gt;=sectors_sev_5), "Flagged", ""), "")</f>
        <v/>
      </c>
      <c r="AH261" s="347" t="str">
        <f>IFERROR(IF(AND(tblSeverityAnalysis[[#This Row],[Severidad preliminar basada en la superposición de privaciones sectoriales]]=5, SUM(tblSeverityAnalysis[[#This Row],[ 1 ]:[ 4 ]])&gt;=sectors_sev_5), "Flagged", ""), "")</f>
        <v/>
      </c>
      <c r="AI261" s="348" t="str" cm="1">
        <f t="array" ref="AI26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6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61" s="350"/>
      <c r="AL261" s="351"/>
      <c r="AM261" s="350"/>
      <c r="AN261" s="407">
        <f>COUNTIF(tblSeverityAnalysis[[#This Row],[1 sectores en fase de severidad 5 '[modificar el umbral']]:[Marcador manual]], "Flagged")</f>
        <v>0</v>
      </c>
      <c r="AO261" s="418">
        <f>tblSeverityAnalysis[[#This Row],[Severidad preliminar basada en la superposición de privaciones sectoriales]]</f>
        <v>2</v>
      </c>
      <c r="AP261" s="417"/>
      <c r="AQ261" s="421" t="s">
        <v>876</v>
      </c>
      <c r="AR261" s="417">
        <v>3</v>
      </c>
    </row>
    <row r="262" spans="1:44" hidden="1">
      <c r="A26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VenezolanosVE2009</v>
      </c>
      <c r="B262" s="363" t="s">
        <v>589</v>
      </c>
      <c r="C262" s="323" t="s">
        <v>590</v>
      </c>
      <c r="D262" s="322" t="s">
        <v>605</v>
      </c>
      <c r="E262" s="323" t="s">
        <v>606</v>
      </c>
      <c r="F262" s="323"/>
      <c r="G262" s="324">
        <v>48476</v>
      </c>
      <c r="H262" s="324" t="s">
        <v>102</v>
      </c>
      <c r="I262" s="374">
        <v>3</v>
      </c>
      <c r="J262" s="237">
        <v>2</v>
      </c>
      <c r="K262" s="237">
        <v>4</v>
      </c>
      <c r="L262" s="237">
        <v>4</v>
      </c>
      <c r="M262" s="237">
        <v>4</v>
      </c>
      <c r="N262" s="237">
        <v>2</v>
      </c>
      <c r="O262" s="237">
        <v>4</v>
      </c>
      <c r="P262" s="237">
        <v>4</v>
      </c>
      <c r="Q262" s="382" t="str">
        <f>IF(COUNTIF(tblSeverityAnalysis[[#This Row],[SAMV]:[ASH]], 1)=0, "", COUNTIF(tblSeverityAnalysis[[#This Row],[SAMV]:[ASH]], 1))</f>
        <v/>
      </c>
      <c r="R262" s="325">
        <f>IF(COUNTIF(tblSeverityAnalysis[[#This Row],[SAMV]:[ASH]], 2)=0, "", COUNTIF(tblSeverityAnalysis[[#This Row],[SAMV]:[ASH]], 2))</f>
        <v>2</v>
      </c>
      <c r="S262" s="325">
        <f>IF(COUNTIF(tblSeverityAnalysis[[#This Row],[SAMV]:[ASH]], 3)=0, "", COUNTIF(tblSeverityAnalysis[[#This Row],[SAMV]:[ASH]], 3))</f>
        <v>1</v>
      </c>
      <c r="T262" s="325">
        <f>IF(COUNTIF(tblSeverityAnalysis[[#This Row],[SAMV]:[ASH]], 4)=0, "", COUNTIF(tblSeverityAnalysis[[#This Row],[SAMV]:[ASH]], 4))</f>
        <v>3</v>
      </c>
      <c r="U262" s="383" t="str">
        <f>IF(COUNTIF(tblSeverityAnalysis[[#This Row],[SAMV]:[ASH]], 5)=0, "", COUNTIF(tblSeverityAnalysis[[#This Row],[SAMV]:[ASH]], 5))</f>
        <v/>
      </c>
      <c r="V262" s="375" cm="1">
        <f t="array" ref="V26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6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62" s="237" t="str">
        <f>IFERROR(IF(INDEX(tblSeverityReference[Severidad de la desnutrición],MATCH(tblSeverityAnalysis[[#This Row],[ID]], tblSeverityReference[ID], 0))= "", "",INDEX(tblSeverityReference[Severidad de la desnutrición],MATCH(tblSeverityAnalysis[[#This Row],[ID]], tblSeverityReference[ID], 0)) ), "")</f>
        <v/>
      </c>
      <c r="Y262" s="349" t="str">
        <f>IFERROR(IF(INDEX(tblSeverityReference[Severidad epidémica],MATCH(tblSeverityAnalysis[[#This Row],[ID]], tblSeverityReference[ID], 0))= "", "",INDEX(tblSeverityReference[Severidad epidémica],MATCH(tblSeverityAnalysis[[#This Row],[ID]], tblSeverityReference[ID], 0)) ), "")</f>
        <v/>
      </c>
      <c r="Z26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62" s="391" t="str">
        <f>IFERROR(IF(INDEX(tblSeverityReference[HR/IHL Violation],MATCH(tblSeverityAnalysis[[#This Row],[ID]], tblSeverityReference[ID], 0))= "", "",INDEX(tblSeverityReference[HR/IHL Violation],MATCH(tblSeverityAnalysis[[#This Row],[ID]], tblSeverityReference[ID], 0)) ), "")</f>
        <v/>
      </c>
      <c r="AB262" s="397">
        <f>IFERROR(AVERAGE(tblSeverityAnalysis[[#This Row],[SAMV]:[ASH]]), "")</f>
        <v>3.1666666666666665</v>
      </c>
      <c r="AC262" s="346">
        <f>IF(SUM(tblSeverityAnalysis[[#This Row],[SAMV]:[ASH]])=0, "", MAX(tblSeverityAnalysis[[#This Row],[SAMV]:[ASH]]))</f>
        <v>4</v>
      </c>
      <c r="AD262" s="261" t="str" cm="1">
        <f t="array" ref="AD262">IFERROR(IF(tblSeverityAnalysis[[#This Row],[Severidad máxima]]="", "", _xlfn.TEXTJOIN(CHAR(10), TRUE, IF(tblSeverityAnalysis[[#This Row],[SAMV]:[ASH]]=tblSeverityAnalysis[[#This Row],[Severidad máxima]], tblSeverityAnalysis[[#Headers],[SAMV]:[ASH]], ""), "")), "")</f>
        <v>SAL
EDU
PRO</v>
      </c>
      <c r="AE262" s="346" cm="1">
        <f t="array" ref="AE262">IFERROR(MAX(_xlfn._xlws.FILTER(tblSeverityAnalysis[[#This Row],[SAMV]:[ASH]], tblSeverityAnalysis[[#This Row],[SAMV]:[ASH]]&lt;tblSeverityAnalysis[[#This Row],[Severidad máxima]])), "")</f>
        <v>3</v>
      </c>
      <c r="AF262" s="398" t="str" cm="1">
        <f t="array" ref="AF262">IFERROR(IF(tblSeverityAnalysis[[#This Row],[2ª mayor severidad]]="", "", _xlfn.TEXTJOIN(CHAR(10), TRUE, IF(tblSeverityAnalysis[[#This Row],[SAMV]:[ASH]]=tblSeverityAnalysis[[#This Row],[2ª mayor severidad]], tblSeverityAnalysis[[#Headers],[SAMV]:[ASH]], ""), "")), "")</f>
        <v>SAMV</v>
      </c>
      <c r="AG262" s="405" t="str">
        <f>IFERROR(IF(AND(tblSeverityAnalysis[[#This Row],[5]] &lt;&gt; "", tblSeverityAnalysis[[#This Row],[5]]&gt;=sectors_sev_5), "Flagged", ""), "")</f>
        <v/>
      </c>
      <c r="AH262" s="347" t="str">
        <f>IFERROR(IF(AND(tblSeverityAnalysis[[#This Row],[Severidad preliminar basada en la superposición de privaciones sectoriales]]=5, SUM(tblSeverityAnalysis[[#This Row],[ 1 ]:[ 4 ]])&gt;=sectors_sev_5), "Flagged", ""), "")</f>
        <v/>
      </c>
      <c r="AI262" s="348" t="str" cm="1">
        <f t="array" ref="AI26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6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62" s="350"/>
      <c r="AL262" s="351"/>
      <c r="AM262" s="350"/>
      <c r="AN262" s="407">
        <f>COUNTIF(tblSeverityAnalysis[[#This Row],[1 sectores en fase de severidad 5 '[modificar el umbral']]:[Marcador manual]], "Flagged")</f>
        <v>0</v>
      </c>
      <c r="AO262" s="418">
        <f>tblSeverityAnalysis[[#This Row],[Severidad preliminar basada en la superposición de privaciones sectoriales]]</f>
        <v>3</v>
      </c>
      <c r="AP262" s="417"/>
      <c r="AQ262" s="421" t="s">
        <v>875</v>
      </c>
      <c r="AR262" s="417">
        <v>4</v>
      </c>
    </row>
    <row r="263" spans="1:44" hidden="1">
      <c r="A26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VenezolanosVE2010</v>
      </c>
      <c r="B263" s="363" t="s">
        <v>589</v>
      </c>
      <c r="C263" s="323" t="s">
        <v>590</v>
      </c>
      <c r="D263" s="322" t="s">
        <v>607</v>
      </c>
      <c r="E263" s="323" t="s">
        <v>608</v>
      </c>
      <c r="F263" s="323"/>
      <c r="G263" s="324">
        <v>43236</v>
      </c>
      <c r="H263" s="324" t="s">
        <v>102</v>
      </c>
      <c r="I263" s="374">
        <v>3</v>
      </c>
      <c r="J263" s="237">
        <v>2</v>
      </c>
      <c r="K263" s="237">
        <v>3</v>
      </c>
      <c r="L263" s="237">
        <v>3</v>
      </c>
      <c r="M263" s="237">
        <v>3</v>
      </c>
      <c r="N263" s="237">
        <v>2</v>
      </c>
      <c r="O263" s="237">
        <v>3</v>
      </c>
      <c r="P263" s="237">
        <v>3</v>
      </c>
      <c r="Q263" s="382" t="str">
        <f>IF(COUNTIF(tblSeverityAnalysis[[#This Row],[SAMV]:[ASH]], 1)=0, "", COUNTIF(tblSeverityAnalysis[[#This Row],[SAMV]:[ASH]], 1))</f>
        <v/>
      </c>
      <c r="R263" s="325">
        <f>IF(COUNTIF(tblSeverityAnalysis[[#This Row],[SAMV]:[ASH]], 2)=0, "", COUNTIF(tblSeverityAnalysis[[#This Row],[SAMV]:[ASH]], 2))</f>
        <v>2</v>
      </c>
      <c r="S263" s="325">
        <f>IF(COUNTIF(tblSeverityAnalysis[[#This Row],[SAMV]:[ASH]], 3)=0, "", COUNTIF(tblSeverityAnalysis[[#This Row],[SAMV]:[ASH]], 3))</f>
        <v>4</v>
      </c>
      <c r="T263" s="325" t="str">
        <f>IF(COUNTIF(tblSeverityAnalysis[[#This Row],[SAMV]:[ASH]], 4)=0, "", COUNTIF(tblSeverityAnalysis[[#This Row],[SAMV]:[ASH]], 4))</f>
        <v/>
      </c>
      <c r="U263" s="383" t="str">
        <f>IF(COUNTIF(tblSeverityAnalysis[[#This Row],[SAMV]:[ASH]], 5)=0, "", COUNTIF(tblSeverityAnalysis[[#This Row],[SAMV]:[ASH]], 5))</f>
        <v/>
      </c>
      <c r="V263" s="375" cm="1">
        <f t="array" ref="V26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6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63" s="237" t="str">
        <f>IFERROR(IF(INDEX(tblSeverityReference[Severidad de la desnutrición],MATCH(tblSeverityAnalysis[[#This Row],[ID]], tblSeverityReference[ID], 0))= "", "",INDEX(tblSeverityReference[Severidad de la desnutrición],MATCH(tblSeverityAnalysis[[#This Row],[ID]], tblSeverityReference[ID], 0)) ), "")</f>
        <v/>
      </c>
      <c r="Y263" s="349" t="str">
        <f>IFERROR(IF(INDEX(tblSeverityReference[Severidad epidémica],MATCH(tblSeverityAnalysis[[#This Row],[ID]], tblSeverityReference[ID], 0))= "", "",INDEX(tblSeverityReference[Severidad epidémica],MATCH(tblSeverityAnalysis[[#This Row],[ID]], tblSeverityReference[ID], 0)) ), "")</f>
        <v/>
      </c>
      <c r="Z26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63" s="391" t="str">
        <f>IFERROR(IF(INDEX(tblSeverityReference[HR/IHL Violation],MATCH(tblSeverityAnalysis[[#This Row],[ID]], tblSeverityReference[ID], 0))= "", "",INDEX(tblSeverityReference[HR/IHL Violation],MATCH(tblSeverityAnalysis[[#This Row],[ID]], tblSeverityReference[ID], 0)) ), "")</f>
        <v/>
      </c>
      <c r="AB263" s="397">
        <f>IFERROR(AVERAGE(tblSeverityAnalysis[[#This Row],[SAMV]:[ASH]]), "")</f>
        <v>2.6666666666666665</v>
      </c>
      <c r="AC263" s="346">
        <f>IF(SUM(tblSeverityAnalysis[[#This Row],[SAMV]:[ASH]])=0, "", MAX(tblSeverityAnalysis[[#This Row],[SAMV]:[ASH]]))</f>
        <v>3</v>
      </c>
      <c r="AD263" s="261" t="str" cm="1">
        <f t="array" ref="AD263">IFERROR(IF(tblSeverityAnalysis[[#This Row],[Severidad máxima]]="", "", _xlfn.TEXTJOIN(CHAR(10), TRUE, IF(tblSeverityAnalysis[[#This Row],[SAMV]:[ASH]]=tblSeverityAnalysis[[#This Row],[Severidad máxima]], tblSeverityAnalysis[[#Headers],[SAMV]:[ASH]], ""), "")), "")</f>
        <v>SAMV
SAL
EDU
PRO</v>
      </c>
      <c r="AE263" s="346" cm="1">
        <f t="array" ref="AE263">IFERROR(MAX(_xlfn._xlws.FILTER(tblSeverityAnalysis[[#This Row],[SAMV]:[ASH]], tblSeverityAnalysis[[#This Row],[SAMV]:[ASH]]&lt;tblSeverityAnalysis[[#This Row],[Severidad máxima]])), "")</f>
        <v>2</v>
      </c>
      <c r="AF263" s="398" t="str" cm="1">
        <f t="array" ref="AF263">IFERROR(IF(tblSeverityAnalysis[[#This Row],[2ª mayor severidad]]="", "", _xlfn.TEXTJOIN(CHAR(10), TRUE, IF(tblSeverityAnalysis[[#This Row],[SAMV]:[ASH]]=tblSeverityAnalysis[[#This Row],[2ª mayor severidad]], tblSeverityAnalysis[[#Headers],[SAMV]:[ASH]], ""), "")), "")</f>
        <v>NUT
ASH</v>
      </c>
      <c r="AG263" s="405" t="str">
        <f>IFERROR(IF(AND(tblSeverityAnalysis[[#This Row],[5]] &lt;&gt; "", tblSeverityAnalysis[[#This Row],[5]]&gt;=sectors_sev_5), "Flagged", ""), "")</f>
        <v/>
      </c>
      <c r="AH263" s="347" t="str">
        <f>IFERROR(IF(AND(tblSeverityAnalysis[[#This Row],[Severidad preliminar basada en la superposición de privaciones sectoriales]]=5, SUM(tblSeverityAnalysis[[#This Row],[ 1 ]:[ 4 ]])&gt;=sectors_sev_5), "Flagged", ""), "")</f>
        <v/>
      </c>
      <c r="AI263" s="348" t="str" cm="1">
        <f t="array" ref="AI26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6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63" s="350"/>
      <c r="AL263" s="351"/>
      <c r="AM263" s="350"/>
      <c r="AN263" s="407">
        <f>COUNTIF(tblSeverityAnalysis[[#This Row],[1 sectores en fase de severidad 5 '[modificar el umbral']]:[Marcador manual]], "Flagged")</f>
        <v>0</v>
      </c>
      <c r="AO263" s="418">
        <f>tblSeverityAnalysis[[#This Row],[Severidad preliminar basada en la superposición de privaciones sectoriales]]</f>
        <v>3</v>
      </c>
      <c r="AP263" s="417"/>
      <c r="AQ263" s="421" t="s">
        <v>876</v>
      </c>
      <c r="AR263" s="417">
        <v>3</v>
      </c>
    </row>
    <row r="264" spans="1:44" hidden="1">
      <c r="A26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VenezolanosVE2011</v>
      </c>
      <c r="B264" s="363" t="s">
        <v>589</v>
      </c>
      <c r="C264" s="323" t="s">
        <v>590</v>
      </c>
      <c r="D264" s="322" t="s">
        <v>133</v>
      </c>
      <c r="E264" s="323" t="s">
        <v>609</v>
      </c>
      <c r="F264" s="323"/>
      <c r="G264" s="324">
        <v>36964</v>
      </c>
      <c r="H264" s="324" t="s">
        <v>102</v>
      </c>
      <c r="I264" s="374">
        <v>3</v>
      </c>
      <c r="J264" s="237">
        <v>2</v>
      </c>
      <c r="K264" s="237">
        <v>3</v>
      </c>
      <c r="L264" s="237">
        <v>3</v>
      </c>
      <c r="M264" s="237">
        <v>4</v>
      </c>
      <c r="N264" s="237">
        <v>1</v>
      </c>
      <c r="O264" s="237">
        <v>4</v>
      </c>
      <c r="P264" s="237">
        <v>4</v>
      </c>
      <c r="Q264" s="382">
        <f>IF(COUNTIF(tblSeverityAnalysis[[#This Row],[SAMV]:[ASH]], 1)=0, "", COUNTIF(tblSeverityAnalysis[[#This Row],[SAMV]:[ASH]], 1))</f>
        <v>1</v>
      </c>
      <c r="R264" s="325">
        <f>IF(COUNTIF(tblSeverityAnalysis[[#This Row],[SAMV]:[ASH]], 2)=0, "", COUNTIF(tblSeverityAnalysis[[#This Row],[SAMV]:[ASH]], 2))</f>
        <v>1</v>
      </c>
      <c r="S264" s="325">
        <f>IF(COUNTIF(tblSeverityAnalysis[[#This Row],[SAMV]:[ASH]], 3)=0, "", COUNTIF(tblSeverityAnalysis[[#This Row],[SAMV]:[ASH]], 3))</f>
        <v>3</v>
      </c>
      <c r="T264" s="325">
        <f>IF(COUNTIF(tblSeverityAnalysis[[#This Row],[SAMV]:[ASH]], 4)=0, "", COUNTIF(tblSeverityAnalysis[[#This Row],[SAMV]:[ASH]], 4))</f>
        <v>1</v>
      </c>
      <c r="U264" s="383" t="str">
        <f>IF(COUNTIF(tblSeverityAnalysis[[#This Row],[SAMV]:[ASH]], 5)=0, "", COUNTIF(tblSeverityAnalysis[[#This Row],[SAMV]:[ASH]], 5))</f>
        <v/>
      </c>
      <c r="V264" s="375" cm="1">
        <f t="array" ref="V26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6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64" s="237" t="str">
        <f>IFERROR(IF(INDEX(tblSeverityReference[Severidad de la desnutrición],MATCH(tblSeverityAnalysis[[#This Row],[ID]], tblSeverityReference[ID], 0))= "", "",INDEX(tblSeverityReference[Severidad de la desnutrición],MATCH(tblSeverityAnalysis[[#This Row],[ID]], tblSeverityReference[ID], 0)) ), "")</f>
        <v/>
      </c>
      <c r="Y264" s="349" t="str">
        <f>IFERROR(IF(INDEX(tblSeverityReference[Severidad epidémica],MATCH(tblSeverityAnalysis[[#This Row],[ID]], tblSeverityReference[ID], 0))= "", "",INDEX(tblSeverityReference[Severidad epidémica],MATCH(tblSeverityAnalysis[[#This Row],[ID]], tblSeverityReference[ID], 0)) ), "")</f>
        <v/>
      </c>
      <c r="Z26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64" s="391" t="str">
        <f>IFERROR(IF(INDEX(tblSeverityReference[HR/IHL Violation],MATCH(tblSeverityAnalysis[[#This Row],[ID]], tblSeverityReference[ID], 0))= "", "",INDEX(tblSeverityReference[HR/IHL Violation],MATCH(tblSeverityAnalysis[[#This Row],[ID]], tblSeverityReference[ID], 0)) ), "")</f>
        <v/>
      </c>
      <c r="AB264" s="397">
        <f>IFERROR(AVERAGE(tblSeverityAnalysis[[#This Row],[SAMV]:[ASH]]), "")</f>
        <v>2.6666666666666665</v>
      </c>
      <c r="AC264" s="346">
        <f>IF(SUM(tblSeverityAnalysis[[#This Row],[SAMV]:[ASH]])=0, "", MAX(tblSeverityAnalysis[[#This Row],[SAMV]:[ASH]]))</f>
        <v>4</v>
      </c>
      <c r="AD264" s="261" t="str" cm="1">
        <f t="array" ref="AD264">IFERROR(IF(tblSeverityAnalysis[[#This Row],[Severidad máxima]]="", "", _xlfn.TEXTJOIN(CHAR(10), TRUE, IF(tblSeverityAnalysis[[#This Row],[SAMV]:[ASH]]=tblSeverityAnalysis[[#This Row],[Severidad máxima]], tblSeverityAnalysis[[#Headers],[SAMV]:[ASH]], ""), "")), "")</f>
        <v>PRO</v>
      </c>
      <c r="AE264" s="346" cm="1">
        <f t="array" ref="AE264">IFERROR(MAX(_xlfn._xlws.FILTER(tblSeverityAnalysis[[#This Row],[SAMV]:[ASH]], tblSeverityAnalysis[[#This Row],[SAMV]:[ASH]]&lt;tblSeverityAnalysis[[#This Row],[Severidad máxima]])), "")</f>
        <v>3</v>
      </c>
      <c r="AF264" s="398" t="str" cm="1">
        <f t="array" ref="AF264">IFERROR(IF(tblSeverityAnalysis[[#This Row],[2ª mayor severidad]]="", "", _xlfn.TEXTJOIN(CHAR(10), TRUE, IF(tblSeverityAnalysis[[#This Row],[SAMV]:[ASH]]=tblSeverityAnalysis[[#This Row],[2ª mayor severidad]], tblSeverityAnalysis[[#Headers],[SAMV]:[ASH]], ""), "")), "")</f>
        <v>SAMV
SAL
EDU</v>
      </c>
      <c r="AG264" s="405" t="str">
        <f>IFERROR(IF(AND(tblSeverityAnalysis[[#This Row],[5]] &lt;&gt; "", tblSeverityAnalysis[[#This Row],[5]]&gt;=sectors_sev_5), "Flagged", ""), "")</f>
        <v/>
      </c>
      <c r="AH264" s="347" t="str">
        <f>IFERROR(IF(AND(tblSeverityAnalysis[[#This Row],[Severidad preliminar basada en la superposición de privaciones sectoriales]]=5, SUM(tblSeverityAnalysis[[#This Row],[ 1 ]:[ 4 ]])&gt;=sectors_sev_5), "Flagged", ""), "")</f>
        <v/>
      </c>
      <c r="AI264" s="348" t="str" cm="1">
        <f t="array" ref="AI26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6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64" s="350"/>
      <c r="AL264" s="351"/>
      <c r="AM264" s="350"/>
      <c r="AN264" s="407">
        <f>COUNTIF(tblSeverityAnalysis[[#This Row],[1 sectores en fase de severidad 5 '[modificar el umbral']]:[Marcador manual]], "Flagged")</f>
        <v>0</v>
      </c>
      <c r="AO264" s="418">
        <f>tblSeverityAnalysis[[#This Row],[Severidad preliminar basada en la superposición de privaciones sectoriales]]</f>
        <v>3</v>
      </c>
      <c r="AP264" s="417"/>
      <c r="AQ264" s="421" t="s">
        <v>876</v>
      </c>
      <c r="AR264" s="417">
        <v>2</v>
      </c>
    </row>
    <row r="265" spans="1:44" hidden="1">
      <c r="A26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VenezolanosVE2012</v>
      </c>
      <c r="B265" s="363" t="s">
        <v>589</v>
      </c>
      <c r="C265" s="323" t="s">
        <v>590</v>
      </c>
      <c r="D265" s="322" t="s">
        <v>610</v>
      </c>
      <c r="E265" s="323" t="s">
        <v>611</v>
      </c>
      <c r="F265" s="323"/>
      <c r="G265" s="324">
        <v>41000</v>
      </c>
      <c r="H265" s="324" t="s">
        <v>102</v>
      </c>
      <c r="I265" s="374">
        <v>3</v>
      </c>
      <c r="J265" s="237">
        <v>1</v>
      </c>
      <c r="K265" s="237">
        <v>4</v>
      </c>
      <c r="L265" s="237">
        <v>4</v>
      </c>
      <c r="M265" s="237">
        <v>2</v>
      </c>
      <c r="N265" s="237">
        <v>2</v>
      </c>
      <c r="O265" s="237">
        <v>2</v>
      </c>
      <c r="P265" s="237">
        <v>2</v>
      </c>
      <c r="Q265" s="382">
        <f>IF(COUNTIF(tblSeverityAnalysis[[#This Row],[SAMV]:[ASH]], 1)=0, "", COUNTIF(tblSeverityAnalysis[[#This Row],[SAMV]:[ASH]], 1))</f>
        <v>1</v>
      </c>
      <c r="R265" s="325">
        <f>IF(COUNTIF(tblSeverityAnalysis[[#This Row],[SAMV]:[ASH]], 2)=0, "", COUNTIF(tblSeverityAnalysis[[#This Row],[SAMV]:[ASH]], 2))</f>
        <v>2</v>
      </c>
      <c r="S265" s="325">
        <f>IF(COUNTIF(tblSeverityAnalysis[[#This Row],[SAMV]:[ASH]], 3)=0, "", COUNTIF(tblSeverityAnalysis[[#This Row],[SAMV]:[ASH]], 3))</f>
        <v>1</v>
      </c>
      <c r="T265" s="325">
        <f>IF(COUNTIF(tblSeverityAnalysis[[#This Row],[SAMV]:[ASH]], 4)=0, "", COUNTIF(tblSeverityAnalysis[[#This Row],[SAMV]:[ASH]], 4))</f>
        <v>2</v>
      </c>
      <c r="U265" s="383" t="str">
        <f>IF(COUNTIF(tblSeverityAnalysis[[#This Row],[SAMV]:[ASH]], 5)=0, "", COUNTIF(tblSeverityAnalysis[[#This Row],[SAMV]:[ASH]], 5))</f>
        <v/>
      </c>
      <c r="V265" s="375" cm="1">
        <f t="array" ref="V26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6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65" s="237" t="str">
        <f>IFERROR(IF(INDEX(tblSeverityReference[Severidad de la desnutrición],MATCH(tblSeverityAnalysis[[#This Row],[ID]], tblSeverityReference[ID], 0))= "", "",INDEX(tblSeverityReference[Severidad de la desnutrición],MATCH(tblSeverityAnalysis[[#This Row],[ID]], tblSeverityReference[ID], 0)) ), "")</f>
        <v/>
      </c>
      <c r="Y265" s="349" t="str">
        <f>IFERROR(IF(INDEX(tblSeverityReference[Severidad epidémica],MATCH(tblSeverityAnalysis[[#This Row],[ID]], tblSeverityReference[ID], 0))= "", "",INDEX(tblSeverityReference[Severidad epidémica],MATCH(tblSeverityAnalysis[[#This Row],[ID]], tblSeverityReference[ID], 0)) ), "")</f>
        <v/>
      </c>
      <c r="Z26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65" s="391" t="str">
        <f>IFERROR(IF(INDEX(tblSeverityReference[HR/IHL Violation],MATCH(tblSeverityAnalysis[[#This Row],[ID]], tblSeverityReference[ID], 0))= "", "",INDEX(tblSeverityReference[HR/IHL Violation],MATCH(tblSeverityAnalysis[[#This Row],[ID]], tblSeverityReference[ID], 0)) ), "")</f>
        <v/>
      </c>
      <c r="AB265" s="397">
        <f>IFERROR(AVERAGE(tblSeverityAnalysis[[#This Row],[SAMV]:[ASH]]), "")</f>
        <v>2.6666666666666665</v>
      </c>
      <c r="AC265" s="346">
        <f>IF(SUM(tblSeverityAnalysis[[#This Row],[SAMV]:[ASH]])=0, "", MAX(tblSeverityAnalysis[[#This Row],[SAMV]:[ASH]]))</f>
        <v>4</v>
      </c>
      <c r="AD265" s="261" t="str" cm="1">
        <f t="array" ref="AD265">IFERROR(IF(tblSeverityAnalysis[[#This Row],[Severidad máxima]]="", "", _xlfn.TEXTJOIN(CHAR(10), TRUE, IF(tblSeverityAnalysis[[#This Row],[SAMV]:[ASH]]=tblSeverityAnalysis[[#This Row],[Severidad máxima]], tblSeverityAnalysis[[#Headers],[SAMV]:[ASH]], ""), "")), "")</f>
        <v>SAL
EDU</v>
      </c>
      <c r="AE265" s="346" cm="1">
        <f t="array" ref="AE265">IFERROR(MAX(_xlfn._xlws.FILTER(tblSeverityAnalysis[[#This Row],[SAMV]:[ASH]], tblSeverityAnalysis[[#This Row],[SAMV]:[ASH]]&lt;tblSeverityAnalysis[[#This Row],[Severidad máxima]])), "")</f>
        <v>3</v>
      </c>
      <c r="AF265" s="398" t="str" cm="1">
        <f t="array" ref="AF265">IFERROR(IF(tblSeverityAnalysis[[#This Row],[2ª mayor severidad]]="", "", _xlfn.TEXTJOIN(CHAR(10), TRUE, IF(tblSeverityAnalysis[[#This Row],[SAMV]:[ASH]]=tblSeverityAnalysis[[#This Row],[2ª mayor severidad]], tblSeverityAnalysis[[#Headers],[SAMV]:[ASH]], ""), "")), "")</f>
        <v>SAMV</v>
      </c>
      <c r="AG265" s="405" t="str">
        <f>IFERROR(IF(AND(tblSeverityAnalysis[[#This Row],[5]] &lt;&gt; "", tblSeverityAnalysis[[#This Row],[5]]&gt;=sectors_sev_5), "Flagged", ""), "")</f>
        <v/>
      </c>
      <c r="AH265" s="347" t="str">
        <f>IFERROR(IF(AND(tblSeverityAnalysis[[#This Row],[Severidad preliminar basada en la superposición de privaciones sectoriales]]=5, SUM(tblSeverityAnalysis[[#This Row],[ 1 ]:[ 4 ]])&gt;=sectors_sev_5), "Flagged", ""), "")</f>
        <v/>
      </c>
      <c r="AI265" s="348" t="str" cm="1">
        <f t="array" ref="AI26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6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65" s="350"/>
      <c r="AL265" s="351"/>
      <c r="AM265" s="350"/>
      <c r="AN265" s="407">
        <f>COUNTIF(tblSeverityAnalysis[[#This Row],[1 sectores en fase de severidad 5 '[modificar el umbral']]:[Marcador manual]], "Flagged")</f>
        <v>0</v>
      </c>
      <c r="AO265" s="418">
        <f>tblSeverityAnalysis[[#This Row],[Severidad preliminar basada en la superposición de privaciones sectoriales]]</f>
        <v>2</v>
      </c>
      <c r="AP265" s="417"/>
      <c r="AQ265" s="421" t="s">
        <v>876</v>
      </c>
      <c r="AR265" s="417">
        <v>3</v>
      </c>
    </row>
    <row r="266" spans="1:44" hidden="1">
      <c r="A26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VenezolanosVE2013</v>
      </c>
      <c r="B266" s="363" t="s">
        <v>589</v>
      </c>
      <c r="C266" s="323" t="s">
        <v>590</v>
      </c>
      <c r="D266" s="322" t="s">
        <v>612</v>
      </c>
      <c r="E266" s="323" t="s">
        <v>613</v>
      </c>
      <c r="F266" s="323"/>
      <c r="G266" s="324">
        <v>9879</v>
      </c>
      <c r="H266" s="324" t="s">
        <v>102</v>
      </c>
      <c r="I266" s="374">
        <v>1</v>
      </c>
      <c r="J266" s="237">
        <v>2</v>
      </c>
      <c r="K266" s="237">
        <v>3</v>
      </c>
      <c r="L266" s="237">
        <v>3</v>
      </c>
      <c r="M266" s="237">
        <v>2</v>
      </c>
      <c r="N266" s="237">
        <v>1</v>
      </c>
      <c r="O266" s="237">
        <v>2</v>
      </c>
      <c r="P266" s="237">
        <v>2</v>
      </c>
      <c r="Q266" s="382">
        <f>IF(COUNTIF(tblSeverityAnalysis[[#This Row],[SAMV]:[ASH]], 1)=0, "", COUNTIF(tblSeverityAnalysis[[#This Row],[SAMV]:[ASH]], 1))</f>
        <v>2</v>
      </c>
      <c r="R266" s="325">
        <f>IF(COUNTIF(tblSeverityAnalysis[[#This Row],[SAMV]:[ASH]], 2)=0, "", COUNTIF(tblSeverityAnalysis[[#This Row],[SAMV]:[ASH]], 2))</f>
        <v>2</v>
      </c>
      <c r="S266" s="325">
        <f>IF(COUNTIF(tblSeverityAnalysis[[#This Row],[SAMV]:[ASH]], 3)=0, "", COUNTIF(tblSeverityAnalysis[[#This Row],[SAMV]:[ASH]], 3))</f>
        <v>2</v>
      </c>
      <c r="T266" s="325" t="str">
        <f>IF(COUNTIF(tblSeverityAnalysis[[#This Row],[SAMV]:[ASH]], 4)=0, "", COUNTIF(tblSeverityAnalysis[[#This Row],[SAMV]:[ASH]], 4))</f>
        <v/>
      </c>
      <c r="U266" s="383" t="str">
        <f>IF(COUNTIF(tblSeverityAnalysis[[#This Row],[SAMV]:[ASH]], 5)=0, "", COUNTIF(tblSeverityAnalysis[[#This Row],[SAMV]:[ASH]], 5))</f>
        <v/>
      </c>
      <c r="V266" s="375" cm="1">
        <f t="array" ref="V26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6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66" s="237" t="str">
        <f>IFERROR(IF(INDEX(tblSeverityReference[Severidad de la desnutrición],MATCH(tblSeverityAnalysis[[#This Row],[ID]], tblSeverityReference[ID], 0))= "", "",INDEX(tblSeverityReference[Severidad de la desnutrición],MATCH(tblSeverityAnalysis[[#This Row],[ID]], tblSeverityReference[ID], 0)) ), "")</f>
        <v/>
      </c>
      <c r="Y266" s="349" t="str">
        <f>IFERROR(IF(INDEX(tblSeverityReference[Severidad epidémica],MATCH(tblSeverityAnalysis[[#This Row],[ID]], tblSeverityReference[ID], 0))= "", "",INDEX(tblSeverityReference[Severidad epidémica],MATCH(tblSeverityAnalysis[[#This Row],[ID]], tblSeverityReference[ID], 0)) ), "")</f>
        <v/>
      </c>
      <c r="Z26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66" s="391" t="str">
        <f>IFERROR(IF(INDEX(tblSeverityReference[HR/IHL Violation],MATCH(tblSeverityAnalysis[[#This Row],[ID]], tblSeverityReference[ID], 0))= "", "",INDEX(tblSeverityReference[HR/IHL Violation],MATCH(tblSeverityAnalysis[[#This Row],[ID]], tblSeverityReference[ID], 0)) ), "")</f>
        <v/>
      </c>
      <c r="AB266" s="397">
        <f>IFERROR(AVERAGE(tblSeverityAnalysis[[#This Row],[SAMV]:[ASH]]), "")</f>
        <v>2</v>
      </c>
      <c r="AC266" s="346">
        <f>IF(SUM(tblSeverityAnalysis[[#This Row],[SAMV]:[ASH]])=0, "", MAX(tblSeverityAnalysis[[#This Row],[SAMV]:[ASH]]))</f>
        <v>3</v>
      </c>
      <c r="AD266" s="261" t="str" cm="1">
        <f t="array" ref="AD266">IFERROR(IF(tblSeverityAnalysis[[#This Row],[Severidad máxima]]="", "", _xlfn.TEXTJOIN(CHAR(10), TRUE, IF(tblSeverityAnalysis[[#This Row],[SAMV]:[ASH]]=tblSeverityAnalysis[[#This Row],[Severidad máxima]], tblSeverityAnalysis[[#Headers],[SAMV]:[ASH]], ""), "")), "")</f>
        <v>SAL
EDU</v>
      </c>
      <c r="AE266" s="346" cm="1">
        <f t="array" ref="AE266">IFERROR(MAX(_xlfn._xlws.FILTER(tblSeverityAnalysis[[#This Row],[SAMV]:[ASH]], tblSeverityAnalysis[[#This Row],[SAMV]:[ASH]]&lt;tblSeverityAnalysis[[#This Row],[Severidad máxima]])), "")</f>
        <v>2</v>
      </c>
      <c r="AF266" s="398" t="str" cm="1">
        <f t="array" ref="AF266">IFERROR(IF(tblSeverityAnalysis[[#This Row],[2ª mayor severidad]]="", "", _xlfn.TEXTJOIN(CHAR(10), TRUE, IF(tblSeverityAnalysis[[#This Row],[SAMV]:[ASH]]=tblSeverityAnalysis[[#This Row],[2ª mayor severidad]], tblSeverityAnalysis[[#Headers],[SAMV]:[ASH]], ""), "")), "")</f>
        <v>NUT
PRO</v>
      </c>
      <c r="AG266" s="405" t="str">
        <f>IFERROR(IF(AND(tblSeverityAnalysis[[#This Row],[5]] &lt;&gt; "", tblSeverityAnalysis[[#This Row],[5]]&gt;=sectors_sev_5), "Flagged", ""), "")</f>
        <v/>
      </c>
      <c r="AH266" s="347" t="str">
        <f>IFERROR(IF(AND(tblSeverityAnalysis[[#This Row],[Severidad preliminar basada en la superposición de privaciones sectoriales]]=5, SUM(tblSeverityAnalysis[[#This Row],[ 1 ]:[ 4 ]])&gt;=sectors_sev_5), "Flagged", ""), "")</f>
        <v/>
      </c>
      <c r="AI266" s="348" t="str" cm="1">
        <f t="array" ref="AI26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6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66" s="350"/>
      <c r="AL266" s="351"/>
      <c r="AM266" s="350"/>
      <c r="AN266" s="407">
        <f>COUNTIF(tblSeverityAnalysis[[#This Row],[1 sectores en fase de severidad 5 '[modificar el umbral']]:[Marcador manual]], "Flagged")</f>
        <v>0</v>
      </c>
      <c r="AO266" s="418">
        <f>tblSeverityAnalysis[[#This Row],[Severidad preliminar basada en la superposición de privaciones sectoriales]]</f>
        <v>2</v>
      </c>
      <c r="AP266" s="417"/>
      <c r="AQ266" s="421" t="s">
        <v>876</v>
      </c>
      <c r="AR266" s="417">
        <v>3</v>
      </c>
    </row>
    <row r="267" spans="1:44" hidden="1">
      <c r="A26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VenezolanosVE2014</v>
      </c>
      <c r="B267" s="363" t="s">
        <v>589</v>
      </c>
      <c r="C267" s="323" t="s">
        <v>590</v>
      </c>
      <c r="D267" s="322" t="s">
        <v>614</v>
      </c>
      <c r="E267" s="323" t="s">
        <v>615</v>
      </c>
      <c r="F267" s="323"/>
      <c r="G267" s="324">
        <v>80680</v>
      </c>
      <c r="H267" s="324" t="s">
        <v>102</v>
      </c>
      <c r="I267" s="374">
        <v>3</v>
      </c>
      <c r="J267" s="237">
        <v>2</v>
      </c>
      <c r="K267" s="237">
        <v>4</v>
      </c>
      <c r="L267" s="237">
        <v>4</v>
      </c>
      <c r="M267" s="237">
        <v>3</v>
      </c>
      <c r="N267" s="237">
        <v>3</v>
      </c>
      <c r="O267" s="237">
        <v>3</v>
      </c>
      <c r="P267" s="237">
        <v>3</v>
      </c>
      <c r="Q267" s="382" t="str">
        <f>IF(COUNTIF(tblSeverityAnalysis[[#This Row],[SAMV]:[ASH]], 1)=0, "", COUNTIF(tblSeverityAnalysis[[#This Row],[SAMV]:[ASH]], 1))</f>
        <v/>
      </c>
      <c r="R267" s="325">
        <f>IF(COUNTIF(tblSeverityAnalysis[[#This Row],[SAMV]:[ASH]], 2)=0, "", COUNTIF(tblSeverityAnalysis[[#This Row],[SAMV]:[ASH]], 2))</f>
        <v>1</v>
      </c>
      <c r="S267" s="325">
        <f>IF(COUNTIF(tblSeverityAnalysis[[#This Row],[SAMV]:[ASH]], 3)=0, "", COUNTIF(tblSeverityAnalysis[[#This Row],[SAMV]:[ASH]], 3))</f>
        <v>3</v>
      </c>
      <c r="T267" s="325">
        <f>IF(COUNTIF(tblSeverityAnalysis[[#This Row],[SAMV]:[ASH]], 4)=0, "", COUNTIF(tblSeverityAnalysis[[#This Row],[SAMV]:[ASH]], 4))</f>
        <v>2</v>
      </c>
      <c r="U267" s="383" t="str">
        <f>IF(COUNTIF(tblSeverityAnalysis[[#This Row],[SAMV]:[ASH]], 5)=0, "", COUNTIF(tblSeverityAnalysis[[#This Row],[SAMV]:[ASH]], 5))</f>
        <v/>
      </c>
      <c r="V267" s="375" cm="1">
        <f t="array" ref="V26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6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67" s="237" t="str">
        <f>IFERROR(IF(INDEX(tblSeverityReference[Severidad de la desnutrición],MATCH(tblSeverityAnalysis[[#This Row],[ID]], tblSeverityReference[ID], 0))= "", "",INDEX(tblSeverityReference[Severidad de la desnutrición],MATCH(tblSeverityAnalysis[[#This Row],[ID]], tblSeverityReference[ID], 0)) ), "")</f>
        <v/>
      </c>
      <c r="Y267" s="349" t="str">
        <f>IFERROR(IF(INDEX(tblSeverityReference[Severidad epidémica],MATCH(tblSeverityAnalysis[[#This Row],[ID]], tblSeverityReference[ID], 0))= "", "",INDEX(tblSeverityReference[Severidad epidémica],MATCH(tblSeverityAnalysis[[#This Row],[ID]], tblSeverityReference[ID], 0)) ), "")</f>
        <v/>
      </c>
      <c r="Z26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67" s="391" t="str">
        <f>IFERROR(IF(INDEX(tblSeverityReference[HR/IHL Violation],MATCH(tblSeverityAnalysis[[#This Row],[ID]], tblSeverityReference[ID], 0))= "", "",INDEX(tblSeverityReference[HR/IHL Violation],MATCH(tblSeverityAnalysis[[#This Row],[ID]], tblSeverityReference[ID], 0)) ), "")</f>
        <v/>
      </c>
      <c r="AB267" s="397">
        <f>IFERROR(AVERAGE(tblSeverityAnalysis[[#This Row],[SAMV]:[ASH]]), "")</f>
        <v>3.1666666666666665</v>
      </c>
      <c r="AC267" s="346">
        <f>IF(SUM(tblSeverityAnalysis[[#This Row],[SAMV]:[ASH]])=0, "", MAX(tblSeverityAnalysis[[#This Row],[SAMV]:[ASH]]))</f>
        <v>4</v>
      </c>
      <c r="AD267" s="261" t="str" cm="1">
        <f t="array" ref="AD267">IFERROR(IF(tblSeverityAnalysis[[#This Row],[Severidad máxima]]="", "", _xlfn.TEXTJOIN(CHAR(10), TRUE, IF(tblSeverityAnalysis[[#This Row],[SAMV]:[ASH]]=tblSeverityAnalysis[[#This Row],[Severidad máxima]], tblSeverityAnalysis[[#Headers],[SAMV]:[ASH]], ""), "")), "")</f>
        <v>SAL
EDU</v>
      </c>
      <c r="AE267" s="346" cm="1">
        <f t="array" ref="AE267">IFERROR(MAX(_xlfn._xlws.FILTER(tblSeverityAnalysis[[#This Row],[SAMV]:[ASH]], tblSeverityAnalysis[[#This Row],[SAMV]:[ASH]]&lt;tblSeverityAnalysis[[#This Row],[Severidad máxima]])), "")</f>
        <v>3</v>
      </c>
      <c r="AF267" s="398" t="str" cm="1">
        <f t="array" ref="AF267">IFERROR(IF(tblSeverityAnalysis[[#This Row],[2ª mayor severidad]]="", "", _xlfn.TEXTJOIN(CHAR(10), TRUE, IF(tblSeverityAnalysis[[#This Row],[SAMV]:[ASH]]=tblSeverityAnalysis[[#This Row],[2ª mayor severidad]], tblSeverityAnalysis[[#Headers],[SAMV]:[ASH]], ""), "")), "")</f>
        <v>SAMV
PRO
ASH</v>
      </c>
      <c r="AG267" s="405" t="str">
        <f>IFERROR(IF(AND(tblSeverityAnalysis[[#This Row],[5]] &lt;&gt; "", tblSeverityAnalysis[[#This Row],[5]]&gt;=sectors_sev_5), "Flagged", ""), "")</f>
        <v/>
      </c>
      <c r="AH267" s="347" t="str">
        <f>IFERROR(IF(AND(tblSeverityAnalysis[[#This Row],[Severidad preliminar basada en la superposición de privaciones sectoriales]]=5, SUM(tblSeverityAnalysis[[#This Row],[ 1 ]:[ 4 ]])&gt;=sectors_sev_5), "Flagged", ""), "")</f>
        <v/>
      </c>
      <c r="AI267" s="348" t="str" cm="1">
        <f t="array" ref="AI26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6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67" s="350"/>
      <c r="AL267" s="351"/>
      <c r="AM267" s="350"/>
      <c r="AN267" s="407">
        <f>COUNTIF(tblSeverityAnalysis[[#This Row],[1 sectores en fase de severidad 5 '[modificar el umbral']]:[Marcador manual]], "Flagged")</f>
        <v>0</v>
      </c>
      <c r="AO267" s="418">
        <f>tblSeverityAnalysis[[#This Row],[Severidad preliminar basada en la superposición de privaciones sectoriales]]</f>
        <v>3</v>
      </c>
      <c r="AP267" s="417"/>
      <c r="AQ267" s="421" t="s">
        <v>876</v>
      </c>
      <c r="AR267" s="417">
        <v>3</v>
      </c>
    </row>
    <row r="268" spans="1:44" hidden="1">
      <c r="A26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VenezolanosVE2015</v>
      </c>
      <c r="B268" s="363" t="s">
        <v>589</v>
      </c>
      <c r="C268" s="323" t="s">
        <v>590</v>
      </c>
      <c r="D268" s="322" t="s">
        <v>141</v>
      </c>
      <c r="E268" s="323" t="s">
        <v>616</v>
      </c>
      <c r="F268" s="323"/>
      <c r="G268" s="324">
        <v>27547</v>
      </c>
      <c r="H268" s="324" t="s">
        <v>102</v>
      </c>
      <c r="I268" s="374">
        <v>3</v>
      </c>
      <c r="J268" s="237">
        <v>1</v>
      </c>
      <c r="K268" s="237">
        <v>3</v>
      </c>
      <c r="L268" s="237">
        <v>3</v>
      </c>
      <c r="M268" s="237">
        <v>3</v>
      </c>
      <c r="N268" s="237">
        <v>2</v>
      </c>
      <c r="O268" s="237">
        <v>3</v>
      </c>
      <c r="P268" s="237">
        <v>3</v>
      </c>
      <c r="Q268" s="382">
        <f>IF(COUNTIF(tblSeverityAnalysis[[#This Row],[SAMV]:[ASH]], 1)=0, "", COUNTIF(tblSeverityAnalysis[[#This Row],[SAMV]:[ASH]], 1))</f>
        <v>1</v>
      </c>
      <c r="R268" s="325">
        <f>IF(COUNTIF(tblSeverityAnalysis[[#This Row],[SAMV]:[ASH]], 2)=0, "", COUNTIF(tblSeverityAnalysis[[#This Row],[SAMV]:[ASH]], 2))</f>
        <v>1</v>
      </c>
      <c r="S268" s="325">
        <f>IF(COUNTIF(tblSeverityAnalysis[[#This Row],[SAMV]:[ASH]], 3)=0, "", COUNTIF(tblSeverityAnalysis[[#This Row],[SAMV]:[ASH]], 3))</f>
        <v>4</v>
      </c>
      <c r="T268" s="325" t="str">
        <f>IF(COUNTIF(tblSeverityAnalysis[[#This Row],[SAMV]:[ASH]], 4)=0, "", COUNTIF(tblSeverityAnalysis[[#This Row],[SAMV]:[ASH]], 4))</f>
        <v/>
      </c>
      <c r="U268" s="383" t="str">
        <f>IF(COUNTIF(tblSeverityAnalysis[[#This Row],[SAMV]:[ASH]], 5)=0, "", COUNTIF(tblSeverityAnalysis[[#This Row],[SAMV]:[ASH]], 5))</f>
        <v/>
      </c>
      <c r="V268" s="375" cm="1">
        <f t="array" ref="V26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6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68" s="237" t="str">
        <f>IFERROR(IF(INDEX(tblSeverityReference[Severidad de la desnutrición],MATCH(tblSeverityAnalysis[[#This Row],[ID]], tblSeverityReference[ID], 0))= "", "",INDEX(tblSeverityReference[Severidad de la desnutrición],MATCH(tblSeverityAnalysis[[#This Row],[ID]], tblSeverityReference[ID], 0)) ), "")</f>
        <v/>
      </c>
      <c r="Y268" s="349" t="str">
        <f>IFERROR(IF(INDEX(tblSeverityReference[Severidad epidémica],MATCH(tblSeverityAnalysis[[#This Row],[ID]], tblSeverityReference[ID], 0))= "", "",INDEX(tblSeverityReference[Severidad epidémica],MATCH(tblSeverityAnalysis[[#This Row],[ID]], tblSeverityReference[ID], 0)) ), "")</f>
        <v/>
      </c>
      <c r="Z26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68" s="391" t="str">
        <f>IFERROR(IF(INDEX(tblSeverityReference[HR/IHL Violation],MATCH(tblSeverityAnalysis[[#This Row],[ID]], tblSeverityReference[ID], 0))= "", "",INDEX(tblSeverityReference[HR/IHL Violation],MATCH(tblSeverityAnalysis[[#This Row],[ID]], tblSeverityReference[ID], 0)) ), "")</f>
        <v/>
      </c>
      <c r="AB268" s="397">
        <f>IFERROR(AVERAGE(tblSeverityAnalysis[[#This Row],[SAMV]:[ASH]]), "")</f>
        <v>2.5</v>
      </c>
      <c r="AC268" s="346">
        <f>IF(SUM(tblSeverityAnalysis[[#This Row],[SAMV]:[ASH]])=0, "", MAX(tblSeverityAnalysis[[#This Row],[SAMV]:[ASH]]))</f>
        <v>3</v>
      </c>
      <c r="AD268" s="261" t="str" cm="1">
        <f t="array" ref="AD268">IFERROR(IF(tblSeverityAnalysis[[#This Row],[Severidad máxima]]="", "", _xlfn.TEXTJOIN(CHAR(10), TRUE, IF(tblSeverityAnalysis[[#This Row],[SAMV]:[ASH]]=tblSeverityAnalysis[[#This Row],[Severidad máxima]], tblSeverityAnalysis[[#Headers],[SAMV]:[ASH]], ""), "")), "")</f>
        <v>SAMV
SAL
EDU
PRO</v>
      </c>
      <c r="AE268" s="346" cm="1">
        <f t="array" ref="AE268">IFERROR(MAX(_xlfn._xlws.FILTER(tblSeverityAnalysis[[#This Row],[SAMV]:[ASH]], tblSeverityAnalysis[[#This Row],[SAMV]:[ASH]]&lt;tblSeverityAnalysis[[#This Row],[Severidad máxima]])), "")</f>
        <v>2</v>
      </c>
      <c r="AF268" s="398" t="str" cm="1">
        <f t="array" ref="AF268">IFERROR(IF(tblSeverityAnalysis[[#This Row],[2ª mayor severidad]]="", "", _xlfn.TEXTJOIN(CHAR(10), TRUE, IF(tblSeverityAnalysis[[#This Row],[SAMV]:[ASH]]=tblSeverityAnalysis[[#This Row],[2ª mayor severidad]], tblSeverityAnalysis[[#Headers],[SAMV]:[ASH]], ""), "")), "")</f>
        <v>ASH</v>
      </c>
      <c r="AG268" s="405" t="str">
        <f>IFERROR(IF(AND(tblSeverityAnalysis[[#This Row],[5]] &lt;&gt; "", tblSeverityAnalysis[[#This Row],[5]]&gt;=sectors_sev_5), "Flagged", ""), "")</f>
        <v/>
      </c>
      <c r="AH268" s="347" t="str">
        <f>IFERROR(IF(AND(tblSeverityAnalysis[[#This Row],[Severidad preliminar basada en la superposición de privaciones sectoriales]]=5, SUM(tblSeverityAnalysis[[#This Row],[ 1 ]:[ 4 ]])&gt;=sectors_sev_5), "Flagged", ""), "")</f>
        <v/>
      </c>
      <c r="AI268" s="348" t="str" cm="1">
        <f t="array" ref="AI26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6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68" s="350"/>
      <c r="AL268" s="351"/>
      <c r="AM268" s="350"/>
      <c r="AN268" s="407">
        <f>COUNTIF(tblSeverityAnalysis[[#This Row],[1 sectores en fase de severidad 5 '[modificar el umbral']]:[Marcador manual]], "Flagged")</f>
        <v>0</v>
      </c>
      <c r="AO268" s="418">
        <f>tblSeverityAnalysis[[#This Row],[Severidad preliminar basada en la superposición de privaciones sectoriales]]</f>
        <v>3</v>
      </c>
      <c r="AP268" s="417"/>
      <c r="AQ268" s="421" t="s">
        <v>876</v>
      </c>
      <c r="AR268" s="417">
        <v>3</v>
      </c>
    </row>
    <row r="269" spans="1:44" hidden="1">
      <c r="A26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VenezolanosVE2016</v>
      </c>
      <c r="B269" s="363" t="s">
        <v>589</v>
      </c>
      <c r="C269" s="323" t="s">
        <v>590</v>
      </c>
      <c r="D269" s="322" t="s">
        <v>100</v>
      </c>
      <c r="E269" s="323" t="s">
        <v>617</v>
      </c>
      <c r="F269" s="323"/>
      <c r="G269" s="324">
        <v>22464</v>
      </c>
      <c r="H269" s="324" t="s">
        <v>102</v>
      </c>
      <c r="I269" s="374">
        <v>3</v>
      </c>
      <c r="J269" s="237">
        <v>1</v>
      </c>
      <c r="K269" s="237">
        <v>4</v>
      </c>
      <c r="L269" s="237">
        <v>3</v>
      </c>
      <c r="M269" s="237">
        <v>3</v>
      </c>
      <c r="N269" s="237">
        <v>2</v>
      </c>
      <c r="O269" s="237">
        <v>3</v>
      </c>
      <c r="P269" s="237">
        <v>3</v>
      </c>
      <c r="Q269" s="382">
        <f>IF(COUNTIF(tblSeverityAnalysis[[#This Row],[SAMV]:[ASH]], 1)=0, "", COUNTIF(tblSeverityAnalysis[[#This Row],[SAMV]:[ASH]], 1))</f>
        <v>1</v>
      </c>
      <c r="R269" s="325">
        <f>IF(COUNTIF(tblSeverityAnalysis[[#This Row],[SAMV]:[ASH]], 2)=0, "", COUNTIF(tblSeverityAnalysis[[#This Row],[SAMV]:[ASH]], 2))</f>
        <v>1</v>
      </c>
      <c r="S269" s="325">
        <f>IF(COUNTIF(tblSeverityAnalysis[[#This Row],[SAMV]:[ASH]], 3)=0, "", COUNTIF(tblSeverityAnalysis[[#This Row],[SAMV]:[ASH]], 3))</f>
        <v>3</v>
      </c>
      <c r="T269" s="325">
        <f>IF(COUNTIF(tblSeverityAnalysis[[#This Row],[SAMV]:[ASH]], 4)=0, "", COUNTIF(tblSeverityAnalysis[[#This Row],[SAMV]:[ASH]], 4))</f>
        <v>1</v>
      </c>
      <c r="U269" s="383" t="str">
        <f>IF(COUNTIF(tblSeverityAnalysis[[#This Row],[SAMV]:[ASH]], 5)=0, "", COUNTIF(tblSeverityAnalysis[[#This Row],[SAMV]:[ASH]], 5))</f>
        <v/>
      </c>
      <c r="V269" s="375" cm="1">
        <f t="array" ref="V26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6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69" s="237" t="str">
        <f>IFERROR(IF(INDEX(tblSeverityReference[Severidad de la desnutrición],MATCH(tblSeverityAnalysis[[#This Row],[ID]], tblSeverityReference[ID], 0))= "", "",INDEX(tblSeverityReference[Severidad de la desnutrición],MATCH(tblSeverityAnalysis[[#This Row],[ID]], tblSeverityReference[ID], 0)) ), "")</f>
        <v/>
      </c>
      <c r="Y269" s="349" t="str">
        <f>IFERROR(IF(INDEX(tblSeverityReference[Severidad epidémica],MATCH(tblSeverityAnalysis[[#This Row],[ID]], tblSeverityReference[ID], 0))= "", "",INDEX(tblSeverityReference[Severidad epidémica],MATCH(tblSeverityAnalysis[[#This Row],[ID]], tblSeverityReference[ID], 0)) ), "")</f>
        <v/>
      </c>
      <c r="Z26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69" s="391" t="str">
        <f>IFERROR(IF(INDEX(tblSeverityReference[HR/IHL Violation],MATCH(tblSeverityAnalysis[[#This Row],[ID]], tblSeverityReference[ID], 0))= "", "",INDEX(tblSeverityReference[HR/IHL Violation],MATCH(tblSeverityAnalysis[[#This Row],[ID]], tblSeverityReference[ID], 0)) ), "")</f>
        <v/>
      </c>
      <c r="AB269" s="397">
        <f>IFERROR(AVERAGE(tblSeverityAnalysis[[#This Row],[SAMV]:[ASH]]), "")</f>
        <v>2.6666666666666665</v>
      </c>
      <c r="AC269" s="346">
        <f>IF(SUM(tblSeverityAnalysis[[#This Row],[SAMV]:[ASH]])=0, "", MAX(tblSeverityAnalysis[[#This Row],[SAMV]:[ASH]]))</f>
        <v>4</v>
      </c>
      <c r="AD269" s="261" t="str" cm="1">
        <f t="array" ref="AD269">IFERROR(IF(tblSeverityAnalysis[[#This Row],[Severidad máxima]]="", "", _xlfn.TEXTJOIN(CHAR(10), TRUE, IF(tblSeverityAnalysis[[#This Row],[SAMV]:[ASH]]=tblSeverityAnalysis[[#This Row],[Severidad máxima]], tblSeverityAnalysis[[#Headers],[SAMV]:[ASH]], ""), "")), "")</f>
        <v>SAL</v>
      </c>
      <c r="AE269" s="346" cm="1">
        <f t="array" ref="AE269">IFERROR(MAX(_xlfn._xlws.FILTER(tblSeverityAnalysis[[#This Row],[SAMV]:[ASH]], tblSeverityAnalysis[[#This Row],[SAMV]:[ASH]]&lt;tblSeverityAnalysis[[#This Row],[Severidad máxima]])), "")</f>
        <v>3</v>
      </c>
      <c r="AF269" s="398" t="str" cm="1">
        <f t="array" ref="AF269">IFERROR(IF(tblSeverityAnalysis[[#This Row],[2ª mayor severidad]]="", "", _xlfn.TEXTJOIN(CHAR(10), TRUE, IF(tblSeverityAnalysis[[#This Row],[SAMV]:[ASH]]=tblSeverityAnalysis[[#This Row],[2ª mayor severidad]], tblSeverityAnalysis[[#Headers],[SAMV]:[ASH]], ""), "")), "")</f>
        <v>SAMV
EDU
PRO</v>
      </c>
      <c r="AG269" s="405" t="str">
        <f>IFERROR(IF(AND(tblSeverityAnalysis[[#This Row],[5]] &lt;&gt; "", tblSeverityAnalysis[[#This Row],[5]]&gt;=sectors_sev_5), "Flagged", ""), "")</f>
        <v/>
      </c>
      <c r="AH269" s="347" t="str">
        <f>IFERROR(IF(AND(tblSeverityAnalysis[[#This Row],[Severidad preliminar basada en la superposición de privaciones sectoriales]]=5, SUM(tblSeverityAnalysis[[#This Row],[ 1 ]:[ 4 ]])&gt;=sectors_sev_5), "Flagged", ""), "")</f>
        <v/>
      </c>
      <c r="AI269" s="348" t="str" cm="1">
        <f t="array" ref="AI26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6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69" s="350"/>
      <c r="AL269" s="351"/>
      <c r="AM269" s="350"/>
      <c r="AN269" s="407">
        <f>COUNTIF(tblSeverityAnalysis[[#This Row],[1 sectores en fase de severidad 5 '[modificar el umbral']]:[Marcador manual]], "Flagged")</f>
        <v>0</v>
      </c>
      <c r="AO269" s="418">
        <f>tblSeverityAnalysis[[#This Row],[Severidad preliminar basada en la superposición de privaciones sectoriales]]</f>
        <v>3</v>
      </c>
      <c r="AP269" s="417"/>
      <c r="AQ269" s="421" t="s">
        <v>876</v>
      </c>
      <c r="AR269" s="417">
        <v>3</v>
      </c>
    </row>
    <row r="270" spans="1:44" hidden="1">
      <c r="A27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VenezolanosVE2017</v>
      </c>
      <c r="B270" s="363" t="s">
        <v>589</v>
      </c>
      <c r="C270" s="323" t="s">
        <v>590</v>
      </c>
      <c r="D270" s="322" t="s">
        <v>618</v>
      </c>
      <c r="E270" s="323" t="s">
        <v>619</v>
      </c>
      <c r="F270" s="323"/>
      <c r="G270" s="324">
        <v>13558</v>
      </c>
      <c r="H270" s="324" t="s">
        <v>102</v>
      </c>
      <c r="I270" s="374">
        <v>2</v>
      </c>
      <c r="J270" s="237">
        <v>1</v>
      </c>
      <c r="K270" s="237">
        <v>3</v>
      </c>
      <c r="L270" s="237">
        <v>3</v>
      </c>
      <c r="M270" s="237">
        <v>3</v>
      </c>
      <c r="N270" s="237">
        <v>2</v>
      </c>
      <c r="O270" s="237">
        <v>3</v>
      </c>
      <c r="P270" s="237">
        <v>3</v>
      </c>
      <c r="Q270" s="382">
        <f>IF(COUNTIF(tblSeverityAnalysis[[#This Row],[SAMV]:[ASH]], 1)=0, "", COUNTIF(tblSeverityAnalysis[[#This Row],[SAMV]:[ASH]], 1))</f>
        <v>1</v>
      </c>
      <c r="R270" s="325">
        <f>IF(COUNTIF(tblSeverityAnalysis[[#This Row],[SAMV]:[ASH]], 2)=0, "", COUNTIF(tblSeverityAnalysis[[#This Row],[SAMV]:[ASH]], 2))</f>
        <v>2</v>
      </c>
      <c r="S270" s="325">
        <f>IF(COUNTIF(tblSeverityAnalysis[[#This Row],[SAMV]:[ASH]], 3)=0, "", COUNTIF(tblSeverityAnalysis[[#This Row],[SAMV]:[ASH]], 3))</f>
        <v>3</v>
      </c>
      <c r="T270" s="325" t="str">
        <f>IF(COUNTIF(tblSeverityAnalysis[[#This Row],[SAMV]:[ASH]], 4)=0, "", COUNTIF(tblSeverityAnalysis[[#This Row],[SAMV]:[ASH]], 4))</f>
        <v/>
      </c>
      <c r="U270" s="383" t="str">
        <f>IF(COUNTIF(tblSeverityAnalysis[[#This Row],[SAMV]:[ASH]], 5)=0, "", COUNTIF(tblSeverityAnalysis[[#This Row],[SAMV]:[ASH]], 5))</f>
        <v/>
      </c>
      <c r="V270" s="375" cm="1">
        <f t="array" ref="V27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7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70" s="237" t="str">
        <f>IFERROR(IF(INDEX(tblSeverityReference[Severidad de la desnutrición],MATCH(tblSeverityAnalysis[[#This Row],[ID]], tblSeverityReference[ID], 0))= "", "",INDEX(tblSeverityReference[Severidad de la desnutrición],MATCH(tblSeverityAnalysis[[#This Row],[ID]], tblSeverityReference[ID], 0)) ), "")</f>
        <v/>
      </c>
      <c r="Y270" s="349" t="str">
        <f>IFERROR(IF(INDEX(tblSeverityReference[Severidad epidémica],MATCH(tblSeverityAnalysis[[#This Row],[ID]], tblSeverityReference[ID], 0))= "", "",INDEX(tblSeverityReference[Severidad epidémica],MATCH(tblSeverityAnalysis[[#This Row],[ID]], tblSeverityReference[ID], 0)) ), "")</f>
        <v/>
      </c>
      <c r="Z27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70" s="391" t="str">
        <f>IFERROR(IF(INDEX(tblSeverityReference[HR/IHL Violation],MATCH(tblSeverityAnalysis[[#This Row],[ID]], tblSeverityReference[ID], 0))= "", "",INDEX(tblSeverityReference[HR/IHL Violation],MATCH(tblSeverityAnalysis[[#This Row],[ID]], tblSeverityReference[ID], 0)) ), "")</f>
        <v/>
      </c>
      <c r="AB270" s="397">
        <f>IFERROR(AVERAGE(tblSeverityAnalysis[[#This Row],[SAMV]:[ASH]]), "")</f>
        <v>2.3333333333333335</v>
      </c>
      <c r="AC270" s="346">
        <f>IF(SUM(tblSeverityAnalysis[[#This Row],[SAMV]:[ASH]])=0, "", MAX(tblSeverityAnalysis[[#This Row],[SAMV]:[ASH]]))</f>
        <v>3</v>
      </c>
      <c r="AD270" s="261" t="str" cm="1">
        <f t="array" ref="AD270">IFERROR(IF(tblSeverityAnalysis[[#This Row],[Severidad máxima]]="", "", _xlfn.TEXTJOIN(CHAR(10), TRUE, IF(tblSeverityAnalysis[[#This Row],[SAMV]:[ASH]]=tblSeverityAnalysis[[#This Row],[Severidad máxima]], tblSeverityAnalysis[[#Headers],[SAMV]:[ASH]], ""), "")), "")</f>
        <v>SAL
EDU
PRO</v>
      </c>
      <c r="AE270" s="346" cm="1">
        <f t="array" ref="AE270">IFERROR(MAX(_xlfn._xlws.FILTER(tblSeverityAnalysis[[#This Row],[SAMV]:[ASH]], tblSeverityAnalysis[[#This Row],[SAMV]:[ASH]]&lt;tblSeverityAnalysis[[#This Row],[Severidad máxima]])), "")</f>
        <v>2</v>
      </c>
      <c r="AF270" s="398" t="str" cm="1">
        <f t="array" ref="AF270">IFERROR(IF(tblSeverityAnalysis[[#This Row],[2ª mayor severidad]]="", "", _xlfn.TEXTJOIN(CHAR(10), TRUE, IF(tblSeverityAnalysis[[#This Row],[SAMV]:[ASH]]=tblSeverityAnalysis[[#This Row],[2ª mayor severidad]], tblSeverityAnalysis[[#Headers],[SAMV]:[ASH]], ""), "")), "")</f>
        <v>SAMV
ASH</v>
      </c>
      <c r="AG270" s="405" t="str">
        <f>IFERROR(IF(AND(tblSeverityAnalysis[[#This Row],[5]] &lt;&gt; "", tblSeverityAnalysis[[#This Row],[5]]&gt;=sectors_sev_5), "Flagged", ""), "")</f>
        <v/>
      </c>
      <c r="AH270" s="347" t="str">
        <f>IFERROR(IF(AND(tblSeverityAnalysis[[#This Row],[Severidad preliminar basada en la superposición de privaciones sectoriales]]=5, SUM(tblSeverityAnalysis[[#This Row],[ 1 ]:[ 4 ]])&gt;=sectors_sev_5), "Flagged", ""), "")</f>
        <v/>
      </c>
      <c r="AI270" s="348" t="str" cm="1">
        <f t="array" ref="AI27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7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70" s="350"/>
      <c r="AL270" s="351"/>
      <c r="AM270" s="350"/>
      <c r="AN270" s="407">
        <f>COUNTIF(tblSeverityAnalysis[[#This Row],[1 sectores en fase de severidad 5 '[modificar el umbral']]:[Marcador manual]], "Flagged")</f>
        <v>0</v>
      </c>
      <c r="AO270" s="418">
        <f>tblSeverityAnalysis[[#This Row],[Severidad preliminar basada en la superposición de privaciones sectoriales]]</f>
        <v>2</v>
      </c>
      <c r="AP270" s="417"/>
      <c r="AQ270" s="421" t="s">
        <v>876</v>
      </c>
      <c r="AR270" s="417">
        <v>3</v>
      </c>
    </row>
    <row r="271" spans="1:44" hidden="1">
      <c r="A27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VenezolanosVE2018</v>
      </c>
      <c r="B271" s="363" t="s">
        <v>589</v>
      </c>
      <c r="C271" s="323" t="s">
        <v>590</v>
      </c>
      <c r="D271" s="322" t="s">
        <v>620</v>
      </c>
      <c r="E271" s="323" t="s">
        <v>621</v>
      </c>
      <c r="F271" s="323"/>
      <c r="G271" s="324">
        <v>19547</v>
      </c>
      <c r="H271" s="324" t="s">
        <v>102</v>
      </c>
      <c r="I271" s="374">
        <v>2</v>
      </c>
      <c r="J271" s="237">
        <v>1</v>
      </c>
      <c r="K271" s="237">
        <v>3</v>
      </c>
      <c r="L271" s="237">
        <v>3</v>
      </c>
      <c r="M271" s="237">
        <v>3</v>
      </c>
      <c r="N271" s="237">
        <v>2</v>
      </c>
      <c r="O271" s="237">
        <v>3</v>
      </c>
      <c r="P271" s="237">
        <v>3</v>
      </c>
      <c r="Q271" s="382">
        <f>IF(COUNTIF(tblSeverityAnalysis[[#This Row],[SAMV]:[ASH]], 1)=0, "", COUNTIF(tblSeverityAnalysis[[#This Row],[SAMV]:[ASH]], 1))</f>
        <v>1</v>
      </c>
      <c r="R271" s="325">
        <f>IF(COUNTIF(tblSeverityAnalysis[[#This Row],[SAMV]:[ASH]], 2)=0, "", COUNTIF(tblSeverityAnalysis[[#This Row],[SAMV]:[ASH]], 2))</f>
        <v>2</v>
      </c>
      <c r="S271" s="325">
        <f>IF(COUNTIF(tblSeverityAnalysis[[#This Row],[SAMV]:[ASH]], 3)=0, "", COUNTIF(tblSeverityAnalysis[[#This Row],[SAMV]:[ASH]], 3))</f>
        <v>3</v>
      </c>
      <c r="T271" s="325" t="str">
        <f>IF(COUNTIF(tblSeverityAnalysis[[#This Row],[SAMV]:[ASH]], 4)=0, "", COUNTIF(tblSeverityAnalysis[[#This Row],[SAMV]:[ASH]], 4))</f>
        <v/>
      </c>
      <c r="U271" s="383" t="str">
        <f>IF(COUNTIF(tblSeverityAnalysis[[#This Row],[SAMV]:[ASH]], 5)=0, "", COUNTIF(tblSeverityAnalysis[[#This Row],[SAMV]:[ASH]], 5))</f>
        <v/>
      </c>
      <c r="V271" s="375" cm="1">
        <f t="array" ref="V27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7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71" s="237" t="str">
        <f>IFERROR(IF(INDEX(tblSeverityReference[Severidad de la desnutrición],MATCH(tblSeverityAnalysis[[#This Row],[ID]], tblSeverityReference[ID], 0))= "", "",INDEX(tblSeverityReference[Severidad de la desnutrición],MATCH(tblSeverityAnalysis[[#This Row],[ID]], tblSeverityReference[ID], 0)) ), "")</f>
        <v/>
      </c>
      <c r="Y271" s="349" t="str">
        <f>IFERROR(IF(INDEX(tblSeverityReference[Severidad epidémica],MATCH(tblSeverityAnalysis[[#This Row],[ID]], tblSeverityReference[ID], 0))= "", "",INDEX(tblSeverityReference[Severidad epidémica],MATCH(tblSeverityAnalysis[[#This Row],[ID]], tblSeverityReference[ID], 0)) ), "")</f>
        <v/>
      </c>
      <c r="Z27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71" s="391" t="str">
        <f>IFERROR(IF(INDEX(tblSeverityReference[HR/IHL Violation],MATCH(tblSeverityAnalysis[[#This Row],[ID]], tblSeverityReference[ID], 0))= "", "",INDEX(tblSeverityReference[HR/IHL Violation],MATCH(tblSeverityAnalysis[[#This Row],[ID]], tblSeverityReference[ID], 0)) ), "")</f>
        <v/>
      </c>
      <c r="AB271" s="397">
        <f>IFERROR(AVERAGE(tblSeverityAnalysis[[#This Row],[SAMV]:[ASH]]), "")</f>
        <v>2.3333333333333335</v>
      </c>
      <c r="AC271" s="346">
        <f>IF(SUM(tblSeverityAnalysis[[#This Row],[SAMV]:[ASH]])=0, "", MAX(tblSeverityAnalysis[[#This Row],[SAMV]:[ASH]]))</f>
        <v>3</v>
      </c>
      <c r="AD271" s="261" t="str" cm="1">
        <f t="array" ref="AD271">IFERROR(IF(tblSeverityAnalysis[[#This Row],[Severidad máxima]]="", "", _xlfn.TEXTJOIN(CHAR(10), TRUE, IF(tblSeverityAnalysis[[#This Row],[SAMV]:[ASH]]=tblSeverityAnalysis[[#This Row],[Severidad máxima]], tblSeverityAnalysis[[#Headers],[SAMV]:[ASH]], ""), "")), "")</f>
        <v>SAL
EDU
PRO</v>
      </c>
      <c r="AE271" s="346" cm="1">
        <f t="array" ref="AE271">IFERROR(MAX(_xlfn._xlws.FILTER(tblSeverityAnalysis[[#This Row],[SAMV]:[ASH]], tblSeverityAnalysis[[#This Row],[SAMV]:[ASH]]&lt;tblSeverityAnalysis[[#This Row],[Severidad máxima]])), "")</f>
        <v>2</v>
      </c>
      <c r="AF271" s="398" t="str" cm="1">
        <f t="array" ref="AF271">IFERROR(IF(tblSeverityAnalysis[[#This Row],[2ª mayor severidad]]="", "", _xlfn.TEXTJOIN(CHAR(10), TRUE, IF(tblSeverityAnalysis[[#This Row],[SAMV]:[ASH]]=tblSeverityAnalysis[[#This Row],[2ª mayor severidad]], tblSeverityAnalysis[[#Headers],[SAMV]:[ASH]], ""), "")), "")</f>
        <v>SAMV
ASH</v>
      </c>
      <c r="AG271" s="405" t="str">
        <f>IFERROR(IF(AND(tblSeverityAnalysis[[#This Row],[5]] &lt;&gt; "", tblSeverityAnalysis[[#This Row],[5]]&gt;=sectors_sev_5), "Flagged", ""), "")</f>
        <v/>
      </c>
      <c r="AH271" s="347" t="str">
        <f>IFERROR(IF(AND(tblSeverityAnalysis[[#This Row],[Severidad preliminar basada en la superposición de privaciones sectoriales]]=5, SUM(tblSeverityAnalysis[[#This Row],[ 1 ]:[ 4 ]])&gt;=sectors_sev_5), "Flagged", ""), "")</f>
        <v/>
      </c>
      <c r="AI271" s="348" t="str" cm="1">
        <f t="array" ref="AI27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7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71" s="350"/>
      <c r="AL271" s="351"/>
      <c r="AM271" s="350"/>
      <c r="AN271" s="407">
        <f>COUNTIF(tblSeverityAnalysis[[#This Row],[1 sectores en fase de severidad 5 '[modificar el umbral']]:[Marcador manual]], "Flagged")</f>
        <v>0</v>
      </c>
      <c r="AO271" s="418">
        <f>tblSeverityAnalysis[[#This Row],[Severidad preliminar basada en la superposición de privaciones sectoriales]]</f>
        <v>2</v>
      </c>
      <c r="AP271" s="417"/>
      <c r="AQ271" s="421" t="s">
        <v>876</v>
      </c>
      <c r="AR271" s="417">
        <v>3</v>
      </c>
    </row>
    <row r="272" spans="1:44" hidden="1">
      <c r="A27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VenezolanosVE2019</v>
      </c>
      <c r="B272" s="363" t="s">
        <v>589</v>
      </c>
      <c r="C272" s="323" t="s">
        <v>590</v>
      </c>
      <c r="D272" s="322" t="s">
        <v>622</v>
      </c>
      <c r="E272" s="323" t="s">
        <v>623</v>
      </c>
      <c r="F272" s="323"/>
      <c r="G272" s="324">
        <v>32180</v>
      </c>
      <c r="H272" s="324" t="s">
        <v>102</v>
      </c>
      <c r="I272" s="374">
        <v>2</v>
      </c>
      <c r="J272" s="237">
        <v>2</v>
      </c>
      <c r="K272" s="237">
        <v>4</v>
      </c>
      <c r="L272" s="237">
        <v>4</v>
      </c>
      <c r="M272" s="237">
        <v>3</v>
      </c>
      <c r="N272" s="237">
        <v>3</v>
      </c>
      <c r="O272" s="237">
        <v>3</v>
      </c>
      <c r="P272" s="237">
        <v>3</v>
      </c>
      <c r="Q272" s="382" t="str">
        <f>IF(COUNTIF(tblSeverityAnalysis[[#This Row],[SAMV]:[ASH]], 1)=0, "", COUNTIF(tblSeverityAnalysis[[#This Row],[SAMV]:[ASH]], 1))</f>
        <v/>
      </c>
      <c r="R272" s="325">
        <f>IF(COUNTIF(tblSeverityAnalysis[[#This Row],[SAMV]:[ASH]], 2)=0, "", COUNTIF(tblSeverityAnalysis[[#This Row],[SAMV]:[ASH]], 2))</f>
        <v>2</v>
      </c>
      <c r="S272" s="325">
        <f>IF(COUNTIF(tblSeverityAnalysis[[#This Row],[SAMV]:[ASH]], 3)=0, "", COUNTIF(tblSeverityAnalysis[[#This Row],[SAMV]:[ASH]], 3))</f>
        <v>2</v>
      </c>
      <c r="T272" s="325">
        <f>IF(COUNTIF(tblSeverityAnalysis[[#This Row],[SAMV]:[ASH]], 4)=0, "", COUNTIF(tblSeverityAnalysis[[#This Row],[SAMV]:[ASH]], 4))</f>
        <v>2</v>
      </c>
      <c r="U272" s="383" t="str">
        <f>IF(COUNTIF(tblSeverityAnalysis[[#This Row],[SAMV]:[ASH]], 5)=0, "", COUNTIF(tblSeverityAnalysis[[#This Row],[SAMV]:[ASH]], 5))</f>
        <v/>
      </c>
      <c r="V272" s="375" cm="1">
        <f t="array" ref="V27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7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72" s="237" t="str">
        <f>IFERROR(IF(INDEX(tblSeverityReference[Severidad de la desnutrición],MATCH(tblSeverityAnalysis[[#This Row],[ID]], tblSeverityReference[ID], 0))= "", "",INDEX(tblSeverityReference[Severidad de la desnutrición],MATCH(tblSeverityAnalysis[[#This Row],[ID]], tblSeverityReference[ID], 0)) ), "")</f>
        <v/>
      </c>
      <c r="Y272" s="349" t="str">
        <f>IFERROR(IF(INDEX(tblSeverityReference[Severidad epidémica],MATCH(tblSeverityAnalysis[[#This Row],[ID]], tblSeverityReference[ID], 0))= "", "",INDEX(tblSeverityReference[Severidad epidémica],MATCH(tblSeverityAnalysis[[#This Row],[ID]], tblSeverityReference[ID], 0)) ), "")</f>
        <v/>
      </c>
      <c r="Z27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72" s="391" t="str">
        <f>IFERROR(IF(INDEX(tblSeverityReference[HR/IHL Violation],MATCH(tblSeverityAnalysis[[#This Row],[ID]], tblSeverityReference[ID], 0))= "", "",INDEX(tblSeverityReference[HR/IHL Violation],MATCH(tblSeverityAnalysis[[#This Row],[ID]], tblSeverityReference[ID], 0)) ), "")</f>
        <v/>
      </c>
      <c r="AB272" s="397">
        <f>IFERROR(AVERAGE(tblSeverityAnalysis[[#This Row],[SAMV]:[ASH]]), "")</f>
        <v>3</v>
      </c>
      <c r="AC272" s="346">
        <f>IF(SUM(tblSeverityAnalysis[[#This Row],[SAMV]:[ASH]])=0, "", MAX(tblSeverityAnalysis[[#This Row],[SAMV]:[ASH]]))</f>
        <v>4</v>
      </c>
      <c r="AD272" s="261" t="str" cm="1">
        <f t="array" ref="AD272">IFERROR(IF(tblSeverityAnalysis[[#This Row],[Severidad máxima]]="", "", _xlfn.TEXTJOIN(CHAR(10), TRUE, IF(tblSeverityAnalysis[[#This Row],[SAMV]:[ASH]]=tblSeverityAnalysis[[#This Row],[Severidad máxima]], tblSeverityAnalysis[[#Headers],[SAMV]:[ASH]], ""), "")), "")</f>
        <v>SAL
EDU</v>
      </c>
      <c r="AE272" s="346" cm="1">
        <f t="array" ref="AE272">IFERROR(MAX(_xlfn._xlws.FILTER(tblSeverityAnalysis[[#This Row],[SAMV]:[ASH]], tblSeverityAnalysis[[#This Row],[SAMV]:[ASH]]&lt;tblSeverityAnalysis[[#This Row],[Severidad máxima]])), "")</f>
        <v>3</v>
      </c>
      <c r="AF272" s="398" t="str" cm="1">
        <f t="array" ref="AF272">IFERROR(IF(tblSeverityAnalysis[[#This Row],[2ª mayor severidad]]="", "", _xlfn.TEXTJOIN(CHAR(10), TRUE, IF(tblSeverityAnalysis[[#This Row],[SAMV]:[ASH]]=tblSeverityAnalysis[[#This Row],[2ª mayor severidad]], tblSeverityAnalysis[[#Headers],[SAMV]:[ASH]], ""), "")), "")</f>
        <v>PRO
ASH</v>
      </c>
      <c r="AG272" s="405" t="str">
        <f>IFERROR(IF(AND(tblSeverityAnalysis[[#This Row],[5]] &lt;&gt; "", tblSeverityAnalysis[[#This Row],[5]]&gt;=sectors_sev_5), "Flagged", ""), "")</f>
        <v/>
      </c>
      <c r="AH272" s="347" t="str">
        <f>IFERROR(IF(AND(tblSeverityAnalysis[[#This Row],[Severidad preliminar basada en la superposición de privaciones sectoriales]]=5, SUM(tblSeverityAnalysis[[#This Row],[ 1 ]:[ 4 ]])&gt;=sectors_sev_5), "Flagged", ""), "")</f>
        <v/>
      </c>
      <c r="AI272" s="348" t="str" cm="1">
        <f t="array" ref="AI27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7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72" s="350"/>
      <c r="AL272" s="351"/>
      <c r="AM272" s="350"/>
      <c r="AN272" s="407">
        <f>COUNTIF(tblSeverityAnalysis[[#This Row],[1 sectores en fase de severidad 5 '[modificar el umbral']]:[Marcador manual]], "Flagged")</f>
        <v>0</v>
      </c>
      <c r="AO272" s="418">
        <f>tblSeverityAnalysis[[#This Row],[Severidad preliminar basada en la superposición de privaciones sectoriales]]</f>
        <v>3</v>
      </c>
      <c r="AP272" s="417"/>
      <c r="AQ272" s="421" t="s">
        <v>876</v>
      </c>
      <c r="AR272" s="417">
        <v>3</v>
      </c>
    </row>
    <row r="273" spans="1:44" hidden="1">
      <c r="A27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VenezolanosVE2020</v>
      </c>
      <c r="B273" s="363" t="s">
        <v>589</v>
      </c>
      <c r="C273" s="323" t="s">
        <v>590</v>
      </c>
      <c r="D273" s="322" t="s">
        <v>624</v>
      </c>
      <c r="E273" s="323" t="s">
        <v>625</v>
      </c>
      <c r="F273" s="323"/>
      <c r="G273" s="324">
        <v>51879</v>
      </c>
      <c r="H273" s="324" t="s">
        <v>102</v>
      </c>
      <c r="I273" s="374">
        <v>3</v>
      </c>
      <c r="J273" s="237">
        <v>1</v>
      </c>
      <c r="K273" s="237">
        <v>4</v>
      </c>
      <c r="L273" s="237">
        <v>5</v>
      </c>
      <c r="M273" s="237">
        <v>4</v>
      </c>
      <c r="N273" s="237">
        <v>4</v>
      </c>
      <c r="O273" s="237">
        <v>4</v>
      </c>
      <c r="P273" s="237">
        <v>4</v>
      </c>
      <c r="Q273" s="382">
        <f>IF(COUNTIF(tblSeverityAnalysis[[#This Row],[SAMV]:[ASH]], 1)=0, "", COUNTIF(tblSeverityAnalysis[[#This Row],[SAMV]:[ASH]], 1))</f>
        <v>1</v>
      </c>
      <c r="R273" s="325" t="str">
        <f>IF(COUNTIF(tblSeverityAnalysis[[#This Row],[SAMV]:[ASH]], 2)=0, "", COUNTIF(tblSeverityAnalysis[[#This Row],[SAMV]:[ASH]], 2))</f>
        <v/>
      </c>
      <c r="S273" s="325">
        <f>IF(COUNTIF(tblSeverityAnalysis[[#This Row],[SAMV]:[ASH]], 3)=0, "", COUNTIF(tblSeverityAnalysis[[#This Row],[SAMV]:[ASH]], 3))</f>
        <v>1</v>
      </c>
      <c r="T273" s="325">
        <f>IF(COUNTIF(tblSeverityAnalysis[[#This Row],[SAMV]:[ASH]], 4)=0, "", COUNTIF(tblSeverityAnalysis[[#This Row],[SAMV]:[ASH]], 4))</f>
        <v>3</v>
      </c>
      <c r="U273" s="383">
        <f>IF(COUNTIF(tblSeverityAnalysis[[#This Row],[SAMV]:[ASH]], 5)=0, "", COUNTIF(tblSeverityAnalysis[[#This Row],[SAMV]:[ASH]], 5))</f>
        <v>1</v>
      </c>
      <c r="V273" s="375" cm="1">
        <f t="array" ref="V27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27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73" s="237" t="str">
        <f>IFERROR(IF(INDEX(tblSeverityReference[Severidad de la desnutrición],MATCH(tblSeverityAnalysis[[#This Row],[ID]], tblSeverityReference[ID], 0))= "", "",INDEX(tblSeverityReference[Severidad de la desnutrición],MATCH(tblSeverityAnalysis[[#This Row],[ID]], tblSeverityReference[ID], 0)) ), "")</f>
        <v/>
      </c>
      <c r="Y273" s="349" t="str">
        <f>IFERROR(IF(INDEX(tblSeverityReference[Severidad epidémica],MATCH(tblSeverityAnalysis[[#This Row],[ID]], tblSeverityReference[ID], 0))= "", "",INDEX(tblSeverityReference[Severidad epidémica],MATCH(tblSeverityAnalysis[[#This Row],[ID]], tblSeverityReference[ID], 0)) ), "")</f>
        <v/>
      </c>
      <c r="Z27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73" s="391" t="str">
        <f>IFERROR(IF(INDEX(tblSeverityReference[HR/IHL Violation],MATCH(tblSeverityAnalysis[[#This Row],[ID]], tblSeverityReference[ID], 0))= "", "",INDEX(tblSeverityReference[HR/IHL Violation],MATCH(tblSeverityAnalysis[[#This Row],[ID]], tblSeverityReference[ID], 0)) ), "")</f>
        <v/>
      </c>
      <c r="AB273" s="397">
        <f>IFERROR(AVERAGE(tblSeverityAnalysis[[#This Row],[SAMV]:[ASH]]), "")</f>
        <v>3.5</v>
      </c>
      <c r="AC273" s="346">
        <f>IF(SUM(tblSeverityAnalysis[[#This Row],[SAMV]:[ASH]])=0, "", MAX(tblSeverityAnalysis[[#This Row],[SAMV]:[ASH]]))</f>
        <v>5</v>
      </c>
      <c r="AD273" s="261" t="str" cm="1">
        <f t="array" ref="AD273">IFERROR(IF(tblSeverityAnalysis[[#This Row],[Severidad máxima]]="", "", _xlfn.TEXTJOIN(CHAR(10), TRUE, IF(tblSeverityAnalysis[[#This Row],[SAMV]:[ASH]]=tblSeverityAnalysis[[#This Row],[Severidad máxima]], tblSeverityAnalysis[[#Headers],[SAMV]:[ASH]], ""), "")), "")</f>
        <v>EDU</v>
      </c>
      <c r="AE273" s="346" cm="1">
        <f t="array" ref="AE273">IFERROR(MAX(_xlfn._xlws.FILTER(tblSeverityAnalysis[[#This Row],[SAMV]:[ASH]], tblSeverityAnalysis[[#This Row],[SAMV]:[ASH]]&lt;tblSeverityAnalysis[[#This Row],[Severidad máxima]])), "")</f>
        <v>4</v>
      </c>
      <c r="AF273" s="398" t="str" cm="1">
        <f t="array" ref="AF273">IFERROR(IF(tblSeverityAnalysis[[#This Row],[2ª mayor severidad]]="", "", _xlfn.TEXTJOIN(CHAR(10), TRUE, IF(tblSeverityAnalysis[[#This Row],[SAMV]:[ASH]]=tblSeverityAnalysis[[#This Row],[2ª mayor severidad]], tblSeverityAnalysis[[#Headers],[SAMV]:[ASH]], ""), "")), "")</f>
        <v>SAL
PRO
ASH</v>
      </c>
      <c r="AG273" s="405" t="str">
        <f>IFERROR(IF(AND(tblSeverityAnalysis[[#This Row],[5]] &lt;&gt; "", tblSeverityAnalysis[[#This Row],[5]]&gt;=sectors_sev_5), "Flagged", ""), "")</f>
        <v/>
      </c>
      <c r="AH273" s="347" t="str">
        <f>IFERROR(IF(AND(tblSeverityAnalysis[[#This Row],[Severidad preliminar basada en la superposición de privaciones sectoriales]]=5, SUM(tblSeverityAnalysis[[#This Row],[ 1 ]:[ 4 ]])&gt;=sectors_sev_5), "Flagged", ""), "")</f>
        <v/>
      </c>
      <c r="AI273" s="348" t="str" cm="1">
        <f t="array" ref="AI27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7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73" s="350"/>
      <c r="AL273" s="351"/>
      <c r="AM273" s="350"/>
      <c r="AN273" s="407">
        <f>COUNTIF(tblSeverityAnalysis[[#This Row],[1 sectores en fase de severidad 5 '[modificar el umbral']]:[Marcador manual]], "Flagged")</f>
        <v>0</v>
      </c>
      <c r="AO273" s="418">
        <f>tblSeverityAnalysis[[#This Row],[Severidad preliminar basada en la superposición de privaciones sectoriales]]</f>
        <v>4</v>
      </c>
      <c r="AP273" s="417"/>
      <c r="AQ273" s="421" t="s">
        <v>875</v>
      </c>
      <c r="AR273" s="417">
        <v>4</v>
      </c>
    </row>
    <row r="274" spans="1:44" hidden="1">
      <c r="A27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VenezolanosVE2021</v>
      </c>
      <c r="B274" s="363" t="s">
        <v>589</v>
      </c>
      <c r="C274" s="323" t="s">
        <v>590</v>
      </c>
      <c r="D274" s="322" t="s">
        <v>626</v>
      </c>
      <c r="E274" s="323" t="s">
        <v>627</v>
      </c>
      <c r="F274" s="323"/>
      <c r="G274" s="324">
        <v>5905</v>
      </c>
      <c r="H274" s="324" t="s">
        <v>102</v>
      </c>
      <c r="I274" s="374">
        <v>2</v>
      </c>
      <c r="J274" s="237">
        <v>2</v>
      </c>
      <c r="K274" s="237">
        <v>4</v>
      </c>
      <c r="L274" s="237">
        <v>3</v>
      </c>
      <c r="M274" s="237">
        <v>3</v>
      </c>
      <c r="N274" s="237">
        <v>2</v>
      </c>
      <c r="O274" s="237">
        <v>3</v>
      </c>
      <c r="P274" s="237">
        <v>3</v>
      </c>
      <c r="Q274" s="382" t="str">
        <f>IF(COUNTIF(tblSeverityAnalysis[[#This Row],[SAMV]:[ASH]], 1)=0, "", COUNTIF(tblSeverityAnalysis[[#This Row],[SAMV]:[ASH]], 1))</f>
        <v/>
      </c>
      <c r="R274" s="325">
        <f>IF(COUNTIF(tblSeverityAnalysis[[#This Row],[SAMV]:[ASH]], 2)=0, "", COUNTIF(tblSeverityAnalysis[[#This Row],[SAMV]:[ASH]], 2))</f>
        <v>3</v>
      </c>
      <c r="S274" s="325">
        <f>IF(COUNTIF(tblSeverityAnalysis[[#This Row],[SAMV]:[ASH]], 3)=0, "", COUNTIF(tblSeverityAnalysis[[#This Row],[SAMV]:[ASH]], 3))</f>
        <v>2</v>
      </c>
      <c r="T274" s="325">
        <f>IF(COUNTIF(tblSeverityAnalysis[[#This Row],[SAMV]:[ASH]], 4)=0, "", COUNTIF(tblSeverityAnalysis[[#This Row],[SAMV]:[ASH]], 4))</f>
        <v>1</v>
      </c>
      <c r="U274" s="383" t="str">
        <f>IF(COUNTIF(tblSeverityAnalysis[[#This Row],[SAMV]:[ASH]], 5)=0, "", COUNTIF(tblSeverityAnalysis[[#This Row],[SAMV]:[ASH]], 5))</f>
        <v/>
      </c>
      <c r="V274" s="375" cm="1">
        <f t="array" ref="V27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7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74" s="237" t="str">
        <f>IFERROR(IF(INDEX(tblSeverityReference[Severidad de la desnutrición],MATCH(tblSeverityAnalysis[[#This Row],[ID]], tblSeverityReference[ID], 0))= "", "",INDEX(tblSeverityReference[Severidad de la desnutrición],MATCH(tblSeverityAnalysis[[#This Row],[ID]], tblSeverityReference[ID], 0)) ), "")</f>
        <v/>
      </c>
      <c r="Y274" s="349" t="str">
        <f>IFERROR(IF(INDEX(tblSeverityReference[Severidad epidémica],MATCH(tblSeverityAnalysis[[#This Row],[ID]], tblSeverityReference[ID], 0))= "", "",INDEX(tblSeverityReference[Severidad epidémica],MATCH(tblSeverityAnalysis[[#This Row],[ID]], tblSeverityReference[ID], 0)) ), "")</f>
        <v/>
      </c>
      <c r="Z27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74" s="391" t="str">
        <f>IFERROR(IF(INDEX(tblSeverityReference[HR/IHL Violation],MATCH(tblSeverityAnalysis[[#This Row],[ID]], tblSeverityReference[ID], 0))= "", "",INDEX(tblSeverityReference[HR/IHL Violation],MATCH(tblSeverityAnalysis[[#This Row],[ID]], tblSeverityReference[ID], 0)) ), "")</f>
        <v/>
      </c>
      <c r="AB274" s="397">
        <f>IFERROR(AVERAGE(tblSeverityAnalysis[[#This Row],[SAMV]:[ASH]]), "")</f>
        <v>2.6666666666666665</v>
      </c>
      <c r="AC274" s="346">
        <f>IF(SUM(tblSeverityAnalysis[[#This Row],[SAMV]:[ASH]])=0, "", MAX(tblSeverityAnalysis[[#This Row],[SAMV]:[ASH]]))</f>
        <v>4</v>
      </c>
      <c r="AD274" s="261" t="str" cm="1">
        <f t="array" ref="AD274">IFERROR(IF(tblSeverityAnalysis[[#This Row],[Severidad máxima]]="", "", _xlfn.TEXTJOIN(CHAR(10), TRUE, IF(tblSeverityAnalysis[[#This Row],[SAMV]:[ASH]]=tblSeverityAnalysis[[#This Row],[Severidad máxima]], tblSeverityAnalysis[[#Headers],[SAMV]:[ASH]], ""), "")), "")</f>
        <v>SAL</v>
      </c>
      <c r="AE274" s="346" cm="1">
        <f t="array" ref="AE274">IFERROR(MAX(_xlfn._xlws.FILTER(tblSeverityAnalysis[[#This Row],[SAMV]:[ASH]], tblSeverityAnalysis[[#This Row],[SAMV]:[ASH]]&lt;tblSeverityAnalysis[[#This Row],[Severidad máxima]])), "")</f>
        <v>3</v>
      </c>
      <c r="AF274" s="398" t="str" cm="1">
        <f t="array" ref="AF274">IFERROR(IF(tblSeverityAnalysis[[#This Row],[2ª mayor severidad]]="", "", _xlfn.TEXTJOIN(CHAR(10), TRUE, IF(tblSeverityAnalysis[[#This Row],[SAMV]:[ASH]]=tblSeverityAnalysis[[#This Row],[2ª mayor severidad]], tblSeverityAnalysis[[#Headers],[SAMV]:[ASH]], ""), "")), "")</f>
        <v>EDU
PRO</v>
      </c>
      <c r="AG274" s="405" t="str">
        <f>IFERROR(IF(AND(tblSeverityAnalysis[[#This Row],[5]] &lt;&gt; "", tblSeverityAnalysis[[#This Row],[5]]&gt;=sectors_sev_5), "Flagged", ""), "")</f>
        <v/>
      </c>
      <c r="AH274" s="347" t="str">
        <f>IFERROR(IF(AND(tblSeverityAnalysis[[#This Row],[Severidad preliminar basada en la superposición de privaciones sectoriales]]=5, SUM(tblSeverityAnalysis[[#This Row],[ 1 ]:[ 4 ]])&gt;=sectors_sev_5), "Flagged", ""), "")</f>
        <v/>
      </c>
      <c r="AI274" s="348" t="str" cm="1">
        <f t="array" ref="AI27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7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74" s="350"/>
      <c r="AL274" s="351"/>
      <c r="AM274" s="350"/>
      <c r="AN274" s="407">
        <f>COUNTIF(tblSeverityAnalysis[[#This Row],[1 sectores en fase de severidad 5 '[modificar el umbral']]:[Marcador manual]], "Flagged")</f>
        <v>0</v>
      </c>
      <c r="AO274" s="418">
        <f>tblSeverityAnalysis[[#This Row],[Severidad preliminar basada en la superposición de privaciones sectoriales]]</f>
        <v>2</v>
      </c>
      <c r="AP274" s="417"/>
      <c r="AQ274" s="421" t="s">
        <v>876</v>
      </c>
      <c r="AR274" s="417">
        <v>3</v>
      </c>
    </row>
    <row r="275" spans="1:44" hidden="1">
      <c r="A27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VenezolanosVE2022</v>
      </c>
      <c r="B275" s="363" t="s">
        <v>589</v>
      </c>
      <c r="C275" s="323" t="s">
        <v>590</v>
      </c>
      <c r="D275" s="322" t="s">
        <v>628</v>
      </c>
      <c r="E275" s="323" t="s">
        <v>629</v>
      </c>
      <c r="F275" s="323"/>
      <c r="G275" s="324">
        <v>17911</v>
      </c>
      <c r="H275" s="324" t="s">
        <v>102</v>
      </c>
      <c r="I275" s="374">
        <v>3</v>
      </c>
      <c r="J275" s="237">
        <v>1</v>
      </c>
      <c r="K275" s="237">
        <v>3</v>
      </c>
      <c r="L275" s="237">
        <v>3</v>
      </c>
      <c r="M275" s="237">
        <v>3</v>
      </c>
      <c r="N275" s="237">
        <v>2</v>
      </c>
      <c r="O275" s="237">
        <v>3</v>
      </c>
      <c r="P275" s="237">
        <v>3</v>
      </c>
      <c r="Q275" s="382">
        <f>IF(COUNTIF(tblSeverityAnalysis[[#This Row],[SAMV]:[ASH]], 1)=0, "", COUNTIF(tblSeverityAnalysis[[#This Row],[SAMV]:[ASH]], 1))</f>
        <v>1</v>
      </c>
      <c r="R275" s="325">
        <f>IF(COUNTIF(tblSeverityAnalysis[[#This Row],[SAMV]:[ASH]], 2)=0, "", COUNTIF(tblSeverityAnalysis[[#This Row],[SAMV]:[ASH]], 2))</f>
        <v>1</v>
      </c>
      <c r="S275" s="325">
        <f>IF(COUNTIF(tblSeverityAnalysis[[#This Row],[SAMV]:[ASH]], 3)=0, "", COUNTIF(tblSeverityAnalysis[[#This Row],[SAMV]:[ASH]], 3))</f>
        <v>4</v>
      </c>
      <c r="T275" s="325" t="str">
        <f>IF(COUNTIF(tblSeverityAnalysis[[#This Row],[SAMV]:[ASH]], 4)=0, "", COUNTIF(tblSeverityAnalysis[[#This Row],[SAMV]:[ASH]], 4))</f>
        <v/>
      </c>
      <c r="U275" s="383" t="str">
        <f>IF(COUNTIF(tblSeverityAnalysis[[#This Row],[SAMV]:[ASH]], 5)=0, "", COUNTIF(tblSeverityAnalysis[[#This Row],[SAMV]:[ASH]], 5))</f>
        <v/>
      </c>
      <c r="V275" s="375" cm="1">
        <f t="array" ref="V27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7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75" s="237" t="str">
        <f>IFERROR(IF(INDEX(tblSeverityReference[Severidad de la desnutrición],MATCH(tblSeverityAnalysis[[#This Row],[ID]], tblSeverityReference[ID], 0))= "", "",INDEX(tblSeverityReference[Severidad de la desnutrición],MATCH(tblSeverityAnalysis[[#This Row],[ID]], tblSeverityReference[ID], 0)) ), "")</f>
        <v/>
      </c>
      <c r="Y275" s="349" t="str">
        <f>IFERROR(IF(INDEX(tblSeverityReference[Severidad epidémica],MATCH(tblSeverityAnalysis[[#This Row],[ID]], tblSeverityReference[ID], 0))= "", "",INDEX(tblSeverityReference[Severidad epidémica],MATCH(tblSeverityAnalysis[[#This Row],[ID]], tblSeverityReference[ID], 0)) ), "")</f>
        <v/>
      </c>
      <c r="Z27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75" s="391" t="str">
        <f>IFERROR(IF(INDEX(tblSeverityReference[HR/IHL Violation],MATCH(tblSeverityAnalysis[[#This Row],[ID]], tblSeverityReference[ID], 0))= "", "",INDEX(tblSeverityReference[HR/IHL Violation],MATCH(tblSeverityAnalysis[[#This Row],[ID]], tblSeverityReference[ID], 0)) ), "")</f>
        <v/>
      </c>
      <c r="AB275" s="397">
        <f>IFERROR(AVERAGE(tblSeverityAnalysis[[#This Row],[SAMV]:[ASH]]), "")</f>
        <v>2.5</v>
      </c>
      <c r="AC275" s="346">
        <f>IF(SUM(tblSeverityAnalysis[[#This Row],[SAMV]:[ASH]])=0, "", MAX(tblSeverityAnalysis[[#This Row],[SAMV]:[ASH]]))</f>
        <v>3</v>
      </c>
      <c r="AD275" s="261" t="str" cm="1">
        <f t="array" ref="AD275">IFERROR(IF(tblSeverityAnalysis[[#This Row],[Severidad máxima]]="", "", _xlfn.TEXTJOIN(CHAR(10), TRUE, IF(tblSeverityAnalysis[[#This Row],[SAMV]:[ASH]]=tblSeverityAnalysis[[#This Row],[Severidad máxima]], tblSeverityAnalysis[[#Headers],[SAMV]:[ASH]], ""), "")), "")</f>
        <v>SAMV
SAL
EDU
PRO</v>
      </c>
      <c r="AE275" s="346" cm="1">
        <f t="array" ref="AE275">IFERROR(MAX(_xlfn._xlws.FILTER(tblSeverityAnalysis[[#This Row],[SAMV]:[ASH]], tblSeverityAnalysis[[#This Row],[SAMV]:[ASH]]&lt;tblSeverityAnalysis[[#This Row],[Severidad máxima]])), "")</f>
        <v>2</v>
      </c>
      <c r="AF275" s="398" t="str" cm="1">
        <f t="array" ref="AF275">IFERROR(IF(tblSeverityAnalysis[[#This Row],[2ª mayor severidad]]="", "", _xlfn.TEXTJOIN(CHAR(10), TRUE, IF(tblSeverityAnalysis[[#This Row],[SAMV]:[ASH]]=tblSeverityAnalysis[[#This Row],[2ª mayor severidad]], tblSeverityAnalysis[[#Headers],[SAMV]:[ASH]], ""), "")), "")</f>
        <v>ASH</v>
      </c>
      <c r="AG275" s="405" t="str">
        <f>IFERROR(IF(AND(tblSeverityAnalysis[[#This Row],[5]] &lt;&gt; "", tblSeverityAnalysis[[#This Row],[5]]&gt;=sectors_sev_5), "Flagged", ""), "")</f>
        <v/>
      </c>
      <c r="AH275" s="347" t="str">
        <f>IFERROR(IF(AND(tblSeverityAnalysis[[#This Row],[Severidad preliminar basada en la superposición de privaciones sectoriales]]=5, SUM(tblSeverityAnalysis[[#This Row],[ 1 ]:[ 4 ]])&gt;=sectors_sev_5), "Flagged", ""), "")</f>
        <v/>
      </c>
      <c r="AI275" s="348" t="str" cm="1">
        <f t="array" ref="AI27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7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75" s="350"/>
      <c r="AL275" s="351"/>
      <c r="AM275" s="350"/>
      <c r="AN275" s="407">
        <f>COUNTIF(tblSeverityAnalysis[[#This Row],[1 sectores en fase de severidad 5 '[modificar el umbral']]:[Marcador manual]], "Flagged")</f>
        <v>0</v>
      </c>
      <c r="AO275" s="418">
        <f>tblSeverityAnalysis[[#This Row],[Severidad preliminar basada en la superposición de privaciones sectoriales]]</f>
        <v>3</v>
      </c>
      <c r="AP275" s="417"/>
      <c r="AQ275" s="421" t="s">
        <v>876</v>
      </c>
      <c r="AR275" s="417">
        <v>3</v>
      </c>
    </row>
    <row r="276" spans="1:44" hidden="1">
      <c r="A27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VenezolanosVE2023</v>
      </c>
      <c r="B276" s="363" t="s">
        <v>589</v>
      </c>
      <c r="C276" s="323" t="s">
        <v>590</v>
      </c>
      <c r="D276" s="322" t="s">
        <v>630</v>
      </c>
      <c r="E276" s="323" t="s">
        <v>631</v>
      </c>
      <c r="F276" s="323"/>
      <c r="G276" s="324">
        <v>263765</v>
      </c>
      <c r="H276" s="324" t="s">
        <v>102</v>
      </c>
      <c r="I276" s="374">
        <v>3</v>
      </c>
      <c r="J276" s="237">
        <v>2</v>
      </c>
      <c r="K276" s="237">
        <v>3</v>
      </c>
      <c r="L276" s="237">
        <v>4</v>
      </c>
      <c r="M276" s="237">
        <v>3</v>
      </c>
      <c r="N276" s="237">
        <v>1</v>
      </c>
      <c r="O276" s="237">
        <v>3</v>
      </c>
      <c r="P276" s="237">
        <v>3</v>
      </c>
      <c r="Q276" s="382">
        <f>IF(COUNTIF(tblSeverityAnalysis[[#This Row],[SAMV]:[ASH]], 1)=0, "", COUNTIF(tblSeverityAnalysis[[#This Row],[SAMV]:[ASH]], 1))</f>
        <v>1</v>
      </c>
      <c r="R276" s="325">
        <f>IF(COUNTIF(tblSeverityAnalysis[[#This Row],[SAMV]:[ASH]], 2)=0, "", COUNTIF(tblSeverityAnalysis[[#This Row],[SAMV]:[ASH]], 2))</f>
        <v>1</v>
      </c>
      <c r="S276" s="325">
        <f>IF(COUNTIF(tblSeverityAnalysis[[#This Row],[SAMV]:[ASH]], 3)=0, "", COUNTIF(tblSeverityAnalysis[[#This Row],[SAMV]:[ASH]], 3))</f>
        <v>3</v>
      </c>
      <c r="T276" s="325">
        <f>IF(COUNTIF(tblSeverityAnalysis[[#This Row],[SAMV]:[ASH]], 4)=0, "", COUNTIF(tblSeverityAnalysis[[#This Row],[SAMV]:[ASH]], 4))</f>
        <v>1</v>
      </c>
      <c r="U276" s="383" t="str">
        <f>IF(COUNTIF(tblSeverityAnalysis[[#This Row],[SAMV]:[ASH]], 5)=0, "", COUNTIF(tblSeverityAnalysis[[#This Row],[SAMV]:[ASH]], 5))</f>
        <v/>
      </c>
      <c r="V276" s="375" cm="1">
        <f t="array" ref="V27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7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76" s="237" t="str">
        <f>IFERROR(IF(INDEX(tblSeverityReference[Severidad de la desnutrición],MATCH(tblSeverityAnalysis[[#This Row],[ID]], tblSeverityReference[ID], 0))= "", "",INDEX(tblSeverityReference[Severidad de la desnutrición],MATCH(tblSeverityAnalysis[[#This Row],[ID]], tblSeverityReference[ID], 0)) ), "")</f>
        <v/>
      </c>
      <c r="Y276" s="349" t="str">
        <f>IFERROR(IF(INDEX(tblSeverityReference[Severidad epidémica],MATCH(tblSeverityAnalysis[[#This Row],[ID]], tblSeverityReference[ID], 0))= "", "",INDEX(tblSeverityReference[Severidad epidémica],MATCH(tblSeverityAnalysis[[#This Row],[ID]], tblSeverityReference[ID], 0)) ), "")</f>
        <v/>
      </c>
      <c r="Z27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76" s="391" t="str">
        <f>IFERROR(IF(INDEX(tblSeverityReference[HR/IHL Violation],MATCH(tblSeverityAnalysis[[#This Row],[ID]], tblSeverityReference[ID], 0))= "", "",INDEX(tblSeverityReference[HR/IHL Violation],MATCH(tblSeverityAnalysis[[#This Row],[ID]], tblSeverityReference[ID], 0)) ), "")</f>
        <v/>
      </c>
      <c r="AB276" s="397">
        <f>IFERROR(AVERAGE(tblSeverityAnalysis[[#This Row],[SAMV]:[ASH]]), "")</f>
        <v>2.6666666666666665</v>
      </c>
      <c r="AC276" s="346">
        <f>IF(SUM(tblSeverityAnalysis[[#This Row],[SAMV]:[ASH]])=0, "", MAX(tblSeverityAnalysis[[#This Row],[SAMV]:[ASH]]))</f>
        <v>4</v>
      </c>
      <c r="AD276" s="261" t="str" cm="1">
        <f t="array" ref="AD276">IFERROR(IF(tblSeverityAnalysis[[#This Row],[Severidad máxima]]="", "", _xlfn.TEXTJOIN(CHAR(10), TRUE, IF(tblSeverityAnalysis[[#This Row],[SAMV]:[ASH]]=tblSeverityAnalysis[[#This Row],[Severidad máxima]], tblSeverityAnalysis[[#Headers],[SAMV]:[ASH]], ""), "")), "")</f>
        <v>EDU</v>
      </c>
      <c r="AE276" s="346" cm="1">
        <f t="array" ref="AE276">IFERROR(MAX(_xlfn._xlws.FILTER(tblSeverityAnalysis[[#This Row],[SAMV]:[ASH]], tblSeverityAnalysis[[#This Row],[SAMV]:[ASH]]&lt;tblSeverityAnalysis[[#This Row],[Severidad máxima]])), "")</f>
        <v>3</v>
      </c>
      <c r="AF276" s="398" t="str" cm="1">
        <f t="array" ref="AF276">IFERROR(IF(tblSeverityAnalysis[[#This Row],[2ª mayor severidad]]="", "", _xlfn.TEXTJOIN(CHAR(10), TRUE, IF(tblSeverityAnalysis[[#This Row],[SAMV]:[ASH]]=tblSeverityAnalysis[[#This Row],[2ª mayor severidad]], tblSeverityAnalysis[[#Headers],[SAMV]:[ASH]], ""), "")), "")</f>
        <v>SAMV
SAL
PRO</v>
      </c>
      <c r="AG276" s="405" t="str">
        <f>IFERROR(IF(AND(tblSeverityAnalysis[[#This Row],[5]] &lt;&gt; "", tblSeverityAnalysis[[#This Row],[5]]&gt;=sectors_sev_5), "Flagged", ""), "")</f>
        <v/>
      </c>
      <c r="AH276" s="347" t="str">
        <f>IFERROR(IF(AND(tblSeverityAnalysis[[#This Row],[Severidad preliminar basada en la superposición de privaciones sectoriales]]=5, SUM(tblSeverityAnalysis[[#This Row],[ 1 ]:[ 4 ]])&gt;=sectors_sev_5), "Flagged", ""), "")</f>
        <v/>
      </c>
      <c r="AI276" s="348" t="str" cm="1">
        <f t="array" ref="AI27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7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76" s="350"/>
      <c r="AL276" s="351"/>
      <c r="AM276" s="350"/>
      <c r="AN276" s="407">
        <f>COUNTIF(tblSeverityAnalysis[[#This Row],[1 sectores en fase de severidad 5 '[modificar el umbral']]:[Marcador manual]], "Flagged")</f>
        <v>0</v>
      </c>
      <c r="AO276" s="418">
        <f>tblSeverityAnalysis[[#This Row],[Severidad preliminar basada en la superposición de privaciones sectoriales]]</f>
        <v>3</v>
      </c>
      <c r="AP276" s="417"/>
      <c r="AQ276" s="421" t="s">
        <v>876</v>
      </c>
      <c r="AR276" s="417">
        <v>3</v>
      </c>
    </row>
    <row r="277" spans="1:44" hidden="1">
      <c r="A27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VenezolanosVE2024</v>
      </c>
      <c r="B277" s="363" t="s">
        <v>589</v>
      </c>
      <c r="C277" s="323" t="s">
        <v>590</v>
      </c>
      <c r="D277" s="322" t="s">
        <v>632</v>
      </c>
      <c r="E277" s="323" t="s">
        <v>633</v>
      </c>
      <c r="F277" s="323"/>
      <c r="G277" s="324">
        <v>10243</v>
      </c>
      <c r="H277" s="324" t="s">
        <v>102</v>
      </c>
      <c r="I277" s="374">
        <v>3</v>
      </c>
      <c r="J277" s="237">
        <v>1</v>
      </c>
      <c r="K277" s="237">
        <v>4</v>
      </c>
      <c r="L277" s="237">
        <v>3</v>
      </c>
      <c r="M277" s="237">
        <v>2</v>
      </c>
      <c r="N277" s="237">
        <v>2</v>
      </c>
      <c r="O277" s="237">
        <v>2</v>
      </c>
      <c r="P277" s="237">
        <v>2</v>
      </c>
      <c r="Q277" s="382">
        <f>IF(COUNTIF(tblSeverityAnalysis[[#This Row],[SAMV]:[ASH]], 1)=0, "", COUNTIF(tblSeverityAnalysis[[#This Row],[SAMV]:[ASH]], 1))</f>
        <v>1</v>
      </c>
      <c r="R277" s="325">
        <f>IF(COUNTIF(tblSeverityAnalysis[[#This Row],[SAMV]:[ASH]], 2)=0, "", COUNTIF(tblSeverityAnalysis[[#This Row],[SAMV]:[ASH]], 2))</f>
        <v>2</v>
      </c>
      <c r="S277" s="325">
        <f>IF(COUNTIF(tblSeverityAnalysis[[#This Row],[SAMV]:[ASH]], 3)=0, "", COUNTIF(tblSeverityAnalysis[[#This Row],[SAMV]:[ASH]], 3))</f>
        <v>2</v>
      </c>
      <c r="T277" s="325">
        <f>IF(COUNTIF(tblSeverityAnalysis[[#This Row],[SAMV]:[ASH]], 4)=0, "", COUNTIF(tblSeverityAnalysis[[#This Row],[SAMV]:[ASH]], 4))</f>
        <v>1</v>
      </c>
      <c r="U277" s="383" t="str">
        <f>IF(COUNTIF(tblSeverityAnalysis[[#This Row],[SAMV]:[ASH]], 5)=0, "", COUNTIF(tblSeverityAnalysis[[#This Row],[SAMV]:[ASH]], 5))</f>
        <v/>
      </c>
      <c r="V277" s="375" cm="1">
        <f t="array" ref="V27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7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77" s="237" t="str">
        <f>IFERROR(IF(INDEX(tblSeverityReference[Severidad de la desnutrición],MATCH(tblSeverityAnalysis[[#This Row],[ID]], tblSeverityReference[ID], 0))= "", "",INDEX(tblSeverityReference[Severidad de la desnutrición],MATCH(tblSeverityAnalysis[[#This Row],[ID]], tblSeverityReference[ID], 0)) ), "")</f>
        <v/>
      </c>
      <c r="Y277" s="349" t="str">
        <f>IFERROR(IF(INDEX(tblSeverityReference[Severidad epidémica],MATCH(tblSeverityAnalysis[[#This Row],[ID]], tblSeverityReference[ID], 0))= "", "",INDEX(tblSeverityReference[Severidad epidémica],MATCH(tblSeverityAnalysis[[#This Row],[ID]], tblSeverityReference[ID], 0)) ), "")</f>
        <v/>
      </c>
      <c r="Z27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77" s="391" t="str">
        <f>IFERROR(IF(INDEX(tblSeverityReference[HR/IHL Violation],MATCH(tblSeverityAnalysis[[#This Row],[ID]], tblSeverityReference[ID], 0))= "", "",INDEX(tblSeverityReference[HR/IHL Violation],MATCH(tblSeverityAnalysis[[#This Row],[ID]], tblSeverityReference[ID], 0)) ), "")</f>
        <v/>
      </c>
      <c r="AB277" s="397">
        <f>IFERROR(AVERAGE(tblSeverityAnalysis[[#This Row],[SAMV]:[ASH]]), "")</f>
        <v>2.5</v>
      </c>
      <c r="AC277" s="346">
        <f>IF(SUM(tblSeverityAnalysis[[#This Row],[SAMV]:[ASH]])=0, "", MAX(tblSeverityAnalysis[[#This Row],[SAMV]:[ASH]]))</f>
        <v>4</v>
      </c>
      <c r="AD277" s="261" t="str" cm="1">
        <f t="array" ref="AD277">IFERROR(IF(tblSeverityAnalysis[[#This Row],[Severidad máxima]]="", "", _xlfn.TEXTJOIN(CHAR(10), TRUE, IF(tblSeverityAnalysis[[#This Row],[SAMV]:[ASH]]=tblSeverityAnalysis[[#This Row],[Severidad máxima]], tblSeverityAnalysis[[#Headers],[SAMV]:[ASH]], ""), "")), "")</f>
        <v>SAL</v>
      </c>
      <c r="AE277" s="346" cm="1">
        <f t="array" ref="AE277">IFERROR(MAX(_xlfn._xlws.FILTER(tblSeverityAnalysis[[#This Row],[SAMV]:[ASH]], tblSeverityAnalysis[[#This Row],[SAMV]:[ASH]]&lt;tblSeverityAnalysis[[#This Row],[Severidad máxima]])), "")</f>
        <v>3</v>
      </c>
      <c r="AF277" s="398" t="str" cm="1">
        <f t="array" ref="AF277">IFERROR(IF(tblSeverityAnalysis[[#This Row],[2ª mayor severidad]]="", "", _xlfn.TEXTJOIN(CHAR(10), TRUE, IF(tblSeverityAnalysis[[#This Row],[SAMV]:[ASH]]=tblSeverityAnalysis[[#This Row],[2ª mayor severidad]], tblSeverityAnalysis[[#Headers],[SAMV]:[ASH]], ""), "")), "")</f>
        <v>SAMV
EDU</v>
      </c>
      <c r="AG277" s="405" t="str">
        <f>IFERROR(IF(AND(tblSeverityAnalysis[[#This Row],[5]] &lt;&gt; "", tblSeverityAnalysis[[#This Row],[5]]&gt;=sectors_sev_5), "Flagged", ""), "")</f>
        <v/>
      </c>
      <c r="AH277" s="347" t="str">
        <f>IFERROR(IF(AND(tblSeverityAnalysis[[#This Row],[Severidad preliminar basada en la superposición de privaciones sectoriales]]=5, SUM(tblSeverityAnalysis[[#This Row],[ 1 ]:[ 4 ]])&gt;=sectors_sev_5), "Flagged", ""), "")</f>
        <v/>
      </c>
      <c r="AI277" s="348" t="str" cm="1">
        <f t="array" ref="AI27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7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77" s="350"/>
      <c r="AL277" s="351"/>
      <c r="AM277" s="350"/>
      <c r="AN277" s="407">
        <f>COUNTIF(tblSeverityAnalysis[[#This Row],[1 sectores en fase de severidad 5 '[modificar el umbral']]:[Marcador manual]], "Flagged")</f>
        <v>0</v>
      </c>
      <c r="AO277" s="418">
        <f>tblSeverityAnalysis[[#This Row],[Severidad preliminar basada en la superposición de privaciones sectoriales]]</f>
        <v>2</v>
      </c>
      <c r="AP277" s="417"/>
      <c r="AQ277" s="421" t="s">
        <v>876</v>
      </c>
      <c r="AR277" s="417">
        <v>3</v>
      </c>
    </row>
    <row r="278" spans="1:44" hidden="1">
      <c r="A27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VenezolanosVE2025</v>
      </c>
      <c r="B278" s="363" t="s">
        <v>589</v>
      </c>
      <c r="C278" s="323" t="s">
        <v>590</v>
      </c>
      <c r="D278" s="322" t="s">
        <v>157</v>
      </c>
      <c r="E278" s="323" t="s">
        <v>634</v>
      </c>
      <c r="F278" s="323"/>
      <c r="G278" s="324">
        <v>2445</v>
      </c>
      <c r="H278" s="324" t="s">
        <v>102</v>
      </c>
      <c r="I278" s="374">
        <v>2</v>
      </c>
      <c r="J278" s="237">
        <v>2</v>
      </c>
      <c r="K278" s="237">
        <v>3</v>
      </c>
      <c r="L278" s="237">
        <v>3</v>
      </c>
      <c r="M278" s="237">
        <v>2</v>
      </c>
      <c r="N278" s="237">
        <v>1</v>
      </c>
      <c r="O278" s="237">
        <v>2</v>
      </c>
      <c r="P278" s="237">
        <v>2</v>
      </c>
      <c r="Q278" s="382">
        <f>IF(COUNTIF(tblSeverityAnalysis[[#This Row],[SAMV]:[ASH]], 1)=0, "", COUNTIF(tblSeverityAnalysis[[#This Row],[SAMV]:[ASH]], 1))</f>
        <v>1</v>
      </c>
      <c r="R278" s="325">
        <f>IF(COUNTIF(tblSeverityAnalysis[[#This Row],[SAMV]:[ASH]], 2)=0, "", COUNTIF(tblSeverityAnalysis[[#This Row],[SAMV]:[ASH]], 2))</f>
        <v>3</v>
      </c>
      <c r="S278" s="325">
        <f>IF(COUNTIF(tblSeverityAnalysis[[#This Row],[SAMV]:[ASH]], 3)=0, "", COUNTIF(tblSeverityAnalysis[[#This Row],[SAMV]:[ASH]], 3))</f>
        <v>2</v>
      </c>
      <c r="T278" s="325" t="str">
        <f>IF(COUNTIF(tblSeverityAnalysis[[#This Row],[SAMV]:[ASH]], 4)=0, "", COUNTIF(tblSeverityAnalysis[[#This Row],[SAMV]:[ASH]], 4))</f>
        <v/>
      </c>
      <c r="U278" s="383" t="str">
        <f>IF(COUNTIF(tblSeverityAnalysis[[#This Row],[SAMV]:[ASH]], 5)=0, "", COUNTIF(tblSeverityAnalysis[[#This Row],[SAMV]:[ASH]], 5))</f>
        <v/>
      </c>
      <c r="V278" s="375" cm="1">
        <f t="array" ref="V27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7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78" s="237" t="str">
        <f>IFERROR(IF(INDEX(tblSeverityReference[Severidad de la desnutrición],MATCH(tblSeverityAnalysis[[#This Row],[ID]], tblSeverityReference[ID], 0))= "", "",INDEX(tblSeverityReference[Severidad de la desnutrición],MATCH(tblSeverityAnalysis[[#This Row],[ID]], tblSeverityReference[ID], 0)) ), "")</f>
        <v/>
      </c>
      <c r="Y278" s="349" t="str">
        <f>IFERROR(IF(INDEX(tblSeverityReference[Severidad epidémica],MATCH(tblSeverityAnalysis[[#This Row],[ID]], tblSeverityReference[ID], 0))= "", "",INDEX(tblSeverityReference[Severidad epidémica],MATCH(tblSeverityAnalysis[[#This Row],[ID]], tblSeverityReference[ID], 0)) ), "")</f>
        <v/>
      </c>
      <c r="Z27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78" s="391" t="str">
        <f>IFERROR(IF(INDEX(tblSeverityReference[HR/IHL Violation],MATCH(tblSeverityAnalysis[[#This Row],[ID]], tblSeverityReference[ID], 0))= "", "",INDEX(tblSeverityReference[HR/IHL Violation],MATCH(tblSeverityAnalysis[[#This Row],[ID]], tblSeverityReference[ID], 0)) ), "")</f>
        <v/>
      </c>
      <c r="AB278" s="397">
        <f>IFERROR(AVERAGE(tblSeverityAnalysis[[#This Row],[SAMV]:[ASH]]), "")</f>
        <v>2.1666666666666665</v>
      </c>
      <c r="AC278" s="346">
        <f>IF(SUM(tblSeverityAnalysis[[#This Row],[SAMV]:[ASH]])=0, "", MAX(tblSeverityAnalysis[[#This Row],[SAMV]:[ASH]]))</f>
        <v>3</v>
      </c>
      <c r="AD278" s="261" t="str" cm="1">
        <f t="array" ref="AD278">IFERROR(IF(tblSeverityAnalysis[[#This Row],[Severidad máxima]]="", "", _xlfn.TEXTJOIN(CHAR(10), TRUE, IF(tblSeverityAnalysis[[#This Row],[SAMV]:[ASH]]=tblSeverityAnalysis[[#This Row],[Severidad máxima]], tblSeverityAnalysis[[#Headers],[SAMV]:[ASH]], ""), "")), "")</f>
        <v>SAL
EDU</v>
      </c>
      <c r="AE278" s="346" cm="1">
        <f t="array" ref="AE278">IFERROR(MAX(_xlfn._xlws.FILTER(tblSeverityAnalysis[[#This Row],[SAMV]:[ASH]], tblSeverityAnalysis[[#This Row],[SAMV]:[ASH]]&lt;tblSeverityAnalysis[[#This Row],[Severidad máxima]])), "")</f>
        <v>2</v>
      </c>
      <c r="AF278" s="398" t="str" cm="1">
        <f t="array" ref="AF278">IFERROR(IF(tblSeverityAnalysis[[#This Row],[2ª mayor severidad]]="", "", _xlfn.TEXTJOIN(CHAR(10), TRUE, IF(tblSeverityAnalysis[[#This Row],[SAMV]:[ASH]]=tblSeverityAnalysis[[#This Row],[2ª mayor severidad]], tblSeverityAnalysis[[#Headers],[SAMV]:[ASH]], ""), "")), "")</f>
        <v>SAMV
NUT
PRO</v>
      </c>
      <c r="AG278" s="405" t="str">
        <f>IFERROR(IF(AND(tblSeverityAnalysis[[#This Row],[5]] &lt;&gt; "", tblSeverityAnalysis[[#This Row],[5]]&gt;=sectors_sev_5), "Flagged", ""), "")</f>
        <v/>
      </c>
      <c r="AH278" s="347" t="str">
        <f>IFERROR(IF(AND(tblSeverityAnalysis[[#This Row],[Severidad preliminar basada en la superposición de privaciones sectoriales]]=5, SUM(tblSeverityAnalysis[[#This Row],[ 1 ]:[ 4 ]])&gt;=sectors_sev_5), "Flagged", ""), "")</f>
        <v/>
      </c>
      <c r="AI278" s="348" t="str" cm="1">
        <f t="array" ref="AI27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7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78" s="350"/>
      <c r="AL278" s="351"/>
      <c r="AM278" s="350"/>
      <c r="AN278" s="407">
        <f>COUNTIF(tblSeverityAnalysis[[#This Row],[1 sectores en fase de severidad 5 '[modificar el umbral']]:[Marcador manual]], "Flagged")</f>
        <v>0</v>
      </c>
      <c r="AO278" s="418">
        <f>tblSeverityAnalysis[[#This Row],[Severidad preliminar basada en la superposición de privaciones sectoriales]]</f>
        <v>2</v>
      </c>
      <c r="AP278" s="417"/>
      <c r="AQ278" s="421" t="s">
        <v>876</v>
      </c>
      <c r="AR278" s="417">
        <v>3</v>
      </c>
    </row>
    <row r="279" spans="1:44" hidden="1">
      <c r="A27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VenezolanosVE2026</v>
      </c>
      <c r="B279" s="363" t="s">
        <v>589</v>
      </c>
      <c r="C279" s="323" t="s">
        <v>590</v>
      </c>
      <c r="D279" s="322" t="s">
        <v>203</v>
      </c>
      <c r="E279" s="323" t="s">
        <v>635</v>
      </c>
      <c r="F279" s="323"/>
      <c r="G279" s="324">
        <v>7320</v>
      </c>
      <c r="H279" s="324" t="s">
        <v>102</v>
      </c>
      <c r="I279" s="374">
        <v>1</v>
      </c>
      <c r="J279" s="237">
        <v>1</v>
      </c>
      <c r="K279" s="237">
        <v>3</v>
      </c>
      <c r="L279" s="237">
        <v>3</v>
      </c>
      <c r="M279" s="237">
        <v>2</v>
      </c>
      <c r="N279" s="237">
        <v>1</v>
      </c>
      <c r="O279" s="237">
        <v>2</v>
      </c>
      <c r="P279" s="237">
        <v>2</v>
      </c>
      <c r="Q279" s="382">
        <f>IF(COUNTIF(tblSeverityAnalysis[[#This Row],[SAMV]:[ASH]], 1)=0, "", COUNTIF(tblSeverityAnalysis[[#This Row],[SAMV]:[ASH]], 1))</f>
        <v>3</v>
      </c>
      <c r="R279" s="325">
        <f>IF(COUNTIF(tblSeverityAnalysis[[#This Row],[SAMV]:[ASH]], 2)=0, "", COUNTIF(tblSeverityAnalysis[[#This Row],[SAMV]:[ASH]], 2))</f>
        <v>1</v>
      </c>
      <c r="S279" s="325">
        <f>IF(COUNTIF(tblSeverityAnalysis[[#This Row],[SAMV]:[ASH]], 3)=0, "", COUNTIF(tblSeverityAnalysis[[#This Row],[SAMV]:[ASH]], 3))</f>
        <v>2</v>
      </c>
      <c r="T279" s="325" t="str">
        <f>IF(COUNTIF(tblSeverityAnalysis[[#This Row],[SAMV]:[ASH]], 4)=0, "", COUNTIF(tblSeverityAnalysis[[#This Row],[SAMV]:[ASH]], 4))</f>
        <v/>
      </c>
      <c r="U279" s="383" t="str">
        <f>IF(COUNTIF(tblSeverityAnalysis[[#This Row],[SAMV]:[ASH]], 5)=0, "", COUNTIF(tblSeverityAnalysis[[#This Row],[SAMV]:[ASH]], 5))</f>
        <v/>
      </c>
      <c r="V279" s="375" cm="1">
        <f t="array" ref="V27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1</v>
      </c>
      <c r="W27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79" s="237" t="str">
        <f>IFERROR(IF(INDEX(tblSeverityReference[Severidad de la desnutrición],MATCH(tblSeverityAnalysis[[#This Row],[ID]], tblSeverityReference[ID], 0))= "", "",INDEX(tblSeverityReference[Severidad de la desnutrición],MATCH(tblSeverityAnalysis[[#This Row],[ID]], tblSeverityReference[ID], 0)) ), "")</f>
        <v/>
      </c>
      <c r="Y279" s="349" t="str">
        <f>IFERROR(IF(INDEX(tblSeverityReference[Severidad epidémica],MATCH(tblSeverityAnalysis[[#This Row],[ID]], tblSeverityReference[ID], 0))= "", "",INDEX(tblSeverityReference[Severidad epidémica],MATCH(tblSeverityAnalysis[[#This Row],[ID]], tblSeverityReference[ID], 0)) ), "")</f>
        <v/>
      </c>
      <c r="Z27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79" s="391" t="str">
        <f>IFERROR(IF(INDEX(tblSeverityReference[HR/IHL Violation],MATCH(tblSeverityAnalysis[[#This Row],[ID]], tblSeverityReference[ID], 0))= "", "",INDEX(tblSeverityReference[HR/IHL Violation],MATCH(tblSeverityAnalysis[[#This Row],[ID]], tblSeverityReference[ID], 0)) ), "")</f>
        <v/>
      </c>
      <c r="AB279" s="397">
        <f>IFERROR(AVERAGE(tblSeverityAnalysis[[#This Row],[SAMV]:[ASH]]), "")</f>
        <v>1.8333333333333333</v>
      </c>
      <c r="AC279" s="346">
        <f>IF(SUM(tblSeverityAnalysis[[#This Row],[SAMV]:[ASH]])=0, "", MAX(tblSeverityAnalysis[[#This Row],[SAMV]:[ASH]]))</f>
        <v>3</v>
      </c>
      <c r="AD279" s="261" t="str" cm="1">
        <f t="array" ref="AD279">IFERROR(IF(tblSeverityAnalysis[[#This Row],[Severidad máxima]]="", "", _xlfn.TEXTJOIN(CHAR(10), TRUE, IF(tblSeverityAnalysis[[#This Row],[SAMV]:[ASH]]=tblSeverityAnalysis[[#This Row],[Severidad máxima]], tblSeverityAnalysis[[#Headers],[SAMV]:[ASH]], ""), "")), "")</f>
        <v>SAL
EDU</v>
      </c>
      <c r="AE279" s="346" cm="1">
        <f t="array" ref="AE279">IFERROR(MAX(_xlfn._xlws.FILTER(tblSeverityAnalysis[[#This Row],[SAMV]:[ASH]], tblSeverityAnalysis[[#This Row],[SAMV]:[ASH]]&lt;tblSeverityAnalysis[[#This Row],[Severidad máxima]])), "")</f>
        <v>2</v>
      </c>
      <c r="AF279" s="398" t="str" cm="1">
        <f t="array" ref="AF279">IFERROR(IF(tblSeverityAnalysis[[#This Row],[2ª mayor severidad]]="", "", _xlfn.TEXTJOIN(CHAR(10), TRUE, IF(tblSeverityAnalysis[[#This Row],[SAMV]:[ASH]]=tblSeverityAnalysis[[#This Row],[2ª mayor severidad]], tblSeverityAnalysis[[#Headers],[SAMV]:[ASH]], ""), "")), "")</f>
        <v>PRO</v>
      </c>
      <c r="AG279" s="405" t="str">
        <f>IFERROR(IF(AND(tblSeverityAnalysis[[#This Row],[5]] &lt;&gt; "", tblSeverityAnalysis[[#This Row],[5]]&gt;=sectors_sev_5), "Flagged", ""), "")</f>
        <v/>
      </c>
      <c r="AH279" s="347" t="str">
        <f>IFERROR(IF(AND(tblSeverityAnalysis[[#This Row],[Severidad preliminar basada en la superposición de privaciones sectoriales]]=5, SUM(tblSeverityAnalysis[[#This Row],[ 1 ]:[ 4 ]])&gt;=sectors_sev_5), "Flagged", ""), "")</f>
        <v/>
      </c>
      <c r="AI279" s="348" t="str" cm="1">
        <f t="array" ref="AI27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7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79" s="350"/>
      <c r="AL279" s="351"/>
      <c r="AM279" s="350"/>
      <c r="AN279" s="407">
        <f>COUNTIF(tblSeverityAnalysis[[#This Row],[1 sectores en fase de severidad 5 '[modificar el umbral']]:[Marcador manual]], "Flagged")</f>
        <v>0</v>
      </c>
      <c r="AO279" s="418">
        <f>tblSeverityAnalysis[[#This Row],[Severidad preliminar basada en la superposición de privaciones sectoriales]]</f>
        <v>1</v>
      </c>
      <c r="AP279" s="417"/>
      <c r="AQ279" s="421" t="s">
        <v>876</v>
      </c>
      <c r="AR279" s="417">
        <v>3</v>
      </c>
    </row>
    <row r="280" spans="1:44" hidden="1">
      <c r="A28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VenezolanosVE2027</v>
      </c>
      <c r="B280" s="363" t="s">
        <v>589</v>
      </c>
      <c r="C280" s="323" t="s">
        <v>590</v>
      </c>
      <c r="D280" s="322" t="s">
        <v>636</v>
      </c>
      <c r="E280" s="323" t="s">
        <v>637</v>
      </c>
      <c r="F280" s="323"/>
      <c r="G280" s="324">
        <v>49577</v>
      </c>
      <c r="H280" s="324" t="s">
        <v>102</v>
      </c>
      <c r="I280" s="374">
        <v>3</v>
      </c>
      <c r="J280" s="237">
        <v>1</v>
      </c>
      <c r="K280" s="237">
        <v>3</v>
      </c>
      <c r="L280" s="237">
        <v>5</v>
      </c>
      <c r="M280" s="237">
        <v>3</v>
      </c>
      <c r="N280" s="237">
        <v>3</v>
      </c>
      <c r="O280" s="237">
        <v>3</v>
      </c>
      <c r="P280" s="237">
        <v>3</v>
      </c>
      <c r="Q280" s="382">
        <f>IF(COUNTIF(tblSeverityAnalysis[[#This Row],[SAMV]:[ASH]], 1)=0, "", COUNTIF(tblSeverityAnalysis[[#This Row],[SAMV]:[ASH]], 1))</f>
        <v>1</v>
      </c>
      <c r="R280" s="325" t="str">
        <f>IF(COUNTIF(tblSeverityAnalysis[[#This Row],[SAMV]:[ASH]], 2)=0, "", COUNTIF(tblSeverityAnalysis[[#This Row],[SAMV]:[ASH]], 2))</f>
        <v/>
      </c>
      <c r="S280" s="325">
        <f>IF(COUNTIF(tblSeverityAnalysis[[#This Row],[SAMV]:[ASH]], 3)=0, "", COUNTIF(tblSeverityAnalysis[[#This Row],[SAMV]:[ASH]], 3))</f>
        <v>4</v>
      </c>
      <c r="T280" s="325" t="str">
        <f>IF(COUNTIF(tblSeverityAnalysis[[#This Row],[SAMV]:[ASH]], 4)=0, "", COUNTIF(tblSeverityAnalysis[[#This Row],[SAMV]:[ASH]], 4))</f>
        <v/>
      </c>
      <c r="U280" s="383">
        <f>IF(COUNTIF(tblSeverityAnalysis[[#This Row],[SAMV]:[ASH]], 5)=0, "", COUNTIF(tblSeverityAnalysis[[#This Row],[SAMV]:[ASH]], 5))</f>
        <v>1</v>
      </c>
      <c r="V280" s="375" cm="1">
        <f t="array" ref="V28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8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80" s="237" t="str">
        <f>IFERROR(IF(INDEX(tblSeverityReference[Severidad de la desnutrición],MATCH(tblSeverityAnalysis[[#This Row],[ID]], tblSeverityReference[ID], 0))= "", "",INDEX(tblSeverityReference[Severidad de la desnutrición],MATCH(tblSeverityAnalysis[[#This Row],[ID]], tblSeverityReference[ID], 0)) ), "")</f>
        <v/>
      </c>
      <c r="Y280" s="349" t="str">
        <f>IFERROR(IF(INDEX(tblSeverityReference[Severidad epidémica],MATCH(tblSeverityAnalysis[[#This Row],[ID]], tblSeverityReference[ID], 0))= "", "",INDEX(tblSeverityReference[Severidad epidémica],MATCH(tblSeverityAnalysis[[#This Row],[ID]], tblSeverityReference[ID], 0)) ), "")</f>
        <v/>
      </c>
      <c r="Z28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80" s="391" t="str">
        <f>IFERROR(IF(INDEX(tblSeverityReference[HR/IHL Violation],MATCH(tblSeverityAnalysis[[#This Row],[ID]], tblSeverityReference[ID], 0))= "", "",INDEX(tblSeverityReference[HR/IHL Violation],MATCH(tblSeverityAnalysis[[#This Row],[ID]], tblSeverityReference[ID], 0)) ), "")</f>
        <v/>
      </c>
      <c r="AB280" s="397">
        <f>IFERROR(AVERAGE(tblSeverityAnalysis[[#This Row],[SAMV]:[ASH]]), "")</f>
        <v>3</v>
      </c>
      <c r="AC280" s="346">
        <f>IF(SUM(tblSeverityAnalysis[[#This Row],[SAMV]:[ASH]])=0, "", MAX(tblSeverityAnalysis[[#This Row],[SAMV]:[ASH]]))</f>
        <v>5</v>
      </c>
      <c r="AD280" s="261" t="str" cm="1">
        <f t="array" ref="AD280">IFERROR(IF(tblSeverityAnalysis[[#This Row],[Severidad máxima]]="", "", _xlfn.TEXTJOIN(CHAR(10), TRUE, IF(tblSeverityAnalysis[[#This Row],[SAMV]:[ASH]]=tblSeverityAnalysis[[#This Row],[Severidad máxima]], tblSeverityAnalysis[[#Headers],[SAMV]:[ASH]], ""), "")), "")</f>
        <v>EDU</v>
      </c>
      <c r="AE280" s="346" cm="1">
        <f t="array" ref="AE280">IFERROR(MAX(_xlfn._xlws.FILTER(tblSeverityAnalysis[[#This Row],[SAMV]:[ASH]], tblSeverityAnalysis[[#This Row],[SAMV]:[ASH]]&lt;tblSeverityAnalysis[[#This Row],[Severidad máxima]])), "")</f>
        <v>3</v>
      </c>
      <c r="AF280" s="398" t="str" cm="1">
        <f t="array" ref="AF280">IFERROR(IF(tblSeverityAnalysis[[#This Row],[2ª mayor severidad]]="", "", _xlfn.TEXTJOIN(CHAR(10), TRUE, IF(tblSeverityAnalysis[[#This Row],[SAMV]:[ASH]]=tblSeverityAnalysis[[#This Row],[2ª mayor severidad]], tblSeverityAnalysis[[#Headers],[SAMV]:[ASH]], ""), "")), "")</f>
        <v>SAMV
SAL
PRO
ASH</v>
      </c>
      <c r="AG280" s="405" t="str">
        <f>IFERROR(IF(AND(tblSeverityAnalysis[[#This Row],[5]] &lt;&gt; "", tblSeverityAnalysis[[#This Row],[5]]&gt;=sectors_sev_5), "Flagged", ""), "")</f>
        <v/>
      </c>
      <c r="AH280" s="347" t="str">
        <f>IFERROR(IF(AND(tblSeverityAnalysis[[#This Row],[Severidad preliminar basada en la superposición de privaciones sectoriales]]=5, SUM(tblSeverityAnalysis[[#This Row],[ 1 ]:[ 4 ]])&gt;=sectors_sev_5), "Flagged", ""), "")</f>
        <v/>
      </c>
      <c r="AI280" s="348" t="str" cm="1">
        <f t="array" ref="AI28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8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80" s="350"/>
      <c r="AL280" s="351"/>
      <c r="AM280" s="350"/>
      <c r="AN280" s="407">
        <f>COUNTIF(tblSeverityAnalysis[[#This Row],[1 sectores en fase de severidad 5 '[modificar el umbral']]:[Marcador manual]], "Flagged")</f>
        <v>0</v>
      </c>
      <c r="AO280" s="418">
        <f>tblSeverityAnalysis[[#This Row],[Severidad preliminar basada en la superposición de privaciones sectoriales]]</f>
        <v>3</v>
      </c>
      <c r="AP280" s="417"/>
      <c r="AQ280" s="421" t="s">
        <v>876</v>
      </c>
      <c r="AR280" s="417">
        <v>3</v>
      </c>
    </row>
    <row r="281" spans="1:44" hidden="1">
      <c r="A28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VenezolanosVE2028</v>
      </c>
      <c r="B281" s="363" t="s">
        <v>589</v>
      </c>
      <c r="C281" s="323" t="s">
        <v>590</v>
      </c>
      <c r="D281" s="322" t="s">
        <v>638</v>
      </c>
      <c r="E281" s="323" t="s">
        <v>639</v>
      </c>
      <c r="F281" s="323"/>
      <c r="G281" s="324">
        <v>20104</v>
      </c>
      <c r="H281" s="324" t="s">
        <v>102</v>
      </c>
      <c r="I281" s="374">
        <v>2</v>
      </c>
      <c r="J281" s="237">
        <v>2</v>
      </c>
      <c r="K281" s="237">
        <v>3</v>
      </c>
      <c r="L281" s="237">
        <v>3</v>
      </c>
      <c r="M281" s="237">
        <v>2</v>
      </c>
      <c r="N281" s="237">
        <v>1</v>
      </c>
      <c r="O281" s="237">
        <v>2</v>
      </c>
      <c r="P281" s="237">
        <v>2</v>
      </c>
      <c r="Q281" s="382">
        <f>IF(COUNTIF(tblSeverityAnalysis[[#This Row],[SAMV]:[ASH]], 1)=0, "", COUNTIF(tblSeverityAnalysis[[#This Row],[SAMV]:[ASH]], 1))</f>
        <v>1</v>
      </c>
      <c r="R281" s="325">
        <f>IF(COUNTIF(tblSeverityAnalysis[[#This Row],[SAMV]:[ASH]], 2)=0, "", COUNTIF(tblSeverityAnalysis[[#This Row],[SAMV]:[ASH]], 2))</f>
        <v>3</v>
      </c>
      <c r="S281" s="325">
        <f>IF(COUNTIF(tblSeverityAnalysis[[#This Row],[SAMV]:[ASH]], 3)=0, "", COUNTIF(tblSeverityAnalysis[[#This Row],[SAMV]:[ASH]], 3))</f>
        <v>2</v>
      </c>
      <c r="T281" s="325" t="str">
        <f>IF(COUNTIF(tblSeverityAnalysis[[#This Row],[SAMV]:[ASH]], 4)=0, "", COUNTIF(tblSeverityAnalysis[[#This Row],[SAMV]:[ASH]], 4))</f>
        <v/>
      </c>
      <c r="U281" s="383" t="str">
        <f>IF(COUNTIF(tblSeverityAnalysis[[#This Row],[SAMV]:[ASH]], 5)=0, "", COUNTIF(tblSeverityAnalysis[[#This Row],[SAMV]:[ASH]], 5))</f>
        <v/>
      </c>
      <c r="V281" s="375" cm="1">
        <f t="array" ref="V28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8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81" s="237" t="str">
        <f>IFERROR(IF(INDEX(tblSeverityReference[Severidad de la desnutrición],MATCH(tblSeverityAnalysis[[#This Row],[ID]], tblSeverityReference[ID], 0))= "", "",INDEX(tblSeverityReference[Severidad de la desnutrición],MATCH(tblSeverityAnalysis[[#This Row],[ID]], tblSeverityReference[ID], 0)) ), "")</f>
        <v/>
      </c>
      <c r="Y281" s="349" t="str">
        <f>IFERROR(IF(INDEX(tblSeverityReference[Severidad epidémica],MATCH(tblSeverityAnalysis[[#This Row],[ID]], tblSeverityReference[ID], 0))= "", "",INDEX(tblSeverityReference[Severidad epidémica],MATCH(tblSeverityAnalysis[[#This Row],[ID]], tblSeverityReference[ID], 0)) ), "")</f>
        <v/>
      </c>
      <c r="Z28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81" s="391" t="str">
        <f>IFERROR(IF(INDEX(tblSeverityReference[HR/IHL Violation],MATCH(tblSeverityAnalysis[[#This Row],[ID]], tblSeverityReference[ID], 0))= "", "",INDEX(tblSeverityReference[HR/IHL Violation],MATCH(tblSeverityAnalysis[[#This Row],[ID]], tblSeverityReference[ID], 0)) ), "")</f>
        <v/>
      </c>
      <c r="AB281" s="397">
        <f>IFERROR(AVERAGE(tblSeverityAnalysis[[#This Row],[SAMV]:[ASH]]), "")</f>
        <v>2.1666666666666665</v>
      </c>
      <c r="AC281" s="346">
        <f>IF(SUM(tblSeverityAnalysis[[#This Row],[SAMV]:[ASH]])=0, "", MAX(tblSeverityAnalysis[[#This Row],[SAMV]:[ASH]]))</f>
        <v>3</v>
      </c>
      <c r="AD281" s="261" t="str" cm="1">
        <f t="array" ref="AD281">IFERROR(IF(tblSeverityAnalysis[[#This Row],[Severidad máxima]]="", "", _xlfn.TEXTJOIN(CHAR(10), TRUE, IF(tblSeverityAnalysis[[#This Row],[SAMV]:[ASH]]=tblSeverityAnalysis[[#This Row],[Severidad máxima]], tblSeverityAnalysis[[#Headers],[SAMV]:[ASH]], ""), "")), "")</f>
        <v>SAL
EDU</v>
      </c>
      <c r="AE281" s="346" cm="1">
        <f t="array" ref="AE281">IFERROR(MAX(_xlfn._xlws.FILTER(tblSeverityAnalysis[[#This Row],[SAMV]:[ASH]], tblSeverityAnalysis[[#This Row],[SAMV]:[ASH]]&lt;tblSeverityAnalysis[[#This Row],[Severidad máxima]])), "")</f>
        <v>2</v>
      </c>
      <c r="AF281" s="398" t="str" cm="1">
        <f t="array" ref="AF281">IFERROR(IF(tblSeverityAnalysis[[#This Row],[2ª mayor severidad]]="", "", _xlfn.TEXTJOIN(CHAR(10), TRUE, IF(tblSeverityAnalysis[[#This Row],[SAMV]:[ASH]]=tblSeverityAnalysis[[#This Row],[2ª mayor severidad]], tblSeverityAnalysis[[#Headers],[SAMV]:[ASH]], ""), "")), "")</f>
        <v>SAMV
NUT
PRO</v>
      </c>
      <c r="AG281" s="405" t="str">
        <f>IFERROR(IF(AND(tblSeverityAnalysis[[#This Row],[5]] &lt;&gt; "", tblSeverityAnalysis[[#This Row],[5]]&gt;=sectors_sev_5), "Flagged", ""), "")</f>
        <v/>
      </c>
      <c r="AH281" s="347" t="str">
        <f>IFERROR(IF(AND(tblSeverityAnalysis[[#This Row],[Severidad preliminar basada en la superposición de privaciones sectoriales]]=5, SUM(tblSeverityAnalysis[[#This Row],[ 1 ]:[ 4 ]])&gt;=sectors_sev_5), "Flagged", ""), "")</f>
        <v/>
      </c>
      <c r="AI281" s="348" t="str" cm="1">
        <f t="array" ref="AI28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8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81" s="350"/>
      <c r="AL281" s="351"/>
      <c r="AM281" s="350"/>
      <c r="AN281" s="407">
        <f>COUNTIF(tblSeverityAnalysis[[#This Row],[1 sectores en fase de severidad 5 '[modificar el umbral']]:[Marcador manual]], "Flagged")</f>
        <v>0</v>
      </c>
      <c r="AO281" s="418">
        <f>tblSeverityAnalysis[[#This Row],[Severidad preliminar basada en la superposición de privaciones sectoriales]]</f>
        <v>2</v>
      </c>
      <c r="AP281" s="417"/>
      <c r="AQ281" s="421" t="s">
        <v>876</v>
      </c>
      <c r="AR281" s="417">
        <v>3</v>
      </c>
    </row>
    <row r="282" spans="1:44" hidden="1">
      <c r="A28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VenezolanosVE2029</v>
      </c>
      <c r="B282" s="363" t="s">
        <v>589</v>
      </c>
      <c r="C282" s="323" t="s">
        <v>590</v>
      </c>
      <c r="D282" s="322" t="s">
        <v>640</v>
      </c>
      <c r="E282" s="323" t="s">
        <v>641</v>
      </c>
      <c r="F282" s="323"/>
      <c r="G282" s="324">
        <v>7649</v>
      </c>
      <c r="H282" s="324" t="s">
        <v>102</v>
      </c>
      <c r="I282" s="374">
        <v>3</v>
      </c>
      <c r="J282" s="237">
        <v>1</v>
      </c>
      <c r="K282" s="237">
        <v>3</v>
      </c>
      <c r="L282" s="237">
        <v>3</v>
      </c>
      <c r="M282" s="237">
        <v>2</v>
      </c>
      <c r="N282" s="237">
        <v>2</v>
      </c>
      <c r="O282" s="237">
        <v>2</v>
      </c>
      <c r="P282" s="237">
        <v>2</v>
      </c>
      <c r="Q282" s="382">
        <f>IF(COUNTIF(tblSeverityAnalysis[[#This Row],[SAMV]:[ASH]], 1)=0, "", COUNTIF(tblSeverityAnalysis[[#This Row],[SAMV]:[ASH]], 1))</f>
        <v>1</v>
      </c>
      <c r="R282" s="325">
        <f>IF(COUNTIF(tblSeverityAnalysis[[#This Row],[SAMV]:[ASH]], 2)=0, "", COUNTIF(tblSeverityAnalysis[[#This Row],[SAMV]:[ASH]], 2))</f>
        <v>2</v>
      </c>
      <c r="S282" s="325">
        <f>IF(COUNTIF(tblSeverityAnalysis[[#This Row],[SAMV]:[ASH]], 3)=0, "", COUNTIF(tblSeverityAnalysis[[#This Row],[SAMV]:[ASH]], 3))</f>
        <v>3</v>
      </c>
      <c r="T282" s="325" t="str">
        <f>IF(COUNTIF(tblSeverityAnalysis[[#This Row],[SAMV]:[ASH]], 4)=0, "", COUNTIF(tblSeverityAnalysis[[#This Row],[SAMV]:[ASH]], 4))</f>
        <v/>
      </c>
      <c r="U282" s="383" t="str">
        <f>IF(COUNTIF(tblSeverityAnalysis[[#This Row],[SAMV]:[ASH]], 5)=0, "", COUNTIF(tblSeverityAnalysis[[#This Row],[SAMV]:[ASH]], 5))</f>
        <v/>
      </c>
      <c r="V282" s="375" cm="1">
        <f t="array" ref="V28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8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82" s="237" t="str">
        <f>IFERROR(IF(INDEX(tblSeverityReference[Severidad de la desnutrición],MATCH(tblSeverityAnalysis[[#This Row],[ID]], tblSeverityReference[ID], 0))= "", "",INDEX(tblSeverityReference[Severidad de la desnutrición],MATCH(tblSeverityAnalysis[[#This Row],[ID]], tblSeverityReference[ID], 0)) ), "")</f>
        <v/>
      </c>
      <c r="Y282" s="349" t="str">
        <f>IFERROR(IF(INDEX(tblSeverityReference[Severidad epidémica],MATCH(tblSeverityAnalysis[[#This Row],[ID]], tblSeverityReference[ID], 0))= "", "",INDEX(tblSeverityReference[Severidad epidémica],MATCH(tblSeverityAnalysis[[#This Row],[ID]], tblSeverityReference[ID], 0)) ), "")</f>
        <v/>
      </c>
      <c r="Z28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82" s="391" t="str">
        <f>IFERROR(IF(INDEX(tblSeverityReference[HR/IHL Violation],MATCH(tblSeverityAnalysis[[#This Row],[ID]], tblSeverityReference[ID], 0))= "", "",INDEX(tblSeverityReference[HR/IHL Violation],MATCH(tblSeverityAnalysis[[#This Row],[ID]], tblSeverityReference[ID], 0)) ), "")</f>
        <v/>
      </c>
      <c r="AB282" s="397">
        <f>IFERROR(AVERAGE(tblSeverityAnalysis[[#This Row],[SAMV]:[ASH]]), "")</f>
        <v>2.3333333333333335</v>
      </c>
      <c r="AC282" s="346">
        <f>IF(SUM(tblSeverityAnalysis[[#This Row],[SAMV]:[ASH]])=0, "", MAX(tblSeverityAnalysis[[#This Row],[SAMV]:[ASH]]))</f>
        <v>3</v>
      </c>
      <c r="AD282" s="261" t="str" cm="1">
        <f t="array" ref="AD282">IFERROR(IF(tblSeverityAnalysis[[#This Row],[Severidad máxima]]="", "", _xlfn.TEXTJOIN(CHAR(10), TRUE, IF(tblSeverityAnalysis[[#This Row],[SAMV]:[ASH]]=tblSeverityAnalysis[[#This Row],[Severidad máxima]], tblSeverityAnalysis[[#Headers],[SAMV]:[ASH]], ""), "")), "")</f>
        <v>SAMV
SAL
EDU</v>
      </c>
      <c r="AE282" s="346" cm="1">
        <f t="array" ref="AE282">IFERROR(MAX(_xlfn._xlws.FILTER(tblSeverityAnalysis[[#This Row],[SAMV]:[ASH]], tblSeverityAnalysis[[#This Row],[SAMV]:[ASH]]&lt;tblSeverityAnalysis[[#This Row],[Severidad máxima]])), "")</f>
        <v>2</v>
      </c>
      <c r="AF282" s="398" t="str" cm="1">
        <f t="array" ref="AF282">IFERROR(IF(tblSeverityAnalysis[[#This Row],[2ª mayor severidad]]="", "", _xlfn.TEXTJOIN(CHAR(10), TRUE, IF(tblSeverityAnalysis[[#This Row],[SAMV]:[ASH]]=tblSeverityAnalysis[[#This Row],[2ª mayor severidad]], tblSeverityAnalysis[[#Headers],[SAMV]:[ASH]], ""), "")), "")</f>
        <v>PRO
ASH</v>
      </c>
      <c r="AG282" s="405" t="str">
        <f>IFERROR(IF(AND(tblSeverityAnalysis[[#This Row],[5]] &lt;&gt; "", tblSeverityAnalysis[[#This Row],[5]]&gt;=sectors_sev_5), "Flagged", ""), "")</f>
        <v/>
      </c>
      <c r="AH282" s="347" t="str">
        <f>IFERROR(IF(AND(tblSeverityAnalysis[[#This Row],[Severidad preliminar basada en la superposición de privaciones sectoriales]]=5, SUM(tblSeverityAnalysis[[#This Row],[ 1 ]:[ 4 ]])&gt;=sectors_sev_5), "Flagged", ""), "")</f>
        <v/>
      </c>
      <c r="AI282" s="348" t="str" cm="1">
        <f t="array" ref="AI28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8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82" s="350"/>
      <c r="AL282" s="351"/>
      <c r="AM282" s="350"/>
      <c r="AN282" s="407">
        <f>COUNTIF(tblSeverityAnalysis[[#This Row],[1 sectores en fase de severidad 5 '[modificar el umbral']]:[Marcador manual]], "Flagged")</f>
        <v>0</v>
      </c>
      <c r="AO282" s="418">
        <f>tblSeverityAnalysis[[#This Row],[Severidad preliminar basada en la superposición de privaciones sectoriales]]</f>
        <v>2</v>
      </c>
      <c r="AP282" s="417"/>
      <c r="AQ282" s="421" t="s">
        <v>876</v>
      </c>
      <c r="AR282" s="417">
        <v>3</v>
      </c>
    </row>
    <row r="283" spans="1:44" hidden="1">
      <c r="A28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VenezolanosVE2101</v>
      </c>
      <c r="B283" s="363" t="s">
        <v>642</v>
      </c>
      <c r="C283" s="323" t="s">
        <v>643</v>
      </c>
      <c r="D283" s="322" t="s">
        <v>415</v>
      </c>
      <c r="E283" s="323" t="s">
        <v>644</v>
      </c>
      <c r="F283" s="323"/>
      <c r="G283" s="324">
        <v>14699</v>
      </c>
      <c r="H283" s="324" t="s">
        <v>102</v>
      </c>
      <c r="I283" s="374">
        <v>2</v>
      </c>
      <c r="J283" s="237">
        <v>1</v>
      </c>
      <c r="K283" s="237">
        <v>3</v>
      </c>
      <c r="L283" s="237">
        <v>3</v>
      </c>
      <c r="M283" s="237">
        <v>2</v>
      </c>
      <c r="N283" s="237">
        <v>2</v>
      </c>
      <c r="O283" s="237">
        <v>2</v>
      </c>
      <c r="P283" s="237">
        <v>2</v>
      </c>
      <c r="Q283" s="382">
        <f>IF(COUNTIF(tblSeverityAnalysis[[#This Row],[SAMV]:[ASH]], 1)=0, "", COUNTIF(tblSeverityAnalysis[[#This Row],[SAMV]:[ASH]], 1))</f>
        <v>1</v>
      </c>
      <c r="R283" s="325">
        <f>IF(COUNTIF(tblSeverityAnalysis[[#This Row],[SAMV]:[ASH]], 2)=0, "", COUNTIF(tblSeverityAnalysis[[#This Row],[SAMV]:[ASH]], 2))</f>
        <v>3</v>
      </c>
      <c r="S283" s="325">
        <f>IF(COUNTIF(tblSeverityAnalysis[[#This Row],[SAMV]:[ASH]], 3)=0, "", COUNTIF(tblSeverityAnalysis[[#This Row],[SAMV]:[ASH]], 3))</f>
        <v>2</v>
      </c>
      <c r="T283" s="325" t="str">
        <f>IF(COUNTIF(tblSeverityAnalysis[[#This Row],[SAMV]:[ASH]], 4)=0, "", COUNTIF(tblSeverityAnalysis[[#This Row],[SAMV]:[ASH]], 4))</f>
        <v/>
      </c>
      <c r="U283" s="383" t="str">
        <f>IF(COUNTIF(tblSeverityAnalysis[[#This Row],[SAMV]:[ASH]], 5)=0, "", COUNTIF(tblSeverityAnalysis[[#This Row],[SAMV]:[ASH]], 5))</f>
        <v/>
      </c>
      <c r="V283" s="375" cm="1">
        <f t="array" ref="V28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8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83" s="237" t="str">
        <f>IFERROR(IF(INDEX(tblSeverityReference[Severidad de la desnutrición],MATCH(tblSeverityAnalysis[[#This Row],[ID]], tblSeverityReference[ID], 0))= "", "",INDEX(tblSeverityReference[Severidad de la desnutrición],MATCH(tblSeverityAnalysis[[#This Row],[ID]], tblSeverityReference[ID], 0)) ), "")</f>
        <v/>
      </c>
      <c r="Y283" s="349" t="str">
        <f>IFERROR(IF(INDEX(tblSeverityReference[Severidad epidémica],MATCH(tblSeverityAnalysis[[#This Row],[ID]], tblSeverityReference[ID], 0))= "", "",INDEX(tblSeverityReference[Severidad epidémica],MATCH(tblSeverityAnalysis[[#This Row],[ID]], tblSeverityReference[ID], 0)) ), "")</f>
        <v/>
      </c>
      <c r="Z28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83" s="391" t="str">
        <f>IFERROR(IF(INDEX(tblSeverityReference[HR/IHL Violation],MATCH(tblSeverityAnalysis[[#This Row],[ID]], tblSeverityReference[ID], 0))= "", "",INDEX(tblSeverityReference[HR/IHL Violation],MATCH(tblSeverityAnalysis[[#This Row],[ID]], tblSeverityReference[ID], 0)) ), "")</f>
        <v/>
      </c>
      <c r="AB283" s="397">
        <f>IFERROR(AVERAGE(tblSeverityAnalysis[[#This Row],[SAMV]:[ASH]]), "")</f>
        <v>2.1666666666666665</v>
      </c>
      <c r="AC283" s="346">
        <f>IF(SUM(tblSeverityAnalysis[[#This Row],[SAMV]:[ASH]])=0, "", MAX(tblSeverityAnalysis[[#This Row],[SAMV]:[ASH]]))</f>
        <v>3</v>
      </c>
      <c r="AD283" s="261" t="str" cm="1">
        <f t="array" ref="AD283">IFERROR(IF(tblSeverityAnalysis[[#This Row],[Severidad máxima]]="", "", _xlfn.TEXTJOIN(CHAR(10), TRUE, IF(tblSeverityAnalysis[[#This Row],[SAMV]:[ASH]]=tblSeverityAnalysis[[#This Row],[Severidad máxima]], tblSeverityAnalysis[[#Headers],[SAMV]:[ASH]], ""), "")), "")</f>
        <v>SAL
EDU</v>
      </c>
      <c r="AE283" s="346" cm="1">
        <f t="array" ref="AE283">IFERROR(MAX(_xlfn._xlws.FILTER(tblSeverityAnalysis[[#This Row],[SAMV]:[ASH]], tblSeverityAnalysis[[#This Row],[SAMV]:[ASH]]&lt;tblSeverityAnalysis[[#This Row],[Severidad máxima]])), "")</f>
        <v>2</v>
      </c>
      <c r="AF283" s="398" t="str" cm="1">
        <f t="array" ref="AF283">IFERROR(IF(tblSeverityAnalysis[[#This Row],[2ª mayor severidad]]="", "", _xlfn.TEXTJOIN(CHAR(10), TRUE, IF(tblSeverityAnalysis[[#This Row],[SAMV]:[ASH]]=tblSeverityAnalysis[[#This Row],[2ª mayor severidad]], tblSeverityAnalysis[[#Headers],[SAMV]:[ASH]], ""), "")), "")</f>
        <v>SAMV
PRO
ASH</v>
      </c>
      <c r="AG283" s="405" t="str">
        <f>IFERROR(IF(AND(tblSeverityAnalysis[[#This Row],[5]] &lt;&gt; "", tblSeverityAnalysis[[#This Row],[5]]&gt;=sectors_sev_5), "Flagged", ""), "")</f>
        <v/>
      </c>
      <c r="AH283" s="347" t="str">
        <f>IFERROR(IF(AND(tblSeverityAnalysis[[#This Row],[Severidad preliminar basada en la superposición de privaciones sectoriales]]=5, SUM(tblSeverityAnalysis[[#This Row],[ 1 ]:[ 4 ]])&gt;=sectors_sev_5), "Flagged", ""), "")</f>
        <v/>
      </c>
      <c r="AI283" s="348" t="str" cm="1">
        <f t="array" ref="AI28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8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83" s="350"/>
      <c r="AL283" s="351"/>
      <c r="AM283" s="350"/>
      <c r="AN283" s="407">
        <f>COUNTIF(tblSeverityAnalysis[[#This Row],[1 sectores en fase de severidad 5 '[modificar el umbral']]:[Marcador manual]], "Flagged")</f>
        <v>0</v>
      </c>
      <c r="AO283" s="418">
        <f>tblSeverityAnalysis[[#This Row],[Severidad preliminar basada en la superposición de privaciones sectoriales]]</f>
        <v>2</v>
      </c>
      <c r="AP283" s="417"/>
      <c r="AQ283" s="421" t="s">
        <v>876</v>
      </c>
      <c r="AR283" s="417">
        <v>3</v>
      </c>
    </row>
    <row r="284" spans="1:44" hidden="1">
      <c r="A28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VenezolanosVE2102</v>
      </c>
      <c r="B284" s="363" t="s">
        <v>642</v>
      </c>
      <c r="C284" s="323" t="s">
        <v>643</v>
      </c>
      <c r="D284" s="322" t="s">
        <v>645</v>
      </c>
      <c r="E284" s="323" t="s">
        <v>646</v>
      </c>
      <c r="F284" s="323"/>
      <c r="G284" s="324">
        <v>83176</v>
      </c>
      <c r="H284" s="324" t="s">
        <v>102</v>
      </c>
      <c r="I284" s="374">
        <v>2</v>
      </c>
      <c r="J284" s="237">
        <v>1</v>
      </c>
      <c r="K284" s="237">
        <v>3</v>
      </c>
      <c r="L284" s="237">
        <v>3</v>
      </c>
      <c r="M284" s="237">
        <v>4</v>
      </c>
      <c r="N284" s="237">
        <v>2</v>
      </c>
      <c r="O284" s="237">
        <v>4</v>
      </c>
      <c r="P284" s="237">
        <v>4</v>
      </c>
      <c r="Q284" s="382">
        <f>IF(COUNTIF(tblSeverityAnalysis[[#This Row],[SAMV]:[ASH]], 1)=0, "", COUNTIF(tblSeverityAnalysis[[#This Row],[SAMV]:[ASH]], 1))</f>
        <v>1</v>
      </c>
      <c r="R284" s="325">
        <f>IF(COUNTIF(tblSeverityAnalysis[[#This Row],[SAMV]:[ASH]], 2)=0, "", COUNTIF(tblSeverityAnalysis[[#This Row],[SAMV]:[ASH]], 2))</f>
        <v>2</v>
      </c>
      <c r="S284" s="325">
        <f>IF(COUNTIF(tblSeverityAnalysis[[#This Row],[SAMV]:[ASH]], 3)=0, "", COUNTIF(tblSeverityAnalysis[[#This Row],[SAMV]:[ASH]], 3))</f>
        <v>2</v>
      </c>
      <c r="T284" s="325">
        <f>IF(COUNTIF(tblSeverityAnalysis[[#This Row],[SAMV]:[ASH]], 4)=0, "", COUNTIF(tblSeverityAnalysis[[#This Row],[SAMV]:[ASH]], 4))</f>
        <v>1</v>
      </c>
      <c r="U284" s="383" t="str">
        <f>IF(COUNTIF(tblSeverityAnalysis[[#This Row],[SAMV]:[ASH]], 5)=0, "", COUNTIF(tblSeverityAnalysis[[#This Row],[SAMV]:[ASH]], 5))</f>
        <v/>
      </c>
      <c r="V284" s="375" cm="1">
        <f t="array" ref="V28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8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84" s="237" t="str">
        <f>IFERROR(IF(INDEX(tblSeverityReference[Severidad de la desnutrición],MATCH(tblSeverityAnalysis[[#This Row],[ID]], tblSeverityReference[ID], 0))= "", "",INDEX(tblSeverityReference[Severidad de la desnutrición],MATCH(tblSeverityAnalysis[[#This Row],[ID]], tblSeverityReference[ID], 0)) ), "")</f>
        <v/>
      </c>
      <c r="Y284" s="349" t="str">
        <f>IFERROR(IF(INDEX(tblSeverityReference[Severidad epidémica],MATCH(tblSeverityAnalysis[[#This Row],[ID]], tblSeverityReference[ID], 0))= "", "",INDEX(tblSeverityReference[Severidad epidémica],MATCH(tblSeverityAnalysis[[#This Row],[ID]], tblSeverityReference[ID], 0)) ), "")</f>
        <v/>
      </c>
      <c r="Z28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84" s="391" t="str">
        <f>IFERROR(IF(INDEX(tblSeverityReference[HR/IHL Violation],MATCH(tblSeverityAnalysis[[#This Row],[ID]], tblSeverityReference[ID], 0))= "", "",INDEX(tblSeverityReference[HR/IHL Violation],MATCH(tblSeverityAnalysis[[#This Row],[ID]], tblSeverityReference[ID], 0)) ), "")</f>
        <v/>
      </c>
      <c r="AB284" s="397">
        <f>IFERROR(AVERAGE(tblSeverityAnalysis[[#This Row],[SAMV]:[ASH]]), "")</f>
        <v>2.5</v>
      </c>
      <c r="AC284" s="346">
        <f>IF(SUM(tblSeverityAnalysis[[#This Row],[SAMV]:[ASH]])=0, "", MAX(tblSeverityAnalysis[[#This Row],[SAMV]:[ASH]]))</f>
        <v>4</v>
      </c>
      <c r="AD284" s="261" t="str" cm="1">
        <f t="array" ref="AD284">IFERROR(IF(tblSeverityAnalysis[[#This Row],[Severidad máxima]]="", "", _xlfn.TEXTJOIN(CHAR(10), TRUE, IF(tblSeverityAnalysis[[#This Row],[SAMV]:[ASH]]=tblSeverityAnalysis[[#This Row],[Severidad máxima]], tblSeverityAnalysis[[#Headers],[SAMV]:[ASH]], ""), "")), "")</f>
        <v>PRO</v>
      </c>
      <c r="AE284" s="346" cm="1">
        <f t="array" ref="AE284">IFERROR(MAX(_xlfn._xlws.FILTER(tblSeverityAnalysis[[#This Row],[SAMV]:[ASH]], tblSeverityAnalysis[[#This Row],[SAMV]:[ASH]]&lt;tblSeverityAnalysis[[#This Row],[Severidad máxima]])), "")</f>
        <v>3</v>
      </c>
      <c r="AF284" s="398" t="str" cm="1">
        <f t="array" ref="AF284">IFERROR(IF(tblSeverityAnalysis[[#This Row],[2ª mayor severidad]]="", "", _xlfn.TEXTJOIN(CHAR(10), TRUE, IF(tblSeverityAnalysis[[#This Row],[SAMV]:[ASH]]=tblSeverityAnalysis[[#This Row],[2ª mayor severidad]], tblSeverityAnalysis[[#Headers],[SAMV]:[ASH]], ""), "")), "")</f>
        <v>SAL
EDU</v>
      </c>
      <c r="AG284" s="405" t="str">
        <f>IFERROR(IF(AND(tblSeverityAnalysis[[#This Row],[5]] &lt;&gt; "", tblSeverityAnalysis[[#This Row],[5]]&gt;=sectors_sev_5), "Flagged", ""), "")</f>
        <v/>
      </c>
      <c r="AH284" s="347" t="str">
        <f>IFERROR(IF(AND(tblSeverityAnalysis[[#This Row],[Severidad preliminar basada en la superposición de privaciones sectoriales]]=5, SUM(tblSeverityAnalysis[[#This Row],[ 1 ]:[ 4 ]])&gt;=sectors_sev_5), "Flagged", ""), "")</f>
        <v/>
      </c>
      <c r="AI284" s="348" t="str" cm="1">
        <f t="array" ref="AI28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8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84" s="350"/>
      <c r="AL284" s="351"/>
      <c r="AM284" s="350"/>
      <c r="AN284" s="407">
        <f>COUNTIF(tblSeverityAnalysis[[#This Row],[1 sectores en fase de severidad 5 '[modificar el umbral']]:[Marcador manual]], "Flagged")</f>
        <v>0</v>
      </c>
      <c r="AO284" s="418">
        <f>tblSeverityAnalysis[[#This Row],[Severidad preliminar basada en la superposición de privaciones sectoriales]]</f>
        <v>2</v>
      </c>
      <c r="AP284" s="417"/>
      <c r="AQ284" s="421" t="s">
        <v>876</v>
      </c>
      <c r="AR284" s="417">
        <v>3</v>
      </c>
    </row>
    <row r="285" spans="1:44" hidden="1">
      <c r="A28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VenezolanosVE2103</v>
      </c>
      <c r="B285" s="363" t="s">
        <v>642</v>
      </c>
      <c r="C285" s="323" t="s">
        <v>643</v>
      </c>
      <c r="D285" s="322" t="s">
        <v>180</v>
      </c>
      <c r="E285" s="323" t="s">
        <v>647</v>
      </c>
      <c r="F285" s="323"/>
      <c r="G285" s="324">
        <v>15285</v>
      </c>
      <c r="H285" s="324" t="s">
        <v>102</v>
      </c>
      <c r="I285" s="374">
        <v>3</v>
      </c>
      <c r="J285" s="237">
        <v>1</v>
      </c>
      <c r="K285" s="237">
        <v>3</v>
      </c>
      <c r="L285" s="237">
        <v>3</v>
      </c>
      <c r="M285" s="237">
        <v>2</v>
      </c>
      <c r="N285" s="237">
        <v>3</v>
      </c>
      <c r="O285" s="237">
        <v>2</v>
      </c>
      <c r="P285" s="237">
        <v>2</v>
      </c>
      <c r="Q285" s="382">
        <f>IF(COUNTIF(tblSeverityAnalysis[[#This Row],[SAMV]:[ASH]], 1)=0, "", COUNTIF(tblSeverityAnalysis[[#This Row],[SAMV]:[ASH]], 1))</f>
        <v>1</v>
      </c>
      <c r="R285" s="325">
        <f>IF(COUNTIF(tblSeverityAnalysis[[#This Row],[SAMV]:[ASH]], 2)=0, "", COUNTIF(tblSeverityAnalysis[[#This Row],[SAMV]:[ASH]], 2))</f>
        <v>1</v>
      </c>
      <c r="S285" s="325">
        <f>IF(COUNTIF(tblSeverityAnalysis[[#This Row],[SAMV]:[ASH]], 3)=0, "", COUNTIF(tblSeverityAnalysis[[#This Row],[SAMV]:[ASH]], 3))</f>
        <v>4</v>
      </c>
      <c r="T285" s="325" t="str">
        <f>IF(COUNTIF(tblSeverityAnalysis[[#This Row],[SAMV]:[ASH]], 4)=0, "", COUNTIF(tblSeverityAnalysis[[#This Row],[SAMV]:[ASH]], 4))</f>
        <v/>
      </c>
      <c r="U285" s="383" t="str">
        <f>IF(COUNTIF(tblSeverityAnalysis[[#This Row],[SAMV]:[ASH]], 5)=0, "", COUNTIF(tblSeverityAnalysis[[#This Row],[SAMV]:[ASH]], 5))</f>
        <v/>
      </c>
      <c r="V285" s="375" cm="1">
        <f t="array" ref="V28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8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85" s="237" t="str">
        <f>IFERROR(IF(INDEX(tblSeverityReference[Severidad de la desnutrición],MATCH(tblSeverityAnalysis[[#This Row],[ID]], tblSeverityReference[ID], 0))= "", "",INDEX(tblSeverityReference[Severidad de la desnutrición],MATCH(tblSeverityAnalysis[[#This Row],[ID]], tblSeverityReference[ID], 0)) ), "")</f>
        <v/>
      </c>
      <c r="Y285" s="349" t="str">
        <f>IFERROR(IF(INDEX(tblSeverityReference[Severidad epidémica],MATCH(tblSeverityAnalysis[[#This Row],[ID]], tblSeverityReference[ID], 0))= "", "",INDEX(tblSeverityReference[Severidad epidémica],MATCH(tblSeverityAnalysis[[#This Row],[ID]], tblSeverityReference[ID], 0)) ), "")</f>
        <v/>
      </c>
      <c r="Z28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85" s="391" t="str">
        <f>IFERROR(IF(INDEX(tblSeverityReference[HR/IHL Violation],MATCH(tblSeverityAnalysis[[#This Row],[ID]], tblSeverityReference[ID], 0))= "", "",INDEX(tblSeverityReference[HR/IHL Violation],MATCH(tblSeverityAnalysis[[#This Row],[ID]], tblSeverityReference[ID], 0)) ), "")</f>
        <v/>
      </c>
      <c r="AB285" s="397">
        <f>IFERROR(AVERAGE(tblSeverityAnalysis[[#This Row],[SAMV]:[ASH]]), "")</f>
        <v>2.5</v>
      </c>
      <c r="AC285" s="346">
        <f>IF(SUM(tblSeverityAnalysis[[#This Row],[SAMV]:[ASH]])=0, "", MAX(tblSeverityAnalysis[[#This Row],[SAMV]:[ASH]]))</f>
        <v>3</v>
      </c>
      <c r="AD285" s="261" t="str" cm="1">
        <f t="array" ref="AD285">IFERROR(IF(tblSeverityAnalysis[[#This Row],[Severidad máxima]]="", "", _xlfn.TEXTJOIN(CHAR(10), TRUE, IF(tblSeverityAnalysis[[#This Row],[SAMV]:[ASH]]=tblSeverityAnalysis[[#This Row],[Severidad máxima]], tblSeverityAnalysis[[#Headers],[SAMV]:[ASH]], ""), "")), "")</f>
        <v>SAMV
SAL
EDU
ASH</v>
      </c>
      <c r="AE285" s="346" cm="1">
        <f t="array" ref="AE285">IFERROR(MAX(_xlfn._xlws.FILTER(tblSeverityAnalysis[[#This Row],[SAMV]:[ASH]], tblSeverityAnalysis[[#This Row],[SAMV]:[ASH]]&lt;tblSeverityAnalysis[[#This Row],[Severidad máxima]])), "")</f>
        <v>2</v>
      </c>
      <c r="AF285" s="398" t="str" cm="1">
        <f t="array" ref="AF285">IFERROR(IF(tblSeverityAnalysis[[#This Row],[2ª mayor severidad]]="", "", _xlfn.TEXTJOIN(CHAR(10), TRUE, IF(tblSeverityAnalysis[[#This Row],[SAMV]:[ASH]]=tblSeverityAnalysis[[#This Row],[2ª mayor severidad]], tblSeverityAnalysis[[#Headers],[SAMV]:[ASH]], ""), "")), "")</f>
        <v>PRO</v>
      </c>
      <c r="AG285" s="405" t="str">
        <f>IFERROR(IF(AND(tblSeverityAnalysis[[#This Row],[5]] &lt;&gt; "", tblSeverityAnalysis[[#This Row],[5]]&gt;=sectors_sev_5), "Flagged", ""), "")</f>
        <v/>
      </c>
      <c r="AH285" s="347" t="str">
        <f>IFERROR(IF(AND(tblSeverityAnalysis[[#This Row],[Severidad preliminar basada en la superposición de privaciones sectoriales]]=5, SUM(tblSeverityAnalysis[[#This Row],[ 1 ]:[ 4 ]])&gt;=sectors_sev_5), "Flagged", ""), "")</f>
        <v/>
      </c>
      <c r="AI285" s="348" t="str" cm="1">
        <f t="array" ref="AI28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8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85" s="350"/>
      <c r="AL285" s="351"/>
      <c r="AM285" s="350"/>
      <c r="AN285" s="407">
        <f>COUNTIF(tblSeverityAnalysis[[#This Row],[1 sectores en fase de severidad 5 '[modificar el umbral']]:[Marcador manual]], "Flagged")</f>
        <v>0</v>
      </c>
      <c r="AO285" s="418">
        <f>tblSeverityAnalysis[[#This Row],[Severidad preliminar basada en la superposición de privaciones sectoriales]]</f>
        <v>3</v>
      </c>
      <c r="AP285" s="417"/>
      <c r="AQ285" s="421" t="s">
        <v>876</v>
      </c>
      <c r="AR285" s="417">
        <v>3</v>
      </c>
    </row>
    <row r="286" spans="1:44" hidden="1">
      <c r="A28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VenezolanosVE2104</v>
      </c>
      <c r="B286" s="363" t="s">
        <v>642</v>
      </c>
      <c r="C286" s="323" t="s">
        <v>643</v>
      </c>
      <c r="D286" s="322" t="s">
        <v>648</v>
      </c>
      <c r="E286" s="323" t="s">
        <v>649</v>
      </c>
      <c r="F286" s="323"/>
      <c r="G286" s="324">
        <v>27811</v>
      </c>
      <c r="H286" s="324" t="s">
        <v>102</v>
      </c>
      <c r="I286" s="374">
        <v>2</v>
      </c>
      <c r="J286" s="237">
        <v>1</v>
      </c>
      <c r="K286" s="237">
        <v>3</v>
      </c>
      <c r="L286" s="237">
        <v>3</v>
      </c>
      <c r="M286" s="237">
        <v>2</v>
      </c>
      <c r="N286" s="237">
        <v>1</v>
      </c>
      <c r="O286" s="237">
        <v>2</v>
      </c>
      <c r="P286" s="237">
        <v>2</v>
      </c>
      <c r="Q286" s="382">
        <f>IF(COUNTIF(tblSeverityAnalysis[[#This Row],[SAMV]:[ASH]], 1)=0, "", COUNTIF(tblSeverityAnalysis[[#This Row],[SAMV]:[ASH]], 1))</f>
        <v>2</v>
      </c>
      <c r="R286" s="325">
        <f>IF(COUNTIF(tblSeverityAnalysis[[#This Row],[SAMV]:[ASH]], 2)=0, "", COUNTIF(tblSeverityAnalysis[[#This Row],[SAMV]:[ASH]], 2))</f>
        <v>2</v>
      </c>
      <c r="S286" s="325">
        <f>IF(COUNTIF(tblSeverityAnalysis[[#This Row],[SAMV]:[ASH]], 3)=0, "", COUNTIF(tblSeverityAnalysis[[#This Row],[SAMV]:[ASH]], 3))</f>
        <v>2</v>
      </c>
      <c r="T286" s="325" t="str">
        <f>IF(COUNTIF(tblSeverityAnalysis[[#This Row],[SAMV]:[ASH]], 4)=0, "", COUNTIF(tblSeverityAnalysis[[#This Row],[SAMV]:[ASH]], 4))</f>
        <v/>
      </c>
      <c r="U286" s="383" t="str">
        <f>IF(COUNTIF(tblSeverityAnalysis[[#This Row],[SAMV]:[ASH]], 5)=0, "", COUNTIF(tblSeverityAnalysis[[#This Row],[SAMV]:[ASH]], 5))</f>
        <v/>
      </c>
      <c r="V286" s="375" cm="1">
        <f t="array" ref="V28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8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86" s="237" t="str">
        <f>IFERROR(IF(INDEX(tblSeverityReference[Severidad de la desnutrición],MATCH(tblSeverityAnalysis[[#This Row],[ID]], tblSeverityReference[ID], 0))= "", "",INDEX(tblSeverityReference[Severidad de la desnutrición],MATCH(tblSeverityAnalysis[[#This Row],[ID]], tblSeverityReference[ID], 0)) ), "")</f>
        <v/>
      </c>
      <c r="Y286" s="349" t="str">
        <f>IFERROR(IF(INDEX(tblSeverityReference[Severidad epidémica],MATCH(tblSeverityAnalysis[[#This Row],[ID]], tblSeverityReference[ID], 0))= "", "",INDEX(tblSeverityReference[Severidad epidémica],MATCH(tblSeverityAnalysis[[#This Row],[ID]], tblSeverityReference[ID], 0)) ), "")</f>
        <v/>
      </c>
      <c r="Z28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86" s="391" t="str">
        <f>IFERROR(IF(INDEX(tblSeverityReference[HR/IHL Violation],MATCH(tblSeverityAnalysis[[#This Row],[ID]], tblSeverityReference[ID], 0))= "", "",INDEX(tblSeverityReference[HR/IHL Violation],MATCH(tblSeverityAnalysis[[#This Row],[ID]], tblSeverityReference[ID], 0)) ), "")</f>
        <v/>
      </c>
      <c r="AB286" s="397">
        <f>IFERROR(AVERAGE(tblSeverityAnalysis[[#This Row],[SAMV]:[ASH]]), "")</f>
        <v>2</v>
      </c>
      <c r="AC286" s="346">
        <f>IF(SUM(tblSeverityAnalysis[[#This Row],[SAMV]:[ASH]])=0, "", MAX(tblSeverityAnalysis[[#This Row],[SAMV]:[ASH]]))</f>
        <v>3</v>
      </c>
      <c r="AD286" s="261" t="str" cm="1">
        <f t="array" ref="AD286">IFERROR(IF(tblSeverityAnalysis[[#This Row],[Severidad máxima]]="", "", _xlfn.TEXTJOIN(CHAR(10), TRUE, IF(tblSeverityAnalysis[[#This Row],[SAMV]:[ASH]]=tblSeverityAnalysis[[#This Row],[Severidad máxima]], tblSeverityAnalysis[[#Headers],[SAMV]:[ASH]], ""), "")), "")</f>
        <v>SAL
EDU</v>
      </c>
      <c r="AE286" s="346" cm="1">
        <f t="array" ref="AE286">IFERROR(MAX(_xlfn._xlws.FILTER(tblSeverityAnalysis[[#This Row],[SAMV]:[ASH]], tblSeverityAnalysis[[#This Row],[SAMV]:[ASH]]&lt;tblSeverityAnalysis[[#This Row],[Severidad máxima]])), "")</f>
        <v>2</v>
      </c>
      <c r="AF286" s="398" t="str" cm="1">
        <f t="array" ref="AF286">IFERROR(IF(tblSeverityAnalysis[[#This Row],[2ª mayor severidad]]="", "", _xlfn.TEXTJOIN(CHAR(10), TRUE, IF(tblSeverityAnalysis[[#This Row],[SAMV]:[ASH]]=tblSeverityAnalysis[[#This Row],[2ª mayor severidad]], tblSeverityAnalysis[[#Headers],[SAMV]:[ASH]], ""), "")), "")</f>
        <v>SAMV
PRO</v>
      </c>
      <c r="AG286" s="405" t="str">
        <f>IFERROR(IF(AND(tblSeverityAnalysis[[#This Row],[5]] &lt;&gt; "", tblSeverityAnalysis[[#This Row],[5]]&gt;=sectors_sev_5), "Flagged", ""), "")</f>
        <v/>
      </c>
      <c r="AH286" s="347" t="str">
        <f>IFERROR(IF(AND(tblSeverityAnalysis[[#This Row],[Severidad preliminar basada en la superposición de privaciones sectoriales]]=5, SUM(tblSeverityAnalysis[[#This Row],[ 1 ]:[ 4 ]])&gt;=sectors_sev_5), "Flagged", ""), "")</f>
        <v/>
      </c>
      <c r="AI286" s="348" t="str" cm="1">
        <f t="array" ref="AI28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8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86" s="350"/>
      <c r="AL286" s="351"/>
      <c r="AM286" s="350"/>
      <c r="AN286" s="407">
        <f>COUNTIF(tblSeverityAnalysis[[#This Row],[1 sectores en fase de severidad 5 '[modificar el umbral']]:[Marcador manual]], "Flagged")</f>
        <v>0</v>
      </c>
      <c r="AO286" s="418">
        <f>tblSeverityAnalysis[[#This Row],[Severidad preliminar basada en la superposición de privaciones sectoriales]]</f>
        <v>2</v>
      </c>
      <c r="AP286" s="417"/>
      <c r="AQ286" s="421" t="s">
        <v>876</v>
      </c>
      <c r="AR286" s="417">
        <v>3</v>
      </c>
    </row>
    <row r="287" spans="1:44" hidden="1">
      <c r="A28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VenezolanosVE2105</v>
      </c>
      <c r="B287" s="363" t="s">
        <v>642</v>
      </c>
      <c r="C287" s="323" t="s">
        <v>643</v>
      </c>
      <c r="D287" s="322" t="s">
        <v>650</v>
      </c>
      <c r="E287" s="323" t="s">
        <v>651</v>
      </c>
      <c r="F287" s="323"/>
      <c r="G287" s="324">
        <v>27358</v>
      </c>
      <c r="H287" s="324" t="s">
        <v>102</v>
      </c>
      <c r="I287" s="374">
        <v>3</v>
      </c>
      <c r="J287" s="237">
        <v>1</v>
      </c>
      <c r="K287" s="237">
        <v>3</v>
      </c>
      <c r="L287" s="237">
        <v>3</v>
      </c>
      <c r="M287" s="237">
        <v>4</v>
      </c>
      <c r="N287" s="237">
        <v>2</v>
      </c>
      <c r="O287" s="237">
        <v>4</v>
      </c>
      <c r="P287" s="237">
        <v>4</v>
      </c>
      <c r="Q287" s="382">
        <f>IF(COUNTIF(tblSeverityAnalysis[[#This Row],[SAMV]:[ASH]], 1)=0, "", COUNTIF(tblSeverityAnalysis[[#This Row],[SAMV]:[ASH]], 1))</f>
        <v>1</v>
      </c>
      <c r="R287" s="325">
        <f>IF(COUNTIF(tblSeverityAnalysis[[#This Row],[SAMV]:[ASH]], 2)=0, "", COUNTIF(tblSeverityAnalysis[[#This Row],[SAMV]:[ASH]], 2))</f>
        <v>1</v>
      </c>
      <c r="S287" s="325">
        <f>IF(COUNTIF(tblSeverityAnalysis[[#This Row],[SAMV]:[ASH]], 3)=0, "", COUNTIF(tblSeverityAnalysis[[#This Row],[SAMV]:[ASH]], 3))</f>
        <v>3</v>
      </c>
      <c r="T287" s="325">
        <f>IF(COUNTIF(tblSeverityAnalysis[[#This Row],[SAMV]:[ASH]], 4)=0, "", COUNTIF(tblSeverityAnalysis[[#This Row],[SAMV]:[ASH]], 4))</f>
        <v>1</v>
      </c>
      <c r="U287" s="383" t="str">
        <f>IF(COUNTIF(tblSeverityAnalysis[[#This Row],[SAMV]:[ASH]], 5)=0, "", COUNTIF(tblSeverityAnalysis[[#This Row],[SAMV]:[ASH]], 5))</f>
        <v/>
      </c>
      <c r="V287" s="375" cm="1">
        <f t="array" ref="V28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8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87" s="237" t="str">
        <f>IFERROR(IF(INDEX(tblSeverityReference[Severidad de la desnutrición],MATCH(tblSeverityAnalysis[[#This Row],[ID]], tblSeverityReference[ID], 0))= "", "",INDEX(tblSeverityReference[Severidad de la desnutrición],MATCH(tblSeverityAnalysis[[#This Row],[ID]], tblSeverityReference[ID], 0)) ), "")</f>
        <v/>
      </c>
      <c r="Y287" s="349" t="str">
        <f>IFERROR(IF(INDEX(tblSeverityReference[Severidad epidémica],MATCH(tblSeverityAnalysis[[#This Row],[ID]], tblSeverityReference[ID], 0))= "", "",INDEX(tblSeverityReference[Severidad epidémica],MATCH(tblSeverityAnalysis[[#This Row],[ID]], tblSeverityReference[ID], 0)) ), "")</f>
        <v/>
      </c>
      <c r="Z28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87" s="391" t="str">
        <f>IFERROR(IF(INDEX(tblSeverityReference[HR/IHL Violation],MATCH(tblSeverityAnalysis[[#This Row],[ID]], tblSeverityReference[ID], 0))= "", "",INDEX(tblSeverityReference[HR/IHL Violation],MATCH(tblSeverityAnalysis[[#This Row],[ID]], tblSeverityReference[ID], 0)) ), "")</f>
        <v/>
      </c>
      <c r="AB287" s="397">
        <f>IFERROR(AVERAGE(tblSeverityAnalysis[[#This Row],[SAMV]:[ASH]]), "")</f>
        <v>2.6666666666666665</v>
      </c>
      <c r="AC287" s="346">
        <f>IF(SUM(tblSeverityAnalysis[[#This Row],[SAMV]:[ASH]])=0, "", MAX(tblSeverityAnalysis[[#This Row],[SAMV]:[ASH]]))</f>
        <v>4</v>
      </c>
      <c r="AD287" s="261" t="str" cm="1">
        <f t="array" ref="AD287">IFERROR(IF(tblSeverityAnalysis[[#This Row],[Severidad máxima]]="", "", _xlfn.TEXTJOIN(CHAR(10), TRUE, IF(tblSeverityAnalysis[[#This Row],[SAMV]:[ASH]]=tblSeverityAnalysis[[#This Row],[Severidad máxima]], tblSeverityAnalysis[[#Headers],[SAMV]:[ASH]], ""), "")), "")</f>
        <v>PRO</v>
      </c>
      <c r="AE287" s="346" cm="1">
        <f t="array" ref="AE287">IFERROR(MAX(_xlfn._xlws.FILTER(tblSeverityAnalysis[[#This Row],[SAMV]:[ASH]], tblSeverityAnalysis[[#This Row],[SAMV]:[ASH]]&lt;tblSeverityAnalysis[[#This Row],[Severidad máxima]])), "")</f>
        <v>3</v>
      </c>
      <c r="AF287" s="398" t="str" cm="1">
        <f t="array" ref="AF287">IFERROR(IF(tblSeverityAnalysis[[#This Row],[2ª mayor severidad]]="", "", _xlfn.TEXTJOIN(CHAR(10), TRUE, IF(tblSeverityAnalysis[[#This Row],[SAMV]:[ASH]]=tblSeverityAnalysis[[#This Row],[2ª mayor severidad]], tblSeverityAnalysis[[#Headers],[SAMV]:[ASH]], ""), "")), "")</f>
        <v>SAMV
SAL
EDU</v>
      </c>
      <c r="AG287" s="405" t="str">
        <f>IFERROR(IF(AND(tblSeverityAnalysis[[#This Row],[5]] &lt;&gt; "", tblSeverityAnalysis[[#This Row],[5]]&gt;=sectors_sev_5), "Flagged", ""), "")</f>
        <v/>
      </c>
      <c r="AH287" s="347" t="str">
        <f>IFERROR(IF(AND(tblSeverityAnalysis[[#This Row],[Severidad preliminar basada en la superposición de privaciones sectoriales]]=5, SUM(tblSeverityAnalysis[[#This Row],[ 1 ]:[ 4 ]])&gt;=sectors_sev_5), "Flagged", ""), "")</f>
        <v/>
      </c>
      <c r="AI287" s="348" t="str" cm="1">
        <f t="array" ref="AI28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8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87" s="350"/>
      <c r="AL287" s="351"/>
      <c r="AM287" s="350"/>
      <c r="AN287" s="407">
        <f>COUNTIF(tblSeverityAnalysis[[#This Row],[1 sectores en fase de severidad 5 '[modificar el umbral']]:[Marcador manual]], "Flagged")</f>
        <v>0</v>
      </c>
      <c r="AO287" s="418">
        <f>tblSeverityAnalysis[[#This Row],[Severidad preliminar basada en la superposición de privaciones sectoriales]]</f>
        <v>3</v>
      </c>
      <c r="AP287" s="417"/>
      <c r="AQ287" s="421" t="s">
        <v>876</v>
      </c>
      <c r="AR287" s="417">
        <v>3</v>
      </c>
    </row>
    <row r="288" spans="1:44" hidden="1">
      <c r="A28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VenezolanosVE2106</v>
      </c>
      <c r="B288" s="363" t="s">
        <v>642</v>
      </c>
      <c r="C288" s="323" t="s">
        <v>643</v>
      </c>
      <c r="D288" s="322" t="s">
        <v>652</v>
      </c>
      <c r="E288" s="323" t="s">
        <v>653</v>
      </c>
      <c r="F288" s="323"/>
      <c r="G288" s="324">
        <v>27128</v>
      </c>
      <c r="H288" s="324" t="s">
        <v>102</v>
      </c>
      <c r="I288" s="374">
        <v>3</v>
      </c>
      <c r="J288" s="237">
        <v>1</v>
      </c>
      <c r="K288" s="237">
        <v>3</v>
      </c>
      <c r="L288" s="237">
        <v>3</v>
      </c>
      <c r="M288" s="237">
        <v>4</v>
      </c>
      <c r="N288" s="237">
        <v>2</v>
      </c>
      <c r="O288" s="237">
        <v>4</v>
      </c>
      <c r="P288" s="237">
        <v>4</v>
      </c>
      <c r="Q288" s="382">
        <f>IF(COUNTIF(tblSeverityAnalysis[[#This Row],[SAMV]:[ASH]], 1)=0, "", COUNTIF(tblSeverityAnalysis[[#This Row],[SAMV]:[ASH]], 1))</f>
        <v>1</v>
      </c>
      <c r="R288" s="325">
        <f>IF(COUNTIF(tblSeverityAnalysis[[#This Row],[SAMV]:[ASH]], 2)=0, "", COUNTIF(tblSeverityAnalysis[[#This Row],[SAMV]:[ASH]], 2))</f>
        <v>1</v>
      </c>
      <c r="S288" s="325">
        <f>IF(COUNTIF(tblSeverityAnalysis[[#This Row],[SAMV]:[ASH]], 3)=0, "", COUNTIF(tblSeverityAnalysis[[#This Row],[SAMV]:[ASH]], 3))</f>
        <v>3</v>
      </c>
      <c r="T288" s="325">
        <f>IF(COUNTIF(tblSeverityAnalysis[[#This Row],[SAMV]:[ASH]], 4)=0, "", COUNTIF(tblSeverityAnalysis[[#This Row],[SAMV]:[ASH]], 4))</f>
        <v>1</v>
      </c>
      <c r="U288" s="383" t="str">
        <f>IF(COUNTIF(tblSeverityAnalysis[[#This Row],[SAMV]:[ASH]], 5)=0, "", COUNTIF(tblSeverityAnalysis[[#This Row],[SAMV]:[ASH]], 5))</f>
        <v/>
      </c>
      <c r="V288" s="375" cm="1">
        <f t="array" ref="V28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8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88" s="237" t="str">
        <f>IFERROR(IF(INDEX(tblSeverityReference[Severidad de la desnutrición],MATCH(tblSeverityAnalysis[[#This Row],[ID]], tblSeverityReference[ID], 0))= "", "",INDEX(tblSeverityReference[Severidad de la desnutrición],MATCH(tblSeverityAnalysis[[#This Row],[ID]], tblSeverityReference[ID], 0)) ), "")</f>
        <v/>
      </c>
      <c r="Y288" s="349" t="str">
        <f>IFERROR(IF(INDEX(tblSeverityReference[Severidad epidémica],MATCH(tblSeverityAnalysis[[#This Row],[ID]], tblSeverityReference[ID], 0))= "", "",INDEX(tblSeverityReference[Severidad epidémica],MATCH(tblSeverityAnalysis[[#This Row],[ID]], tblSeverityReference[ID], 0)) ), "")</f>
        <v/>
      </c>
      <c r="Z28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88" s="391" t="str">
        <f>IFERROR(IF(INDEX(tblSeverityReference[HR/IHL Violation],MATCH(tblSeverityAnalysis[[#This Row],[ID]], tblSeverityReference[ID], 0))= "", "",INDEX(tblSeverityReference[HR/IHL Violation],MATCH(tblSeverityAnalysis[[#This Row],[ID]], tblSeverityReference[ID], 0)) ), "")</f>
        <v/>
      </c>
      <c r="AB288" s="397">
        <f>IFERROR(AVERAGE(tblSeverityAnalysis[[#This Row],[SAMV]:[ASH]]), "")</f>
        <v>2.6666666666666665</v>
      </c>
      <c r="AC288" s="346">
        <f>IF(SUM(tblSeverityAnalysis[[#This Row],[SAMV]:[ASH]])=0, "", MAX(tblSeverityAnalysis[[#This Row],[SAMV]:[ASH]]))</f>
        <v>4</v>
      </c>
      <c r="AD288" s="261" t="str" cm="1">
        <f t="array" ref="AD288">IFERROR(IF(tblSeverityAnalysis[[#This Row],[Severidad máxima]]="", "", _xlfn.TEXTJOIN(CHAR(10), TRUE, IF(tblSeverityAnalysis[[#This Row],[SAMV]:[ASH]]=tblSeverityAnalysis[[#This Row],[Severidad máxima]], tblSeverityAnalysis[[#Headers],[SAMV]:[ASH]], ""), "")), "")</f>
        <v>PRO</v>
      </c>
      <c r="AE288" s="346" cm="1">
        <f t="array" ref="AE288">IFERROR(MAX(_xlfn._xlws.FILTER(tblSeverityAnalysis[[#This Row],[SAMV]:[ASH]], tblSeverityAnalysis[[#This Row],[SAMV]:[ASH]]&lt;tblSeverityAnalysis[[#This Row],[Severidad máxima]])), "")</f>
        <v>3</v>
      </c>
      <c r="AF288" s="398" t="str" cm="1">
        <f t="array" ref="AF288">IFERROR(IF(tblSeverityAnalysis[[#This Row],[2ª mayor severidad]]="", "", _xlfn.TEXTJOIN(CHAR(10), TRUE, IF(tblSeverityAnalysis[[#This Row],[SAMV]:[ASH]]=tblSeverityAnalysis[[#This Row],[2ª mayor severidad]], tblSeverityAnalysis[[#Headers],[SAMV]:[ASH]], ""), "")), "")</f>
        <v>SAMV
SAL
EDU</v>
      </c>
      <c r="AG288" s="405" t="str">
        <f>IFERROR(IF(AND(tblSeverityAnalysis[[#This Row],[5]] &lt;&gt; "", tblSeverityAnalysis[[#This Row],[5]]&gt;=sectors_sev_5), "Flagged", ""), "")</f>
        <v/>
      </c>
      <c r="AH288" s="347" t="str">
        <f>IFERROR(IF(AND(tblSeverityAnalysis[[#This Row],[Severidad preliminar basada en la superposición de privaciones sectoriales]]=5, SUM(tblSeverityAnalysis[[#This Row],[ 1 ]:[ 4 ]])&gt;=sectors_sev_5), "Flagged", ""), "")</f>
        <v/>
      </c>
      <c r="AI288" s="348" t="str" cm="1">
        <f t="array" ref="AI28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8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88" s="350"/>
      <c r="AL288" s="351"/>
      <c r="AM288" s="350"/>
      <c r="AN288" s="407">
        <f>COUNTIF(tblSeverityAnalysis[[#This Row],[1 sectores en fase de severidad 5 '[modificar el umbral']]:[Marcador manual]], "Flagged")</f>
        <v>0</v>
      </c>
      <c r="AO288" s="418">
        <f>tblSeverityAnalysis[[#This Row],[Severidad preliminar basada en la superposición de privaciones sectoriales]]</f>
        <v>3</v>
      </c>
      <c r="AP288" s="417"/>
      <c r="AQ288" s="421" t="s">
        <v>876</v>
      </c>
      <c r="AR288" s="417">
        <v>3</v>
      </c>
    </row>
    <row r="289" spans="1:44" hidden="1">
      <c r="A28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VenezolanosVE2107</v>
      </c>
      <c r="B289" s="363" t="s">
        <v>642</v>
      </c>
      <c r="C289" s="323" t="s">
        <v>643</v>
      </c>
      <c r="D289" s="322" t="s">
        <v>654</v>
      </c>
      <c r="E289" s="323" t="s">
        <v>655</v>
      </c>
      <c r="F289" s="323"/>
      <c r="G289" s="324">
        <v>4551</v>
      </c>
      <c r="H289" s="324" t="s">
        <v>102</v>
      </c>
      <c r="I289" s="374">
        <v>2</v>
      </c>
      <c r="J289" s="237">
        <v>1</v>
      </c>
      <c r="K289" s="237">
        <v>3</v>
      </c>
      <c r="L289" s="237">
        <v>3</v>
      </c>
      <c r="M289" s="237">
        <v>2</v>
      </c>
      <c r="N289" s="237">
        <v>2</v>
      </c>
      <c r="O289" s="237">
        <v>2</v>
      </c>
      <c r="P289" s="237">
        <v>2</v>
      </c>
      <c r="Q289" s="382">
        <f>IF(COUNTIF(tblSeverityAnalysis[[#This Row],[SAMV]:[ASH]], 1)=0, "", COUNTIF(tblSeverityAnalysis[[#This Row],[SAMV]:[ASH]], 1))</f>
        <v>1</v>
      </c>
      <c r="R289" s="325">
        <f>IF(COUNTIF(tblSeverityAnalysis[[#This Row],[SAMV]:[ASH]], 2)=0, "", COUNTIF(tblSeverityAnalysis[[#This Row],[SAMV]:[ASH]], 2))</f>
        <v>3</v>
      </c>
      <c r="S289" s="325">
        <f>IF(COUNTIF(tblSeverityAnalysis[[#This Row],[SAMV]:[ASH]], 3)=0, "", COUNTIF(tblSeverityAnalysis[[#This Row],[SAMV]:[ASH]], 3))</f>
        <v>2</v>
      </c>
      <c r="T289" s="325" t="str">
        <f>IF(COUNTIF(tblSeverityAnalysis[[#This Row],[SAMV]:[ASH]], 4)=0, "", COUNTIF(tblSeverityAnalysis[[#This Row],[SAMV]:[ASH]], 4))</f>
        <v/>
      </c>
      <c r="U289" s="383" t="str">
        <f>IF(COUNTIF(tblSeverityAnalysis[[#This Row],[SAMV]:[ASH]], 5)=0, "", COUNTIF(tblSeverityAnalysis[[#This Row],[SAMV]:[ASH]], 5))</f>
        <v/>
      </c>
      <c r="V289" s="375" cm="1">
        <f t="array" ref="V28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8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89" s="237" t="str">
        <f>IFERROR(IF(INDEX(tblSeverityReference[Severidad de la desnutrición],MATCH(tblSeverityAnalysis[[#This Row],[ID]], tblSeverityReference[ID], 0))= "", "",INDEX(tblSeverityReference[Severidad de la desnutrición],MATCH(tblSeverityAnalysis[[#This Row],[ID]], tblSeverityReference[ID], 0)) ), "")</f>
        <v/>
      </c>
      <c r="Y289" s="349" t="str">
        <f>IFERROR(IF(INDEX(tblSeverityReference[Severidad epidémica],MATCH(tblSeverityAnalysis[[#This Row],[ID]], tblSeverityReference[ID], 0))= "", "",INDEX(tblSeverityReference[Severidad epidémica],MATCH(tblSeverityAnalysis[[#This Row],[ID]], tblSeverityReference[ID], 0)) ), "")</f>
        <v/>
      </c>
      <c r="Z28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89" s="391" t="str">
        <f>IFERROR(IF(INDEX(tblSeverityReference[HR/IHL Violation],MATCH(tblSeverityAnalysis[[#This Row],[ID]], tblSeverityReference[ID], 0))= "", "",INDEX(tblSeverityReference[HR/IHL Violation],MATCH(tblSeverityAnalysis[[#This Row],[ID]], tblSeverityReference[ID], 0)) ), "")</f>
        <v/>
      </c>
      <c r="AB289" s="397">
        <f>IFERROR(AVERAGE(tblSeverityAnalysis[[#This Row],[SAMV]:[ASH]]), "")</f>
        <v>2.1666666666666665</v>
      </c>
      <c r="AC289" s="346">
        <f>IF(SUM(tblSeverityAnalysis[[#This Row],[SAMV]:[ASH]])=0, "", MAX(tblSeverityAnalysis[[#This Row],[SAMV]:[ASH]]))</f>
        <v>3</v>
      </c>
      <c r="AD289" s="261" t="str" cm="1">
        <f t="array" ref="AD289">IFERROR(IF(tblSeverityAnalysis[[#This Row],[Severidad máxima]]="", "", _xlfn.TEXTJOIN(CHAR(10), TRUE, IF(tblSeverityAnalysis[[#This Row],[SAMV]:[ASH]]=tblSeverityAnalysis[[#This Row],[Severidad máxima]], tblSeverityAnalysis[[#Headers],[SAMV]:[ASH]], ""), "")), "")</f>
        <v>SAL
EDU</v>
      </c>
      <c r="AE289" s="346" cm="1">
        <f t="array" ref="AE289">IFERROR(MAX(_xlfn._xlws.FILTER(tblSeverityAnalysis[[#This Row],[SAMV]:[ASH]], tblSeverityAnalysis[[#This Row],[SAMV]:[ASH]]&lt;tblSeverityAnalysis[[#This Row],[Severidad máxima]])), "")</f>
        <v>2</v>
      </c>
      <c r="AF289" s="398" t="str" cm="1">
        <f t="array" ref="AF289">IFERROR(IF(tblSeverityAnalysis[[#This Row],[2ª mayor severidad]]="", "", _xlfn.TEXTJOIN(CHAR(10), TRUE, IF(tblSeverityAnalysis[[#This Row],[SAMV]:[ASH]]=tblSeverityAnalysis[[#This Row],[2ª mayor severidad]], tblSeverityAnalysis[[#Headers],[SAMV]:[ASH]], ""), "")), "")</f>
        <v>SAMV
PRO
ASH</v>
      </c>
      <c r="AG289" s="405" t="str">
        <f>IFERROR(IF(AND(tblSeverityAnalysis[[#This Row],[5]] &lt;&gt; "", tblSeverityAnalysis[[#This Row],[5]]&gt;=sectors_sev_5), "Flagged", ""), "")</f>
        <v/>
      </c>
      <c r="AH289" s="347" t="str">
        <f>IFERROR(IF(AND(tblSeverityAnalysis[[#This Row],[Severidad preliminar basada en la superposición de privaciones sectoriales]]=5, SUM(tblSeverityAnalysis[[#This Row],[ 1 ]:[ 4 ]])&gt;=sectors_sev_5), "Flagged", ""), "")</f>
        <v/>
      </c>
      <c r="AI289" s="348" t="str" cm="1">
        <f t="array" ref="AI28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8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89" s="350"/>
      <c r="AL289" s="351"/>
      <c r="AM289" s="350"/>
      <c r="AN289" s="407">
        <f>COUNTIF(tblSeverityAnalysis[[#This Row],[1 sectores en fase de severidad 5 '[modificar el umbral']]:[Marcador manual]], "Flagged")</f>
        <v>0</v>
      </c>
      <c r="AO289" s="418">
        <f>tblSeverityAnalysis[[#This Row],[Severidad preliminar basada en la superposición de privaciones sectoriales]]</f>
        <v>2</v>
      </c>
      <c r="AP289" s="417"/>
      <c r="AQ289" s="421" t="s">
        <v>876</v>
      </c>
      <c r="AR289" s="417">
        <v>3</v>
      </c>
    </row>
    <row r="290" spans="1:44" hidden="1">
      <c r="A29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VenezolanosVE2108</v>
      </c>
      <c r="B290" s="363" t="s">
        <v>642</v>
      </c>
      <c r="C290" s="323" t="s">
        <v>643</v>
      </c>
      <c r="D290" s="322" t="s">
        <v>656</v>
      </c>
      <c r="E290" s="323" t="s">
        <v>657</v>
      </c>
      <c r="F290" s="323"/>
      <c r="G290" s="324">
        <v>5331</v>
      </c>
      <c r="H290" s="324" t="s">
        <v>102</v>
      </c>
      <c r="I290" s="374">
        <v>2</v>
      </c>
      <c r="J290" s="237">
        <v>1</v>
      </c>
      <c r="K290" s="237">
        <v>3</v>
      </c>
      <c r="L290" s="237">
        <v>3</v>
      </c>
      <c r="M290" s="237">
        <v>2</v>
      </c>
      <c r="N290" s="237">
        <v>1</v>
      </c>
      <c r="O290" s="237">
        <v>2</v>
      </c>
      <c r="P290" s="237">
        <v>2</v>
      </c>
      <c r="Q290" s="382">
        <f>IF(COUNTIF(tblSeverityAnalysis[[#This Row],[SAMV]:[ASH]], 1)=0, "", COUNTIF(tblSeverityAnalysis[[#This Row],[SAMV]:[ASH]], 1))</f>
        <v>2</v>
      </c>
      <c r="R290" s="325">
        <f>IF(COUNTIF(tblSeverityAnalysis[[#This Row],[SAMV]:[ASH]], 2)=0, "", COUNTIF(tblSeverityAnalysis[[#This Row],[SAMV]:[ASH]], 2))</f>
        <v>2</v>
      </c>
      <c r="S290" s="325">
        <f>IF(COUNTIF(tblSeverityAnalysis[[#This Row],[SAMV]:[ASH]], 3)=0, "", COUNTIF(tblSeverityAnalysis[[#This Row],[SAMV]:[ASH]], 3))</f>
        <v>2</v>
      </c>
      <c r="T290" s="325" t="str">
        <f>IF(COUNTIF(tblSeverityAnalysis[[#This Row],[SAMV]:[ASH]], 4)=0, "", COUNTIF(tblSeverityAnalysis[[#This Row],[SAMV]:[ASH]], 4))</f>
        <v/>
      </c>
      <c r="U290" s="383" t="str">
        <f>IF(COUNTIF(tblSeverityAnalysis[[#This Row],[SAMV]:[ASH]], 5)=0, "", COUNTIF(tblSeverityAnalysis[[#This Row],[SAMV]:[ASH]], 5))</f>
        <v/>
      </c>
      <c r="V290" s="375" cm="1">
        <f t="array" ref="V29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9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90" s="237" t="str">
        <f>IFERROR(IF(INDEX(tblSeverityReference[Severidad de la desnutrición],MATCH(tblSeverityAnalysis[[#This Row],[ID]], tblSeverityReference[ID], 0))= "", "",INDEX(tblSeverityReference[Severidad de la desnutrición],MATCH(tblSeverityAnalysis[[#This Row],[ID]], tblSeverityReference[ID], 0)) ), "")</f>
        <v/>
      </c>
      <c r="Y290" s="349" t="str">
        <f>IFERROR(IF(INDEX(tblSeverityReference[Severidad epidémica],MATCH(tblSeverityAnalysis[[#This Row],[ID]], tblSeverityReference[ID], 0))= "", "",INDEX(tblSeverityReference[Severidad epidémica],MATCH(tblSeverityAnalysis[[#This Row],[ID]], tblSeverityReference[ID], 0)) ), "")</f>
        <v/>
      </c>
      <c r="Z29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90" s="391" t="str">
        <f>IFERROR(IF(INDEX(tblSeverityReference[HR/IHL Violation],MATCH(tblSeverityAnalysis[[#This Row],[ID]], tblSeverityReference[ID], 0))= "", "",INDEX(tblSeverityReference[HR/IHL Violation],MATCH(tblSeverityAnalysis[[#This Row],[ID]], tblSeverityReference[ID], 0)) ), "")</f>
        <v/>
      </c>
      <c r="AB290" s="397">
        <f>IFERROR(AVERAGE(tblSeverityAnalysis[[#This Row],[SAMV]:[ASH]]), "")</f>
        <v>2</v>
      </c>
      <c r="AC290" s="346">
        <f>IF(SUM(tblSeverityAnalysis[[#This Row],[SAMV]:[ASH]])=0, "", MAX(tblSeverityAnalysis[[#This Row],[SAMV]:[ASH]]))</f>
        <v>3</v>
      </c>
      <c r="AD290" s="261" t="str" cm="1">
        <f t="array" ref="AD290">IFERROR(IF(tblSeverityAnalysis[[#This Row],[Severidad máxima]]="", "", _xlfn.TEXTJOIN(CHAR(10), TRUE, IF(tblSeverityAnalysis[[#This Row],[SAMV]:[ASH]]=tblSeverityAnalysis[[#This Row],[Severidad máxima]], tblSeverityAnalysis[[#Headers],[SAMV]:[ASH]], ""), "")), "")</f>
        <v>SAL
EDU</v>
      </c>
      <c r="AE290" s="346" cm="1">
        <f t="array" ref="AE290">IFERROR(MAX(_xlfn._xlws.FILTER(tblSeverityAnalysis[[#This Row],[SAMV]:[ASH]], tblSeverityAnalysis[[#This Row],[SAMV]:[ASH]]&lt;tblSeverityAnalysis[[#This Row],[Severidad máxima]])), "")</f>
        <v>2</v>
      </c>
      <c r="AF290" s="398" t="str" cm="1">
        <f t="array" ref="AF290">IFERROR(IF(tblSeverityAnalysis[[#This Row],[2ª mayor severidad]]="", "", _xlfn.TEXTJOIN(CHAR(10), TRUE, IF(tblSeverityAnalysis[[#This Row],[SAMV]:[ASH]]=tblSeverityAnalysis[[#This Row],[2ª mayor severidad]], tblSeverityAnalysis[[#Headers],[SAMV]:[ASH]], ""), "")), "")</f>
        <v>SAMV
PRO</v>
      </c>
      <c r="AG290" s="405" t="str">
        <f>IFERROR(IF(AND(tblSeverityAnalysis[[#This Row],[5]] &lt;&gt; "", tblSeverityAnalysis[[#This Row],[5]]&gt;=sectors_sev_5), "Flagged", ""), "")</f>
        <v/>
      </c>
      <c r="AH290" s="347" t="str">
        <f>IFERROR(IF(AND(tblSeverityAnalysis[[#This Row],[Severidad preliminar basada en la superposición de privaciones sectoriales]]=5, SUM(tblSeverityAnalysis[[#This Row],[ 1 ]:[ 4 ]])&gt;=sectors_sev_5), "Flagged", ""), "")</f>
        <v/>
      </c>
      <c r="AI290" s="348" t="str" cm="1">
        <f t="array" ref="AI29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9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90" s="350"/>
      <c r="AL290" s="351"/>
      <c r="AM290" s="350"/>
      <c r="AN290" s="407">
        <f>COUNTIF(tblSeverityAnalysis[[#This Row],[1 sectores en fase de severidad 5 '[modificar el umbral']]:[Marcador manual]], "Flagged")</f>
        <v>0</v>
      </c>
      <c r="AO290" s="418">
        <f>tblSeverityAnalysis[[#This Row],[Severidad preliminar basada en la superposición de privaciones sectoriales]]</f>
        <v>2</v>
      </c>
      <c r="AP290" s="417"/>
      <c r="AQ290" s="421" t="s">
        <v>876</v>
      </c>
      <c r="AR290" s="417">
        <v>3</v>
      </c>
    </row>
    <row r="291" spans="1:44" hidden="1">
      <c r="A29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VenezolanosVE2109</v>
      </c>
      <c r="B291" s="363" t="s">
        <v>642</v>
      </c>
      <c r="C291" s="323" t="s">
        <v>643</v>
      </c>
      <c r="D291" s="322" t="s">
        <v>658</v>
      </c>
      <c r="E291" s="323" t="s">
        <v>659</v>
      </c>
      <c r="F291" s="323"/>
      <c r="G291" s="324">
        <v>19031</v>
      </c>
      <c r="H291" s="324" t="s">
        <v>102</v>
      </c>
      <c r="I291" s="374">
        <v>3</v>
      </c>
      <c r="J291" s="237">
        <v>1</v>
      </c>
      <c r="K291" s="237">
        <v>3</v>
      </c>
      <c r="L291" s="237">
        <v>3</v>
      </c>
      <c r="M291" s="237">
        <v>4</v>
      </c>
      <c r="N291" s="237">
        <v>2</v>
      </c>
      <c r="O291" s="237">
        <v>4</v>
      </c>
      <c r="P291" s="237">
        <v>4</v>
      </c>
      <c r="Q291" s="382">
        <f>IF(COUNTIF(tblSeverityAnalysis[[#This Row],[SAMV]:[ASH]], 1)=0, "", COUNTIF(tblSeverityAnalysis[[#This Row],[SAMV]:[ASH]], 1))</f>
        <v>1</v>
      </c>
      <c r="R291" s="325">
        <f>IF(COUNTIF(tblSeverityAnalysis[[#This Row],[SAMV]:[ASH]], 2)=0, "", COUNTIF(tblSeverityAnalysis[[#This Row],[SAMV]:[ASH]], 2))</f>
        <v>1</v>
      </c>
      <c r="S291" s="325">
        <f>IF(COUNTIF(tblSeverityAnalysis[[#This Row],[SAMV]:[ASH]], 3)=0, "", COUNTIF(tblSeverityAnalysis[[#This Row],[SAMV]:[ASH]], 3))</f>
        <v>3</v>
      </c>
      <c r="T291" s="325">
        <f>IF(COUNTIF(tblSeverityAnalysis[[#This Row],[SAMV]:[ASH]], 4)=0, "", COUNTIF(tblSeverityAnalysis[[#This Row],[SAMV]:[ASH]], 4))</f>
        <v>1</v>
      </c>
      <c r="U291" s="383" t="str">
        <f>IF(COUNTIF(tblSeverityAnalysis[[#This Row],[SAMV]:[ASH]], 5)=0, "", COUNTIF(tblSeverityAnalysis[[#This Row],[SAMV]:[ASH]], 5))</f>
        <v/>
      </c>
      <c r="V291" s="375" cm="1">
        <f t="array" ref="V29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9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91" s="237" t="str">
        <f>IFERROR(IF(INDEX(tblSeverityReference[Severidad de la desnutrición],MATCH(tblSeverityAnalysis[[#This Row],[ID]], tblSeverityReference[ID], 0))= "", "",INDEX(tblSeverityReference[Severidad de la desnutrición],MATCH(tblSeverityAnalysis[[#This Row],[ID]], tblSeverityReference[ID], 0)) ), "")</f>
        <v/>
      </c>
      <c r="Y291" s="349" t="str">
        <f>IFERROR(IF(INDEX(tblSeverityReference[Severidad epidémica],MATCH(tblSeverityAnalysis[[#This Row],[ID]], tblSeverityReference[ID], 0))= "", "",INDEX(tblSeverityReference[Severidad epidémica],MATCH(tblSeverityAnalysis[[#This Row],[ID]], tblSeverityReference[ID], 0)) ), "")</f>
        <v/>
      </c>
      <c r="Z29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91" s="391" t="str">
        <f>IFERROR(IF(INDEX(tblSeverityReference[HR/IHL Violation],MATCH(tblSeverityAnalysis[[#This Row],[ID]], tblSeverityReference[ID], 0))= "", "",INDEX(tblSeverityReference[HR/IHL Violation],MATCH(tblSeverityAnalysis[[#This Row],[ID]], tblSeverityReference[ID], 0)) ), "")</f>
        <v/>
      </c>
      <c r="AB291" s="397">
        <f>IFERROR(AVERAGE(tblSeverityAnalysis[[#This Row],[SAMV]:[ASH]]), "")</f>
        <v>2.6666666666666665</v>
      </c>
      <c r="AC291" s="346">
        <f>IF(SUM(tblSeverityAnalysis[[#This Row],[SAMV]:[ASH]])=0, "", MAX(tblSeverityAnalysis[[#This Row],[SAMV]:[ASH]]))</f>
        <v>4</v>
      </c>
      <c r="AD291" s="261" t="str" cm="1">
        <f t="array" ref="AD291">IFERROR(IF(tblSeverityAnalysis[[#This Row],[Severidad máxima]]="", "", _xlfn.TEXTJOIN(CHAR(10), TRUE, IF(tblSeverityAnalysis[[#This Row],[SAMV]:[ASH]]=tblSeverityAnalysis[[#This Row],[Severidad máxima]], tblSeverityAnalysis[[#Headers],[SAMV]:[ASH]], ""), "")), "")</f>
        <v>PRO</v>
      </c>
      <c r="AE291" s="346" cm="1">
        <f t="array" ref="AE291">IFERROR(MAX(_xlfn._xlws.FILTER(tblSeverityAnalysis[[#This Row],[SAMV]:[ASH]], tblSeverityAnalysis[[#This Row],[SAMV]:[ASH]]&lt;tblSeverityAnalysis[[#This Row],[Severidad máxima]])), "")</f>
        <v>3</v>
      </c>
      <c r="AF291" s="398" t="str" cm="1">
        <f t="array" ref="AF291">IFERROR(IF(tblSeverityAnalysis[[#This Row],[2ª mayor severidad]]="", "", _xlfn.TEXTJOIN(CHAR(10), TRUE, IF(tblSeverityAnalysis[[#This Row],[SAMV]:[ASH]]=tblSeverityAnalysis[[#This Row],[2ª mayor severidad]], tblSeverityAnalysis[[#Headers],[SAMV]:[ASH]], ""), "")), "")</f>
        <v>SAMV
SAL
EDU</v>
      </c>
      <c r="AG291" s="405" t="str">
        <f>IFERROR(IF(AND(tblSeverityAnalysis[[#This Row],[5]] &lt;&gt; "", tblSeverityAnalysis[[#This Row],[5]]&gt;=sectors_sev_5), "Flagged", ""), "")</f>
        <v/>
      </c>
      <c r="AH291" s="347" t="str">
        <f>IFERROR(IF(AND(tblSeverityAnalysis[[#This Row],[Severidad preliminar basada en la superposición de privaciones sectoriales]]=5, SUM(tblSeverityAnalysis[[#This Row],[ 1 ]:[ 4 ]])&gt;=sectors_sev_5), "Flagged", ""), "")</f>
        <v/>
      </c>
      <c r="AI291" s="348" t="str" cm="1">
        <f t="array" ref="AI29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9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91" s="350"/>
      <c r="AL291" s="351"/>
      <c r="AM291" s="350"/>
      <c r="AN291" s="407">
        <f>COUNTIF(tblSeverityAnalysis[[#This Row],[1 sectores en fase de severidad 5 '[modificar el umbral']]:[Marcador manual]], "Flagged")</f>
        <v>0</v>
      </c>
      <c r="AO291" s="418">
        <f>tblSeverityAnalysis[[#This Row],[Severidad preliminar basada en la superposición de privaciones sectoriales]]</f>
        <v>3</v>
      </c>
      <c r="AP291" s="417"/>
      <c r="AQ291" s="421" t="s">
        <v>876</v>
      </c>
      <c r="AR291" s="417">
        <v>3</v>
      </c>
    </row>
    <row r="292" spans="1:44" hidden="1">
      <c r="A29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VenezolanosVE2110</v>
      </c>
      <c r="B292" s="363" t="s">
        <v>642</v>
      </c>
      <c r="C292" s="323" t="s">
        <v>643</v>
      </c>
      <c r="D292" s="322" t="s">
        <v>276</v>
      </c>
      <c r="E292" s="323" t="s">
        <v>660</v>
      </c>
      <c r="F292" s="323"/>
      <c r="G292" s="324">
        <v>21305</v>
      </c>
      <c r="H292" s="324" t="s">
        <v>102</v>
      </c>
      <c r="I292" s="374">
        <v>2</v>
      </c>
      <c r="J292" s="237">
        <v>1</v>
      </c>
      <c r="K292" s="237">
        <v>3</v>
      </c>
      <c r="L292" s="237">
        <v>3</v>
      </c>
      <c r="M292" s="237">
        <v>2</v>
      </c>
      <c r="N292" s="237">
        <v>2</v>
      </c>
      <c r="O292" s="237">
        <v>2</v>
      </c>
      <c r="P292" s="237">
        <v>2</v>
      </c>
      <c r="Q292" s="382">
        <f>IF(COUNTIF(tblSeverityAnalysis[[#This Row],[SAMV]:[ASH]], 1)=0, "", COUNTIF(tblSeverityAnalysis[[#This Row],[SAMV]:[ASH]], 1))</f>
        <v>1</v>
      </c>
      <c r="R292" s="325">
        <f>IF(COUNTIF(tblSeverityAnalysis[[#This Row],[SAMV]:[ASH]], 2)=0, "", COUNTIF(tblSeverityAnalysis[[#This Row],[SAMV]:[ASH]], 2))</f>
        <v>3</v>
      </c>
      <c r="S292" s="325">
        <f>IF(COUNTIF(tblSeverityAnalysis[[#This Row],[SAMV]:[ASH]], 3)=0, "", COUNTIF(tblSeverityAnalysis[[#This Row],[SAMV]:[ASH]], 3))</f>
        <v>2</v>
      </c>
      <c r="T292" s="325" t="str">
        <f>IF(COUNTIF(tblSeverityAnalysis[[#This Row],[SAMV]:[ASH]], 4)=0, "", COUNTIF(tblSeverityAnalysis[[#This Row],[SAMV]:[ASH]], 4))</f>
        <v/>
      </c>
      <c r="U292" s="383" t="str">
        <f>IF(COUNTIF(tblSeverityAnalysis[[#This Row],[SAMV]:[ASH]], 5)=0, "", COUNTIF(tblSeverityAnalysis[[#This Row],[SAMV]:[ASH]], 5))</f>
        <v/>
      </c>
      <c r="V292" s="375" cm="1">
        <f t="array" ref="V29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9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92" s="237" t="str">
        <f>IFERROR(IF(INDEX(tblSeverityReference[Severidad de la desnutrición],MATCH(tblSeverityAnalysis[[#This Row],[ID]], tblSeverityReference[ID], 0))= "", "",INDEX(tblSeverityReference[Severidad de la desnutrición],MATCH(tblSeverityAnalysis[[#This Row],[ID]], tblSeverityReference[ID], 0)) ), "")</f>
        <v/>
      </c>
      <c r="Y292" s="349" t="str">
        <f>IFERROR(IF(INDEX(tblSeverityReference[Severidad epidémica],MATCH(tblSeverityAnalysis[[#This Row],[ID]], tblSeverityReference[ID], 0))= "", "",INDEX(tblSeverityReference[Severidad epidémica],MATCH(tblSeverityAnalysis[[#This Row],[ID]], tblSeverityReference[ID], 0)) ), "")</f>
        <v/>
      </c>
      <c r="Z29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92" s="391" t="str">
        <f>IFERROR(IF(INDEX(tblSeverityReference[HR/IHL Violation],MATCH(tblSeverityAnalysis[[#This Row],[ID]], tblSeverityReference[ID], 0))= "", "",INDEX(tblSeverityReference[HR/IHL Violation],MATCH(tblSeverityAnalysis[[#This Row],[ID]], tblSeverityReference[ID], 0)) ), "")</f>
        <v/>
      </c>
      <c r="AB292" s="397">
        <f>IFERROR(AVERAGE(tblSeverityAnalysis[[#This Row],[SAMV]:[ASH]]), "")</f>
        <v>2.1666666666666665</v>
      </c>
      <c r="AC292" s="346">
        <f>IF(SUM(tblSeverityAnalysis[[#This Row],[SAMV]:[ASH]])=0, "", MAX(tblSeverityAnalysis[[#This Row],[SAMV]:[ASH]]))</f>
        <v>3</v>
      </c>
      <c r="AD292" s="261" t="str" cm="1">
        <f t="array" ref="AD292">IFERROR(IF(tblSeverityAnalysis[[#This Row],[Severidad máxima]]="", "", _xlfn.TEXTJOIN(CHAR(10), TRUE, IF(tblSeverityAnalysis[[#This Row],[SAMV]:[ASH]]=tblSeverityAnalysis[[#This Row],[Severidad máxima]], tblSeverityAnalysis[[#Headers],[SAMV]:[ASH]], ""), "")), "")</f>
        <v>SAL
EDU</v>
      </c>
      <c r="AE292" s="346" cm="1">
        <f t="array" ref="AE292">IFERROR(MAX(_xlfn._xlws.FILTER(tblSeverityAnalysis[[#This Row],[SAMV]:[ASH]], tblSeverityAnalysis[[#This Row],[SAMV]:[ASH]]&lt;tblSeverityAnalysis[[#This Row],[Severidad máxima]])), "")</f>
        <v>2</v>
      </c>
      <c r="AF292" s="398" t="str" cm="1">
        <f t="array" ref="AF292">IFERROR(IF(tblSeverityAnalysis[[#This Row],[2ª mayor severidad]]="", "", _xlfn.TEXTJOIN(CHAR(10), TRUE, IF(tblSeverityAnalysis[[#This Row],[SAMV]:[ASH]]=tblSeverityAnalysis[[#This Row],[2ª mayor severidad]], tblSeverityAnalysis[[#Headers],[SAMV]:[ASH]], ""), "")), "")</f>
        <v>SAMV
PRO
ASH</v>
      </c>
      <c r="AG292" s="405" t="str">
        <f>IFERROR(IF(AND(tblSeverityAnalysis[[#This Row],[5]] &lt;&gt; "", tblSeverityAnalysis[[#This Row],[5]]&gt;=sectors_sev_5), "Flagged", ""), "")</f>
        <v/>
      </c>
      <c r="AH292" s="347" t="str">
        <f>IFERROR(IF(AND(tblSeverityAnalysis[[#This Row],[Severidad preliminar basada en la superposición de privaciones sectoriales]]=5, SUM(tblSeverityAnalysis[[#This Row],[ 1 ]:[ 4 ]])&gt;=sectors_sev_5), "Flagged", ""), "")</f>
        <v/>
      </c>
      <c r="AI292" s="348" t="str" cm="1">
        <f t="array" ref="AI29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9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92" s="350"/>
      <c r="AL292" s="351"/>
      <c r="AM292" s="350"/>
      <c r="AN292" s="407">
        <f>COUNTIF(tblSeverityAnalysis[[#This Row],[1 sectores en fase de severidad 5 '[modificar el umbral']]:[Marcador manual]], "Flagged")</f>
        <v>0</v>
      </c>
      <c r="AO292" s="418">
        <f>tblSeverityAnalysis[[#This Row],[Severidad preliminar basada en la superposición de privaciones sectoriales]]</f>
        <v>2</v>
      </c>
      <c r="AP292" s="417"/>
      <c r="AQ292" s="421" t="s">
        <v>876</v>
      </c>
      <c r="AR292" s="417">
        <v>3</v>
      </c>
    </row>
    <row r="293" spans="1:44" hidden="1">
      <c r="A29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VenezolanosVE2111</v>
      </c>
      <c r="B293" s="363" t="s">
        <v>642</v>
      </c>
      <c r="C293" s="323" t="s">
        <v>643</v>
      </c>
      <c r="D293" s="322" t="s">
        <v>661</v>
      </c>
      <c r="E293" s="323" t="s">
        <v>662</v>
      </c>
      <c r="F293" s="323"/>
      <c r="G293" s="324">
        <v>12606</v>
      </c>
      <c r="H293" s="324" t="s">
        <v>102</v>
      </c>
      <c r="I293" s="374">
        <v>2</v>
      </c>
      <c r="J293" s="237">
        <v>1</v>
      </c>
      <c r="K293" s="237">
        <v>4</v>
      </c>
      <c r="L293" s="237">
        <v>3</v>
      </c>
      <c r="M293" s="237">
        <v>2</v>
      </c>
      <c r="N293" s="237">
        <v>3</v>
      </c>
      <c r="O293" s="237">
        <v>2</v>
      </c>
      <c r="P293" s="237">
        <v>2</v>
      </c>
      <c r="Q293" s="382">
        <f>IF(COUNTIF(tblSeverityAnalysis[[#This Row],[SAMV]:[ASH]], 1)=0, "", COUNTIF(tblSeverityAnalysis[[#This Row],[SAMV]:[ASH]], 1))</f>
        <v>1</v>
      </c>
      <c r="R293" s="325">
        <f>IF(COUNTIF(tblSeverityAnalysis[[#This Row],[SAMV]:[ASH]], 2)=0, "", COUNTIF(tblSeverityAnalysis[[#This Row],[SAMV]:[ASH]], 2))</f>
        <v>2</v>
      </c>
      <c r="S293" s="325">
        <f>IF(COUNTIF(tblSeverityAnalysis[[#This Row],[SAMV]:[ASH]], 3)=0, "", COUNTIF(tblSeverityAnalysis[[#This Row],[SAMV]:[ASH]], 3))</f>
        <v>2</v>
      </c>
      <c r="T293" s="325">
        <f>IF(COUNTIF(tblSeverityAnalysis[[#This Row],[SAMV]:[ASH]], 4)=0, "", COUNTIF(tblSeverityAnalysis[[#This Row],[SAMV]:[ASH]], 4))</f>
        <v>1</v>
      </c>
      <c r="U293" s="383" t="str">
        <f>IF(COUNTIF(tblSeverityAnalysis[[#This Row],[SAMV]:[ASH]], 5)=0, "", COUNTIF(tblSeverityAnalysis[[#This Row],[SAMV]:[ASH]], 5))</f>
        <v/>
      </c>
      <c r="V293" s="375" cm="1">
        <f t="array" ref="V29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9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93" s="237" t="str">
        <f>IFERROR(IF(INDEX(tblSeverityReference[Severidad de la desnutrición],MATCH(tblSeverityAnalysis[[#This Row],[ID]], tblSeverityReference[ID], 0))= "", "",INDEX(tblSeverityReference[Severidad de la desnutrición],MATCH(tblSeverityAnalysis[[#This Row],[ID]], tblSeverityReference[ID], 0)) ), "")</f>
        <v/>
      </c>
      <c r="Y293" s="349" t="str">
        <f>IFERROR(IF(INDEX(tblSeverityReference[Severidad epidémica],MATCH(tblSeverityAnalysis[[#This Row],[ID]], tblSeverityReference[ID], 0))= "", "",INDEX(tblSeverityReference[Severidad epidémica],MATCH(tblSeverityAnalysis[[#This Row],[ID]], tblSeverityReference[ID], 0)) ), "")</f>
        <v/>
      </c>
      <c r="Z29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93" s="391" t="str">
        <f>IFERROR(IF(INDEX(tblSeverityReference[HR/IHL Violation],MATCH(tblSeverityAnalysis[[#This Row],[ID]], tblSeverityReference[ID], 0))= "", "",INDEX(tblSeverityReference[HR/IHL Violation],MATCH(tblSeverityAnalysis[[#This Row],[ID]], tblSeverityReference[ID], 0)) ), "")</f>
        <v/>
      </c>
      <c r="AB293" s="397">
        <f>IFERROR(AVERAGE(tblSeverityAnalysis[[#This Row],[SAMV]:[ASH]]), "")</f>
        <v>2.5</v>
      </c>
      <c r="AC293" s="346">
        <f>IF(SUM(tblSeverityAnalysis[[#This Row],[SAMV]:[ASH]])=0, "", MAX(tblSeverityAnalysis[[#This Row],[SAMV]:[ASH]]))</f>
        <v>4</v>
      </c>
      <c r="AD293" s="261" t="str" cm="1">
        <f t="array" ref="AD293">IFERROR(IF(tblSeverityAnalysis[[#This Row],[Severidad máxima]]="", "", _xlfn.TEXTJOIN(CHAR(10), TRUE, IF(tblSeverityAnalysis[[#This Row],[SAMV]:[ASH]]=tblSeverityAnalysis[[#This Row],[Severidad máxima]], tblSeverityAnalysis[[#Headers],[SAMV]:[ASH]], ""), "")), "")</f>
        <v>SAL</v>
      </c>
      <c r="AE293" s="346" cm="1">
        <f t="array" ref="AE293">IFERROR(MAX(_xlfn._xlws.FILTER(tblSeverityAnalysis[[#This Row],[SAMV]:[ASH]], tblSeverityAnalysis[[#This Row],[SAMV]:[ASH]]&lt;tblSeverityAnalysis[[#This Row],[Severidad máxima]])), "")</f>
        <v>3</v>
      </c>
      <c r="AF293" s="398" t="str" cm="1">
        <f t="array" ref="AF293">IFERROR(IF(tblSeverityAnalysis[[#This Row],[2ª mayor severidad]]="", "", _xlfn.TEXTJOIN(CHAR(10), TRUE, IF(tblSeverityAnalysis[[#This Row],[SAMV]:[ASH]]=tblSeverityAnalysis[[#This Row],[2ª mayor severidad]], tblSeverityAnalysis[[#Headers],[SAMV]:[ASH]], ""), "")), "")</f>
        <v>EDU
ASH</v>
      </c>
      <c r="AG293" s="405" t="str">
        <f>IFERROR(IF(AND(tblSeverityAnalysis[[#This Row],[5]] &lt;&gt; "", tblSeverityAnalysis[[#This Row],[5]]&gt;=sectors_sev_5), "Flagged", ""), "")</f>
        <v/>
      </c>
      <c r="AH293" s="347" t="str">
        <f>IFERROR(IF(AND(tblSeverityAnalysis[[#This Row],[Severidad preliminar basada en la superposición de privaciones sectoriales]]=5, SUM(tblSeverityAnalysis[[#This Row],[ 1 ]:[ 4 ]])&gt;=sectors_sev_5), "Flagged", ""), "")</f>
        <v/>
      </c>
      <c r="AI293" s="348" t="str" cm="1">
        <f t="array" ref="AI29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9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93" s="350"/>
      <c r="AL293" s="351"/>
      <c r="AM293" s="350"/>
      <c r="AN293" s="407">
        <f>COUNTIF(tblSeverityAnalysis[[#This Row],[1 sectores en fase de severidad 5 '[modificar el umbral']]:[Marcador manual]], "Flagged")</f>
        <v>0</v>
      </c>
      <c r="AO293" s="418">
        <f>tblSeverityAnalysis[[#This Row],[Severidad preliminar basada en la superposición de privaciones sectoriales]]</f>
        <v>2</v>
      </c>
      <c r="AP293" s="417"/>
      <c r="AQ293" s="421" t="s">
        <v>876</v>
      </c>
      <c r="AR293" s="417">
        <v>3</v>
      </c>
    </row>
    <row r="294" spans="1:44" hidden="1">
      <c r="A29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VenezolanosVE2112</v>
      </c>
      <c r="B294" s="363" t="s">
        <v>642</v>
      </c>
      <c r="C294" s="323" t="s">
        <v>643</v>
      </c>
      <c r="D294" s="322" t="s">
        <v>663</v>
      </c>
      <c r="E294" s="323" t="s">
        <v>664</v>
      </c>
      <c r="F294" s="323"/>
      <c r="G294" s="324">
        <v>19777</v>
      </c>
      <c r="H294" s="324" t="s">
        <v>102</v>
      </c>
      <c r="I294" s="374">
        <v>3</v>
      </c>
      <c r="J294" s="237">
        <v>1</v>
      </c>
      <c r="K294" s="237">
        <v>3</v>
      </c>
      <c r="L294" s="237">
        <v>3</v>
      </c>
      <c r="M294" s="237">
        <v>4</v>
      </c>
      <c r="N294" s="237">
        <v>2</v>
      </c>
      <c r="O294" s="237">
        <v>4</v>
      </c>
      <c r="P294" s="237">
        <v>4</v>
      </c>
      <c r="Q294" s="382">
        <f>IF(COUNTIF(tblSeverityAnalysis[[#This Row],[SAMV]:[ASH]], 1)=0, "", COUNTIF(tblSeverityAnalysis[[#This Row],[SAMV]:[ASH]], 1))</f>
        <v>1</v>
      </c>
      <c r="R294" s="325">
        <f>IF(COUNTIF(tblSeverityAnalysis[[#This Row],[SAMV]:[ASH]], 2)=0, "", COUNTIF(tblSeverityAnalysis[[#This Row],[SAMV]:[ASH]], 2))</f>
        <v>1</v>
      </c>
      <c r="S294" s="325">
        <f>IF(COUNTIF(tblSeverityAnalysis[[#This Row],[SAMV]:[ASH]], 3)=0, "", COUNTIF(tblSeverityAnalysis[[#This Row],[SAMV]:[ASH]], 3))</f>
        <v>3</v>
      </c>
      <c r="T294" s="325">
        <f>IF(COUNTIF(tblSeverityAnalysis[[#This Row],[SAMV]:[ASH]], 4)=0, "", COUNTIF(tblSeverityAnalysis[[#This Row],[SAMV]:[ASH]], 4))</f>
        <v>1</v>
      </c>
      <c r="U294" s="383" t="str">
        <f>IF(COUNTIF(tblSeverityAnalysis[[#This Row],[SAMV]:[ASH]], 5)=0, "", COUNTIF(tblSeverityAnalysis[[#This Row],[SAMV]:[ASH]], 5))</f>
        <v/>
      </c>
      <c r="V294" s="375" cm="1">
        <f t="array" ref="V29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9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94" s="237" t="str">
        <f>IFERROR(IF(INDEX(tblSeverityReference[Severidad de la desnutrición],MATCH(tblSeverityAnalysis[[#This Row],[ID]], tblSeverityReference[ID], 0))= "", "",INDEX(tblSeverityReference[Severidad de la desnutrición],MATCH(tblSeverityAnalysis[[#This Row],[ID]], tblSeverityReference[ID], 0)) ), "")</f>
        <v/>
      </c>
      <c r="Y294" s="349" t="str">
        <f>IFERROR(IF(INDEX(tblSeverityReference[Severidad epidémica],MATCH(tblSeverityAnalysis[[#This Row],[ID]], tblSeverityReference[ID], 0))= "", "",INDEX(tblSeverityReference[Severidad epidémica],MATCH(tblSeverityAnalysis[[#This Row],[ID]], tblSeverityReference[ID], 0)) ), "")</f>
        <v/>
      </c>
      <c r="Z29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94" s="391" t="str">
        <f>IFERROR(IF(INDEX(tblSeverityReference[HR/IHL Violation],MATCH(tblSeverityAnalysis[[#This Row],[ID]], tblSeverityReference[ID], 0))= "", "",INDEX(tblSeverityReference[HR/IHL Violation],MATCH(tblSeverityAnalysis[[#This Row],[ID]], tblSeverityReference[ID], 0)) ), "")</f>
        <v/>
      </c>
      <c r="AB294" s="397">
        <f>IFERROR(AVERAGE(tblSeverityAnalysis[[#This Row],[SAMV]:[ASH]]), "")</f>
        <v>2.6666666666666665</v>
      </c>
      <c r="AC294" s="346">
        <f>IF(SUM(tblSeverityAnalysis[[#This Row],[SAMV]:[ASH]])=0, "", MAX(tblSeverityAnalysis[[#This Row],[SAMV]:[ASH]]))</f>
        <v>4</v>
      </c>
      <c r="AD294" s="261" t="str" cm="1">
        <f t="array" ref="AD294">IFERROR(IF(tblSeverityAnalysis[[#This Row],[Severidad máxima]]="", "", _xlfn.TEXTJOIN(CHAR(10), TRUE, IF(tblSeverityAnalysis[[#This Row],[SAMV]:[ASH]]=tblSeverityAnalysis[[#This Row],[Severidad máxima]], tblSeverityAnalysis[[#Headers],[SAMV]:[ASH]], ""), "")), "")</f>
        <v>PRO</v>
      </c>
      <c r="AE294" s="346" cm="1">
        <f t="array" ref="AE294">IFERROR(MAX(_xlfn._xlws.FILTER(tblSeverityAnalysis[[#This Row],[SAMV]:[ASH]], tblSeverityAnalysis[[#This Row],[SAMV]:[ASH]]&lt;tblSeverityAnalysis[[#This Row],[Severidad máxima]])), "")</f>
        <v>3</v>
      </c>
      <c r="AF294" s="398" t="str" cm="1">
        <f t="array" ref="AF294">IFERROR(IF(tblSeverityAnalysis[[#This Row],[2ª mayor severidad]]="", "", _xlfn.TEXTJOIN(CHAR(10), TRUE, IF(tblSeverityAnalysis[[#This Row],[SAMV]:[ASH]]=tblSeverityAnalysis[[#This Row],[2ª mayor severidad]], tblSeverityAnalysis[[#Headers],[SAMV]:[ASH]], ""), "")), "")</f>
        <v>SAMV
SAL
EDU</v>
      </c>
      <c r="AG294" s="405" t="str">
        <f>IFERROR(IF(AND(tblSeverityAnalysis[[#This Row],[5]] &lt;&gt; "", tblSeverityAnalysis[[#This Row],[5]]&gt;=sectors_sev_5), "Flagged", ""), "")</f>
        <v/>
      </c>
      <c r="AH294" s="347" t="str">
        <f>IFERROR(IF(AND(tblSeverityAnalysis[[#This Row],[Severidad preliminar basada en la superposición de privaciones sectoriales]]=5, SUM(tblSeverityAnalysis[[#This Row],[ 1 ]:[ 4 ]])&gt;=sectors_sev_5), "Flagged", ""), "")</f>
        <v/>
      </c>
      <c r="AI294" s="348" t="str" cm="1">
        <f t="array" ref="AI29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9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94" s="350"/>
      <c r="AL294" s="351"/>
      <c r="AM294" s="350"/>
      <c r="AN294" s="407">
        <f>COUNTIF(tblSeverityAnalysis[[#This Row],[1 sectores en fase de severidad 5 '[modificar el umbral']]:[Marcador manual]], "Flagged")</f>
        <v>0</v>
      </c>
      <c r="AO294" s="418">
        <f>tblSeverityAnalysis[[#This Row],[Severidad preliminar basada en la superposición de privaciones sectoriales]]</f>
        <v>3</v>
      </c>
      <c r="AP294" s="417"/>
      <c r="AQ294" s="421" t="s">
        <v>876</v>
      </c>
      <c r="AR294" s="417">
        <v>3</v>
      </c>
    </row>
    <row r="295" spans="1:44" hidden="1">
      <c r="A29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VenezolanosVE2113</v>
      </c>
      <c r="B295" s="363" t="s">
        <v>642</v>
      </c>
      <c r="C295" s="323" t="s">
        <v>643</v>
      </c>
      <c r="D295" s="322" t="s">
        <v>665</v>
      </c>
      <c r="E295" s="323" t="s">
        <v>666</v>
      </c>
      <c r="F295" s="323"/>
      <c r="G295" s="324">
        <v>47549</v>
      </c>
      <c r="H295" s="324" t="s">
        <v>102</v>
      </c>
      <c r="I295" s="374">
        <v>2</v>
      </c>
      <c r="J295" s="237">
        <v>1</v>
      </c>
      <c r="K295" s="237">
        <v>3</v>
      </c>
      <c r="L295" s="237">
        <v>3</v>
      </c>
      <c r="M295" s="237">
        <v>2</v>
      </c>
      <c r="N295" s="237">
        <v>2</v>
      </c>
      <c r="O295" s="237">
        <v>2</v>
      </c>
      <c r="P295" s="237">
        <v>2</v>
      </c>
      <c r="Q295" s="382">
        <f>IF(COUNTIF(tblSeverityAnalysis[[#This Row],[SAMV]:[ASH]], 1)=0, "", COUNTIF(tblSeverityAnalysis[[#This Row],[SAMV]:[ASH]], 1))</f>
        <v>1</v>
      </c>
      <c r="R295" s="325">
        <f>IF(COUNTIF(tblSeverityAnalysis[[#This Row],[SAMV]:[ASH]], 2)=0, "", COUNTIF(tblSeverityAnalysis[[#This Row],[SAMV]:[ASH]], 2))</f>
        <v>3</v>
      </c>
      <c r="S295" s="325">
        <f>IF(COUNTIF(tblSeverityAnalysis[[#This Row],[SAMV]:[ASH]], 3)=0, "", COUNTIF(tblSeverityAnalysis[[#This Row],[SAMV]:[ASH]], 3))</f>
        <v>2</v>
      </c>
      <c r="T295" s="325" t="str">
        <f>IF(COUNTIF(tblSeverityAnalysis[[#This Row],[SAMV]:[ASH]], 4)=0, "", COUNTIF(tblSeverityAnalysis[[#This Row],[SAMV]:[ASH]], 4))</f>
        <v/>
      </c>
      <c r="U295" s="383" t="str">
        <f>IF(COUNTIF(tblSeverityAnalysis[[#This Row],[SAMV]:[ASH]], 5)=0, "", COUNTIF(tblSeverityAnalysis[[#This Row],[SAMV]:[ASH]], 5))</f>
        <v/>
      </c>
      <c r="V295" s="375" cm="1">
        <f t="array" ref="V29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9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95" s="237" t="str">
        <f>IFERROR(IF(INDEX(tblSeverityReference[Severidad de la desnutrición],MATCH(tblSeverityAnalysis[[#This Row],[ID]], tblSeverityReference[ID], 0))= "", "",INDEX(tblSeverityReference[Severidad de la desnutrición],MATCH(tblSeverityAnalysis[[#This Row],[ID]], tblSeverityReference[ID], 0)) ), "")</f>
        <v/>
      </c>
      <c r="Y295" s="349" t="str">
        <f>IFERROR(IF(INDEX(tblSeverityReference[Severidad epidémica],MATCH(tblSeverityAnalysis[[#This Row],[ID]], tblSeverityReference[ID], 0))= "", "",INDEX(tblSeverityReference[Severidad epidémica],MATCH(tblSeverityAnalysis[[#This Row],[ID]], tblSeverityReference[ID], 0)) ), "")</f>
        <v/>
      </c>
      <c r="Z29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95" s="391" t="str">
        <f>IFERROR(IF(INDEX(tblSeverityReference[HR/IHL Violation],MATCH(tblSeverityAnalysis[[#This Row],[ID]], tblSeverityReference[ID], 0))= "", "",INDEX(tblSeverityReference[HR/IHL Violation],MATCH(tblSeverityAnalysis[[#This Row],[ID]], tblSeverityReference[ID], 0)) ), "")</f>
        <v/>
      </c>
      <c r="AB295" s="397">
        <f>IFERROR(AVERAGE(tblSeverityAnalysis[[#This Row],[SAMV]:[ASH]]), "")</f>
        <v>2.1666666666666665</v>
      </c>
      <c r="AC295" s="346">
        <f>IF(SUM(tblSeverityAnalysis[[#This Row],[SAMV]:[ASH]])=0, "", MAX(tblSeverityAnalysis[[#This Row],[SAMV]:[ASH]]))</f>
        <v>3</v>
      </c>
      <c r="AD295" s="261" t="str" cm="1">
        <f t="array" ref="AD295">IFERROR(IF(tblSeverityAnalysis[[#This Row],[Severidad máxima]]="", "", _xlfn.TEXTJOIN(CHAR(10), TRUE, IF(tblSeverityAnalysis[[#This Row],[SAMV]:[ASH]]=tblSeverityAnalysis[[#This Row],[Severidad máxima]], tblSeverityAnalysis[[#Headers],[SAMV]:[ASH]], ""), "")), "")</f>
        <v>SAL
EDU</v>
      </c>
      <c r="AE295" s="346" cm="1">
        <f t="array" ref="AE295">IFERROR(MAX(_xlfn._xlws.FILTER(tblSeverityAnalysis[[#This Row],[SAMV]:[ASH]], tblSeverityAnalysis[[#This Row],[SAMV]:[ASH]]&lt;tblSeverityAnalysis[[#This Row],[Severidad máxima]])), "")</f>
        <v>2</v>
      </c>
      <c r="AF295" s="398" t="str" cm="1">
        <f t="array" ref="AF295">IFERROR(IF(tblSeverityAnalysis[[#This Row],[2ª mayor severidad]]="", "", _xlfn.TEXTJOIN(CHAR(10), TRUE, IF(tblSeverityAnalysis[[#This Row],[SAMV]:[ASH]]=tblSeverityAnalysis[[#This Row],[2ª mayor severidad]], tblSeverityAnalysis[[#Headers],[SAMV]:[ASH]], ""), "")), "")</f>
        <v>SAMV
PRO
ASH</v>
      </c>
      <c r="AG295" s="405" t="str">
        <f>IFERROR(IF(AND(tblSeverityAnalysis[[#This Row],[5]] &lt;&gt; "", tblSeverityAnalysis[[#This Row],[5]]&gt;=sectors_sev_5), "Flagged", ""), "")</f>
        <v/>
      </c>
      <c r="AH295" s="347" t="str">
        <f>IFERROR(IF(AND(tblSeverityAnalysis[[#This Row],[Severidad preliminar basada en la superposición de privaciones sectoriales]]=5, SUM(tblSeverityAnalysis[[#This Row],[ 1 ]:[ 4 ]])&gt;=sectors_sev_5), "Flagged", ""), "")</f>
        <v/>
      </c>
      <c r="AI295" s="348" t="str" cm="1">
        <f t="array" ref="AI29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9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95" s="350"/>
      <c r="AL295" s="351"/>
      <c r="AM295" s="350"/>
      <c r="AN295" s="407">
        <f>COUNTIF(tblSeverityAnalysis[[#This Row],[1 sectores en fase de severidad 5 '[modificar el umbral']]:[Marcador manual]], "Flagged")</f>
        <v>0</v>
      </c>
      <c r="AO295" s="418">
        <f>tblSeverityAnalysis[[#This Row],[Severidad preliminar basada en la superposición de privaciones sectoriales]]</f>
        <v>2</v>
      </c>
      <c r="AP295" s="417"/>
      <c r="AQ295" s="421" t="s">
        <v>876</v>
      </c>
      <c r="AR295" s="417">
        <v>3</v>
      </c>
    </row>
    <row r="296" spans="1:44" hidden="1">
      <c r="A29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VenezolanosVE2114</v>
      </c>
      <c r="B296" s="363" t="s">
        <v>642</v>
      </c>
      <c r="C296" s="323" t="s">
        <v>643</v>
      </c>
      <c r="D296" s="322" t="s">
        <v>667</v>
      </c>
      <c r="E296" s="323" t="s">
        <v>668</v>
      </c>
      <c r="F296" s="323"/>
      <c r="G296" s="324">
        <v>28521</v>
      </c>
      <c r="H296" s="324" t="s">
        <v>102</v>
      </c>
      <c r="I296" s="374">
        <v>2</v>
      </c>
      <c r="J296" s="237">
        <v>1</v>
      </c>
      <c r="K296" s="237">
        <v>3</v>
      </c>
      <c r="L296" s="237">
        <v>3</v>
      </c>
      <c r="M296" s="237">
        <v>3</v>
      </c>
      <c r="N296" s="237">
        <v>2</v>
      </c>
      <c r="O296" s="237">
        <v>3</v>
      </c>
      <c r="P296" s="237">
        <v>3</v>
      </c>
      <c r="Q296" s="382">
        <f>IF(COUNTIF(tblSeverityAnalysis[[#This Row],[SAMV]:[ASH]], 1)=0, "", COUNTIF(tblSeverityAnalysis[[#This Row],[SAMV]:[ASH]], 1))</f>
        <v>1</v>
      </c>
      <c r="R296" s="325">
        <f>IF(COUNTIF(tblSeverityAnalysis[[#This Row],[SAMV]:[ASH]], 2)=0, "", COUNTIF(tblSeverityAnalysis[[#This Row],[SAMV]:[ASH]], 2))</f>
        <v>2</v>
      </c>
      <c r="S296" s="325">
        <f>IF(COUNTIF(tblSeverityAnalysis[[#This Row],[SAMV]:[ASH]], 3)=0, "", COUNTIF(tblSeverityAnalysis[[#This Row],[SAMV]:[ASH]], 3))</f>
        <v>3</v>
      </c>
      <c r="T296" s="325" t="str">
        <f>IF(COUNTIF(tblSeverityAnalysis[[#This Row],[SAMV]:[ASH]], 4)=0, "", COUNTIF(tblSeverityAnalysis[[#This Row],[SAMV]:[ASH]], 4))</f>
        <v/>
      </c>
      <c r="U296" s="383" t="str">
        <f>IF(COUNTIF(tblSeverityAnalysis[[#This Row],[SAMV]:[ASH]], 5)=0, "", COUNTIF(tblSeverityAnalysis[[#This Row],[SAMV]:[ASH]], 5))</f>
        <v/>
      </c>
      <c r="V296" s="375" cm="1">
        <f t="array" ref="V29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9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96" s="237" t="str">
        <f>IFERROR(IF(INDEX(tblSeverityReference[Severidad de la desnutrición],MATCH(tblSeverityAnalysis[[#This Row],[ID]], tblSeverityReference[ID], 0))= "", "",INDEX(tblSeverityReference[Severidad de la desnutrición],MATCH(tblSeverityAnalysis[[#This Row],[ID]], tblSeverityReference[ID], 0)) ), "")</f>
        <v/>
      </c>
      <c r="Y296" s="349" t="str">
        <f>IFERROR(IF(INDEX(tblSeverityReference[Severidad epidémica],MATCH(tblSeverityAnalysis[[#This Row],[ID]], tblSeverityReference[ID], 0))= "", "",INDEX(tblSeverityReference[Severidad epidémica],MATCH(tblSeverityAnalysis[[#This Row],[ID]], tblSeverityReference[ID], 0)) ), "")</f>
        <v/>
      </c>
      <c r="Z29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96" s="391" t="str">
        <f>IFERROR(IF(INDEX(tblSeverityReference[HR/IHL Violation],MATCH(tblSeverityAnalysis[[#This Row],[ID]], tblSeverityReference[ID], 0))= "", "",INDEX(tblSeverityReference[HR/IHL Violation],MATCH(tblSeverityAnalysis[[#This Row],[ID]], tblSeverityReference[ID], 0)) ), "")</f>
        <v/>
      </c>
      <c r="AB296" s="397">
        <f>IFERROR(AVERAGE(tblSeverityAnalysis[[#This Row],[SAMV]:[ASH]]), "")</f>
        <v>2.3333333333333335</v>
      </c>
      <c r="AC296" s="346">
        <f>IF(SUM(tblSeverityAnalysis[[#This Row],[SAMV]:[ASH]])=0, "", MAX(tblSeverityAnalysis[[#This Row],[SAMV]:[ASH]]))</f>
        <v>3</v>
      </c>
      <c r="AD296" s="261" t="str" cm="1">
        <f t="array" ref="AD296">IFERROR(IF(tblSeverityAnalysis[[#This Row],[Severidad máxima]]="", "", _xlfn.TEXTJOIN(CHAR(10), TRUE, IF(tblSeverityAnalysis[[#This Row],[SAMV]:[ASH]]=tblSeverityAnalysis[[#This Row],[Severidad máxima]], tblSeverityAnalysis[[#Headers],[SAMV]:[ASH]], ""), "")), "")</f>
        <v>SAL
EDU
PRO</v>
      </c>
      <c r="AE296" s="346" cm="1">
        <f t="array" ref="AE296">IFERROR(MAX(_xlfn._xlws.FILTER(tblSeverityAnalysis[[#This Row],[SAMV]:[ASH]], tblSeverityAnalysis[[#This Row],[SAMV]:[ASH]]&lt;tblSeverityAnalysis[[#This Row],[Severidad máxima]])), "")</f>
        <v>2</v>
      </c>
      <c r="AF296" s="398" t="str" cm="1">
        <f t="array" ref="AF296">IFERROR(IF(tblSeverityAnalysis[[#This Row],[2ª mayor severidad]]="", "", _xlfn.TEXTJOIN(CHAR(10), TRUE, IF(tblSeverityAnalysis[[#This Row],[SAMV]:[ASH]]=tblSeverityAnalysis[[#This Row],[2ª mayor severidad]], tblSeverityAnalysis[[#Headers],[SAMV]:[ASH]], ""), "")), "")</f>
        <v>SAMV
ASH</v>
      </c>
      <c r="AG296" s="405" t="str">
        <f>IFERROR(IF(AND(tblSeverityAnalysis[[#This Row],[5]] &lt;&gt; "", tblSeverityAnalysis[[#This Row],[5]]&gt;=sectors_sev_5), "Flagged", ""), "")</f>
        <v/>
      </c>
      <c r="AH296" s="347" t="str">
        <f>IFERROR(IF(AND(tblSeverityAnalysis[[#This Row],[Severidad preliminar basada en la superposición de privaciones sectoriales]]=5, SUM(tblSeverityAnalysis[[#This Row],[ 1 ]:[ 4 ]])&gt;=sectors_sev_5), "Flagged", ""), "")</f>
        <v/>
      </c>
      <c r="AI296" s="348" t="str" cm="1">
        <f t="array" ref="AI29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9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96" s="350"/>
      <c r="AL296" s="351"/>
      <c r="AM296" s="350"/>
      <c r="AN296" s="407">
        <f>COUNTIF(tblSeverityAnalysis[[#This Row],[1 sectores en fase de severidad 5 '[modificar el umbral']]:[Marcador manual]], "Flagged")</f>
        <v>0</v>
      </c>
      <c r="AO296" s="418">
        <f>tblSeverityAnalysis[[#This Row],[Severidad preliminar basada en la superposición de privaciones sectoriales]]</f>
        <v>2</v>
      </c>
      <c r="AP296" s="417"/>
      <c r="AQ296" s="421" t="s">
        <v>876</v>
      </c>
      <c r="AR296" s="417">
        <v>3</v>
      </c>
    </row>
    <row r="297" spans="1:44" hidden="1">
      <c r="A29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VenezolanosVE2115</v>
      </c>
      <c r="B297" s="363" t="s">
        <v>642</v>
      </c>
      <c r="C297" s="323" t="s">
        <v>643</v>
      </c>
      <c r="D297" s="322" t="s">
        <v>669</v>
      </c>
      <c r="E297" s="323" t="s">
        <v>670</v>
      </c>
      <c r="F297" s="323"/>
      <c r="G297" s="324">
        <v>22153</v>
      </c>
      <c r="H297" s="324" t="s">
        <v>102</v>
      </c>
      <c r="I297" s="374">
        <v>3</v>
      </c>
      <c r="J297" s="237">
        <v>1</v>
      </c>
      <c r="K297" s="237">
        <v>3</v>
      </c>
      <c r="L297" s="237">
        <v>3</v>
      </c>
      <c r="M297" s="237">
        <v>3</v>
      </c>
      <c r="N297" s="237">
        <v>2</v>
      </c>
      <c r="O297" s="237">
        <v>3</v>
      </c>
      <c r="P297" s="237">
        <v>3</v>
      </c>
      <c r="Q297" s="382">
        <f>IF(COUNTIF(tblSeverityAnalysis[[#This Row],[SAMV]:[ASH]], 1)=0, "", COUNTIF(tblSeverityAnalysis[[#This Row],[SAMV]:[ASH]], 1))</f>
        <v>1</v>
      </c>
      <c r="R297" s="325">
        <f>IF(COUNTIF(tblSeverityAnalysis[[#This Row],[SAMV]:[ASH]], 2)=0, "", COUNTIF(tblSeverityAnalysis[[#This Row],[SAMV]:[ASH]], 2))</f>
        <v>1</v>
      </c>
      <c r="S297" s="325">
        <f>IF(COUNTIF(tblSeverityAnalysis[[#This Row],[SAMV]:[ASH]], 3)=0, "", COUNTIF(tblSeverityAnalysis[[#This Row],[SAMV]:[ASH]], 3))</f>
        <v>4</v>
      </c>
      <c r="T297" s="325" t="str">
        <f>IF(COUNTIF(tblSeverityAnalysis[[#This Row],[SAMV]:[ASH]], 4)=0, "", COUNTIF(tblSeverityAnalysis[[#This Row],[SAMV]:[ASH]], 4))</f>
        <v/>
      </c>
      <c r="U297" s="383" t="str">
        <f>IF(COUNTIF(tblSeverityAnalysis[[#This Row],[SAMV]:[ASH]], 5)=0, "", COUNTIF(tblSeverityAnalysis[[#This Row],[SAMV]:[ASH]], 5))</f>
        <v/>
      </c>
      <c r="V297" s="375" cm="1">
        <f t="array" ref="V29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9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97" s="237" t="str">
        <f>IFERROR(IF(INDEX(tblSeverityReference[Severidad de la desnutrición],MATCH(tblSeverityAnalysis[[#This Row],[ID]], tblSeverityReference[ID], 0))= "", "",INDEX(tblSeverityReference[Severidad de la desnutrición],MATCH(tblSeverityAnalysis[[#This Row],[ID]], tblSeverityReference[ID], 0)) ), "")</f>
        <v/>
      </c>
      <c r="Y297" s="349" t="str">
        <f>IFERROR(IF(INDEX(tblSeverityReference[Severidad epidémica],MATCH(tblSeverityAnalysis[[#This Row],[ID]], tblSeverityReference[ID], 0))= "", "",INDEX(tblSeverityReference[Severidad epidémica],MATCH(tblSeverityAnalysis[[#This Row],[ID]], tblSeverityReference[ID], 0)) ), "")</f>
        <v/>
      </c>
      <c r="Z29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97" s="391" t="str">
        <f>IFERROR(IF(INDEX(tblSeverityReference[HR/IHL Violation],MATCH(tblSeverityAnalysis[[#This Row],[ID]], tblSeverityReference[ID], 0))= "", "",INDEX(tblSeverityReference[HR/IHL Violation],MATCH(tblSeverityAnalysis[[#This Row],[ID]], tblSeverityReference[ID], 0)) ), "")</f>
        <v/>
      </c>
      <c r="AB297" s="397">
        <f>IFERROR(AVERAGE(tblSeverityAnalysis[[#This Row],[SAMV]:[ASH]]), "")</f>
        <v>2.5</v>
      </c>
      <c r="AC297" s="346">
        <f>IF(SUM(tblSeverityAnalysis[[#This Row],[SAMV]:[ASH]])=0, "", MAX(tblSeverityAnalysis[[#This Row],[SAMV]:[ASH]]))</f>
        <v>3</v>
      </c>
      <c r="AD297" s="261" t="str" cm="1">
        <f t="array" ref="AD297">IFERROR(IF(tblSeverityAnalysis[[#This Row],[Severidad máxima]]="", "", _xlfn.TEXTJOIN(CHAR(10), TRUE, IF(tblSeverityAnalysis[[#This Row],[SAMV]:[ASH]]=tblSeverityAnalysis[[#This Row],[Severidad máxima]], tblSeverityAnalysis[[#Headers],[SAMV]:[ASH]], ""), "")), "")</f>
        <v>SAMV
SAL
EDU
PRO</v>
      </c>
      <c r="AE297" s="346" cm="1">
        <f t="array" ref="AE297">IFERROR(MAX(_xlfn._xlws.FILTER(tblSeverityAnalysis[[#This Row],[SAMV]:[ASH]], tblSeverityAnalysis[[#This Row],[SAMV]:[ASH]]&lt;tblSeverityAnalysis[[#This Row],[Severidad máxima]])), "")</f>
        <v>2</v>
      </c>
      <c r="AF297" s="398" t="str" cm="1">
        <f t="array" ref="AF297">IFERROR(IF(tblSeverityAnalysis[[#This Row],[2ª mayor severidad]]="", "", _xlfn.TEXTJOIN(CHAR(10), TRUE, IF(tblSeverityAnalysis[[#This Row],[SAMV]:[ASH]]=tblSeverityAnalysis[[#This Row],[2ª mayor severidad]], tblSeverityAnalysis[[#Headers],[SAMV]:[ASH]], ""), "")), "")</f>
        <v>ASH</v>
      </c>
      <c r="AG297" s="405" t="str">
        <f>IFERROR(IF(AND(tblSeverityAnalysis[[#This Row],[5]] &lt;&gt; "", tblSeverityAnalysis[[#This Row],[5]]&gt;=sectors_sev_5), "Flagged", ""), "")</f>
        <v/>
      </c>
      <c r="AH297" s="347" t="str">
        <f>IFERROR(IF(AND(tblSeverityAnalysis[[#This Row],[Severidad preliminar basada en la superposición de privaciones sectoriales]]=5, SUM(tblSeverityAnalysis[[#This Row],[ 1 ]:[ 4 ]])&gt;=sectors_sev_5), "Flagged", ""), "")</f>
        <v/>
      </c>
      <c r="AI297" s="348" t="str" cm="1">
        <f t="array" ref="AI29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9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97" s="350"/>
      <c r="AL297" s="351"/>
      <c r="AM297" s="350"/>
      <c r="AN297" s="407">
        <f>COUNTIF(tblSeverityAnalysis[[#This Row],[1 sectores en fase de severidad 5 '[modificar el umbral']]:[Marcador manual]], "Flagged")</f>
        <v>0</v>
      </c>
      <c r="AO297" s="418">
        <f>tblSeverityAnalysis[[#This Row],[Severidad preliminar basada en la superposición de privaciones sectoriales]]</f>
        <v>3</v>
      </c>
      <c r="AP297" s="417"/>
      <c r="AQ297" s="421" t="s">
        <v>876</v>
      </c>
      <c r="AR297" s="417">
        <v>3</v>
      </c>
    </row>
    <row r="298" spans="1:44" hidden="1">
      <c r="A29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VenezolanosVE2116</v>
      </c>
      <c r="B298" s="363" t="s">
        <v>642</v>
      </c>
      <c r="C298" s="323" t="s">
        <v>643</v>
      </c>
      <c r="D298" s="322" t="s">
        <v>671</v>
      </c>
      <c r="E298" s="323" t="s">
        <v>672</v>
      </c>
      <c r="F298" s="323"/>
      <c r="G298" s="324">
        <v>55409</v>
      </c>
      <c r="H298" s="324" t="s">
        <v>102</v>
      </c>
      <c r="I298" s="374">
        <v>2</v>
      </c>
      <c r="J298" s="237">
        <v>2</v>
      </c>
      <c r="K298" s="237">
        <v>3</v>
      </c>
      <c r="L298" s="237">
        <v>3</v>
      </c>
      <c r="M298" s="237">
        <v>4</v>
      </c>
      <c r="N298" s="237">
        <v>2</v>
      </c>
      <c r="O298" s="237">
        <v>4</v>
      </c>
      <c r="P298" s="237">
        <v>4</v>
      </c>
      <c r="Q298" s="382" t="str">
        <f>IF(COUNTIF(tblSeverityAnalysis[[#This Row],[SAMV]:[ASH]], 1)=0, "", COUNTIF(tblSeverityAnalysis[[#This Row],[SAMV]:[ASH]], 1))</f>
        <v/>
      </c>
      <c r="R298" s="325">
        <f>IF(COUNTIF(tblSeverityAnalysis[[#This Row],[SAMV]:[ASH]], 2)=0, "", COUNTIF(tblSeverityAnalysis[[#This Row],[SAMV]:[ASH]], 2))</f>
        <v>3</v>
      </c>
      <c r="S298" s="325">
        <f>IF(COUNTIF(tblSeverityAnalysis[[#This Row],[SAMV]:[ASH]], 3)=0, "", COUNTIF(tblSeverityAnalysis[[#This Row],[SAMV]:[ASH]], 3))</f>
        <v>2</v>
      </c>
      <c r="T298" s="325">
        <f>IF(COUNTIF(tblSeverityAnalysis[[#This Row],[SAMV]:[ASH]], 4)=0, "", COUNTIF(tblSeverityAnalysis[[#This Row],[SAMV]:[ASH]], 4))</f>
        <v>1</v>
      </c>
      <c r="U298" s="383" t="str">
        <f>IF(COUNTIF(tblSeverityAnalysis[[#This Row],[SAMV]:[ASH]], 5)=0, "", COUNTIF(tblSeverityAnalysis[[#This Row],[SAMV]:[ASH]], 5))</f>
        <v/>
      </c>
      <c r="V298" s="375" cm="1">
        <f t="array" ref="V29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29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98" s="237" t="str">
        <f>IFERROR(IF(INDEX(tblSeverityReference[Severidad de la desnutrición],MATCH(tblSeverityAnalysis[[#This Row],[ID]], tblSeverityReference[ID], 0))= "", "",INDEX(tblSeverityReference[Severidad de la desnutrición],MATCH(tblSeverityAnalysis[[#This Row],[ID]], tblSeverityReference[ID], 0)) ), "")</f>
        <v/>
      </c>
      <c r="Y298" s="349" t="str">
        <f>IFERROR(IF(INDEX(tblSeverityReference[Severidad epidémica],MATCH(tblSeverityAnalysis[[#This Row],[ID]], tblSeverityReference[ID], 0))= "", "",INDEX(tblSeverityReference[Severidad epidémica],MATCH(tblSeverityAnalysis[[#This Row],[ID]], tblSeverityReference[ID], 0)) ), "")</f>
        <v/>
      </c>
      <c r="Z29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98" s="391" t="str">
        <f>IFERROR(IF(INDEX(tblSeverityReference[HR/IHL Violation],MATCH(tblSeverityAnalysis[[#This Row],[ID]], tblSeverityReference[ID], 0))= "", "",INDEX(tblSeverityReference[HR/IHL Violation],MATCH(tblSeverityAnalysis[[#This Row],[ID]], tblSeverityReference[ID], 0)) ), "")</f>
        <v/>
      </c>
      <c r="AB298" s="397">
        <f>IFERROR(AVERAGE(tblSeverityAnalysis[[#This Row],[SAMV]:[ASH]]), "")</f>
        <v>2.6666666666666665</v>
      </c>
      <c r="AC298" s="346">
        <f>IF(SUM(tblSeverityAnalysis[[#This Row],[SAMV]:[ASH]])=0, "", MAX(tblSeverityAnalysis[[#This Row],[SAMV]:[ASH]]))</f>
        <v>4</v>
      </c>
      <c r="AD298" s="261" t="str" cm="1">
        <f t="array" ref="AD298">IFERROR(IF(tblSeverityAnalysis[[#This Row],[Severidad máxima]]="", "", _xlfn.TEXTJOIN(CHAR(10), TRUE, IF(tblSeverityAnalysis[[#This Row],[SAMV]:[ASH]]=tblSeverityAnalysis[[#This Row],[Severidad máxima]], tblSeverityAnalysis[[#Headers],[SAMV]:[ASH]], ""), "")), "")</f>
        <v>PRO</v>
      </c>
      <c r="AE298" s="346" cm="1">
        <f t="array" ref="AE298">IFERROR(MAX(_xlfn._xlws.FILTER(tblSeverityAnalysis[[#This Row],[SAMV]:[ASH]], tblSeverityAnalysis[[#This Row],[SAMV]:[ASH]]&lt;tblSeverityAnalysis[[#This Row],[Severidad máxima]])), "")</f>
        <v>3</v>
      </c>
      <c r="AF298" s="398" t="str" cm="1">
        <f t="array" ref="AF298">IFERROR(IF(tblSeverityAnalysis[[#This Row],[2ª mayor severidad]]="", "", _xlfn.TEXTJOIN(CHAR(10), TRUE, IF(tblSeverityAnalysis[[#This Row],[SAMV]:[ASH]]=tblSeverityAnalysis[[#This Row],[2ª mayor severidad]], tblSeverityAnalysis[[#Headers],[SAMV]:[ASH]], ""), "")), "")</f>
        <v>SAL
EDU</v>
      </c>
      <c r="AG298" s="405" t="str">
        <f>IFERROR(IF(AND(tblSeverityAnalysis[[#This Row],[5]] &lt;&gt; "", tblSeverityAnalysis[[#This Row],[5]]&gt;=sectors_sev_5), "Flagged", ""), "")</f>
        <v/>
      </c>
      <c r="AH298" s="347" t="str">
        <f>IFERROR(IF(AND(tblSeverityAnalysis[[#This Row],[Severidad preliminar basada en la superposición de privaciones sectoriales]]=5, SUM(tblSeverityAnalysis[[#This Row],[ 1 ]:[ 4 ]])&gt;=sectors_sev_5), "Flagged", ""), "")</f>
        <v/>
      </c>
      <c r="AI298" s="348" t="str" cm="1">
        <f t="array" ref="AI29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9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98" s="350"/>
      <c r="AL298" s="351"/>
      <c r="AM298" s="350"/>
      <c r="AN298" s="407">
        <f>COUNTIF(tblSeverityAnalysis[[#This Row],[1 sectores en fase de severidad 5 '[modificar el umbral']]:[Marcador manual]], "Flagged")</f>
        <v>0</v>
      </c>
      <c r="AO298" s="418">
        <f>tblSeverityAnalysis[[#This Row],[Severidad preliminar basada en la superposición de privaciones sectoriales]]</f>
        <v>2</v>
      </c>
      <c r="AP298" s="417"/>
      <c r="AQ298" s="421" t="s">
        <v>876</v>
      </c>
      <c r="AR298" s="417">
        <v>3</v>
      </c>
    </row>
    <row r="299" spans="1:44" hidden="1">
      <c r="A29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VenezolanosVE2117</v>
      </c>
      <c r="B299" s="363" t="s">
        <v>642</v>
      </c>
      <c r="C299" s="323" t="s">
        <v>643</v>
      </c>
      <c r="D299" s="322" t="s">
        <v>203</v>
      </c>
      <c r="E299" s="323" t="s">
        <v>673</v>
      </c>
      <c r="F299" s="323"/>
      <c r="G299" s="324">
        <v>30715</v>
      </c>
      <c r="H299" s="324" t="s">
        <v>102</v>
      </c>
      <c r="I299" s="374">
        <v>3</v>
      </c>
      <c r="J299" s="237">
        <v>1</v>
      </c>
      <c r="K299" s="237">
        <v>3</v>
      </c>
      <c r="L299" s="237">
        <v>3</v>
      </c>
      <c r="M299" s="237">
        <v>2</v>
      </c>
      <c r="N299" s="237">
        <v>3</v>
      </c>
      <c r="O299" s="237">
        <v>2</v>
      </c>
      <c r="P299" s="237">
        <v>2</v>
      </c>
      <c r="Q299" s="382">
        <f>IF(COUNTIF(tblSeverityAnalysis[[#This Row],[SAMV]:[ASH]], 1)=0, "", COUNTIF(tblSeverityAnalysis[[#This Row],[SAMV]:[ASH]], 1))</f>
        <v>1</v>
      </c>
      <c r="R299" s="325">
        <f>IF(COUNTIF(tblSeverityAnalysis[[#This Row],[SAMV]:[ASH]], 2)=0, "", COUNTIF(tblSeverityAnalysis[[#This Row],[SAMV]:[ASH]], 2))</f>
        <v>1</v>
      </c>
      <c r="S299" s="325">
        <f>IF(COUNTIF(tblSeverityAnalysis[[#This Row],[SAMV]:[ASH]], 3)=0, "", COUNTIF(tblSeverityAnalysis[[#This Row],[SAMV]:[ASH]], 3))</f>
        <v>4</v>
      </c>
      <c r="T299" s="325" t="str">
        <f>IF(COUNTIF(tblSeverityAnalysis[[#This Row],[SAMV]:[ASH]], 4)=0, "", COUNTIF(tblSeverityAnalysis[[#This Row],[SAMV]:[ASH]], 4))</f>
        <v/>
      </c>
      <c r="U299" s="383" t="str">
        <f>IF(COUNTIF(tblSeverityAnalysis[[#This Row],[SAMV]:[ASH]], 5)=0, "", COUNTIF(tblSeverityAnalysis[[#This Row],[SAMV]:[ASH]], 5))</f>
        <v/>
      </c>
      <c r="V299" s="375" cm="1">
        <f t="array" ref="V29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29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299" s="237" t="str">
        <f>IFERROR(IF(INDEX(tblSeverityReference[Severidad de la desnutrición],MATCH(tblSeverityAnalysis[[#This Row],[ID]], tblSeverityReference[ID], 0))= "", "",INDEX(tblSeverityReference[Severidad de la desnutrición],MATCH(tblSeverityAnalysis[[#This Row],[ID]], tblSeverityReference[ID], 0)) ), "")</f>
        <v/>
      </c>
      <c r="Y299" s="349" t="str">
        <f>IFERROR(IF(INDEX(tblSeverityReference[Severidad epidémica],MATCH(tblSeverityAnalysis[[#This Row],[ID]], tblSeverityReference[ID], 0))= "", "",INDEX(tblSeverityReference[Severidad epidémica],MATCH(tblSeverityAnalysis[[#This Row],[ID]], tblSeverityReference[ID], 0)) ), "")</f>
        <v/>
      </c>
      <c r="Z29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299" s="391" t="str">
        <f>IFERROR(IF(INDEX(tblSeverityReference[HR/IHL Violation],MATCH(tblSeverityAnalysis[[#This Row],[ID]], tblSeverityReference[ID], 0))= "", "",INDEX(tblSeverityReference[HR/IHL Violation],MATCH(tblSeverityAnalysis[[#This Row],[ID]], tblSeverityReference[ID], 0)) ), "")</f>
        <v/>
      </c>
      <c r="AB299" s="397">
        <f>IFERROR(AVERAGE(tblSeverityAnalysis[[#This Row],[SAMV]:[ASH]]), "")</f>
        <v>2.5</v>
      </c>
      <c r="AC299" s="346">
        <f>IF(SUM(tblSeverityAnalysis[[#This Row],[SAMV]:[ASH]])=0, "", MAX(tblSeverityAnalysis[[#This Row],[SAMV]:[ASH]]))</f>
        <v>3</v>
      </c>
      <c r="AD299" s="261" t="str" cm="1">
        <f t="array" ref="AD299">IFERROR(IF(tblSeverityAnalysis[[#This Row],[Severidad máxima]]="", "", _xlfn.TEXTJOIN(CHAR(10), TRUE, IF(tblSeverityAnalysis[[#This Row],[SAMV]:[ASH]]=tblSeverityAnalysis[[#This Row],[Severidad máxima]], tblSeverityAnalysis[[#Headers],[SAMV]:[ASH]], ""), "")), "")</f>
        <v>SAMV
SAL
EDU
ASH</v>
      </c>
      <c r="AE299" s="346" cm="1">
        <f t="array" ref="AE299">IFERROR(MAX(_xlfn._xlws.FILTER(tblSeverityAnalysis[[#This Row],[SAMV]:[ASH]], tblSeverityAnalysis[[#This Row],[SAMV]:[ASH]]&lt;tblSeverityAnalysis[[#This Row],[Severidad máxima]])), "")</f>
        <v>2</v>
      </c>
      <c r="AF299" s="398" t="str" cm="1">
        <f t="array" ref="AF299">IFERROR(IF(tblSeverityAnalysis[[#This Row],[2ª mayor severidad]]="", "", _xlfn.TEXTJOIN(CHAR(10), TRUE, IF(tblSeverityAnalysis[[#This Row],[SAMV]:[ASH]]=tblSeverityAnalysis[[#This Row],[2ª mayor severidad]], tblSeverityAnalysis[[#Headers],[SAMV]:[ASH]], ""), "")), "")</f>
        <v>PRO</v>
      </c>
      <c r="AG299" s="405" t="str">
        <f>IFERROR(IF(AND(tblSeverityAnalysis[[#This Row],[5]] &lt;&gt; "", tblSeverityAnalysis[[#This Row],[5]]&gt;=sectors_sev_5), "Flagged", ""), "")</f>
        <v/>
      </c>
      <c r="AH299" s="347" t="str">
        <f>IFERROR(IF(AND(tblSeverityAnalysis[[#This Row],[Severidad preliminar basada en la superposición de privaciones sectoriales]]=5, SUM(tblSeverityAnalysis[[#This Row],[ 1 ]:[ 4 ]])&gt;=sectors_sev_5), "Flagged", ""), "")</f>
        <v/>
      </c>
      <c r="AI299" s="348" t="str" cm="1">
        <f t="array" ref="AI29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29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299" s="350"/>
      <c r="AL299" s="351"/>
      <c r="AM299" s="350"/>
      <c r="AN299" s="407">
        <f>COUNTIF(tblSeverityAnalysis[[#This Row],[1 sectores en fase de severidad 5 '[modificar el umbral']]:[Marcador manual]], "Flagged")</f>
        <v>0</v>
      </c>
      <c r="AO299" s="418">
        <f>tblSeverityAnalysis[[#This Row],[Severidad preliminar basada en la superposición de privaciones sectoriales]]</f>
        <v>3</v>
      </c>
      <c r="AP299" s="417"/>
      <c r="AQ299" s="421" t="s">
        <v>876</v>
      </c>
      <c r="AR299" s="417">
        <v>3</v>
      </c>
    </row>
    <row r="300" spans="1:44" hidden="1">
      <c r="A30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VenezolanosVE2118</v>
      </c>
      <c r="B300" s="363" t="s">
        <v>642</v>
      </c>
      <c r="C300" s="323" t="s">
        <v>643</v>
      </c>
      <c r="D300" s="322" t="s">
        <v>642</v>
      </c>
      <c r="E300" s="323" t="s">
        <v>674</v>
      </c>
      <c r="F300" s="323"/>
      <c r="G300" s="324">
        <v>54213</v>
      </c>
      <c r="H300" s="324" t="s">
        <v>102</v>
      </c>
      <c r="I300" s="374">
        <v>3</v>
      </c>
      <c r="J300" s="237">
        <v>3</v>
      </c>
      <c r="K300" s="237">
        <v>3</v>
      </c>
      <c r="L300" s="237">
        <v>3</v>
      </c>
      <c r="M300" s="237">
        <v>2</v>
      </c>
      <c r="N300" s="237">
        <v>2</v>
      </c>
      <c r="O300" s="237">
        <v>2</v>
      </c>
      <c r="P300" s="237">
        <v>2</v>
      </c>
      <c r="Q300" s="382" t="str">
        <f>IF(COUNTIF(tblSeverityAnalysis[[#This Row],[SAMV]:[ASH]], 1)=0, "", COUNTIF(tblSeverityAnalysis[[#This Row],[SAMV]:[ASH]], 1))</f>
        <v/>
      </c>
      <c r="R300" s="325">
        <f>IF(COUNTIF(tblSeverityAnalysis[[#This Row],[SAMV]:[ASH]], 2)=0, "", COUNTIF(tblSeverityAnalysis[[#This Row],[SAMV]:[ASH]], 2))</f>
        <v>2</v>
      </c>
      <c r="S300" s="325">
        <f>IF(COUNTIF(tblSeverityAnalysis[[#This Row],[SAMV]:[ASH]], 3)=0, "", COUNTIF(tblSeverityAnalysis[[#This Row],[SAMV]:[ASH]], 3))</f>
        <v>4</v>
      </c>
      <c r="T300" s="325" t="str">
        <f>IF(COUNTIF(tblSeverityAnalysis[[#This Row],[SAMV]:[ASH]], 4)=0, "", COUNTIF(tblSeverityAnalysis[[#This Row],[SAMV]:[ASH]], 4))</f>
        <v/>
      </c>
      <c r="U300" s="383" t="str">
        <f>IF(COUNTIF(tblSeverityAnalysis[[#This Row],[SAMV]:[ASH]], 5)=0, "", COUNTIF(tblSeverityAnalysis[[#This Row],[SAMV]:[ASH]], 5))</f>
        <v/>
      </c>
      <c r="V300" s="375" cm="1">
        <f t="array" ref="V30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0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00" s="237" t="str">
        <f>IFERROR(IF(INDEX(tblSeverityReference[Severidad de la desnutrición],MATCH(tblSeverityAnalysis[[#This Row],[ID]], tblSeverityReference[ID], 0))= "", "",INDEX(tblSeverityReference[Severidad de la desnutrición],MATCH(tblSeverityAnalysis[[#This Row],[ID]], tblSeverityReference[ID], 0)) ), "")</f>
        <v/>
      </c>
      <c r="Y300" s="349" t="str">
        <f>IFERROR(IF(INDEX(tblSeverityReference[Severidad epidémica],MATCH(tblSeverityAnalysis[[#This Row],[ID]], tblSeverityReference[ID], 0))= "", "",INDEX(tblSeverityReference[Severidad epidémica],MATCH(tblSeverityAnalysis[[#This Row],[ID]], tblSeverityReference[ID], 0)) ), "")</f>
        <v/>
      </c>
      <c r="Z30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00" s="391" t="str">
        <f>IFERROR(IF(INDEX(tblSeverityReference[HR/IHL Violation],MATCH(tblSeverityAnalysis[[#This Row],[ID]], tblSeverityReference[ID], 0))= "", "",INDEX(tblSeverityReference[HR/IHL Violation],MATCH(tblSeverityAnalysis[[#This Row],[ID]], tblSeverityReference[ID], 0)) ), "")</f>
        <v/>
      </c>
      <c r="AB300" s="397">
        <f>IFERROR(AVERAGE(tblSeverityAnalysis[[#This Row],[SAMV]:[ASH]]), "")</f>
        <v>2.6666666666666665</v>
      </c>
      <c r="AC300" s="346">
        <f>IF(SUM(tblSeverityAnalysis[[#This Row],[SAMV]:[ASH]])=0, "", MAX(tblSeverityAnalysis[[#This Row],[SAMV]:[ASH]]))</f>
        <v>3</v>
      </c>
      <c r="AD300" s="261" t="str" cm="1">
        <f t="array" ref="AD300">IFERROR(IF(tblSeverityAnalysis[[#This Row],[Severidad máxima]]="", "", _xlfn.TEXTJOIN(CHAR(10), TRUE, IF(tblSeverityAnalysis[[#This Row],[SAMV]:[ASH]]=tblSeverityAnalysis[[#This Row],[Severidad máxima]], tblSeverityAnalysis[[#Headers],[SAMV]:[ASH]], ""), "")), "")</f>
        <v>SAMV
NUT
SAL
EDU</v>
      </c>
      <c r="AE300" s="346" cm="1">
        <f t="array" ref="AE300">IFERROR(MAX(_xlfn._xlws.FILTER(tblSeverityAnalysis[[#This Row],[SAMV]:[ASH]], tblSeverityAnalysis[[#This Row],[SAMV]:[ASH]]&lt;tblSeverityAnalysis[[#This Row],[Severidad máxima]])), "")</f>
        <v>2</v>
      </c>
      <c r="AF300" s="398" t="str" cm="1">
        <f t="array" ref="AF300">IFERROR(IF(tblSeverityAnalysis[[#This Row],[2ª mayor severidad]]="", "", _xlfn.TEXTJOIN(CHAR(10), TRUE, IF(tblSeverityAnalysis[[#This Row],[SAMV]:[ASH]]=tblSeverityAnalysis[[#This Row],[2ª mayor severidad]], tblSeverityAnalysis[[#Headers],[SAMV]:[ASH]], ""), "")), "")</f>
        <v>PRO
ASH</v>
      </c>
      <c r="AG300" s="405" t="str">
        <f>IFERROR(IF(AND(tblSeverityAnalysis[[#This Row],[5]] &lt;&gt; "", tblSeverityAnalysis[[#This Row],[5]]&gt;=sectors_sev_5), "Flagged", ""), "")</f>
        <v/>
      </c>
      <c r="AH300" s="347" t="str">
        <f>IFERROR(IF(AND(tblSeverityAnalysis[[#This Row],[Severidad preliminar basada en la superposición de privaciones sectoriales]]=5, SUM(tblSeverityAnalysis[[#This Row],[ 1 ]:[ 4 ]])&gt;=sectors_sev_5), "Flagged", ""), "")</f>
        <v/>
      </c>
      <c r="AI300" s="348" t="str" cm="1">
        <f t="array" ref="AI30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0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00" s="350"/>
      <c r="AL300" s="351"/>
      <c r="AM300" s="350"/>
      <c r="AN300" s="407">
        <f>COUNTIF(tblSeverityAnalysis[[#This Row],[1 sectores en fase de severidad 5 '[modificar el umbral']]:[Marcador manual]], "Flagged")</f>
        <v>0</v>
      </c>
      <c r="AO300" s="418">
        <f>tblSeverityAnalysis[[#This Row],[Severidad preliminar basada en la superposición de privaciones sectoriales]]</f>
        <v>3</v>
      </c>
      <c r="AP300" s="417"/>
      <c r="AQ300" s="421" t="s">
        <v>876</v>
      </c>
      <c r="AR300" s="417">
        <v>3</v>
      </c>
    </row>
    <row r="301" spans="1:44" hidden="1">
      <c r="A30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VenezolanosVE2119</v>
      </c>
      <c r="B301" s="363" t="s">
        <v>642</v>
      </c>
      <c r="C301" s="323" t="s">
        <v>643</v>
      </c>
      <c r="D301" s="322" t="s">
        <v>207</v>
      </c>
      <c r="E301" s="323" t="s">
        <v>675</v>
      </c>
      <c r="F301" s="323"/>
      <c r="G301" s="324">
        <v>33620</v>
      </c>
      <c r="H301" s="324" t="s">
        <v>102</v>
      </c>
      <c r="I301" s="374">
        <v>2</v>
      </c>
      <c r="J301" s="237">
        <v>1</v>
      </c>
      <c r="K301" s="237">
        <v>3</v>
      </c>
      <c r="L301" s="237">
        <v>3</v>
      </c>
      <c r="M301" s="237">
        <v>4</v>
      </c>
      <c r="N301" s="237">
        <v>2</v>
      </c>
      <c r="O301" s="237">
        <v>4</v>
      </c>
      <c r="P301" s="237">
        <v>4</v>
      </c>
      <c r="Q301" s="382">
        <f>IF(COUNTIF(tblSeverityAnalysis[[#This Row],[SAMV]:[ASH]], 1)=0, "", COUNTIF(tblSeverityAnalysis[[#This Row],[SAMV]:[ASH]], 1))</f>
        <v>1</v>
      </c>
      <c r="R301" s="325">
        <f>IF(COUNTIF(tblSeverityAnalysis[[#This Row],[SAMV]:[ASH]], 2)=0, "", COUNTIF(tblSeverityAnalysis[[#This Row],[SAMV]:[ASH]], 2))</f>
        <v>2</v>
      </c>
      <c r="S301" s="325">
        <f>IF(COUNTIF(tblSeverityAnalysis[[#This Row],[SAMV]:[ASH]], 3)=0, "", COUNTIF(tblSeverityAnalysis[[#This Row],[SAMV]:[ASH]], 3))</f>
        <v>2</v>
      </c>
      <c r="T301" s="325">
        <f>IF(COUNTIF(tblSeverityAnalysis[[#This Row],[SAMV]:[ASH]], 4)=0, "", COUNTIF(tblSeverityAnalysis[[#This Row],[SAMV]:[ASH]], 4))</f>
        <v>1</v>
      </c>
      <c r="U301" s="383" t="str">
        <f>IF(COUNTIF(tblSeverityAnalysis[[#This Row],[SAMV]:[ASH]], 5)=0, "", COUNTIF(tblSeverityAnalysis[[#This Row],[SAMV]:[ASH]], 5))</f>
        <v/>
      </c>
      <c r="V301" s="375" cm="1">
        <f t="array" ref="V30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30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01" s="237" t="str">
        <f>IFERROR(IF(INDEX(tblSeverityReference[Severidad de la desnutrición],MATCH(tblSeverityAnalysis[[#This Row],[ID]], tblSeverityReference[ID], 0))= "", "",INDEX(tblSeverityReference[Severidad de la desnutrición],MATCH(tblSeverityAnalysis[[#This Row],[ID]], tblSeverityReference[ID], 0)) ), "")</f>
        <v/>
      </c>
      <c r="Y301" s="349" t="str">
        <f>IFERROR(IF(INDEX(tblSeverityReference[Severidad epidémica],MATCH(tblSeverityAnalysis[[#This Row],[ID]], tblSeverityReference[ID], 0))= "", "",INDEX(tblSeverityReference[Severidad epidémica],MATCH(tblSeverityAnalysis[[#This Row],[ID]], tblSeverityReference[ID], 0)) ), "")</f>
        <v/>
      </c>
      <c r="Z30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01" s="391" t="str">
        <f>IFERROR(IF(INDEX(tblSeverityReference[HR/IHL Violation],MATCH(tblSeverityAnalysis[[#This Row],[ID]], tblSeverityReference[ID], 0))= "", "",INDEX(tblSeverityReference[HR/IHL Violation],MATCH(tblSeverityAnalysis[[#This Row],[ID]], tblSeverityReference[ID], 0)) ), "")</f>
        <v/>
      </c>
      <c r="AB301" s="397">
        <f>IFERROR(AVERAGE(tblSeverityAnalysis[[#This Row],[SAMV]:[ASH]]), "")</f>
        <v>2.5</v>
      </c>
      <c r="AC301" s="346">
        <f>IF(SUM(tblSeverityAnalysis[[#This Row],[SAMV]:[ASH]])=0, "", MAX(tblSeverityAnalysis[[#This Row],[SAMV]:[ASH]]))</f>
        <v>4</v>
      </c>
      <c r="AD301" s="261" t="str" cm="1">
        <f t="array" ref="AD301">IFERROR(IF(tblSeverityAnalysis[[#This Row],[Severidad máxima]]="", "", _xlfn.TEXTJOIN(CHAR(10), TRUE, IF(tblSeverityAnalysis[[#This Row],[SAMV]:[ASH]]=tblSeverityAnalysis[[#This Row],[Severidad máxima]], tblSeverityAnalysis[[#Headers],[SAMV]:[ASH]], ""), "")), "")</f>
        <v>PRO</v>
      </c>
      <c r="AE301" s="346" cm="1">
        <f t="array" ref="AE301">IFERROR(MAX(_xlfn._xlws.FILTER(tblSeverityAnalysis[[#This Row],[SAMV]:[ASH]], tblSeverityAnalysis[[#This Row],[SAMV]:[ASH]]&lt;tblSeverityAnalysis[[#This Row],[Severidad máxima]])), "")</f>
        <v>3</v>
      </c>
      <c r="AF301" s="398" t="str" cm="1">
        <f t="array" ref="AF301">IFERROR(IF(tblSeverityAnalysis[[#This Row],[2ª mayor severidad]]="", "", _xlfn.TEXTJOIN(CHAR(10), TRUE, IF(tblSeverityAnalysis[[#This Row],[SAMV]:[ASH]]=tblSeverityAnalysis[[#This Row],[2ª mayor severidad]], tblSeverityAnalysis[[#Headers],[SAMV]:[ASH]], ""), "")), "")</f>
        <v>SAL
EDU</v>
      </c>
      <c r="AG301" s="405" t="str">
        <f>IFERROR(IF(AND(tblSeverityAnalysis[[#This Row],[5]] &lt;&gt; "", tblSeverityAnalysis[[#This Row],[5]]&gt;=sectors_sev_5), "Flagged", ""), "")</f>
        <v/>
      </c>
      <c r="AH301" s="347" t="str">
        <f>IFERROR(IF(AND(tblSeverityAnalysis[[#This Row],[Severidad preliminar basada en la superposición de privaciones sectoriales]]=5, SUM(tblSeverityAnalysis[[#This Row],[ 1 ]:[ 4 ]])&gt;=sectors_sev_5), "Flagged", ""), "")</f>
        <v/>
      </c>
      <c r="AI301" s="348" t="str" cm="1">
        <f t="array" ref="AI30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0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01" s="350"/>
      <c r="AL301" s="351"/>
      <c r="AM301" s="350"/>
      <c r="AN301" s="407">
        <f>COUNTIF(tblSeverityAnalysis[[#This Row],[1 sectores en fase de severidad 5 '[modificar el umbral']]:[Marcador manual]], "Flagged")</f>
        <v>0</v>
      </c>
      <c r="AO301" s="418">
        <f>tblSeverityAnalysis[[#This Row],[Severidad preliminar basada en la superposición de privaciones sectoriales]]</f>
        <v>2</v>
      </c>
      <c r="AP301" s="417"/>
      <c r="AQ301" s="421" t="s">
        <v>876</v>
      </c>
      <c r="AR301" s="417">
        <v>3</v>
      </c>
    </row>
    <row r="302" spans="1:44" hidden="1">
      <c r="A30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VenezolanosVE2120</v>
      </c>
      <c r="B302" s="363" t="s">
        <v>642</v>
      </c>
      <c r="C302" s="323" t="s">
        <v>643</v>
      </c>
      <c r="D302" s="429" t="s">
        <v>676</v>
      </c>
      <c r="E302" s="323" t="s">
        <v>677</v>
      </c>
      <c r="F302" s="323"/>
      <c r="G302" s="324">
        <v>136129</v>
      </c>
      <c r="H302" s="324" t="s">
        <v>102</v>
      </c>
      <c r="I302" s="374">
        <v>2</v>
      </c>
      <c r="J302" s="237">
        <v>4</v>
      </c>
      <c r="K302" s="237">
        <v>3</v>
      </c>
      <c r="L302" s="237">
        <v>3</v>
      </c>
      <c r="M302" s="237">
        <v>4</v>
      </c>
      <c r="N302" s="237">
        <v>2</v>
      </c>
      <c r="O302" s="237">
        <v>4</v>
      </c>
      <c r="P302" s="237">
        <v>4</v>
      </c>
      <c r="Q302" s="382" t="str">
        <f>IF(COUNTIF(tblSeverityAnalysis[[#This Row],[SAMV]:[ASH]], 1)=0, "", COUNTIF(tblSeverityAnalysis[[#This Row],[SAMV]:[ASH]], 1))</f>
        <v/>
      </c>
      <c r="R302" s="325">
        <f>IF(COUNTIF(tblSeverityAnalysis[[#This Row],[SAMV]:[ASH]], 2)=0, "", COUNTIF(tblSeverityAnalysis[[#This Row],[SAMV]:[ASH]], 2))</f>
        <v>2</v>
      </c>
      <c r="S302" s="325">
        <f>IF(COUNTIF(tblSeverityAnalysis[[#This Row],[SAMV]:[ASH]], 3)=0, "", COUNTIF(tblSeverityAnalysis[[#This Row],[SAMV]:[ASH]], 3))</f>
        <v>2</v>
      </c>
      <c r="T302" s="325">
        <f>IF(COUNTIF(tblSeverityAnalysis[[#This Row],[SAMV]:[ASH]], 4)=0, "", COUNTIF(tblSeverityAnalysis[[#This Row],[SAMV]:[ASH]], 4))</f>
        <v>2</v>
      </c>
      <c r="U302" s="383" t="str">
        <f>IF(COUNTIF(tblSeverityAnalysis[[#This Row],[SAMV]:[ASH]], 5)=0, "", COUNTIF(tblSeverityAnalysis[[#This Row],[SAMV]:[ASH]], 5))</f>
        <v/>
      </c>
      <c r="V302" s="376">
        <v>4</v>
      </c>
      <c r="W30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02" s="237" t="str">
        <f>IFERROR(IF(INDEX(tblSeverityReference[Severidad de la desnutrición],MATCH(tblSeverityAnalysis[[#This Row],[ID]], tblSeverityReference[ID], 0))= "", "",INDEX(tblSeverityReference[Severidad de la desnutrición],MATCH(tblSeverityAnalysis[[#This Row],[ID]], tblSeverityReference[ID], 0)) ), "")</f>
        <v/>
      </c>
      <c r="Y302" s="349" t="str">
        <f>IFERROR(IF(INDEX(tblSeverityReference[Severidad epidémica],MATCH(tblSeverityAnalysis[[#This Row],[ID]], tblSeverityReference[ID], 0))= "", "",INDEX(tblSeverityReference[Severidad epidémica],MATCH(tblSeverityAnalysis[[#This Row],[ID]], tblSeverityReference[ID], 0)) ), "")</f>
        <v/>
      </c>
      <c r="Z30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02" s="391" t="str">
        <f>IFERROR(IF(INDEX(tblSeverityReference[HR/IHL Violation],MATCH(tblSeverityAnalysis[[#This Row],[ID]], tblSeverityReference[ID], 0))= "", "",INDEX(tblSeverityReference[HR/IHL Violation],MATCH(tblSeverityAnalysis[[#This Row],[ID]], tblSeverityReference[ID], 0)) ), "")</f>
        <v/>
      </c>
      <c r="AB302" s="397">
        <f>IFERROR(AVERAGE(tblSeverityAnalysis[[#This Row],[SAMV]:[ASH]]), "")</f>
        <v>3</v>
      </c>
      <c r="AC302" s="346">
        <f>IF(SUM(tblSeverityAnalysis[[#This Row],[SAMV]:[ASH]])=0, "", MAX(tblSeverityAnalysis[[#This Row],[SAMV]:[ASH]]))</f>
        <v>4</v>
      </c>
      <c r="AD302" s="261" t="str" cm="1">
        <f t="array" ref="AD302">IFERROR(IF(tblSeverityAnalysis[[#This Row],[Severidad máxima]]="", "", _xlfn.TEXTJOIN(CHAR(10), TRUE, IF(tblSeverityAnalysis[[#This Row],[SAMV]:[ASH]]=tblSeverityAnalysis[[#This Row],[Severidad máxima]], tblSeverityAnalysis[[#Headers],[SAMV]:[ASH]], ""), "")), "")</f>
        <v>NUT
PRO</v>
      </c>
      <c r="AE302" s="346" cm="1">
        <f t="array" ref="AE302">IFERROR(MAX(_xlfn._xlws.FILTER(tblSeverityAnalysis[[#This Row],[SAMV]:[ASH]], tblSeverityAnalysis[[#This Row],[SAMV]:[ASH]]&lt;tblSeverityAnalysis[[#This Row],[Severidad máxima]])), "")</f>
        <v>3</v>
      </c>
      <c r="AF302" s="398" t="str" cm="1">
        <f t="array" ref="AF302">IFERROR(IF(tblSeverityAnalysis[[#This Row],[2ª mayor severidad]]="", "", _xlfn.TEXTJOIN(CHAR(10), TRUE, IF(tblSeverityAnalysis[[#This Row],[SAMV]:[ASH]]=tblSeverityAnalysis[[#This Row],[2ª mayor severidad]], tblSeverityAnalysis[[#Headers],[SAMV]:[ASH]], ""), "")), "")</f>
        <v>SAL
EDU</v>
      </c>
      <c r="AG302" s="405" t="str">
        <f>IFERROR(IF(AND(tblSeverityAnalysis[[#This Row],[5]] &lt;&gt; "", tblSeverityAnalysis[[#This Row],[5]]&gt;=sectors_sev_5), "Flagged", ""), "")</f>
        <v/>
      </c>
      <c r="AH302" s="347" t="str">
        <f>IFERROR(IF(AND(tblSeverityAnalysis[[#This Row],[Severidad preliminar basada en la superposición de privaciones sectoriales]]=5, SUM(tblSeverityAnalysis[[#This Row],[ 1 ]:[ 4 ]])&gt;=sectors_sev_5), "Flagged", ""), "")</f>
        <v/>
      </c>
      <c r="AI302" s="348" t="str" cm="1">
        <f t="array" ref="AI30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0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02" s="350"/>
      <c r="AL302" s="351"/>
      <c r="AM302" s="350"/>
      <c r="AN302" s="407">
        <f>COUNTIF(tblSeverityAnalysis[[#This Row],[1 sectores en fase de severidad 5 '[modificar el umbral']]:[Marcador manual]], "Flagged")</f>
        <v>0</v>
      </c>
      <c r="AO302" s="418">
        <f>tblSeverityAnalysis[[#This Row],[Severidad preliminar basada en la superposición de privaciones sectoriales]]</f>
        <v>4</v>
      </c>
      <c r="AP302" s="417" t="s">
        <v>877</v>
      </c>
      <c r="AQ302" s="421" t="s">
        <v>876</v>
      </c>
      <c r="AR302" s="417">
        <v>3</v>
      </c>
    </row>
    <row r="303" spans="1:44" hidden="1">
      <c r="A30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VenezolanosVE2201</v>
      </c>
      <c r="B303" s="363" t="s">
        <v>678</v>
      </c>
      <c r="C303" s="323" t="s">
        <v>679</v>
      </c>
      <c r="D303" s="322" t="s">
        <v>680</v>
      </c>
      <c r="E303" s="323" t="s">
        <v>681</v>
      </c>
      <c r="F303" s="323"/>
      <c r="G303" s="324">
        <v>20485</v>
      </c>
      <c r="H303" s="324" t="s">
        <v>102</v>
      </c>
      <c r="I303" s="374">
        <v>2</v>
      </c>
      <c r="J303" s="237">
        <v>1</v>
      </c>
      <c r="K303" s="237">
        <v>3</v>
      </c>
      <c r="L303" s="237">
        <v>3</v>
      </c>
      <c r="M303" s="237">
        <v>3</v>
      </c>
      <c r="N303" s="237">
        <v>2</v>
      </c>
      <c r="O303" s="237">
        <v>3</v>
      </c>
      <c r="P303" s="237">
        <v>3</v>
      </c>
      <c r="Q303" s="382">
        <f>IF(COUNTIF(tblSeverityAnalysis[[#This Row],[SAMV]:[ASH]], 1)=0, "", COUNTIF(tblSeverityAnalysis[[#This Row],[SAMV]:[ASH]], 1))</f>
        <v>1</v>
      </c>
      <c r="R303" s="325">
        <f>IF(COUNTIF(tblSeverityAnalysis[[#This Row],[SAMV]:[ASH]], 2)=0, "", COUNTIF(tblSeverityAnalysis[[#This Row],[SAMV]:[ASH]], 2))</f>
        <v>2</v>
      </c>
      <c r="S303" s="325">
        <f>IF(COUNTIF(tblSeverityAnalysis[[#This Row],[SAMV]:[ASH]], 3)=0, "", COUNTIF(tblSeverityAnalysis[[#This Row],[SAMV]:[ASH]], 3))</f>
        <v>3</v>
      </c>
      <c r="T303" s="325" t="str">
        <f>IF(COUNTIF(tblSeverityAnalysis[[#This Row],[SAMV]:[ASH]], 4)=0, "", COUNTIF(tblSeverityAnalysis[[#This Row],[SAMV]:[ASH]], 4))</f>
        <v/>
      </c>
      <c r="U303" s="383" t="str">
        <f>IF(COUNTIF(tblSeverityAnalysis[[#This Row],[SAMV]:[ASH]], 5)=0, "", COUNTIF(tblSeverityAnalysis[[#This Row],[SAMV]:[ASH]], 5))</f>
        <v/>
      </c>
      <c r="V303" s="375" cm="1">
        <f t="array" ref="V30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30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03" s="237" t="str">
        <f>IFERROR(IF(INDEX(tblSeverityReference[Severidad de la desnutrición],MATCH(tblSeverityAnalysis[[#This Row],[ID]], tblSeverityReference[ID], 0))= "", "",INDEX(tblSeverityReference[Severidad de la desnutrición],MATCH(tblSeverityAnalysis[[#This Row],[ID]], tblSeverityReference[ID], 0)) ), "")</f>
        <v/>
      </c>
      <c r="Y303" s="349" t="str">
        <f>IFERROR(IF(INDEX(tblSeverityReference[Severidad epidémica],MATCH(tblSeverityAnalysis[[#This Row],[ID]], tblSeverityReference[ID], 0))= "", "",INDEX(tblSeverityReference[Severidad epidémica],MATCH(tblSeverityAnalysis[[#This Row],[ID]], tblSeverityReference[ID], 0)) ), "")</f>
        <v/>
      </c>
      <c r="Z30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03" s="391" t="str">
        <f>IFERROR(IF(INDEX(tblSeverityReference[HR/IHL Violation],MATCH(tblSeverityAnalysis[[#This Row],[ID]], tblSeverityReference[ID], 0))= "", "",INDEX(tblSeverityReference[HR/IHL Violation],MATCH(tblSeverityAnalysis[[#This Row],[ID]], tblSeverityReference[ID], 0)) ), "")</f>
        <v/>
      </c>
      <c r="AB303" s="397">
        <f>IFERROR(AVERAGE(tblSeverityAnalysis[[#This Row],[SAMV]:[ASH]]), "")</f>
        <v>2.3333333333333335</v>
      </c>
      <c r="AC303" s="346">
        <f>IF(SUM(tblSeverityAnalysis[[#This Row],[SAMV]:[ASH]])=0, "", MAX(tblSeverityAnalysis[[#This Row],[SAMV]:[ASH]]))</f>
        <v>3</v>
      </c>
      <c r="AD303" s="261" t="str" cm="1">
        <f t="array" ref="AD303">IFERROR(IF(tblSeverityAnalysis[[#This Row],[Severidad máxima]]="", "", _xlfn.TEXTJOIN(CHAR(10), TRUE, IF(tblSeverityAnalysis[[#This Row],[SAMV]:[ASH]]=tblSeverityAnalysis[[#This Row],[Severidad máxima]], tblSeverityAnalysis[[#Headers],[SAMV]:[ASH]], ""), "")), "")</f>
        <v>SAL
EDU
PRO</v>
      </c>
      <c r="AE303" s="346" cm="1">
        <f t="array" ref="AE303">IFERROR(MAX(_xlfn._xlws.FILTER(tblSeverityAnalysis[[#This Row],[SAMV]:[ASH]], tblSeverityAnalysis[[#This Row],[SAMV]:[ASH]]&lt;tblSeverityAnalysis[[#This Row],[Severidad máxima]])), "")</f>
        <v>2</v>
      </c>
      <c r="AF303" s="398" t="str" cm="1">
        <f t="array" ref="AF303">IFERROR(IF(tblSeverityAnalysis[[#This Row],[2ª mayor severidad]]="", "", _xlfn.TEXTJOIN(CHAR(10), TRUE, IF(tblSeverityAnalysis[[#This Row],[SAMV]:[ASH]]=tblSeverityAnalysis[[#This Row],[2ª mayor severidad]], tblSeverityAnalysis[[#Headers],[SAMV]:[ASH]], ""), "")), "")</f>
        <v>SAMV
ASH</v>
      </c>
      <c r="AG303" s="405" t="str">
        <f>IFERROR(IF(AND(tblSeverityAnalysis[[#This Row],[5]] &lt;&gt; "", tblSeverityAnalysis[[#This Row],[5]]&gt;=sectors_sev_5), "Flagged", ""), "")</f>
        <v/>
      </c>
      <c r="AH303" s="347" t="str">
        <f>IFERROR(IF(AND(tblSeverityAnalysis[[#This Row],[Severidad preliminar basada en la superposición de privaciones sectoriales]]=5, SUM(tblSeverityAnalysis[[#This Row],[ 1 ]:[ 4 ]])&gt;=sectors_sev_5), "Flagged", ""), "")</f>
        <v/>
      </c>
      <c r="AI303" s="348" t="str" cm="1">
        <f t="array" ref="AI30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0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03" s="350"/>
      <c r="AL303" s="351"/>
      <c r="AM303" s="350"/>
      <c r="AN303" s="407">
        <f>COUNTIF(tblSeverityAnalysis[[#This Row],[1 sectores en fase de severidad 5 '[modificar el umbral']]:[Marcador manual]], "Flagged")</f>
        <v>0</v>
      </c>
      <c r="AO303" s="418">
        <f>tblSeverityAnalysis[[#This Row],[Severidad preliminar basada en la superposición de privaciones sectoriales]]</f>
        <v>2</v>
      </c>
      <c r="AP303" s="417"/>
      <c r="AQ303" s="421" t="s">
        <v>876</v>
      </c>
      <c r="AR303" s="417">
        <v>3</v>
      </c>
    </row>
    <row r="304" spans="1:44" hidden="1">
      <c r="A30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VenezolanosVE2202</v>
      </c>
      <c r="B304" s="363" t="s">
        <v>678</v>
      </c>
      <c r="C304" s="323" t="s">
        <v>679</v>
      </c>
      <c r="D304" s="322" t="s">
        <v>180</v>
      </c>
      <c r="E304" s="323" t="s">
        <v>682</v>
      </c>
      <c r="F304" s="323"/>
      <c r="G304" s="324">
        <v>31185</v>
      </c>
      <c r="H304" s="324" t="s">
        <v>102</v>
      </c>
      <c r="I304" s="374">
        <v>2</v>
      </c>
      <c r="J304" s="237">
        <v>2</v>
      </c>
      <c r="K304" s="237">
        <v>3</v>
      </c>
      <c r="L304" s="237">
        <v>3</v>
      </c>
      <c r="M304" s="237">
        <v>3</v>
      </c>
      <c r="N304" s="237">
        <v>2</v>
      </c>
      <c r="O304" s="237">
        <v>3</v>
      </c>
      <c r="P304" s="237">
        <v>3</v>
      </c>
      <c r="Q304" s="382" t="str">
        <f>IF(COUNTIF(tblSeverityAnalysis[[#This Row],[SAMV]:[ASH]], 1)=0, "", COUNTIF(tblSeverityAnalysis[[#This Row],[SAMV]:[ASH]], 1))</f>
        <v/>
      </c>
      <c r="R304" s="325">
        <f>IF(COUNTIF(tblSeverityAnalysis[[#This Row],[SAMV]:[ASH]], 2)=0, "", COUNTIF(tblSeverityAnalysis[[#This Row],[SAMV]:[ASH]], 2))</f>
        <v>3</v>
      </c>
      <c r="S304" s="325">
        <f>IF(COUNTIF(tblSeverityAnalysis[[#This Row],[SAMV]:[ASH]], 3)=0, "", COUNTIF(tblSeverityAnalysis[[#This Row],[SAMV]:[ASH]], 3))</f>
        <v>3</v>
      </c>
      <c r="T304" s="325" t="str">
        <f>IF(COUNTIF(tblSeverityAnalysis[[#This Row],[SAMV]:[ASH]], 4)=0, "", COUNTIF(tblSeverityAnalysis[[#This Row],[SAMV]:[ASH]], 4))</f>
        <v/>
      </c>
      <c r="U304" s="383" t="str">
        <f>IF(COUNTIF(tblSeverityAnalysis[[#This Row],[SAMV]:[ASH]], 5)=0, "", COUNTIF(tblSeverityAnalysis[[#This Row],[SAMV]:[ASH]], 5))</f>
        <v/>
      </c>
      <c r="V304" s="375" cm="1">
        <f t="array" ref="V30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30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04" s="237" t="str">
        <f>IFERROR(IF(INDEX(tblSeverityReference[Severidad de la desnutrición],MATCH(tblSeverityAnalysis[[#This Row],[ID]], tblSeverityReference[ID], 0))= "", "",INDEX(tblSeverityReference[Severidad de la desnutrición],MATCH(tblSeverityAnalysis[[#This Row],[ID]], tblSeverityReference[ID], 0)) ), "")</f>
        <v/>
      </c>
      <c r="Y304" s="349" t="str">
        <f>IFERROR(IF(INDEX(tblSeverityReference[Severidad epidémica],MATCH(tblSeverityAnalysis[[#This Row],[ID]], tblSeverityReference[ID], 0))= "", "",INDEX(tblSeverityReference[Severidad epidémica],MATCH(tblSeverityAnalysis[[#This Row],[ID]], tblSeverityReference[ID], 0)) ), "")</f>
        <v/>
      </c>
      <c r="Z30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04" s="391" t="str">
        <f>IFERROR(IF(INDEX(tblSeverityReference[HR/IHL Violation],MATCH(tblSeverityAnalysis[[#This Row],[ID]], tblSeverityReference[ID], 0))= "", "",INDEX(tblSeverityReference[HR/IHL Violation],MATCH(tblSeverityAnalysis[[#This Row],[ID]], tblSeverityReference[ID], 0)) ), "")</f>
        <v/>
      </c>
      <c r="AB304" s="397">
        <f>IFERROR(AVERAGE(tblSeverityAnalysis[[#This Row],[SAMV]:[ASH]]), "")</f>
        <v>2.5</v>
      </c>
      <c r="AC304" s="346">
        <f>IF(SUM(tblSeverityAnalysis[[#This Row],[SAMV]:[ASH]])=0, "", MAX(tblSeverityAnalysis[[#This Row],[SAMV]:[ASH]]))</f>
        <v>3</v>
      </c>
      <c r="AD304" s="261" t="str" cm="1">
        <f t="array" ref="AD304">IFERROR(IF(tblSeverityAnalysis[[#This Row],[Severidad máxima]]="", "", _xlfn.TEXTJOIN(CHAR(10), TRUE, IF(tblSeverityAnalysis[[#This Row],[SAMV]:[ASH]]=tblSeverityAnalysis[[#This Row],[Severidad máxima]], tblSeverityAnalysis[[#Headers],[SAMV]:[ASH]], ""), "")), "")</f>
        <v>SAL
EDU
PRO</v>
      </c>
      <c r="AE304" s="346" cm="1">
        <f t="array" ref="AE304">IFERROR(MAX(_xlfn._xlws.FILTER(tblSeverityAnalysis[[#This Row],[SAMV]:[ASH]], tblSeverityAnalysis[[#This Row],[SAMV]:[ASH]]&lt;tblSeverityAnalysis[[#This Row],[Severidad máxima]])), "")</f>
        <v>2</v>
      </c>
      <c r="AF304" s="398" t="str" cm="1">
        <f t="array" ref="AF304">IFERROR(IF(tblSeverityAnalysis[[#This Row],[2ª mayor severidad]]="", "", _xlfn.TEXTJOIN(CHAR(10), TRUE, IF(tblSeverityAnalysis[[#This Row],[SAMV]:[ASH]]=tblSeverityAnalysis[[#This Row],[2ª mayor severidad]], tblSeverityAnalysis[[#Headers],[SAMV]:[ASH]], ""), "")), "")</f>
        <v>SAMV
NUT
ASH</v>
      </c>
      <c r="AG304" s="405" t="str">
        <f>IFERROR(IF(AND(tblSeverityAnalysis[[#This Row],[5]] &lt;&gt; "", tblSeverityAnalysis[[#This Row],[5]]&gt;=sectors_sev_5), "Flagged", ""), "")</f>
        <v/>
      </c>
      <c r="AH304" s="347" t="str">
        <f>IFERROR(IF(AND(tblSeverityAnalysis[[#This Row],[Severidad preliminar basada en la superposición de privaciones sectoriales]]=5, SUM(tblSeverityAnalysis[[#This Row],[ 1 ]:[ 4 ]])&gt;=sectors_sev_5), "Flagged", ""), "")</f>
        <v/>
      </c>
      <c r="AI304" s="348" t="str" cm="1">
        <f t="array" ref="AI30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0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04" s="350"/>
      <c r="AL304" s="351"/>
      <c r="AM304" s="350"/>
      <c r="AN304" s="407">
        <f>COUNTIF(tblSeverityAnalysis[[#This Row],[1 sectores en fase de severidad 5 '[modificar el umbral']]:[Marcador manual]], "Flagged")</f>
        <v>0</v>
      </c>
      <c r="AO304" s="418">
        <f>tblSeverityAnalysis[[#This Row],[Severidad preliminar basada en la superposición de privaciones sectoriales]]</f>
        <v>2</v>
      </c>
      <c r="AP304" s="417"/>
      <c r="AQ304" s="421" t="s">
        <v>876</v>
      </c>
      <c r="AR304" s="417">
        <v>3</v>
      </c>
    </row>
    <row r="305" spans="1:44" hidden="1">
      <c r="A30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VenezolanosVE2203</v>
      </c>
      <c r="B305" s="363" t="s">
        <v>678</v>
      </c>
      <c r="C305" s="323" t="s">
        <v>679</v>
      </c>
      <c r="D305" s="322" t="s">
        <v>683</v>
      </c>
      <c r="E305" s="323" t="s">
        <v>684</v>
      </c>
      <c r="F305" s="323"/>
      <c r="G305" s="324">
        <v>69732</v>
      </c>
      <c r="H305" s="324" t="s">
        <v>102</v>
      </c>
      <c r="I305" s="374">
        <v>3</v>
      </c>
      <c r="J305" s="237">
        <v>1</v>
      </c>
      <c r="K305" s="237">
        <v>3</v>
      </c>
      <c r="L305" s="237">
        <v>3</v>
      </c>
      <c r="M305" s="237">
        <v>3</v>
      </c>
      <c r="N305" s="237">
        <v>2</v>
      </c>
      <c r="O305" s="237">
        <v>3</v>
      </c>
      <c r="P305" s="237">
        <v>3</v>
      </c>
      <c r="Q305" s="382">
        <f>IF(COUNTIF(tblSeverityAnalysis[[#This Row],[SAMV]:[ASH]], 1)=0, "", COUNTIF(tblSeverityAnalysis[[#This Row],[SAMV]:[ASH]], 1))</f>
        <v>1</v>
      </c>
      <c r="R305" s="325">
        <f>IF(COUNTIF(tblSeverityAnalysis[[#This Row],[SAMV]:[ASH]], 2)=0, "", COUNTIF(tblSeverityAnalysis[[#This Row],[SAMV]:[ASH]], 2))</f>
        <v>1</v>
      </c>
      <c r="S305" s="325">
        <f>IF(COUNTIF(tblSeverityAnalysis[[#This Row],[SAMV]:[ASH]], 3)=0, "", COUNTIF(tblSeverityAnalysis[[#This Row],[SAMV]:[ASH]], 3))</f>
        <v>4</v>
      </c>
      <c r="T305" s="325" t="str">
        <f>IF(COUNTIF(tblSeverityAnalysis[[#This Row],[SAMV]:[ASH]], 4)=0, "", COUNTIF(tblSeverityAnalysis[[#This Row],[SAMV]:[ASH]], 4))</f>
        <v/>
      </c>
      <c r="U305" s="383" t="str">
        <f>IF(COUNTIF(tblSeverityAnalysis[[#This Row],[SAMV]:[ASH]], 5)=0, "", COUNTIF(tblSeverityAnalysis[[#This Row],[SAMV]:[ASH]], 5))</f>
        <v/>
      </c>
      <c r="V305" s="375" cm="1">
        <f t="array" ref="V30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0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05" s="237" t="str">
        <f>IFERROR(IF(INDEX(tblSeverityReference[Severidad de la desnutrición],MATCH(tblSeverityAnalysis[[#This Row],[ID]], tblSeverityReference[ID], 0))= "", "",INDEX(tblSeverityReference[Severidad de la desnutrición],MATCH(tblSeverityAnalysis[[#This Row],[ID]], tblSeverityReference[ID], 0)) ), "")</f>
        <v/>
      </c>
      <c r="Y305" s="349" t="str">
        <f>IFERROR(IF(INDEX(tblSeverityReference[Severidad epidémica],MATCH(tblSeverityAnalysis[[#This Row],[ID]], tblSeverityReference[ID], 0))= "", "",INDEX(tblSeverityReference[Severidad epidémica],MATCH(tblSeverityAnalysis[[#This Row],[ID]], tblSeverityReference[ID], 0)) ), "")</f>
        <v/>
      </c>
      <c r="Z30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05" s="391" t="str">
        <f>IFERROR(IF(INDEX(tblSeverityReference[HR/IHL Violation],MATCH(tblSeverityAnalysis[[#This Row],[ID]], tblSeverityReference[ID], 0))= "", "",INDEX(tblSeverityReference[HR/IHL Violation],MATCH(tblSeverityAnalysis[[#This Row],[ID]], tblSeverityReference[ID], 0)) ), "")</f>
        <v/>
      </c>
      <c r="AB305" s="397">
        <f>IFERROR(AVERAGE(tblSeverityAnalysis[[#This Row],[SAMV]:[ASH]]), "")</f>
        <v>2.5</v>
      </c>
      <c r="AC305" s="346">
        <f>IF(SUM(tblSeverityAnalysis[[#This Row],[SAMV]:[ASH]])=0, "", MAX(tblSeverityAnalysis[[#This Row],[SAMV]:[ASH]]))</f>
        <v>3</v>
      </c>
      <c r="AD305" s="261" t="str" cm="1">
        <f t="array" ref="AD305">IFERROR(IF(tblSeverityAnalysis[[#This Row],[Severidad máxima]]="", "", _xlfn.TEXTJOIN(CHAR(10), TRUE, IF(tblSeverityAnalysis[[#This Row],[SAMV]:[ASH]]=tblSeverityAnalysis[[#This Row],[Severidad máxima]], tblSeverityAnalysis[[#Headers],[SAMV]:[ASH]], ""), "")), "")</f>
        <v>SAMV
SAL
EDU
PRO</v>
      </c>
      <c r="AE305" s="346" cm="1">
        <f t="array" ref="AE305">IFERROR(MAX(_xlfn._xlws.FILTER(tblSeverityAnalysis[[#This Row],[SAMV]:[ASH]], tblSeverityAnalysis[[#This Row],[SAMV]:[ASH]]&lt;tblSeverityAnalysis[[#This Row],[Severidad máxima]])), "")</f>
        <v>2</v>
      </c>
      <c r="AF305" s="398" t="str" cm="1">
        <f t="array" ref="AF305">IFERROR(IF(tblSeverityAnalysis[[#This Row],[2ª mayor severidad]]="", "", _xlfn.TEXTJOIN(CHAR(10), TRUE, IF(tblSeverityAnalysis[[#This Row],[SAMV]:[ASH]]=tblSeverityAnalysis[[#This Row],[2ª mayor severidad]], tblSeverityAnalysis[[#Headers],[SAMV]:[ASH]], ""), "")), "")</f>
        <v>ASH</v>
      </c>
      <c r="AG305" s="405" t="str">
        <f>IFERROR(IF(AND(tblSeverityAnalysis[[#This Row],[5]] &lt;&gt; "", tblSeverityAnalysis[[#This Row],[5]]&gt;=sectors_sev_5), "Flagged", ""), "")</f>
        <v/>
      </c>
      <c r="AH305" s="347" t="str">
        <f>IFERROR(IF(AND(tblSeverityAnalysis[[#This Row],[Severidad preliminar basada en la superposición de privaciones sectoriales]]=5, SUM(tblSeverityAnalysis[[#This Row],[ 1 ]:[ 4 ]])&gt;=sectors_sev_5), "Flagged", ""), "")</f>
        <v/>
      </c>
      <c r="AI305" s="348" t="str" cm="1">
        <f t="array" ref="AI30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0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05" s="350"/>
      <c r="AL305" s="351"/>
      <c r="AM305" s="350"/>
      <c r="AN305" s="407">
        <f>COUNTIF(tblSeverityAnalysis[[#This Row],[1 sectores en fase de severidad 5 '[modificar el umbral']]:[Marcador manual]], "Flagged")</f>
        <v>0</v>
      </c>
      <c r="AO305" s="418">
        <f>tblSeverityAnalysis[[#This Row],[Severidad preliminar basada en la superposición de privaciones sectoriales]]</f>
        <v>3</v>
      </c>
      <c r="AP305" s="417"/>
      <c r="AQ305" s="421" t="s">
        <v>876</v>
      </c>
      <c r="AR305" s="417">
        <v>3</v>
      </c>
    </row>
    <row r="306" spans="1:44" hidden="1">
      <c r="A30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VenezolanosVE2204</v>
      </c>
      <c r="B306" s="363" t="s">
        <v>678</v>
      </c>
      <c r="C306" s="323" t="s">
        <v>679</v>
      </c>
      <c r="D306" s="322" t="s">
        <v>685</v>
      </c>
      <c r="E306" s="323" t="s">
        <v>686</v>
      </c>
      <c r="F306" s="323"/>
      <c r="G306" s="324">
        <v>41481</v>
      </c>
      <c r="H306" s="324" t="s">
        <v>102</v>
      </c>
      <c r="I306" s="374">
        <v>2</v>
      </c>
      <c r="J306" s="237">
        <v>1</v>
      </c>
      <c r="K306" s="237">
        <v>3</v>
      </c>
      <c r="L306" s="237">
        <v>3</v>
      </c>
      <c r="M306" s="237">
        <v>3</v>
      </c>
      <c r="N306" s="237">
        <v>2</v>
      </c>
      <c r="O306" s="237">
        <v>3</v>
      </c>
      <c r="P306" s="237">
        <v>3</v>
      </c>
      <c r="Q306" s="382">
        <f>IF(COUNTIF(tblSeverityAnalysis[[#This Row],[SAMV]:[ASH]], 1)=0, "", COUNTIF(tblSeverityAnalysis[[#This Row],[SAMV]:[ASH]], 1))</f>
        <v>1</v>
      </c>
      <c r="R306" s="325">
        <f>IF(COUNTIF(tblSeverityAnalysis[[#This Row],[SAMV]:[ASH]], 2)=0, "", COUNTIF(tblSeverityAnalysis[[#This Row],[SAMV]:[ASH]], 2))</f>
        <v>2</v>
      </c>
      <c r="S306" s="325">
        <f>IF(COUNTIF(tblSeverityAnalysis[[#This Row],[SAMV]:[ASH]], 3)=0, "", COUNTIF(tblSeverityAnalysis[[#This Row],[SAMV]:[ASH]], 3))</f>
        <v>3</v>
      </c>
      <c r="T306" s="325" t="str">
        <f>IF(COUNTIF(tblSeverityAnalysis[[#This Row],[SAMV]:[ASH]], 4)=0, "", COUNTIF(tblSeverityAnalysis[[#This Row],[SAMV]:[ASH]], 4))</f>
        <v/>
      </c>
      <c r="U306" s="383" t="str">
        <f>IF(COUNTIF(tblSeverityAnalysis[[#This Row],[SAMV]:[ASH]], 5)=0, "", COUNTIF(tblSeverityAnalysis[[#This Row],[SAMV]:[ASH]], 5))</f>
        <v/>
      </c>
      <c r="V306" s="375" cm="1">
        <f t="array" ref="V30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30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06" s="237" t="str">
        <f>IFERROR(IF(INDEX(tblSeverityReference[Severidad de la desnutrición],MATCH(tblSeverityAnalysis[[#This Row],[ID]], tblSeverityReference[ID], 0))= "", "",INDEX(tblSeverityReference[Severidad de la desnutrición],MATCH(tblSeverityAnalysis[[#This Row],[ID]], tblSeverityReference[ID], 0)) ), "")</f>
        <v/>
      </c>
      <c r="Y306" s="349" t="str">
        <f>IFERROR(IF(INDEX(tblSeverityReference[Severidad epidémica],MATCH(tblSeverityAnalysis[[#This Row],[ID]], tblSeverityReference[ID], 0))= "", "",INDEX(tblSeverityReference[Severidad epidémica],MATCH(tblSeverityAnalysis[[#This Row],[ID]], tblSeverityReference[ID], 0)) ), "")</f>
        <v/>
      </c>
      <c r="Z30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06" s="391" t="str">
        <f>IFERROR(IF(INDEX(tblSeverityReference[HR/IHL Violation],MATCH(tblSeverityAnalysis[[#This Row],[ID]], tblSeverityReference[ID], 0))= "", "",INDEX(tblSeverityReference[HR/IHL Violation],MATCH(tblSeverityAnalysis[[#This Row],[ID]], tblSeverityReference[ID], 0)) ), "")</f>
        <v/>
      </c>
      <c r="AB306" s="397">
        <f>IFERROR(AVERAGE(tblSeverityAnalysis[[#This Row],[SAMV]:[ASH]]), "")</f>
        <v>2.3333333333333335</v>
      </c>
      <c r="AC306" s="346">
        <f>IF(SUM(tblSeverityAnalysis[[#This Row],[SAMV]:[ASH]])=0, "", MAX(tblSeverityAnalysis[[#This Row],[SAMV]:[ASH]]))</f>
        <v>3</v>
      </c>
      <c r="AD306" s="261" t="str" cm="1">
        <f t="array" ref="AD306">IFERROR(IF(tblSeverityAnalysis[[#This Row],[Severidad máxima]]="", "", _xlfn.TEXTJOIN(CHAR(10), TRUE, IF(tblSeverityAnalysis[[#This Row],[SAMV]:[ASH]]=tblSeverityAnalysis[[#This Row],[Severidad máxima]], tblSeverityAnalysis[[#Headers],[SAMV]:[ASH]], ""), "")), "")</f>
        <v>SAL
EDU
PRO</v>
      </c>
      <c r="AE306" s="346" cm="1">
        <f t="array" ref="AE306">IFERROR(MAX(_xlfn._xlws.FILTER(tblSeverityAnalysis[[#This Row],[SAMV]:[ASH]], tblSeverityAnalysis[[#This Row],[SAMV]:[ASH]]&lt;tblSeverityAnalysis[[#This Row],[Severidad máxima]])), "")</f>
        <v>2</v>
      </c>
      <c r="AF306" s="398" t="str" cm="1">
        <f t="array" ref="AF306">IFERROR(IF(tblSeverityAnalysis[[#This Row],[2ª mayor severidad]]="", "", _xlfn.TEXTJOIN(CHAR(10), TRUE, IF(tblSeverityAnalysis[[#This Row],[SAMV]:[ASH]]=tblSeverityAnalysis[[#This Row],[2ª mayor severidad]], tblSeverityAnalysis[[#Headers],[SAMV]:[ASH]], ""), "")), "")</f>
        <v>SAMV
ASH</v>
      </c>
      <c r="AG306" s="405" t="str">
        <f>IFERROR(IF(AND(tblSeverityAnalysis[[#This Row],[5]] &lt;&gt; "", tblSeverityAnalysis[[#This Row],[5]]&gt;=sectors_sev_5), "Flagged", ""), "")</f>
        <v/>
      </c>
      <c r="AH306" s="347" t="str">
        <f>IFERROR(IF(AND(tblSeverityAnalysis[[#This Row],[Severidad preliminar basada en la superposición de privaciones sectoriales]]=5, SUM(tblSeverityAnalysis[[#This Row],[ 1 ]:[ 4 ]])&gt;=sectors_sev_5), "Flagged", ""), "")</f>
        <v/>
      </c>
      <c r="AI306" s="348" t="str" cm="1">
        <f t="array" ref="AI30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0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06" s="350"/>
      <c r="AL306" s="351"/>
      <c r="AM306" s="350"/>
      <c r="AN306" s="407">
        <f>COUNTIF(tblSeverityAnalysis[[#This Row],[1 sectores en fase de severidad 5 '[modificar el umbral']]:[Marcador manual]], "Flagged")</f>
        <v>0</v>
      </c>
      <c r="AO306" s="418">
        <f>tblSeverityAnalysis[[#This Row],[Severidad preliminar basada en la superposición de privaciones sectoriales]]</f>
        <v>2</v>
      </c>
      <c r="AP306" s="417"/>
      <c r="AQ306" s="421" t="s">
        <v>876</v>
      </c>
      <c r="AR306" s="417">
        <v>3</v>
      </c>
    </row>
    <row r="307" spans="1:44" hidden="1">
      <c r="A30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VenezolanosVE2205</v>
      </c>
      <c r="B307" s="363" t="s">
        <v>678</v>
      </c>
      <c r="C307" s="323" t="s">
        <v>679</v>
      </c>
      <c r="D307" s="322" t="s">
        <v>133</v>
      </c>
      <c r="E307" s="323" t="s">
        <v>687</v>
      </c>
      <c r="F307" s="323"/>
      <c r="G307" s="324">
        <v>57811</v>
      </c>
      <c r="H307" s="324" t="s">
        <v>102</v>
      </c>
      <c r="I307" s="374">
        <v>3</v>
      </c>
      <c r="J307" s="237">
        <v>1</v>
      </c>
      <c r="K307" s="237">
        <v>3</v>
      </c>
      <c r="L307" s="237">
        <v>3</v>
      </c>
      <c r="M307" s="237">
        <v>4</v>
      </c>
      <c r="N307" s="237">
        <v>1</v>
      </c>
      <c r="O307" s="237">
        <v>4</v>
      </c>
      <c r="P307" s="237">
        <v>4</v>
      </c>
      <c r="Q307" s="382">
        <f>IF(COUNTIF(tblSeverityAnalysis[[#This Row],[SAMV]:[ASH]], 1)=0, "", COUNTIF(tblSeverityAnalysis[[#This Row],[SAMV]:[ASH]], 1))</f>
        <v>2</v>
      </c>
      <c r="R307" s="325" t="str">
        <f>IF(COUNTIF(tblSeverityAnalysis[[#This Row],[SAMV]:[ASH]], 2)=0, "", COUNTIF(tblSeverityAnalysis[[#This Row],[SAMV]:[ASH]], 2))</f>
        <v/>
      </c>
      <c r="S307" s="325">
        <f>IF(COUNTIF(tblSeverityAnalysis[[#This Row],[SAMV]:[ASH]], 3)=0, "", COUNTIF(tblSeverityAnalysis[[#This Row],[SAMV]:[ASH]], 3))</f>
        <v>3</v>
      </c>
      <c r="T307" s="325">
        <f>IF(COUNTIF(tblSeverityAnalysis[[#This Row],[SAMV]:[ASH]], 4)=0, "", COUNTIF(tblSeverityAnalysis[[#This Row],[SAMV]:[ASH]], 4))</f>
        <v>1</v>
      </c>
      <c r="U307" s="383" t="str">
        <f>IF(COUNTIF(tblSeverityAnalysis[[#This Row],[SAMV]:[ASH]], 5)=0, "", COUNTIF(tblSeverityAnalysis[[#This Row],[SAMV]:[ASH]], 5))</f>
        <v/>
      </c>
      <c r="V307" s="375" cm="1">
        <f t="array" ref="V30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0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07" s="237" t="str">
        <f>IFERROR(IF(INDEX(tblSeverityReference[Severidad de la desnutrición],MATCH(tblSeverityAnalysis[[#This Row],[ID]], tblSeverityReference[ID], 0))= "", "",INDEX(tblSeverityReference[Severidad de la desnutrición],MATCH(tblSeverityAnalysis[[#This Row],[ID]], tblSeverityReference[ID], 0)) ), "")</f>
        <v/>
      </c>
      <c r="Y307" s="349" t="str">
        <f>IFERROR(IF(INDEX(tblSeverityReference[Severidad epidémica],MATCH(tblSeverityAnalysis[[#This Row],[ID]], tblSeverityReference[ID], 0))= "", "",INDEX(tblSeverityReference[Severidad epidémica],MATCH(tblSeverityAnalysis[[#This Row],[ID]], tblSeverityReference[ID], 0)) ), "")</f>
        <v/>
      </c>
      <c r="Z30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07" s="391" t="str">
        <f>IFERROR(IF(INDEX(tblSeverityReference[HR/IHL Violation],MATCH(tblSeverityAnalysis[[#This Row],[ID]], tblSeverityReference[ID], 0))= "", "",INDEX(tblSeverityReference[HR/IHL Violation],MATCH(tblSeverityAnalysis[[#This Row],[ID]], tblSeverityReference[ID], 0)) ), "")</f>
        <v/>
      </c>
      <c r="AB307" s="397">
        <f>IFERROR(AVERAGE(tblSeverityAnalysis[[#This Row],[SAMV]:[ASH]]), "")</f>
        <v>2.5</v>
      </c>
      <c r="AC307" s="346">
        <f>IF(SUM(tblSeverityAnalysis[[#This Row],[SAMV]:[ASH]])=0, "", MAX(tblSeverityAnalysis[[#This Row],[SAMV]:[ASH]]))</f>
        <v>4</v>
      </c>
      <c r="AD307" s="261" t="str" cm="1">
        <f t="array" ref="AD307">IFERROR(IF(tblSeverityAnalysis[[#This Row],[Severidad máxima]]="", "", _xlfn.TEXTJOIN(CHAR(10), TRUE, IF(tblSeverityAnalysis[[#This Row],[SAMV]:[ASH]]=tblSeverityAnalysis[[#This Row],[Severidad máxima]], tblSeverityAnalysis[[#Headers],[SAMV]:[ASH]], ""), "")), "")</f>
        <v>PRO</v>
      </c>
      <c r="AE307" s="346" cm="1">
        <f t="array" ref="AE307">IFERROR(MAX(_xlfn._xlws.FILTER(tblSeverityAnalysis[[#This Row],[SAMV]:[ASH]], tblSeverityAnalysis[[#This Row],[SAMV]:[ASH]]&lt;tblSeverityAnalysis[[#This Row],[Severidad máxima]])), "")</f>
        <v>3</v>
      </c>
      <c r="AF307" s="398" t="str" cm="1">
        <f t="array" ref="AF307">IFERROR(IF(tblSeverityAnalysis[[#This Row],[2ª mayor severidad]]="", "", _xlfn.TEXTJOIN(CHAR(10), TRUE, IF(tblSeverityAnalysis[[#This Row],[SAMV]:[ASH]]=tblSeverityAnalysis[[#This Row],[2ª mayor severidad]], tblSeverityAnalysis[[#Headers],[SAMV]:[ASH]], ""), "")), "")</f>
        <v>SAMV
SAL
EDU</v>
      </c>
      <c r="AG307" s="405" t="str">
        <f>IFERROR(IF(AND(tblSeverityAnalysis[[#This Row],[5]] &lt;&gt; "", tblSeverityAnalysis[[#This Row],[5]]&gt;=sectors_sev_5), "Flagged", ""), "")</f>
        <v/>
      </c>
      <c r="AH307" s="347" t="str">
        <f>IFERROR(IF(AND(tblSeverityAnalysis[[#This Row],[Severidad preliminar basada en la superposición de privaciones sectoriales]]=5, SUM(tblSeverityAnalysis[[#This Row],[ 1 ]:[ 4 ]])&gt;=sectors_sev_5), "Flagged", ""), "")</f>
        <v/>
      </c>
      <c r="AI307" s="348" t="str" cm="1">
        <f t="array" ref="AI30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0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07" s="350"/>
      <c r="AL307" s="351"/>
      <c r="AM307" s="350"/>
      <c r="AN307" s="407">
        <f>COUNTIF(tblSeverityAnalysis[[#This Row],[1 sectores en fase de severidad 5 '[modificar el umbral']]:[Marcador manual]], "Flagged")</f>
        <v>0</v>
      </c>
      <c r="AO307" s="418">
        <f>tblSeverityAnalysis[[#This Row],[Severidad preliminar basada en la superposición de privaciones sectoriales]]</f>
        <v>3</v>
      </c>
      <c r="AP307" s="417"/>
      <c r="AQ307" s="421" t="s">
        <v>876</v>
      </c>
      <c r="AR307" s="417">
        <v>3</v>
      </c>
    </row>
    <row r="308" spans="1:44" hidden="1">
      <c r="A30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VenezolanosVE2206</v>
      </c>
      <c r="B308" s="363" t="s">
        <v>678</v>
      </c>
      <c r="C308" s="323" t="s">
        <v>679</v>
      </c>
      <c r="D308" s="322" t="s">
        <v>688</v>
      </c>
      <c r="E308" s="323" t="s">
        <v>689</v>
      </c>
      <c r="F308" s="323"/>
      <c r="G308" s="324">
        <v>19673</v>
      </c>
      <c r="H308" s="324" t="s">
        <v>102</v>
      </c>
      <c r="I308" s="374">
        <v>4</v>
      </c>
      <c r="J308" s="237">
        <v>2</v>
      </c>
      <c r="K308" s="237">
        <v>3</v>
      </c>
      <c r="L308" s="237">
        <v>3</v>
      </c>
      <c r="M308" s="237">
        <v>3</v>
      </c>
      <c r="N308" s="237">
        <v>2</v>
      </c>
      <c r="O308" s="237">
        <v>3</v>
      </c>
      <c r="P308" s="237">
        <v>3</v>
      </c>
      <c r="Q308" s="382" t="str">
        <f>IF(COUNTIF(tblSeverityAnalysis[[#This Row],[SAMV]:[ASH]], 1)=0, "", COUNTIF(tblSeverityAnalysis[[#This Row],[SAMV]:[ASH]], 1))</f>
        <v/>
      </c>
      <c r="R308" s="325">
        <f>IF(COUNTIF(tblSeverityAnalysis[[#This Row],[SAMV]:[ASH]], 2)=0, "", COUNTIF(tblSeverityAnalysis[[#This Row],[SAMV]:[ASH]], 2))</f>
        <v>2</v>
      </c>
      <c r="S308" s="325">
        <f>IF(COUNTIF(tblSeverityAnalysis[[#This Row],[SAMV]:[ASH]], 3)=0, "", COUNTIF(tblSeverityAnalysis[[#This Row],[SAMV]:[ASH]], 3))</f>
        <v>3</v>
      </c>
      <c r="T308" s="325">
        <f>IF(COUNTIF(tblSeverityAnalysis[[#This Row],[SAMV]:[ASH]], 4)=0, "", COUNTIF(tblSeverityAnalysis[[#This Row],[SAMV]:[ASH]], 4))</f>
        <v>1</v>
      </c>
      <c r="U308" s="383" t="str">
        <f>IF(COUNTIF(tblSeverityAnalysis[[#This Row],[SAMV]:[ASH]], 5)=0, "", COUNTIF(tblSeverityAnalysis[[#This Row],[SAMV]:[ASH]], 5))</f>
        <v/>
      </c>
      <c r="V308" s="375" cm="1">
        <f t="array" ref="V30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0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08" s="237" t="str">
        <f>IFERROR(IF(INDEX(tblSeverityReference[Severidad de la desnutrición],MATCH(tblSeverityAnalysis[[#This Row],[ID]], tblSeverityReference[ID], 0))= "", "",INDEX(tblSeverityReference[Severidad de la desnutrición],MATCH(tblSeverityAnalysis[[#This Row],[ID]], tblSeverityReference[ID], 0)) ), "")</f>
        <v/>
      </c>
      <c r="Y308" s="349" t="str">
        <f>IFERROR(IF(INDEX(tblSeverityReference[Severidad epidémica],MATCH(tblSeverityAnalysis[[#This Row],[ID]], tblSeverityReference[ID], 0))= "", "",INDEX(tblSeverityReference[Severidad epidémica],MATCH(tblSeverityAnalysis[[#This Row],[ID]], tblSeverityReference[ID], 0)) ), "")</f>
        <v/>
      </c>
      <c r="Z30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08" s="391" t="str">
        <f>IFERROR(IF(INDEX(tblSeverityReference[HR/IHL Violation],MATCH(tblSeverityAnalysis[[#This Row],[ID]], tblSeverityReference[ID], 0))= "", "",INDEX(tblSeverityReference[HR/IHL Violation],MATCH(tblSeverityAnalysis[[#This Row],[ID]], tblSeverityReference[ID], 0)) ), "")</f>
        <v/>
      </c>
      <c r="AB308" s="397">
        <f>IFERROR(AVERAGE(tblSeverityAnalysis[[#This Row],[SAMV]:[ASH]]), "")</f>
        <v>2.8333333333333335</v>
      </c>
      <c r="AC308" s="346">
        <f>IF(SUM(tblSeverityAnalysis[[#This Row],[SAMV]:[ASH]])=0, "", MAX(tblSeverityAnalysis[[#This Row],[SAMV]:[ASH]]))</f>
        <v>4</v>
      </c>
      <c r="AD308" s="261" t="str" cm="1">
        <f t="array" ref="AD308">IFERROR(IF(tblSeverityAnalysis[[#This Row],[Severidad máxima]]="", "", _xlfn.TEXTJOIN(CHAR(10), TRUE, IF(tblSeverityAnalysis[[#This Row],[SAMV]:[ASH]]=tblSeverityAnalysis[[#This Row],[Severidad máxima]], tblSeverityAnalysis[[#Headers],[SAMV]:[ASH]], ""), "")), "")</f>
        <v>SAMV</v>
      </c>
      <c r="AE308" s="346" cm="1">
        <f t="array" ref="AE308">IFERROR(MAX(_xlfn._xlws.FILTER(tblSeverityAnalysis[[#This Row],[SAMV]:[ASH]], tblSeverityAnalysis[[#This Row],[SAMV]:[ASH]]&lt;tblSeverityAnalysis[[#This Row],[Severidad máxima]])), "")</f>
        <v>3</v>
      </c>
      <c r="AF308" s="398" t="str" cm="1">
        <f t="array" ref="AF308">IFERROR(IF(tblSeverityAnalysis[[#This Row],[2ª mayor severidad]]="", "", _xlfn.TEXTJOIN(CHAR(10), TRUE, IF(tblSeverityAnalysis[[#This Row],[SAMV]:[ASH]]=tblSeverityAnalysis[[#This Row],[2ª mayor severidad]], tblSeverityAnalysis[[#Headers],[SAMV]:[ASH]], ""), "")), "")</f>
        <v>SAL
EDU
PRO</v>
      </c>
      <c r="AG308" s="405" t="str">
        <f>IFERROR(IF(AND(tblSeverityAnalysis[[#This Row],[5]] &lt;&gt; "", tblSeverityAnalysis[[#This Row],[5]]&gt;=sectors_sev_5), "Flagged", ""), "")</f>
        <v/>
      </c>
      <c r="AH308" s="347" t="str">
        <f>IFERROR(IF(AND(tblSeverityAnalysis[[#This Row],[Severidad preliminar basada en la superposición de privaciones sectoriales]]=5, SUM(tblSeverityAnalysis[[#This Row],[ 1 ]:[ 4 ]])&gt;=sectors_sev_5), "Flagged", ""), "")</f>
        <v/>
      </c>
      <c r="AI308" s="348" t="str" cm="1">
        <f t="array" ref="AI30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0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08" s="350"/>
      <c r="AL308" s="351"/>
      <c r="AM308" s="350"/>
      <c r="AN308" s="407">
        <f>COUNTIF(tblSeverityAnalysis[[#This Row],[1 sectores en fase de severidad 5 '[modificar el umbral']]:[Marcador manual]], "Flagged")</f>
        <v>0</v>
      </c>
      <c r="AO308" s="418">
        <f>tblSeverityAnalysis[[#This Row],[Severidad preliminar basada en la superposición de privaciones sectoriales]]</f>
        <v>3</v>
      </c>
      <c r="AP308" s="417"/>
      <c r="AQ308" s="421" t="s">
        <v>876</v>
      </c>
      <c r="AR308" s="417">
        <v>3</v>
      </c>
    </row>
    <row r="309" spans="1:44" hidden="1">
      <c r="A30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VenezolanosVE2207</v>
      </c>
      <c r="B309" s="363" t="s">
        <v>678</v>
      </c>
      <c r="C309" s="323" t="s">
        <v>679</v>
      </c>
      <c r="D309" s="322" t="s">
        <v>690</v>
      </c>
      <c r="E309" s="323" t="s">
        <v>691</v>
      </c>
      <c r="F309" s="323"/>
      <c r="G309" s="324">
        <v>17200</v>
      </c>
      <c r="H309" s="324" t="s">
        <v>102</v>
      </c>
      <c r="I309" s="374">
        <v>3</v>
      </c>
      <c r="J309" s="237">
        <v>3</v>
      </c>
      <c r="K309" s="237">
        <v>3</v>
      </c>
      <c r="L309" s="237">
        <v>3</v>
      </c>
      <c r="M309" s="237">
        <v>3</v>
      </c>
      <c r="N309" s="237">
        <v>2</v>
      </c>
      <c r="O309" s="237">
        <v>3</v>
      </c>
      <c r="P309" s="237">
        <v>3</v>
      </c>
      <c r="Q309" s="382" t="str">
        <f>IF(COUNTIF(tblSeverityAnalysis[[#This Row],[SAMV]:[ASH]], 1)=0, "", COUNTIF(tblSeverityAnalysis[[#This Row],[SAMV]:[ASH]], 1))</f>
        <v/>
      </c>
      <c r="R309" s="325">
        <f>IF(COUNTIF(tblSeverityAnalysis[[#This Row],[SAMV]:[ASH]], 2)=0, "", COUNTIF(tblSeverityAnalysis[[#This Row],[SAMV]:[ASH]], 2))</f>
        <v>1</v>
      </c>
      <c r="S309" s="325">
        <f>IF(COUNTIF(tblSeverityAnalysis[[#This Row],[SAMV]:[ASH]], 3)=0, "", COUNTIF(tblSeverityAnalysis[[#This Row],[SAMV]:[ASH]], 3))</f>
        <v>5</v>
      </c>
      <c r="T309" s="325" t="str">
        <f>IF(COUNTIF(tblSeverityAnalysis[[#This Row],[SAMV]:[ASH]], 4)=0, "", COUNTIF(tblSeverityAnalysis[[#This Row],[SAMV]:[ASH]], 4))</f>
        <v/>
      </c>
      <c r="U309" s="383" t="str">
        <f>IF(COUNTIF(tblSeverityAnalysis[[#This Row],[SAMV]:[ASH]], 5)=0, "", COUNTIF(tblSeverityAnalysis[[#This Row],[SAMV]:[ASH]], 5))</f>
        <v/>
      </c>
      <c r="V309" s="375" cm="1">
        <f t="array" ref="V30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0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09" s="237" t="str">
        <f>IFERROR(IF(INDEX(tblSeverityReference[Severidad de la desnutrición],MATCH(tblSeverityAnalysis[[#This Row],[ID]], tblSeverityReference[ID], 0))= "", "",INDEX(tblSeverityReference[Severidad de la desnutrición],MATCH(tblSeverityAnalysis[[#This Row],[ID]], tblSeverityReference[ID], 0)) ), "")</f>
        <v/>
      </c>
      <c r="Y309" s="349" t="str">
        <f>IFERROR(IF(INDEX(tblSeverityReference[Severidad epidémica],MATCH(tblSeverityAnalysis[[#This Row],[ID]], tblSeverityReference[ID], 0))= "", "",INDEX(tblSeverityReference[Severidad epidémica],MATCH(tblSeverityAnalysis[[#This Row],[ID]], tblSeverityReference[ID], 0)) ), "")</f>
        <v/>
      </c>
      <c r="Z30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09" s="391" t="str">
        <f>IFERROR(IF(INDEX(tblSeverityReference[HR/IHL Violation],MATCH(tblSeverityAnalysis[[#This Row],[ID]], tblSeverityReference[ID], 0))= "", "",INDEX(tblSeverityReference[HR/IHL Violation],MATCH(tblSeverityAnalysis[[#This Row],[ID]], tblSeverityReference[ID], 0)) ), "")</f>
        <v/>
      </c>
      <c r="AB309" s="397">
        <f>IFERROR(AVERAGE(tblSeverityAnalysis[[#This Row],[SAMV]:[ASH]]), "")</f>
        <v>2.8333333333333335</v>
      </c>
      <c r="AC309" s="346">
        <f>IF(SUM(tblSeverityAnalysis[[#This Row],[SAMV]:[ASH]])=0, "", MAX(tblSeverityAnalysis[[#This Row],[SAMV]:[ASH]]))</f>
        <v>3</v>
      </c>
      <c r="AD309" s="261" t="str" cm="1">
        <f t="array" ref="AD309">IFERROR(IF(tblSeverityAnalysis[[#This Row],[Severidad máxima]]="", "", _xlfn.TEXTJOIN(CHAR(10), TRUE, IF(tblSeverityAnalysis[[#This Row],[SAMV]:[ASH]]=tblSeverityAnalysis[[#This Row],[Severidad máxima]], tblSeverityAnalysis[[#Headers],[SAMV]:[ASH]], ""), "")), "")</f>
        <v>SAMV
NUT
SAL
EDU
PRO</v>
      </c>
      <c r="AE309" s="346" cm="1">
        <f t="array" ref="AE309">IFERROR(MAX(_xlfn._xlws.FILTER(tblSeverityAnalysis[[#This Row],[SAMV]:[ASH]], tblSeverityAnalysis[[#This Row],[SAMV]:[ASH]]&lt;tblSeverityAnalysis[[#This Row],[Severidad máxima]])), "")</f>
        <v>2</v>
      </c>
      <c r="AF309" s="398" t="str" cm="1">
        <f t="array" ref="AF309">IFERROR(IF(tblSeverityAnalysis[[#This Row],[2ª mayor severidad]]="", "", _xlfn.TEXTJOIN(CHAR(10), TRUE, IF(tblSeverityAnalysis[[#This Row],[SAMV]:[ASH]]=tblSeverityAnalysis[[#This Row],[2ª mayor severidad]], tblSeverityAnalysis[[#Headers],[SAMV]:[ASH]], ""), "")), "")</f>
        <v>ASH</v>
      </c>
      <c r="AG309" s="405" t="str">
        <f>IFERROR(IF(AND(tblSeverityAnalysis[[#This Row],[5]] &lt;&gt; "", tblSeverityAnalysis[[#This Row],[5]]&gt;=sectors_sev_5), "Flagged", ""), "")</f>
        <v/>
      </c>
      <c r="AH309" s="347" t="str">
        <f>IFERROR(IF(AND(tblSeverityAnalysis[[#This Row],[Severidad preliminar basada en la superposición de privaciones sectoriales]]=5, SUM(tblSeverityAnalysis[[#This Row],[ 1 ]:[ 4 ]])&gt;=sectors_sev_5), "Flagged", ""), "")</f>
        <v/>
      </c>
      <c r="AI309" s="348" t="str" cm="1">
        <f t="array" ref="AI30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0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09" s="350"/>
      <c r="AL309" s="351"/>
      <c r="AM309" s="350"/>
      <c r="AN309" s="407">
        <f>COUNTIF(tblSeverityAnalysis[[#This Row],[1 sectores en fase de severidad 5 '[modificar el umbral']]:[Marcador manual]], "Flagged")</f>
        <v>0</v>
      </c>
      <c r="AO309" s="418">
        <f>tblSeverityAnalysis[[#This Row],[Severidad preliminar basada en la superposición de privaciones sectoriales]]</f>
        <v>3</v>
      </c>
      <c r="AP309" s="417"/>
      <c r="AQ309" s="421" t="s">
        <v>876</v>
      </c>
      <c r="AR309" s="417">
        <v>3</v>
      </c>
    </row>
    <row r="310" spans="1:44" hidden="1">
      <c r="A31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VenezolanosVE2208</v>
      </c>
      <c r="B310" s="363" t="s">
        <v>678</v>
      </c>
      <c r="C310" s="323" t="s">
        <v>679</v>
      </c>
      <c r="D310" s="322" t="s">
        <v>692</v>
      </c>
      <c r="E310" s="323" t="s">
        <v>693</v>
      </c>
      <c r="F310" s="323"/>
      <c r="G310" s="324">
        <v>13180</v>
      </c>
      <c r="H310" s="324" t="s">
        <v>102</v>
      </c>
      <c r="I310" s="374">
        <v>2</v>
      </c>
      <c r="J310" s="237">
        <v>1</v>
      </c>
      <c r="K310" s="237">
        <v>4</v>
      </c>
      <c r="L310" s="237">
        <v>3</v>
      </c>
      <c r="M310" s="237">
        <v>4</v>
      </c>
      <c r="N310" s="237">
        <v>2</v>
      </c>
      <c r="O310" s="237">
        <v>4</v>
      </c>
      <c r="P310" s="237">
        <v>4</v>
      </c>
      <c r="Q310" s="382">
        <f>IF(COUNTIF(tblSeverityAnalysis[[#This Row],[SAMV]:[ASH]], 1)=0, "", COUNTIF(tblSeverityAnalysis[[#This Row],[SAMV]:[ASH]], 1))</f>
        <v>1</v>
      </c>
      <c r="R310" s="325">
        <f>IF(COUNTIF(tblSeverityAnalysis[[#This Row],[SAMV]:[ASH]], 2)=0, "", COUNTIF(tblSeverityAnalysis[[#This Row],[SAMV]:[ASH]], 2))</f>
        <v>2</v>
      </c>
      <c r="S310" s="325">
        <f>IF(COUNTIF(tblSeverityAnalysis[[#This Row],[SAMV]:[ASH]], 3)=0, "", COUNTIF(tblSeverityAnalysis[[#This Row],[SAMV]:[ASH]], 3))</f>
        <v>1</v>
      </c>
      <c r="T310" s="325">
        <f>IF(COUNTIF(tblSeverityAnalysis[[#This Row],[SAMV]:[ASH]], 4)=0, "", COUNTIF(tblSeverityAnalysis[[#This Row],[SAMV]:[ASH]], 4))</f>
        <v>2</v>
      </c>
      <c r="U310" s="383" t="str">
        <f>IF(COUNTIF(tblSeverityAnalysis[[#This Row],[SAMV]:[ASH]], 5)=0, "", COUNTIF(tblSeverityAnalysis[[#This Row],[SAMV]:[ASH]], 5))</f>
        <v/>
      </c>
      <c r="V310" s="375" cm="1">
        <f t="array" ref="V31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31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10" s="237" t="str">
        <f>IFERROR(IF(INDEX(tblSeverityReference[Severidad de la desnutrición],MATCH(tblSeverityAnalysis[[#This Row],[ID]], tblSeverityReference[ID], 0))= "", "",INDEX(tblSeverityReference[Severidad de la desnutrición],MATCH(tblSeverityAnalysis[[#This Row],[ID]], tblSeverityReference[ID], 0)) ), "")</f>
        <v/>
      </c>
      <c r="Y310" s="349" t="str">
        <f>IFERROR(IF(INDEX(tblSeverityReference[Severidad epidémica],MATCH(tblSeverityAnalysis[[#This Row],[ID]], tblSeverityReference[ID], 0))= "", "",INDEX(tblSeverityReference[Severidad epidémica],MATCH(tblSeverityAnalysis[[#This Row],[ID]], tblSeverityReference[ID], 0)) ), "")</f>
        <v/>
      </c>
      <c r="Z31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10" s="391" t="str">
        <f>IFERROR(IF(INDEX(tblSeverityReference[HR/IHL Violation],MATCH(tblSeverityAnalysis[[#This Row],[ID]], tblSeverityReference[ID], 0))= "", "",INDEX(tblSeverityReference[HR/IHL Violation],MATCH(tblSeverityAnalysis[[#This Row],[ID]], tblSeverityReference[ID], 0)) ), "")</f>
        <v/>
      </c>
      <c r="AB310" s="397">
        <f>IFERROR(AVERAGE(tblSeverityAnalysis[[#This Row],[SAMV]:[ASH]]), "")</f>
        <v>2.6666666666666665</v>
      </c>
      <c r="AC310" s="346">
        <f>IF(SUM(tblSeverityAnalysis[[#This Row],[SAMV]:[ASH]])=0, "", MAX(tblSeverityAnalysis[[#This Row],[SAMV]:[ASH]]))</f>
        <v>4</v>
      </c>
      <c r="AD310" s="261" t="str" cm="1">
        <f t="array" ref="AD310">IFERROR(IF(tblSeverityAnalysis[[#This Row],[Severidad máxima]]="", "", _xlfn.TEXTJOIN(CHAR(10), TRUE, IF(tblSeverityAnalysis[[#This Row],[SAMV]:[ASH]]=tblSeverityAnalysis[[#This Row],[Severidad máxima]], tblSeverityAnalysis[[#Headers],[SAMV]:[ASH]], ""), "")), "")</f>
        <v>SAL
PRO</v>
      </c>
      <c r="AE310" s="346" cm="1">
        <f t="array" ref="AE310">IFERROR(MAX(_xlfn._xlws.FILTER(tblSeverityAnalysis[[#This Row],[SAMV]:[ASH]], tblSeverityAnalysis[[#This Row],[SAMV]:[ASH]]&lt;tblSeverityAnalysis[[#This Row],[Severidad máxima]])), "")</f>
        <v>3</v>
      </c>
      <c r="AF310" s="398" t="str" cm="1">
        <f t="array" ref="AF310">IFERROR(IF(tblSeverityAnalysis[[#This Row],[2ª mayor severidad]]="", "", _xlfn.TEXTJOIN(CHAR(10), TRUE, IF(tblSeverityAnalysis[[#This Row],[SAMV]:[ASH]]=tblSeverityAnalysis[[#This Row],[2ª mayor severidad]], tblSeverityAnalysis[[#Headers],[SAMV]:[ASH]], ""), "")), "")</f>
        <v>EDU</v>
      </c>
      <c r="AG310" s="405" t="str">
        <f>IFERROR(IF(AND(tblSeverityAnalysis[[#This Row],[5]] &lt;&gt; "", tblSeverityAnalysis[[#This Row],[5]]&gt;=sectors_sev_5), "Flagged", ""), "")</f>
        <v/>
      </c>
      <c r="AH310" s="347" t="str">
        <f>IFERROR(IF(AND(tblSeverityAnalysis[[#This Row],[Severidad preliminar basada en la superposición de privaciones sectoriales]]=5, SUM(tblSeverityAnalysis[[#This Row],[ 1 ]:[ 4 ]])&gt;=sectors_sev_5), "Flagged", ""), "")</f>
        <v/>
      </c>
      <c r="AI310" s="348" t="str" cm="1">
        <f t="array" ref="AI31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1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10" s="350"/>
      <c r="AL310" s="351"/>
      <c r="AM310" s="350"/>
      <c r="AN310" s="407">
        <f>COUNTIF(tblSeverityAnalysis[[#This Row],[1 sectores en fase de severidad 5 '[modificar el umbral']]:[Marcador manual]], "Flagged")</f>
        <v>0</v>
      </c>
      <c r="AO310" s="418">
        <f>tblSeverityAnalysis[[#This Row],[Severidad preliminar basada en la superposición de privaciones sectoriales]]</f>
        <v>2</v>
      </c>
      <c r="AP310" s="417"/>
      <c r="AQ310" s="421" t="s">
        <v>876</v>
      </c>
      <c r="AR310" s="417">
        <v>3</v>
      </c>
    </row>
    <row r="311" spans="1:44" hidden="1">
      <c r="A31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VenezolanosVE2209</v>
      </c>
      <c r="B311" s="363" t="s">
        <v>678</v>
      </c>
      <c r="C311" s="323" t="s">
        <v>679</v>
      </c>
      <c r="D311" s="322" t="s">
        <v>694</v>
      </c>
      <c r="E311" s="323" t="s">
        <v>695</v>
      </c>
      <c r="F311" s="323"/>
      <c r="G311" s="324">
        <v>58932</v>
      </c>
      <c r="H311" s="324" t="s">
        <v>102</v>
      </c>
      <c r="I311" s="374">
        <v>3</v>
      </c>
      <c r="J311" s="237">
        <v>3</v>
      </c>
      <c r="K311" s="237">
        <v>3</v>
      </c>
      <c r="L311" s="237">
        <v>3</v>
      </c>
      <c r="M311" s="237">
        <v>4</v>
      </c>
      <c r="N311" s="237">
        <v>2</v>
      </c>
      <c r="O311" s="237">
        <v>4</v>
      </c>
      <c r="P311" s="237">
        <v>4</v>
      </c>
      <c r="Q311" s="382" t="str">
        <f>IF(COUNTIF(tblSeverityAnalysis[[#This Row],[SAMV]:[ASH]], 1)=0, "", COUNTIF(tblSeverityAnalysis[[#This Row],[SAMV]:[ASH]], 1))</f>
        <v/>
      </c>
      <c r="R311" s="325">
        <f>IF(COUNTIF(tblSeverityAnalysis[[#This Row],[SAMV]:[ASH]], 2)=0, "", COUNTIF(tblSeverityAnalysis[[#This Row],[SAMV]:[ASH]], 2))</f>
        <v>1</v>
      </c>
      <c r="S311" s="325">
        <f>IF(COUNTIF(tblSeverityAnalysis[[#This Row],[SAMV]:[ASH]], 3)=0, "", COUNTIF(tblSeverityAnalysis[[#This Row],[SAMV]:[ASH]], 3))</f>
        <v>4</v>
      </c>
      <c r="T311" s="325">
        <f>IF(COUNTIF(tblSeverityAnalysis[[#This Row],[SAMV]:[ASH]], 4)=0, "", COUNTIF(tblSeverityAnalysis[[#This Row],[SAMV]:[ASH]], 4))</f>
        <v>1</v>
      </c>
      <c r="U311" s="383" t="str">
        <f>IF(COUNTIF(tblSeverityAnalysis[[#This Row],[SAMV]:[ASH]], 5)=0, "", COUNTIF(tblSeverityAnalysis[[#This Row],[SAMV]:[ASH]], 5))</f>
        <v/>
      </c>
      <c r="V311" s="375" cm="1">
        <f t="array" ref="V31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1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11" s="237" t="str">
        <f>IFERROR(IF(INDEX(tblSeverityReference[Severidad de la desnutrición],MATCH(tblSeverityAnalysis[[#This Row],[ID]], tblSeverityReference[ID], 0))= "", "",INDEX(tblSeverityReference[Severidad de la desnutrición],MATCH(tblSeverityAnalysis[[#This Row],[ID]], tblSeverityReference[ID], 0)) ), "")</f>
        <v/>
      </c>
      <c r="Y311" s="349" t="str">
        <f>IFERROR(IF(INDEX(tblSeverityReference[Severidad epidémica],MATCH(tblSeverityAnalysis[[#This Row],[ID]], tblSeverityReference[ID], 0))= "", "",INDEX(tblSeverityReference[Severidad epidémica],MATCH(tblSeverityAnalysis[[#This Row],[ID]], tblSeverityReference[ID], 0)) ), "")</f>
        <v/>
      </c>
      <c r="Z31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11" s="391" t="str">
        <f>IFERROR(IF(INDEX(tblSeverityReference[HR/IHL Violation],MATCH(tblSeverityAnalysis[[#This Row],[ID]], tblSeverityReference[ID], 0))= "", "",INDEX(tblSeverityReference[HR/IHL Violation],MATCH(tblSeverityAnalysis[[#This Row],[ID]], tblSeverityReference[ID], 0)) ), "")</f>
        <v/>
      </c>
      <c r="AB311" s="397">
        <f>IFERROR(AVERAGE(tblSeverityAnalysis[[#This Row],[SAMV]:[ASH]]), "")</f>
        <v>3</v>
      </c>
      <c r="AC311" s="346">
        <f>IF(SUM(tblSeverityAnalysis[[#This Row],[SAMV]:[ASH]])=0, "", MAX(tblSeverityAnalysis[[#This Row],[SAMV]:[ASH]]))</f>
        <v>4</v>
      </c>
      <c r="AD311" s="261" t="str" cm="1">
        <f t="array" ref="AD311">IFERROR(IF(tblSeverityAnalysis[[#This Row],[Severidad máxima]]="", "", _xlfn.TEXTJOIN(CHAR(10), TRUE, IF(tblSeverityAnalysis[[#This Row],[SAMV]:[ASH]]=tblSeverityAnalysis[[#This Row],[Severidad máxima]], tblSeverityAnalysis[[#Headers],[SAMV]:[ASH]], ""), "")), "")</f>
        <v>PRO</v>
      </c>
      <c r="AE311" s="346" cm="1">
        <f t="array" ref="AE311">IFERROR(MAX(_xlfn._xlws.FILTER(tblSeverityAnalysis[[#This Row],[SAMV]:[ASH]], tblSeverityAnalysis[[#This Row],[SAMV]:[ASH]]&lt;tblSeverityAnalysis[[#This Row],[Severidad máxima]])), "")</f>
        <v>3</v>
      </c>
      <c r="AF311" s="398" t="str" cm="1">
        <f t="array" ref="AF311">IFERROR(IF(tblSeverityAnalysis[[#This Row],[2ª mayor severidad]]="", "", _xlfn.TEXTJOIN(CHAR(10), TRUE, IF(tblSeverityAnalysis[[#This Row],[SAMV]:[ASH]]=tblSeverityAnalysis[[#This Row],[2ª mayor severidad]], tblSeverityAnalysis[[#Headers],[SAMV]:[ASH]], ""), "")), "")</f>
        <v>SAMV
NUT
SAL
EDU</v>
      </c>
      <c r="AG311" s="405" t="str">
        <f>IFERROR(IF(AND(tblSeverityAnalysis[[#This Row],[5]] &lt;&gt; "", tblSeverityAnalysis[[#This Row],[5]]&gt;=sectors_sev_5), "Flagged", ""), "")</f>
        <v/>
      </c>
      <c r="AH311" s="347" t="str">
        <f>IFERROR(IF(AND(tblSeverityAnalysis[[#This Row],[Severidad preliminar basada en la superposición de privaciones sectoriales]]=5, SUM(tblSeverityAnalysis[[#This Row],[ 1 ]:[ 4 ]])&gt;=sectors_sev_5), "Flagged", ""), "")</f>
        <v/>
      </c>
      <c r="AI311" s="348" t="str" cm="1">
        <f t="array" ref="AI31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1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11" s="350"/>
      <c r="AL311" s="351"/>
      <c r="AM311" s="350"/>
      <c r="AN311" s="407">
        <f>COUNTIF(tblSeverityAnalysis[[#This Row],[1 sectores en fase de severidad 5 '[modificar el umbral']]:[Marcador manual]], "Flagged")</f>
        <v>0</v>
      </c>
      <c r="AO311" s="418">
        <f>tblSeverityAnalysis[[#This Row],[Severidad preliminar basada en la superposición de privaciones sectoriales]]</f>
        <v>3</v>
      </c>
      <c r="AP311" s="417"/>
      <c r="AQ311" s="421" t="s">
        <v>876</v>
      </c>
      <c r="AR311" s="417">
        <v>3</v>
      </c>
    </row>
    <row r="312" spans="1:44" hidden="1">
      <c r="A31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VenezolanosVE2210</v>
      </c>
      <c r="B312" s="363" t="s">
        <v>678</v>
      </c>
      <c r="C312" s="323" t="s">
        <v>679</v>
      </c>
      <c r="D312" s="322" t="s">
        <v>696</v>
      </c>
      <c r="E312" s="323" t="s">
        <v>697</v>
      </c>
      <c r="F312" s="323"/>
      <c r="G312" s="324">
        <v>101620</v>
      </c>
      <c r="H312" s="324" t="s">
        <v>102</v>
      </c>
      <c r="I312" s="374">
        <v>2</v>
      </c>
      <c r="J312" s="237">
        <v>2</v>
      </c>
      <c r="K312" s="237">
        <v>3</v>
      </c>
      <c r="L312" s="237">
        <v>3</v>
      </c>
      <c r="M312" s="237">
        <v>4</v>
      </c>
      <c r="N312" s="237">
        <v>2</v>
      </c>
      <c r="O312" s="237">
        <v>4</v>
      </c>
      <c r="P312" s="237">
        <v>4</v>
      </c>
      <c r="Q312" s="382" t="str">
        <f>IF(COUNTIF(tblSeverityAnalysis[[#This Row],[SAMV]:[ASH]], 1)=0, "", COUNTIF(tblSeverityAnalysis[[#This Row],[SAMV]:[ASH]], 1))</f>
        <v/>
      </c>
      <c r="R312" s="325">
        <f>IF(COUNTIF(tblSeverityAnalysis[[#This Row],[SAMV]:[ASH]], 2)=0, "", COUNTIF(tblSeverityAnalysis[[#This Row],[SAMV]:[ASH]], 2))</f>
        <v>3</v>
      </c>
      <c r="S312" s="325">
        <f>IF(COUNTIF(tblSeverityAnalysis[[#This Row],[SAMV]:[ASH]], 3)=0, "", COUNTIF(tblSeverityAnalysis[[#This Row],[SAMV]:[ASH]], 3))</f>
        <v>2</v>
      </c>
      <c r="T312" s="325">
        <f>IF(COUNTIF(tblSeverityAnalysis[[#This Row],[SAMV]:[ASH]], 4)=0, "", COUNTIF(tblSeverityAnalysis[[#This Row],[SAMV]:[ASH]], 4))</f>
        <v>1</v>
      </c>
      <c r="U312" s="383" t="str">
        <f>IF(COUNTIF(tblSeverityAnalysis[[#This Row],[SAMV]:[ASH]], 5)=0, "", COUNTIF(tblSeverityAnalysis[[#This Row],[SAMV]:[ASH]], 5))</f>
        <v/>
      </c>
      <c r="V312" s="375" cm="1">
        <f t="array" ref="V31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31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12" s="237" t="str">
        <f>IFERROR(IF(INDEX(tblSeverityReference[Severidad de la desnutrición],MATCH(tblSeverityAnalysis[[#This Row],[ID]], tblSeverityReference[ID], 0))= "", "",INDEX(tblSeverityReference[Severidad de la desnutrición],MATCH(tblSeverityAnalysis[[#This Row],[ID]], tblSeverityReference[ID], 0)) ), "")</f>
        <v/>
      </c>
      <c r="Y312" s="349" t="str">
        <f>IFERROR(IF(INDEX(tblSeverityReference[Severidad epidémica],MATCH(tblSeverityAnalysis[[#This Row],[ID]], tblSeverityReference[ID], 0))= "", "",INDEX(tblSeverityReference[Severidad epidémica],MATCH(tblSeverityAnalysis[[#This Row],[ID]], tblSeverityReference[ID], 0)) ), "")</f>
        <v/>
      </c>
      <c r="Z31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12" s="391" t="str">
        <f>IFERROR(IF(INDEX(tblSeverityReference[HR/IHL Violation],MATCH(tblSeverityAnalysis[[#This Row],[ID]], tblSeverityReference[ID], 0))= "", "",INDEX(tblSeverityReference[HR/IHL Violation],MATCH(tblSeverityAnalysis[[#This Row],[ID]], tblSeverityReference[ID], 0)) ), "")</f>
        <v/>
      </c>
      <c r="AB312" s="397">
        <f>IFERROR(AVERAGE(tblSeverityAnalysis[[#This Row],[SAMV]:[ASH]]), "")</f>
        <v>2.6666666666666665</v>
      </c>
      <c r="AC312" s="346">
        <f>IF(SUM(tblSeverityAnalysis[[#This Row],[SAMV]:[ASH]])=0, "", MAX(tblSeverityAnalysis[[#This Row],[SAMV]:[ASH]]))</f>
        <v>4</v>
      </c>
      <c r="AD312" s="261" t="str" cm="1">
        <f t="array" ref="AD312">IFERROR(IF(tblSeverityAnalysis[[#This Row],[Severidad máxima]]="", "", _xlfn.TEXTJOIN(CHAR(10), TRUE, IF(tblSeverityAnalysis[[#This Row],[SAMV]:[ASH]]=tblSeverityAnalysis[[#This Row],[Severidad máxima]], tblSeverityAnalysis[[#Headers],[SAMV]:[ASH]], ""), "")), "")</f>
        <v>PRO</v>
      </c>
      <c r="AE312" s="346" cm="1">
        <f t="array" ref="AE312">IFERROR(MAX(_xlfn._xlws.FILTER(tblSeverityAnalysis[[#This Row],[SAMV]:[ASH]], tblSeverityAnalysis[[#This Row],[SAMV]:[ASH]]&lt;tblSeverityAnalysis[[#This Row],[Severidad máxima]])), "")</f>
        <v>3</v>
      </c>
      <c r="AF312" s="398" t="str" cm="1">
        <f t="array" ref="AF312">IFERROR(IF(tblSeverityAnalysis[[#This Row],[2ª mayor severidad]]="", "", _xlfn.TEXTJOIN(CHAR(10), TRUE, IF(tblSeverityAnalysis[[#This Row],[SAMV]:[ASH]]=tblSeverityAnalysis[[#This Row],[2ª mayor severidad]], tblSeverityAnalysis[[#Headers],[SAMV]:[ASH]], ""), "")), "")</f>
        <v>SAL
EDU</v>
      </c>
      <c r="AG312" s="405" t="str">
        <f>IFERROR(IF(AND(tblSeverityAnalysis[[#This Row],[5]] &lt;&gt; "", tblSeverityAnalysis[[#This Row],[5]]&gt;=sectors_sev_5), "Flagged", ""), "")</f>
        <v/>
      </c>
      <c r="AH312" s="347" t="str">
        <f>IFERROR(IF(AND(tblSeverityAnalysis[[#This Row],[Severidad preliminar basada en la superposición de privaciones sectoriales]]=5, SUM(tblSeverityAnalysis[[#This Row],[ 1 ]:[ 4 ]])&gt;=sectors_sev_5), "Flagged", ""), "")</f>
        <v/>
      </c>
      <c r="AI312" s="348" t="str" cm="1">
        <f t="array" ref="AI31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1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12" s="350"/>
      <c r="AL312" s="351"/>
      <c r="AM312" s="350"/>
      <c r="AN312" s="407">
        <f>COUNTIF(tblSeverityAnalysis[[#This Row],[1 sectores en fase de severidad 5 '[modificar el umbral']]:[Marcador manual]], "Flagged")</f>
        <v>0</v>
      </c>
      <c r="AO312" s="418">
        <f>tblSeverityAnalysis[[#This Row],[Severidad preliminar basada en la superposición de privaciones sectoriales]]</f>
        <v>2</v>
      </c>
      <c r="AP312" s="417"/>
      <c r="AQ312" s="421" t="s">
        <v>876</v>
      </c>
      <c r="AR312" s="417">
        <v>3</v>
      </c>
    </row>
    <row r="313" spans="1:44" hidden="1">
      <c r="A31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VenezolanosVE2211</v>
      </c>
      <c r="B313" s="363" t="s">
        <v>678</v>
      </c>
      <c r="C313" s="323" t="s">
        <v>679</v>
      </c>
      <c r="D313" s="322" t="s">
        <v>698</v>
      </c>
      <c r="E313" s="323" t="s">
        <v>699</v>
      </c>
      <c r="F313" s="323"/>
      <c r="G313" s="324">
        <v>100759</v>
      </c>
      <c r="H313" s="324" t="s">
        <v>102</v>
      </c>
      <c r="I313" s="374">
        <v>2</v>
      </c>
      <c r="J313" s="237">
        <v>2</v>
      </c>
      <c r="K313" s="237">
        <v>3</v>
      </c>
      <c r="L313" s="237">
        <v>3</v>
      </c>
      <c r="M313" s="237">
        <v>4</v>
      </c>
      <c r="N313" s="237">
        <v>2</v>
      </c>
      <c r="O313" s="237">
        <v>4</v>
      </c>
      <c r="P313" s="237">
        <v>4</v>
      </c>
      <c r="Q313" s="382" t="str">
        <f>IF(COUNTIF(tblSeverityAnalysis[[#This Row],[SAMV]:[ASH]], 1)=0, "", COUNTIF(tblSeverityAnalysis[[#This Row],[SAMV]:[ASH]], 1))</f>
        <v/>
      </c>
      <c r="R313" s="325">
        <f>IF(COUNTIF(tblSeverityAnalysis[[#This Row],[SAMV]:[ASH]], 2)=0, "", COUNTIF(tblSeverityAnalysis[[#This Row],[SAMV]:[ASH]], 2))</f>
        <v>3</v>
      </c>
      <c r="S313" s="325">
        <f>IF(COUNTIF(tblSeverityAnalysis[[#This Row],[SAMV]:[ASH]], 3)=0, "", COUNTIF(tblSeverityAnalysis[[#This Row],[SAMV]:[ASH]], 3))</f>
        <v>2</v>
      </c>
      <c r="T313" s="325">
        <f>IF(COUNTIF(tblSeverityAnalysis[[#This Row],[SAMV]:[ASH]], 4)=0, "", COUNTIF(tblSeverityAnalysis[[#This Row],[SAMV]:[ASH]], 4))</f>
        <v>1</v>
      </c>
      <c r="U313" s="383" t="str">
        <f>IF(COUNTIF(tblSeverityAnalysis[[#This Row],[SAMV]:[ASH]], 5)=0, "", COUNTIF(tblSeverityAnalysis[[#This Row],[SAMV]:[ASH]], 5))</f>
        <v/>
      </c>
      <c r="V313" s="375" cm="1">
        <f t="array" ref="V31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2</v>
      </c>
      <c r="W31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13" s="237" t="str">
        <f>IFERROR(IF(INDEX(tblSeverityReference[Severidad de la desnutrición],MATCH(tblSeverityAnalysis[[#This Row],[ID]], tblSeverityReference[ID], 0))= "", "",INDEX(tblSeverityReference[Severidad de la desnutrición],MATCH(tblSeverityAnalysis[[#This Row],[ID]], tblSeverityReference[ID], 0)) ), "")</f>
        <v/>
      </c>
      <c r="Y313" s="349" t="str">
        <f>IFERROR(IF(INDEX(tblSeverityReference[Severidad epidémica],MATCH(tblSeverityAnalysis[[#This Row],[ID]], tblSeverityReference[ID], 0))= "", "",INDEX(tblSeverityReference[Severidad epidémica],MATCH(tblSeverityAnalysis[[#This Row],[ID]], tblSeverityReference[ID], 0)) ), "")</f>
        <v/>
      </c>
      <c r="Z31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13" s="391" t="str">
        <f>IFERROR(IF(INDEX(tblSeverityReference[HR/IHL Violation],MATCH(tblSeverityAnalysis[[#This Row],[ID]], tblSeverityReference[ID], 0))= "", "",INDEX(tblSeverityReference[HR/IHL Violation],MATCH(tblSeverityAnalysis[[#This Row],[ID]], tblSeverityReference[ID], 0)) ), "")</f>
        <v/>
      </c>
      <c r="AB313" s="397">
        <f>IFERROR(AVERAGE(tblSeverityAnalysis[[#This Row],[SAMV]:[ASH]]), "")</f>
        <v>2.6666666666666665</v>
      </c>
      <c r="AC313" s="346">
        <f>IF(SUM(tblSeverityAnalysis[[#This Row],[SAMV]:[ASH]])=0, "", MAX(tblSeverityAnalysis[[#This Row],[SAMV]:[ASH]]))</f>
        <v>4</v>
      </c>
      <c r="AD313" s="261" t="str" cm="1">
        <f t="array" ref="AD313">IFERROR(IF(tblSeverityAnalysis[[#This Row],[Severidad máxima]]="", "", _xlfn.TEXTJOIN(CHAR(10), TRUE, IF(tblSeverityAnalysis[[#This Row],[SAMV]:[ASH]]=tblSeverityAnalysis[[#This Row],[Severidad máxima]], tblSeverityAnalysis[[#Headers],[SAMV]:[ASH]], ""), "")), "")</f>
        <v>PRO</v>
      </c>
      <c r="AE313" s="346" cm="1">
        <f t="array" ref="AE313">IFERROR(MAX(_xlfn._xlws.FILTER(tblSeverityAnalysis[[#This Row],[SAMV]:[ASH]], tblSeverityAnalysis[[#This Row],[SAMV]:[ASH]]&lt;tblSeverityAnalysis[[#This Row],[Severidad máxima]])), "")</f>
        <v>3</v>
      </c>
      <c r="AF313" s="398" t="str" cm="1">
        <f t="array" ref="AF313">IFERROR(IF(tblSeverityAnalysis[[#This Row],[2ª mayor severidad]]="", "", _xlfn.TEXTJOIN(CHAR(10), TRUE, IF(tblSeverityAnalysis[[#This Row],[SAMV]:[ASH]]=tblSeverityAnalysis[[#This Row],[2ª mayor severidad]], tblSeverityAnalysis[[#Headers],[SAMV]:[ASH]], ""), "")), "")</f>
        <v>SAL
EDU</v>
      </c>
      <c r="AG313" s="405" t="str">
        <f>IFERROR(IF(AND(tblSeverityAnalysis[[#This Row],[5]] &lt;&gt; "", tblSeverityAnalysis[[#This Row],[5]]&gt;=sectors_sev_5), "Flagged", ""), "")</f>
        <v/>
      </c>
      <c r="AH313" s="347" t="str">
        <f>IFERROR(IF(AND(tblSeverityAnalysis[[#This Row],[Severidad preliminar basada en la superposición de privaciones sectoriales]]=5, SUM(tblSeverityAnalysis[[#This Row],[ 1 ]:[ 4 ]])&gt;=sectors_sev_5), "Flagged", ""), "")</f>
        <v/>
      </c>
      <c r="AI313" s="348" t="str" cm="1">
        <f t="array" ref="AI31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1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13" s="350"/>
      <c r="AL313" s="351"/>
      <c r="AM313" s="350"/>
      <c r="AN313" s="407">
        <f>COUNTIF(tblSeverityAnalysis[[#This Row],[1 sectores en fase de severidad 5 '[modificar el umbral']]:[Marcador manual]], "Flagged")</f>
        <v>0</v>
      </c>
      <c r="AO313" s="418">
        <f>tblSeverityAnalysis[[#This Row],[Severidad preliminar basada en la superposición de privaciones sectoriales]]</f>
        <v>2</v>
      </c>
      <c r="AP313" s="417"/>
      <c r="AQ313" s="421" t="s">
        <v>876</v>
      </c>
      <c r="AR313" s="417">
        <v>3</v>
      </c>
    </row>
    <row r="314" spans="1:44" hidden="1">
      <c r="A31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VenezolanosVE2212</v>
      </c>
      <c r="B314" s="363" t="s">
        <v>678</v>
      </c>
      <c r="C314" s="323" t="s">
        <v>679</v>
      </c>
      <c r="D314" s="322" t="s">
        <v>203</v>
      </c>
      <c r="E314" s="323" t="s">
        <v>700</v>
      </c>
      <c r="F314" s="323"/>
      <c r="G314" s="324">
        <v>18988</v>
      </c>
      <c r="H314" s="324" t="s">
        <v>102</v>
      </c>
      <c r="I314" s="374">
        <v>3</v>
      </c>
      <c r="J314" s="237">
        <v>2</v>
      </c>
      <c r="K314" s="237">
        <v>3</v>
      </c>
      <c r="L314" s="237">
        <v>3</v>
      </c>
      <c r="M314" s="237">
        <v>3</v>
      </c>
      <c r="N314" s="237">
        <v>2</v>
      </c>
      <c r="O314" s="237">
        <v>3</v>
      </c>
      <c r="P314" s="237">
        <v>3</v>
      </c>
      <c r="Q314" s="382" t="str">
        <f>IF(COUNTIF(tblSeverityAnalysis[[#This Row],[SAMV]:[ASH]], 1)=0, "", COUNTIF(tblSeverityAnalysis[[#This Row],[SAMV]:[ASH]], 1))</f>
        <v/>
      </c>
      <c r="R314" s="325">
        <f>IF(COUNTIF(tblSeverityAnalysis[[#This Row],[SAMV]:[ASH]], 2)=0, "", COUNTIF(tblSeverityAnalysis[[#This Row],[SAMV]:[ASH]], 2))</f>
        <v>2</v>
      </c>
      <c r="S314" s="325">
        <f>IF(COUNTIF(tblSeverityAnalysis[[#This Row],[SAMV]:[ASH]], 3)=0, "", COUNTIF(tblSeverityAnalysis[[#This Row],[SAMV]:[ASH]], 3))</f>
        <v>4</v>
      </c>
      <c r="T314" s="325" t="str">
        <f>IF(COUNTIF(tblSeverityAnalysis[[#This Row],[SAMV]:[ASH]], 4)=0, "", COUNTIF(tblSeverityAnalysis[[#This Row],[SAMV]:[ASH]], 4))</f>
        <v/>
      </c>
      <c r="U314" s="383" t="str">
        <f>IF(COUNTIF(tblSeverityAnalysis[[#This Row],[SAMV]:[ASH]], 5)=0, "", COUNTIF(tblSeverityAnalysis[[#This Row],[SAMV]:[ASH]], 5))</f>
        <v/>
      </c>
      <c r="V314" s="375" cm="1">
        <f t="array" ref="V31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1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14" s="237" t="str">
        <f>IFERROR(IF(INDEX(tblSeverityReference[Severidad de la desnutrición],MATCH(tblSeverityAnalysis[[#This Row],[ID]], tblSeverityReference[ID], 0))= "", "",INDEX(tblSeverityReference[Severidad de la desnutrición],MATCH(tblSeverityAnalysis[[#This Row],[ID]], tblSeverityReference[ID], 0)) ), "")</f>
        <v/>
      </c>
      <c r="Y314" s="349" t="str">
        <f>IFERROR(IF(INDEX(tblSeverityReference[Severidad epidémica],MATCH(tblSeverityAnalysis[[#This Row],[ID]], tblSeverityReference[ID], 0))= "", "",INDEX(tblSeverityReference[Severidad epidémica],MATCH(tblSeverityAnalysis[[#This Row],[ID]], tblSeverityReference[ID], 0)) ), "")</f>
        <v/>
      </c>
      <c r="Z31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14" s="391" t="str">
        <f>IFERROR(IF(INDEX(tblSeverityReference[HR/IHL Violation],MATCH(tblSeverityAnalysis[[#This Row],[ID]], tblSeverityReference[ID], 0))= "", "",INDEX(tblSeverityReference[HR/IHL Violation],MATCH(tblSeverityAnalysis[[#This Row],[ID]], tblSeverityReference[ID], 0)) ), "")</f>
        <v/>
      </c>
      <c r="AB314" s="397">
        <f>IFERROR(AVERAGE(tblSeverityAnalysis[[#This Row],[SAMV]:[ASH]]), "")</f>
        <v>2.6666666666666665</v>
      </c>
      <c r="AC314" s="346">
        <f>IF(SUM(tblSeverityAnalysis[[#This Row],[SAMV]:[ASH]])=0, "", MAX(tblSeverityAnalysis[[#This Row],[SAMV]:[ASH]]))</f>
        <v>3</v>
      </c>
      <c r="AD314" s="261" t="str" cm="1">
        <f t="array" ref="AD314">IFERROR(IF(tblSeverityAnalysis[[#This Row],[Severidad máxima]]="", "", _xlfn.TEXTJOIN(CHAR(10), TRUE, IF(tblSeverityAnalysis[[#This Row],[SAMV]:[ASH]]=tblSeverityAnalysis[[#This Row],[Severidad máxima]], tblSeverityAnalysis[[#Headers],[SAMV]:[ASH]], ""), "")), "")</f>
        <v>SAMV
SAL
EDU
PRO</v>
      </c>
      <c r="AE314" s="346" cm="1">
        <f t="array" ref="AE314">IFERROR(MAX(_xlfn._xlws.FILTER(tblSeverityAnalysis[[#This Row],[SAMV]:[ASH]], tblSeverityAnalysis[[#This Row],[SAMV]:[ASH]]&lt;tblSeverityAnalysis[[#This Row],[Severidad máxima]])), "")</f>
        <v>2</v>
      </c>
      <c r="AF314" s="398" t="str" cm="1">
        <f t="array" ref="AF314">IFERROR(IF(tblSeverityAnalysis[[#This Row],[2ª mayor severidad]]="", "", _xlfn.TEXTJOIN(CHAR(10), TRUE, IF(tblSeverityAnalysis[[#This Row],[SAMV]:[ASH]]=tblSeverityAnalysis[[#This Row],[2ª mayor severidad]], tblSeverityAnalysis[[#Headers],[SAMV]:[ASH]], ""), "")), "")</f>
        <v>NUT
ASH</v>
      </c>
      <c r="AG314" s="405" t="str">
        <f>IFERROR(IF(AND(tblSeverityAnalysis[[#This Row],[5]] &lt;&gt; "", tblSeverityAnalysis[[#This Row],[5]]&gt;=sectors_sev_5), "Flagged", ""), "")</f>
        <v/>
      </c>
      <c r="AH314" s="347" t="str">
        <f>IFERROR(IF(AND(tblSeverityAnalysis[[#This Row],[Severidad preliminar basada en la superposición de privaciones sectoriales]]=5, SUM(tblSeverityAnalysis[[#This Row],[ 1 ]:[ 4 ]])&gt;=sectors_sev_5), "Flagged", ""), "")</f>
        <v/>
      </c>
      <c r="AI314" s="348" t="str" cm="1">
        <f t="array" ref="AI31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1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14" s="350"/>
      <c r="AL314" s="351"/>
      <c r="AM314" s="350"/>
      <c r="AN314" s="407">
        <f>COUNTIF(tblSeverityAnalysis[[#This Row],[1 sectores en fase de severidad 5 '[modificar el umbral']]:[Marcador manual]], "Flagged")</f>
        <v>0</v>
      </c>
      <c r="AO314" s="418">
        <f>tblSeverityAnalysis[[#This Row],[Severidad preliminar basada en la superposición de privaciones sectoriales]]</f>
        <v>3</v>
      </c>
      <c r="AP314" s="417"/>
      <c r="AQ314" s="421" t="s">
        <v>876</v>
      </c>
      <c r="AR314" s="417">
        <v>3</v>
      </c>
    </row>
    <row r="315" spans="1:44" hidden="1">
      <c r="A31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VenezolanosVE2213</v>
      </c>
      <c r="B315" s="363" t="s">
        <v>678</v>
      </c>
      <c r="C315" s="323" t="s">
        <v>679</v>
      </c>
      <c r="D315" s="322" t="s">
        <v>701</v>
      </c>
      <c r="E315" s="323" t="s">
        <v>702</v>
      </c>
      <c r="F315" s="323"/>
      <c r="G315" s="324">
        <v>21966</v>
      </c>
      <c r="H315" s="324" t="s">
        <v>102</v>
      </c>
      <c r="I315" s="374">
        <v>3</v>
      </c>
      <c r="J315" s="237">
        <v>3</v>
      </c>
      <c r="K315" s="237">
        <v>3</v>
      </c>
      <c r="L315" s="237">
        <v>3</v>
      </c>
      <c r="M315" s="237">
        <v>4</v>
      </c>
      <c r="N315" s="237">
        <v>3</v>
      </c>
      <c r="O315" s="237">
        <v>4</v>
      </c>
      <c r="P315" s="237">
        <v>4</v>
      </c>
      <c r="Q315" s="382" t="str">
        <f>IF(COUNTIF(tblSeverityAnalysis[[#This Row],[SAMV]:[ASH]], 1)=0, "", COUNTIF(tblSeverityAnalysis[[#This Row],[SAMV]:[ASH]], 1))</f>
        <v/>
      </c>
      <c r="R315" s="325" t="str">
        <f>IF(COUNTIF(tblSeverityAnalysis[[#This Row],[SAMV]:[ASH]], 2)=0, "", COUNTIF(tblSeverityAnalysis[[#This Row],[SAMV]:[ASH]], 2))</f>
        <v/>
      </c>
      <c r="S315" s="325">
        <f>IF(COUNTIF(tblSeverityAnalysis[[#This Row],[SAMV]:[ASH]], 3)=0, "", COUNTIF(tblSeverityAnalysis[[#This Row],[SAMV]:[ASH]], 3))</f>
        <v>5</v>
      </c>
      <c r="T315" s="325">
        <f>IF(COUNTIF(tblSeverityAnalysis[[#This Row],[SAMV]:[ASH]], 4)=0, "", COUNTIF(tblSeverityAnalysis[[#This Row],[SAMV]:[ASH]], 4))</f>
        <v>1</v>
      </c>
      <c r="U315" s="383" t="str">
        <f>IF(COUNTIF(tblSeverityAnalysis[[#This Row],[SAMV]:[ASH]], 5)=0, "", COUNTIF(tblSeverityAnalysis[[#This Row],[SAMV]:[ASH]], 5))</f>
        <v/>
      </c>
      <c r="V315" s="375" cm="1">
        <f t="array" ref="V31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1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15" s="237" t="str">
        <f>IFERROR(IF(INDEX(tblSeverityReference[Severidad de la desnutrición],MATCH(tblSeverityAnalysis[[#This Row],[ID]], tblSeverityReference[ID], 0))= "", "",INDEX(tblSeverityReference[Severidad de la desnutrición],MATCH(tblSeverityAnalysis[[#This Row],[ID]], tblSeverityReference[ID], 0)) ), "")</f>
        <v/>
      </c>
      <c r="Y315" s="349" t="str">
        <f>IFERROR(IF(INDEX(tblSeverityReference[Severidad epidémica],MATCH(tblSeverityAnalysis[[#This Row],[ID]], tblSeverityReference[ID], 0))= "", "",INDEX(tblSeverityReference[Severidad epidémica],MATCH(tblSeverityAnalysis[[#This Row],[ID]], tblSeverityReference[ID], 0)) ), "")</f>
        <v/>
      </c>
      <c r="Z31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15" s="391" t="str">
        <f>IFERROR(IF(INDEX(tblSeverityReference[HR/IHL Violation],MATCH(tblSeverityAnalysis[[#This Row],[ID]], tblSeverityReference[ID], 0))= "", "",INDEX(tblSeverityReference[HR/IHL Violation],MATCH(tblSeverityAnalysis[[#This Row],[ID]], tblSeverityReference[ID], 0)) ), "")</f>
        <v/>
      </c>
      <c r="AB315" s="397">
        <f>IFERROR(AVERAGE(tblSeverityAnalysis[[#This Row],[SAMV]:[ASH]]), "")</f>
        <v>3.1666666666666665</v>
      </c>
      <c r="AC315" s="346">
        <f>IF(SUM(tblSeverityAnalysis[[#This Row],[SAMV]:[ASH]])=0, "", MAX(tblSeverityAnalysis[[#This Row],[SAMV]:[ASH]]))</f>
        <v>4</v>
      </c>
      <c r="AD315" s="261" t="str" cm="1">
        <f t="array" ref="AD315">IFERROR(IF(tblSeverityAnalysis[[#This Row],[Severidad máxima]]="", "", _xlfn.TEXTJOIN(CHAR(10), TRUE, IF(tblSeverityAnalysis[[#This Row],[SAMV]:[ASH]]=tblSeverityAnalysis[[#This Row],[Severidad máxima]], tblSeverityAnalysis[[#Headers],[SAMV]:[ASH]], ""), "")), "")</f>
        <v>PRO</v>
      </c>
      <c r="AE315" s="346" cm="1">
        <f t="array" ref="AE315">IFERROR(MAX(_xlfn._xlws.FILTER(tblSeverityAnalysis[[#This Row],[SAMV]:[ASH]], tblSeverityAnalysis[[#This Row],[SAMV]:[ASH]]&lt;tblSeverityAnalysis[[#This Row],[Severidad máxima]])), "")</f>
        <v>3</v>
      </c>
      <c r="AF315" s="398" t="str" cm="1">
        <f t="array" ref="AF315">IFERROR(IF(tblSeverityAnalysis[[#This Row],[2ª mayor severidad]]="", "", _xlfn.TEXTJOIN(CHAR(10), TRUE, IF(tblSeverityAnalysis[[#This Row],[SAMV]:[ASH]]=tblSeverityAnalysis[[#This Row],[2ª mayor severidad]], tblSeverityAnalysis[[#Headers],[SAMV]:[ASH]], ""), "")), "")</f>
        <v>SAMV
NUT
SAL
EDU
ASH</v>
      </c>
      <c r="AG315" s="405" t="str">
        <f>IFERROR(IF(AND(tblSeverityAnalysis[[#This Row],[5]] &lt;&gt; "", tblSeverityAnalysis[[#This Row],[5]]&gt;=sectors_sev_5), "Flagged", ""), "")</f>
        <v/>
      </c>
      <c r="AH315" s="347" t="str">
        <f>IFERROR(IF(AND(tblSeverityAnalysis[[#This Row],[Severidad preliminar basada en la superposición de privaciones sectoriales]]=5, SUM(tblSeverityAnalysis[[#This Row],[ 1 ]:[ 4 ]])&gt;=sectors_sev_5), "Flagged", ""), "")</f>
        <v/>
      </c>
      <c r="AI315" s="348" t="str" cm="1">
        <f t="array" ref="AI31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1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15" s="350"/>
      <c r="AL315" s="351"/>
      <c r="AM315" s="350"/>
      <c r="AN315" s="407">
        <f>COUNTIF(tblSeverityAnalysis[[#This Row],[1 sectores en fase de severidad 5 '[modificar el umbral']]:[Marcador manual]], "Flagged")</f>
        <v>0</v>
      </c>
      <c r="AO315" s="418">
        <f>tblSeverityAnalysis[[#This Row],[Severidad preliminar basada en la superposición de privaciones sectoriales]]</f>
        <v>3</v>
      </c>
      <c r="AP315" s="417"/>
      <c r="AQ315" s="421" t="s">
        <v>876</v>
      </c>
      <c r="AR315" s="417">
        <v>3</v>
      </c>
    </row>
    <row r="316" spans="1:44" hidden="1">
      <c r="A31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VenezolanosVE2214</v>
      </c>
      <c r="B316" s="363" t="s">
        <v>678</v>
      </c>
      <c r="C316" s="323" t="s">
        <v>679</v>
      </c>
      <c r="D316" s="322" t="s">
        <v>703</v>
      </c>
      <c r="E316" s="323" t="s">
        <v>704</v>
      </c>
      <c r="F316" s="323"/>
      <c r="G316" s="324">
        <v>27840</v>
      </c>
      <c r="H316" s="324" t="s">
        <v>102</v>
      </c>
      <c r="I316" s="374">
        <v>4</v>
      </c>
      <c r="J316" s="237">
        <v>1</v>
      </c>
      <c r="K316" s="237">
        <v>3</v>
      </c>
      <c r="L316" s="237">
        <v>3</v>
      </c>
      <c r="M316" s="237">
        <v>3</v>
      </c>
      <c r="N316" s="237">
        <v>2</v>
      </c>
      <c r="O316" s="237">
        <v>3</v>
      </c>
      <c r="P316" s="237">
        <v>3</v>
      </c>
      <c r="Q316" s="382">
        <f>IF(COUNTIF(tblSeverityAnalysis[[#This Row],[SAMV]:[ASH]], 1)=0, "", COUNTIF(tblSeverityAnalysis[[#This Row],[SAMV]:[ASH]], 1))</f>
        <v>1</v>
      </c>
      <c r="R316" s="325">
        <f>IF(COUNTIF(tblSeverityAnalysis[[#This Row],[SAMV]:[ASH]], 2)=0, "", COUNTIF(tblSeverityAnalysis[[#This Row],[SAMV]:[ASH]], 2))</f>
        <v>1</v>
      </c>
      <c r="S316" s="325">
        <f>IF(COUNTIF(tblSeverityAnalysis[[#This Row],[SAMV]:[ASH]], 3)=0, "", COUNTIF(tblSeverityAnalysis[[#This Row],[SAMV]:[ASH]], 3))</f>
        <v>3</v>
      </c>
      <c r="T316" s="325">
        <f>IF(COUNTIF(tblSeverityAnalysis[[#This Row],[SAMV]:[ASH]], 4)=0, "", COUNTIF(tblSeverityAnalysis[[#This Row],[SAMV]:[ASH]], 4))</f>
        <v>1</v>
      </c>
      <c r="U316" s="383" t="str">
        <f>IF(COUNTIF(tblSeverityAnalysis[[#This Row],[SAMV]:[ASH]], 5)=0, "", COUNTIF(tblSeverityAnalysis[[#This Row],[SAMV]:[ASH]], 5))</f>
        <v/>
      </c>
      <c r="V316" s="375" cm="1">
        <f t="array" ref="V31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1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16" s="237" t="str">
        <f>IFERROR(IF(INDEX(tblSeverityReference[Severidad de la desnutrición],MATCH(tblSeverityAnalysis[[#This Row],[ID]], tblSeverityReference[ID], 0))= "", "",INDEX(tblSeverityReference[Severidad de la desnutrición],MATCH(tblSeverityAnalysis[[#This Row],[ID]], tblSeverityReference[ID], 0)) ), "")</f>
        <v/>
      </c>
      <c r="Y316" s="349" t="str">
        <f>IFERROR(IF(INDEX(tblSeverityReference[Severidad epidémica],MATCH(tblSeverityAnalysis[[#This Row],[ID]], tblSeverityReference[ID], 0))= "", "",INDEX(tblSeverityReference[Severidad epidémica],MATCH(tblSeverityAnalysis[[#This Row],[ID]], tblSeverityReference[ID], 0)) ), "")</f>
        <v/>
      </c>
      <c r="Z31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16" s="391" t="str">
        <f>IFERROR(IF(INDEX(tblSeverityReference[HR/IHL Violation],MATCH(tblSeverityAnalysis[[#This Row],[ID]], tblSeverityReference[ID], 0))= "", "",INDEX(tblSeverityReference[HR/IHL Violation],MATCH(tblSeverityAnalysis[[#This Row],[ID]], tblSeverityReference[ID], 0)) ), "")</f>
        <v/>
      </c>
      <c r="AB316" s="397">
        <f>IFERROR(AVERAGE(tblSeverityAnalysis[[#This Row],[SAMV]:[ASH]]), "")</f>
        <v>2.6666666666666665</v>
      </c>
      <c r="AC316" s="346">
        <f>IF(SUM(tblSeverityAnalysis[[#This Row],[SAMV]:[ASH]])=0, "", MAX(tblSeverityAnalysis[[#This Row],[SAMV]:[ASH]]))</f>
        <v>4</v>
      </c>
      <c r="AD316" s="261" t="str" cm="1">
        <f t="array" ref="AD316">IFERROR(IF(tblSeverityAnalysis[[#This Row],[Severidad máxima]]="", "", _xlfn.TEXTJOIN(CHAR(10), TRUE, IF(tblSeverityAnalysis[[#This Row],[SAMV]:[ASH]]=tblSeverityAnalysis[[#This Row],[Severidad máxima]], tblSeverityAnalysis[[#Headers],[SAMV]:[ASH]], ""), "")), "")</f>
        <v>SAMV</v>
      </c>
      <c r="AE316" s="346" cm="1">
        <f t="array" ref="AE316">IFERROR(MAX(_xlfn._xlws.FILTER(tblSeverityAnalysis[[#This Row],[SAMV]:[ASH]], tblSeverityAnalysis[[#This Row],[SAMV]:[ASH]]&lt;tblSeverityAnalysis[[#This Row],[Severidad máxima]])), "")</f>
        <v>3</v>
      </c>
      <c r="AF316" s="398" t="str" cm="1">
        <f t="array" ref="AF316">IFERROR(IF(tblSeverityAnalysis[[#This Row],[2ª mayor severidad]]="", "", _xlfn.TEXTJOIN(CHAR(10), TRUE, IF(tblSeverityAnalysis[[#This Row],[SAMV]:[ASH]]=tblSeverityAnalysis[[#This Row],[2ª mayor severidad]], tblSeverityAnalysis[[#Headers],[SAMV]:[ASH]], ""), "")), "")</f>
        <v>SAL
EDU
PRO</v>
      </c>
      <c r="AG316" s="405" t="str">
        <f>IFERROR(IF(AND(tblSeverityAnalysis[[#This Row],[5]] &lt;&gt; "", tblSeverityAnalysis[[#This Row],[5]]&gt;=sectors_sev_5), "Flagged", ""), "")</f>
        <v/>
      </c>
      <c r="AH316" s="347" t="str">
        <f>IFERROR(IF(AND(tblSeverityAnalysis[[#This Row],[Severidad preliminar basada en la superposición de privaciones sectoriales]]=5, SUM(tblSeverityAnalysis[[#This Row],[ 1 ]:[ 4 ]])&gt;=sectors_sev_5), "Flagged", ""), "")</f>
        <v/>
      </c>
      <c r="AI316" s="348" t="str" cm="1">
        <f t="array" ref="AI31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1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16" s="350"/>
      <c r="AL316" s="351"/>
      <c r="AM316" s="350"/>
      <c r="AN316" s="407">
        <f>COUNTIF(tblSeverityAnalysis[[#This Row],[1 sectores en fase de severidad 5 '[modificar el umbral']]:[Marcador manual]], "Flagged")</f>
        <v>0</v>
      </c>
      <c r="AO316" s="418">
        <f>tblSeverityAnalysis[[#This Row],[Severidad preliminar basada en la superposición de privaciones sectoriales]]</f>
        <v>3</v>
      </c>
      <c r="AP316" s="417"/>
      <c r="AQ316" s="421" t="s">
        <v>876</v>
      </c>
      <c r="AR316" s="417">
        <v>4</v>
      </c>
    </row>
    <row r="317" spans="1:44" hidden="1">
      <c r="A31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VenezolanosVE2301</v>
      </c>
      <c r="B317" s="363" t="s">
        <v>705</v>
      </c>
      <c r="C317" s="323" t="s">
        <v>706</v>
      </c>
      <c r="D317" s="322" t="s">
        <v>707</v>
      </c>
      <c r="E317" s="323" t="s">
        <v>708</v>
      </c>
      <c r="F317" s="323"/>
      <c r="G317" s="324">
        <v>11929</v>
      </c>
      <c r="H317" s="324" t="s">
        <v>102</v>
      </c>
      <c r="I317" s="374">
        <v>3</v>
      </c>
      <c r="J317" s="237">
        <v>3</v>
      </c>
      <c r="K317" s="237">
        <v>4</v>
      </c>
      <c r="L317" s="237">
        <v>3</v>
      </c>
      <c r="M317" s="237">
        <v>4</v>
      </c>
      <c r="N317" s="237">
        <v>4</v>
      </c>
      <c r="O317" s="237">
        <v>4</v>
      </c>
      <c r="P317" s="237">
        <v>4</v>
      </c>
      <c r="Q317" s="382" t="str">
        <f>IF(COUNTIF(tblSeverityAnalysis[[#This Row],[SAMV]:[ASH]], 1)=0, "", COUNTIF(tblSeverityAnalysis[[#This Row],[SAMV]:[ASH]], 1))</f>
        <v/>
      </c>
      <c r="R317" s="325" t="str">
        <f>IF(COUNTIF(tblSeverityAnalysis[[#This Row],[SAMV]:[ASH]], 2)=0, "", COUNTIF(tblSeverityAnalysis[[#This Row],[SAMV]:[ASH]], 2))</f>
        <v/>
      </c>
      <c r="S317" s="325">
        <f>IF(COUNTIF(tblSeverityAnalysis[[#This Row],[SAMV]:[ASH]], 3)=0, "", COUNTIF(tblSeverityAnalysis[[#This Row],[SAMV]:[ASH]], 3))</f>
        <v>3</v>
      </c>
      <c r="T317" s="325">
        <f>IF(COUNTIF(tblSeverityAnalysis[[#This Row],[SAMV]:[ASH]], 4)=0, "", COUNTIF(tblSeverityAnalysis[[#This Row],[SAMV]:[ASH]], 4))</f>
        <v>3</v>
      </c>
      <c r="U317" s="383" t="str">
        <f>IF(COUNTIF(tblSeverityAnalysis[[#This Row],[SAMV]:[ASH]], 5)=0, "", COUNTIF(tblSeverityAnalysis[[#This Row],[SAMV]:[ASH]], 5))</f>
        <v/>
      </c>
      <c r="V317" s="375" cm="1">
        <f t="array" ref="V31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1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17" s="237" t="str">
        <f>IFERROR(IF(INDEX(tblSeverityReference[Severidad de la desnutrición],MATCH(tblSeverityAnalysis[[#This Row],[ID]], tblSeverityReference[ID], 0))= "", "",INDEX(tblSeverityReference[Severidad de la desnutrición],MATCH(tblSeverityAnalysis[[#This Row],[ID]], tblSeverityReference[ID], 0)) ), "")</f>
        <v/>
      </c>
      <c r="Y317" s="349" t="str">
        <f>IFERROR(IF(INDEX(tblSeverityReference[Severidad epidémica],MATCH(tblSeverityAnalysis[[#This Row],[ID]], tblSeverityReference[ID], 0))= "", "",INDEX(tblSeverityReference[Severidad epidémica],MATCH(tblSeverityAnalysis[[#This Row],[ID]], tblSeverityReference[ID], 0)) ), "")</f>
        <v/>
      </c>
      <c r="Z31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17" s="391" t="str">
        <f>IFERROR(IF(INDEX(tblSeverityReference[HR/IHL Violation],MATCH(tblSeverityAnalysis[[#This Row],[ID]], tblSeverityReference[ID], 0))= "", "",INDEX(tblSeverityReference[HR/IHL Violation],MATCH(tblSeverityAnalysis[[#This Row],[ID]], tblSeverityReference[ID], 0)) ), "")</f>
        <v/>
      </c>
      <c r="AB317" s="397">
        <f>IFERROR(AVERAGE(tblSeverityAnalysis[[#This Row],[SAMV]:[ASH]]), "")</f>
        <v>3.5</v>
      </c>
      <c r="AC317" s="346">
        <f>IF(SUM(tblSeverityAnalysis[[#This Row],[SAMV]:[ASH]])=0, "", MAX(tblSeverityAnalysis[[#This Row],[SAMV]:[ASH]]))</f>
        <v>4</v>
      </c>
      <c r="AD317" s="261" t="str" cm="1">
        <f t="array" ref="AD317">IFERROR(IF(tblSeverityAnalysis[[#This Row],[Severidad máxima]]="", "", _xlfn.TEXTJOIN(CHAR(10), TRUE, IF(tblSeverityAnalysis[[#This Row],[SAMV]:[ASH]]=tblSeverityAnalysis[[#This Row],[Severidad máxima]], tblSeverityAnalysis[[#Headers],[SAMV]:[ASH]], ""), "")), "")</f>
        <v>SAL
PRO
ASH</v>
      </c>
      <c r="AE317" s="346" cm="1">
        <f t="array" ref="AE317">IFERROR(MAX(_xlfn._xlws.FILTER(tblSeverityAnalysis[[#This Row],[SAMV]:[ASH]], tblSeverityAnalysis[[#This Row],[SAMV]:[ASH]]&lt;tblSeverityAnalysis[[#This Row],[Severidad máxima]])), "")</f>
        <v>3</v>
      </c>
      <c r="AF317" s="398" t="str" cm="1">
        <f t="array" ref="AF317">IFERROR(IF(tblSeverityAnalysis[[#This Row],[2ª mayor severidad]]="", "", _xlfn.TEXTJOIN(CHAR(10), TRUE, IF(tblSeverityAnalysis[[#This Row],[SAMV]:[ASH]]=tblSeverityAnalysis[[#This Row],[2ª mayor severidad]], tblSeverityAnalysis[[#Headers],[SAMV]:[ASH]], ""), "")), "")</f>
        <v>SAMV
NUT
EDU</v>
      </c>
      <c r="AG317" s="405" t="str">
        <f>IFERROR(IF(AND(tblSeverityAnalysis[[#This Row],[5]] &lt;&gt; "", tblSeverityAnalysis[[#This Row],[5]]&gt;=sectors_sev_5), "Flagged", ""), "")</f>
        <v/>
      </c>
      <c r="AH317" s="347" t="str">
        <f>IFERROR(IF(AND(tblSeverityAnalysis[[#This Row],[Severidad preliminar basada en la superposición de privaciones sectoriales]]=5, SUM(tblSeverityAnalysis[[#This Row],[ 1 ]:[ 4 ]])&gt;=sectors_sev_5), "Flagged", ""), "")</f>
        <v/>
      </c>
      <c r="AI317" s="348" t="str" cm="1">
        <f t="array" ref="AI31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1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17" s="350"/>
      <c r="AL317" s="351"/>
      <c r="AM317" s="350"/>
      <c r="AN317" s="407">
        <f>COUNTIF(tblSeverityAnalysis[[#This Row],[1 sectores en fase de severidad 5 '[modificar el umbral']]:[Marcador manual]], "Flagged")</f>
        <v>0</v>
      </c>
      <c r="AO317" s="418">
        <f>tblSeverityAnalysis[[#This Row],[Severidad preliminar basada en la superposición de privaciones sectoriales]]</f>
        <v>3</v>
      </c>
      <c r="AP317" s="417"/>
      <c r="AQ317" s="421" t="s">
        <v>876</v>
      </c>
      <c r="AR317" s="417">
        <v>4</v>
      </c>
    </row>
    <row r="318" spans="1:44" hidden="1">
      <c r="A31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VenezolanosVE2302</v>
      </c>
      <c r="B318" s="363" t="s">
        <v>705</v>
      </c>
      <c r="C318" s="323" t="s">
        <v>706</v>
      </c>
      <c r="D318" s="322" t="s">
        <v>709</v>
      </c>
      <c r="E318" s="323" t="s">
        <v>710</v>
      </c>
      <c r="F318" s="323"/>
      <c r="G318" s="324">
        <v>89847</v>
      </c>
      <c r="H318" s="324" t="s">
        <v>102</v>
      </c>
      <c r="I318" s="374">
        <v>3</v>
      </c>
      <c r="J318" s="237">
        <v>2</v>
      </c>
      <c r="K318" s="237">
        <v>3</v>
      </c>
      <c r="L318" s="237">
        <v>3</v>
      </c>
      <c r="M318" s="237">
        <v>3</v>
      </c>
      <c r="N318" s="237">
        <v>4</v>
      </c>
      <c r="O318" s="237">
        <v>3</v>
      </c>
      <c r="P318" s="237">
        <v>3</v>
      </c>
      <c r="Q318" s="382" t="str">
        <f>IF(COUNTIF(tblSeverityAnalysis[[#This Row],[SAMV]:[ASH]], 1)=0, "", COUNTIF(tblSeverityAnalysis[[#This Row],[SAMV]:[ASH]], 1))</f>
        <v/>
      </c>
      <c r="R318" s="325">
        <f>IF(COUNTIF(tblSeverityAnalysis[[#This Row],[SAMV]:[ASH]], 2)=0, "", COUNTIF(tblSeverityAnalysis[[#This Row],[SAMV]:[ASH]], 2))</f>
        <v>1</v>
      </c>
      <c r="S318" s="325">
        <f>IF(COUNTIF(tblSeverityAnalysis[[#This Row],[SAMV]:[ASH]], 3)=0, "", COUNTIF(tblSeverityAnalysis[[#This Row],[SAMV]:[ASH]], 3))</f>
        <v>4</v>
      </c>
      <c r="T318" s="325">
        <f>IF(COUNTIF(tblSeverityAnalysis[[#This Row],[SAMV]:[ASH]], 4)=0, "", COUNTIF(tblSeverityAnalysis[[#This Row],[SAMV]:[ASH]], 4))</f>
        <v>1</v>
      </c>
      <c r="U318" s="383" t="str">
        <f>IF(COUNTIF(tblSeverityAnalysis[[#This Row],[SAMV]:[ASH]], 5)=0, "", COUNTIF(tblSeverityAnalysis[[#This Row],[SAMV]:[ASH]], 5))</f>
        <v/>
      </c>
      <c r="V318" s="375" cm="1">
        <f t="array" ref="V31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1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18" s="237" t="str">
        <f>IFERROR(IF(INDEX(tblSeverityReference[Severidad de la desnutrición],MATCH(tblSeverityAnalysis[[#This Row],[ID]], tblSeverityReference[ID], 0))= "", "",INDEX(tblSeverityReference[Severidad de la desnutrición],MATCH(tblSeverityAnalysis[[#This Row],[ID]], tblSeverityReference[ID], 0)) ), "")</f>
        <v/>
      </c>
      <c r="Y318" s="349" t="str">
        <f>IFERROR(IF(INDEX(tblSeverityReference[Severidad epidémica],MATCH(tblSeverityAnalysis[[#This Row],[ID]], tblSeverityReference[ID], 0))= "", "",INDEX(tblSeverityReference[Severidad epidémica],MATCH(tblSeverityAnalysis[[#This Row],[ID]], tblSeverityReference[ID], 0)) ), "")</f>
        <v/>
      </c>
      <c r="Z31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18" s="391" t="str">
        <f>IFERROR(IF(INDEX(tblSeverityReference[HR/IHL Violation],MATCH(tblSeverityAnalysis[[#This Row],[ID]], tblSeverityReference[ID], 0))= "", "",INDEX(tblSeverityReference[HR/IHL Violation],MATCH(tblSeverityAnalysis[[#This Row],[ID]], tblSeverityReference[ID], 0)) ), "")</f>
        <v/>
      </c>
      <c r="AB318" s="397">
        <f>IFERROR(AVERAGE(tblSeverityAnalysis[[#This Row],[SAMV]:[ASH]]), "")</f>
        <v>3</v>
      </c>
      <c r="AC318" s="346">
        <f>IF(SUM(tblSeverityAnalysis[[#This Row],[SAMV]:[ASH]])=0, "", MAX(tblSeverityAnalysis[[#This Row],[SAMV]:[ASH]]))</f>
        <v>4</v>
      </c>
      <c r="AD318" s="261" t="str" cm="1">
        <f t="array" ref="AD318">IFERROR(IF(tblSeverityAnalysis[[#This Row],[Severidad máxima]]="", "", _xlfn.TEXTJOIN(CHAR(10), TRUE, IF(tblSeverityAnalysis[[#This Row],[SAMV]:[ASH]]=tblSeverityAnalysis[[#This Row],[Severidad máxima]], tblSeverityAnalysis[[#Headers],[SAMV]:[ASH]], ""), "")), "")</f>
        <v>ASH</v>
      </c>
      <c r="AE318" s="346" cm="1">
        <f t="array" ref="AE318">IFERROR(MAX(_xlfn._xlws.FILTER(tblSeverityAnalysis[[#This Row],[SAMV]:[ASH]], tblSeverityAnalysis[[#This Row],[SAMV]:[ASH]]&lt;tblSeverityAnalysis[[#This Row],[Severidad máxima]])), "")</f>
        <v>3</v>
      </c>
      <c r="AF318" s="398" t="str" cm="1">
        <f t="array" ref="AF318">IFERROR(IF(tblSeverityAnalysis[[#This Row],[2ª mayor severidad]]="", "", _xlfn.TEXTJOIN(CHAR(10), TRUE, IF(tblSeverityAnalysis[[#This Row],[SAMV]:[ASH]]=tblSeverityAnalysis[[#This Row],[2ª mayor severidad]], tblSeverityAnalysis[[#Headers],[SAMV]:[ASH]], ""), "")), "")</f>
        <v>SAMV
SAL
EDU
PRO</v>
      </c>
      <c r="AG318" s="405" t="str">
        <f>IFERROR(IF(AND(tblSeverityAnalysis[[#This Row],[5]] &lt;&gt; "", tblSeverityAnalysis[[#This Row],[5]]&gt;=sectors_sev_5), "Flagged", ""), "")</f>
        <v/>
      </c>
      <c r="AH318" s="347" t="str">
        <f>IFERROR(IF(AND(tblSeverityAnalysis[[#This Row],[Severidad preliminar basada en la superposición de privaciones sectoriales]]=5, SUM(tblSeverityAnalysis[[#This Row],[ 1 ]:[ 4 ]])&gt;=sectors_sev_5), "Flagged", ""), "")</f>
        <v/>
      </c>
      <c r="AI318" s="348" t="str" cm="1">
        <f t="array" ref="AI31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1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18" s="350"/>
      <c r="AL318" s="351"/>
      <c r="AM318" s="350"/>
      <c r="AN318" s="407">
        <f>COUNTIF(tblSeverityAnalysis[[#This Row],[1 sectores en fase de severidad 5 '[modificar el umbral']]:[Marcador manual]], "Flagged")</f>
        <v>0</v>
      </c>
      <c r="AO318" s="418">
        <f>tblSeverityAnalysis[[#This Row],[Severidad preliminar basada en la superposición de privaciones sectoriales]]</f>
        <v>3</v>
      </c>
      <c r="AP318" s="417"/>
      <c r="AQ318" s="421" t="s">
        <v>876</v>
      </c>
      <c r="AR318" s="417">
        <v>3</v>
      </c>
    </row>
    <row r="319" spans="1:44" hidden="1">
      <c r="A31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VenezolanosVE2303</v>
      </c>
      <c r="B319" s="363" t="s">
        <v>705</v>
      </c>
      <c r="C319" s="323" t="s">
        <v>706</v>
      </c>
      <c r="D319" s="322" t="s">
        <v>711</v>
      </c>
      <c r="E319" s="323" t="s">
        <v>712</v>
      </c>
      <c r="F319" s="323"/>
      <c r="G319" s="324">
        <v>263056</v>
      </c>
      <c r="H319" s="324" t="s">
        <v>102</v>
      </c>
      <c r="I319" s="374">
        <v>2</v>
      </c>
      <c r="J319" s="237">
        <v>2</v>
      </c>
      <c r="K319" s="237">
        <v>3</v>
      </c>
      <c r="L319" s="237">
        <v>4</v>
      </c>
      <c r="M319" s="237">
        <v>4</v>
      </c>
      <c r="N319" s="237">
        <v>4</v>
      </c>
      <c r="O319" s="237">
        <v>4</v>
      </c>
      <c r="P319" s="237">
        <v>4</v>
      </c>
      <c r="Q319" s="382" t="str">
        <f>IF(COUNTIF(tblSeverityAnalysis[[#This Row],[SAMV]:[ASH]], 1)=0, "", COUNTIF(tblSeverityAnalysis[[#This Row],[SAMV]:[ASH]], 1))</f>
        <v/>
      </c>
      <c r="R319" s="325">
        <f>IF(COUNTIF(tblSeverityAnalysis[[#This Row],[SAMV]:[ASH]], 2)=0, "", COUNTIF(tblSeverityAnalysis[[#This Row],[SAMV]:[ASH]], 2))</f>
        <v>2</v>
      </c>
      <c r="S319" s="325">
        <f>IF(COUNTIF(tblSeverityAnalysis[[#This Row],[SAMV]:[ASH]], 3)=0, "", COUNTIF(tblSeverityAnalysis[[#This Row],[SAMV]:[ASH]], 3))</f>
        <v>1</v>
      </c>
      <c r="T319" s="325">
        <f>IF(COUNTIF(tblSeverityAnalysis[[#This Row],[SAMV]:[ASH]], 4)=0, "", COUNTIF(tblSeverityAnalysis[[#This Row],[SAMV]:[ASH]], 4))</f>
        <v>3</v>
      </c>
      <c r="U319" s="383" t="str">
        <f>IF(COUNTIF(tblSeverityAnalysis[[#This Row],[SAMV]:[ASH]], 5)=0, "", COUNTIF(tblSeverityAnalysis[[#This Row],[SAMV]:[ASH]], 5))</f>
        <v/>
      </c>
      <c r="V319" s="375" cm="1">
        <f t="array" ref="V31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1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19" s="237" t="str">
        <f>IFERROR(IF(INDEX(tblSeverityReference[Severidad de la desnutrición],MATCH(tblSeverityAnalysis[[#This Row],[ID]], tblSeverityReference[ID], 0))= "", "",INDEX(tblSeverityReference[Severidad de la desnutrición],MATCH(tblSeverityAnalysis[[#This Row],[ID]], tblSeverityReference[ID], 0)) ), "")</f>
        <v/>
      </c>
      <c r="Y319" s="349" t="str">
        <f>IFERROR(IF(INDEX(tblSeverityReference[Severidad epidémica],MATCH(tblSeverityAnalysis[[#This Row],[ID]], tblSeverityReference[ID], 0))= "", "",INDEX(tblSeverityReference[Severidad epidémica],MATCH(tblSeverityAnalysis[[#This Row],[ID]], tblSeverityReference[ID], 0)) ), "")</f>
        <v/>
      </c>
      <c r="Z31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19" s="391" t="str">
        <f>IFERROR(IF(INDEX(tblSeverityReference[HR/IHL Violation],MATCH(tblSeverityAnalysis[[#This Row],[ID]], tblSeverityReference[ID], 0))= "", "",INDEX(tblSeverityReference[HR/IHL Violation],MATCH(tblSeverityAnalysis[[#This Row],[ID]], tblSeverityReference[ID], 0)) ), "")</f>
        <v/>
      </c>
      <c r="AB319" s="397">
        <f>IFERROR(AVERAGE(tblSeverityAnalysis[[#This Row],[SAMV]:[ASH]]), "")</f>
        <v>3.1666666666666665</v>
      </c>
      <c r="AC319" s="346">
        <f>IF(SUM(tblSeverityAnalysis[[#This Row],[SAMV]:[ASH]])=0, "", MAX(tblSeverityAnalysis[[#This Row],[SAMV]:[ASH]]))</f>
        <v>4</v>
      </c>
      <c r="AD319" s="261" t="str" cm="1">
        <f t="array" ref="AD319">IFERROR(IF(tblSeverityAnalysis[[#This Row],[Severidad máxima]]="", "", _xlfn.TEXTJOIN(CHAR(10), TRUE, IF(tblSeverityAnalysis[[#This Row],[SAMV]:[ASH]]=tblSeverityAnalysis[[#This Row],[Severidad máxima]], tblSeverityAnalysis[[#Headers],[SAMV]:[ASH]], ""), "")), "")</f>
        <v>EDU
PRO
ASH</v>
      </c>
      <c r="AE319" s="346" cm="1">
        <f t="array" ref="AE319">IFERROR(MAX(_xlfn._xlws.FILTER(tblSeverityAnalysis[[#This Row],[SAMV]:[ASH]], tblSeverityAnalysis[[#This Row],[SAMV]:[ASH]]&lt;tblSeverityAnalysis[[#This Row],[Severidad máxima]])), "")</f>
        <v>3</v>
      </c>
      <c r="AF319" s="398" t="str" cm="1">
        <f t="array" ref="AF319">IFERROR(IF(tblSeverityAnalysis[[#This Row],[2ª mayor severidad]]="", "", _xlfn.TEXTJOIN(CHAR(10), TRUE, IF(tblSeverityAnalysis[[#This Row],[SAMV]:[ASH]]=tblSeverityAnalysis[[#This Row],[2ª mayor severidad]], tblSeverityAnalysis[[#Headers],[SAMV]:[ASH]], ""), "")), "")</f>
        <v>SAL</v>
      </c>
      <c r="AG319" s="405" t="str">
        <f>IFERROR(IF(AND(tblSeverityAnalysis[[#This Row],[5]] &lt;&gt; "", tblSeverityAnalysis[[#This Row],[5]]&gt;=sectors_sev_5), "Flagged", ""), "")</f>
        <v/>
      </c>
      <c r="AH319" s="347" t="str">
        <f>IFERROR(IF(AND(tblSeverityAnalysis[[#This Row],[Severidad preliminar basada en la superposición de privaciones sectoriales]]=5, SUM(tblSeverityAnalysis[[#This Row],[ 1 ]:[ 4 ]])&gt;=sectors_sev_5), "Flagged", ""), "")</f>
        <v/>
      </c>
      <c r="AI319" s="348" t="str" cm="1">
        <f t="array" ref="AI31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1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19" s="350"/>
      <c r="AL319" s="351"/>
      <c r="AM319" s="350"/>
      <c r="AN319" s="407">
        <f>COUNTIF(tblSeverityAnalysis[[#This Row],[1 sectores en fase de severidad 5 '[modificar el umbral']]:[Marcador manual]], "Flagged")</f>
        <v>0</v>
      </c>
      <c r="AO319" s="418">
        <f>tblSeverityAnalysis[[#This Row],[Severidad preliminar basada en la superposición de privaciones sectoriales]]</f>
        <v>3</v>
      </c>
      <c r="AP319" s="417"/>
      <c r="AQ319" s="421" t="s">
        <v>876</v>
      </c>
      <c r="AR319" s="417">
        <v>3</v>
      </c>
    </row>
    <row r="320" spans="1:44" hidden="1">
      <c r="A32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VenezolanosVE2304</v>
      </c>
      <c r="B320" s="363" t="s">
        <v>705</v>
      </c>
      <c r="C320" s="323" t="s">
        <v>706</v>
      </c>
      <c r="D320" s="322" t="s">
        <v>713</v>
      </c>
      <c r="E320" s="323" t="s">
        <v>714</v>
      </c>
      <c r="F320" s="323"/>
      <c r="G320" s="324">
        <v>40702</v>
      </c>
      <c r="H320" s="324" t="s">
        <v>102</v>
      </c>
      <c r="I320" s="374">
        <v>3</v>
      </c>
      <c r="J320" s="237">
        <v>3</v>
      </c>
      <c r="K320" s="237">
        <v>4</v>
      </c>
      <c r="L320" s="237">
        <v>5</v>
      </c>
      <c r="M320" s="237">
        <v>5</v>
      </c>
      <c r="N320" s="237">
        <v>3</v>
      </c>
      <c r="O320" s="237">
        <v>5</v>
      </c>
      <c r="P320" s="237">
        <v>5</v>
      </c>
      <c r="Q320" s="382" t="str">
        <f>IF(COUNTIF(tblSeverityAnalysis[[#This Row],[SAMV]:[ASH]], 1)=0, "", COUNTIF(tblSeverityAnalysis[[#This Row],[SAMV]:[ASH]], 1))</f>
        <v/>
      </c>
      <c r="R320" s="325" t="str">
        <f>IF(COUNTIF(tblSeverityAnalysis[[#This Row],[SAMV]:[ASH]], 2)=0, "", COUNTIF(tblSeverityAnalysis[[#This Row],[SAMV]:[ASH]], 2))</f>
        <v/>
      </c>
      <c r="S320" s="325">
        <f>IF(COUNTIF(tblSeverityAnalysis[[#This Row],[SAMV]:[ASH]], 3)=0, "", COUNTIF(tblSeverityAnalysis[[#This Row],[SAMV]:[ASH]], 3))</f>
        <v>3</v>
      </c>
      <c r="T320" s="325">
        <f>IF(COUNTIF(tblSeverityAnalysis[[#This Row],[SAMV]:[ASH]], 4)=0, "", COUNTIF(tblSeverityAnalysis[[#This Row],[SAMV]:[ASH]], 4))</f>
        <v>1</v>
      </c>
      <c r="U320" s="383">
        <f>IF(COUNTIF(tblSeverityAnalysis[[#This Row],[SAMV]:[ASH]], 5)=0, "", COUNTIF(tblSeverityAnalysis[[#This Row],[SAMV]:[ASH]], 5))</f>
        <v>2</v>
      </c>
      <c r="V320" s="376">
        <v>4</v>
      </c>
      <c r="W32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20" s="237" t="str">
        <f>IFERROR(IF(INDEX(tblSeverityReference[Severidad de la desnutrición],MATCH(tblSeverityAnalysis[[#This Row],[ID]], tblSeverityReference[ID], 0))= "", "",INDEX(tblSeverityReference[Severidad de la desnutrición],MATCH(tblSeverityAnalysis[[#This Row],[ID]], tblSeverityReference[ID], 0)) ), "")</f>
        <v/>
      </c>
      <c r="Y320" s="349" t="str">
        <f>IFERROR(IF(INDEX(tblSeverityReference[Severidad epidémica],MATCH(tblSeverityAnalysis[[#This Row],[ID]], tblSeverityReference[ID], 0))= "", "",INDEX(tblSeverityReference[Severidad epidémica],MATCH(tblSeverityAnalysis[[#This Row],[ID]], tblSeverityReference[ID], 0)) ), "")</f>
        <v/>
      </c>
      <c r="Z32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20" s="391" t="str">
        <f>IFERROR(IF(INDEX(tblSeverityReference[HR/IHL Violation],MATCH(tblSeverityAnalysis[[#This Row],[ID]], tblSeverityReference[ID], 0))= "", "",INDEX(tblSeverityReference[HR/IHL Violation],MATCH(tblSeverityAnalysis[[#This Row],[ID]], tblSeverityReference[ID], 0)) ), "")</f>
        <v/>
      </c>
      <c r="AB320" s="397">
        <f>IFERROR(AVERAGE(tblSeverityAnalysis[[#This Row],[SAMV]:[ASH]]), "")</f>
        <v>3.8333333333333335</v>
      </c>
      <c r="AC320" s="346">
        <f>IF(SUM(tblSeverityAnalysis[[#This Row],[SAMV]:[ASH]])=0, "", MAX(tblSeverityAnalysis[[#This Row],[SAMV]:[ASH]]))</f>
        <v>5</v>
      </c>
      <c r="AD320" s="261" t="str" cm="1">
        <f t="array" ref="AD320">IFERROR(IF(tblSeverityAnalysis[[#This Row],[Severidad máxima]]="", "", _xlfn.TEXTJOIN(CHAR(10), TRUE, IF(tblSeverityAnalysis[[#This Row],[SAMV]:[ASH]]=tblSeverityAnalysis[[#This Row],[Severidad máxima]], tblSeverityAnalysis[[#Headers],[SAMV]:[ASH]], ""), "")), "")</f>
        <v>EDU
PRO</v>
      </c>
      <c r="AE320" s="346" cm="1">
        <f t="array" ref="AE320">IFERROR(MAX(_xlfn._xlws.FILTER(tblSeverityAnalysis[[#This Row],[SAMV]:[ASH]], tblSeverityAnalysis[[#This Row],[SAMV]:[ASH]]&lt;tblSeverityAnalysis[[#This Row],[Severidad máxima]])), "")</f>
        <v>4</v>
      </c>
      <c r="AF320" s="398" t="str" cm="1">
        <f t="array" ref="AF320">IFERROR(IF(tblSeverityAnalysis[[#This Row],[2ª mayor severidad]]="", "", _xlfn.TEXTJOIN(CHAR(10), TRUE, IF(tblSeverityAnalysis[[#This Row],[SAMV]:[ASH]]=tblSeverityAnalysis[[#This Row],[2ª mayor severidad]], tblSeverityAnalysis[[#Headers],[SAMV]:[ASH]], ""), "")), "")</f>
        <v>SAL</v>
      </c>
      <c r="AG320" s="405" t="str">
        <f>IFERROR(IF(AND(tblSeverityAnalysis[[#This Row],[5]] &lt;&gt; "", tblSeverityAnalysis[[#This Row],[5]]&gt;=sectors_sev_5), "Flagged", ""), "")</f>
        <v>Flagged</v>
      </c>
      <c r="AH320" s="347" t="str">
        <f>IFERROR(IF(AND(tblSeverityAnalysis[[#This Row],[Severidad preliminar basada en la superposición de privaciones sectoriales]]=5, SUM(tblSeverityAnalysis[[#This Row],[ 1 ]:[ 4 ]])&gt;=sectors_sev_5), "Flagged", ""), "")</f>
        <v/>
      </c>
      <c r="AI320" s="348" t="str" cm="1">
        <f t="array" ref="AI32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2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20" s="350"/>
      <c r="AL320" s="351"/>
      <c r="AM320" s="350"/>
      <c r="AN320" s="407">
        <f>COUNTIF(tblSeverityAnalysis[[#This Row],[1 sectores en fase de severidad 5 '[modificar el umbral']]:[Marcador manual]], "Flagged")</f>
        <v>1</v>
      </c>
      <c r="AO320" s="418">
        <f>tblSeverityAnalysis[[#This Row],[Severidad preliminar basada en la superposición de privaciones sectoriales]]</f>
        <v>4</v>
      </c>
      <c r="AP320" s="417" t="s">
        <v>881</v>
      </c>
      <c r="AQ320" s="421" t="s">
        <v>875</v>
      </c>
      <c r="AR320" s="417">
        <v>4</v>
      </c>
    </row>
    <row r="321" spans="1:44" hidden="1">
      <c r="A32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VenezolanosVE2305</v>
      </c>
      <c r="B321" s="363" t="s">
        <v>705</v>
      </c>
      <c r="C321" s="323" t="s">
        <v>706</v>
      </c>
      <c r="D321" s="322" t="s">
        <v>715</v>
      </c>
      <c r="E321" s="323" t="s">
        <v>716</v>
      </c>
      <c r="F321" s="323"/>
      <c r="G321" s="324">
        <v>128729</v>
      </c>
      <c r="H321" s="324" t="s">
        <v>102</v>
      </c>
      <c r="I321" s="374">
        <v>4</v>
      </c>
      <c r="J321" s="237">
        <v>2</v>
      </c>
      <c r="K321" s="237">
        <v>4</v>
      </c>
      <c r="L321" s="237">
        <v>5</v>
      </c>
      <c r="M321" s="237">
        <v>4</v>
      </c>
      <c r="N321" s="237">
        <v>3</v>
      </c>
      <c r="O321" s="237">
        <v>4</v>
      </c>
      <c r="P321" s="237">
        <v>4</v>
      </c>
      <c r="Q321" s="382" t="str">
        <f>IF(COUNTIF(tblSeverityAnalysis[[#This Row],[SAMV]:[ASH]], 1)=0, "", COUNTIF(tblSeverityAnalysis[[#This Row],[SAMV]:[ASH]], 1))</f>
        <v/>
      </c>
      <c r="R321" s="325">
        <f>IF(COUNTIF(tblSeverityAnalysis[[#This Row],[SAMV]:[ASH]], 2)=0, "", COUNTIF(tblSeverityAnalysis[[#This Row],[SAMV]:[ASH]], 2))</f>
        <v>1</v>
      </c>
      <c r="S321" s="325">
        <f>IF(COUNTIF(tblSeverityAnalysis[[#This Row],[SAMV]:[ASH]], 3)=0, "", COUNTIF(tblSeverityAnalysis[[#This Row],[SAMV]:[ASH]], 3))</f>
        <v>1</v>
      </c>
      <c r="T321" s="325">
        <f>IF(COUNTIF(tblSeverityAnalysis[[#This Row],[SAMV]:[ASH]], 4)=0, "", COUNTIF(tblSeverityAnalysis[[#This Row],[SAMV]:[ASH]], 4))</f>
        <v>3</v>
      </c>
      <c r="U321" s="383">
        <f>IF(COUNTIF(tblSeverityAnalysis[[#This Row],[SAMV]:[ASH]], 5)=0, "", COUNTIF(tblSeverityAnalysis[[#This Row],[SAMV]:[ASH]], 5))</f>
        <v>1</v>
      </c>
      <c r="V321" s="375" cm="1">
        <f t="array" ref="V32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32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21" s="237" t="str">
        <f>IFERROR(IF(INDEX(tblSeverityReference[Severidad de la desnutrición],MATCH(tblSeverityAnalysis[[#This Row],[ID]], tblSeverityReference[ID], 0))= "", "",INDEX(tblSeverityReference[Severidad de la desnutrición],MATCH(tblSeverityAnalysis[[#This Row],[ID]], tblSeverityReference[ID], 0)) ), "")</f>
        <v/>
      </c>
      <c r="Y321" s="349" t="str">
        <f>IFERROR(IF(INDEX(tblSeverityReference[Severidad epidémica],MATCH(tblSeverityAnalysis[[#This Row],[ID]], tblSeverityReference[ID], 0))= "", "",INDEX(tblSeverityReference[Severidad epidémica],MATCH(tblSeverityAnalysis[[#This Row],[ID]], tblSeverityReference[ID], 0)) ), "")</f>
        <v/>
      </c>
      <c r="Z32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21" s="391" t="str">
        <f>IFERROR(IF(INDEX(tblSeverityReference[HR/IHL Violation],MATCH(tblSeverityAnalysis[[#This Row],[ID]], tblSeverityReference[ID], 0))= "", "",INDEX(tblSeverityReference[HR/IHL Violation],MATCH(tblSeverityAnalysis[[#This Row],[ID]], tblSeverityReference[ID], 0)) ), "")</f>
        <v/>
      </c>
      <c r="AB321" s="397">
        <f>IFERROR(AVERAGE(tblSeverityAnalysis[[#This Row],[SAMV]:[ASH]]), "")</f>
        <v>3.6666666666666665</v>
      </c>
      <c r="AC321" s="346">
        <f>IF(SUM(tblSeverityAnalysis[[#This Row],[SAMV]:[ASH]])=0, "", MAX(tblSeverityAnalysis[[#This Row],[SAMV]:[ASH]]))</f>
        <v>5</v>
      </c>
      <c r="AD321" s="261" t="str" cm="1">
        <f t="array" ref="AD321">IFERROR(IF(tblSeverityAnalysis[[#This Row],[Severidad máxima]]="", "", _xlfn.TEXTJOIN(CHAR(10), TRUE, IF(tblSeverityAnalysis[[#This Row],[SAMV]:[ASH]]=tblSeverityAnalysis[[#This Row],[Severidad máxima]], tblSeverityAnalysis[[#Headers],[SAMV]:[ASH]], ""), "")), "")</f>
        <v>EDU</v>
      </c>
      <c r="AE321" s="346" cm="1">
        <f t="array" ref="AE321">IFERROR(MAX(_xlfn._xlws.FILTER(tblSeverityAnalysis[[#This Row],[SAMV]:[ASH]], tblSeverityAnalysis[[#This Row],[SAMV]:[ASH]]&lt;tblSeverityAnalysis[[#This Row],[Severidad máxima]])), "")</f>
        <v>4</v>
      </c>
      <c r="AF321" s="398" t="str" cm="1">
        <f t="array" ref="AF321">IFERROR(IF(tblSeverityAnalysis[[#This Row],[2ª mayor severidad]]="", "", _xlfn.TEXTJOIN(CHAR(10), TRUE, IF(tblSeverityAnalysis[[#This Row],[SAMV]:[ASH]]=tblSeverityAnalysis[[#This Row],[2ª mayor severidad]], tblSeverityAnalysis[[#Headers],[SAMV]:[ASH]], ""), "")), "")</f>
        <v>SAMV
SAL
PRO</v>
      </c>
      <c r="AG321" s="405" t="str">
        <f>IFERROR(IF(AND(tblSeverityAnalysis[[#This Row],[5]] &lt;&gt; "", tblSeverityAnalysis[[#This Row],[5]]&gt;=sectors_sev_5), "Flagged", ""), "")</f>
        <v/>
      </c>
      <c r="AH321" s="347" t="str">
        <f>IFERROR(IF(AND(tblSeverityAnalysis[[#This Row],[Severidad preliminar basada en la superposición de privaciones sectoriales]]=5, SUM(tblSeverityAnalysis[[#This Row],[ 1 ]:[ 4 ]])&gt;=sectors_sev_5), "Flagged", ""), "")</f>
        <v/>
      </c>
      <c r="AI321" s="348" t="str" cm="1">
        <f t="array" ref="AI32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2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21" s="350"/>
      <c r="AL321" s="351"/>
      <c r="AM321" s="350"/>
      <c r="AN321" s="407">
        <f>COUNTIF(tblSeverityAnalysis[[#This Row],[1 sectores en fase de severidad 5 '[modificar el umbral']]:[Marcador manual]], "Flagged")</f>
        <v>0</v>
      </c>
      <c r="AO321" s="418">
        <f>tblSeverityAnalysis[[#This Row],[Severidad preliminar basada en la superposición de privaciones sectoriales]]</f>
        <v>4</v>
      </c>
      <c r="AP321" s="417"/>
      <c r="AQ321" s="421" t="s">
        <v>875</v>
      </c>
      <c r="AR321" s="417">
        <v>4</v>
      </c>
    </row>
    <row r="322" spans="1:44" ht="14.45" hidden="1" customHeight="1">
      <c r="A32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VenezolanosVE2306</v>
      </c>
      <c r="B322" s="363" t="s">
        <v>705</v>
      </c>
      <c r="C322" s="323" t="s">
        <v>706</v>
      </c>
      <c r="D322" s="322" t="s">
        <v>717</v>
      </c>
      <c r="E322" s="323" t="s">
        <v>718</v>
      </c>
      <c r="F322" s="323"/>
      <c r="G322" s="324">
        <v>33942</v>
      </c>
      <c r="H322" s="324" t="s">
        <v>102</v>
      </c>
      <c r="I322" s="374">
        <v>3</v>
      </c>
      <c r="J322" s="237">
        <v>2</v>
      </c>
      <c r="K322" s="237">
        <v>3</v>
      </c>
      <c r="L322" s="237">
        <v>3</v>
      </c>
      <c r="M322" s="237">
        <v>3</v>
      </c>
      <c r="N322" s="237">
        <v>3</v>
      </c>
      <c r="O322" s="237">
        <v>3</v>
      </c>
      <c r="P322" s="237">
        <v>3</v>
      </c>
      <c r="Q322" s="382" t="str">
        <f>IF(COUNTIF(tblSeverityAnalysis[[#This Row],[SAMV]:[ASH]], 1)=0, "", COUNTIF(tblSeverityAnalysis[[#This Row],[SAMV]:[ASH]], 1))</f>
        <v/>
      </c>
      <c r="R322" s="325">
        <f>IF(COUNTIF(tblSeverityAnalysis[[#This Row],[SAMV]:[ASH]], 2)=0, "", COUNTIF(tblSeverityAnalysis[[#This Row],[SAMV]:[ASH]], 2))</f>
        <v>1</v>
      </c>
      <c r="S322" s="325">
        <f>IF(COUNTIF(tblSeverityAnalysis[[#This Row],[SAMV]:[ASH]], 3)=0, "", COUNTIF(tblSeverityAnalysis[[#This Row],[SAMV]:[ASH]], 3))</f>
        <v>5</v>
      </c>
      <c r="T322" s="325" t="str">
        <f>IF(COUNTIF(tblSeverityAnalysis[[#This Row],[SAMV]:[ASH]], 4)=0, "", COUNTIF(tblSeverityAnalysis[[#This Row],[SAMV]:[ASH]], 4))</f>
        <v/>
      </c>
      <c r="U322" s="383" t="str">
        <f>IF(COUNTIF(tblSeverityAnalysis[[#This Row],[SAMV]:[ASH]], 5)=0, "", COUNTIF(tblSeverityAnalysis[[#This Row],[SAMV]:[ASH]], 5))</f>
        <v/>
      </c>
      <c r="V322" s="375" cm="1">
        <f t="array" ref="V32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2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22" s="237" t="str">
        <f>IFERROR(IF(INDEX(tblSeverityReference[Severidad de la desnutrición],MATCH(tblSeverityAnalysis[[#This Row],[ID]], tblSeverityReference[ID], 0))= "", "",INDEX(tblSeverityReference[Severidad de la desnutrición],MATCH(tblSeverityAnalysis[[#This Row],[ID]], tblSeverityReference[ID], 0)) ), "")</f>
        <v/>
      </c>
      <c r="Y322" s="349" t="str">
        <f>IFERROR(IF(INDEX(tblSeverityReference[Severidad epidémica],MATCH(tblSeverityAnalysis[[#This Row],[ID]], tblSeverityReference[ID], 0))= "", "",INDEX(tblSeverityReference[Severidad epidémica],MATCH(tblSeverityAnalysis[[#This Row],[ID]], tblSeverityReference[ID], 0)) ), "")</f>
        <v/>
      </c>
      <c r="Z32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22" s="391" t="str">
        <f>IFERROR(IF(INDEX(tblSeverityReference[HR/IHL Violation],MATCH(tblSeverityAnalysis[[#This Row],[ID]], tblSeverityReference[ID], 0))= "", "",INDEX(tblSeverityReference[HR/IHL Violation],MATCH(tblSeverityAnalysis[[#This Row],[ID]], tblSeverityReference[ID], 0)) ), "")</f>
        <v/>
      </c>
      <c r="AB322" s="397">
        <f>IFERROR(AVERAGE(tblSeverityAnalysis[[#This Row],[SAMV]:[ASH]]), "")</f>
        <v>2.8333333333333335</v>
      </c>
      <c r="AC322" s="346">
        <f>IF(SUM(tblSeverityAnalysis[[#This Row],[SAMV]:[ASH]])=0, "", MAX(tblSeverityAnalysis[[#This Row],[SAMV]:[ASH]]))</f>
        <v>3</v>
      </c>
      <c r="AD322" s="261" t="str" cm="1">
        <f t="array" ref="AD322">IFERROR(IF(tblSeverityAnalysis[[#This Row],[Severidad máxima]]="", "", _xlfn.TEXTJOIN(CHAR(10), TRUE, IF(tblSeverityAnalysis[[#This Row],[SAMV]:[ASH]]=tblSeverityAnalysis[[#This Row],[Severidad máxima]], tblSeverityAnalysis[[#Headers],[SAMV]:[ASH]], ""), "")), "")</f>
        <v>SAMV
SAL
EDU
PRO
ASH</v>
      </c>
      <c r="AE322" s="346" cm="1">
        <f t="array" ref="AE322">IFERROR(MAX(_xlfn._xlws.FILTER(tblSeverityAnalysis[[#This Row],[SAMV]:[ASH]], tblSeverityAnalysis[[#This Row],[SAMV]:[ASH]]&lt;tblSeverityAnalysis[[#This Row],[Severidad máxima]])), "")</f>
        <v>2</v>
      </c>
      <c r="AF322" s="398" t="str" cm="1">
        <f t="array" ref="AF322">IFERROR(IF(tblSeverityAnalysis[[#This Row],[2ª mayor severidad]]="", "", _xlfn.TEXTJOIN(CHAR(10), TRUE, IF(tblSeverityAnalysis[[#This Row],[SAMV]:[ASH]]=tblSeverityAnalysis[[#This Row],[2ª mayor severidad]], tblSeverityAnalysis[[#Headers],[SAMV]:[ASH]], ""), "")), "")</f>
        <v>NUT</v>
      </c>
      <c r="AG322" s="405" t="str">
        <f>IFERROR(IF(AND(tblSeverityAnalysis[[#This Row],[5]] &lt;&gt; "", tblSeverityAnalysis[[#This Row],[5]]&gt;=sectors_sev_5), "Flagged", ""), "")</f>
        <v/>
      </c>
      <c r="AH322" s="347" t="str">
        <f>IFERROR(IF(AND(tblSeverityAnalysis[[#This Row],[Severidad preliminar basada en la superposición de privaciones sectoriales]]=5, SUM(tblSeverityAnalysis[[#This Row],[ 1 ]:[ 4 ]])&gt;=sectors_sev_5), "Flagged", ""), "")</f>
        <v/>
      </c>
      <c r="AI322" s="348" t="str" cm="1">
        <f t="array" ref="AI32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2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22" s="350"/>
      <c r="AL322" s="351"/>
      <c r="AM322" s="350"/>
      <c r="AN322" s="407">
        <f>COUNTIF(tblSeverityAnalysis[[#This Row],[1 sectores en fase de severidad 5 '[modificar el umbral']]:[Marcador manual]], "Flagged")</f>
        <v>0</v>
      </c>
      <c r="AO322" s="418">
        <f>tblSeverityAnalysis[[#This Row],[Severidad preliminar basada en la superposición de privaciones sectoriales]]</f>
        <v>3</v>
      </c>
      <c r="AP322" s="417"/>
      <c r="AQ322" s="421" t="s">
        <v>876</v>
      </c>
      <c r="AR322" s="417">
        <v>3</v>
      </c>
    </row>
    <row r="323" spans="1:44" ht="14.45" hidden="1" customHeight="1">
      <c r="A32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VenezolanosVE2307</v>
      </c>
      <c r="B323" s="363" t="s">
        <v>705</v>
      </c>
      <c r="C323" s="323" t="s">
        <v>706</v>
      </c>
      <c r="D323" s="322" t="s">
        <v>719</v>
      </c>
      <c r="E323" s="323" t="s">
        <v>720</v>
      </c>
      <c r="F323" s="323"/>
      <c r="G323" s="324">
        <v>118756</v>
      </c>
      <c r="H323" s="324" t="s">
        <v>102</v>
      </c>
      <c r="I323" s="374">
        <v>3</v>
      </c>
      <c r="J323" s="237">
        <v>3</v>
      </c>
      <c r="K323" s="237">
        <v>3</v>
      </c>
      <c r="L323" s="237">
        <v>4</v>
      </c>
      <c r="M323" s="237">
        <v>4</v>
      </c>
      <c r="N323" s="237">
        <v>4</v>
      </c>
      <c r="O323" s="237">
        <v>4</v>
      </c>
      <c r="P323" s="237">
        <v>4</v>
      </c>
      <c r="Q323" s="382" t="str">
        <f>IF(COUNTIF(tblSeverityAnalysis[[#This Row],[SAMV]:[ASH]], 1)=0, "", COUNTIF(tblSeverityAnalysis[[#This Row],[SAMV]:[ASH]], 1))</f>
        <v/>
      </c>
      <c r="R323" s="325" t="str">
        <f>IF(COUNTIF(tblSeverityAnalysis[[#This Row],[SAMV]:[ASH]], 2)=0, "", COUNTIF(tblSeverityAnalysis[[#This Row],[SAMV]:[ASH]], 2))</f>
        <v/>
      </c>
      <c r="S323" s="325">
        <f>IF(COUNTIF(tblSeverityAnalysis[[#This Row],[SAMV]:[ASH]], 3)=0, "", COUNTIF(tblSeverityAnalysis[[#This Row],[SAMV]:[ASH]], 3))</f>
        <v>3</v>
      </c>
      <c r="T323" s="325">
        <f>IF(COUNTIF(tblSeverityAnalysis[[#This Row],[SAMV]:[ASH]], 4)=0, "", COUNTIF(tblSeverityAnalysis[[#This Row],[SAMV]:[ASH]], 4))</f>
        <v>3</v>
      </c>
      <c r="U323" s="383" t="str">
        <f>IF(COUNTIF(tblSeverityAnalysis[[#This Row],[SAMV]:[ASH]], 5)=0, "", COUNTIF(tblSeverityAnalysis[[#This Row],[SAMV]:[ASH]], 5))</f>
        <v/>
      </c>
      <c r="V323" s="375" cm="1">
        <f t="array" ref="V32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2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23" s="237" t="str">
        <f>IFERROR(IF(INDEX(tblSeverityReference[Severidad de la desnutrición],MATCH(tblSeverityAnalysis[[#This Row],[ID]], tblSeverityReference[ID], 0))= "", "",INDEX(tblSeverityReference[Severidad de la desnutrición],MATCH(tblSeverityAnalysis[[#This Row],[ID]], tblSeverityReference[ID], 0)) ), "")</f>
        <v/>
      </c>
      <c r="Y323" s="349" t="str">
        <f>IFERROR(IF(INDEX(tblSeverityReference[Severidad epidémica],MATCH(tblSeverityAnalysis[[#This Row],[ID]], tblSeverityReference[ID], 0))= "", "",INDEX(tblSeverityReference[Severidad epidémica],MATCH(tblSeverityAnalysis[[#This Row],[ID]], tblSeverityReference[ID], 0)) ), "")</f>
        <v/>
      </c>
      <c r="Z32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23" s="391" t="str">
        <f>IFERROR(IF(INDEX(tblSeverityReference[HR/IHL Violation],MATCH(tblSeverityAnalysis[[#This Row],[ID]], tblSeverityReference[ID], 0))= "", "",INDEX(tblSeverityReference[HR/IHL Violation],MATCH(tblSeverityAnalysis[[#This Row],[ID]], tblSeverityReference[ID], 0)) ), "")</f>
        <v/>
      </c>
      <c r="AB323" s="397">
        <f>IFERROR(AVERAGE(tblSeverityAnalysis[[#This Row],[SAMV]:[ASH]]), "")</f>
        <v>3.5</v>
      </c>
      <c r="AC323" s="346">
        <f>IF(SUM(tblSeverityAnalysis[[#This Row],[SAMV]:[ASH]])=0, "", MAX(tblSeverityAnalysis[[#This Row],[SAMV]:[ASH]]))</f>
        <v>4</v>
      </c>
      <c r="AD323" s="261" t="str" cm="1">
        <f t="array" ref="AD323">IFERROR(IF(tblSeverityAnalysis[[#This Row],[Severidad máxima]]="", "", _xlfn.TEXTJOIN(CHAR(10), TRUE, IF(tblSeverityAnalysis[[#This Row],[SAMV]:[ASH]]=tblSeverityAnalysis[[#This Row],[Severidad máxima]], tblSeverityAnalysis[[#Headers],[SAMV]:[ASH]], ""), "")), "")</f>
        <v>EDU
PRO
ASH</v>
      </c>
      <c r="AE323" s="346" cm="1">
        <f t="array" ref="AE323">IFERROR(MAX(_xlfn._xlws.FILTER(tblSeverityAnalysis[[#This Row],[SAMV]:[ASH]], tblSeverityAnalysis[[#This Row],[SAMV]:[ASH]]&lt;tblSeverityAnalysis[[#This Row],[Severidad máxima]])), "")</f>
        <v>3</v>
      </c>
      <c r="AF323" s="398" t="str" cm="1">
        <f t="array" ref="AF323">IFERROR(IF(tblSeverityAnalysis[[#This Row],[2ª mayor severidad]]="", "", _xlfn.TEXTJOIN(CHAR(10), TRUE, IF(tblSeverityAnalysis[[#This Row],[SAMV]:[ASH]]=tblSeverityAnalysis[[#This Row],[2ª mayor severidad]], tblSeverityAnalysis[[#Headers],[SAMV]:[ASH]], ""), "")), "")</f>
        <v>SAMV
NUT
SAL</v>
      </c>
      <c r="AG323" s="405" t="str">
        <f>IFERROR(IF(AND(tblSeverityAnalysis[[#This Row],[5]] &lt;&gt; "", tblSeverityAnalysis[[#This Row],[5]]&gt;=sectors_sev_5), "Flagged", ""), "")</f>
        <v/>
      </c>
      <c r="AH323" s="347" t="str">
        <f>IFERROR(IF(AND(tblSeverityAnalysis[[#This Row],[Severidad preliminar basada en la superposición de privaciones sectoriales]]=5, SUM(tblSeverityAnalysis[[#This Row],[ 1 ]:[ 4 ]])&gt;=sectors_sev_5), "Flagged", ""), "")</f>
        <v/>
      </c>
      <c r="AI323" s="348" t="str" cm="1">
        <f t="array" ref="AI32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2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23" s="350"/>
      <c r="AL323" s="351"/>
      <c r="AM323" s="350"/>
      <c r="AN323" s="407">
        <f>COUNTIF(tblSeverityAnalysis[[#This Row],[1 sectores en fase de severidad 5 '[modificar el umbral']]:[Marcador manual]], "Flagged")</f>
        <v>0</v>
      </c>
      <c r="AO323" s="418">
        <f>tblSeverityAnalysis[[#This Row],[Severidad preliminar basada en la superposición de privaciones sectoriales]]</f>
        <v>3</v>
      </c>
      <c r="AP323" s="417"/>
      <c r="AQ323" s="421" t="s">
        <v>876</v>
      </c>
      <c r="AR323" s="417">
        <v>3</v>
      </c>
    </row>
    <row r="324" spans="1:44" ht="14.45" hidden="1" customHeight="1">
      <c r="A32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VenezolanosVE2308</v>
      </c>
      <c r="B324" s="363" t="s">
        <v>705</v>
      </c>
      <c r="C324" s="323" t="s">
        <v>706</v>
      </c>
      <c r="D324" s="322" t="s">
        <v>721</v>
      </c>
      <c r="E324" s="323" t="s">
        <v>722</v>
      </c>
      <c r="F324" s="323"/>
      <c r="G324" s="324">
        <v>30484</v>
      </c>
      <c r="H324" s="324" t="s">
        <v>102</v>
      </c>
      <c r="I324" s="374">
        <v>3</v>
      </c>
      <c r="J324" s="237">
        <v>3</v>
      </c>
      <c r="K324" s="237">
        <v>3</v>
      </c>
      <c r="L324" s="237">
        <v>5</v>
      </c>
      <c r="M324" s="237">
        <v>4</v>
      </c>
      <c r="N324" s="237">
        <v>4</v>
      </c>
      <c r="O324" s="237">
        <v>4</v>
      </c>
      <c r="P324" s="237">
        <v>4</v>
      </c>
      <c r="Q324" s="382" t="str">
        <f>IF(COUNTIF(tblSeverityAnalysis[[#This Row],[SAMV]:[ASH]], 1)=0, "", COUNTIF(tblSeverityAnalysis[[#This Row],[SAMV]:[ASH]], 1))</f>
        <v/>
      </c>
      <c r="R324" s="325" t="str">
        <f>IF(COUNTIF(tblSeverityAnalysis[[#This Row],[SAMV]:[ASH]], 2)=0, "", COUNTIF(tblSeverityAnalysis[[#This Row],[SAMV]:[ASH]], 2))</f>
        <v/>
      </c>
      <c r="S324" s="325">
        <f>IF(COUNTIF(tblSeverityAnalysis[[#This Row],[SAMV]:[ASH]], 3)=0, "", COUNTIF(tblSeverityAnalysis[[#This Row],[SAMV]:[ASH]], 3))</f>
        <v>3</v>
      </c>
      <c r="T324" s="325">
        <f>IF(COUNTIF(tblSeverityAnalysis[[#This Row],[SAMV]:[ASH]], 4)=0, "", COUNTIF(tblSeverityAnalysis[[#This Row],[SAMV]:[ASH]], 4))</f>
        <v>2</v>
      </c>
      <c r="U324" s="383">
        <f>IF(COUNTIF(tblSeverityAnalysis[[#This Row],[SAMV]:[ASH]], 5)=0, "", COUNTIF(tblSeverityAnalysis[[#This Row],[SAMV]:[ASH]], 5))</f>
        <v>1</v>
      </c>
      <c r="V324" s="376">
        <v>4</v>
      </c>
      <c r="W32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24" s="237" t="str">
        <f>IFERROR(IF(INDEX(tblSeverityReference[Severidad de la desnutrición],MATCH(tblSeverityAnalysis[[#This Row],[ID]], tblSeverityReference[ID], 0))= "", "",INDEX(tblSeverityReference[Severidad de la desnutrición],MATCH(tblSeverityAnalysis[[#This Row],[ID]], tblSeverityReference[ID], 0)) ), "")</f>
        <v/>
      </c>
      <c r="Y324" s="349" t="str">
        <f>IFERROR(IF(INDEX(tblSeverityReference[Severidad epidémica],MATCH(tblSeverityAnalysis[[#This Row],[ID]], tblSeverityReference[ID], 0))= "", "",INDEX(tblSeverityReference[Severidad epidémica],MATCH(tblSeverityAnalysis[[#This Row],[ID]], tblSeverityReference[ID], 0)) ), "")</f>
        <v/>
      </c>
      <c r="Z32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24" s="391" t="str">
        <f>IFERROR(IF(INDEX(tblSeverityReference[HR/IHL Violation],MATCH(tblSeverityAnalysis[[#This Row],[ID]], tblSeverityReference[ID], 0))= "", "",INDEX(tblSeverityReference[HR/IHL Violation],MATCH(tblSeverityAnalysis[[#This Row],[ID]], tblSeverityReference[ID], 0)) ), "")</f>
        <v/>
      </c>
      <c r="AB324" s="397">
        <f>IFERROR(AVERAGE(tblSeverityAnalysis[[#This Row],[SAMV]:[ASH]]), "")</f>
        <v>3.6666666666666665</v>
      </c>
      <c r="AC324" s="346">
        <f>IF(SUM(tblSeverityAnalysis[[#This Row],[SAMV]:[ASH]])=0, "", MAX(tblSeverityAnalysis[[#This Row],[SAMV]:[ASH]]))</f>
        <v>5</v>
      </c>
      <c r="AD324" s="261" t="str" cm="1">
        <f t="array" ref="AD324">IFERROR(IF(tblSeverityAnalysis[[#This Row],[Severidad máxima]]="", "", _xlfn.TEXTJOIN(CHAR(10), TRUE, IF(tblSeverityAnalysis[[#This Row],[SAMV]:[ASH]]=tblSeverityAnalysis[[#This Row],[Severidad máxima]], tblSeverityAnalysis[[#Headers],[SAMV]:[ASH]], ""), "")), "")</f>
        <v>EDU</v>
      </c>
      <c r="AE324" s="346" cm="1">
        <f t="array" ref="AE324">IFERROR(MAX(_xlfn._xlws.FILTER(tblSeverityAnalysis[[#This Row],[SAMV]:[ASH]], tblSeverityAnalysis[[#This Row],[SAMV]:[ASH]]&lt;tblSeverityAnalysis[[#This Row],[Severidad máxima]])), "")</f>
        <v>4</v>
      </c>
      <c r="AF324" s="398" t="str" cm="1">
        <f t="array" ref="AF324">IFERROR(IF(tblSeverityAnalysis[[#This Row],[2ª mayor severidad]]="", "", _xlfn.TEXTJOIN(CHAR(10), TRUE, IF(tblSeverityAnalysis[[#This Row],[SAMV]:[ASH]]=tblSeverityAnalysis[[#This Row],[2ª mayor severidad]], tblSeverityAnalysis[[#Headers],[SAMV]:[ASH]], ""), "")), "")</f>
        <v>PRO
ASH</v>
      </c>
      <c r="AG324" s="405" t="str">
        <f>IFERROR(IF(AND(tblSeverityAnalysis[[#This Row],[5]] &lt;&gt; "", tblSeverityAnalysis[[#This Row],[5]]&gt;=sectors_sev_5), "Flagged", ""), "")</f>
        <v/>
      </c>
      <c r="AH324" s="347" t="str">
        <f>IFERROR(IF(AND(tblSeverityAnalysis[[#This Row],[Severidad preliminar basada en la superposición de privaciones sectoriales]]=5, SUM(tblSeverityAnalysis[[#This Row],[ 1 ]:[ 4 ]])&gt;=sectors_sev_5), "Flagged", ""), "")</f>
        <v/>
      </c>
      <c r="AI324" s="348" t="str" cm="1">
        <f t="array" ref="AI32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2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24" s="350"/>
      <c r="AL324" s="351"/>
      <c r="AM324" s="350"/>
      <c r="AN324" s="407">
        <f>COUNTIF(tblSeverityAnalysis[[#This Row],[1 sectores en fase de severidad 5 '[modificar el umbral']]:[Marcador manual]], "Flagged")</f>
        <v>0</v>
      </c>
      <c r="AO324" s="418">
        <f>tblSeverityAnalysis[[#This Row],[Severidad preliminar basada en la superposición de privaciones sectoriales]]</f>
        <v>4</v>
      </c>
      <c r="AP324" s="417" t="s">
        <v>881</v>
      </c>
      <c r="AQ324" s="421" t="s">
        <v>876</v>
      </c>
      <c r="AR324" s="417">
        <v>4</v>
      </c>
    </row>
    <row r="325" spans="1:44" ht="14.45" hidden="1" customHeight="1">
      <c r="A32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VenezolanosVE2309</v>
      </c>
      <c r="B325" s="363" t="s">
        <v>705</v>
      </c>
      <c r="C325" s="323" t="s">
        <v>706</v>
      </c>
      <c r="D325" s="322" t="s">
        <v>723</v>
      </c>
      <c r="E325" s="323" t="s">
        <v>724</v>
      </c>
      <c r="F325" s="323"/>
      <c r="G325" s="324">
        <v>82210</v>
      </c>
      <c r="H325" s="324" t="s">
        <v>102</v>
      </c>
      <c r="I325" s="374">
        <v>3</v>
      </c>
      <c r="J325" s="237">
        <v>3</v>
      </c>
      <c r="K325" s="237">
        <v>3</v>
      </c>
      <c r="L325" s="237">
        <v>4</v>
      </c>
      <c r="M325" s="237">
        <v>4</v>
      </c>
      <c r="N325" s="237">
        <v>3</v>
      </c>
      <c r="O325" s="237">
        <v>4</v>
      </c>
      <c r="P325" s="237">
        <v>4</v>
      </c>
      <c r="Q325" s="382" t="str">
        <f>IF(COUNTIF(tblSeverityAnalysis[[#This Row],[SAMV]:[ASH]], 1)=0, "", COUNTIF(tblSeverityAnalysis[[#This Row],[SAMV]:[ASH]], 1))</f>
        <v/>
      </c>
      <c r="R325" s="325" t="str">
        <f>IF(COUNTIF(tblSeverityAnalysis[[#This Row],[SAMV]:[ASH]], 2)=0, "", COUNTIF(tblSeverityAnalysis[[#This Row],[SAMV]:[ASH]], 2))</f>
        <v/>
      </c>
      <c r="S325" s="325">
        <f>IF(COUNTIF(tblSeverityAnalysis[[#This Row],[SAMV]:[ASH]], 3)=0, "", COUNTIF(tblSeverityAnalysis[[#This Row],[SAMV]:[ASH]], 3))</f>
        <v>4</v>
      </c>
      <c r="T325" s="325">
        <f>IF(COUNTIF(tblSeverityAnalysis[[#This Row],[SAMV]:[ASH]], 4)=0, "", COUNTIF(tblSeverityAnalysis[[#This Row],[SAMV]:[ASH]], 4))</f>
        <v>2</v>
      </c>
      <c r="U325" s="383" t="str">
        <f>IF(COUNTIF(tblSeverityAnalysis[[#This Row],[SAMV]:[ASH]], 5)=0, "", COUNTIF(tblSeverityAnalysis[[#This Row],[SAMV]:[ASH]], 5))</f>
        <v/>
      </c>
      <c r="V325" s="375" cm="1">
        <f t="array" ref="V32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2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25" s="237" t="str">
        <f>IFERROR(IF(INDEX(tblSeverityReference[Severidad de la desnutrición],MATCH(tblSeverityAnalysis[[#This Row],[ID]], tblSeverityReference[ID], 0))= "", "",INDEX(tblSeverityReference[Severidad de la desnutrición],MATCH(tblSeverityAnalysis[[#This Row],[ID]], tblSeverityReference[ID], 0)) ), "")</f>
        <v/>
      </c>
      <c r="Y325" s="349" t="str">
        <f>IFERROR(IF(INDEX(tblSeverityReference[Severidad epidémica],MATCH(tblSeverityAnalysis[[#This Row],[ID]], tblSeverityReference[ID], 0))= "", "",INDEX(tblSeverityReference[Severidad epidémica],MATCH(tblSeverityAnalysis[[#This Row],[ID]], tblSeverityReference[ID], 0)) ), "")</f>
        <v/>
      </c>
      <c r="Z32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25" s="391" t="str">
        <f>IFERROR(IF(INDEX(tblSeverityReference[HR/IHL Violation],MATCH(tblSeverityAnalysis[[#This Row],[ID]], tblSeverityReference[ID], 0))= "", "",INDEX(tblSeverityReference[HR/IHL Violation],MATCH(tblSeverityAnalysis[[#This Row],[ID]], tblSeverityReference[ID], 0)) ), "")</f>
        <v/>
      </c>
      <c r="AB325" s="397">
        <f>IFERROR(AVERAGE(tblSeverityAnalysis[[#This Row],[SAMV]:[ASH]]), "")</f>
        <v>3.3333333333333335</v>
      </c>
      <c r="AC325" s="346">
        <f>IF(SUM(tblSeverityAnalysis[[#This Row],[SAMV]:[ASH]])=0, "", MAX(tblSeverityAnalysis[[#This Row],[SAMV]:[ASH]]))</f>
        <v>4</v>
      </c>
      <c r="AD325" s="261" t="str" cm="1">
        <f t="array" ref="AD325">IFERROR(IF(tblSeverityAnalysis[[#This Row],[Severidad máxima]]="", "", _xlfn.TEXTJOIN(CHAR(10), TRUE, IF(tblSeverityAnalysis[[#This Row],[SAMV]:[ASH]]=tblSeverityAnalysis[[#This Row],[Severidad máxima]], tblSeverityAnalysis[[#Headers],[SAMV]:[ASH]], ""), "")), "")</f>
        <v>EDU
PRO</v>
      </c>
      <c r="AE325" s="346" cm="1">
        <f t="array" ref="AE325">IFERROR(MAX(_xlfn._xlws.FILTER(tblSeverityAnalysis[[#This Row],[SAMV]:[ASH]], tblSeverityAnalysis[[#This Row],[SAMV]:[ASH]]&lt;tblSeverityAnalysis[[#This Row],[Severidad máxima]])), "")</f>
        <v>3</v>
      </c>
      <c r="AF325" s="398" t="str" cm="1">
        <f t="array" ref="AF325">IFERROR(IF(tblSeverityAnalysis[[#This Row],[2ª mayor severidad]]="", "", _xlfn.TEXTJOIN(CHAR(10), TRUE, IF(tblSeverityAnalysis[[#This Row],[SAMV]:[ASH]]=tblSeverityAnalysis[[#This Row],[2ª mayor severidad]], tblSeverityAnalysis[[#Headers],[SAMV]:[ASH]], ""), "")), "")</f>
        <v>SAMV
NUT
SAL
ASH</v>
      </c>
      <c r="AG325" s="405" t="str">
        <f>IFERROR(IF(AND(tblSeverityAnalysis[[#This Row],[5]] &lt;&gt; "", tblSeverityAnalysis[[#This Row],[5]]&gt;=sectors_sev_5), "Flagged", ""), "")</f>
        <v/>
      </c>
      <c r="AH325" s="347" t="str">
        <f>IFERROR(IF(AND(tblSeverityAnalysis[[#This Row],[Severidad preliminar basada en la superposición de privaciones sectoriales]]=5, SUM(tblSeverityAnalysis[[#This Row],[ 1 ]:[ 4 ]])&gt;=sectors_sev_5), "Flagged", ""), "")</f>
        <v/>
      </c>
      <c r="AI325" s="348" t="str" cm="1">
        <f t="array" ref="AI32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2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25" s="350"/>
      <c r="AL325" s="351"/>
      <c r="AM325" s="350"/>
      <c r="AN325" s="407">
        <f>COUNTIF(tblSeverityAnalysis[[#This Row],[1 sectores en fase de severidad 5 '[modificar el umbral']]:[Marcador manual]], "Flagged")</f>
        <v>0</v>
      </c>
      <c r="AO325" s="418">
        <f>tblSeverityAnalysis[[#This Row],[Severidad preliminar basada en la superposición de privaciones sectoriales]]</f>
        <v>3</v>
      </c>
      <c r="AP325" s="417"/>
      <c r="AQ325" s="421" t="s">
        <v>876</v>
      </c>
      <c r="AR325" s="417">
        <v>3</v>
      </c>
    </row>
    <row r="326" spans="1:44" hidden="1">
      <c r="A32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VenezolanosVE2310</v>
      </c>
      <c r="B326" s="363" t="s">
        <v>705</v>
      </c>
      <c r="C326" s="323" t="s">
        <v>706</v>
      </c>
      <c r="D326" s="322" t="s">
        <v>725</v>
      </c>
      <c r="E326" s="323" t="s">
        <v>726</v>
      </c>
      <c r="F326" s="323"/>
      <c r="G326" s="324">
        <v>203435</v>
      </c>
      <c r="H326" s="324" t="s">
        <v>102</v>
      </c>
      <c r="I326" s="374">
        <v>3</v>
      </c>
      <c r="J326" s="237">
        <v>2</v>
      </c>
      <c r="K326" s="237">
        <v>3</v>
      </c>
      <c r="L326" s="237">
        <v>3</v>
      </c>
      <c r="M326" s="237">
        <v>4</v>
      </c>
      <c r="N326" s="237">
        <v>3</v>
      </c>
      <c r="O326" s="237">
        <v>4</v>
      </c>
      <c r="P326" s="237">
        <v>4</v>
      </c>
      <c r="Q326" s="382" t="str">
        <f>IF(COUNTIF(tblSeverityAnalysis[[#This Row],[SAMV]:[ASH]], 1)=0, "", COUNTIF(tblSeverityAnalysis[[#This Row],[SAMV]:[ASH]], 1))</f>
        <v/>
      </c>
      <c r="R326" s="325">
        <f>IF(COUNTIF(tblSeverityAnalysis[[#This Row],[SAMV]:[ASH]], 2)=0, "", COUNTIF(tblSeverityAnalysis[[#This Row],[SAMV]:[ASH]], 2))</f>
        <v>1</v>
      </c>
      <c r="S326" s="325">
        <f>IF(COUNTIF(tblSeverityAnalysis[[#This Row],[SAMV]:[ASH]], 3)=0, "", COUNTIF(tblSeverityAnalysis[[#This Row],[SAMV]:[ASH]], 3))</f>
        <v>4</v>
      </c>
      <c r="T326" s="325">
        <f>IF(COUNTIF(tblSeverityAnalysis[[#This Row],[SAMV]:[ASH]], 4)=0, "", COUNTIF(tblSeverityAnalysis[[#This Row],[SAMV]:[ASH]], 4))</f>
        <v>1</v>
      </c>
      <c r="U326" s="383" t="str">
        <f>IF(COUNTIF(tblSeverityAnalysis[[#This Row],[SAMV]:[ASH]], 5)=0, "", COUNTIF(tblSeverityAnalysis[[#This Row],[SAMV]:[ASH]], 5))</f>
        <v/>
      </c>
      <c r="V326" s="375" cm="1">
        <f t="array" ref="V32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2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26" s="237" t="str">
        <f>IFERROR(IF(INDEX(tblSeverityReference[Severidad de la desnutrición],MATCH(tblSeverityAnalysis[[#This Row],[ID]], tblSeverityReference[ID], 0))= "", "",INDEX(tblSeverityReference[Severidad de la desnutrición],MATCH(tblSeverityAnalysis[[#This Row],[ID]], tblSeverityReference[ID], 0)) ), "")</f>
        <v/>
      </c>
      <c r="Y326" s="349" t="str">
        <f>IFERROR(IF(INDEX(tblSeverityReference[Severidad epidémica],MATCH(tblSeverityAnalysis[[#This Row],[ID]], tblSeverityReference[ID], 0))= "", "",INDEX(tblSeverityReference[Severidad epidémica],MATCH(tblSeverityAnalysis[[#This Row],[ID]], tblSeverityReference[ID], 0)) ), "")</f>
        <v/>
      </c>
      <c r="Z32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26" s="391" t="str">
        <f>IFERROR(IF(INDEX(tblSeverityReference[HR/IHL Violation],MATCH(tblSeverityAnalysis[[#This Row],[ID]], tblSeverityReference[ID], 0))= "", "",INDEX(tblSeverityReference[HR/IHL Violation],MATCH(tblSeverityAnalysis[[#This Row],[ID]], tblSeverityReference[ID], 0)) ), "")</f>
        <v/>
      </c>
      <c r="AB326" s="397">
        <f>IFERROR(AVERAGE(tblSeverityAnalysis[[#This Row],[SAMV]:[ASH]]), "")</f>
        <v>3</v>
      </c>
      <c r="AC326" s="346">
        <f>IF(SUM(tblSeverityAnalysis[[#This Row],[SAMV]:[ASH]])=0, "", MAX(tblSeverityAnalysis[[#This Row],[SAMV]:[ASH]]))</f>
        <v>4</v>
      </c>
      <c r="AD326" s="261" t="str" cm="1">
        <f t="array" ref="AD326">IFERROR(IF(tblSeverityAnalysis[[#This Row],[Severidad máxima]]="", "", _xlfn.TEXTJOIN(CHAR(10), TRUE, IF(tblSeverityAnalysis[[#This Row],[SAMV]:[ASH]]=tblSeverityAnalysis[[#This Row],[Severidad máxima]], tblSeverityAnalysis[[#Headers],[SAMV]:[ASH]], ""), "")), "")</f>
        <v>PRO</v>
      </c>
      <c r="AE326" s="346" cm="1">
        <f t="array" ref="AE326">IFERROR(MAX(_xlfn._xlws.FILTER(tblSeverityAnalysis[[#This Row],[SAMV]:[ASH]], tblSeverityAnalysis[[#This Row],[SAMV]:[ASH]]&lt;tblSeverityAnalysis[[#This Row],[Severidad máxima]])), "")</f>
        <v>3</v>
      </c>
      <c r="AF326" s="398" t="str" cm="1">
        <f t="array" ref="AF326">IFERROR(IF(tblSeverityAnalysis[[#This Row],[2ª mayor severidad]]="", "", _xlfn.TEXTJOIN(CHAR(10), TRUE, IF(tblSeverityAnalysis[[#This Row],[SAMV]:[ASH]]=tblSeverityAnalysis[[#This Row],[2ª mayor severidad]], tblSeverityAnalysis[[#Headers],[SAMV]:[ASH]], ""), "")), "")</f>
        <v>SAMV
SAL
EDU
ASH</v>
      </c>
      <c r="AG326" s="405" t="str">
        <f>IFERROR(IF(AND(tblSeverityAnalysis[[#This Row],[5]] &lt;&gt; "", tblSeverityAnalysis[[#This Row],[5]]&gt;=sectors_sev_5), "Flagged", ""), "")</f>
        <v/>
      </c>
      <c r="AH326" s="347" t="str">
        <f>IFERROR(IF(AND(tblSeverityAnalysis[[#This Row],[Severidad preliminar basada en la superposición de privaciones sectoriales]]=5, SUM(tblSeverityAnalysis[[#This Row],[ 1 ]:[ 4 ]])&gt;=sectors_sev_5), "Flagged", ""), "")</f>
        <v/>
      </c>
      <c r="AI326" s="348" t="str" cm="1">
        <f t="array" ref="AI32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2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26" s="350"/>
      <c r="AL326" s="351"/>
      <c r="AM326" s="350"/>
      <c r="AN326" s="407">
        <f>COUNTIF(tblSeverityAnalysis[[#This Row],[1 sectores en fase de severidad 5 '[modificar el umbral']]:[Marcador manual]], "Flagged")</f>
        <v>0</v>
      </c>
      <c r="AO326" s="418">
        <f>tblSeverityAnalysis[[#This Row],[Severidad preliminar basada en la superposición de privaciones sectoriales]]</f>
        <v>3</v>
      </c>
      <c r="AP326" s="417"/>
      <c r="AQ326" s="421" t="s">
        <v>876</v>
      </c>
      <c r="AR326" s="417">
        <v>3</v>
      </c>
    </row>
    <row r="327" spans="1:44" hidden="1">
      <c r="A32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VenezolanosVE2311</v>
      </c>
      <c r="B327" s="363" t="s">
        <v>705</v>
      </c>
      <c r="C327" s="323" t="s">
        <v>706</v>
      </c>
      <c r="D327" s="322" t="s">
        <v>727</v>
      </c>
      <c r="E327" s="323" t="s">
        <v>728</v>
      </c>
      <c r="F327" s="323"/>
      <c r="G327" s="324">
        <v>122734</v>
      </c>
      <c r="H327" s="324" t="s">
        <v>102</v>
      </c>
      <c r="I327" s="374">
        <v>3</v>
      </c>
      <c r="J327" s="237">
        <v>2</v>
      </c>
      <c r="K327" s="237">
        <v>4</v>
      </c>
      <c r="L327" s="237">
        <v>4</v>
      </c>
      <c r="M327" s="237">
        <v>4</v>
      </c>
      <c r="N327" s="237">
        <v>3</v>
      </c>
      <c r="O327" s="237">
        <v>4</v>
      </c>
      <c r="P327" s="237">
        <v>4</v>
      </c>
      <c r="Q327" s="382" t="str">
        <f>IF(COUNTIF(tblSeverityAnalysis[[#This Row],[SAMV]:[ASH]], 1)=0, "", COUNTIF(tblSeverityAnalysis[[#This Row],[SAMV]:[ASH]], 1))</f>
        <v/>
      </c>
      <c r="R327" s="325">
        <f>IF(COUNTIF(tblSeverityAnalysis[[#This Row],[SAMV]:[ASH]], 2)=0, "", COUNTIF(tblSeverityAnalysis[[#This Row],[SAMV]:[ASH]], 2))</f>
        <v>1</v>
      </c>
      <c r="S327" s="325">
        <f>IF(COUNTIF(tblSeverityAnalysis[[#This Row],[SAMV]:[ASH]], 3)=0, "", COUNTIF(tblSeverityAnalysis[[#This Row],[SAMV]:[ASH]], 3))</f>
        <v>2</v>
      </c>
      <c r="T327" s="325">
        <f>IF(COUNTIF(tblSeverityAnalysis[[#This Row],[SAMV]:[ASH]], 4)=0, "", COUNTIF(tblSeverityAnalysis[[#This Row],[SAMV]:[ASH]], 4))</f>
        <v>3</v>
      </c>
      <c r="U327" s="383" t="str">
        <f>IF(COUNTIF(tblSeverityAnalysis[[#This Row],[SAMV]:[ASH]], 5)=0, "", COUNTIF(tblSeverityAnalysis[[#This Row],[SAMV]:[ASH]], 5))</f>
        <v/>
      </c>
      <c r="V327" s="375" cm="1">
        <f t="array" ref="V32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2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27" s="237" t="str">
        <f>IFERROR(IF(INDEX(tblSeverityReference[Severidad de la desnutrición],MATCH(tblSeverityAnalysis[[#This Row],[ID]], tblSeverityReference[ID], 0))= "", "",INDEX(tblSeverityReference[Severidad de la desnutrición],MATCH(tblSeverityAnalysis[[#This Row],[ID]], tblSeverityReference[ID], 0)) ), "")</f>
        <v/>
      </c>
      <c r="Y327" s="349" t="str">
        <f>IFERROR(IF(INDEX(tblSeverityReference[Severidad epidémica],MATCH(tblSeverityAnalysis[[#This Row],[ID]], tblSeverityReference[ID], 0))= "", "",INDEX(tblSeverityReference[Severidad epidémica],MATCH(tblSeverityAnalysis[[#This Row],[ID]], tblSeverityReference[ID], 0)) ), "")</f>
        <v/>
      </c>
      <c r="Z32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27" s="391" t="str">
        <f>IFERROR(IF(INDEX(tblSeverityReference[HR/IHL Violation],MATCH(tblSeverityAnalysis[[#This Row],[ID]], tblSeverityReference[ID], 0))= "", "",INDEX(tblSeverityReference[HR/IHL Violation],MATCH(tblSeverityAnalysis[[#This Row],[ID]], tblSeverityReference[ID], 0)) ), "")</f>
        <v/>
      </c>
      <c r="AB327" s="397">
        <f>IFERROR(AVERAGE(tblSeverityAnalysis[[#This Row],[SAMV]:[ASH]]), "")</f>
        <v>3.3333333333333335</v>
      </c>
      <c r="AC327" s="346">
        <f>IF(SUM(tblSeverityAnalysis[[#This Row],[SAMV]:[ASH]])=0, "", MAX(tblSeverityAnalysis[[#This Row],[SAMV]:[ASH]]))</f>
        <v>4</v>
      </c>
      <c r="AD327" s="261" t="str" cm="1">
        <f t="array" ref="AD327">IFERROR(IF(tblSeverityAnalysis[[#This Row],[Severidad máxima]]="", "", _xlfn.TEXTJOIN(CHAR(10), TRUE, IF(tblSeverityAnalysis[[#This Row],[SAMV]:[ASH]]=tblSeverityAnalysis[[#This Row],[Severidad máxima]], tblSeverityAnalysis[[#Headers],[SAMV]:[ASH]], ""), "")), "")</f>
        <v>SAL
EDU
PRO</v>
      </c>
      <c r="AE327" s="346" cm="1">
        <f t="array" ref="AE327">IFERROR(MAX(_xlfn._xlws.FILTER(tblSeverityAnalysis[[#This Row],[SAMV]:[ASH]], tblSeverityAnalysis[[#This Row],[SAMV]:[ASH]]&lt;tblSeverityAnalysis[[#This Row],[Severidad máxima]])), "")</f>
        <v>3</v>
      </c>
      <c r="AF327" s="398" t="str" cm="1">
        <f t="array" ref="AF327">IFERROR(IF(tblSeverityAnalysis[[#This Row],[2ª mayor severidad]]="", "", _xlfn.TEXTJOIN(CHAR(10), TRUE, IF(tblSeverityAnalysis[[#This Row],[SAMV]:[ASH]]=tblSeverityAnalysis[[#This Row],[2ª mayor severidad]], tblSeverityAnalysis[[#Headers],[SAMV]:[ASH]], ""), "")), "")</f>
        <v>SAMV
ASH</v>
      </c>
      <c r="AG327" s="405" t="str">
        <f>IFERROR(IF(AND(tblSeverityAnalysis[[#This Row],[5]] &lt;&gt; "", tblSeverityAnalysis[[#This Row],[5]]&gt;=sectors_sev_5), "Flagged", ""), "")</f>
        <v/>
      </c>
      <c r="AH327" s="347" t="str">
        <f>IFERROR(IF(AND(tblSeverityAnalysis[[#This Row],[Severidad preliminar basada en la superposición de privaciones sectoriales]]=5, SUM(tblSeverityAnalysis[[#This Row],[ 1 ]:[ 4 ]])&gt;=sectors_sev_5), "Flagged", ""), "")</f>
        <v/>
      </c>
      <c r="AI327" s="348" t="str" cm="1">
        <f t="array" ref="AI32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2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27" s="350"/>
      <c r="AL327" s="351"/>
      <c r="AM327" s="350"/>
      <c r="AN327" s="407">
        <f>COUNTIF(tblSeverityAnalysis[[#This Row],[1 sectores en fase de severidad 5 '[modificar el umbral']]:[Marcador manual]], "Flagged")</f>
        <v>0</v>
      </c>
      <c r="AO327" s="418">
        <f>tblSeverityAnalysis[[#This Row],[Severidad preliminar basada en la superposición de privaciones sectoriales]]</f>
        <v>3</v>
      </c>
      <c r="AP327" s="417"/>
      <c r="AQ327" s="421" t="s">
        <v>875</v>
      </c>
      <c r="AR327" s="417">
        <v>4</v>
      </c>
    </row>
    <row r="328" spans="1:44" hidden="1">
      <c r="A32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VenezolanosVE2312</v>
      </c>
      <c r="B328" s="363" t="s">
        <v>705</v>
      </c>
      <c r="C328" s="323" t="s">
        <v>706</v>
      </c>
      <c r="D328" s="322" t="s">
        <v>729</v>
      </c>
      <c r="E328" s="323" t="s">
        <v>730</v>
      </c>
      <c r="F328" s="323"/>
      <c r="G328" s="324">
        <v>207221</v>
      </c>
      <c r="H328" s="324" t="s">
        <v>102</v>
      </c>
      <c r="I328" s="374">
        <v>4</v>
      </c>
      <c r="J328" s="237">
        <v>2</v>
      </c>
      <c r="K328" s="237">
        <v>4</v>
      </c>
      <c r="L328" s="237">
        <v>4</v>
      </c>
      <c r="M328" s="237">
        <v>4</v>
      </c>
      <c r="N328" s="237">
        <v>4</v>
      </c>
      <c r="O328" s="237">
        <v>4</v>
      </c>
      <c r="P328" s="237">
        <v>4</v>
      </c>
      <c r="Q328" s="382" t="str">
        <f>IF(COUNTIF(tblSeverityAnalysis[[#This Row],[SAMV]:[ASH]], 1)=0, "", COUNTIF(tblSeverityAnalysis[[#This Row],[SAMV]:[ASH]], 1))</f>
        <v/>
      </c>
      <c r="R328" s="325">
        <f>IF(COUNTIF(tblSeverityAnalysis[[#This Row],[SAMV]:[ASH]], 2)=0, "", COUNTIF(tblSeverityAnalysis[[#This Row],[SAMV]:[ASH]], 2))</f>
        <v>1</v>
      </c>
      <c r="S328" s="325" t="str">
        <f>IF(COUNTIF(tblSeverityAnalysis[[#This Row],[SAMV]:[ASH]], 3)=0, "", COUNTIF(tblSeverityAnalysis[[#This Row],[SAMV]:[ASH]], 3))</f>
        <v/>
      </c>
      <c r="T328" s="325">
        <f>IF(COUNTIF(tblSeverityAnalysis[[#This Row],[SAMV]:[ASH]], 4)=0, "", COUNTIF(tblSeverityAnalysis[[#This Row],[SAMV]:[ASH]], 4))</f>
        <v>5</v>
      </c>
      <c r="U328" s="383" t="str">
        <f>IF(COUNTIF(tblSeverityAnalysis[[#This Row],[SAMV]:[ASH]], 5)=0, "", COUNTIF(tblSeverityAnalysis[[#This Row],[SAMV]:[ASH]], 5))</f>
        <v/>
      </c>
      <c r="V328" s="375" cm="1">
        <f t="array" ref="V32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328"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28" s="237" t="str">
        <f>IFERROR(IF(INDEX(tblSeverityReference[Severidad de la desnutrición],MATCH(tblSeverityAnalysis[[#This Row],[ID]], tblSeverityReference[ID], 0))= "", "",INDEX(tblSeverityReference[Severidad de la desnutrición],MATCH(tblSeverityAnalysis[[#This Row],[ID]], tblSeverityReference[ID], 0)) ), "")</f>
        <v/>
      </c>
      <c r="Y328" s="349" t="str">
        <f>IFERROR(IF(INDEX(tblSeverityReference[Severidad epidémica],MATCH(tblSeverityAnalysis[[#This Row],[ID]], tblSeverityReference[ID], 0))= "", "",INDEX(tblSeverityReference[Severidad epidémica],MATCH(tblSeverityAnalysis[[#This Row],[ID]], tblSeverityReference[ID], 0)) ), "")</f>
        <v/>
      </c>
      <c r="Z328"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28" s="391" t="str">
        <f>IFERROR(IF(INDEX(tblSeverityReference[HR/IHL Violation],MATCH(tblSeverityAnalysis[[#This Row],[ID]], tblSeverityReference[ID], 0))= "", "",INDEX(tblSeverityReference[HR/IHL Violation],MATCH(tblSeverityAnalysis[[#This Row],[ID]], tblSeverityReference[ID], 0)) ), "")</f>
        <v/>
      </c>
      <c r="AB328" s="397">
        <f>IFERROR(AVERAGE(tblSeverityAnalysis[[#This Row],[SAMV]:[ASH]]), "")</f>
        <v>3.6666666666666665</v>
      </c>
      <c r="AC328" s="346">
        <f>IF(SUM(tblSeverityAnalysis[[#This Row],[SAMV]:[ASH]])=0, "", MAX(tblSeverityAnalysis[[#This Row],[SAMV]:[ASH]]))</f>
        <v>4</v>
      </c>
      <c r="AD328" s="261" t="str" cm="1">
        <f t="array" ref="AD328">IFERROR(IF(tblSeverityAnalysis[[#This Row],[Severidad máxima]]="", "", _xlfn.TEXTJOIN(CHAR(10), TRUE, IF(tblSeverityAnalysis[[#This Row],[SAMV]:[ASH]]=tblSeverityAnalysis[[#This Row],[Severidad máxima]], tblSeverityAnalysis[[#Headers],[SAMV]:[ASH]], ""), "")), "")</f>
        <v>SAMV
SAL
EDU
PRO
ASH</v>
      </c>
      <c r="AE328" s="346" cm="1">
        <f t="array" ref="AE328">IFERROR(MAX(_xlfn._xlws.FILTER(tblSeverityAnalysis[[#This Row],[SAMV]:[ASH]], tblSeverityAnalysis[[#This Row],[SAMV]:[ASH]]&lt;tblSeverityAnalysis[[#This Row],[Severidad máxima]])), "")</f>
        <v>2</v>
      </c>
      <c r="AF328" s="398" t="str" cm="1">
        <f t="array" ref="AF328">IFERROR(IF(tblSeverityAnalysis[[#This Row],[2ª mayor severidad]]="", "", _xlfn.TEXTJOIN(CHAR(10), TRUE, IF(tblSeverityAnalysis[[#This Row],[SAMV]:[ASH]]=tblSeverityAnalysis[[#This Row],[2ª mayor severidad]], tblSeverityAnalysis[[#Headers],[SAMV]:[ASH]], ""), "")), "")</f>
        <v>NUT</v>
      </c>
      <c r="AG328" s="405" t="str">
        <f>IFERROR(IF(AND(tblSeverityAnalysis[[#This Row],[5]] &lt;&gt; "", tblSeverityAnalysis[[#This Row],[5]]&gt;=sectors_sev_5), "Flagged", ""), "")</f>
        <v/>
      </c>
      <c r="AH328" s="347" t="str">
        <f>IFERROR(IF(AND(tblSeverityAnalysis[[#This Row],[Severidad preliminar basada en la superposición de privaciones sectoriales]]=5, SUM(tblSeverityAnalysis[[#This Row],[ 1 ]:[ 4 ]])&gt;=sectors_sev_5), "Flagged", ""), "")</f>
        <v/>
      </c>
      <c r="AI328" s="348" t="str" cm="1">
        <f t="array" ref="AI32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28"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28" s="350"/>
      <c r="AL328" s="351"/>
      <c r="AM328" s="350"/>
      <c r="AN328" s="407">
        <f>COUNTIF(tblSeverityAnalysis[[#This Row],[1 sectores en fase de severidad 5 '[modificar el umbral']]:[Marcador manual]], "Flagged")</f>
        <v>0</v>
      </c>
      <c r="AO328" s="418">
        <f>tblSeverityAnalysis[[#This Row],[Severidad preliminar basada en la superposición de privaciones sectoriales]]</f>
        <v>4</v>
      </c>
      <c r="AP328" s="417"/>
      <c r="AQ328" s="421" t="s">
        <v>875</v>
      </c>
      <c r="AR328" s="417">
        <v>4</v>
      </c>
    </row>
    <row r="329" spans="1:44" hidden="1">
      <c r="A329"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VenezolanosVE2313</v>
      </c>
      <c r="B329" s="363" t="s">
        <v>705</v>
      </c>
      <c r="C329" s="323" t="s">
        <v>706</v>
      </c>
      <c r="D329" s="322" t="s">
        <v>731</v>
      </c>
      <c r="E329" s="323" t="s">
        <v>732</v>
      </c>
      <c r="F329" s="323"/>
      <c r="G329" s="324">
        <v>1459448</v>
      </c>
      <c r="H329" s="324" t="s">
        <v>102</v>
      </c>
      <c r="I329" s="374">
        <v>3</v>
      </c>
      <c r="J329" s="237">
        <v>2</v>
      </c>
      <c r="K329" s="237">
        <v>3</v>
      </c>
      <c r="L329" s="237">
        <v>4</v>
      </c>
      <c r="M329" s="237">
        <v>4</v>
      </c>
      <c r="N329" s="237">
        <v>3</v>
      </c>
      <c r="O329" s="237">
        <v>4</v>
      </c>
      <c r="P329" s="237">
        <v>4</v>
      </c>
      <c r="Q329" s="382" t="str">
        <f>IF(COUNTIF(tblSeverityAnalysis[[#This Row],[SAMV]:[ASH]], 1)=0, "", COUNTIF(tblSeverityAnalysis[[#This Row],[SAMV]:[ASH]], 1))</f>
        <v/>
      </c>
      <c r="R329" s="325">
        <f>IF(COUNTIF(tblSeverityAnalysis[[#This Row],[SAMV]:[ASH]], 2)=0, "", COUNTIF(tblSeverityAnalysis[[#This Row],[SAMV]:[ASH]], 2))</f>
        <v>1</v>
      </c>
      <c r="S329" s="325">
        <f>IF(COUNTIF(tblSeverityAnalysis[[#This Row],[SAMV]:[ASH]], 3)=0, "", COUNTIF(tblSeverityAnalysis[[#This Row],[SAMV]:[ASH]], 3))</f>
        <v>3</v>
      </c>
      <c r="T329" s="325">
        <f>IF(COUNTIF(tblSeverityAnalysis[[#This Row],[SAMV]:[ASH]], 4)=0, "", COUNTIF(tblSeverityAnalysis[[#This Row],[SAMV]:[ASH]], 4))</f>
        <v>2</v>
      </c>
      <c r="U329" s="383" t="str">
        <f>IF(COUNTIF(tblSeverityAnalysis[[#This Row],[SAMV]:[ASH]], 5)=0, "", COUNTIF(tblSeverityAnalysis[[#This Row],[SAMV]:[ASH]], 5))</f>
        <v/>
      </c>
      <c r="V329" s="375" cm="1">
        <f t="array" ref="V329">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29"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29" s="237" t="str">
        <f>IFERROR(IF(INDEX(tblSeverityReference[Severidad de la desnutrición],MATCH(tblSeverityAnalysis[[#This Row],[ID]], tblSeverityReference[ID], 0))= "", "",INDEX(tblSeverityReference[Severidad de la desnutrición],MATCH(tblSeverityAnalysis[[#This Row],[ID]], tblSeverityReference[ID], 0)) ), "")</f>
        <v/>
      </c>
      <c r="Y329" s="349" t="str">
        <f>IFERROR(IF(INDEX(tblSeverityReference[Severidad epidémica],MATCH(tblSeverityAnalysis[[#This Row],[ID]], tblSeverityReference[ID], 0))= "", "",INDEX(tblSeverityReference[Severidad epidémica],MATCH(tblSeverityAnalysis[[#This Row],[ID]], tblSeverityReference[ID], 0)) ), "")</f>
        <v/>
      </c>
      <c r="Z329"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29" s="391" t="str">
        <f>IFERROR(IF(INDEX(tblSeverityReference[HR/IHL Violation],MATCH(tblSeverityAnalysis[[#This Row],[ID]], tblSeverityReference[ID], 0))= "", "",INDEX(tblSeverityReference[HR/IHL Violation],MATCH(tblSeverityAnalysis[[#This Row],[ID]], tblSeverityReference[ID], 0)) ), "")</f>
        <v/>
      </c>
      <c r="AB329" s="397">
        <f>IFERROR(AVERAGE(tblSeverityAnalysis[[#This Row],[SAMV]:[ASH]]), "")</f>
        <v>3.1666666666666665</v>
      </c>
      <c r="AC329" s="346">
        <f>IF(SUM(tblSeverityAnalysis[[#This Row],[SAMV]:[ASH]])=0, "", MAX(tblSeverityAnalysis[[#This Row],[SAMV]:[ASH]]))</f>
        <v>4</v>
      </c>
      <c r="AD329" s="261" t="str" cm="1">
        <f t="array" ref="AD329">IFERROR(IF(tblSeverityAnalysis[[#This Row],[Severidad máxima]]="", "", _xlfn.TEXTJOIN(CHAR(10), TRUE, IF(tblSeverityAnalysis[[#This Row],[SAMV]:[ASH]]=tblSeverityAnalysis[[#This Row],[Severidad máxima]], tblSeverityAnalysis[[#Headers],[SAMV]:[ASH]], ""), "")), "")</f>
        <v>EDU
PRO</v>
      </c>
      <c r="AE329" s="346" cm="1">
        <f t="array" ref="AE329">IFERROR(MAX(_xlfn._xlws.FILTER(tblSeverityAnalysis[[#This Row],[SAMV]:[ASH]], tblSeverityAnalysis[[#This Row],[SAMV]:[ASH]]&lt;tblSeverityAnalysis[[#This Row],[Severidad máxima]])), "")</f>
        <v>3</v>
      </c>
      <c r="AF329" s="398" t="str" cm="1">
        <f t="array" ref="AF329">IFERROR(IF(tblSeverityAnalysis[[#This Row],[2ª mayor severidad]]="", "", _xlfn.TEXTJOIN(CHAR(10), TRUE, IF(tblSeverityAnalysis[[#This Row],[SAMV]:[ASH]]=tblSeverityAnalysis[[#This Row],[2ª mayor severidad]], tblSeverityAnalysis[[#Headers],[SAMV]:[ASH]], ""), "")), "")</f>
        <v>SAMV
SAL
ASH</v>
      </c>
      <c r="AG329" s="405" t="str">
        <f>IFERROR(IF(AND(tblSeverityAnalysis[[#This Row],[5]] &lt;&gt; "", tblSeverityAnalysis[[#This Row],[5]]&gt;=sectors_sev_5), "Flagged", ""), "")</f>
        <v/>
      </c>
      <c r="AH329" s="347" t="str">
        <f>IFERROR(IF(AND(tblSeverityAnalysis[[#This Row],[Severidad preliminar basada en la superposición de privaciones sectoriales]]=5, SUM(tblSeverityAnalysis[[#This Row],[ 1 ]:[ 4 ]])&gt;=sectors_sev_5), "Flagged", ""), "")</f>
        <v/>
      </c>
      <c r="AI329" s="348" t="str" cm="1">
        <f t="array" ref="AI329">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29"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29" s="350"/>
      <c r="AL329" s="351"/>
      <c r="AM329" s="350"/>
      <c r="AN329" s="407">
        <f>COUNTIF(tblSeverityAnalysis[[#This Row],[1 sectores en fase de severidad 5 '[modificar el umbral']]:[Marcador manual]], "Flagged")</f>
        <v>0</v>
      </c>
      <c r="AO329" s="418">
        <f>tblSeverityAnalysis[[#This Row],[Severidad preliminar basada en la superposición de privaciones sectoriales]]</f>
        <v>3</v>
      </c>
      <c r="AP329" s="417"/>
      <c r="AQ329" s="421" t="s">
        <v>875</v>
      </c>
      <c r="AR329" s="417">
        <v>3</v>
      </c>
    </row>
    <row r="330" spans="1:44" hidden="1">
      <c r="A330"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VenezolanosVE2314</v>
      </c>
      <c r="B330" s="363" t="s">
        <v>705</v>
      </c>
      <c r="C330" s="323" t="s">
        <v>706</v>
      </c>
      <c r="D330" s="322" t="s">
        <v>276</v>
      </c>
      <c r="E330" s="323" t="s">
        <v>733</v>
      </c>
      <c r="F330" s="323"/>
      <c r="G330" s="324">
        <v>97463</v>
      </c>
      <c r="H330" s="324" t="s">
        <v>102</v>
      </c>
      <c r="I330" s="374">
        <v>3</v>
      </c>
      <c r="J330" s="237">
        <v>2</v>
      </c>
      <c r="K330" s="237">
        <v>3</v>
      </c>
      <c r="L330" s="237">
        <v>4</v>
      </c>
      <c r="M330" s="237">
        <v>4</v>
      </c>
      <c r="N330" s="237">
        <v>3</v>
      </c>
      <c r="O330" s="237">
        <v>4</v>
      </c>
      <c r="P330" s="237">
        <v>4</v>
      </c>
      <c r="Q330" s="382" t="str">
        <f>IF(COUNTIF(tblSeverityAnalysis[[#This Row],[SAMV]:[ASH]], 1)=0, "", COUNTIF(tblSeverityAnalysis[[#This Row],[SAMV]:[ASH]], 1))</f>
        <v/>
      </c>
      <c r="R330" s="325">
        <f>IF(COUNTIF(tblSeverityAnalysis[[#This Row],[SAMV]:[ASH]], 2)=0, "", COUNTIF(tblSeverityAnalysis[[#This Row],[SAMV]:[ASH]], 2))</f>
        <v>1</v>
      </c>
      <c r="S330" s="325">
        <f>IF(COUNTIF(tblSeverityAnalysis[[#This Row],[SAMV]:[ASH]], 3)=0, "", COUNTIF(tblSeverityAnalysis[[#This Row],[SAMV]:[ASH]], 3))</f>
        <v>3</v>
      </c>
      <c r="T330" s="325">
        <f>IF(COUNTIF(tblSeverityAnalysis[[#This Row],[SAMV]:[ASH]], 4)=0, "", COUNTIF(tblSeverityAnalysis[[#This Row],[SAMV]:[ASH]], 4))</f>
        <v>2</v>
      </c>
      <c r="U330" s="383" t="str">
        <f>IF(COUNTIF(tblSeverityAnalysis[[#This Row],[SAMV]:[ASH]], 5)=0, "", COUNTIF(tblSeverityAnalysis[[#This Row],[SAMV]:[ASH]], 5))</f>
        <v/>
      </c>
      <c r="V330" s="375" cm="1">
        <f t="array" ref="V330">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30"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30" s="237" t="str">
        <f>IFERROR(IF(INDEX(tblSeverityReference[Severidad de la desnutrición],MATCH(tblSeverityAnalysis[[#This Row],[ID]], tblSeverityReference[ID], 0))= "", "",INDEX(tblSeverityReference[Severidad de la desnutrición],MATCH(tblSeverityAnalysis[[#This Row],[ID]], tblSeverityReference[ID], 0)) ), "")</f>
        <v/>
      </c>
      <c r="Y330" s="349" t="str">
        <f>IFERROR(IF(INDEX(tblSeverityReference[Severidad epidémica],MATCH(tblSeverityAnalysis[[#This Row],[ID]], tblSeverityReference[ID], 0))= "", "",INDEX(tblSeverityReference[Severidad epidémica],MATCH(tblSeverityAnalysis[[#This Row],[ID]], tblSeverityReference[ID], 0)) ), "")</f>
        <v/>
      </c>
      <c r="Z330"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30" s="391" t="str">
        <f>IFERROR(IF(INDEX(tblSeverityReference[HR/IHL Violation],MATCH(tblSeverityAnalysis[[#This Row],[ID]], tblSeverityReference[ID], 0))= "", "",INDEX(tblSeverityReference[HR/IHL Violation],MATCH(tblSeverityAnalysis[[#This Row],[ID]], tblSeverityReference[ID], 0)) ), "")</f>
        <v/>
      </c>
      <c r="AB330" s="397">
        <f>IFERROR(AVERAGE(tblSeverityAnalysis[[#This Row],[SAMV]:[ASH]]), "")</f>
        <v>3.1666666666666665</v>
      </c>
      <c r="AC330" s="346">
        <f>IF(SUM(tblSeverityAnalysis[[#This Row],[SAMV]:[ASH]])=0, "", MAX(tblSeverityAnalysis[[#This Row],[SAMV]:[ASH]]))</f>
        <v>4</v>
      </c>
      <c r="AD330" s="261" t="str" cm="1">
        <f t="array" ref="AD330">IFERROR(IF(tblSeverityAnalysis[[#This Row],[Severidad máxima]]="", "", _xlfn.TEXTJOIN(CHAR(10), TRUE, IF(tblSeverityAnalysis[[#This Row],[SAMV]:[ASH]]=tblSeverityAnalysis[[#This Row],[Severidad máxima]], tblSeverityAnalysis[[#Headers],[SAMV]:[ASH]], ""), "")), "")</f>
        <v>EDU
PRO</v>
      </c>
      <c r="AE330" s="346" cm="1">
        <f t="array" ref="AE330">IFERROR(MAX(_xlfn._xlws.FILTER(tblSeverityAnalysis[[#This Row],[SAMV]:[ASH]], tblSeverityAnalysis[[#This Row],[SAMV]:[ASH]]&lt;tblSeverityAnalysis[[#This Row],[Severidad máxima]])), "")</f>
        <v>3</v>
      </c>
      <c r="AF330" s="398" t="str" cm="1">
        <f t="array" ref="AF330">IFERROR(IF(tblSeverityAnalysis[[#This Row],[2ª mayor severidad]]="", "", _xlfn.TEXTJOIN(CHAR(10), TRUE, IF(tblSeverityAnalysis[[#This Row],[SAMV]:[ASH]]=tblSeverityAnalysis[[#This Row],[2ª mayor severidad]], tblSeverityAnalysis[[#Headers],[SAMV]:[ASH]], ""), "")), "")</f>
        <v>SAMV
SAL
ASH</v>
      </c>
      <c r="AG330" s="405" t="str">
        <f>IFERROR(IF(AND(tblSeverityAnalysis[[#This Row],[5]] &lt;&gt; "", tblSeverityAnalysis[[#This Row],[5]]&gt;=sectors_sev_5), "Flagged", ""), "")</f>
        <v/>
      </c>
      <c r="AH330" s="347" t="str">
        <f>IFERROR(IF(AND(tblSeverityAnalysis[[#This Row],[Severidad preliminar basada en la superposición de privaciones sectoriales]]=5, SUM(tblSeverityAnalysis[[#This Row],[ 1 ]:[ 4 ]])&gt;=sectors_sev_5), "Flagged", ""), "")</f>
        <v/>
      </c>
      <c r="AI330" s="348" t="str" cm="1">
        <f t="array" ref="AI330">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30"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30" s="350"/>
      <c r="AL330" s="351"/>
      <c r="AM330" s="350"/>
      <c r="AN330" s="407">
        <f>COUNTIF(tblSeverityAnalysis[[#This Row],[1 sectores en fase de severidad 5 '[modificar el umbral']]:[Marcador manual]], "Flagged")</f>
        <v>0</v>
      </c>
      <c r="AO330" s="418">
        <f>tblSeverityAnalysis[[#This Row],[Severidad preliminar basada en la superposición de privaciones sectoriales]]</f>
        <v>3</v>
      </c>
      <c r="AP330" s="417"/>
      <c r="AQ330" s="421" t="s">
        <v>876</v>
      </c>
      <c r="AR330" s="417">
        <v>3</v>
      </c>
    </row>
    <row r="331" spans="1:44" hidden="1">
      <c r="A331"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VenezolanosVE2315</v>
      </c>
      <c r="B331" s="363" t="s">
        <v>705</v>
      </c>
      <c r="C331" s="323" t="s">
        <v>706</v>
      </c>
      <c r="D331" s="322" t="s">
        <v>734</v>
      </c>
      <c r="E331" s="323" t="s">
        <v>735</v>
      </c>
      <c r="F331" s="323"/>
      <c r="G331" s="324">
        <v>65545</v>
      </c>
      <c r="H331" s="324" t="s">
        <v>102</v>
      </c>
      <c r="I331" s="374">
        <v>4</v>
      </c>
      <c r="J331" s="237">
        <v>1</v>
      </c>
      <c r="K331" s="237">
        <v>4</v>
      </c>
      <c r="L331" s="237">
        <v>5</v>
      </c>
      <c r="M331" s="237">
        <v>4</v>
      </c>
      <c r="N331" s="237">
        <v>4</v>
      </c>
      <c r="O331" s="237">
        <v>4</v>
      </c>
      <c r="P331" s="237">
        <v>4</v>
      </c>
      <c r="Q331" s="382">
        <f>IF(COUNTIF(tblSeverityAnalysis[[#This Row],[SAMV]:[ASH]], 1)=0, "", COUNTIF(tblSeverityAnalysis[[#This Row],[SAMV]:[ASH]], 1))</f>
        <v>1</v>
      </c>
      <c r="R331" s="325" t="str">
        <f>IF(COUNTIF(tblSeverityAnalysis[[#This Row],[SAMV]:[ASH]], 2)=0, "", COUNTIF(tblSeverityAnalysis[[#This Row],[SAMV]:[ASH]], 2))</f>
        <v/>
      </c>
      <c r="S331" s="325" t="str">
        <f>IF(COUNTIF(tblSeverityAnalysis[[#This Row],[SAMV]:[ASH]], 3)=0, "", COUNTIF(tblSeverityAnalysis[[#This Row],[SAMV]:[ASH]], 3))</f>
        <v/>
      </c>
      <c r="T331" s="325">
        <f>IF(COUNTIF(tblSeverityAnalysis[[#This Row],[SAMV]:[ASH]], 4)=0, "", COUNTIF(tblSeverityAnalysis[[#This Row],[SAMV]:[ASH]], 4))</f>
        <v>4</v>
      </c>
      <c r="U331" s="383">
        <f>IF(COUNTIF(tblSeverityAnalysis[[#This Row],[SAMV]:[ASH]], 5)=0, "", COUNTIF(tblSeverityAnalysis[[#This Row],[SAMV]:[ASH]], 5))</f>
        <v>1</v>
      </c>
      <c r="V331" s="375" cm="1">
        <f t="array" ref="V331">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331"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31" s="237" t="str">
        <f>IFERROR(IF(INDEX(tblSeverityReference[Severidad de la desnutrición],MATCH(tblSeverityAnalysis[[#This Row],[ID]], tblSeverityReference[ID], 0))= "", "",INDEX(tblSeverityReference[Severidad de la desnutrición],MATCH(tblSeverityAnalysis[[#This Row],[ID]], tblSeverityReference[ID], 0)) ), "")</f>
        <v/>
      </c>
      <c r="Y331" s="349" t="str">
        <f>IFERROR(IF(INDEX(tblSeverityReference[Severidad epidémica],MATCH(tblSeverityAnalysis[[#This Row],[ID]], tblSeverityReference[ID], 0))= "", "",INDEX(tblSeverityReference[Severidad epidémica],MATCH(tblSeverityAnalysis[[#This Row],[ID]], tblSeverityReference[ID], 0)) ), "")</f>
        <v/>
      </c>
      <c r="Z331"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31" s="391" t="str">
        <f>IFERROR(IF(INDEX(tblSeverityReference[HR/IHL Violation],MATCH(tblSeverityAnalysis[[#This Row],[ID]], tblSeverityReference[ID], 0))= "", "",INDEX(tblSeverityReference[HR/IHL Violation],MATCH(tblSeverityAnalysis[[#This Row],[ID]], tblSeverityReference[ID], 0)) ), "")</f>
        <v/>
      </c>
      <c r="AB331" s="397">
        <f>IFERROR(AVERAGE(tblSeverityAnalysis[[#This Row],[SAMV]:[ASH]]), "")</f>
        <v>3.6666666666666665</v>
      </c>
      <c r="AC331" s="346">
        <f>IF(SUM(tblSeverityAnalysis[[#This Row],[SAMV]:[ASH]])=0, "", MAX(tblSeverityAnalysis[[#This Row],[SAMV]:[ASH]]))</f>
        <v>5</v>
      </c>
      <c r="AD331" s="261" t="str" cm="1">
        <f t="array" ref="AD331">IFERROR(IF(tblSeverityAnalysis[[#This Row],[Severidad máxima]]="", "", _xlfn.TEXTJOIN(CHAR(10), TRUE, IF(tblSeverityAnalysis[[#This Row],[SAMV]:[ASH]]=tblSeverityAnalysis[[#This Row],[Severidad máxima]], tblSeverityAnalysis[[#Headers],[SAMV]:[ASH]], ""), "")), "")</f>
        <v>EDU</v>
      </c>
      <c r="AE331" s="346" cm="1">
        <f t="array" ref="AE331">IFERROR(MAX(_xlfn._xlws.FILTER(tblSeverityAnalysis[[#This Row],[SAMV]:[ASH]], tblSeverityAnalysis[[#This Row],[SAMV]:[ASH]]&lt;tblSeverityAnalysis[[#This Row],[Severidad máxima]])), "")</f>
        <v>4</v>
      </c>
      <c r="AF331" s="398" t="str" cm="1">
        <f t="array" ref="AF331">IFERROR(IF(tblSeverityAnalysis[[#This Row],[2ª mayor severidad]]="", "", _xlfn.TEXTJOIN(CHAR(10), TRUE, IF(tblSeverityAnalysis[[#This Row],[SAMV]:[ASH]]=tblSeverityAnalysis[[#This Row],[2ª mayor severidad]], tblSeverityAnalysis[[#Headers],[SAMV]:[ASH]], ""), "")), "")</f>
        <v>SAMV
SAL
PRO
ASH</v>
      </c>
      <c r="AG331" s="405" t="str">
        <f>IFERROR(IF(AND(tblSeverityAnalysis[[#This Row],[5]] &lt;&gt; "", tblSeverityAnalysis[[#This Row],[5]]&gt;=sectors_sev_5), "Flagged", ""), "")</f>
        <v/>
      </c>
      <c r="AH331" s="347" t="str">
        <f>IFERROR(IF(AND(tblSeverityAnalysis[[#This Row],[Severidad preliminar basada en la superposición de privaciones sectoriales]]=5, SUM(tblSeverityAnalysis[[#This Row],[ 1 ]:[ 4 ]])&gt;=sectors_sev_5), "Flagged", ""), "")</f>
        <v/>
      </c>
      <c r="AI331" s="348" t="str" cm="1">
        <f t="array" ref="AI331">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31"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31" s="350"/>
      <c r="AL331" s="351"/>
      <c r="AM331" s="350"/>
      <c r="AN331" s="407">
        <f>COUNTIF(tblSeverityAnalysis[[#This Row],[1 sectores en fase de severidad 5 '[modificar el umbral']]:[Marcador manual]], "Flagged")</f>
        <v>0</v>
      </c>
      <c r="AO331" s="418">
        <f>tblSeverityAnalysis[[#This Row],[Severidad preliminar basada en la superposición de privaciones sectoriales]]</f>
        <v>4</v>
      </c>
      <c r="AP331" s="417"/>
      <c r="AQ331" s="421" t="s">
        <v>875</v>
      </c>
      <c r="AR331" s="417">
        <v>4</v>
      </c>
    </row>
    <row r="332" spans="1:44" hidden="1">
      <c r="A332"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VenezolanosVE2316</v>
      </c>
      <c r="B332" s="363" t="s">
        <v>705</v>
      </c>
      <c r="C332" s="323" t="s">
        <v>706</v>
      </c>
      <c r="D332" s="322" t="s">
        <v>736</v>
      </c>
      <c r="E332" s="323" t="s">
        <v>737</v>
      </c>
      <c r="F332" s="323"/>
      <c r="G332" s="324">
        <v>85006</v>
      </c>
      <c r="H332" s="324" t="s">
        <v>102</v>
      </c>
      <c r="I332" s="374">
        <v>3</v>
      </c>
      <c r="J332" s="237">
        <v>4</v>
      </c>
      <c r="K332" s="237">
        <v>4</v>
      </c>
      <c r="L332" s="237">
        <v>4</v>
      </c>
      <c r="M332" s="237">
        <v>4</v>
      </c>
      <c r="N332" s="237">
        <v>3</v>
      </c>
      <c r="O332" s="237">
        <v>4</v>
      </c>
      <c r="P332" s="237">
        <v>4</v>
      </c>
      <c r="Q332" s="382" t="str">
        <f>IF(COUNTIF(tblSeverityAnalysis[[#This Row],[SAMV]:[ASH]], 1)=0, "", COUNTIF(tblSeverityAnalysis[[#This Row],[SAMV]:[ASH]], 1))</f>
        <v/>
      </c>
      <c r="R332" s="325" t="str">
        <f>IF(COUNTIF(tblSeverityAnalysis[[#This Row],[SAMV]:[ASH]], 2)=0, "", COUNTIF(tblSeverityAnalysis[[#This Row],[SAMV]:[ASH]], 2))</f>
        <v/>
      </c>
      <c r="S332" s="325">
        <f>IF(COUNTIF(tblSeverityAnalysis[[#This Row],[SAMV]:[ASH]], 3)=0, "", COUNTIF(tblSeverityAnalysis[[#This Row],[SAMV]:[ASH]], 3))</f>
        <v>2</v>
      </c>
      <c r="T332" s="325">
        <f>IF(COUNTIF(tblSeverityAnalysis[[#This Row],[SAMV]:[ASH]], 4)=0, "", COUNTIF(tblSeverityAnalysis[[#This Row],[SAMV]:[ASH]], 4))</f>
        <v>4</v>
      </c>
      <c r="U332" s="383" t="str">
        <f>IF(COUNTIF(tblSeverityAnalysis[[#This Row],[SAMV]:[ASH]], 5)=0, "", COUNTIF(tblSeverityAnalysis[[#This Row],[SAMV]:[ASH]], 5))</f>
        <v/>
      </c>
      <c r="V332" s="375" cm="1">
        <f t="array" ref="V332">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4</v>
      </c>
      <c r="W332"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32" s="237" t="str">
        <f>IFERROR(IF(INDEX(tblSeverityReference[Severidad de la desnutrición],MATCH(tblSeverityAnalysis[[#This Row],[ID]], tblSeverityReference[ID], 0))= "", "",INDEX(tblSeverityReference[Severidad de la desnutrición],MATCH(tblSeverityAnalysis[[#This Row],[ID]], tblSeverityReference[ID], 0)) ), "")</f>
        <v/>
      </c>
      <c r="Y332" s="349" t="str">
        <f>IFERROR(IF(INDEX(tblSeverityReference[Severidad epidémica],MATCH(tblSeverityAnalysis[[#This Row],[ID]], tblSeverityReference[ID], 0))= "", "",INDEX(tblSeverityReference[Severidad epidémica],MATCH(tblSeverityAnalysis[[#This Row],[ID]], tblSeverityReference[ID], 0)) ), "")</f>
        <v/>
      </c>
      <c r="Z332"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32" s="391" t="str">
        <f>IFERROR(IF(INDEX(tblSeverityReference[HR/IHL Violation],MATCH(tblSeverityAnalysis[[#This Row],[ID]], tblSeverityReference[ID], 0))= "", "",INDEX(tblSeverityReference[HR/IHL Violation],MATCH(tblSeverityAnalysis[[#This Row],[ID]], tblSeverityReference[ID], 0)) ), "")</f>
        <v/>
      </c>
      <c r="AB332" s="397">
        <f>IFERROR(AVERAGE(tblSeverityAnalysis[[#This Row],[SAMV]:[ASH]]), "")</f>
        <v>3.6666666666666665</v>
      </c>
      <c r="AC332" s="346">
        <f>IF(SUM(tblSeverityAnalysis[[#This Row],[SAMV]:[ASH]])=0, "", MAX(tblSeverityAnalysis[[#This Row],[SAMV]:[ASH]]))</f>
        <v>4</v>
      </c>
      <c r="AD332" s="261" t="str" cm="1">
        <f t="array" ref="AD332">IFERROR(IF(tblSeverityAnalysis[[#This Row],[Severidad máxima]]="", "", _xlfn.TEXTJOIN(CHAR(10), TRUE, IF(tblSeverityAnalysis[[#This Row],[SAMV]:[ASH]]=tblSeverityAnalysis[[#This Row],[Severidad máxima]], tblSeverityAnalysis[[#Headers],[SAMV]:[ASH]], ""), "")), "")</f>
        <v>NUT
SAL
EDU
PRO</v>
      </c>
      <c r="AE332" s="346" cm="1">
        <f t="array" ref="AE332">IFERROR(MAX(_xlfn._xlws.FILTER(tblSeverityAnalysis[[#This Row],[SAMV]:[ASH]], tblSeverityAnalysis[[#This Row],[SAMV]:[ASH]]&lt;tblSeverityAnalysis[[#This Row],[Severidad máxima]])), "")</f>
        <v>3</v>
      </c>
      <c r="AF332" s="398" t="str" cm="1">
        <f t="array" ref="AF332">IFERROR(IF(tblSeverityAnalysis[[#This Row],[2ª mayor severidad]]="", "", _xlfn.TEXTJOIN(CHAR(10), TRUE, IF(tblSeverityAnalysis[[#This Row],[SAMV]:[ASH]]=tblSeverityAnalysis[[#This Row],[2ª mayor severidad]], tblSeverityAnalysis[[#Headers],[SAMV]:[ASH]], ""), "")), "")</f>
        <v>SAMV
ASH</v>
      </c>
      <c r="AG332" s="405" t="str">
        <f>IFERROR(IF(AND(tblSeverityAnalysis[[#This Row],[5]] &lt;&gt; "", tblSeverityAnalysis[[#This Row],[5]]&gt;=sectors_sev_5), "Flagged", ""), "")</f>
        <v/>
      </c>
      <c r="AH332" s="347" t="str">
        <f>IFERROR(IF(AND(tblSeverityAnalysis[[#This Row],[Severidad preliminar basada en la superposición de privaciones sectoriales]]=5, SUM(tblSeverityAnalysis[[#This Row],[ 1 ]:[ 4 ]])&gt;=sectors_sev_5), "Flagged", ""), "")</f>
        <v/>
      </c>
      <c r="AI332" s="348" t="str" cm="1">
        <f t="array" ref="AI332">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32"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32" s="350"/>
      <c r="AL332" s="351"/>
      <c r="AM332" s="350"/>
      <c r="AN332" s="407">
        <f>COUNTIF(tblSeverityAnalysis[[#This Row],[1 sectores en fase de severidad 5 '[modificar el umbral']]:[Marcador manual]], "Flagged")</f>
        <v>0</v>
      </c>
      <c r="AO332" s="418">
        <f>tblSeverityAnalysis[[#This Row],[Severidad preliminar basada en la superposición de privaciones sectoriales]]</f>
        <v>4</v>
      </c>
      <c r="AP332" s="417"/>
      <c r="AQ332" s="421" t="s">
        <v>875</v>
      </c>
      <c r="AR332" s="417">
        <v>4</v>
      </c>
    </row>
    <row r="333" spans="1:44" hidden="1">
      <c r="A333"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VenezolanosVE2317</v>
      </c>
      <c r="B333" s="363" t="s">
        <v>705</v>
      </c>
      <c r="C333" s="323" t="s">
        <v>706</v>
      </c>
      <c r="D333" s="322" t="s">
        <v>350</v>
      </c>
      <c r="E333" s="323" t="s">
        <v>738</v>
      </c>
      <c r="F333" s="323"/>
      <c r="G333" s="324">
        <v>446757</v>
      </c>
      <c r="H333" s="324" t="s">
        <v>102</v>
      </c>
      <c r="I333" s="374">
        <v>3</v>
      </c>
      <c r="J333" s="237">
        <v>2</v>
      </c>
      <c r="K333" s="237">
        <v>3</v>
      </c>
      <c r="L333" s="237">
        <v>4</v>
      </c>
      <c r="M333" s="237">
        <v>4</v>
      </c>
      <c r="N333" s="237">
        <v>3</v>
      </c>
      <c r="O333" s="237">
        <v>4</v>
      </c>
      <c r="P333" s="237">
        <v>4</v>
      </c>
      <c r="Q333" s="382" t="str">
        <f>IF(COUNTIF(tblSeverityAnalysis[[#This Row],[SAMV]:[ASH]], 1)=0, "", COUNTIF(tblSeverityAnalysis[[#This Row],[SAMV]:[ASH]], 1))</f>
        <v/>
      </c>
      <c r="R333" s="325">
        <f>IF(COUNTIF(tblSeverityAnalysis[[#This Row],[SAMV]:[ASH]], 2)=0, "", COUNTIF(tblSeverityAnalysis[[#This Row],[SAMV]:[ASH]], 2))</f>
        <v>1</v>
      </c>
      <c r="S333" s="325">
        <f>IF(COUNTIF(tblSeverityAnalysis[[#This Row],[SAMV]:[ASH]], 3)=0, "", COUNTIF(tblSeverityAnalysis[[#This Row],[SAMV]:[ASH]], 3))</f>
        <v>3</v>
      </c>
      <c r="T333" s="325">
        <f>IF(COUNTIF(tblSeverityAnalysis[[#This Row],[SAMV]:[ASH]], 4)=0, "", COUNTIF(tblSeverityAnalysis[[#This Row],[SAMV]:[ASH]], 4))</f>
        <v>2</v>
      </c>
      <c r="U333" s="383" t="str">
        <f>IF(COUNTIF(tblSeverityAnalysis[[#This Row],[SAMV]:[ASH]], 5)=0, "", COUNTIF(tblSeverityAnalysis[[#This Row],[SAMV]:[ASH]], 5))</f>
        <v/>
      </c>
      <c r="V333" s="375" cm="1">
        <f t="array" ref="V333">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33"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33" s="237" t="str">
        <f>IFERROR(IF(INDEX(tblSeverityReference[Severidad de la desnutrición],MATCH(tblSeverityAnalysis[[#This Row],[ID]], tblSeverityReference[ID], 0))= "", "",INDEX(tblSeverityReference[Severidad de la desnutrición],MATCH(tblSeverityAnalysis[[#This Row],[ID]], tblSeverityReference[ID], 0)) ), "")</f>
        <v/>
      </c>
      <c r="Y333" s="349" t="str">
        <f>IFERROR(IF(INDEX(tblSeverityReference[Severidad epidémica],MATCH(tblSeverityAnalysis[[#This Row],[ID]], tblSeverityReference[ID], 0))= "", "",INDEX(tblSeverityReference[Severidad epidémica],MATCH(tblSeverityAnalysis[[#This Row],[ID]], tblSeverityReference[ID], 0)) ), "")</f>
        <v/>
      </c>
      <c r="Z333"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33" s="391" t="str">
        <f>IFERROR(IF(INDEX(tblSeverityReference[HR/IHL Violation],MATCH(tblSeverityAnalysis[[#This Row],[ID]], tblSeverityReference[ID], 0))= "", "",INDEX(tblSeverityReference[HR/IHL Violation],MATCH(tblSeverityAnalysis[[#This Row],[ID]], tblSeverityReference[ID], 0)) ), "")</f>
        <v/>
      </c>
      <c r="AB333" s="397">
        <f>IFERROR(AVERAGE(tblSeverityAnalysis[[#This Row],[SAMV]:[ASH]]), "")</f>
        <v>3.1666666666666665</v>
      </c>
      <c r="AC333" s="346">
        <f>IF(SUM(tblSeverityAnalysis[[#This Row],[SAMV]:[ASH]])=0, "", MAX(tblSeverityAnalysis[[#This Row],[SAMV]:[ASH]]))</f>
        <v>4</v>
      </c>
      <c r="AD333" s="261" t="str" cm="1">
        <f t="array" ref="AD333">IFERROR(IF(tblSeverityAnalysis[[#This Row],[Severidad máxima]]="", "", _xlfn.TEXTJOIN(CHAR(10), TRUE, IF(tblSeverityAnalysis[[#This Row],[SAMV]:[ASH]]=tblSeverityAnalysis[[#This Row],[Severidad máxima]], tblSeverityAnalysis[[#Headers],[SAMV]:[ASH]], ""), "")), "")</f>
        <v>EDU
PRO</v>
      </c>
      <c r="AE333" s="346" cm="1">
        <f t="array" ref="AE333">IFERROR(MAX(_xlfn._xlws.FILTER(tblSeverityAnalysis[[#This Row],[SAMV]:[ASH]], tblSeverityAnalysis[[#This Row],[SAMV]:[ASH]]&lt;tblSeverityAnalysis[[#This Row],[Severidad máxima]])), "")</f>
        <v>3</v>
      </c>
      <c r="AF333" s="398" t="str" cm="1">
        <f t="array" ref="AF333">IFERROR(IF(tblSeverityAnalysis[[#This Row],[2ª mayor severidad]]="", "", _xlfn.TEXTJOIN(CHAR(10), TRUE, IF(tblSeverityAnalysis[[#This Row],[SAMV]:[ASH]]=tblSeverityAnalysis[[#This Row],[2ª mayor severidad]], tblSeverityAnalysis[[#Headers],[SAMV]:[ASH]], ""), "")), "")</f>
        <v>SAMV
SAL
ASH</v>
      </c>
      <c r="AG333" s="405" t="str">
        <f>IFERROR(IF(AND(tblSeverityAnalysis[[#This Row],[5]] &lt;&gt; "", tblSeverityAnalysis[[#This Row],[5]]&gt;=sectors_sev_5), "Flagged", ""), "")</f>
        <v/>
      </c>
      <c r="AH333" s="347" t="str">
        <f>IFERROR(IF(AND(tblSeverityAnalysis[[#This Row],[Severidad preliminar basada en la superposición de privaciones sectoriales]]=5, SUM(tblSeverityAnalysis[[#This Row],[ 1 ]:[ 4 ]])&gt;=sectors_sev_5), "Flagged", ""), "")</f>
        <v/>
      </c>
      <c r="AI333" s="348" t="str" cm="1">
        <f t="array" ref="AI333">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33"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33" s="350"/>
      <c r="AL333" s="351"/>
      <c r="AM333" s="350"/>
      <c r="AN333" s="407">
        <f>COUNTIF(tblSeverityAnalysis[[#This Row],[1 sectores en fase de severidad 5 '[modificar el umbral']]:[Marcador manual]], "Flagged")</f>
        <v>0</v>
      </c>
      <c r="AO333" s="418">
        <f>tblSeverityAnalysis[[#This Row],[Severidad preliminar basada en la superposición de privaciones sectoriales]]</f>
        <v>3</v>
      </c>
      <c r="AP333" s="417"/>
      <c r="AQ333" s="421" t="s">
        <v>876</v>
      </c>
      <c r="AR333" s="417">
        <v>3</v>
      </c>
    </row>
    <row r="334" spans="1:44" hidden="1">
      <c r="A334"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VenezolanosVE2318</v>
      </c>
      <c r="B334" s="363" t="s">
        <v>705</v>
      </c>
      <c r="C334" s="323" t="s">
        <v>706</v>
      </c>
      <c r="D334" s="322" t="s">
        <v>739</v>
      </c>
      <c r="E334" s="323" t="s">
        <v>740</v>
      </c>
      <c r="F334" s="323"/>
      <c r="G334" s="324">
        <v>59866</v>
      </c>
      <c r="H334" s="324" t="s">
        <v>102</v>
      </c>
      <c r="I334" s="374">
        <v>3</v>
      </c>
      <c r="J334" s="237">
        <v>2</v>
      </c>
      <c r="K334" s="237">
        <v>3</v>
      </c>
      <c r="L334" s="237">
        <v>3</v>
      </c>
      <c r="M334" s="237">
        <v>4</v>
      </c>
      <c r="N334" s="237">
        <v>4</v>
      </c>
      <c r="O334" s="237">
        <v>4</v>
      </c>
      <c r="P334" s="237">
        <v>4</v>
      </c>
      <c r="Q334" s="382" t="str">
        <f>IF(COUNTIF(tblSeverityAnalysis[[#This Row],[SAMV]:[ASH]], 1)=0, "", COUNTIF(tblSeverityAnalysis[[#This Row],[SAMV]:[ASH]], 1))</f>
        <v/>
      </c>
      <c r="R334" s="325">
        <f>IF(COUNTIF(tblSeverityAnalysis[[#This Row],[SAMV]:[ASH]], 2)=0, "", COUNTIF(tblSeverityAnalysis[[#This Row],[SAMV]:[ASH]], 2))</f>
        <v>1</v>
      </c>
      <c r="S334" s="325">
        <f>IF(COUNTIF(tblSeverityAnalysis[[#This Row],[SAMV]:[ASH]], 3)=0, "", COUNTIF(tblSeverityAnalysis[[#This Row],[SAMV]:[ASH]], 3))</f>
        <v>3</v>
      </c>
      <c r="T334" s="325">
        <f>IF(COUNTIF(tblSeverityAnalysis[[#This Row],[SAMV]:[ASH]], 4)=0, "", COUNTIF(tblSeverityAnalysis[[#This Row],[SAMV]:[ASH]], 4))</f>
        <v>2</v>
      </c>
      <c r="U334" s="383" t="str">
        <f>IF(COUNTIF(tblSeverityAnalysis[[#This Row],[SAMV]:[ASH]], 5)=0, "", COUNTIF(tblSeverityAnalysis[[#This Row],[SAMV]:[ASH]], 5))</f>
        <v/>
      </c>
      <c r="V334" s="375" cm="1">
        <f t="array" ref="V334">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34"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34" s="237" t="str">
        <f>IFERROR(IF(INDEX(tblSeverityReference[Severidad de la desnutrición],MATCH(tblSeverityAnalysis[[#This Row],[ID]], tblSeverityReference[ID], 0))= "", "",INDEX(tblSeverityReference[Severidad de la desnutrición],MATCH(tblSeverityAnalysis[[#This Row],[ID]], tblSeverityReference[ID], 0)) ), "")</f>
        <v/>
      </c>
      <c r="Y334" s="349" t="str">
        <f>IFERROR(IF(INDEX(tblSeverityReference[Severidad epidémica],MATCH(tblSeverityAnalysis[[#This Row],[ID]], tblSeverityReference[ID], 0))= "", "",INDEX(tblSeverityReference[Severidad epidémica],MATCH(tblSeverityAnalysis[[#This Row],[ID]], tblSeverityReference[ID], 0)) ), "")</f>
        <v/>
      </c>
      <c r="Z334"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34" s="391" t="str">
        <f>IFERROR(IF(INDEX(tblSeverityReference[HR/IHL Violation],MATCH(tblSeverityAnalysis[[#This Row],[ID]], tblSeverityReference[ID], 0))= "", "",INDEX(tblSeverityReference[HR/IHL Violation],MATCH(tblSeverityAnalysis[[#This Row],[ID]], tblSeverityReference[ID], 0)) ), "")</f>
        <v/>
      </c>
      <c r="AB334" s="397">
        <f>IFERROR(AVERAGE(tblSeverityAnalysis[[#This Row],[SAMV]:[ASH]]), "")</f>
        <v>3.1666666666666665</v>
      </c>
      <c r="AC334" s="346">
        <f>IF(SUM(tblSeverityAnalysis[[#This Row],[SAMV]:[ASH]])=0, "", MAX(tblSeverityAnalysis[[#This Row],[SAMV]:[ASH]]))</f>
        <v>4</v>
      </c>
      <c r="AD334" s="261" t="str" cm="1">
        <f t="array" ref="AD334">IFERROR(IF(tblSeverityAnalysis[[#This Row],[Severidad máxima]]="", "", _xlfn.TEXTJOIN(CHAR(10), TRUE, IF(tblSeverityAnalysis[[#This Row],[SAMV]:[ASH]]=tblSeverityAnalysis[[#This Row],[Severidad máxima]], tblSeverityAnalysis[[#Headers],[SAMV]:[ASH]], ""), "")), "")</f>
        <v>PRO
ASH</v>
      </c>
      <c r="AE334" s="346" cm="1">
        <f t="array" ref="AE334">IFERROR(MAX(_xlfn._xlws.FILTER(tblSeverityAnalysis[[#This Row],[SAMV]:[ASH]], tblSeverityAnalysis[[#This Row],[SAMV]:[ASH]]&lt;tblSeverityAnalysis[[#This Row],[Severidad máxima]])), "")</f>
        <v>3</v>
      </c>
      <c r="AF334" s="398" t="str" cm="1">
        <f t="array" ref="AF334">IFERROR(IF(tblSeverityAnalysis[[#This Row],[2ª mayor severidad]]="", "", _xlfn.TEXTJOIN(CHAR(10), TRUE, IF(tblSeverityAnalysis[[#This Row],[SAMV]:[ASH]]=tblSeverityAnalysis[[#This Row],[2ª mayor severidad]], tblSeverityAnalysis[[#Headers],[SAMV]:[ASH]], ""), "")), "")</f>
        <v>SAMV
SAL
EDU</v>
      </c>
      <c r="AG334" s="405" t="str">
        <f>IFERROR(IF(AND(tblSeverityAnalysis[[#This Row],[5]] &lt;&gt; "", tblSeverityAnalysis[[#This Row],[5]]&gt;=sectors_sev_5), "Flagged", ""), "")</f>
        <v/>
      </c>
      <c r="AH334" s="347" t="str">
        <f>IFERROR(IF(AND(tblSeverityAnalysis[[#This Row],[Severidad preliminar basada en la superposición de privaciones sectoriales]]=5, SUM(tblSeverityAnalysis[[#This Row],[ 1 ]:[ 4 ]])&gt;=sectors_sev_5), "Flagged", ""), "")</f>
        <v/>
      </c>
      <c r="AI334" s="348" t="str" cm="1">
        <f t="array" ref="AI334">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34"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34" s="350"/>
      <c r="AL334" s="351"/>
      <c r="AM334" s="350"/>
      <c r="AN334" s="407">
        <f>COUNTIF(tblSeverityAnalysis[[#This Row],[1 sectores en fase de severidad 5 '[modificar el umbral']]:[Marcador manual]], "Flagged")</f>
        <v>0</v>
      </c>
      <c r="AO334" s="418">
        <f>tblSeverityAnalysis[[#This Row],[Severidad preliminar basada en la superposición de privaciones sectoriales]]</f>
        <v>3</v>
      </c>
      <c r="AP334" s="417"/>
      <c r="AQ334" s="421" t="s">
        <v>876</v>
      </c>
      <c r="AR334" s="417">
        <v>3</v>
      </c>
    </row>
    <row r="335" spans="1:44" hidden="1">
      <c r="A335"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VenezolanosVE2319</v>
      </c>
      <c r="B335" s="363" t="s">
        <v>705</v>
      </c>
      <c r="C335" s="323" t="s">
        <v>706</v>
      </c>
      <c r="D335" s="322" t="s">
        <v>155</v>
      </c>
      <c r="E335" s="323" t="s">
        <v>741</v>
      </c>
      <c r="F335" s="323"/>
      <c r="G335" s="324">
        <v>43831</v>
      </c>
      <c r="H335" s="324" t="s">
        <v>102</v>
      </c>
      <c r="I335" s="374">
        <v>3</v>
      </c>
      <c r="J335" s="237">
        <v>2</v>
      </c>
      <c r="K335" s="237">
        <v>3</v>
      </c>
      <c r="L335" s="237">
        <v>3</v>
      </c>
      <c r="M335" s="237">
        <v>4</v>
      </c>
      <c r="N335" s="237">
        <v>3</v>
      </c>
      <c r="O335" s="237">
        <v>4</v>
      </c>
      <c r="P335" s="237">
        <v>4</v>
      </c>
      <c r="Q335" s="382" t="str">
        <f>IF(COUNTIF(tblSeverityAnalysis[[#This Row],[SAMV]:[ASH]], 1)=0, "", COUNTIF(tblSeverityAnalysis[[#This Row],[SAMV]:[ASH]], 1))</f>
        <v/>
      </c>
      <c r="R335" s="325">
        <f>IF(COUNTIF(tblSeverityAnalysis[[#This Row],[SAMV]:[ASH]], 2)=0, "", COUNTIF(tblSeverityAnalysis[[#This Row],[SAMV]:[ASH]], 2))</f>
        <v>1</v>
      </c>
      <c r="S335" s="325">
        <f>IF(COUNTIF(tblSeverityAnalysis[[#This Row],[SAMV]:[ASH]], 3)=0, "", COUNTIF(tblSeverityAnalysis[[#This Row],[SAMV]:[ASH]], 3))</f>
        <v>4</v>
      </c>
      <c r="T335" s="325">
        <f>IF(COUNTIF(tblSeverityAnalysis[[#This Row],[SAMV]:[ASH]], 4)=0, "", COUNTIF(tblSeverityAnalysis[[#This Row],[SAMV]:[ASH]], 4))</f>
        <v>1</v>
      </c>
      <c r="U335" s="383" t="str">
        <f>IF(COUNTIF(tblSeverityAnalysis[[#This Row],[SAMV]:[ASH]], 5)=0, "", COUNTIF(tblSeverityAnalysis[[#This Row],[SAMV]:[ASH]], 5))</f>
        <v/>
      </c>
      <c r="V335" s="375" cm="1">
        <f t="array" ref="V335">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35"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35" s="237" t="str">
        <f>IFERROR(IF(INDEX(tblSeverityReference[Severidad de la desnutrición],MATCH(tblSeverityAnalysis[[#This Row],[ID]], tblSeverityReference[ID], 0))= "", "",INDEX(tblSeverityReference[Severidad de la desnutrición],MATCH(tblSeverityAnalysis[[#This Row],[ID]], tblSeverityReference[ID], 0)) ), "")</f>
        <v/>
      </c>
      <c r="Y335" s="349" t="str">
        <f>IFERROR(IF(INDEX(tblSeverityReference[Severidad epidémica],MATCH(tblSeverityAnalysis[[#This Row],[ID]], tblSeverityReference[ID], 0))= "", "",INDEX(tblSeverityReference[Severidad epidémica],MATCH(tblSeverityAnalysis[[#This Row],[ID]], tblSeverityReference[ID], 0)) ), "")</f>
        <v/>
      </c>
      <c r="Z335"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35" s="391" t="str">
        <f>IFERROR(IF(INDEX(tblSeverityReference[HR/IHL Violation],MATCH(tblSeverityAnalysis[[#This Row],[ID]], tblSeverityReference[ID], 0))= "", "",INDEX(tblSeverityReference[HR/IHL Violation],MATCH(tblSeverityAnalysis[[#This Row],[ID]], tblSeverityReference[ID], 0)) ), "")</f>
        <v/>
      </c>
      <c r="AB335" s="397">
        <f>IFERROR(AVERAGE(tblSeverityAnalysis[[#This Row],[SAMV]:[ASH]]), "")</f>
        <v>3</v>
      </c>
      <c r="AC335" s="346">
        <f>IF(SUM(tblSeverityAnalysis[[#This Row],[SAMV]:[ASH]])=0, "", MAX(tblSeverityAnalysis[[#This Row],[SAMV]:[ASH]]))</f>
        <v>4</v>
      </c>
      <c r="AD335" s="261" t="str" cm="1">
        <f t="array" ref="AD335">IFERROR(IF(tblSeverityAnalysis[[#This Row],[Severidad máxima]]="", "", _xlfn.TEXTJOIN(CHAR(10), TRUE, IF(tblSeverityAnalysis[[#This Row],[SAMV]:[ASH]]=tblSeverityAnalysis[[#This Row],[Severidad máxima]], tblSeverityAnalysis[[#Headers],[SAMV]:[ASH]], ""), "")), "")</f>
        <v>PRO</v>
      </c>
      <c r="AE335" s="346" cm="1">
        <f t="array" ref="AE335">IFERROR(MAX(_xlfn._xlws.FILTER(tblSeverityAnalysis[[#This Row],[SAMV]:[ASH]], tblSeverityAnalysis[[#This Row],[SAMV]:[ASH]]&lt;tblSeverityAnalysis[[#This Row],[Severidad máxima]])), "")</f>
        <v>3</v>
      </c>
      <c r="AF335" s="398" t="str" cm="1">
        <f t="array" ref="AF335">IFERROR(IF(tblSeverityAnalysis[[#This Row],[2ª mayor severidad]]="", "", _xlfn.TEXTJOIN(CHAR(10), TRUE, IF(tblSeverityAnalysis[[#This Row],[SAMV]:[ASH]]=tblSeverityAnalysis[[#This Row],[2ª mayor severidad]], tblSeverityAnalysis[[#Headers],[SAMV]:[ASH]], ""), "")), "")</f>
        <v>SAMV
SAL
EDU
ASH</v>
      </c>
      <c r="AG335" s="405" t="str">
        <f>IFERROR(IF(AND(tblSeverityAnalysis[[#This Row],[5]] &lt;&gt; "", tblSeverityAnalysis[[#This Row],[5]]&gt;=sectors_sev_5), "Flagged", ""), "")</f>
        <v/>
      </c>
      <c r="AH335" s="347" t="str">
        <f>IFERROR(IF(AND(tblSeverityAnalysis[[#This Row],[Severidad preliminar basada en la superposición de privaciones sectoriales]]=5, SUM(tblSeverityAnalysis[[#This Row],[ 1 ]:[ 4 ]])&gt;=sectors_sev_5), "Flagged", ""), "")</f>
        <v/>
      </c>
      <c r="AI335" s="348" t="str" cm="1">
        <f t="array" ref="AI335">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35"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35" s="350"/>
      <c r="AL335" s="351"/>
      <c r="AM335" s="350"/>
      <c r="AN335" s="407">
        <f>COUNTIF(tblSeverityAnalysis[[#This Row],[1 sectores en fase de severidad 5 '[modificar el umbral']]:[Marcador manual]], "Flagged")</f>
        <v>0</v>
      </c>
      <c r="AO335" s="418">
        <f>tblSeverityAnalysis[[#This Row],[Severidad preliminar basada en la superposición de privaciones sectoriales]]</f>
        <v>3</v>
      </c>
      <c r="AP335" s="417"/>
      <c r="AQ335" s="421" t="s">
        <v>876</v>
      </c>
      <c r="AR335" s="417">
        <v>3</v>
      </c>
    </row>
    <row r="336" spans="1:44" hidden="1">
      <c r="A336"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VenezolanosVE2320</v>
      </c>
      <c r="B336" s="363" t="s">
        <v>705</v>
      </c>
      <c r="C336" s="323" t="s">
        <v>706</v>
      </c>
      <c r="D336" s="322" t="s">
        <v>203</v>
      </c>
      <c r="E336" s="323" t="s">
        <v>742</v>
      </c>
      <c r="F336" s="323"/>
      <c r="G336" s="324">
        <v>60819</v>
      </c>
      <c r="H336" s="324" t="s">
        <v>102</v>
      </c>
      <c r="I336" s="374">
        <v>4</v>
      </c>
      <c r="J336" s="237">
        <v>2</v>
      </c>
      <c r="K336" s="237">
        <v>3</v>
      </c>
      <c r="L336" s="237">
        <v>4</v>
      </c>
      <c r="M336" s="237">
        <v>4</v>
      </c>
      <c r="N336" s="237">
        <v>2</v>
      </c>
      <c r="O336" s="237">
        <v>4</v>
      </c>
      <c r="P336" s="237">
        <v>4</v>
      </c>
      <c r="Q336" s="382" t="str">
        <f>IF(COUNTIF(tblSeverityAnalysis[[#This Row],[SAMV]:[ASH]], 1)=0, "", COUNTIF(tblSeverityAnalysis[[#This Row],[SAMV]:[ASH]], 1))</f>
        <v/>
      </c>
      <c r="R336" s="325">
        <f>IF(COUNTIF(tblSeverityAnalysis[[#This Row],[SAMV]:[ASH]], 2)=0, "", COUNTIF(tblSeverityAnalysis[[#This Row],[SAMV]:[ASH]], 2))</f>
        <v>2</v>
      </c>
      <c r="S336" s="325">
        <f>IF(COUNTIF(tblSeverityAnalysis[[#This Row],[SAMV]:[ASH]], 3)=0, "", COUNTIF(tblSeverityAnalysis[[#This Row],[SAMV]:[ASH]], 3))</f>
        <v>1</v>
      </c>
      <c r="T336" s="325">
        <f>IF(COUNTIF(tblSeverityAnalysis[[#This Row],[SAMV]:[ASH]], 4)=0, "", COUNTIF(tblSeverityAnalysis[[#This Row],[SAMV]:[ASH]], 4))</f>
        <v>3</v>
      </c>
      <c r="U336" s="383" t="str">
        <f>IF(COUNTIF(tblSeverityAnalysis[[#This Row],[SAMV]:[ASH]], 5)=0, "", COUNTIF(tblSeverityAnalysis[[#This Row],[SAMV]:[ASH]], 5))</f>
        <v/>
      </c>
      <c r="V336" s="375" cm="1">
        <f t="array" ref="V336">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36"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36" s="237" t="str">
        <f>IFERROR(IF(INDEX(tblSeverityReference[Severidad de la desnutrición],MATCH(tblSeverityAnalysis[[#This Row],[ID]], tblSeverityReference[ID], 0))= "", "",INDEX(tblSeverityReference[Severidad de la desnutrición],MATCH(tblSeverityAnalysis[[#This Row],[ID]], tblSeverityReference[ID], 0)) ), "")</f>
        <v/>
      </c>
      <c r="Y336" s="349" t="str">
        <f>IFERROR(IF(INDEX(tblSeverityReference[Severidad epidémica],MATCH(tblSeverityAnalysis[[#This Row],[ID]], tblSeverityReference[ID], 0))= "", "",INDEX(tblSeverityReference[Severidad epidémica],MATCH(tblSeverityAnalysis[[#This Row],[ID]], tblSeverityReference[ID], 0)) ), "")</f>
        <v/>
      </c>
      <c r="Z336"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36" s="391" t="str">
        <f>IFERROR(IF(INDEX(tblSeverityReference[HR/IHL Violation],MATCH(tblSeverityAnalysis[[#This Row],[ID]], tblSeverityReference[ID], 0))= "", "",INDEX(tblSeverityReference[HR/IHL Violation],MATCH(tblSeverityAnalysis[[#This Row],[ID]], tblSeverityReference[ID], 0)) ), "")</f>
        <v/>
      </c>
      <c r="AB336" s="397">
        <f>IFERROR(AVERAGE(tblSeverityAnalysis[[#This Row],[SAMV]:[ASH]]), "")</f>
        <v>3.1666666666666665</v>
      </c>
      <c r="AC336" s="346">
        <f>IF(SUM(tblSeverityAnalysis[[#This Row],[SAMV]:[ASH]])=0, "", MAX(tblSeverityAnalysis[[#This Row],[SAMV]:[ASH]]))</f>
        <v>4</v>
      </c>
      <c r="AD336" s="261" t="str" cm="1">
        <f t="array" ref="AD336">IFERROR(IF(tblSeverityAnalysis[[#This Row],[Severidad máxima]]="", "", _xlfn.TEXTJOIN(CHAR(10), TRUE, IF(tblSeverityAnalysis[[#This Row],[SAMV]:[ASH]]=tblSeverityAnalysis[[#This Row],[Severidad máxima]], tblSeverityAnalysis[[#Headers],[SAMV]:[ASH]], ""), "")), "")</f>
        <v>SAMV
EDU
PRO</v>
      </c>
      <c r="AE336" s="346" cm="1">
        <f t="array" ref="AE336">IFERROR(MAX(_xlfn._xlws.FILTER(tblSeverityAnalysis[[#This Row],[SAMV]:[ASH]], tblSeverityAnalysis[[#This Row],[SAMV]:[ASH]]&lt;tblSeverityAnalysis[[#This Row],[Severidad máxima]])), "")</f>
        <v>3</v>
      </c>
      <c r="AF336" s="398" t="str" cm="1">
        <f t="array" ref="AF336">IFERROR(IF(tblSeverityAnalysis[[#This Row],[2ª mayor severidad]]="", "", _xlfn.TEXTJOIN(CHAR(10), TRUE, IF(tblSeverityAnalysis[[#This Row],[SAMV]:[ASH]]=tblSeverityAnalysis[[#This Row],[2ª mayor severidad]], tblSeverityAnalysis[[#Headers],[SAMV]:[ASH]], ""), "")), "")</f>
        <v>SAL</v>
      </c>
      <c r="AG336" s="405" t="str">
        <f>IFERROR(IF(AND(tblSeverityAnalysis[[#This Row],[5]] &lt;&gt; "", tblSeverityAnalysis[[#This Row],[5]]&gt;=sectors_sev_5), "Flagged", ""), "")</f>
        <v/>
      </c>
      <c r="AH336" s="347" t="str">
        <f>IFERROR(IF(AND(tblSeverityAnalysis[[#This Row],[Severidad preliminar basada en la superposición de privaciones sectoriales]]=5, SUM(tblSeverityAnalysis[[#This Row],[ 1 ]:[ 4 ]])&gt;=sectors_sev_5), "Flagged", ""), "")</f>
        <v/>
      </c>
      <c r="AI336" s="348" t="str" cm="1">
        <f t="array" ref="AI336">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36"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36" s="350"/>
      <c r="AL336" s="351"/>
      <c r="AM336" s="350"/>
      <c r="AN336" s="407">
        <f>COUNTIF(tblSeverityAnalysis[[#This Row],[1 sectores en fase de severidad 5 '[modificar el umbral']]:[Marcador manual]], "Flagged")</f>
        <v>0</v>
      </c>
      <c r="AO336" s="418">
        <f>tblSeverityAnalysis[[#This Row],[Severidad preliminar basada en la superposición de privaciones sectoriales]]</f>
        <v>3</v>
      </c>
      <c r="AP336" s="417"/>
      <c r="AQ336" s="421" t="s">
        <v>876</v>
      </c>
      <c r="AR336" s="417">
        <v>3</v>
      </c>
    </row>
    <row r="337" spans="1:44" hidden="1">
      <c r="A337"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VenezolanosVE2321</v>
      </c>
      <c r="B337" s="363" t="s">
        <v>705</v>
      </c>
      <c r="C337" s="323" t="s">
        <v>706</v>
      </c>
      <c r="D337" s="322" t="s">
        <v>743</v>
      </c>
      <c r="E337" s="323" t="s">
        <v>744</v>
      </c>
      <c r="F337" s="323"/>
      <c r="G337" s="324">
        <v>52624</v>
      </c>
      <c r="H337" s="324" t="s">
        <v>102</v>
      </c>
      <c r="I337" s="374">
        <v>4</v>
      </c>
      <c r="J337" s="237">
        <v>2</v>
      </c>
      <c r="K337" s="237">
        <v>3</v>
      </c>
      <c r="L337" s="237">
        <v>3</v>
      </c>
      <c r="M337" s="237">
        <v>4</v>
      </c>
      <c r="N337" s="237">
        <v>3</v>
      </c>
      <c r="O337" s="237">
        <v>4</v>
      </c>
      <c r="P337" s="237">
        <v>4</v>
      </c>
      <c r="Q337" s="382" t="str">
        <f>IF(COUNTIF(tblSeverityAnalysis[[#This Row],[SAMV]:[ASH]], 1)=0, "", COUNTIF(tblSeverityAnalysis[[#This Row],[SAMV]:[ASH]], 1))</f>
        <v/>
      </c>
      <c r="R337" s="325">
        <f>IF(COUNTIF(tblSeverityAnalysis[[#This Row],[SAMV]:[ASH]], 2)=0, "", COUNTIF(tblSeverityAnalysis[[#This Row],[SAMV]:[ASH]], 2))</f>
        <v>1</v>
      </c>
      <c r="S337" s="325">
        <f>IF(COUNTIF(tblSeverityAnalysis[[#This Row],[SAMV]:[ASH]], 3)=0, "", COUNTIF(tblSeverityAnalysis[[#This Row],[SAMV]:[ASH]], 3))</f>
        <v>3</v>
      </c>
      <c r="T337" s="325">
        <f>IF(COUNTIF(tblSeverityAnalysis[[#This Row],[SAMV]:[ASH]], 4)=0, "", COUNTIF(tblSeverityAnalysis[[#This Row],[SAMV]:[ASH]], 4))</f>
        <v>2</v>
      </c>
      <c r="U337" s="383" t="str">
        <f>IF(COUNTIF(tblSeverityAnalysis[[#This Row],[SAMV]:[ASH]], 5)=0, "", COUNTIF(tblSeverityAnalysis[[#This Row],[SAMV]:[ASH]], 5))</f>
        <v/>
      </c>
      <c r="V337" s="375" cm="1">
        <f t="array" ref="V337">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37" s="390"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37" s="237" t="str">
        <f>IFERROR(IF(INDEX(tblSeverityReference[Severidad de la desnutrición],MATCH(tblSeverityAnalysis[[#This Row],[ID]], tblSeverityReference[ID], 0))= "", "",INDEX(tblSeverityReference[Severidad de la desnutrición],MATCH(tblSeverityAnalysis[[#This Row],[ID]], tblSeverityReference[ID], 0)) ), "")</f>
        <v/>
      </c>
      <c r="Y337" s="349" t="str">
        <f>IFERROR(IF(INDEX(tblSeverityReference[Severidad epidémica],MATCH(tblSeverityAnalysis[[#This Row],[ID]], tblSeverityReference[ID], 0))= "", "",INDEX(tblSeverityReference[Severidad epidémica],MATCH(tblSeverityAnalysis[[#This Row],[ID]], tblSeverityReference[ID], 0)) ), "")</f>
        <v/>
      </c>
      <c r="Z337" s="349"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37" s="391" t="str">
        <f>IFERROR(IF(INDEX(tblSeverityReference[HR/IHL Violation],MATCH(tblSeverityAnalysis[[#This Row],[ID]], tblSeverityReference[ID], 0))= "", "",INDEX(tblSeverityReference[HR/IHL Violation],MATCH(tblSeverityAnalysis[[#This Row],[ID]], tblSeverityReference[ID], 0)) ), "")</f>
        <v/>
      </c>
      <c r="AB337" s="397">
        <f>IFERROR(AVERAGE(tblSeverityAnalysis[[#This Row],[SAMV]:[ASH]]), "")</f>
        <v>3.1666666666666665</v>
      </c>
      <c r="AC337" s="346">
        <f>IF(SUM(tblSeverityAnalysis[[#This Row],[SAMV]:[ASH]])=0, "", MAX(tblSeverityAnalysis[[#This Row],[SAMV]:[ASH]]))</f>
        <v>4</v>
      </c>
      <c r="AD337" s="261" t="str" cm="1">
        <f t="array" ref="AD337">IFERROR(IF(tblSeverityAnalysis[[#This Row],[Severidad máxima]]="", "", _xlfn.TEXTJOIN(CHAR(10), TRUE, IF(tblSeverityAnalysis[[#This Row],[SAMV]:[ASH]]=tblSeverityAnalysis[[#This Row],[Severidad máxima]], tblSeverityAnalysis[[#Headers],[SAMV]:[ASH]], ""), "")), "")</f>
        <v>SAMV
PRO</v>
      </c>
      <c r="AE337" s="346" cm="1">
        <f t="array" ref="AE337">IFERROR(MAX(_xlfn._xlws.FILTER(tblSeverityAnalysis[[#This Row],[SAMV]:[ASH]], tblSeverityAnalysis[[#This Row],[SAMV]:[ASH]]&lt;tblSeverityAnalysis[[#This Row],[Severidad máxima]])), "")</f>
        <v>3</v>
      </c>
      <c r="AF337" s="398" t="str" cm="1">
        <f t="array" ref="AF337">IFERROR(IF(tblSeverityAnalysis[[#This Row],[2ª mayor severidad]]="", "", _xlfn.TEXTJOIN(CHAR(10), TRUE, IF(tblSeverityAnalysis[[#This Row],[SAMV]:[ASH]]=tblSeverityAnalysis[[#This Row],[2ª mayor severidad]], tblSeverityAnalysis[[#Headers],[SAMV]:[ASH]], ""), "")), "")</f>
        <v>SAL
EDU
ASH</v>
      </c>
      <c r="AG337" s="405" t="str">
        <f>IFERROR(IF(AND(tblSeverityAnalysis[[#This Row],[5]] &lt;&gt; "", tblSeverityAnalysis[[#This Row],[5]]&gt;=sectors_sev_5), "Flagged", ""), "")</f>
        <v/>
      </c>
      <c r="AH337" s="347" t="str">
        <f>IFERROR(IF(AND(tblSeverityAnalysis[[#This Row],[Severidad preliminar basada en la superposición de privaciones sectoriales]]=5, SUM(tblSeverityAnalysis[[#This Row],[ 1 ]:[ 4 ]])&gt;=sectors_sev_5), "Flagged", ""), "")</f>
        <v/>
      </c>
      <c r="AI337" s="348" t="str" cm="1">
        <f t="array" ref="AI337">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37" s="348"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37" s="350"/>
      <c r="AL337" s="351"/>
      <c r="AM337" s="350"/>
      <c r="AN337" s="407">
        <f>COUNTIF(tblSeverityAnalysis[[#This Row],[1 sectores en fase de severidad 5 '[modificar el umbral']]:[Marcador manual]], "Flagged")</f>
        <v>0</v>
      </c>
      <c r="AO337" s="418">
        <f>tblSeverityAnalysis[[#This Row],[Severidad preliminar basada en la superposición de privaciones sectoriales]]</f>
        <v>3</v>
      </c>
      <c r="AP337" s="417"/>
      <c r="AQ337" s="421" t="s">
        <v>876</v>
      </c>
      <c r="AR337" s="417">
        <v>3</v>
      </c>
    </row>
    <row r="338" spans="1:44" ht="15" hidden="1" thickBot="1">
      <c r="A338" s="322" t="str">
        <f>IFERROR(_xlfn.CONCAT(IF(tblSeverityAnalysis[[#This Row],[Grupo de población]]="", "",tblSeverityAnalysis[[#This Row],[Grupo de población]] ), , _xlfn.IFS( tblSeverityAnalysis[[#This Row],[Admin 2 Código P]]&lt;&gt;"", tblSeverityAnalysis[[#This Row],[Admin 2 Código P]], tblSeverityAnalysis[[#This Row],[Admin 1 Código P]]&lt;&gt;"", tblSeverityAnalysis[[#This Row],[Admin 1 Código P]])),"")</f>
        <v>VenezolanosVE2401</v>
      </c>
      <c r="B338" s="364" t="s">
        <v>745</v>
      </c>
      <c r="C338" s="365" t="s">
        <v>746</v>
      </c>
      <c r="D338" s="366" t="s">
        <v>747</v>
      </c>
      <c r="E338" s="365" t="s">
        <v>748</v>
      </c>
      <c r="F338" s="365"/>
      <c r="G338" s="367">
        <v>352920</v>
      </c>
      <c r="H338" s="367" t="s">
        <v>102</v>
      </c>
      <c r="I338" s="377">
        <v>2</v>
      </c>
      <c r="J338" s="378">
        <v>3</v>
      </c>
      <c r="K338" s="378">
        <v>3</v>
      </c>
      <c r="L338" s="378">
        <v>4</v>
      </c>
      <c r="M338" s="378">
        <v>4</v>
      </c>
      <c r="N338" s="378">
        <v>3</v>
      </c>
      <c r="O338" s="378">
        <v>4</v>
      </c>
      <c r="P338" s="378">
        <v>4</v>
      </c>
      <c r="Q338" s="384" t="str">
        <f>IF(COUNTIF(tblSeverityAnalysis[[#This Row],[SAMV]:[ASH]], 1)=0, "", COUNTIF(tblSeverityAnalysis[[#This Row],[SAMV]:[ASH]], 1))</f>
        <v/>
      </c>
      <c r="R338" s="379">
        <f>IF(COUNTIF(tblSeverityAnalysis[[#This Row],[SAMV]:[ASH]], 2)=0, "", COUNTIF(tblSeverityAnalysis[[#This Row],[SAMV]:[ASH]], 2))</f>
        <v>1</v>
      </c>
      <c r="S338" s="379">
        <f>IF(COUNTIF(tblSeverityAnalysis[[#This Row],[SAMV]:[ASH]], 3)=0, "", COUNTIF(tblSeverityAnalysis[[#This Row],[SAMV]:[ASH]], 3))</f>
        <v>3</v>
      </c>
      <c r="T338" s="379">
        <f>IF(COUNTIF(tblSeverityAnalysis[[#This Row],[SAMV]:[ASH]], 4)=0, "", COUNTIF(tblSeverityAnalysis[[#This Row],[SAMV]:[ASH]], 4))</f>
        <v>2</v>
      </c>
      <c r="U338" s="385" t="str">
        <f>IF(COUNTIF(tblSeverityAnalysis[[#This Row],[SAMV]:[ASH]], 5)=0, "", COUNTIF(tblSeverityAnalysis[[#This Row],[SAMV]:[ASH]], 5))</f>
        <v/>
      </c>
      <c r="V338" s="380" cm="1">
        <f t="array" ref="V338">_xlfn.IFS(SUM(tblSeverityAnalysis[[#This Row],[SAMV]:[ASH]])=0, "",
AND(COUNTIF(tblSeverityAnalysis[[#This Row],[SAMV]:[ASH]], "5")&gt;=Analysis!$N$4, COUNTIF(tblSeverityAnalysis[[#This Row],[SAMV]:[ASH]], "&gt;=4") &gt;=Analysis!$O$4), 5,
COUNTIF(tblSeverityAnalysis[[#This Row],[SAMV]:[ASH]], "&gt;=4") &gt;=Analysis!$N$5, 4,
COUNTIF(tblSeverityAnalysis[[#This Row],[SAMV]:[ASH]], "&gt;=3")&gt;=Analysis!$N$6, 3,
COUNTIF(tblSeverityAnalysis[[#This Row],[SAMV]:[ASH]], "&gt;=2")&gt;=Analysis!$N$7, 2,
1=1, 1 )</f>
        <v>3</v>
      </c>
      <c r="W338" s="392" t="str">
        <f>IFERROR(IF(INDEX(tblSeverityReference[Muerte o Severidad inminente de Riesgo de muerte],MATCH(tblSeverityAnalysis[[#This Row],[ID]], tblSeverityReference[ID], 0))= "", "",INDEX(tblSeverityReference[Muerte o Severidad inminente de Riesgo de muerte],MATCH(tblSeverityAnalysis[[#This Row],[ID]], tblSeverityReference[ID], 0)) ), "")</f>
        <v/>
      </c>
      <c r="X338" s="378" t="str">
        <f>IFERROR(IF(INDEX(tblSeverityReference[Severidad de la desnutrición],MATCH(tblSeverityAnalysis[[#This Row],[ID]], tblSeverityReference[ID], 0))= "", "",INDEX(tblSeverityReference[Severidad de la desnutrición],MATCH(tblSeverityAnalysis[[#This Row],[ID]], tblSeverityReference[ID], 0)) ), "")</f>
        <v/>
      </c>
      <c r="Y338" s="393" t="str">
        <f>IFERROR(IF(INDEX(tblSeverityReference[Severidad epidémica],MATCH(tblSeverityAnalysis[[#This Row],[ID]], tblSeverityReference[ID], 0))= "", "",INDEX(tblSeverityReference[Severidad epidémica],MATCH(tblSeverityAnalysis[[#This Row],[ID]], tblSeverityReference[ID], 0)) ), "")</f>
        <v/>
      </c>
      <c r="Z338" s="393" t="str">
        <f>IFERROR(IF(INDEX(tblSeverityReference[Severidad de la Estrategia de afrontamiento],MATCH(tblSeverityAnalysis[[#This Row],[ID]], tblSeverityReference[ID], 0))= "", "",INDEX(tblSeverityReference[Severidad de la Estrategia de afrontamiento],MATCH(tblSeverityAnalysis[[#This Row],[ID]], tblSeverityReference[ID], 0)) ), "")</f>
        <v/>
      </c>
      <c r="AA338" s="394" t="str">
        <f>IFERROR(IF(INDEX(tblSeverityReference[HR/IHL Violation],MATCH(tblSeverityAnalysis[[#This Row],[ID]], tblSeverityReference[ID], 0))= "", "",INDEX(tblSeverityReference[HR/IHL Violation],MATCH(tblSeverityAnalysis[[#This Row],[ID]], tblSeverityReference[ID], 0)) ), "")</f>
        <v/>
      </c>
      <c r="AB338" s="399">
        <f>IFERROR(AVERAGE(tblSeverityAnalysis[[#This Row],[SAMV]:[ASH]]), "")</f>
        <v>3.1666666666666665</v>
      </c>
      <c r="AC338" s="400">
        <f>IF(SUM(tblSeverityAnalysis[[#This Row],[SAMV]:[ASH]])=0, "", MAX(tblSeverityAnalysis[[#This Row],[SAMV]:[ASH]]))</f>
        <v>4</v>
      </c>
      <c r="AD338" s="262" t="str" cm="1">
        <f t="array" ref="AD338">IFERROR(IF(tblSeverityAnalysis[[#This Row],[Severidad máxima]]="", "", _xlfn.TEXTJOIN(CHAR(10), TRUE, IF(tblSeverityAnalysis[[#This Row],[SAMV]:[ASH]]=tblSeverityAnalysis[[#This Row],[Severidad máxima]], tblSeverityAnalysis[[#Headers],[SAMV]:[ASH]], ""), "")), "")</f>
        <v>EDU
PRO</v>
      </c>
      <c r="AE338" s="400" cm="1">
        <f t="array" ref="AE338">IFERROR(MAX(_xlfn._xlws.FILTER(tblSeverityAnalysis[[#This Row],[SAMV]:[ASH]], tblSeverityAnalysis[[#This Row],[SAMV]:[ASH]]&lt;tblSeverityAnalysis[[#This Row],[Severidad máxima]])), "")</f>
        <v>3</v>
      </c>
      <c r="AF338" s="401" t="str" cm="1">
        <f t="array" ref="AF338">IFERROR(IF(tblSeverityAnalysis[[#This Row],[2ª mayor severidad]]="", "", _xlfn.TEXTJOIN(CHAR(10), TRUE, IF(tblSeverityAnalysis[[#This Row],[SAMV]:[ASH]]=tblSeverityAnalysis[[#This Row],[2ª mayor severidad]], tblSeverityAnalysis[[#Headers],[SAMV]:[ASH]], ""), "")), "")</f>
        <v>NUT
SAL
ASH</v>
      </c>
      <c r="AG338" s="408" t="str">
        <f>IFERROR(IF(AND(tblSeverityAnalysis[[#This Row],[5]] &lt;&gt; "", tblSeverityAnalysis[[#This Row],[5]]&gt;=sectors_sev_5), "Flagged", ""), "")</f>
        <v/>
      </c>
      <c r="AH338" s="409" t="str">
        <f>IFERROR(IF(AND(tblSeverityAnalysis[[#This Row],[Severidad preliminar basada en la superposición de privaciones sectoriales]]=5, SUM(tblSeverityAnalysis[[#This Row],[ 1 ]:[ 4 ]])&gt;=sectors_sev_5), "Flagged", ""), "")</f>
        <v/>
      </c>
      <c r="AI338" s="410" t="str" cm="1">
        <f t="array" ref="AI338">IFERROR(IF(OR(_xlfn._xlws.FILTER(tblSeverityAnalysis[[#This Row],[Mortalidad]:[HR/IHL Violation]],tblSeverityAnalysis[[#This Row],[Mortalidad]:[HR/IHL Violation]]&lt;&gt; "")&lt;=tblSeverityAnalysis[[#This Row],[Severidad preliminar basada en la superposición de privaciones sectoriales]]-2, _xlfn._xlws.FILTER(tblSeverityAnalysis[[#This Row],[Mortalidad]:[HR/IHL Violation]],tblSeverityAnalysis[[#This Row],[Mortalidad]:[HR/IHL Violation]]&lt;&gt; "")&gt;=tblSeverityAnalysis[[#This Row],[Severidad preliminar basada en la superposición de privaciones sectoriales]]+2), "Flagged", ""), "")</f>
        <v/>
      </c>
      <c r="AJ338" s="410" t="str">
        <f>IF(OR(COUNTIF(tblSeverityAnalysis[[#This Row],[Mortalidad]:[HR/IHL Violation]], "&lt;="&amp;tblSeverityAnalysis[[#This Row],[Severidad preliminar basada en la superposición de privaciones sectoriales]]-1)&gt;=2, COUNTIF(tblSeverityAnalysis[[#This Row],[Mortalidad]:[HR/IHL Violation]], "&gt;="&amp;tblSeverityAnalysis[[#This Row],[Severidad preliminar basada en la superposición de privaciones sectoriales]]+1)&gt;=2), "Flagged", "")</f>
        <v/>
      </c>
      <c r="AK338" s="411"/>
      <c r="AL338" s="412"/>
      <c r="AM338" s="411"/>
      <c r="AN338" s="413">
        <f>COUNTIF(tblSeverityAnalysis[[#This Row],[1 sectores en fase de severidad 5 '[modificar el umbral']]:[Marcador manual]], "Flagged")</f>
        <v>0</v>
      </c>
      <c r="AO338" s="419">
        <f>tblSeverityAnalysis[[#This Row],[Severidad preliminar basada en la superposición de privaciones sectoriales]]</f>
        <v>3</v>
      </c>
      <c r="AP338" s="420"/>
      <c r="AQ338" s="421" t="s">
        <v>876</v>
      </c>
      <c r="AR338" s="420">
        <v>3</v>
      </c>
    </row>
    <row r="339" spans="1:44">
      <c r="A339" s="326"/>
      <c r="B339" s="329"/>
      <c r="C339" s="329"/>
      <c r="D339" s="329"/>
      <c r="E339" s="329"/>
      <c r="F339" s="329"/>
      <c r="G339" s="426"/>
      <c r="H339" s="426"/>
      <c r="J339" s="426"/>
      <c r="K339" s="426"/>
      <c r="L339" s="426"/>
      <c r="M339" s="426"/>
      <c r="P339" s="426"/>
      <c r="Q339" s="426"/>
      <c r="R339" s="426"/>
      <c r="S339" s="426"/>
      <c r="T339" s="426"/>
      <c r="U339" s="426"/>
      <c r="V339" s="328"/>
      <c r="W339" s="328"/>
      <c r="X339" s="328"/>
      <c r="Y339" s="328"/>
      <c r="AB339" s="327"/>
      <c r="AC339" s="328"/>
      <c r="AD339" s="328"/>
      <c r="AE339" s="328"/>
      <c r="AF339" s="426"/>
      <c r="AG339" s="426"/>
      <c r="AL339" s="343"/>
    </row>
    <row r="340" spans="1:44">
      <c r="A340" s="326"/>
      <c r="B340" s="329"/>
      <c r="C340" s="329"/>
      <c r="D340" s="329"/>
      <c r="E340" s="329"/>
      <c r="F340" s="329"/>
      <c r="G340" s="426"/>
      <c r="H340" s="426"/>
      <c r="J340" s="426"/>
      <c r="K340" s="426"/>
      <c r="L340" s="426"/>
      <c r="M340" s="426"/>
      <c r="P340" s="426"/>
      <c r="Q340" s="426"/>
      <c r="R340" s="426"/>
      <c r="S340" s="426"/>
      <c r="T340" s="426"/>
      <c r="U340" s="426"/>
      <c r="V340" s="328"/>
      <c r="W340" s="328"/>
      <c r="X340" s="328"/>
      <c r="Y340" s="328"/>
      <c r="AB340" s="327"/>
      <c r="AC340" s="328"/>
      <c r="AD340" s="328"/>
      <c r="AE340" s="328"/>
      <c r="AF340" s="426"/>
      <c r="AG340" s="426"/>
      <c r="AL340" s="343"/>
    </row>
    <row r="341" spans="1:44">
      <c r="A341" s="326"/>
      <c r="B341" s="329"/>
      <c r="C341" s="329"/>
      <c r="D341" s="329"/>
      <c r="E341" s="329"/>
      <c r="F341" s="329"/>
      <c r="G341" s="426"/>
      <c r="H341" s="426"/>
      <c r="J341" s="426"/>
      <c r="K341" s="426"/>
      <c r="L341" s="426"/>
      <c r="M341" s="426"/>
      <c r="P341" s="426"/>
      <c r="Q341" s="426"/>
      <c r="R341" s="426"/>
      <c r="S341" s="426"/>
      <c r="T341" s="426"/>
      <c r="U341" s="426"/>
      <c r="V341" s="328"/>
      <c r="W341" s="328"/>
      <c r="X341" s="328"/>
      <c r="Y341" s="328"/>
      <c r="AB341" s="327"/>
      <c r="AC341" s="328"/>
      <c r="AD341" s="328"/>
      <c r="AE341" s="328"/>
      <c r="AF341" s="426"/>
      <c r="AG341" s="426"/>
      <c r="AL341" s="343"/>
    </row>
    <row r="342" spans="1:44">
      <c r="A342" s="326"/>
      <c r="B342" s="329"/>
      <c r="C342" s="329"/>
      <c r="D342" s="329"/>
      <c r="E342" s="329"/>
      <c r="F342" s="329" t="s">
        <v>793</v>
      </c>
      <c r="G342" s="426"/>
      <c r="H342" s="426"/>
      <c r="J342" s="426"/>
      <c r="K342" s="426"/>
      <c r="L342" s="426"/>
      <c r="M342" s="426"/>
      <c r="P342" s="426"/>
      <c r="Q342" s="426"/>
      <c r="R342" s="426"/>
      <c r="S342" s="426"/>
      <c r="T342" s="426"/>
      <c r="U342" s="426"/>
      <c r="V342" s="328"/>
      <c r="W342" s="328"/>
      <c r="X342" s="328"/>
      <c r="Y342" s="328"/>
      <c r="AB342" s="327"/>
      <c r="AC342" s="328"/>
      <c r="AD342" s="328"/>
      <c r="AE342" s="328"/>
      <c r="AF342" s="426"/>
      <c r="AG342" s="426"/>
      <c r="AL342" s="343"/>
    </row>
    <row r="343" spans="1:44">
      <c r="A343" s="326"/>
      <c r="B343" s="329"/>
      <c r="C343" s="329"/>
      <c r="D343" s="329"/>
      <c r="E343" s="329"/>
      <c r="F343" s="329"/>
      <c r="G343" s="426"/>
      <c r="H343" s="426"/>
      <c r="J343" s="426"/>
      <c r="K343" s="426"/>
      <c r="L343" s="426"/>
      <c r="M343" s="426"/>
      <c r="P343" s="426"/>
      <c r="Q343" s="426"/>
      <c r="R343" s="426"/>
      <c r="S343" s="426"/>
      <c r="T343" s="426"/>
      <c r="U343" s="426"/>
      <c r="V343" s="328"/>
      <c r="W343" s="328"/>
      <c r="X343" s="328"/>
      <c r="Y343" s="328"/>
      <c r="AB343" s="327"/>
      <c r="AC343" s="328"/>
      <c r="AD343" s="328"/>
      <c r="AE343" s="328"/>
      <c r="AF343" s="426"/>
      <c r="AG343" s="426"/>
      <c r="AL343" s="343"/>
    </row>
  </sheetData>
  <mergeCells count="14">
    <mergeCell ref="B1:H1"/>
    <mergeCell ref="AO2:AP2"/>
    <mergeCell ref="G2:H2"/>
    <mergeCell ref="Q2:U2"/>
    <mergeCell ref="AB2:AF2"/>
    <mergeCell ref="I1:V1"/>
    <mergeCell ref="W2:Y2"/>
    <mergeCell ref="AG2:AH2"/>
    <mergeCell ref="AG1:AH1"/>
    <mergeCell ref="AI2:AJ2"/>
    <mergeCell ref="B2:E2"/>
    <mergeCell ref="Z2:AA2"/>
    <mergeCell ref="AK2:AM2"/>
    <mergeCell ref="W1:AA1"/>
  </mergeCells>
  <phoneticPr fontId="8" type="noConversion"/>
  <conditionalFormatting sqref="I4:N338">
    <cfRule type="colorScale" priority="2">
      <colorScale>
        <cfvo type="min"/>
        <cfvo type="percentile" val="50"/>
        <cfvo type="max"/>
        <color rgb="FF63BE7B"/>
        <color rgb="FFFFEB84"/>
        <color rgb="FFF8696B"/>
      </colorScale>
    </cfRule>
  </conditionalFormatting>
  <conditionalFormatting sqref="AG4:AL338">
    <cfRule type="containsText" dxfId="178" priority="4" operator="containsText" text="Flagged">
      <formula>NOT(ISERROR(SEARCH("Flagged",AG4)))</formula>
    </cfRule>
  </conditionalFormatting>
  <dataValidations count="1">
    <dataValidation type="list" allowBlank="1" showInputMessage="1" showErrorMessage="1" sqref="AK4:AK338" xr:uid="{191ACA1A-DBF7-4014-A670-173F33EF2F89}">
      <formula1>"Flagged, --"</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4E67-7CED-42BF-AC5E-1C6B8531985E}">
  <sheetPr codeName="Sheet5">
    <tabColor rgb="FFBDD7EE"/>
  </sheetPr>
  <dimension ref="A1:AE338"/>
  <sheetViews>
    <sheetView topLeftCell="A3" workbookViewId="0"/>
  </sheetViews>
  <sheetFormatPr defaultColWidth="8.5703125" defaultRowHeight="12.95"/>
  <cols>
    <col min="1" max="1" width="7.7109375" style="151" bestFit="1" customWidth="1"/>
    <col min="2" max="4" width="12.140625" style="152" customWidth="1"/>
    <col min="5" max="8" width="14.140625" style="152" customWidth="1"/>
    <col min="9" max="9" width="14.140625" style="153" customWidth="1"/>
    <col min="10" max="10" width="12.140625" style="153" customWidth="1"/>
    <col min="11" max="13" width="14.42578125" style="158" customWidth="1"/>
    <col min="14" max="14" width="13.5703125" style="159" customWidth="1"/>
    <col min="15" max="16" width="14" style="156" customWidth="1"/>
    <col min="17" max="17" width="12.42578125" style="122" customWidth="1"/>
    <col min="18" max="19" width="13.5703125" style="156" customWidth="1"/>
    <col min="20" max="21" width="14" style="159" customWidth="1"/>
    <col min="22" max="22" width="10.5703125" style="122" customWidth="1"/>
    <col min="23" max="23" width="11.140625" style="122" customWidth="1"/>
    <col min="24" max="24" width="13.42578125" style="156" customWidth="1"/>
    <col min="25" max="27" width="13.42578125" style="122"/>
    <col min="28" max="28" width="13.42578125" style="156"/>
    <col min="29" max="29" width="13.42578125" style="122"/>
    <col min="30" max="30" width="20" style="153" bestFit="1" customWidth="1"/>
    <col min="31" max="31" width="46.140625" style="157" customWidth="1"/>
    <col min="32" max="16384" width="8.5703125" style="122"/>
  </cols>
  <sheetData>
    <row r="1" spans="1:31" ht="75" customHeight="1" thickBot="1">
      <c r="K1" s="498" t="s">
        <v>882</v>
      </c>
      <c r="L1" s="498"/>
      <c r="M1" s="498"/>
      <c r="N1" s="498"/>
      <c r="O1" s="498"/>
      <c r="P1" s="498"/>
      <c r="Q1" s="498"/>
      <c r="R1" s="498"/>
      <c r="S1" s="498"/>
      <c r="T1" s="498"/>
      <c r="U1" s="498"/>
      <c r="V1" s="498"/>
      <c r="W1" s="498"/>
      <c r="X1" s="498"/>
      <c r="Y1" s="498"/>
      <c r="Z1" s="498"/>
      <c r="AA1" s="498"/>
      <c r="AB1" s="122"/>
      <c r="AD1" s="122"/>
      <c r="AE1" s="122"/>
    </row>
    <row r="2" spans="1:31" ht="126.2" customHeight="1" thickTop="1" thickBot="1">
      <c r="A2" s="154"/>
      <c r="B2" s="495" t="s">
        <v>61</v>
      </c>
      <c r="C2" s="496"/>
      <c r="D2" s="496"/>
      <c r="E2" s="496"/>
      <c r="F2" s="496"/>
      <c r="G2" s="497"/>
      <c r="H2" s="155"/>
      <c r="I2" s="494" t="s">
        <v>62</v>
      </c>
      <c r="J2" s="494"/>
      <c r="K2" s="494" t="s">
        <v>882</v>
      </c>
      <c r="L2" s="494"/>
      <c r="M2" s="494"/>
      <c r="N2" s="494"/>
      <c r="O2" s="494"/>
      <c r="P2" s="494"/>
      <c r="Q2" s="494"/>
      <c r="R2" s="494"/>
      <c r="S2" s="494"/>
      <c r="T2" s="494"/>
      <c r="U2" s="499" t="s">
        <v>845</v>
      </c>
      <c r="V2" s="500"/>
      <c r="W2" s="500"/>
      <c r="X2" s="500"/>
      <c r="Y2" s="500"/>
      <c r="Z2" s="500"/>
      <c r="AA2" s="501"/>
      <c r="AB2" s="122"/>
      <c r="AD2" s="122"/>
      <c r="AE2" s="122"/>
    </row>
    <row r="3" spans="1:31" ht="234.4" customHeight="1" thickTop="1" thickBot="1">
      <c r="A3" s="135" t="s">
        <v>67</v>
      </c>
      <c r="B3" s="136" t="s">
        <v>68</v>
      </c>
      <c r="C3" s="137" t="s">
        <v>69</v>
      </c>
      <c r="D3" s="137" t="s">
        <v>70</v>
      </c>
      <c r="E3" s="137" t="s">
        <v>71</v>
      </c>
      <c r="F3" s="137" t="s">
        <v>883</v>
      </c>
      <c r="G3" s="138" t="s">
        <v>884</v>
      </c>
      <c r="H3" s="139" t="s">
        <v>72</v>
      </c>
      <c r="I3" s="140" t="s">
        <v>62</v>
      </c>
      <c r="J3" s="141" t="s">
        <v>73</v>
      </c>
      <c r="K3" s="142" t="s">
        <v>885</v>
      </c>
      <c r="L3" s="143" t="s">
        <v>886</v>
      </c>
      <c r="M3" s="143" t="s">
        <v>887</v>
      </c>
      <c r="N3" s="137" t="s">
        <v>888</v>
      </c>
      <c r="O3" s="144" t="s">
        <v>889</v>
      </c>
      <c r="P3" s="144" t="s">
        <v>890</v>
      </c>
      <c r="Q3" s="145" t="s">
        <v>891</v>
      </c>
      <c r="R3" s="145" t="s">
        <v>892</v>
      </c>
      <c r="S3" s="145" t="s">
        <v>893</v>
      </c>
      <c r="T3" s="141" t="s">
        <v>894</v>
      </c>
      <c r="U3" s="146" t="s">
        <v>860</v>
      </c>
      <c r="V3" s="147" t="s">
        <v>895</v>
      </c>
      <c r="W3" s="148" t="s">
        <v>896</v>
      </c>
      <c r="X3" s="148" t="s">
        <v>897</v>
      </c>
      <c r="Y3" s="148" t="s">
        <v>898</v>
      </c>
      <c r="Z3" s="148" t="s">
        <v>899</v>
      </c>
      <c r="AA3" s="149" t="s">
        <v>900</v>
      </c>
      <c r="AB3" s="122"/>
      <c r="AD3" s="122"/>
      <c r="AE3" s="122"/>
    </row>
    <row r="4" spans="1:31" ht="13.5" thickTop="1">
      <c r="A4" s="245"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VenezulanosVE0101</v>
      </c>
      <c r="B4" s="101" t="s">
        <v>98</v>
      </c>
      <c r="C4" s="104" t="s">
        <v>99</v>
      </c>
      <c r="D4" s="129" t="s">
        <v>100</v>
      </c>
      <c r="E4" s="130" t="s">
        <v>101</v>
      </c>
      <c r="F4" s="113"/>
      <c r="G4" s="119"/>
      <c r="H4" s="119"/>
      <c r="I4" s="102">
        <v>1987792</v>
      </c>
      <c r="J4" s="103" t="s">
        <v>901</v>
      </c>
      <c r="K4" s="246"/>
      <c r="L4" s="246"/>
      <c r="M4" s="246"/>
      <c r="N4" s="247" t="str" cm="1">
        <f t="array" ref="N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4" s="248"/>
      <c r="P4" s="248"/>
      <c r="Q4" s="249" t="str" cm="1">
        <f t="array" ref="Q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4" s="248"/>
      <c r="S4" s="248"/>
      <c r="T4" s="250"/>
      <c r="U4" s="250"/>
      <c r="V4" s="248"/>
      <c r="W4" s="248"/>
      <c r="X4" s="248"/>
      <c r="Y4" s="248"/>
      <c r="Z4" s="251"/>
      <c r="AA4" s="252" t="str" cm="1">
        <f t="array" ref="AA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4" s="122"/>
      <c r="AD4" s="122"/>
      <c r="AE4" s="122"/>
    </row>
    <row r="5" spans="1:31">
      <c r="A5" s="245"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VenezulanosVE0201</v>
      </c>
      <c r="B5" s="101" t="s">
        <v>103</v>
      </c>
      <c r="C5" s="104" t="s">
        <v>104</v>
      </c>
      <c r="D5" s="129" t="s">
        <v>105</v>
      </c>
      <c r="E5" s="130" t="s">
        <v>106</v>
      </c>
      <c r="F5" s="113"/>
      <c r="G5" s="119"/>
      <c r="H5" s="119"/>
      <c r="I5" s="102">
        <v>12973</v>
      </c>
      <c r="J5" s="103" t="s">
        <v>901</v>
      </c>
      <c r="K5" s="246"/>
      <c r="L5" s="246"/>
      <c r="M5" s="246"/>
      <c r="N5" s="247" t="str" cm="1">
        <f t="array" ref="N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5" s="248"/>
      <c r="P5" s="248"/>
      <c r="Q5" s="249" t="str" cm="1">
        <f t="array" ref="Q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5" s="248"/>
      <c r="S5" s="248"/>
      <c r="T5" s="250"/>
      <c r="U5" s="250"/>
      <c r="V5" s="248"/>
      <c r="W5" s="248"/>
      <c r="X5" s="248"/>
      <c r="Y5" s="248"/>
      <c r="Z5" s="251"/>
      <c r="AA5" s="252" t="str" cm="1">
        <f t="array" ref="AA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5" s="122"/>
      <c r="AD5" s="122"/>
      <c r="AE5" s="122"/>
    </row>
    <row r="6" spans="1:31">
      <c r="A6" s="245"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VenezulanosVE0202</v>
      </c>
      <c r="B6" s="101" t="s">
        <v>103</v>
      </c>
      <c r="C6" s="104" t="s">
        <v>104</v>
      </c>
      <c r="D6" s="129" t="s">
        <v>107</v>
      </c>
      <c r="E6" s="104" t="s">
        <v>108</v>
      </c>
      <c r="F6" s="113"/>
      <c r="G6" s="119"/>
      <c r="H6" s="119"/>
      <c r="I6" s="102">
        <v>9377</v>
      </c>
      <c r="J6" s="103" t="s">
        <v>901</v>
      </c>
      <c r="K6" s="246"/>
      <c r="L6" s="246"/>
      <c r="M6" s="246"/>
      <c r="N6" s="247" t="str" cm="1">
        <f t="array" ref="N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6" s="248"/>
      <c r="P6" s="248"/>
      <c r="Q6" s="249" t="str" cm="1">
        <f t="array" ref="Q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6" s="248"/>
      <c r="S6" s="248"/>
      <c r="T6" s="250"/>
      <c r="U6" s="250"/>
      <c r="V6" s="248"/>
      <c r="W6" s="248"/>
      <c r="X6" s="248"/>
      <c r="Y6" s="248"/>
      <c r="Z6" s="251"/>
      <c r="AA6" s="252" t="str" cm="1">
        <f t="array" ref="AA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6" s="122"/>
      <c r="AD6" s="122"/>
      <c r="AE6" s="122"/>
    </row>
    <row r="7" spans="1:31">
      <c r="A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VenezulanosVE0203</v>
      </c>
      <c r="B7" s="101" t="s">
        <v>103</v>
      </c>
      <c r="C7" s="104" t="s">
        <v>104</v>
      </c>
      <c r="D7" s="129" t="s">
        <v>109</v>
      </c>
      <c r="E7" s="104" t="s">
        <v>110</v>
      </c>
      <c r="F7" s="113"/>
      <c r="G7" s="119"/>
      <c r="H7" s="119"/>
      <c r="I7" s="102">
        <v>106577</v>
      </c>
      <c r="J7" s="103" t="s">
        <v>901</v>
      </c>
      <c r="K7" s="150"/>
      <c r="L7" s="150"/>
      <c r="M7" s="150"/>
      <c r="N7" s="254" t="str" cm="1">
        <f t="array" ref="N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7" s="255"/>
      <c r="P7" s="248"/>
      <c r="Q7" s="256" t="str" cm="1">
        <f t="array" ref="Q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7" s="257"/>
      <c r="S7" s="248"/>
      <c r="T7" s="254"/>
      <c r="U7" s="258"/>
      <c r="V7" s="259"/>
      <c r="W7" s="259"/>
      <c r="X7" s="255"/>
      <c r="Y7" s="259"/>
      <c r="Z7" s="259"/>
      <c r="AA7" s="260" t="str" cm="1">
        <f t="array" ref="AA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7" s="125"/>
      <c r="AD7" s="124"/>
      <c r="AE7" s="122"/>
    </row>
    <row r="8" spans="1:31">
      <c r="A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VenezulanosVE0204</v>
      </c>
      <c r="B8" s="105" t="s">
        <v>103</v>
      </c>
      <c r="C8" s="104" t="s">
        <v>104</v>
      </c>
      <c r="D8" s="119" t="s">
        <v>111</v>
      </c>
      <c r="E8" s="104" t="s">
        <v>112</v>
      </c>
      <c r="F8" s="113"/>
      <c r="G8" s="119"/>
      <c r="H8" s="119"/>
      <c r="I8" s="102">
        <v>8535</v>
      </c>
      <c r="J8" s="103" t="s">
        <v>901</v>
      </c>
      <c r="K8" s="150"/>
      <c r="L8" s="150"/>
      <c r="M8" s="150"/>
      <c r="N8" s="254" t="str" cm="1">
        <f t="array" ref="N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8" s="255"/>
      <c r="P8" s="248"/>
      <c r="Q8" s="256" t="str" cm="1">
        <f t="array" ref="Q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8" s="257"/>
      <c r="S8" s="248"/>
      <c r="T8" s="254"/>
      <c r="U8" s="258"/>
      <c r="V8" s="259"/>
      <c r="W8" s="259"/>
      <c r="X8" s="255"/>
      <c r="Y8" s="259"/>
      <c r="Z8" s="259"/>
      <c r="AA8" s="260" t="str" cm="1">
        <f t="array" ref="AA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8" s="125"/>
      <c r="AD8" s="124"/>
      <c r="AE8" s="122"/>
    </row>
    <row r="9" spans="1:31">
      <c r="A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VenezulanosVE0205</v>
      </c>
      <c r="B9" s="105" t="s">
        <v>103</v>
      </c>
      <c r="C9" s="104" t="s">
        <v>104</v>
      </c>
      <c r="D9" s="119" t="s">
        <v>113</v>
      </c>
      <c r="E9" s="104" t="s">
        <v>114</v>
      </c>
      <c r="F9" s="113"/>
      <c r="G9" s="119"/>
      <c r="H9" s="119"/>
      <c r="I9" s="102">
        <v>2070</v>
      </c>
      <c r="J9" s="103" t="s">
        <v>901</v>
      </c>
      <c r="K9" s="150"/>
      <c r="L9" s="150"/>
      <c r="M9" s="150"/>
      <c r="N9" s="254" t="str" cm="1">
        <f t="array" ref="N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9" s="255"/>
      <c r="P9" s="248"/>
      <c r="Q9" s="256" t="str" cm="1">
        <f t="array" ref="Q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9" s="257"/>
      <c r="S9" s="248"/>
      <c r="T9" s="254"/>
      <c r="U9" s="258"/>
      <c r="V9" s="259"/>
      <c r="W9" s="259"/>
      <c r="X9" s="255"/>
      <c r="Y9" s="259"/>
      <c r="Z9" s="259"/>
      <c r="AA9" s="260" t="str" cm="1">
        <f t="array" ref="AA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9" s="125"/>
      <c r="AD9" s="124"/>
      <c r="AE9" s="122"/>
    </row>
    <row r="10" spans="1:31">
      <c r="A1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VenezulanosVE0206</v>
      </c>
      <c r="B10" s="105" t="s">
        <v>103</v>
      </c>
      <c r="C10" s="104" t="s">
        <v>104</v>
      </c>
      <c r="D10" s="119" t="s">
        <v>115</v>
      </c>
      <c r="E10" s="104" t="s">
        <v>116</v>
      </c>
      <c r="F10" s="113"/>
      <c r="G10" s="119"/>
      <c r="H10" s="119"/>
      <c r="I10" s="102">
        <v>7896</v>
      </c>
      <c r="J10" s="103" t="s">
        <v>901</v>
      </c>
      <c r="K10" s="150"/>
      <c r="L10" s="150"/>
      <c r="M10" s="150"/>
      <c r="N10" s="254" t="str" cm="1">
        <f t="array" ref="N1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0" s="255"/>
      <c r="P10" s="248"/>
      <c r="Q10" s="256" t="str" cm="1">
        <f t="array" ref="Q1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0" s="257"/>
      <c r="S10" s="248"/>
      <c r="T10" s="254"/>
      <c r="U10" s="258"/>
      <c r="V10" s="259"/>
      <c r="W10" s="259"/>
      <c r="X10" s="255"/>
      <c r="Y10" s="259"/>
      <c r="Z10" s="259"/>
      <c r="AA10" s="260" t="str" cm="1">
        <f t="array" ref="AA1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0" s="125"/>
      <c r="AD10" s="124"/>
      <c r="AE10" s="122"/>
    </row>
    <row r="11" spans="1:31">
      <c r="A1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VenezulanosVE0207</v>
      </c>
      <c r="B11" s="105" t="s">
        <v>103</v>
      </c>
      <c r="C11" s="104" t="s">
        <v>104</v>
      </c>
      <c r="D11" s="119" t="s">
        <v>117</v>
      </c>
      <c r="E11" s="104" t="s">
        <v>118</v>
      </c>
      <c r="F11" s="113"/>
      <c r="G11" s="119"/>
      <c r="H11" s="119"/>
      <c r="I11" s="102">
        <v>2349</v>
      </c>
      <c r="J11" s="103" t="s">
        <v>901</v>
      </c>
      <c r="K11" s="150"/>
      <c r="L11" s="150"/>
      <c r="M11" s="150"/>
      <c r="N11" s="254" t="str" cm="1">
        <f t="array" ref="N1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1" s="255"/>
      <c r="P11" s="248"/>
      <c r="Q11" s="256" t="str" cm="1">
        <f t="array" ref="Q1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1" s="257"/>
      <c r="S11" s="248"/>
      <c r="T11" s="254"/>
      <c r="U11" s="258"/>
      <c r="V11" s="259"/>
      <c r="W11" s="259"/>
      <c r="X11" s="255"/>
      <c r="Y11" s="259"/>
      <c r="Z11" s="259"/>
      <c r="AA11" s="260" t="str" cm="1">
        <f t="array" ref="AA1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1" s="125"/>
      <c r="AD11" s="124"/>
      <c r="AE11" s="122"/>
    </row>
    <row r="12" spans="1:31">
      <c r="A1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VenezulanosVE0301</v>
      </c>
      <c r="B12" s="105" t="s">
        <v>119</v>
      </c>
      <c r="C12" s="104" t="s">
        <v>120</v>
      </c>
      <c r="D12" s="119" t="s">
        <v>121</v>
      </c>
      <c r="E12" s="104" t="s">
        <v>122</v>
      </c>
      <c r="F12" s="113"/>
      <c r="G12" s="119"/>
      <c r="H12" s="119"/>
      <c r="I12" s="102">
        <v>125402</v>
      </c>
      <c r="J12" s="103" t="s">
        <v>901</v>
      </c>
      <c r="K12" s="150"/>
      <c r="L12" s="150"/>
      <c r="M12" s="150"/>
      <c r="N12" s="254" t="str" cm="1">
        <f t="array" ref="N1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2" s="255"/>
      <c r="P12" s="248"/>
      <c r="Q12" s="256" t="str" cm="1">
        <f t="array" ref="Q1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2" s="257"/>
      <c r="S12" s="248"/>
      <c r="T12" s="254"/>
      <c r="U12" s="258"/>
      <c r="V12" s="259"/>
      <c r="W12" s="259"/>
      <c r="X12" s="255"/>
      <c r="Y12" s="259"/>
      <c r="Z12" s="259"/>
      <c r="AA12" s="260" t="str" cm="1">
        <f t="array" ref="AA1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2" s="125"/>
      <c r="AD12" s="124"/>
      <c r="AE12" s="122"/>
    </row>
    <row r="13" spans="1:31">
      <c r="A1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VenezulanosVE0302</v>
      </c>
      <c r="B13" s="105" t="s">
        <v>119</v>
      </c>
      <c r="C13" s="104" t="s">
        <v>120</v>
      </c>
      <c r="D13" s="119" t="s">
        <v>123</v>
      </c>
      <c r="E13" s="104" t="s">
        <v>124</v>
      </c>
      <c r="F13" s="113"/>
      <c r="G13" s="119"/>
      <c r="H13" s="119"/>
      <c r="I13" s="102">
        <v>29822</v>
      </c>
      <c r="J13" s="103" t="s">
        <v>901</v>
      </c>
      <c r="K13" s="150"/>
      <c r="L13" s="150"/>
      <c r="M13" s="150"/>
      <c r="N13" s="254" t="str" cm="1">
        <f t="array" ref="N1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3" s="255"/>
      <c r="P13" s="248"/>
      <c r="Q13" s="256" t="str" cm="1">
        <f t="array" ref="Q1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3" s="257"/>
      <c r="S13" s="248"/>
      <c r="T13" s="254"/>
      <c r="U13" s="258"/>
      <c r="V13" s="259"/>
      <c r="W13" s="259"/>
      <c r="X13" s="255"/>
      <c r="Y13" s="259"/>
      <c r="Z13" s="259"/>
      <c r="AA13" s="260" t="str" cm="1">
        <f t="array" ref="AA1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3" s="125"/>
      <c r="AD13" s="124"/>
      <c r="AE13" s="122"/>
    </row>
    <row r="14" spans="1:31">
      <c r="A1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VenezulanosVE0303</v>
      </c>
      <c r="B14" s="105" t="s">
        <v>119</v>
      </c>
      <c r="C14" s="104" t="s">
        <v>120</v>
      </c>
      <c r="D14" s="119" t="s">
        <v>813</v>
      </c>
      <c r="E14" s="104" t="s">
        <v>126</v>
      </c>
      <c r="F14" s="113"/>
      <c r="G14" s="119"/>
      <c r="H14" s="119"/>
      <c r="I14" s="102">
        <v>34186</v>
      </c>
      <c r="J14" s="103" t="s">
        <v>901</v>
      </c>
      <c r="K14" s="150"/>
      <c r="L14" s="150"/>
      <c r="M14" s="150"/>
      <c r="N14" s="254" t="str" cm="1">
        <f t="array" ref="N1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4" s="255"/>
      <c r="P14" s="248"/>
      <c r="Q14" s="256" t="str" cm="1">
        <f t="array" ref="Q1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4" s="257"/>
      <c r="S14" s="248"/>
      <c r="T14" s="254"/>
      <c r="U14" s="258"/>
      <c r="V14" s="259"/>
      <c r="W14" s="259"/>
      <c r="X14" s="255"/>
      <c r="Y14" s="259"/>
      <c r="Z14" s="259"/>
      <c r="AA14" s="260" t="str" cm="1">
        <f t="array" ref="AA1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4" s="125"/>
      <c r="AD14" s="124"/>
      <c r="AE14" s="122"/>
    </row>
    <row r="15" spans="1:31">
      <c r="A1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VenezulanosVE0304</v>
      </c>
      <c r="B15" s="105" t="s">
        <v>119</v>
      </c>
      <c r="C15" s="104" t="s">
        <v>120</v>
      </c>
      <c r="D15" s="119" t="s">
        <v>826</v>
      </c>
      <c r="E15" s="104" t="s">
        <v>128</v>
      </c>
      <c r="F15" s="113"/>
      <c r="G15" s="119"/>
      <c r="H15" s="119"/>
      <c r="I15" s="102">
        <v>14981</v>
      </c>
      <c r="J15" s="103" t="s">
        <v>901</v>
      </c>
      <c r="K15" s="150"/>
      <c r="L15" s="150"/>
      <c r="M15" s="150"/>
      <c r="N15" s="254" t="str" cm="1">
        <f t="array" ref="N1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5" s="255"/>
      <c r="P15" s="248"/>
      <c r="Q15" s="256" t="str" cm="1">
        <f t="array" ref="Q1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5" s="257"/>
      <c r="S15" s="248"/>
      <c r="T15" s="254"/>
      <c r="U15" s="258"/>
      <c r="V15" s="259"/>
      <c r="W15" s="259"/>
      <c r="X15" s="255"/>
      <c r="Y15" s="259"/>
      <c r="Z15" s="259"/>
      <c r="AA15" s="260" t="str" cm="1">
        <f t="array" ref="AA1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5" s="125"/>
      <c r="AD15" s="124"/>
      <c r="AE15" s="122"/>
    </row>
    <row r="16" spans="1:31">
      <c r="A1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VenezulanosVE0305</v>
      </c>
      <c r="B16" s="105" t="s">
        <v>119</v>
      </c>
      <c r="C16" s="104" t="s">
        <v>120</v>
      </c>
      <c r="D16" s="119" t="s">
        <v>806</v>
      </c>
      <c r="E16" s="104" t="s">
        <v>130</v>
      </c>
      <c r="F16" s="113"/>
      <c r="G16" s="119"/>
      <c r="H16" s="119"/>
      <c r="I16" s="102">
        <v>44142</v>
      </c>
      <c r="J16" s="103" t="s">
        <v>901</v>
      </c>
      <c r="K16" s="150"/>
      <c r="L16" s="150"/>
      <c r="M16" s="150"/>
      <c r="N16" s="254" t="str" cm="1">
        <f t="array" ref="N1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6" s="255"/>
      <c r="P16" s="248"/>
      <c r="Q16" s="256" t="str" cm="1">
        <f t="array" ref="Q1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6" s="257"/>
      <c r="S16" s="248"/>
      <c r="T16" s="254"/>
      <c r="U16" s="258"/>
      <c r="V16" s="259"/>
      <c r="W16" s="259"/>
      <c r="X16" s="255"/>
      <c r="Y16" s="259"/>
      <c r="Z16" s="259"/>
      <c r="AA16" s="260" t="str" cm="1">
        <f t="array" ref="AA1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6" s="125"/>
      <c r="AD16" s="124"/>
      <c r="AE16" s="122"/>
    </row>
    <row r="17" spans="1:30" s="122" customFormat="1">
      <c r="A1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VenezulanosVE0306</v>
      </c>
      <c r="B17" s="105" t="s">
        <v>119</v>
      </c>
      <c r="C17" s="104" t="s">
        <v>120</v>
      </c>
      <c r="D17" s="119" t="s">
        <v>131</v>
      </c>
      <c r="E17" s="104" t="s">
        <v>132</v>
      </c>
      <c r="F17" s="113"/>
      <c r="G17" s="119"/>
      <c r="H17" s="119"/>
      <c r="I17" s="102">
        <v>31591</v>
      </c>
      <c r="J17" s="103" t="s">
        <v>901</v>
      </c>
      <c r="K17" s="150"/>
      <c r="L17" s="150"/>
      <c r="M17" s="150"/>
      <c r="N17" s="254" t="str" cm="1">
        <f t="array" ref="N1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7" s="255"/>
      <c r="P17" s="248"/>
      <c r="Q17" s="256" t="str" cm="1">
        <f t="array" ref="Q1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7" s="257"/>
      <c r="S17" s="248"/>
      <c r="T17" s="254"/>
      <c r="U17" s="258"/>
      <c r="V17" s="259"/>
      <c r="W17" s="259"/>
      <c r="X17" s="255"/>
      <c r="Y17" s="259"/>
      <c r="Z17" s="259"/>
      <c r="AA17" s="260" t="str" cm="1">
        <f t="array" ref="AA1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7" s="125"/>
      <c r="AD17" s="124"/>
    </row>
    <row r="18" spans="1:30" s="122" customFormat="1">
      <c r="A1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VenezulanosVE0307</v>
      </c>
      <c r="B18" s="105" t="s">
        <v>119</v>
      </c>
      <c r="C18" s="104" t="s">
        <v>120</v>
      </c>
      <c r="D18" s="119" t="s">
        <v>133</v>
      </c>
      <c r="E18" s="104" t="s">
        <v>134</v>
      </c>
      <c r="F18" s="113"/>
      <c r="G18" s="119"/>
      <c r="H18" s="119"/>
      <c r="I18" s="102">
        <v>30697</v>
      </c>
      <c r="J18" s="103" t="s">
        <v>901</v>
      </c>
      <c r="K18" s="150"/>
      <c r="L18" s="150"/>
      <c r="M18" s="150"/>
      <c r="N18" s="254" t="str" cm="1">
        <f t="array" ref="N1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8" s="255"/>
      <c r="P18" s="248"/>
      <c r="Q18" s="256" t="str" cm="1">
        <f t="array" ref="Q1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8" s="257"/>
      <c r="S18" s="248"/>
      <c r="T18" s="254"/>
      <c r="U18" s="258"/>
      <c r="V18" s="259"/>
      <c r="W18" s="259"/>
      <c r="X18" s="255"/>
      <c r="Y18" s="259"/>
      <c r="Z18" s="259"/>
      <c r="AA18" s="260" t="str" cm="1">
        <f t="array" ref="AA1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8" s="125"/>
      <c r="AD18" s="124"/>
    </row>
    <row r="19" spans="1:30" s="122" customFormat="1">
      <c r="A1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VenezulanosVE0308</v>
      </c>
      <c r="B19" s="105" t="s">
        <v>119</v>
      </c>
      <c r="C19" s="104" t="s">
        <v>120</v>
      </c>
      <c r="D19" s="119" t="s">
        <v>135</v>
      </c>
      <c r="E19" s="104" t="s">
        <v>136</v>
      </c>
      <c r="F19" s="113"/>
      <c r="G19" s="119"/>
      <c r="H19" s="119"/>
      <c r="I19" s="102">
        <v>250248</v>
      </c>
      <c r="J19" s="103" t="s">
        <v>901</v>
      </c>
      <c r="K19" s="150"/>
      <c r="L19" s="150"/>
      <c r="M19" s="150"/>
      <c r="N19" s="254" t="str" cm="1">
        <f t="array" ref="N1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9" s="255"/>
      <c r="P19" s="248"/>
      <c r="Q19" s="256" t="str" cm="1">
        <f t="array" ref="Q1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9" s="257"/>
      <c r="S19" s="248"/>
      <c r="T19" s="254"/>
      <c r="U19" s="258"/>
      <c r="V19" s="259"/>
      <c r="W19" s="259"/>
      <c r="X19" s="255"/>
      <c r="Y19" s="259"/>
      <c r="Z19" s="259"/>
      <c r="AA19" s="260" t="str" cm="1">
        <f t="array" ref="AA1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9" s="125"/>
      <c r="AD19" s="124"/>
    </row>
    <row r="20" spans="1:30" s="122" customFormat="1">
      <c r="A2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VenezulanosVE0309</v>
      </c>
      <c r="B20" s="105" t="s">
        <v>119</v>
      </c>
      <c r="C20" s="104" t="s">
        <v>120</v>
      </c>
      <c r="D20" s="119" t="s">
        <v>137</v>
      </c>
      <c r="E20" s="104" t="s">
        <v>138</v>
      </c>
      <c r="F20" s="113"/>
      <c r="G20" s="119"/>
      <c r="H20" s="119"/>
      <c r="I20" s="102">
        <v>13778</v>
      </c>
      <c r="J20" s="103" t="s">
        <v>901</v>
      </c>
      <c r="K20" s="150"/>
      <c r="L20" s="150"/>
      <c r="M20" s="150"/>
      <c r="N20" s="254" t="str" cm="1">
        <f t="array" ref="N2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0" s="255"/>
      <c r="P20" s="248"/>
      <c r="Q20" s="256" t="str" cm="1">
        <f t="array" ref="Q2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0" s="257"/>
      <c r="S20" s="248"/>
      <c r="T20" s="254"/>
      <c r="U20" s="258"/>
      <c r="V20" s="259"/>
      <c r="W20" s="259"/>
      <c r="X20" s="255"/>
      <c r="Y20" s="259"/>
      <c r="Z20" s="259"/>
      <c r="AA20" s="260" t="str" cm="1">
        <f t="array" ref="AA2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0" s="125"/>
      <c r="AD20" s="124"/>
    </row>
    <row r="21" spans="1:30" s="122" customFormat="1">
      <c r="A2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VenezulanosVE0310</v>
      </c>
      <c r="B21" s="105" t="s">
        <v>119</v>
      </c>
      <c r="C21" s="104" t="s">
        <v>120</v>
      </c>
      <c r="D21" s="119" t="s">
        <v>139</v>
      </c>
      <c r="E21" s="104" t="s">
        <v>140</v>
      </c>
      <c r="F21" s="113"/>
      <c r="G21" s="119"/>
      <c r="H21" s="119"/>
      <c r="I21" s="102">
        <v>17933</v>
      </c>
      <c r="J21" s="103" t="s">
        <v>901</v>
      </c>
      <c r="K21" s="150"/>
      <c r="L21" s="150"/>
      <c r="M21" s="150"/>
      <c r="N21" s="254" t="str" cm="1">
        <f t="array" ref="N2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1" s="255"/>
      <c r="P21" s="248"/>
      <c r="Q21" s="256" t="str" cm="1">
        <f t="array" ref="Q2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1" s="257"/>
      <c r="S21" s="248"/>
      <c r="T21" s="254"/>
      <c r="U21" s="258"/>
      <c r="V21" s="259"/>
      <c r="W21" s="259"/>
      <c r="X21" s="255"/>
      <c r="Y21" s="259"/>
      <c r="Z21" s="259"/>
      <c r="AA21" s="260" t="str" cm="1">
        <f t="array" ref="AA2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1" s="125"/>
      <c r="AD21" s="124"/>
    </row>
    <row r="22" spans="1:30" s="122" customFormat="1">
      <c r="A2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VenezulanosVE0311</v>
      </c>
      <c r="B22" s="105" t="s">
        <v>119</v>
      </c>
      <c r="C22" s="104" t="s">
        <v>120</v>
      </c>
      <c r="D22" s="119" t="s">
        <v>141</v>
      </c>
      <c r="E22" s="104" t="s">
        <v>142</v>
      </c>
      <c r="F22" s="113"/>
      <c r="G22" s="119"/>
      <c r="H22" s="119"/>
      <c r="I22" s="102">
        <v>14766</v>
      </c>
      <c r="J22" s="103" t="s">
        <v>901</v>
      </c>
      <c r="K22" s="150"/>
      <c r="L22" s="150"/>
      <c r="M22" s="150"/>
      <c r="N22" s="254" t="str" cm="1">
        <f t="array" ref="N2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2" s="255"/>
      <c r="P22" s="248"/>
      <c r="Q22" s="256" t="str" cm="1">
        <f t="array" ref="Q2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2" s="257"/>
      <c r="S22" s="248"/>
      <c r="T22" s="254"/>
      <c r="U22" s="258"/>
      <c r="V22" s="259"/>
      <c r="W22" s="259"/>
      <c r="X22" s="255"/>
      <c r="Y22" s="259"/>
      <c r="Z22" s="259"/>
      <c r="AA22" s="260" t="str" cm="1">
        <f t="array" ref="AA2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2" s="125"/>
      <c r="AD22" s="124"/>
    </row>
    <row r="23" spans="1:30" s="122" customFormat="1">
      <c r="A2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VenezulanosVE0312</v>
      </c>
      <c r="B23" s="105" t="s">
        <v>119</v>
      </c>
      <c r="C23" s="104" t="s">
        <v>120</v>
      </c>
      <c r="D23" s="119" t="s">
        <v>143</v>
      </c>
      <c r="E23" s="104" t="s">
        <v>144</v>
      </c>
      <c r="F23" s="113"/>
      <c r="G23" s="119"/>
      <c r="H23" s="119"/>
      <c r="I23" s="102">
        <v>33403</v>
      </c>
      <c r="J23" s="103" t="s">
        <v>901</v>
      </c>
      <c r="K23" s="150"/>
      <c r="L23" s="150"/>
      <c r="M23" s="150"/>
      <c r="N23" s="254" t="str" cm="1">
        <f t="array" ref="N2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3" s="255"/>
      <c r="P23" s="248"/>
      <c r="Q23" s="256" t="str" cm="1">
        <f t="array" ref="Q2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3" s="257"/>
      <c r="S23" s="248"/>
      <c r="T23" s="254"/>
      <c r="U23" s="258"/>
      <c r="V23" s="259"/>
      <c r="W23" s="259"/>
      <c r="X23" s="255"/>
      <c r="Y23" s="259"/>
      <c r="Z23" s="259"/>
      <c r="AA23" s="260" t="str" cm="1">
        <f t="array" ref="AA2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3" s="125"/>
      <c r="AD23" s="124"/>
    </row>
    <row r="24" spans="1:30" s="122" customFormat="1">
      <c r="A2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VenezulanosVE0313</v>
      </c>
      <c r="B24" s="105" t="s">
        <v>119</v>
      </c>
      <c r="C24" s="104" t="s">
        <v>120</v>
      </c>
      <c r="D24" s="119" t="s">
        <v>812</v>
      </c>
      <c r="E24" s="104" t="s">
        <v>146</v>
      </c>
      <c r="F24" s="113"/>
      <c r="G24" s="119"/>
      <c r="H24" s="119"/>
      <c r="I24" s="102">
        <v>74776</v>
      </c>
      <c r="J24" s="103" t="s">
        <v>901</v>
      </c>
      <c r="K24" s="150"/>
      <c r="L24" s="150"/>
      <c r="M24" s="150"/>
      <c r="N24" s="254" t="str" cm="1">
        <f t="array" ref="N2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4" s="255"/>
      <c r="P24" s="248"/>
      <c r="Q24" s="256" t="str" cm="1">
        <f t="array" ref="Q2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4" s="257"/>
      <c r="S24" s="248"/>
      <c r="T24" s="254"/>
      <c r="U24" s="258"/>
      <c r="V24" s="259"/>
      <c r="W24" s="259"/>
      <c r="X24" s="255"/>
      <c r="Y24" s="259"/>
      <c r="Z24" s="259"/>
      <c r="AA24" s="260" t="str" cm="1">
        <f t="array" ref="AA2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4" s="125"/>
      <c r="AD24" s="124"/>
    </row>
    <row r="25" spans="1:30" s="122" customFormat="1">
      <c r="A2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VenezulanosVE0314</v>
      </c>
      <c r="B25" s="105" t="s">
        <v>119</v>
      </c>
      <c r="C25" s="104" t="s">
        <v>120</v>
      </c>
      <c r="D25" s="119" t="s">
        <v>147</v>
      </c>
      <c r="E25" s="104" t="s">
        <v>148</v>
      </c>
      <c r="F25" s="113"/>
      <c r="G25" s="119"/>
      <c r="H25" s="119"/>
      <c r="I25" s="102">
        <v>23779</v>
      </c>
      <c r="J25" s="103" t="s">
        <v>901</v>
      </c>
      <c r="K25" s="150"/>
      <c r="L25" s="150"/>
      <c r="M25" s="150"/>
      <c r="N25" s="254" t="str" cm="1">
        <f t="array" ref="N2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5" s="255"/>
      <c r="P25" s="248"/>
      <c r="Q25" s="256" t="str" cm="1">
        <f t="array" ref="Q2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5" s="257"/>
      <c r="S25" s="248"/>
      <c r="T25" s="254"/>
      <c r="U25" s="258"/>
      <c r="V25" s="259"/>
      <c r="W25" s="259"/>
      <c r="X25" s="255"/>
      <c r="Y25" s="259"/>
      <c r="Z25" s="259"/>
      <c r="AA25" s="260" t="str" cm="1">
        <f t="array" ref="AA2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5" s="125"/>
      <c r="AD25" s="124"/>
    </row>
    <row r="26" spans="1:30" s="122" customFormat="1">
      <c r="A2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VenezulanosVE0315</v>
      </c>
      <c r="B26" s="105" t="s">
        <v>119</v>
      </c>
      <c r="C26" s="104" t="s">
        <v>120</v>
      </c>
      <c r="D26" s="119" t="s">
        <v>811</v>
      </c>
      <c r="E26" s="104" t="s">
        <v>150</v>
      </c>
      <c r="F26" s="113"/>
      <c r="G26" s="119"/>
      <c r="H26" s="119"/>
      <c r="I26" s="102">
        <v>78118</v>
      </c>
      <c r="J26" s="103" t="s">
        <v>901</v>
      </c>
      <c r="K26" s="150"/>
      <c r="L26" s="150"/>
      <c r="M26" s="150"/>
      <c r="N26" s="254" t="str" cm="1">
        <f t="array" ref="N2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6" s="255"/>
      <c r="P26" s="248"/>
      <c r="Q26" s="256" t="str" cm="1">
        <f t="array" ref="Q2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6" s="257"/>
      <c r="S26" s="248"/>
      <c r="T26" s="254"/>
      <c r="U26" s="258"/>
      <c r="V26" s="259"/>
      <c r="W26" s="259"/>
      <c r="X26" s="255"/>
      <c r="Y26" s="259"/>
      <c r="Z26" s="259"/>
      <c r="AA26" s="260" t="str" cm="1">
        <f t="array" ref="AA2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6" s="125"/>
      <c r="AD26" s="124"/>
    </row>
    <row r="27" spans="1:30" s="122" customFormat="1">
      <c r="A2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VenezulanosVE0316</v>
      </c>
      <c r="B27" s="105" t="s">
        <v>119</v>
      </c>
      <c r="C27" s="104" t="s">
        <v>120</v>
      </c>
      <c r="D27" s="119" t="s">
        <v>827</v>
      </c>
      <c r="E27" s="104" t="s">
        <v>152</v>
      </c>
      <c r="F27" s="113"/>
      <c r="G27" s="119"/>
      <c r="H27" s="119"/>
      <c r="I27" s="102">
        <v>9257</v>
      </c>
      <c r="J27" s="103" t="s">
        <v>901</v>
      </c>
      <c r="K27" s="150"/>
      <c r="L27" s="150"/>
      <c r="M27" s="150"/>
      <c r="N27" s="254" t="str" cm="1">
        <f t="array" ref="N2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7" s="255"/>
      <c r="P27" s="248"/>
      <c r="Q27" s="256" t="str" cm="1">
        <f t="array" ref="Q2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7" s="257"/>
      <c r="S27" s="248"/>
      <c r="T27" s="254"/>
      <c r="U27" s="258"/>
      <c r="V27" s="259"/>
      <c r="W27" s="259"/>
      <c r="X27" s="255"/>
      <c r="Y27" s="259"/>
      <c r="Z27" s="259"/>
      <c r="AA27" s="260" t="str" cm="1">
        <f t="array" ref="AA2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7" s="125"/>
      <c r="AD27" s="124"/>
    </row>
    <row r="28" spans="1:30" s="122" customFormat="1">
      <c r="A2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VenezulanosVE0317</v>
      </c>
      <c r="B28" s="105" t="s">
        <v>119</v>
      </c>
      <c r="C28" s="104" t="s">
        <v>120</v>
      </c>
      <c r="D28" s="119" t="s">
        <v>153</v>
      </c>
      <c r="E28" s="104" t="s">
        <v>154</v>
      </c>
      <c r="F28" s="113"/>
      <c r="G28" s="119"/>
      <c r="H28" s="119"/>
      <c r="I28" s="102">
        <v>9843</v>
      </c>
      <c r="J28" s="103" t="s">
        <v>901</v>
      </c>
      <c r="K28" s="150"/>
      <c r="L28" s="150"/>
      <c r="M28" s="150"/>
      <c r="N28" s="254" t="str" cm="1">
        <f t="array" ref="N2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8" s="255"/>
      <c r="P28" s="248"/>
      <c r="Q28" s="256" t="str" cm="1">
        <f t="array" ref="Q2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8" s="257"/>
      <c r="S28" s="248"/>
      <c r="T28" s="254"/>
      <c r="U28" s="258"/>
      <c r="V28" s="259"/>
      <c r="W28" s="259"/>
      <c r="X28" s="255"/>
      <c r="Y28" s="259"/>
      <c r="Z28" s="259"/>
      <c r="AA28" s="260" t="str" cm="1">
        <f t="array" ref="AA2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8" s="125"/>
      <c r="AD28" s="124"/>
    </row>
    <row r="29" spans="1:30" s="122" customFormat="1">
      <c r="A2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VenezulanosVE0318</v>
      </c>
      <c r="B29" s="105" t="s">
        <v>119</v>
      </c>
      <c r="C29" s="104" t="s">
        <v>120</v>
      </c>
      <c r="D29" s="119" t="s">
        <v>155</v>
      </c>
      <c r="E29" s="104" t="s">
        <v>156</v>
      </c>
      <c r="F29" s="113"/>
      <c r="G29" s="119"/>
      <c r="H29" s="119"/>
      <c r="I29" s="102">
        <v>430938</v>
      </c>
      <c r="J29" s="103" t="s">
        <v>901</v>
      </c>
      <c r="K29" s="150"/>
      <c r="L29" s="150"/>
      <c r="M29" s="150"/>
      <c r="N29" s="254" t="str" cm="1">
        <f t="array" ref="N2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9" s="255"/>
      <c r="P29" s="248"/>
      <c r="Q29" s="256" t="str" cm="1">
        <f t="array" ref="Q2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9" s="257"/>
      <c r="S29" s="248"/>
      <c r="T29" s="254"/>
      <c r="U29" s="258"/>
      <c r="V29" s="259"/>
      <c r="W29" s="259"/>
      <c r="X29" s="255"/>
      <c r="Y29" s="259"/>
      <c r="Z29" s="259"/>
      <c r="AA29" s="260" t="str" cm="1">
        <f t="array" ref="AA2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9" s="125"/>
      <c r="AD29" s="124"/>
    </row>
    <row r="30" spans="1:30" s="122" customFormat="1">
      <c r="A3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VenezulanosVE0319</v>
      </c>
      <c r="B30" s="105" t="s">
        <v>119</v>
      </c>
      <c r="C30" s="104" t="s">
        <v>120</v>
      </c>
      <c r="D30" s="119" t="s">
        <v>157</v>
      </c>
      <c r="E30" s="104" t="s">
        <v>158</v>
      </c>
      <c r="F30" s="113"/>
      <c r="G30" s="119"/>
      <c r="H30" s="119"/>
      <c r="I30" s="102">
        <v>186595</v>
      </c>
      <c r="J30" s="103" t="s">
        <v>901</v>
      </c>
      <c r="K30" s="150"/>
      <c r="L30" s="150"/>
      <c r="M30" s="150"/>
      <c r="N30" s="254" t="str" cm="1">
        <f t="array" ref="N3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0" s="255"/>
      <c r="P30" s="248"/>
      <c r="Q30" s="256" t="str" cm="1">
        <f t="array" ref="Q3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0" s="257"/>
      <c r="S30" s="248"/>
      <c r="T30" s="254"/>
      <c r="U30" s="258"/>
      <c r="V30" s="259"/>
      <c r="W30" s="259"/>
      <c r="X30" s="255"/>
      <c r="Y30" s="259"/>
      <c r="Z30" s="259"/>
      <c r="AA30" s="260" t="str" cm="1">
        <f t="array" ref="AA3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0" s="125"/>
      <c r="AD30" s="124"/>
    </row>
    <row r="31" spans="1:30" s="122" customFormat="1">
      <c r="A3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VenezulanosVE0320</v>
      </c>
      <c r="B31" s="105" t="s">
        <v>119</v>
      </c>
      <c r="C31" s="104" t="s">
        <v>120</v>
      </c>
      <c r="D31" s="119" t="s">
        <v>822</v>
      </c>
      <c r="E31" s="104" t="s">
        <v>160</v>
      </c>
      <c r="F31" s="113"/>
      <c r="G31" s="119"/>
      <c r="H31" s="119"/>
      <c r="I31" s="102">
        <v>9989</v>
      </c>
      <c r="J31" s="103" t="s">
        <v>901</v>
      </c>
      <c r="K31" s="150"/>
      <c r="L31" s="150"/>
      <c r="M31" s="150"/>
      <c r="N31" s="254" t="str" cm="1">
        <f t="array" ref="N3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1" s="255"/>
      <c r="P31" s="248"/>
      <c r="Q31" s="256" t="str" cm="1">
        <f t="array" ref="Q3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1" s="257"/>
      <c r="S31" s="248"/>
      <c r="T31" s="254"/>
      <c r="U31" s="258"/>
      <c r="V31" s="259"/>
      <c r="W31" s="259"/>
      <c r="X31" s="255"/>
      <c r="Y31" s="259"/>
      <c r="Z31" s="259"/>
      <c r="AA31" s="260" t="str" cm="1">
        <f t="array" ref="AA3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1" s="125"/>
      <c r="AD31" s="124"/>
    </row>
    <row r="32" spans="1:30" s="122" customFormat="1">
      <c r="A3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VenezulanosVE0321</v>
      </c>
      <c r="B32" s="105" t="s">
        <v>119</v>
      </c>
      <c r="C32" s="104" t="s">
        <v>120</v>
      </c>
      <c r="D32" s="119" t="s">
        <v>816</v>
      </c>
      <c r="E32" s="104" t="s">
        <v>162</v>
      </c>
      <c r="F32" s="113"/>
      <c r="G32" s="119"/>
      <c r="H32" s="119"/>
      <c r="I32" s="102">
        <v>38686</v>
      </c>
      <c r="J32" s="103" t="s">
        <v>901</v>
      </c>
      <c r="K32" s="150"/>
      <c r="L32" s="150"/>
      <c r="M32" s="150"/>
      <c r="N32" s="254" t="str" cm="1">
        <f t="array" ref="N3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2" s="255"/>
      <c r="P32" s="248"/>
      <c r="Q32" s="256" t="str" cm="1">
        <f t="array" ref="Q3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2" s="257"/>
      <c r="S32" s="248"/>
      <c r="T32" s="254"/>
      <c r="U32" s="258"/>
      <c r="V32" s="259"/>
      <c r="W32" s="259"/>
      <c r="X32" s="255"/>
      <c r="Y32" s="259"/>
      <c r="Z32" s="259"/>
      <c r="AA32" s="260" t="str" cm="1">
        <f t="array" ref="AA3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2" s="125"/>
      <c r="AD32" s="124"/>
    </row>
    <row r="33" spans="1:30" s="122" customFormat="1">
      <c r="A3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VenezulanosVE0401</v>
      </c>
      <c r="B33" s="105" t="s">
        <v>163</v>
      </c>
      <c r="C33" s="104" t="s">
        <v>164</v>
      </c>
      <c r="D33" s="119" t="s">
        <v>165</v>
      </c>
      <c r="E33" s="104" t="s">
        <v>166</v>
      </c>
      <c r="F33" s="113"/>
      <c r="G33" s="119"/>
      <c r="H33" s="119"/>
      <c r="I33" s="102">
        <v>59842</v>
      </c>
      <c r="J33" s="103" t="s">
        <v>901</v>
      </c>
      <c r="K33" s="150"/>
      <c r="L33" s="150"/>
      <c r="M33" s="150"/>
      <c r="N33" s="254" t="str" cm="1">
        <f t="array" ref="N3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3" s="255"/>
      <c r="P33" s="248"/>
      <c r="Q33" s="256" t="str" cm="1">
        <f t="array" ref="Q3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3" s="257"/>
      <c r="S33" s="248"/>
      <c r="T33" s="254"/>
      <c r="U33" s="258"/>
      <c r="V33" s="259"/>
      <c r="W33" s="259"/>
      <c r="X33" s="255"/>
      <c r="Y33" s="259"/>
      <c r="Z33" s="259"/>
      <c r="AA33" s="260" t="str" cm="1">
        <f t="array" ref="AA3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3" s="125"/>
      <c r="AD33" s="124"/>
    </row>
    <row r="34" spans="1:30" s="122" customFormat="1">
      <c r="A3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VenezulanosVE0402</v>
      </c>
      <c r="B34" s="105" t="s">
        <v>163</v>
      </c>
      <c r="C34" s="104" t="s">
        <v>164</v>
      </c>
      <c r="D34" s="119" t="s">
        <v>167</v>
      </c>
      <c r="E34" s="104" t="s">
        <v>168</v>
      </c>
      <c r="F34" s="113"/>
      <c r="G34" s="119"/>
      <c r="H34" s="119"/>
      <c r="I34" s="102">
        <v>55543</v>
      </c>
      <c r="J34" s="103" t="s">
        <v>901</v>
      </c>
      <c r="K34" s="150"/>
      <c r="L34" s="150"/>
      <c r="M34" s="150"/>
      <c r="N34" s="254" t="str" cm="1">
        <f t="array" ref="N3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4" s="255"/>
      <c r="P34" s="248"/>
      <c r="Q34" s="256" t="str" cm="1">
        <f t="array" ref="Q3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4" s="257"/>
      <c r="S34" s="248"/>
      <c r="T34" s="254"/>
      <c r="U34" s="258"/>
      <c r="V34" s="259"/>
      <c r="W34" s="259"/>
      <c r="X34" s="255"/>
      <c r="Y34" s="259"/>
      <c r="Z34" s="259"/>
      <c r="AA34" s="260" t="str" cm="1">
        <f t="array" ref="AA3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4" s="125"/>
      <c r="AD34" s="124"/>
    </row>
    <row r="35" spans="1:30" s="122" customFormat="1">
      <c r="A3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VenezulanosVE0403</v>
      </c>
      <c r="B35" s="105" t="s">
        <v>163</v>
      </c>
      <c r="C35" s="104" t="s">
        <v>164</v>
      </c>
      <c r="D35" s="119" t="s">
        <v>169</v>
      </c>
      <c r="E35" s="104" t="s">
        <v>170</v>
      </c>
      <c r="F35" s="113"/>
      <c r="G35" s="119"/>
      <c r="H35" s="119"/>
      <c r="I35" s="102">
        <v>28161</v>
      </c>
      <c r="J35" s="103" t="s">
        <v>901</v>
      </c>
      <c r="K35" s="150"/>
      <c r="L35" s="150"/>
      <c r="M35" s="150"/>
      <c r="N35" s="254" t="str" cm="1">
        <f t="array" ref="N3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5" s="255"/>
      <c r="P35" s="248"/>
      <c r="Q35" s="256" t="str" cm="1">
        <f t="array" ref="Q3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5" s="257"/>
      <c r="S35" s="248"/>
      <c r="T35" s="254"/>
      <c r="U35" s="258"/>
      <c r="V35" s="259"/>
      <c r="W35" s="259"/>
      <c r="X35" s="255"/>
      <c r="Y35" s="259"/>
      <c r="Z35" s="259"/>
      <c r="AA35" s="260" t="str" cm="1">
        <f t="array" ref="AA3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5" s="125"/>
      <c r="AD35" s="124"/>
    </row>
    <row r="36" spans="1:30" s="122" customFormat="1">
      <c r="A3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VenezulanosVE0404</v>
      </c>
      <c r="B36" s="105" t="s">
        <v>163</v>
      </c>
      <c r="C36" s="104" t="s">
        <v>164</v>
      </c>
      <c r="D36" s="119" t="s">
        <v>171</v>
      </c>
      <c r="E36" s="104" t="s">
        <v>172</v>
      </c>
      <c r="F36" s="113"/>
      <c r="G36" s="119"/>
      <c r="H36" s="119"/>
      <c r="I36" s="102">
        <v>102386</v>
      </c>
      <c r="J36" s="103" t="s">
        <v>901</v>
      </c>
      <c r="K36" s="150"/>
      <c r="L36" s="150"/>
      <c r="M36" s="150"/>
      <c r="N36" s="254" t="str" cm="1">
        <f t="array" ref="N3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6" s="255"/>
      <c r="P36" s="248"/>
      <c r="Q36" s="256" t="str" cm="1">
        <f t="array" ref="Q3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6" s="257"/>
      <c r="S36" s="248"/>
      <c r="T36" s="254"/>
      <c r="U36" s="258"/>
      <c r="V36" s="259"/>
      <c r="W36" s="259"/>
      <c r="X36" s="255"/>
      <c r="Y36" s="259"/>
      <c r="Z36" s="259"/>
      <c r="AA36" s="260" t="str" cm="1">
        <f t="array" ref="AA3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6" s="125"/>
      <c r="AD36" s="124"/>
    </row>
    <row r="37" spans="1:30" s="122" customFormat="1">
      <c r="A3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VenezulanosVE0405</v>
      </c>
      <c r="B37" s="105" t="s">
        <v>163</v>
      </c>
      <c r="C37" s="104" t="s">
        <v>164</v>
      </c>
      <c r="D37" s="119" t="s">
        <v>173</v>
      </c>
      <c r="E37" s="104" t="s">
        <v>174</v>
      </c>
      <c r="F37" s="113"/>
      <c r="G37" s="119"/>
      <c r="H37" s="119"/>
      <c r="I37" s="102">
        <v>29616</v>
      </c>
      <c r="J37" s="103" t="s">
        <v>901</v>
      </c>
      <c r="K37" s="150"/>
      <c r="L37" s="150"/>
      <c r="M37" s="150"/>
      <c r="N37" s="254" t="str" cm="1">
        <f t="array" ref="N3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7" s="255"/>
      <c r="P37" s="248"/>
      <c r="Q37" s="256" t="str" cm="1">
        <f t="array" ref="Q3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7" s="257"/>
      <c r="S37" s="248"/>
      <c r="T37" s="254"/>
      <c r="U37" s="258"/>
      <c r="V37" s="259"/>
      <c r="W37" s="259"/>
      <c r="X37" s="255"/>
      <c r="Y37" s="259"/>
      <c r="Z37" s="259"/>
      <c r="AA37" s="260" t="str" cm="1">
        <f t="array" ref="AA3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7" s="125"/>
      <c r="AD37" s="124"/>
    </row>
    <row r="38" spans="1:30" s="122" customFormat="1">
      <c r="A3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VenezulanosVE0406</v>
      </c>
      <c r="B38" s="105" t="s">
        <v>163</v>
      </c>
      <c r="C38" s="104" t="s">
        <v>164</v>
      </c>
      <c r="D38" s="119" t="s">
        <v>175</v>
      </c>
      <c r="E38" s="104" t="s">
        <v>176</v>
      </c>
      <c r="F38" s="113"/>
      <c r="G38" s="119"/>
      <c r="H38" s="119"/>
      <c r="I38" s="102">
        <v>24970</v>
      </c>
      <c r="J38" s="103" t="s">
        <v>901</v>
      </c>
      <c r="K38" s="150"/>
      <c r="L38" s="150"/>
      <c r="M38" s="150"/>
      <c r="N38" s="254" t="str" cm="1">
        <f t="array" ref="N3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8" s="255"/>
      <c r="P38" s="248"/>
      <c r="Q38" s="256" t="str" cm="1">
        <f t="array" ref="Q3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8" s="257"/>
      <c r="S38" s="248"/>
      <c r="T38" s="254"/>
      <c r="U38" s="258"/>
      <c r="V38" s="259"/>
      <c r="W38" s="259"/>
      <c r="X38" s="255"/>
      <c r="Y38" s="259"/>
      <c r="Z38" s="259"/>
      <c r="AA38" s="260" t="str" cm="1">
        <f t="array" ref="AA3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8" s="125"/>
      <c r="AD38" s="124"/>
    </row>
    <row r="39" spans="1:30" s="122" customFormat="1">
      <c r="A3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VenezulanosVE0407</v>
      </c>
      <c r="B39" s="105" t="s">
        <v>163</v>
      </c>
      <c r="C39" s="104" t="s">
        <v>164</v>
      </c>
      <c r="D39" s="119" t="s">
        <v>177</v>
      </c>
      <c r="E39" s="104" t="s">
        <v>178</v>
      </c>
      <c r="F39" s="113"/>
      <c r="G39" s="119"/>
      <c r="H39" s="119"/>
      <c r="I39" s="102">
        <v>168860</v>
      </c>
      <c r="J39" s="103" t="s">
        <v>901</v>
      </c>
      <c r="K39" s="150"/>
      <c r="L39" s="150"/>
      <c r="M39" s="150"/>
      <c r="N39" s="254" t="str" cm="1">
        <f t="array" ref="N3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9" s="255"/>
      <c r="P39" s="248"/>
      <c r="Q39" s="256" t="str" cm="1">
        <f t="array" ref="Q3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9" s="257"/>
      <c r="S39" s="248"/>
      <c r="T39" s="254"/>
      <c r="U39" s="258"/>
      <c r="V39" s="259"/>
      <c r="W39" s="259"/>
      <c r="X39" s="255"/>
      <c r="Y39" s="259"/>
      <c r="Z39" s="259"/>
      <c r="AA39" s="260" t="str" cm="1">
        <f t="array" ref="AA3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9" s="125"/>
      <c r="AD39" s="124"/>
    </row>
    <row r="40" spans="1:30" s="122" customFormat="1">
      <c r="A4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VenezulanosVE0501</v>
      </c>
      <c r="B40" s="105" t="s">
        <v>123</v>
      </c>
      <c r="C40" s="104" t="s">
        <v>179</v>
      </c>
      <c r="D40" s="119" t="s">
        <v>180</v>
      </c>
      <c r="E40" s="104" t="s">
        <v>181</v>
      </c>
      <c r="F40" s="113"/>
      <c r="G40" s="119"/>
      <c r="H40" s="119"/>
      <c r="I40" s="102">
        <v>38905</v>
      </c>
      <c r="J40" s="103" t="s">
        <v>901</v>
      </c>
      <c r="K40" s="150"/>
      <c r="L40" s="150"/>
      <c r="M40" s="150"/>
      <c r="N40" s="254" t="str" cm="1">
        <f t="array" ref="N4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40" s="255"/>
      <c r="P40" s="248"/>
      <c r="Q40" s="256" t="str" cm="1">
        <f t="array" ref="Q4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40" s="257"/>
      <c r="S40" s="248"/>
      <c r="T40" s="254"/>
      <c r="U40" s="258"/>
      <c r="V40" s="259"/>
      <c r="W40" s="259"/>
      <c r="X40" s="255"/>
      <c r="Y40" s="259"/>
      <c r="Z40" s="259"/>
      <c r="AA40" s="260" t="str" cm="1">
        <f t="array" ref="AA4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40" s="125"/>
      <c r="AD40" s="124"/>
    </row>
    <row r="41" spans="1:30" s="122" customFormat="1">
      <c r="A4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VenezulanosVE0502</v>
      </c>
      <c r="B41" s="105" t="s">
        <v>123</v>
      </c>
      <c r="C41" s="104" t="s">
        <v>179</v>
      </c>
      <c r="D41" s="119" t="s">
        <v>182</v>
      </c>
      <c r="E41" s="104" t="s">
        <v>183</v>
      </c>
      <c r="F41" s="113"/>
      <c r="G41" s="119"/>
      <c r="H41" s="119"/>
      <c r="I41" s="102">
        <v>16999</v>
      </c>
      <c r="J41" s="103" t="s">
        <v>901</v>
      </c>
      <c r="K41" s="150"/>
      <c r="L41" s="150"/>
      <c r="M41" s="150"/>
      <c r="N41" s="254" t="str" cm="1">
        <f t="array" ref="N4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41" s="255"/>
      <c r="P41" s="248"/>
      <c r="Q41" s="256" t="str" cm="1">
        <f t="array" ref="Q4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41" s="257"/>
      <c r="S41" s="248"/>
      <c r="T41" s="254"/>
      <c r="U41" s="258"/>
      <c r="V41" s="259"/>
      <c r="W41" s="259"/>
      <c r="X41" s="255"/>
      <c r="Y41" s="259"/>
      <c r="Z41" s="259"/>
      <c r="AA41" s="260" t="str" cm="1">
        <f t="array" ref="AA4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41" s="125"/>
      <c r="AD41" s="124"/>
    </row>
    <row r="42" spans="1:30" s="122" customFormat="1">
      <c r="A4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VenezulanosVE0503</v>
      </c>
      <c r="B42" s="105" t="s">
        <v>123</v>
      </c>
      <c r="C42" s="104" t="s">
        <v>179</v>
      </c>
      <c r="D42" s="119" t="s">
        <v>184</v>
      </c>
      <c r="E42" s="104" t="s">
        <v>185</v>
      </c>
      <c r="F42" s="113"/>
      <c r="G42" s="119"/>
      <c r="H42" s="119"/>
      <c r="I42" s="102">
        <v>416302</v>
      </c>
      <c r="J42" s="103" t="s">
        <v>901</v>
      </c>
      <c r="K42" s="150"/>
      <c r="L42" s="150"/>
      <c r="M42" s="150"/>
      <c r="N42" s="254" t="str" cm="1">
        <f t="array" ref="N4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42" s="255"/>
      <c r="P42" s="248"/>
      <c r="Q42" s="256" t="str" cm="1">
        <f t="array" ref="Q4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42" s="257"/>
      <c r="S42" s="248"/>
      <c r="T42" s="254"/>
      <c r="U42" s="258"/>
      <c r="V42" s="259"/>
      <c r="W42" s="259"/>
      <c r="X42" s="255"/>
      <c r="Y42" s="259"/>
      <c r="Z42" s="259"/>
      <c r="AA42" s="260" t="str" cm="1">
        <f t="array" ref="AA4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42" s="125"/>
      <c r="AD42" s="124"/>
    </row>
    <row r="43" spans="1:30" s="122" customFormat="1">
      <c r="A4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VenezulanosVE0504</v>
      </c>
      <c r="B43" s="105" t="s">
        <v>123</v>
      </c>
      <c r="C43" s="104" t="s">
        <v>179</v>
      </c>
      <c r="D43" s="119" t="s">
        <v>817</v>
      </c>
      <c r="E43" s="104" t="s">
        <v>187</v>
      </c>
      <c r="F43" s="113"/>
      <c r="G43" s="119"/>
      <c r="H43" s="119"/>
      <c r="I43" s="102">
        <v>33724</v>
      </c>
      <c r="J43" s="103" t="s">
        <v>901</v>
      </c>
      <c r="K43" s="150"/>
      <c r="L43" s="150"/>
      <c r="M43" s="150"/>
      <c r="N43" s="254" t="str" cm="1">
        <f t="array" ref="N4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43" s="255"/>
      <c r="P43" s="248"/>
      <c r="Q43" s="256" t="str" cm="1">
        <f t="array" ref="Q4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43" s="257"/>
      <c r="S43" s="248"/>
      <c r="T43" s="254"/>
      <c r="U43" s="258"/>
      <c r="V43" s="259"/>
      <c r="W43" s="259"/>
      <c r="X43" s="255"/>
      <c r="Y43" s="259"/>
      <c r="Z43" s="259"/>
      <c r="AA43" s="260" t="str" cm="1">
        <f t="array" ref="AA4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43" s="125"/>
      <c r="AD43" s="124"/>
    </row>
    <row r="44" spans="1:30" s="122" customFormat="1">
      <c r="A4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VenezulanosVE0505</v>
      </c>
      <c r="B44" s="105" t="s">
        <v>123</v>
      </c>
      <c r="C44" s="104" t="s">
        <v>179</v>
      </c>
      <c r="D44" s="119" t="s">
        <v>188</v>
      </c>
      <c r="E44" s="104" t="s">
        <v>189</v>
      </c>
      <c r="F44" s="113"/>
      <c r="G44" s="119"/>
      <c r="H44" s="119"/>
      <c r="I44" s="102">
        <v>146736</v>
      </c>
      <c r="J44" s="103" t="s">
        <v>901</v>
      </c>
      <c r="K44" s="150"/>
      <c r="L44" s="150"/>
      <c r="M44" s="150"/>
      <c r="N44" s="254" t="str" cm="1">
        <f t="array" ref="N4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44" s="255"/>
      <c r="P44" s="248"/>
      <c r="Q44" s="256" t="str" cm="1">
        <f t="array" ref="Q4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44" s="257"/>
      <c r="S44" s="248"/>
      <c r="T44" s="254"/>
      <c r="U44" s="258"/>
      <c r="V44" s="259"/>
      <c r="W44" s="259"/>
      <c r="X44" s="255"/>
      <c r="Y44" s="259"/>
      <c r="Z44" s="259"/>
      <c r="AA44" s="260" t="str" cm="1">
        <f t="array" ref="AA4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44" s="125"/>
      <c r="AD44" s="124"/>
    </row>
    <row r="45" spans="1:30" s="122" customFormat="1">
      <c r="A4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VenezulanosVE0506</v>
      </c>
      <c r="B45" s="105" t="s">
        <v>123</v>
      </c>
      <c r="C45" s="104" t="s">
        <v>179</v>
      </c>
      <c r="D45" s="119" t="s">
        <v>190</v>
      </c>
      <c r="E45" s="104" t="s">
        <v>191</v>
      </c>
      <c r="F45" s="113"/>
      <c r="G45" s="119"/>
      <c r="H45" s="119"/>
      <c r="I45" s="102">
        <v>49897</v>
      </c>
      <c r="J45" s="103" t="s">
        <v>901</v>
      </c>
      <c r="K45" s="150"/>
      <c r="L45" s="150"/>
      <c r="M45" s="150"/>
      <c r="N45" s="254" t="str" cm="1">
        <f t="array" ref="N4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45" s="255"/>
      <c r="P45" s="248"/>
      <c r="Q45" s="256" t="str" cm="1">
        <f t="array" ref="Q4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45" s="257"/>
      <c r="S45" s="248"/>
      <c r="T45" s="254"/>
      <c r="U45" s="258"/>
      <c r="V45" s="259"/>
      <c r="W45" s="259"/>
      <c r="X45" s="255"/>
      <c r="Y45" s="259"/>
      <c r="Z45" s="259"/>
      <c r="AA45" s="260" t="str" cm="1">
        <f t="array" ref="AA4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45" s="125"/>
      <c r="AD45" s="124"/>
    </row>
    <row r="46" spans="1:30" s="122" customFormat="1">
      <c r="A4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VenezulanosVE0507</v>
      </c>
      <c r="B46" s="105" t="s">
        <v>123</v>
      </c>
      <c r="C46" s="104" t="s">
        <v>179</v>
      </c>
      <c r="D46" s="119" t="s">
        <v>100</v>
      </c>
      <c r="E46" s="104" t="s">
        <v>192</v>
      </c>
      <c r="F46" s="113"/>
      <c r="G46" s="119"/>
      <c r="H46" s="119"/>
      <c r="I46" s="102">
        <v>116940</v>
      </c>
      <c r="J46" s="103" t="s">
        <v>901</v>
      </c>
      <c r="K46" s="150"/>
      <c r="L46" s="150"/>
      <c r="M46" s="150"/>
      <c r="N46" s="254" t="str" cm="1">
        <f t="array" ref="N4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46" s="255"/>
      <c r="P46" s="248"/>
      <c r="Q46" s="256" t="str" cm="1">
        <f t="array" ref="Q4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46" s="257"/>
      <c r="S46" s="248"/>
      <c r="T46" s="254"/>
      <c r="U46" s="258"/>
      <c r="V46" s="259"/>
      <c r="W46" s="259"/>
      <c r="X46" s="255"/>
      <c r="Y46" s="259"/>
      <c r="Z46" s="259"/>
      <c r="AA46" s="260" t="str" cm="1">
        <f t="array" ref="AA4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46" s="125"/>
      <c r="AD46" s="124"/>
    </row>
    <row r="47" spans="1:30" s="122" customFormat="1">
      <c r="A4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VenezulanosVE0508</v>
      </c>
      <c r="B47" s="105" t="s">
        <v>123</v>
      </c>
      <c r="C47" s="104" t="s">
        <v>179</v>
      </c>
      <c r="D47" s="119" t="s">
        <v>193</v>
      </c>
      <c r="E47" s="104" t="s">
        <v>194</v>
      </c>
      <c r="F47" s="113"/>
      <c r="G47" s="119"/>
      <c r="H47" s="119"/>
      <c r="I47" s="102">
        <v>102107</v>
      </c>
      <c r="J47" s="103" t="s">
        <v>901</v>
      </c>
      <c r="K47" s="150"/>
      <c r="L47" s="150"/>
      <c r="M47" s="150"/>
      <c r="N47" s="254" t="str" cm="1">
        <f t="array" ref="N4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47" s="255"/>
      <c r="P47" s="248"/>
      <c r="Q47" s="256" t="str" cm="1">
        <f t="array" ref="Q4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47" s="257"/>
      <c r="S47" s="248"/>
      <c r="T47" s="254"/>
      <c r="U47" s="258"/>
      <c r="V47" s="259"/>
      <c r="W47" s="259"/>
      <c r="X47" s="255"/>
      <c r="Y47" s="259"/>
      <c r="Z47" s="259"/>
      <c r="AA47" s="260" t="str" cm="1">
        <f t="array" ref="AA4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47" s="125"/>
      <c r="AD47" s="124"/>
    </row>
    <row r="48" spans="1:30" s="122" customFormat="1">
      <c r="A4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VenezulanosVE0509</v>
      </c>
      <c r="B48" s="105" t="s">
        <v>123</v>
      </c>
      <c r="C48" s="104" t="s">
        <v>179</v>
      </c>
      <c r="D48" s="119" t="s">
        <v>195</v>
      </c>
      <c r="E48" s="104" t="s">
        <v>196</v>
      </c>
      <c r="F48" s="113"/>
      <c r="G48" s="119"/>
      <c r="H48" s="119"/>
      <c r="I48" s="102">
        <v>26118</v>
      </c>
      <c r="J48" s="103" t="s">
        <v>901</v>
      </c>
      <c r="K48" s="150"/>
      <c r="L48" s="150"/>
      <c r="M48" s="150"/>
      <c r="N48" s="254" t="str" cm="1">
        <f t="array" ref="N4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48" s="255"/>
      <c r="P48" s="248"/>
      <c r="Q48" s="256" t="str" cm="1">
        <f t="array" ref="Q4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48" s="257"/>
      <c r="S48" s="248"/>
      <c r="T48" s="254"/>
      <c r="U48" s="258"/>
      <c r="V48" s="259"/>
      <c r="W48" s="259"/>
      <c r="X48" s="255"/>
      <c r="Y48" s="259"/>
      <c r="Z48" s="259"/>
      <c r="AA48" s="260" t="str" cm="1">
        <f t="array" ref="AA4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48" s="125"/>
      <c r="AD48" s="124"/>
    </row>
    <row r="49" spans="1:30" s="122" customFormat="1">
      <c r="A4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VenezulanosVE0510</v>
      </c>
      <c r="B49" s="105" t="s">
        <v>123</v>
      </c>
      <c r="C49" s="104" t="s">
        <v>179</v>
      </c>
      <c r="D49" s="119" t="s">
        <v>197</v>
      </c>
      <c r="E49" s="104" t="s">
        <v>198</v>
      </c>
      <c r="F49" s="113"/>
      <c r="G49" s="119"/>
      <c r="H49" s="119"/>
      <c r="I49" s="102">
        <v>23807</v>
      </c>
      <c r="J49" s="103" t="s">
        <v>901</v>
      </c>
      <c r="K49" s="150"/>
      <c r="L49" s="150"/>
      <c r="M49" s="150"/>
      <c r="N49" s="254" t="str" cm="1">
        <f t="array" ref="N4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49" s="255"/>
      <c r="P49" s="248"/>
      <c r="Q49" s="256" t="str" cm="1">
        <f t="array" ref="Q4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49" s="257"/>
      <c r="S49" s="248"/>
      <c r="T49" s="254"/>
      <c r="U49" s="258"/>
      <c r="V49" s="259"/>
      <c r="W49" s="259"/>
      <c r="X49" s="255"/>
      <c r="Y49" s="259"/>
      <c r="Z49" s="259"/>
      <c r="AA49" s="260" t="str" cm="1">
        <f t="array" ref="AA4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49" s="125"/>
      <c r="AD49" s="124"/>
    </row>
    <row r="50" spans="1:30" s="122" customFormat="1">
      <c r="A5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VenezulanosVE0511</v>
      </c>
      <c r="B50" s="105" t="s">
        <v>123</v>
      </c>
      <c r="C50" s="104" t="s">
        <v>179</v>
      </c>
      <c r="D50" s="119" t="s">
        <v>199</v>
      </c>
      <c r="E50" s="104" t="s">
        <v>200</v>
      </c>
      <c r="F50" s="113"/>
      <c r="G50" s="119"/>
      <c r="H50" s="119"/>
      <c r="I50" s="102">
        <v>215778</v>
      </c>
      <c r="J50" s="103" t="s">
        <v>901</v>
      </c>
      <c r="K50" s="150"/>
      <c r="L50" s="150"/>
      <c r="M50" s="150"/>
      <c r="N50" s="254" t="str" cm="1">
        <f t="array" ref="N5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50" s="255"/>
      <c r="P50" s="248"/>
      <c r="Q50" s="256" t="str" cm="1">
        <f t="array" ref="Q5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50" s="257"/>
      <c r="S50" s="248"/>
      <c r="T50" s="254"/>
      <c r="U50" s="258"/>
      <c r="V50" s="259"/>
      <c r="W50" s="259"/>
      <c r="X50" s="255"/>
      <c r="Y50" s="259"/>
      <c r="Z50" s="259"/>
      <c r="AA50" s="260" t="str" cm="1">
        <f t="array" ref="AA5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50" s="125"/>
      <c r="AD50" s="124"/>
    </row>
    <row r="51" spans="1:30" s="122" customFormat="1">
      <c r="A5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VenezulanosVE0512</v>
      </c>
      <c r="B51" s="105" t="s">
        <v>123</v>
      </c>
      <c r="C51" s="104" t="s">
        <v>179</v>
      </c>
      <c r="D51" s="119" t="s">
        <v>201</v>
      </c>
      <c r="E51" s="104" t="s">
        <v>202</v>
      </c>
      <c r="F51" s="113"/>
      <c r="G51" s="119"/>
      <c r="H51" s="119"/>
      <c r="I51" s="102">
        <v>39442</v>
      </c>
      <c r="J51" s="103" t="s">
        <v>901</v>
      </c>
      <c r="K51" s="150"/>
      <c r="L51" s="150"/>
      <c r="M51" s="150"/>
      <c r="N51" s="254" t="str" cm="1">
        <f t="array" ref="N5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51" s="255"/>
      <c r="P51" s="248"/>
      <c r="Q51" s="256" t="str" cm="1">
        <f t="array" ref="Q5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51" s="257"/>
      <c r="S51" s="248"/>
      <c r="T51" s="254"/>
      <c r="U51" s="258"/>
      <c r="V51" s="259"/>
      <c r="W51" s="259"/>
      <c r="X51" s="255"/>
      <c r="Y51" s="259"/>
      <c r="Z51" s="259"/>
      <c r="AA51" s="260" t="str" cm="1">
        <f t="array" ref="AA5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51" s="125"/>
      <c r="AD51" s="124"/>
    </row>
    <row r="52" spans="1:30" s="122" customFormat="1">
      <c r="A5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VenezulanosVE0513</v>
      </c>
      <c r="B52" s="105" t="s">
        <v>123</v>
      </c>
      <c r="C52" s="104" t="s">
        <v>179</v>
      </c>
      <c r="D52" s="119" t="s">
        <v>203</v>
      </c>
      <c r="E52" s="104" t="s">
        <v>204</v>
      </c>
      <c r="F52" s="113"/>
      <c r="G52" s="119"/>
      <c r="H52" s="119"/>
      <c r="I52" s="102">
        <v>117097</v>
      </c>
      <c r="J52" s="103" t="s">
        <v>901</v>
      </c>
      <c r="K52" s="150"/>
      <c r="L52" s="150"/>
      <c r="M52" s="150"/>
      <c r="N52" s="254" t="str" cm="1">
        <f t="array" ref="N5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52" s="255"/>
      <c r="P52" s="248"/>
      <c r="Q52" s="256" t="str" cm="1">
        <f t="array" ref="Q5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52" s="257"/>
      <c r="S52" s="248"/>
      <c r="T52" s="254"/>
      <c r="U52" s="258"/>
      <c r="V52" s="259"/>
      <c r="W52" s="259"/>
      <c r="X52" s="255"/>
      <c r="Y52" s="259"/>
      <c r="Z52" s="259"/>
      <c r="AA52" s="260" t="str" cm="1">
        <f t="array" ref="AA5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52" s="125"/>
      <c r="AD52" s="124"/>
    </row>
    <row r="53" spans="1:30" s="122" customFormat="1">
      <c r="A5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VenezulanosVE0514</v>
      </c>
      <c r="B53" s="105" t="s">
        <v>123</v>
      </c>
      <c r="C53" s="104" t="s">
        <v>179</v>
      </c>
      <c r="D53" s="119" t="s">
        <v>205</v>
      </c>
      <c r="E53" s="104" t="s">
        <v>206</v>
      </c>
      <c r="F53" s="113"/>
      <c r="G53" s="119"/>
      <c r="H53" s="119"/>
      <c r="I53" s="102">
        <v>14481</v>
      </c>
      <c r="J53" s="103" t="s">
        <v>901</v>
      </c>
      <c r="K53" s="150"/>
      <c r="L53" s="150"/>
      <c r="M53" s="150"/>
      <c r="N53" s="254" t="str" cm="1">
        <f t="array" ref="N5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53" s="255"/>
      <c r="P53" s="248"/>
      <c r="Q53" s="256" t="str" cm="1">
        <f t="array" ref="Q5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53" s="257"/>
      <c r="S53" s="248"/>
      <c r="T53" s="254"/>
      <c r="U53" s="258"/>
      <c r="V53" s="259"/>
      <c r="W53" s="259"/>
      <c r="X53" s="255"/>
      <c r="Y53" s="259"/>
      <c r="Z53" s="259"/>
      <c r="AA53" s="260" t="str" cm="1">
        <f t="array" ref="AA5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53" s="125"/>
      <c r="AD53" s="124"/>
    </row>
    <row r="54" spans="1:30" s="122" customFormat="1">
      <c r="A5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VenezulanosVE0515</v>
      </c>
      <c r="B54" s="105" t="s">
        <v>123</v>
      </c>
      <c r="C54" s="104" t="s">
        <v>179</v>
      </c>
      <c r="D54" s="119" t="s">
        <v>207</v>
      </c>
      <c r="E54" s="104" t="s">
        <v>208</v>
      </c>
      <c r="F54" s="113"/>
      <c r="G54" s="119"/>
      <c r="H54" s="119"/>
      <c r="I54" s="102">
        <v>21747</v>
      </c>
      <c r="J54" s="103" t="s">
        <v>901</v>
      </c>
      <c r="K54" s="150"/>
      <c r="L54" s="150"/>
      <c r="M54" s="150"/>
      <c r="N54" s="254" t="str" cm="1">
        <f t="array" ref="N5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54" s="255"/>
      <c r="P54" s="248"/>
      <c r="Q54" s="256" t="str" cm="1">
        <f t="array" ref="Q5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54" s="257"/>
      <c r="S54" s="248"/>
      <c r="T54" s="254"/>
      <c r="U54" s="258"/>
      <c r="V54" s="259"/>
      <c r="W54" s="259"/>
      <c r="X54" s="255"/>
      <c r="Y54" s="259"/>
      <c r="Z54" s="259"/>
      <c r="AA54" s="260" t="str" cm="1">
        <f t="array" ref="AA5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54" s="125"/>
      <c r="AD54" s="124"/>
    </row>
    <row r="55" spans="1:30" s="122" customFormat="1">
      <c r="A5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VenezulanosVE0516</v>
      </c>
      <c r="B55" s="105" t="s">
        <v>123</v>
      </c>
      <c r="C55" s="104" t="s">
        <v>179</v>
      </c>
      <c r="D55" s="119" t="s">
        <v>209</v>
      </c>
      <c r="E55" s="104" t="s">
        <v>210</v>
      </c>
      <c r="F55" s="113"/>
      <c r="G55" s="119"/>
      <c r="H55" s="119"/>
      <c r="I55" s="102">
        <v>148029</v>
      </c>
      <c r="J55" s="103" t="s">
        <v>901</v>
      </c>
      <c r="K55" s="150"/>
      <c r="L55" s="150"/>
      <c r="M55" s="150"/>
      <c r="N55" s="254" t="str" cm="1">
        <f t="array" ref="N5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55" s="255"/>
      <c r="P55" s="248"/>
      <c r="Q55" s="256" t="str" cm="1">
        <f t="array" ref="Q5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55" s="257"/>
      <c r="S55" s="248"/>
      <c r="T55" s="254"/>
      <c r="U55" s="258"/>
      <c r="V55" s="259"/>
      <c r="W55" s="259"/>
      <c r="X55" s="255"/>
      <c r="Y55" s="259"/>
      <c r="Z55" s="259"/>
      <c r="AA55" s="260" t="str" cm="1">
        <f t="array" ref="AA5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55" s="125"/>
      <c r="AD55" s="124"/>
    </row>
    <row r="56" spans="1:30" s="122" customFormat="1">
      <c r="A5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VenezulanosVE0517</v>
      </c>
      <c r="B56" s="105" t="s">
        <v>123</v>
      </c>
      <c r="C56" s="104" t="s">
        <v>179</v>
      </c>
      <c r="D56" s="119" t="s">
        <v>828</v>
      </c>
      <c r="E56" s="104" t="s">
        <v>212</v>
      </c>
      <c r="F56" s="113"/>
      <c r="G56" s="119"/>
      <c r="H56" s="119"/>
      <c r="I56" s="102">
        <v>125901</v>
      </c>
      <c r="J56" s="103" t="s">
        <v>901</v>
      </c>
      <c r="K56" s="150"/>
      <c r="L56" s="150"/>
      <c r="M56" s="150"/>
      <c r="N56" s="254" t="str" cm="1">
        <f t="array" ref="N5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56" s="255"/>
      <c r="P56" s="248"/>
      <c r="Q56" s="256" t="str" cm="1">
        <f t="array" ref="Q5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56" s="257"/>
      <c r="S56" s="248"/>
      <c r="T56" s="254"/>
      <c r="U56" s="258"/>
      <c r="V56" s="259"/>
      <c r="W56" s="259"/>
      <c r="X56" s="255"/>
      <c r="Y56" s="259"/>
      <c r="Z56" s="259"/>
      <c r="AA56" s="260" t="str" cm="1">
        <f t="array" ref="AA5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56" s="125"/>
      <c r="AD56" s="124"/>
    </row>
    <row r="57" spans="1:30" s="122" customFormat="1">
      <c r="A5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VenezulanosVE0518</v>
      </c>
      <c r="B57" s="105" t="s">
        <v>123</v>
      </c>
      <c r="C57" s="104" t="s">
        <v>179</v>
      </c>
      <c r="D57" s="119" t="s">
        <v>825</v>
      </c>
      <c r="E57" s="104" t="s">
        <v>214</v>
      </c>
      <c r="F57" s="113"/>
      <c r="G57" s="119"/>
      <c r="H57" s="119"/>
      <c r="I57" s="102">
        <v>13105</v>
      </c>
      <c r="J57" s="103" t="s">
        <v>901</v>
      </c>
      <c r="K57" s="150"/>
      <c r="L57" s="150"/>
      <c r="M57" s="150"/>
      <c r="N57" s="254" t="str" cm="1">
        <f t="array" ref="N5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57" s="255"/>
      <c r="P57" s="248"/>
      <c r="Q57" s="256" t="str" cm="1">
        <f t="array" ref="Q5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57" s="257"/>
      <c r="S57" s="248"/>
      <c r="T57" s="254"/>
      <c r="U57" s="258"/>
      <c r="V57" s="259"/>
      <c r="W57" s="259"/>
      <c r="X57" s="255"/>
      <c r="Y57" s="259"/>
      <c r="Z57" s="259"/>
      <c r="AA57" s="260" t="str" cm="1">
        <f t="array" ref="AA5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57" s="125"/>
      <c r="AD57" s="124"/>
    </row>
    <row r="58" spans="1:30" s="122" customFormat="1">
      <c r="A5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VenezulanosVE0601</v>
      </c>
      <c r="B58" s="105" t="s">
        <v>215</v>
      </c>
      <c r="C58" s="104" t="s">
        <v>216</v>
      </c>
      <c r="D58" s="119" t="s">
        <v>217</v>
      </c>
      <c r="E58" s="104" t="s">
        <v>218</v>
      </c>
      <c r="F58" s="113"/>
      <c r="G58" s="119"/>
      <c r="H58" s="119"/>
      <c r="I58" s="102">
        <v>42163</v>
      </c>
      <c r="J58" s="103" t="s">
        <v>901</v>
      </c>
      <c r="K58" s="150"/>
      <c r="L58" s="150"/>
      <c r="M58" s="150"/>
      <c r="N58" s="254" t="str" cm="1">
        <f t="array" ref="N5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58" s="255"/>
      <c r="P58" s="248"/>
      <c r="Q58" s="256" t="str" cm="1">
        <f t="array" ref="Q5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58" s="257"/>
      <c r="S58" s="248"/>
      <c r="T58" s="254"/>
      <c r="U58" s="258"/>
      <c r="V58" s="259"/>
      <c r="W58" s="259"/>
      <c r="X58" s="255"/>
      <c r="Y58" s="259"/>
      <c r="Z58" s="259"/>
      <c r="AA58" s="260" t="str" cm="1">
        <f t="array" ref="AA5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58" s="125"/>
      <c r="AD58" s="124"/>
    </row>
    <row r="59" spans="1:30" s="122" customFormat="1">
      <c r="A5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VenezulanosVE0602</v>
      </c>
      <c r="B59" s="105" t="s">
        <v>215</v>
      </c>
      <c r="C59" s="104" t="s">
        <v>216</v>
      </c>
      <c r="D59" s="119" t="s">
        <v>810</v>
      </c>
      <c r="E59" s="104" t="s">
        <v>220</v>
      </c>
      <c r="F59" s="113"/>
      <c r="G59" s="119"/>
      <c r="H59" s="119"/>
      <c r="I59" s="102">
        <v>83507</v>
      </c>
      <c r="J59" s="103" t="s">
        <v>901</v>
      </c>
      <c r="K59" s="150"/>
      <c r="L59" s="150"/>
      <c r="M59" s="150"/>
      <c r="N59" s="254" t="str" cm="1">
        <f t="array" ref="N5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59" s="255"/>
      <c r="P59" s="248"/>
      <c r="Q59" s="256" t="str" cm="1">
        <f t="array" ref="Q5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59" s="257"/>
      <c r="S59" s="248"/>
      <c r="T59" s="254"/>
      <c r="U59" s="258"/>
      <c r="V59" s="259"/>
      <c r="W59" s="259"/>
      <c r="X59" s="255"/>
      <c r="Y59" s="259"/>
      <c r="Z59" s="259"/>
      <c r="AA59" s="260" t="str" cm="1">
        <f t="array" ref="AA5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59" s="125"/>
      <c r="AD59" s="124"/>
    </row>
    <row r="60" spans="1:30" s="122" customFormat="1">
      <c r="A6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VenezulanosVE0603</v>
      </c>
      <c r="B60" s="105" t="s">
        <v>215</v>
      </c>
      <c r="C60" s="104" t="s">
        <v>216</v>
      </c>
      <c r="D60" s="119" t="s">
        <v>221</v>
      </c>
      <c r="E60" s="104" t="s">
        <v>222</v>
      </c>
      <c r="F60" s="113"/>
      <c r="G60" s="119"/>
      <c r="H60" s="119"/>
      <c r="I60" s="102">
        <v>24259</v>
      </c>
      <c r="J60" s="103" t="s">
        <v>901</v>
      </c>
      <c r="K60" s="150"/>
      <c r="L60" s="150"/>
      <c r="M60" s="150"/>
      <c r="N60" s="254" t="str" cm="1">
        <f t="array" ref="N6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60" s="255"/>
      <c r="P60" s="248"/>
      <c r="Q60" s="256" t="str" cm="1">
        <f t="array" ref="Q6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60" s="257"/>
      <c r="S60" s="248"/>
      <c r="T60" s="254"/>
      <c r="U60" s="258"/>
      <c r="V60" s="259"/>
      <c r="W60" s="259"/>
      <c r="X60" s="255"/>
      <c r="Y60" s="259"/>
      <c r="Z60" s="259"/>
      <c r="AA60" s="260" t="str" cm="1">
        <f t="array" ref="AA6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60" s="125"/>
      <c r="AD60" s="124"/>
    </row>
    <row r="61" spans="1:30" s="122" customFormat="1">
      <c r="A6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VenezulanosVE0604</v>
      </c>
      <c r="B61" s="105" t="s">
        <v>215</v>
      </c>
      <c r="C61" s="104" t="s">
        <v>216</v>
      </c>
      <c r="D61" s="119" t="s">
        <v>215</v>
      </c>
      <c r="E61" s="104" t="s">
        <v>223</v>
      </c>
      <c r="F61" s="113"/>
      <c r="G61" s="119"/>
      <c r="H61" s="119"/>
      <c r="I61" s="102">
        <v>361844</v>
      </c>
      <c r="J61" s="103" t="s">
        <v>901</v>
      </c>
      <c r="K61" s="150"/>
      <c r="L61" s="150"/>
      <c r="M61" s="150"/>
      <c r="N61" s="254" t="str" cm="1">
        <f t="array" ref="N6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61" s="255"/>
      <c r="P61" s="248"/>
      <c r="Q61" s="256" t="str" cm="1">
        <f t="array" ref="Q6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61" s="257"/>
      <c r="S61" s="248"/>
      <c r="T61" s="254"/>
      <c r="U61" s="258"/>
      <c r="V61" s="259"/>
      <c r="W61" s="259"/>
      <c r="X61" s="255"/>
      <c r="Y61" s="259"/>
      <c r="Z61" s="259"/>
      <c r="AA61" s="260" t="str" cm="1">
        <f t="array" ref="AA6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61" s="125"/>
      <c r="AD61" s="124"/>
    </row>
    <row r="62" spans="1:30" s="122" customFormat="1">
      <c r="A6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VenezulanosVE0605</v>
      </c>
      <c r="B62" s="105" t="s">
        <v>215</v>
      </c>
      <c r="C62" s="104" t="s">
        <v>216</v>
      </c>
      <c r="D62" s="119" t="s">
        <v>180</v>
      </c>
      <c r="E62" s="104" t="s">
        <v>224</v>
      </c>
      <c r="F62" s="113"/>
      <c r="G62" s="119"/>
      <c r="H62" s="119"/>
      <c r="I62" s="102">
        <v>54059</v>
      </c>
      <c r="J62" s="103" t="s">
        <v>901</v>
      </c>
      <c r="K62" s="150"/>
      <c r="L62" s="150"/>
      <c r="M62" s="150"/>
      <c r="N62" s="254" t="str" cm="1">
        <f t="array" ref="N6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62" s="255"/>
      <c r="P62" s="248"/>
      <c r="Q62" s="256" t="str" cm="1">
        <f t="array" ref="Q6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62" s="257"/>
      <c r="S62" s="248"/>
      <c r="T62" s="254"/>
      <c r="U62" s="258"/>
      <c r="V62" s="259"/>
      <c r="W62" s="259"/>
      <c r="X62" s="255"/>
      <c r="Y62" s="259"/>
      <c r="Z62" s="259"/>
      <c r="AA62" s="260" t="str" cm="1">
        <f t="array" ref="AA6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62" s="125"/>
      <c r="AD62" s="124"/>
    </row>
    <row r="63" spans="1:30" s="122" customFormat="1">
      <c r="A6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VenezulanosVE0606</v>
      </c>
      <c r="B63" s="105" t="s">
        <v>215</v>
      </c>
      <c r="C63" s="104" t="s">
        <v>216</v>
      </c>
      <c r="D63" s="119" t="s">
        <v>225</v>
      </c>
      <c r="E63" s="104" t="s">
        <v>226</v>
      </c>
      <c r="F63" s="113"/>
      <c r="G63" s="119"/>
      <c r="H63" s="119"/>
      <c r="I63" s="102">
        <v>26629</v>
      </c>
      <c r="J63" s="103" t="s">
        <v>901</v>
      </c>
      <c r="K63" s="150"/>
      <c r="L63" s="150"/>
      <c r="M63" s="150"/>
      <c r="N63" s="254" t="str" cm="1">
        <f t="array" ref="N6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63" s="255"/>
      <c r="P63" s="248"/>
      <c r="Q63" s="256" t="str" cm="1">
        <f t="array" ref="Q6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63" s="257"/>
      <c r="S63" s="248"/>
      <c r="T63" s="254"/>
      <c r="U63" s="258"/>
      <c r="V63" s="259"/>
      <c r="W63" s="259"/>
      <c r="X63" s="255"/>
      <c r="Y63" s="259"/>
      <c r="Z63" s="259"/>
      <c r="AA63" s="260" t="str" cm="1">
        <f t="array" ref="AA6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63" s="125"/>
      <c r="AD63" s="124"/>
    </row>
    <row r="64" spans="1:30" s="122" customFormat="1">
      <c r="A6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VenezulanosVE0607</v>
      </c>
      <c r="B64" s="105" t="s">
        <v>215</v>
      </c>
      <c r="C64" s="104" t="s">
        <v>216</v>
      </c>
      <c r="D64" s="119" t="s">
        <v>227</v>
      </c>
      <c r="E64" s="104" t="s">
        <v>228</v>
      </c>
      <c r="F64" s="113"/>
      <c r="G64" s="119"/>
      <c r="H64" s="119"/>
      <c r="I64" s="102">
        <v>54787</v>
      </c>
      <c r="J64" s="103" t="s">
        <v>901</v>
      </c>
      <c r="K64" s="150"/>
      <c r="L64" s="150"/>
      <c r="M64" s="150"/>
      <c r="N64" s="254" t="str" cm="1">
        <f t="array" ref="N6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64" s="255"/>
      <c r="P64" s="248"/>
      <c r="Q64" s="256" t="str" cm="1">
        <f t="array" ref="Q6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64" s="257"/>
      <c r="S64" s="248"/>
      <c r="T64" s="254"/>
      <c r="U64" s="258"/>
      <c r="V64" s="259"/>
      <c r="W64" s="259"/>
      <c r="X64" s="255"/>
      <c r="Y64" s="259"/>
      <c r="Z64" s="259"/>
      <c r="AA64" s="260" t="str" cm="1">
        <f t="array" ref="AA6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64" s="125"/>
      <c r="AD64" s="124"/>
    </row>
    <row r="65" spans="1:30" s="122" customFormat="1">
      <c r="A6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VenezulanosVE0608</v>
      </c>
      <c r="B65" s="105" t="s">
        <v>215</v>
      </c>
      <c r="C65" s="104" t="s">
        <v>216</v>
      </c>
      <c r="D65" s="119" t="s">
        <v>229</v>
      </c>
      <c r="E65" s="104" t="s">
        <v>230</v>
      </c>
      <c r="F65" s="113"/>
      <c r="G65" s="119"/>
      <c r="H65" s="119"/>
      <c r="I65" s="102">
        <v>38344</v>
      </c>
      <c r="J65" s="103" t="s">
        <v>901</v>
      </c>
      <c r="K65" s="150"/>
      <c r="L65" s="150"/>
      <c r="M65" s="150"/>
      <c r="N65" s="254" t="str" cm="1">
        <f t="array" ref="N6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65" s="255"/>
      <c r="P65" s="248"/>
      <c r="Q65" s="256" t="str" cm="1">
        <f t="array" ref="Q6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65" s="257"/>
      <c r="S65" s="248"/>
      <c r="T65" s="254"/>
      <c r="U65" s="258"/>
      <c r="V65" s="259"/>
      <c r="W65" s="259"/>
      <c r="X65" s="255"/>
      <c r="Y65" s="259"/>
      <c r="Z65" s="259"/>
      <c r="AA65" s="260" t="str" cm="1">
        <f t="array" ref="AA6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65" s="125"/>
      <c r="AD65" s="124"/>
    </row>
    <row r="66" spans="1:30" s="122" customFormat="1">
      <c r="A6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VenezulanosVE0609</v>
      </c>
      <c r="B66" s="105" t="s">
        <v>215</v>
      </c>
      <c r="C66" s="104" t="s">
        <v>216</v>
      </c>
      <c r="D66" s="119" t="s">
        <v>231</v>
      </c>
      <c r="E66" s="104" t="s">
        <v>232</v>
      </c>
      <c r="F66" s="113"/>
      <c r="G66" s="119"/>
      <c r="H66" s="119"/>
      <c r="I66" s="102">
        <v>66873</v>
      </c>
      <c r="J66" s="103" t="s">
        <v>901</v>
      </c>
      <c r="K66" s="150"/>
      <c r="L66" s="150"/>
      <c r="M66" s="150"/>
      <c r="N66" s="254" t="str" cm="1">
        <f t="array" ref="N6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66" s="255"/>
      <c r="P66" s="248"/>
      <c r="Q66" s="256" t="str" cm="1">
        <f t="array" ref="Q6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66" s="257"/>
      <c r="S66" s="248"/>
      <c r="T66" s="254"/>
      <c r="U66" s="258"/>
      <c r="V66" s="259"/>
      <c r="W66" s="259"/>
      <c r="X66" s="255"/>
      <c r="Y66" s="259"/>
      <c r="Z66" s="259"/>
      <c r="AA66" s="260" t="str" cm="1">
        <f t="array" ref="AA6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66" s="125"/>
      <c r="AD66" s="124"/>
    </row>
    <row r="67" spans="1:30" s="122" customFormat="1">
      <c r="A6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VenezulanosVE0610</v>
      </c>
      <c r="B67" s="105" t="s">
        <v>215</v>
      </c>
      <c r="C67" s="104" t="s">
        <v>216</v>
      </c>
      <c r="D67" s="119" t="s">
        <v>233</v>
      </c>
      <c r="E67" s="104" t="s">
        <v>234</v>
      </c>
      <c r="F67" s="113"/>
      <c r="G67" s="119"/>
      <c r="H67" s="119"/>
      <c r="I67" s="102">
        <v>41032</v>
      </c>
      <c r="J67" s="103" t="s">
        <v>901</v>
      </c>
      <c r="K67" s="150"/>
      <c r="L67" s="150"/>
      <c r="M67" s="150"/>
      <c r="N67" s="254" t="str" cm="1">
        <f t="array" ref="N6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67" s="255"/>
      <c r="P67" s="248"/>
      <c r="Q67" s="256" t="str" cm="1">
        <f t="array" ref="Q6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67" s="257"/>
      <c r="S67" s="248"/>
      <c r="T67" s="254"/>
      <c r="U67" s="258"/>
      <c r="V67" s="259"/>
      <c r="W67" s="259"/>
      <c r="X67" s="255"/>
      <c r="Y67" s="259"/>
      <c r="Z67" s="259"/>
      <c r="AA67" s="260" t="str" cm="1">
        <f t="array" ref="AA6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67" s="125"/>
      <c r="AD67" s="124"/>
    </row>
    <row r="68" spans="1:30" s="122" customFormat="1">
      <c r="A6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VenezulanosVE0611</v>
      </c>
      <c r="B68" s="105" t="s">
        <v>215</v>
      </c>
      <c r="C68" s="104" t="s">
        <v>216</v>
      </c>
      <c r="D68" s="119" t="s">
        <v>235</v>
      </c>
      <c r="E68" s="104" t="s">
        <v>236</v>
      </c>
      <c r="F68" s="113"/>
      <c r="G68" s="119"/>
      <c r="H68" s="119"/>
      <c r="I68" s="102">
        <v>24685</v>
      </c>
      <c r="J68" s="103" t="s">
        <v>901</v>
      </c>
      <c r="K68" s="150"/>
      <c r="L68" s="150"/>
      <c r="M68" s="150"/>
      <c r="N68" s="254" t="str" cm="1">
        <f t="array" ref="N6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68" s="255"/>
      <c r="P68" s="248"/>
      <c r="Q68" s="256" t="str" cm="1">
        <f t="array" ref="Q6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68" s="257"/>
      <c r="S68" s="248"/>
      <c r="T68" s="254"/>
      <c r="U68" s="258"/>
      <c r="V68" s="259"/>
      <c r="W68" s="259"/>
      <c r="X68" s="255"/>
      <c r="Y68" s="259"/>
      <c r="Z68" s="259"/>
      <c r="AA68" s="260" t="str" cm="1">
        <f t="array" ref="AA6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68" s="125"/>
      <c r="AD68" s="124"/>
    </row>
    <row r="69" spans="1:30" s="122" customFormat="1">
      <c r="A6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VenezulanosVE0612</v>
      </c>
      <c r="B69" s="105" t="s">
        <v>215</v>
      </c>
      <c r="C69" s="104" t="s">
        <v>216</v>
      </c>
      <c r="D69" s="119" t="s">
        <v>237</v>
      </c>
      <c r="E69" s="104" t="s">
        <v>238</v>
      </c>
      <c r="F69" s="113"/>
      <c r="G69" s="119"/>
      <c r="H69" s="119"/>
      <c r="I69" s="102">
        <v>16503</v>
      </c>
      <c r="J69" s="103" t="s">
        <v>901</v>
      </c>
      <c r="K69" s="150"/>
      <c r="L69" s="150"/>
      <c r="M69" s="150"/>
      <c r="N69" s="254" t="str" cm="1">
        <f t="array" ref="N6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69" s="255"/>
      <c r="P69" s="248"/>
      <c r="Q69" s="256" t="str" cm="1">
        <f t="array" ref="Q6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69" s="257"/>
      <c r="S69" s="248"/>
      <c r="T69" s="254"/>
      <c r="U69" s="258"/>
      <c r="V69" s="259"/>
      <c r="W69" s="259"/>
      <c r="X69" s="255"/>
      <c r="Y69" s="259"/>
      <c r="Z69" s="259"/>
      <c r="AA69" s="260" t="str" cm="1">
        <f t="array" ref="AA6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69" s="125"/>
      <c r="AD69" s="124"/>
    </row>
    <row r="70" spans="1:30" s="122" customFormat="1">
      <c r="A7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VenezulanosVE0701</v>
      </c>
      <c r="B70" s="105" t="s">
        <v>180</v>
      </c>
      <c r="C70" s="104" t="s">
        <v>239</v>
      </c>
      <c r="D70" s="119" t="s">
        <v>240</v>
      </c>
      <c r="E70" s="104" t="s">
        <v>241</v>
      </c>
      <c r="F70" s="113"/>
      <c r="G70" s="119"/>
      <c r="H70" s="119"/>
      <c r="I70" s="102">
        <v>722701</v>
      </c>
      <c r="J70" s="103" t="s">
        <v>901</v>
      </c>
      <c r="K70" s="150"/>
      <c r="L70" s="150"/>
      <c r="M70" s="150"/>
      <c r="N70" s="254" t="str" cm="1">
        <f t="array" ref="N7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70" s="255"/>
      <c r="P70" s="248"/>
      <c r="Q70" s="256" t="str" cm="1">
        <f t="array" ref="Q7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70" s="257"/>
      <c r="S70" s="248"/>
      <c r="T70" s="254"/>
      <c r="U70" s="258"/>
      <c r="V70" s="259"/>
      <c r="W70" s="259"/>
      <c r="X70" s="255"/>
      <c r="Y70" s="259"/>
      <c r="Z70" s="259"/>
      <c r="AA70" s="260" t="str" cm="1">
        <f t="array" ref="AA7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70" s="125"/>
      <c r="AD70" s="124"/>
    </row>
    <row r="71" spans="1:30" s="122" customFormat="1">
      <c r="A7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VenezulanosVE0702</v>
      </c>
      <c r="B71" s="105" t="s">
        <v>180</v>
      </c>
      <c r="C71" s="104" t="s">
        <v>239</v>
      </c>
      <c r="D71" s="119" t="s">
        <v>242</v>
      </c>
      <c r="E71" s="104" t="s">
        <v>243</v>
      </c>
      <c r="F71" s="113"/>
      <c r="G71" s="119"/>
      <c r="H71" s="119"/>
      <c r="I71" s="102">
        <v>68514</v>
      </c>
      <c r="J71" s="103" t="s">
        <v>901</v>
      </c>
      <c r="K71" s="150"/>
      <c r="L71" s="150"/>
      <c r="M71" s="150"/>
      <c r="N71" s="254" t="str" cm="1">
        <f t="array" ref="N7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71" s="255"/>
      <c r="P71" s="248"/>
      <c r="Q71" s="256" t="str" cm="1">
        <f t="array" ref="Q7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71" s="257"/>
      <c r="S71" s="248"/>
      <c r="T71" s="254"/>
      <c r="U71" s="258"/>
      <c r="V71" s="259"/>
      <c r="W71" s="259"/>
      <c r="X71" s="255"/>
      <c r="Y71" s="259"/>
      <c r="Z71" s="259"/>
      <c r="AA71" s="260" t="str" cm="1">
        <f t="array" ref="AA7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71" s="125"/>
      <c r="AD71" s="124"/>
    </row>
    <row r="72" spans="1:30" s="122" customFormat="1">
      <c r="A7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VenezulanosVE0703</v>
      </c>
      <c r="B72" s="105" t="s">
        <v>180</v>
      </c>
      <c r="C72" s="104" t="s">
        <v>239</v>
      </c>
      <c r="D72" s="119" t="s">
        <v>244</v>
      </c>
      <c r="E72" s="104" t="s">
        <v>245</v>
      </c>
      <c r="F72" s="113"/>
      <c r="G72" s="119"/>
      <c r="H72" s="119"/>
      <c r="I72" s="102">
        <v>22263</v>
      </c>
      <c r="J72" s="103" t="s">
        <v>901</v>
      </c>
      <c r="K72" s="150"/>
      <c r="L72" s="150"/>
      <c r="M72" s="150"/>
      <c r="N72" s="254" t="str" cm="1">
        <f t="array" ref="N7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72" s="255"/>
      <c r="P72" s="248"/>
      <c r="Q72" s="256" t="str" cm="1">
        <f t="array" ref="Q7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72" s="257"/>
      <c r="S72" s="248"/>
      <c r="T72" s="254"/>
      <c r="U72" s="258"/>
      <c r="V72" s="259"/>
      <c r="W72" s="259"/>
      <c r="X72" s="255"/>
      <c r="Y72" s="259"/>
      <c r="Z72" s="259"/>
      <c r="AA72" s="260" t="str" cm="1">
        <f t="array" ref="AA7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72" s="125"/>
      <c r="AD72" s="124"/>
    </row>
    <row r="73" spans="1:30" s="122" customFormat="1">
      <c r="A7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VenezulanosVE0704</v>
      </c>
      <c r="B73" s="105" t="s">
        <v>180</v>
      </c>
      <c r="C73" s="104" t="s">
        <v>239</v>
      </c>
      <c r="D73" s="119" t="s">
        <v>246</v>
      </c>
      <c r="E73" s="104" t="s">
        <v>247</v>
      </c>
      <c r="F73" s="113"/>
      <c r="G73" s="119"/>
      <c r="H73" s="119"/>
      <c r="I73" s="102">
        <v>29091</v>
      </c>
      <c r="J73" s="103" t="s">
        <v>901</v>
      </c>
      <c r="K73" s="150"/>
      <c r="L73" s="150"/>
      <c r="M73" s="150"/>
      <c r="N73" s="254" t="str" cm="1">
        <f t="array" ref="N7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73" s="255"/>
      <c r="P73" s="248"/>
      <c r="Q73" s="256" t="str" cm="1">
        <f t="array" ref="Q7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73" s="257"/>
      <c r="S73" s="248"/>
      <c r="T73" s="254"/>
      <c r="U73" s="258"/>
      <c r="V73" s="259"/>
      <c r="W73" s="259"/>
      <c r="X73" s="255"/>
      <c r="Y73" s="259"/>
      <c r="Z73" s="259"/>
      <c r="AA73" s="260" t="str" cm="1">
        <f t="array" ref="AA7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73" s="125"/>
      <c r="AD73" s="124"/>
    </row>
    <row r="74" spans="1:30" s="122" customFormat="1">
      <c r="A7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VenezulanosVE0705</v>
      </c>
      <c r="B74" s="105" t="s">
        <v>180</v>
      </c>
      <c r="C74" s="104" t="s">
        <v>239</v>
      </c>
      <c r="D74" s="119" t="s">
        <v>803</v>
      </c>
      <c r="E74" s="104" t="s">
        <v>249</v>
      </c>
      <c r="F74" s="113"/>
      <c r="G74" s="119"/>
      <c r="H74" s="119"/>
      <c r="I74" s="102">
        <v>350010</v>
      </c>
      <c r="J74" s="103" t="s">
        <v>901</v>
      </c>
      <c r="K74" s="150"/>
      <c r="L74" s="150"/>
      <c r="M74" s="150"/>
      <c r="N74" s="254" t="str" cm="1">
        <f t="array" ref="N7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74" s="255"/>
      <c r="P74" s="248"/>
      <c r="Q74" s="256" t="str" cm="1">
        <f t="array" ref="Q7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74" s="257"/>
      <c r="S74" s="248"/>
      <c r="T74" s="254"/>
      <c r="U74" s="258"/>
      <c r="V74" s="259"/>
      <c r="W74" s="259"/>
      <c r="X74" s="255"/>
      <c r="Y74" s="259"/>
      <c r="Z74" s="259"/>
      <c r="AA74" s="260" t="str" cm="1">
        <f t="array" ref="AA7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74" s="125"/>
      <c r="AD74" s="124"/>
    </row>
    <row r="75" spans="1:30" s="122" customFormat="1">
      <c r="A7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VenezulanosVE0706</v>
      </c>
      <c r="B75" s="105" t="s">
        <v>180</v>
      </c>
      <c r="C75" s="104" t="s">
        <v>239</v>
      </c>
      <c r="D75" s="119" t="s">
        <v>250</v>
      </c>
      <c r="E75" s="104" t="s">
        <v>251</v>
      </c>
      <c r="F75" s="113"/>
      <c r="G75" s="119"/>
      <c r="H75" s="119"/>
      <c r="I75" s="102">
        <v>100488</v>
      </c>
      <c r="J75" s="103" t="s">
        <v>901</v>
      </c>
      <c r="K75" s="150"/>
      <c r="L75" s="150"/>
      <c r="M75" s="150"/>
      <c r="N75" s="254" t="str" cm="1">
        <f t="array" ref="N7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75" s="255"/>
      <c r="P75" s="248"/>
      <c r="Q75" s="256" t="str" cm="1">
        <f t="array" ref="Q7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75" s="257"/>
      <c r="S75" s="248"/>
      <c r="T75" s="254"/>
      <c r="U75" s="258"/>
      <c r="V75" s="259"/>
      <c r="W75" s="259"/>
      <c r="X75" s="255"/>
      <c r="Y75" s="259"/>
      <c r="Z75" s="259"/>
      <c r="AA75" s="260" t="str" cm="1">
        <f t="array" ref="AA7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75" s="125"/>
      <c r="AD75" s="124"/>
    </row>
    <row r="76" spans="1:30" s="122" customFormat="1">
      <c r="A7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VenezulanosVE0707</v>
      </c>
      <c r="B76" s="105" t="s">
        <v>180</v>
      </c>
      <c r="C76" s="104" t="s">
        <v>239</v>
      </c>
      <c r="D76" s="119" t="s">
        <v>252</v>
      </c>
      <c r="E76" s="104" t="s">
        <v>253</v>
      </c>
      <c r="F76" s="113"/>
      <c r="G76" s="119"/>
      <c r="H76" s="119"/>
      <c r="I76" s="102">
        <v>41853</v>
      </c>
      <c r="J76" s="103" t="s">
        <v>901</v>
      </c>
      <c r="K76" s="150"/>
      <c r="L76" s="150"/>
      <c r="M76" s="150"/>
      <c r="N76" s="254" t="str" cm="1">
        <f t="array" ref="N7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76" s="255"/>
      <c r="P76" s="248"/>
      <c r="Q76" s="256" t="str" cm="1">
        <f t="array" ref="Q7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76" s="257"/>
      <c r="S76" s="248"/>
      <c r="T76" s="254"/>
      <c r="U76" s="258"/>
      <c r="V76" s="259"/>
      <c r="W76" s="259"/>
      <c r="X76" s="255"/>
      <c r="Y76" s="259"/>
      <c r="Z76" s="259"/>
      <c r="AA76" s="260" t="str" cm="1">
        <f t="array" ref="AA7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76" s="125"/>
      <c r="AD76" s="124"/>
    </row>
    <row r="77" spans="1:30" s="122" customFormat="1">
      <c r="A7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VenezulanosVE0708</v>
      </c>
      <c r="B77" s="105" t="s">
        <v>180</v>
      </c>
      <c r="C77" s="104" t="s">
        <v>239</v>
      </c>
      <c r="D77" s="119" t="s">
        <v>254</v>
      </c>
      <c r="E77" s="104" t="s">
        <v>255</v>
      </c>
      <c r="F77" s="113"/>
      <c r="G77" s="119"/>
      <c r="H77" s="119"/>
      <c r="I77" s="102">
        <v>22248</v>
      </c>
      <c r="J77" s="103" t="s">
        <v>901</v>
      </c>
      <c r="K77" s="150"/>
      <c r="L77" s="150"/>
      <c r="M77" s="150"/>
      <c r="N77" s="254" t="str" cm="1">
        <f t="array" ref="N7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77" s="255"/>
      <c r="P77" s="248"/>
      <c r="Q77" s="256" t="str" cm="1">
        <f t="array" ref="Q7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77" s="257"/>
      <c r="S77" s="248"/>
      <c r="T77" s="254"/>
      <c r="U77" s="258"/>
      <c r="V77" s="259"/>
      <c r="W77" s="259"/>
      <c r="X77" s="255"/>
      <c r="Y77" s="259"/>
      <c r="Z77" s="259"/>
      <c r="AA77" s="260" t="str" cm="1">
        <f t="array" ref="AA7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77" s="125"/>
      <c r="AD77" s="124"/>
    </row>
    <row r="78" spans="1:30" s="122" customFormat="1">
      <c r="A7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VenezulanosVE0709</v>
      </c>
      <c r="B78" s="105" t="s">
        <v>180</v>
      </c>
      <c r="C78" s="104" t="s">
        <v>239</v>
      </c>
      <c r="D78" s="119" t="s">
        <v>256</v>
      </c>
      <c r="E78" s="104" t="s">
        <v>257</v>
      </c>
      <c r="F78" s="113"/>
      <c r="G78" s="119"/>
      <c r="H78" s="119"/>
      <c r="I78" s="102">
        <v>51214</v>
      </c>
      <c r="J78" s="103" t="s">
        <v>901</v>
      </c>
      <c r="K78" s="150"/>
      <c r="L78" s="150"/>
      <c r="M78" s="150"/>
      <c r="N78" s="254" t="str" cm="1">
        <f t="array" ref="N7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78" s="255"/>
      <c r="P78" s="248"/>
      <c r="Q78" s="256" t="str" cm="1">
        <f t="array" ref="Q7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78" s="257"/>
      <c r="S78" s="248"/>
      <c r="T78" s="254"/>
      <c r="U78" s="258"/>
      <c r="V78" s="259"/>
      <c r="W78" s="259"/>
      <c r="X78" s="255"/>
      <c r="Y78" s="259"/>
      <c r="Z78" s="259"/>
      <c r="AA78" s="260" t="str" cm="1">
        <f t="array" ref="AA7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78" s="125"/>
      <c r="AD78" s="124"/>
    </row>
    <row r="79" spans="1:30" s="122" customFormat="1">
      <c r="A7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VenezulanosVE0710</v>
      </c>
      <c r="B79" s="105" t="s">
        <v>180</v>
      </c>
      <c r="C79" s="104" t="s">
        <v>239</v>
      </c>
      <c r="D79" s="119" t="s">
        <v>203</v>
      </c>
      <c r="E79" s="104" t="s">
        <v>258</v>
      </c>
      <c r="F79" s="113"/>
      <c r="G79" s="119"/>
      <c r="H79" s="119"/>
      <c r="I79" s="102">
        <v>20817</v>
      </c>
      <c r="J79" s="103" t="s">
        <v>901</v>
      </c>
      <c r="K79" s="150"/>
      <c r="L79" s="150"/>
      <c r="M79" s="150"/>
      <c r="N79" s="254" t="str" cm="1">
        <f t="array" ref="N7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79" s="255"/>
      <c r="P79" s="248"/>
      <c r="Q79" s="256" t="str" cm="1">
        <f t="array" ref="Q7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79" s="257"/>
      <c r="S79" s="248"/>
      <c r="T79" s="254"/>
      <c r="U79" s="258"/>
      <c r="V79" s="259"/>
      <c r="W79" s="259"/>
      <c r="X79" s="255"/>
      <c r="Y79" s="259"/>
      <c r="Z79" s="259"/>
      <c r="AA79" s="260" t="str" cm="1">
        <f t="array" ref="AA7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79" s="125"/>
      <c r="AD79" s="124"/>
    </row>
    <row r="80" spans="1:30" s="122" customFormat="1">
      <c r="A8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VenezulanosVE0711</v>
      </c>
      <c r="B80" s="105" t="s">
        <v>180</v>
      </c>
      <c r="C80" s="104" t="s">
        <v>239</v>
      </c>
      <c r="D80" s="119" t="s">
        <v>259</v>
      </c>
      <c r="E80" s="104" t="s">
        <v>260</v>
      </c>
      <c r="F80" s="113"/>
      <c r="G80" s="119"/>
      <c r="H80" s="119"/>
      <c r="I80" s="102">
        <v>15835</v>
      </c>
      <c r="J80" s="103" t="s">
        <v>901</v>
      </c>
      <c r="K80" s="150"/>
      <c r="L80" s="150"/>
      <c r="M80" s="150"/>
      <c r="N80" s="254" t="str" cm="1">
        <f t="array" ref="N8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80" s="255"/>
      <c r="P80" s="248"/>
      <c r="Q80" s="256" t="str" cm="1">
        <f t="array" ref="Q8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80" s="257"/>
      <c r="S80" s="248"/>
      <c r="T80" s="254"/>
      <c r="U80" s="258"/>
      <c r="V80" s="259"/>
      <c r="W80" s="259"/>
      <c r="X80" s="255"/>
      <c r="Y80" s="259"/>
      <c r="Z80" s="259"/>
      <c r="AA80" s="260" t="str" cm="1">
        <f t="array" ref="AA8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80" s="125"/>
      <c r="AD80" s="124"/>
    </row>
    <row r="81" spans="1:30" s="122" customFormat="1">
      <c r="A8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VenezulanosVE0801</v>
      </c>
      <c r="B81" s="105" t="s">
        <v>261</v>
      </c>
      <c r="C81" s="104" t="s">
        <v>262</v>
      </c>
      <c r="D81" s="119" t="s">
        <v>263</v>
      </c>
      <c r="E81" s="104" t="s">
        <v>264</v>
      </c>
      <c r="F81" s="113"/>
      <c r="G81" s="119"/>
      <c r="H81" s="119"/>
      <c r="I81" s="102">
        <v>49631</v>
      </c>
      <c r="J81" s="103" t="s">
        <v>901</v>
      </c>
      <c r="K81" s="150"/>
      <c r="L81" s="150"/>
      <c r="M81" s="150"/>
      <c r="N81" s="254" t="str" cm="1">
        <f t="array" ref="N8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81" s="255"/>
      <c r="P81" s="248"/>
      <c r="Q81" s="256" t="str" cm="1">
        <f t="array" ref="Q8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81" s="257"/>
      <c r="S81" s="248"/>
      <c r="T81" s="254"/>
      <c r="U81" s="258"/>
      <c r="V81" s="259"/>
      <c r="W81" s="259"/>
      <c r="X81" s="255"/>
      <c r="Y81" s="259"/>
      <c r="Z81" s="259"/>
      <c r="AA81" s="260" t="str" cm="1">
        <f t="array" ref="AA8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81" s="125"/>
      <c r="AD81" s="124"/>
    </row>
    <row r="82" spans="1:30" s="122" customFormat="1">
      <c r="A8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VenezulanosVE0802</v>
      </c>
      <c r="B82" s="105" t="s">
        <v>261</v>
      </c>
      <c r="C82" s="104" t="s">
        <v>262</v>
      </c>
      <c r="D82" s="119" t="s">
        <v>265</v>
      </c>
      <c r="E82" s="104" t="s">
        <v>266</v>
      </c>
      <c r="F82" s="113"/>
      <c r="G82" s="119"/>
      <c r="H82" s="119"/>
      <c r="I82" s="102">
        <v>153665</v>
      </c>
      <c r="J82" s="103" t="s">
        <v>901</v>
      </c>
      <c r="K82" s="150"/>
      <c r="L82" s="150"/>
      <c r="M82" s="150"/>
      <c r="N82" s="254" t="str" cm="1">
        <f t="array" ref="N8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82" s="255"/>
      <c r="P82" s="248"/>
      <c r="Q82" s="256" t="str" cm="1">
        <f t="array" ref="Q8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82" s="257"/>
      <c r="S82" s="248"/>
      <c r="T82" s="254"/>
      <c r="U82" s="258"/>
      <c r="V82" s="259"/>
      <c r="W82" s="259"/>
      <c r="X82" s="255"/>
      <c r="Y82" s="259"/>
      <c r="Z82" s="259"/>
      <c r="AA82" s="260" t="str" cm="1">
        <f t="array" ref="AA8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82" s="125"/>
      <c r="AD82" s="124"/>
    </row>
    <row r="83" spans="1:30" s="122" customFormat="1">
      <c r="A8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VenezulanosVE0803</v>
      </c>
      <c r="B83" s="105" t="s">
        <v>261</v>
      </c>
      <c r="C83" s="104" t="s">
        <v>262</v>
      </c>
      <c r="D83" s="119" t="s">
        <v>267</v>
      </c>
      <c r="E83" s="104" t="s">
        <v>268</v>
      </c>
      <c r="F83" s="113"/>
      <c r="G83" s="119"/>
      <c r="H83" s="119"/>
      <c r="I83" s="102">
        <v>106893</v>
      </c>
      <c r="J83" s="103" t="s">
        <v>901</v>
      </c>
      <c r="K83" s="150"/>
      <c r="L83" s="150"/>
      <c r="M83" s="150"/>
      <c r="N83" s="254" t="str" cm="1">
        <f t="array" ref="N8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83" s="255"/>
      <c r="P83" s="248"/>
      <c r="Q83" s="256" t="str" cm="1">
        <f t="array" ref="Q8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83" s="257"/>
      <c r="S83" s="248"/>
      <c r="T83" s="254"/>
      <c r="U83" s="258"/>
      <c r="V83" s="259"/>
      <c r="W83" s="259"/>
      <c r="X83" s="255"/>
      <c r="Y83" s="259"/>
      <c r="Z83" s="259"/>
      <c r="AA83" s="260" t="str" cm="1">
        <f t="array" ref="AA8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83" s="125"/>
      <c r="AD83" s="124"/>
    </row>
    <row r="84" spans="1:30" s="122" customFormat="1">
      <c r="A8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VenezulanosVE0804</v>
      </c>
      <c r="B84" s="105" t="s">
        <v>261</v>
      </c>
      <c r="C84" s="104" t="s">
        <v>262</v>
      </c>
      <c r="D84" s="119" t="s">
        <v>269</v>
      </c>
      <c r="E84" s="104" t="s">
        <v>270</v>
      </c>
      <c r="F84" s="113"/>
      <c r="G84" s="119"/>
      <c r="H84" s="119"/>
      <c r="I84" s="102">
        <v>180200</v>
      </c>
      <c r="J84" s="103" t="s">
        <v>901</v>
      </c>
      <c r="K84" s="150"/>
      <c r="L84" s="150"/>
      <c r="M84" s="150"/>
      <c r="N84" s="254" t="str" cm="1">
        <f t="array" ref="N8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84" s="255"/>
      <c r="P84" s="248"/>
      <c r="Q84" s="256" t="str" cm="1">
        <f t="array" ref="Q8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84" s="257"/>
      <c r="S84" s="248"/>
      <c r="T84" s="254"/>
      <c r="U84" s="258"/>
      <c r="V84" s="259"/>
      <c r="W84" s="259"/>
      <c r="X84" s="255"/>
      <c r="Y84" s="259"/>
      <c r="Z84" s="259"/>
      <c r="AA84" s="260" t="str" cm="1">
        <f t="array" ref="AA8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84" s="125"/>
      <c r="AD84" s="124"/>
    </row>
    <row r="85" spans="1:30" s="122" customFormat="1">
      <c r="A8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VenezulanosVE0805</v>
      </c>
      <c r="B85" s="105" t="s">
        <v>261</v>
      </c>
      <c r="C85" s="104" t="s">
        <v>262</v>
      </c>
      <c r="D85" s="119" t="s">
        <v>271</v>
      </c>
      <c r="E85" s="104" t="s">
        <v>272</v>
      </c>
      <c r="F85" s="113"/>
      <c r="G85" s="119"/>
      <c r="H85" s="119"/>
      <c r="I85" s="102">
        <v>70800</v>
      </c>
      <c r="J85" s="103" t="s">
        <v>901</v>
      </c>
      <c r="K85" s="150"/>
      <c r="L85" s="150"/>
      <c r="M85" s="150"/>
      <c r="N85" s="254" t="str" cm="1">
        <f t="array" ref="N8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85" s="255"/>
      <c r="P85" s="248"/>
      <c r="Q85" s="256" t="str" cm="1">
        <f t="array" ref="Q8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85" s="257"/>
      <c r="S85" s="248"/>
      <c r="T85" s="254"/>
      <c r="U85" s="258"/>
      <c r="V85" s="259"/>
      <c r="W85" s="259"/>
      <c r="X85" s="255"/>
      <c r="Y85" s="259"/>
      <c r="Z85" s="259"/>
      <c r="AA85" s="260" t="str" cm="1">
        <f t="array" ref="AA8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85" s="125"/>
      <c r="AD85" s="124"/>
    </row>
    <row r="86" spans="1:30" s="122" customFormat="1">
      <c r="A8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VenezulanosVE0806</v>
      </c>
      <c r="B86" s="105" t="s">
        <v>261</v>
      </c>
      <c r="C86" s="104" t="s">
        <v>262</v>
      </c>
      <c r="D86" s="119" t="s">
        <v>100</v>
      </c>
      <c r="E86" s="104" t="s">
        <v>273</v>
      </c>
      <c r="F86" s="113"/>
      <c r="G86" s="119"/>
      <c r="H86" s="119"/>
      <c r="I86" s="102">
        <v>169912</v>
      </c>
      <c r="J86" s="103" t="s">
        <v>901</v>
      </c>
      <c r="K86" s="150"/>
      <c r="L86" s="150"/>
      <c r="M86" s="150"/>
      <c r="N86" s="254" t="str" cm="1">
        <f t="array" ref="N8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86" s="255"/>
      <c r="P86" s="248"/>
      <c r="Q86" s="256" t="str" cm="1">
        <f t="array" ref="Q8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86" s="257"/>
      <c r="S86" s="248"/>
      <c r="T86" s="254"/>
      <c r="U86" s="258"/>
      <c r="V86" s="259"/>
      <c r="W86" s="259"/>
      <c r="X86" s="255"/>
      <c r="Y86" s="259"/>
      <c r="Z86" s="259"/>
      <c r="AA86" s="260" t="str" cm="1">
        <f t="array" ref="AA8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86" s="125"/>
      <c r="AD86" s="124"/>
    </row>
    <row r="87" spans="1:30" s="122" customFormat="1">
      <c r="A8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VenezulanosVE0807</v>
      </c>
      <c r="B87" s="105" t="s">
        <v>261</v>
      </c>
      <c r="C87" s="104" t="s">
        <v>262</v>
      </c>
      <c r="D87" s="119" t="s">
        <v>274</v>
      </c>
      <c r="E87" s="104" t="s">
        <v>275</v>
      </c>
      <c r="F87" s="113"/>
      <c r="G87" s="119"/>
      <c r="H87" s="119"/>
      <c r="I87" s="102">
        <v>152983</v>
      </c>
      <c r="J87" s="103" t="s">
        <v>901</v>
      </c>
      <c r="K87" s="150"/>
      <c r="L87" s="150"/>
      <c r="M87" s="150"/>
      <c r="N87" s="254" t="str" cm="1">
        <f t="array" ref="N8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87" s="255"/>
      <c r="P87" s="248"/>
      <c r="Q87" s="256" t="str" cm="1">
        <f t="array" ref="Q8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87" s="257"/>
      <c r="S87" s="248"/>
      <c r="T87" s="254"/>
      <c r="U87" s="258"/>
      <c r="V87" s="259"/>
      <c r="W87" s="259"/>
      <c r="X87" s="255"/>
      <c r="Y87" s="259"/>
      <c r="Z87" s="259"/>
      <c r="AA87" s="260" t="str" cm="1">
        <f t="array" ref="AA8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87" s="125"/>
      <c r="AD87" s="124"/>
    </row>
    <row r="88" spans="1:30" s="122" customFormat="1">
      <c r="A8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VenezulanosVE0808</v>
      </c>
      <c r="B88" s="105" t="s">
        <v>261</v>
      </c>
      <c r="C88" s="104" t="s">
        <v>262</v>
      </c>
      <c r="D88" s="119" t="s">
        <v>276</v>
      </c>
      <c r="E88" s="104" t="s">
        <v>277</v>
      </c>
      <c r="F88" s="113"/>
      <c r="G88" s="119"/>
      <c r="H88" s="119"/>
      <c r="I88" s="102">
        <v>29749</v>
      </c>
      <c r="J88" s="103" t="s">
        <v>901</v>
      </c>
      <c r="K88" s="150"/>
      <c r="L88" s="150"/>
      <c r="M88" s="150"/>
      <c r="N88" s="254" t="str" cm="1">
        <f t="array" ref="N8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88" s="255"/>
      <c r="P88" s="248"/>
      <c r="Q88" s="256" t="str" cm="1">
        <f t="array" ref="Q8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88" s="257"/>
      <c r="S88" s="248"/>
      <c r="T88" s="254"/>
      <c r="U88" s="258"/>
      <c r="V88" s="259"/>
      <c r="W88" s="259"/>
      <c r="X88" s="255"/>
      <c r="Y88" s="259"/>
      <c r="Z88" s="259"/>
      <c r="AA88" s="260" t="str" cm="1">
        <f t="array" ref="AA8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88" s="125"/>
      <c r="AD88" s="124"/>
    </row>
    <row r="89" spans="1:30" s="122" customFormat="1">
      <c r="A8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VenezulanosVE0809</v>
      </c>
      <c r="B89" s="105" t="s">
        <v>261</v>
      </c>
      <c r="C89" s="104" t="s">
        <v>262</v>
      </c>
      <c r="D89" s="119" t="s">
        <v>278</v>
      </c>
      <c r="E89" s="104" t="s">
        <v>279</v>
      </c>
      <c r="F89" s="113"/>
      <c r="G89" s="119"/>
      <c r="H89" s="119"/>
      <c r="I89" s="102">
        <v>25468</v>
      </c>
      <c r="J89" s="103" t="s">
        <v>901</v>
      </c>
      <c r="K89" s="150"/>
      <c r="L89" s="150"/>
      <c r="M89" s="150"/>
      <c r="N89" s="254" t="str" cm="1">
        <f t="array" ref="N8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89" s="255"/>
      <c r="P89" s="248"/>
      <c r="Q89" s="256" t="str" cm="1">
        <f t="array" ref="Q8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89" s="257"/>
      <c r="S89" s="248"/>
      <c r="T89" s="254"/>
      <c r="U89" s="258"/>
      <c r="V89" s="259"/>
      <c r="W89" s="259"/>
      <c r="X89" s="255"/>
      <c r="Y89" s="259"/>
      <c r="Z89" s="259"/>
      <c r="AA89" s="260" t="str" cm="1">
        <f t="array" ref="AA8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89" s="125"/>
      <c r="AD89" s="124"/>
    </row>
    <row r="90" spans="1:30" s="122" customFormat="1">
      <c r="A9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VenezulanosVE0810</v>
      </c>
      <c r="B90" s="105" t="s">
        <v>261</v>
      </c>
      <c r="C90" s="104" t="s">
        <v>262</v>
      </c>
      <c r="D90" s="119" t="s">
        <v>280</v>
      </c>
      <c r="E90" s="104" t="s">
        <v>281</v>
      </c>
      <c r="F90" s="113"/>
      <c r="G90" s="119"/>
      <c r="H90" s="119"/>
      <c r="I90" s="102">
        <v>160991</v>
      </c>
      <c r="J90" s="103" t="s">
        <v>901</v>
      </c>
      <c r="K90" s="150"/>
      <c r="L90" s="150"/>
      <c r="M90" s="150"/>
      <c r="N90" s="254" t="str" cm="1">
        <f t="array" ref="N9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90" s="255"/>
      <c r="P90" s="248"/>
      <c r="Q90" s="256" t="str" cm="1">
        <f t="array" ref="Q9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90" s="257"/>
      <c r="S90" s="248"/>
      <c r="T90" s="254"/>
      <c r="U90" s="258"/>
      <c r="V90" s="259"/>
      <c r="W90" s="259"/>
      <c r="X90" s="255"/>
      <c r="Y90" s="259"/>
      <c r="Z90" s="259"/>
      <c r="AA90" s="260" t="str" cm="1">
        <f t="array" ref="AA9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90" s="125"/>
      <c r="AD90" s="124"/>
    </row>
    <row r="91" spans="1:30" s="122" customFormat="1">
      <c r="A9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VenezulanosVE0811</v>
      </c>
      <c r="B91" s="105" t="s">
        <v>261</v>
      </c>
      <c r="C91" s="104" t="s">
        <v>262</v>
      </c>
      <c r="D91" s="119" t="s">
        <v>282</v>
      </c>
      <c r="E91" s="104" t="s">
        <v>283</v>
      </c>
      <c r="F91" s="113"/>
      <c r="G91" s="119"/>
      <c r="H91" s="119"/>
      <c r="I91" s="102">
        <v>186622</v>
      </c>
      <c r="J91" s="103" t="s">
        <v>901</v>
      </c>
      <c r="K91" s="150"/>
      <c r="L91" s="150"/>
      <c r="M91" s="150"/>
      <c r="N91" s="254" t="str" cm="1">
        <f t="array" ref="N9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91" s="255"/>
      <c r="P91" s="248"/>
      <c r="Q91" s="256" t="str" cm="1">
        <f t="array" ref="Q9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91" s="257"/>
      <c r="S91" s="248"/>
      <c r="T91" s="254"/>
      <c r="U91" s="258"/>
      <c r="V91" s="259"/>
      <c r="W91" s="259"/>
      <c r="X91" s="255"/>
      <c r="Y91" s="259"/>
      <c r="Z91" s="259"/>
      <c r="AA91" s="260" t="str" cm="1">
        <f t="array" ref="AA9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91" s="125"/>
      <c r="AD91" s="124"/>
    </row>
    <row r="92" spans="1:30" s="122" customFormat="1">
      <c r="A9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VenezulanosVE0812</v>
      </c>
      <c r="B92" s="105" t="s">
        <v>261</v>
      </c>
      <c r="C92" s="104" t="s">
        <v>262</v>
      </c>
      <c r="D92" s="119" t="s">
        <v>284</v>
      </c>
      <c r="E92" s="104" t="s">
        <v>285</v>
      </c>
      <c r="F92" s="113"/>
      <c r="G92" s="119"/>
      <c r="H92" s="119"/>
      <c r="I92" s="102">
        <v>95367</v>
      </c>
      <c r="J92" s="103" t="s">
        <v>901</v>
      </c>
      <c r="K92" s="150"/>
      <c r="L92" s="150"/>
      <c r="M92" s="150"/>
      <c r="N92" s="254" t="str" cm="1">
        <f t="array" ref="N9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92" s="255"/>
      <c r="P92" s="248"/>
      <c r="Q92" s="256" t="str" cm="1">
        <f t="array" ref="Q9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92" s="257"/>
      <c r="S92" s="248"/>
      <c r="T92" s="254"/>
      <c r="U92" s="258"/>
      <c r="V92" s="259"/>
      <c r="W92" s="259"/>
      <c r="X92" s="255"/>
      <c r="Y92" s="259"/>
      <c r="Z92" s="259"/>
      <c r="AA92" s="260" t="str" cm="1">
        <f t="array" ref="AA9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92" s="125"/>
      <c r="AD92" s="124"/>
    </row>
    <row r="93" spans="1:30" s="122" customFormat="1">
      <c r="A9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VenezulanosVE0813</v>
      </c>
      <c r="B93" s="105" t="s">
        <v>261</v>
      </c>
      <c r="C93" s="104" t="s">
        <v>262</v>
      </c>
      <c r="D93" s="119" t="s">
        <v>286</v>
      </c>
      <c r="E93" s="104" t="s">
        <v>287</v>
      </c>
      <c r="F93" s="113"/>
      <c r="G93" s="119"/>
      <c r="H93" s="119"/>
      <c r="I93" s="102">
        <v>65575</v>
      </c>
      <c r="J93" s="103" t="s">
        <v>901</v>
      </c>
      <c r="K93" s="150"/>
      <c r="L93" s="150"/>
      <c r="M93" s="150"/>
      <c r="N93" s="254" t="str" cm="1">
        <f t="array" ref="N9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93" s="255"/>
      <c r="P93" s="248"/>
      <c r="Q93" s="256" t="str" cm="1">
        <f t="array" ref="Q9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93" s="257"/>
      <c r="S93" s="248"/>
      <c r="T93" s="254"/>
      <c r="U93" s="258"/>
      <c r="V93" s="259"/>
      <c r="W93" s="259"/>
      <c r="X93" s="255"/>
      <c r="Y93" s="259"/>
      <c r="Z93" s="259"/>
      <c r="AA93" s="260" t="str" cm="1">
        <f t="array" ref="AA9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93" s="125"/>
      <c r="AD93" s="124"/>
    </row>
    <row r="94" spans="1:30" s="122" customFormat="1">
      <c r="A9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VenezulanosVE0814</v>
      </c>
      <c r="B94" s="105" t="s">
        <v>261</v>
      </c>
      <c r="C94" s="104" t="s">
        <v>262</v>
      </c>
      <c r="D94" s="119" t="s">
        <v>288</v>
      </c>
      <c r="E94" s="104" t="s">
        <v>289</v>
      </c>
      <c r="F94" s="113"/>
      <c r="G94" s="119"/>
      <c r="H94" s="119"/>
      <c r="I94" s="102">
        <v>848590</v>
      </c>
      <c r="J94" s="103" t="s">
        <v>901</v>
      </c>
      <c r="K94" s="150"/>
      <c r="L94" s="150"/>
      <c r="M94" s="150"/>
      <c r="N94" s="254" t="str" cm="1">
        <f t="array" ref="N9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94" s="255"/>
      <c r="P94" s="248"/>
      <c r="Q94" s="256" t="str" cm="1">
        <f t="array" ref="Q9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94" s="257"/>
      <c r="S94" s="248"/>
      <c r="T94" s="254"/>
      <c r="U94" s="258"/>
      <c r="V94" s="259"/>
      <c r="W94" s="259"/>
      <c r="X94" s="255"/>
      <c r="Y94" s="259"/>
      <c r="Z94" s="259"/>
      <c r="AA94" s="260" t="str" cm="1">
        <f t="array" ref="AA9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94" s="125"/>
      <c r="AD94" s="124"/>
    </row>
    <row r="95" spans="1:30" s="122" customFormat="1">
      <c r="A9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VenezulanosVE0901</v>
      </c>
      <c r="B95" s="105" t="s">
        <v>290</v>
      </c>
      <c r="C95" s="104" t="s">
        <v>291</v>
      </c>
      <c r="D95" s="119" t="s">
        <v>119</v>
      </c>
      <c r="E95" s="104" t="s">
        <v>292</v>
      </c>
      <c r="F95" s="113"/>
      <c r="G95" s="119"/>
      <c r="H95" s="119"/>
      <c r="I95" s="102">
        <v>17417</v>
      </c>
      <c r="J95" s="103" t="s">
        <v>901</v>
      </c>
      <c r="K95" s="150"/>
      <c r="L95" s="150"/>
      <c r="M95" s="150"/>
      <c r="N95" s="254" t="str" cm="1">
        <f t="array" ref="N9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95" s="255"/>
      <c r="P95" s="248"/>
      <c r="Q95" s="256" t="str" cm="1">
        <f t="array" ref="Q9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95" s="257"/>
      <c r="S95" s="248"/>
      <c r="T95" s="254"/>
      <c r="U95" s="258"/>
      <c r="V95" s="259"/>
      <c r="W95" s="259"/>
      <c r="X95" s="255"/>
      <c r="Y95" s="259"/>
      <c r="Z95" s="259"/>
      <c r="AA95" s="260" t="str" cm="1">
        <f t="array" ref="AA9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95" s="125"/>
      <c r="AD95" s="124"/>
    </row>
    <row r="96" spans="1:30" s="122" customFormat="1">
      <c r="A9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VenezulanosVE0902</v>
      </c>
      <c r="B96" s="105" t="s">
        <v>290</v>
      </c>
      <c r="C96" s="104" t="s">
        <v>291</v>
      </c>
      <c r="D96" s="119" t="s">
        <v>293</v>
      </c>
      <c r="E96" s="104" t="s">
        <v>294</v>
      </c>
      <c r="F96" s="113"/>
      <c r="G96" s="119"/>
      <c r="H96" s="119"/>
      <c r="I96" s="102">
        <v>99893</v>
      </c>
      <c r="J96" s="103" t="s">
        <v>901</v>
      </c>
      <c r="K96" s="150"/>
      <c r="L96" s="150"/>
      <c r="M96" s="150"/>
      <c r="N96" s="254" t="str" cm="1">
        <f t="array" ref="N9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96" s="255"/>
      <c r="P96" s="248"/>
      <c r="Q96" s="256" t="str" cm="1">
        <f t="array" ref="Q9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96" s="257"/>
      <c r="S96" s="248"/>
      <c r="T96" s="254"/>
      <c r="U96" s="258"/>
      <c r="V96" s="259"/>
      <c r="W96" s="259"/>
      <c r="X96" s="255"/>
      <c r="Y96" s="259"/>
      <c r="Z96" s="259"/>
      <c r="AA96" s="260" t="str" cm="1">
        <f t="array" ref="AA9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96" s="125"/>
      <c r="AD96" s="124"/>
    </row>
    <row r="97" spans="1:30" s="122" customFormat="1">
      <c r="A9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VenezulanosVE0903</v>
      </c>
      <c r="B97" s="105" t="s">
        <v>290</v>
      </c>
      <c r="C97" s="104" t="s">
        <v>291</v>
      </c>
      <c r="D97" s="119" t="s">
        <v>184</v>
      </c>
      <c r="E97" s="104" t="s">
        <v>295</v>
      </c>
      <c r="F97" s="113"/>
      <c r="G97" s="119"/>
      <c r="H97" s="119"/>
      <c r="I97" s="102">
        <v>12180</v>
      </c>
      <c r="J97" s="103" t="s">
        <v>901</v>
      </c>
      <c r="K97" s="150"/>
      <c r="L97" s="150"/>
      <c r="M97" s="150"/>
      <c r="N97" s="254" t="str" cm="1">
        <f t="array" ref="N9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97" s="255"/>
      <c r="P97" s="248"/>
      <c r="Q97" s="256" t="str" cm="1">
        <f t="array" ref="Q9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97" s="257"/>
      <c r="S97" s="248"/>
      <c r="T97" s="254"/>
      <c r="U97" s="258"/>
      <c r="V97" s="259"/>
      <c r="W97" s="259"/>
      <c r="X97" s="255"/>
      <c r="Y97" s="259"/>
      <c r="Z97" s="259"/>
      <c r="AA97" s="260" t="str" cm="1">
        <f t="array" ref="AA9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97" s="125"/>
      <c r="AD97" s="124"/>
    </row>
    <row r="98" spans="1:30" s="122" customFormat="1">
      <c r="A9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VenezulanosVE0904</v>
      </c>
      <c r="B98" s="105" t="s">
        <v>290</v>
      </c>
      <c r="C98" s="104" t="s">
        <v>291</v>
      </c>
      <c r="D98" s="119" t="s">
        <v>296</v>
      </c>
      <c r="E98" s="104" t="s">
        <v>297</v>
      </c>
      <c r="F98" s="113"/>
      <c r="G98" s="119"/>
      <c r="H98" s="119"/>
      <c r="I98" s="102">
        <v>9664</v>
      </c>
      <c r="J98" s="103" t="s">
        <v>901</v>
      </c>
      <c r="K98" s="150"/>
      <c r="L98" s="150"/>
      <c r="M98" s="150"/>
      <c r="N98" s="254" t="str" cm="1">
        <f t="array" ref="N9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98" s="255"/>
      <c r="P98" s="248"/>
      <c r="Q98" s="256" t="str" cm="1">
        <f t="array" ref="Q9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98" s="257"/>
      <c r="S98" s="248"/>
      <c r="T98" s="254"/>
      <c r="U98" s="258"/>
      <c r="V98" s="259"/>
      <c r="W98" s="259"/>
      <c r="X98" s="255"/>
      <c r="Y98" s="259"/>
      <c r="Z98" s="259"/>
      <c r="AA98" s="260" t="str" cm="1">
        <f t="array" ref="AA9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98" s="125"/>
      <c r="AD98" s="124"/>
    </row>
    <row r="99" spans="1:30" s="122" customFormat="1">
      <c r="A9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VenezulanosVE0905</v>
      </c>
      <c r="B99" s="105" t="s">
        <v>290</v>
      </c>
      <c r="C99" s="104" t="s">
        <v>291</v>
      </c>
      <c r="D99" s="119" t="s">
        <v>829</v>
      </c>
      <c r="E99" s="104" t="s">
        <v>299</v>
      </c>
      <c r="F99" s="113"/>
      <c r="G99" s="119"/>
      <c r="H99" s="119"/>
      <c r="I99" s="102">
        <v>17187</v>
      </c>
      <c r="J99" s="103" t="s">
        <v>901</v>
      </c>
      <c r="K99" s="150"/>
      <c r="L99" s="150"/>
      <c r="M99" s="150"/>
      <c r="N99" s="254" t="str" cm="1">
        <f t="array" ref="N9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99" s="255"/>
      <c r="P99" s="248"/>
      <c r="Q99" s="256" t="str" cm="1">
        <f t="array" ref="Q9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99" s="257"/>
      <c r="S99" s="248"/>
      <c r="T99" s="254"/>
      <c r="U99" s="258"/>
      <c r="V99" s="259"/>
      <c r="W99" s="259"/>
      <c r="X99" s="255"/>
      <c r="Y99" s="259"/>
      <c r="Z99" s="259"/>
      <c r="AA99" s="260" t="str" cm="1">
        <f t="array" ref="AA9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99" s="125"/>
      <c r="AD99" s="124"/>
    </row>
    <row r="100" spans="1:30" s="122" customFormat="1">
      <c r="A10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VenezulanosVE0906</v>
      </c>
      <c r="B100" s="105" t="s">
        <v>290</v>
      </c>
      <c r="C100" s="104" t="s">
        <v>291</v>
      </c>
      <c r="D100" s="119" t="s">
        <v>300</v>
      </c>
      <c r="E100" s="104" t="s">
        <v>301</v>
      </c>
      <c r="F100" s="113"/>
      <c r="G100" s="119"/>
      <c r="H100" s="119"/>
      <c r="I100" s="102">
        <v>12936</v>
      </c>
      <c r="J100" s="103" t="s">
        <v>901</v>
      </c>
      <c r="K100" s="150"/>
      <c r="L100" s="150"/>
      <c r="M100" s="150"/>
      <c r="N100" s="254" t="str" cm="1">
        <f t="array" ref="N10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00" s="255"/>
      <c r="P100" s="248"/>
      <c r="Q100" s="256" t="str" cm="1">
        <f t="array" ref="Q10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00" s="257"/>
      <c r="S100" s="248"/>
      <c r="T100" s="254"/>
      <c r="U100" s="258"/>
      <c r="V100" s="259"/>
      <c r="W100" s="259"/>
      <c r="X100" s="255"/>
      <c r="Y100" s="259"/>
      <c r="Z100" s="259"/>
      <c r="AA100" s="260" t="str" cm="1">
        <f t="array" ref="AA10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00" s="125"/>
      <c r="AD100" s="124"/>
    </row>
    <row r="101" spans="1:30" s="122" customFormat="1">
      <c r="A10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VenezulanosVE0907</v>
      </c>
      <c r="B101" s="105" t="s">
        <v>290</v>
      </c>
      <c r="C101" s="104" t="s">
        <v>291</v>
      </c>
      <c r="D101" s="119" t="s">
        <v>175</v>
      </c>
      <c r="E101" s="104" t="s">
        <v>302</v>
      </c>
      <c r="F101" s="113"/>
      <c r="G101" s="119"/>
      <c r="H101" s="119"/>
      <c r="I101" s="102">
        <v>18712</v>
      </c>
      <c r="J101" s="103" t="s">
        <v>901</v>
      </c>
      <c r="K101" s="150"/>
      <c r="L101" s="150"/>
      <c r="M101" s="150"/>
      <c r="N101" s="254" t="str" cm="1">
        <f t="array" ref="N10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01" s="255"/>
      <c r="P101" s="248"/>
      <c r="Q101" s="256" t="str" cm="1">
        <f t="array" ref="Q10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01" s="257"/>
      <c r="S101" s="248"/>
      <c r="T101" s="254"/>
      <c r="U101" s="258"/>
      <c r="V101" s="259"/>
      <c r="W101" s="259"/>
      <c r="X101" s="255"/>
      <c r="Y101" s="259"/>
      <c r="Z101" s="259"/>
      <c r="AA101" s="260" t="str" cm="1">
        <f t="array" ref="AA10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01" s="125"/>
      <c r="AD101" s="124"/>
    </row>
    <row r="102" spans="1:30" s="122" customFormat="1">
      <c r="A10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VenezulanosVE0908</v>
      </c>
      <c r="B102" s="105" t="s">
        <v>290</v>
      </c>
      <c r="C102" s="104" t="s">
        <v>291</v>
      </c>
      <c r="D102" s="119" t="s">
        <v>227</v>
      </c>
      <c r="E102" s="104" t="s">
        <v>303</v>
      </c>
      <c r="F102" s="113"/>
      <c r="G102" s="119"/>
      <c r="H102" s="119"/>
      <c r="I102" s="102">
        <v>109167</v>
      </c>
      <c r="J102" s="103" t="s">
        <v>901</v>
      </c>
      <c r="K102" s="150"/>
      <c r="L102" s="150"/>
      <c r="M102" s="150"/>
      <c r="N102" s="254" t="str" cm="1">
        <f t="array" ref="N10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02" s="255"/>
      <c r="P102" s="248"/>
      <c r="Q102" s="256" t="str" cm="1">
        <f t="array" ref="Q10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02" s="257"/>
      <c r="S102" s="248"/>
      <c r="T102" s="254"/>
      <c r="U102" s="258"/>
      <c r="V102" s="259"/>
      <c r="W102" s="259"/>
      <c r="X102" s="255"/>
      <c r="Y102" s="259"/>
      <c r="Z102" s="259"/>
      <c r="AA102" s="260" t="str" cm="1">
        <f t="array" ref="AA10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02" s="125"/>
      <c r="AD102" s="124"/>
    </row>
    <row r="103" spans="1:30" s="122" customFormat="1">
      <c r="A10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VenezulanosVE0909</v>
      </c>
      <c r="B103" s="105" t="s">
        <v>290</v>
      </c>
      <c r="C103" s="104" t="s">
        <v>291</v>
      </c>
      <c r="D103" s="119" t="s">
        <v>304</v>
      </c>
      <c r="E103" s="104" t="s">
        <v>305</v>
      </c>
      <c r="F103" s="113"/>
      <c r="G103" s="119"/>
      <c r="H103" s="119"/>
      <c r="I103" s="102">
        <v>33297</v>
      </c>
      <c r="J103" s="103" t="s">
        <v>901</v>
      </c>
      <c r="K103" s="150"/>
      <c r="L103" s="150"/>
      <c r="M103" s="150"/>
      <c r="N103" s="254" t="str" cm="1">
        <f t="array" ref="N10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03" s="255"/>
      <c r="P103" s="248"/>
      <c r="Q103" s="256" t="str" cm="1">
        <f t="array" ref="Q10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03" s="257"/>
      <c r="S103" s="248"/>
      <c r="T103" s="254"/>
      <c r="U103" s="258"/>
      <c r="V103" s="259"/>
      <c r="W103" s="259"/>
      <c r="X103" s="255"/>
      <c r="Y103" s="259"/>
      <c r="Z103" s="259"/>
      <c r="AA103" s="260" t="str" cm="1">
        <f t="array" ref="AA10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03" s="125"/>
      <c r="AD103" s="124"/>
    </row>
    <row r="104" spans="1:30" s="122" customFormat="1">
      <c r="A10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VenezulanosVE1001</v>
      </c>
      <c r="B104" s="105" t="s">
        <v>306</v>
      </c>
      <c r="C104" s="104" t="s">
        <v>307</v>
      </c>
      <c r="D104" s="119" t="s">
        <v>308</v>
      </c>
      <c r="E104" s="104" t="s">
        <v>309</v>
      </c>
      <c r="F104" s="113"/>
      <c r="G104" s="119"/>
      <c r="H104" s="119"/>
      <c r="I104" s="102">
        <v>27250</v>
      </c>
      <c r="J104" s="103" t="s">
        <v>901</v>
      </c>
      <c r="K104" s="150"/>
      <c r="L104" s="150"/>
      <c r="M104" s="150"/>
      <c r="N104" s="254" t="str" cm="1">
        <f t="array" ref="N10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04" s="255"/>
      <c r="P104" s="248"/>
      <c r="Q104" s="256" t="str" cm="1">
        <f t="array" ref="Q10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04" s="257"/>
      <c r="S104" s="248"/>
      <c r="T104" s="254"/>
      <c r="U104" s="258"/>
      <c r="V104" s="259"/>
      <c r="W104" s="259"/>
      <c r="X104" s="255"/>
      <c r="Y104" s="259"/>
      <c r="Z104" s="259"/>
      <c r="AA104" s="260" t="str" cm="1">
        <f t="array" ref="AA10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04" s="125"/>
      <c r="AD104" s="124"/>
    </row>
    <row r="105" spans="1:30" s="122" customFormat="1">
      <c r="A10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VenezulanosVE1002</v>
      </c>
      <c r="B105" s="105" t="s">
        <v>306</v>
      </c>
      <c r="C105" s="104" t="s">
        <v>307</v>
      </c>
      <c r="D105" s="119" t="s">
        <v>310</v>
      </c>
      <c r="E105" s="104" t="s">
        <v>311</v>
      </c>
      <c r="F105" s="113"/>
      <c r="G105" s="119"/>
      <c r="H105" s="119"/>
      <c r="I105" s="102">
        <v>30221</v>
      </c>
      <c r="J105" s="103" t="s">
        <v>901</v>
      </c>
      <c r="K105" s="150"/>
      <c r="L105" s="150"/>
      <c r="M105" s="150"/>
      <c r="N105" s="254" t="str" cm="1">
        <f t="array" ref="N10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05" s="255"/>
      <c r="P105" s="248"/>
      <c r="Q105" s="256" t="str" cm="1">
        <f t="array" ref="Q10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05" s="257"/>
      <c r="S105" s="248"/>
      <c r="T105" s="254"/>
      <c r="U105" s="258"/>
      <c r="V105" s="259"/>
      <c r="W105" s="259"/>
      <c r="X105" s="255"/>
      <c r="Y105" s="259"/>
      <c r="Z105" s="259"/>
      <c r="AA105" s="260" t="str" cm="1">
        <f t="array" ref="AA10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05" s="125"/>
      <c r="AD105" s="124"/>
    </row>
    <row r="106" spans="1:30" s="122" customFormat="1">
      <c r="A10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VenezulanosVE1003</v>
      </c>
      <c r="B106" s="105" t="s">
        <v>306</v>
      </c>
      <c r="C106" s="104" t="s">
        <v>307</v>
      </c>
      <c r="D106" s="119" t="s">
        <v>312</v>
      </c>
      <c r="E106" s="104" t="s">
        <v>313</v>
      </c>
      <c r="F106" s="113"/>
      <c r="G106" s="119"/>
      <c r="H106" s="119"/>
      <c r="I106" s="102">
        <v>6582</v>
      </c>
      <c r="J106" s="103" t="s">
        <v>901</v>
      </c>
      <c r="K106" s="150"/>
      <c r="L106" s="150"/>
      <c r="M106" s="150"/>
      <c r="N106" s="254" t="str" cm="1">
        <f t="array" ref="N10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06" s="255"/>
      <c r="P106" s="248"/>
      <c r="Q106" s="256" t="str" cm="1">
        <f t="array" ref="Q10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06" s="257"/>
      <c r="S106" s="248"/>
      <c r="T106" s="254"/>
      <c r="U106" s="258"/>
      <c r="V106" s="259"/>
      <c r="W106" s="259"/>
      <c r="X106" s="255"/>
      <c r="Y106" s="259"/>
      <c r="Z106" s="259"/>
      <c r="AA106" s="260" t="str" cm="1">
        <f t="array" ref="AA10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06" s="125"/>
      <c r="AD106" s="124"/>
    </row>
    <row r="107" spans="1:30" s="122" customFormat="1">
      <c r="A10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VenezulanosVE1004</v>
      </c>
      <c r="B107" s="105" t="s">
        <v>306</v>
      </c>
      <c r="C107" s="104" t="s">
        <v>307</v>
      </c>
      <c r="D107" s="119" t="s">
        <v>314</v>
      </c>
      <c r="E107" s="104" t="s">
        <v>315</v>
      </c>
      <c r="F107" s="113"/>
      <c r="G107" s="119"/>
      <c r="H107" s="119"/>
      <c r="I107" s="102">
        <v>105202</v>
      </c>
      <c r="J107" s="103" t="s">
        <v>901</v>
      </c>
      <c r="K107" s="150"/>
      <c r="L107" s="150"/>
      <c r="M107" s="150"/>
      <c r="N107" s="254" t="str" cm="1">
        <f t="array" ref="N10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07" s="255"/>
      <c r="P107" s="248"/>
      <c r="Q107" s="256" t="str" cm="1">
        <f t="array" ref="Q10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07" s="257"/>
      <c r="S107" s="248"/>
      <c r="T107" s="254"/>
      <c r="U107" s="258"/>
      <c r="V107" s="259"/>
      <c r="W107" s="259"/>
      <c r="X107" s="255"/>
      <c r="Y107" s="259"/>
      <c r="Z107" s="259"/>
      <c r="AA107" s="260" t="str" cm="1">
        <f t="array" ref="AA10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07" s="125"/>
      <c r="AD107" s="124"/>
    </row>
    <row r="108" spans="1:30" s="122" customFormat="1">
      <c r="A10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VenezulanosVE1101</v>
      </c>
      <c r="B108" s="105" t="s">
        <v>316</v>
      </c>
      <c r="C108" s="104" t="s">
        <v>317</v>
      </c>
      <c r="D108" s="119" t="s">
        <v>318</v>
      </c>
      <c r="E108" s="104" t="s">
        <v>319</v>
      </c>
      <c r="F108" s="113"/>
      <c r="G108" s="119"/>
      <c r="H108" s="119"/>
      <c r="I108" s="102">
        <v>19478</v>
      </c>
      <c r="J108" s="103" t="s">
        <v>901</v>
      </c>
      <c r="K108" s="150"/>
      <c r="L108" s="150"/>
      <c r="M108" s="150"/>
      <c r="N108" s="254" t="str" cm="1">
        <f t="array" ref="N10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08" s="255"/>
      <c r="P108" s="248"/>
      <c r="Q108" s="256" t="str" cm="1">
        <f t="array" ref="Q10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08" s="257"/>
      <c r="S108" s="248"/>
      <c r="T108" s="254"/>
      <c r="U108" s="258"/>
      <c r="V108" s="259"/>
      <c r="W108" s="259"/>
      <c r="X108" s="255"/>
      <c r="Y108" s="259"/>
      <c r="Z108" s="259"/>
      <c r="AA108" s="260" t="str" cm="1">
        <f t="array" ref="AA10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08" s="125"/>
      <c r="AD108" s="124"/>
    </row>
    <row r="109" spans="1:30" s="122" customFormat="1">
      <c r="A10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VenezulanosVE1102</v>
      </c>
      <c r="B109" s="105" t="s">
        <v>316</v>
      </c>
      <c r="C109" s="104" t="s">
        <v>317</v>
      </c>
      <c r="D109" s="119" t="s">
        <v>180</v>
      </c>
      <c r="E109" s="104" t="s">
        <v>320</v>
      </c>
      <c r="F109" s="113"/>
      <c r="G109" s="119"/>
      <c r="H109" s="119"/>
      <c r="I109" s="102">
        <v>8733</v>
      </c>
      <c r="J109" s="103" t="s">
        <v>901</v>
      </c>
      <c r="K109" s="150"/>
      <c r="L109" s="150"/>
      <c r="M109" s="150"/>
      <c r="N109" s="254" t="str" cm="1">
        <f t="array" ref="N10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09" s="255"/>
      <c r="P109" s="248"/>
      <c r="Q109" s="256" t="str" cm="1">
        <f t="array" ref="Q10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09" s="257"/>
      <c r="S109" s="248"/>
      <c r="T109" s="254"/>
      <c r="U109" s="258"/>
      <c r="V109" s="259"/>
      <c r="W109" s="259"/>
      <c r="X109" s="255"/>
      <c r="Y109" s="259"/>
      <c r="Z109" s="259"/>
      <c r="AA109" s="260" t="str" cm="1">
        <f t="array" ref="AA10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09" s="125"/>
      <c r="AD109" s="124"/>
    </row>
    <row r="110" spans="1:30" s="122" customFormat="1">
      <c r="A11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VenezulanosVE1103</v>
      </c>
      <c r="B110" s="105" t="s">
        <v>316</v>
      </c>
      <c r="C110" s="104" t="s">
        <v>317</v>
      </c>
      <c r="D110" s="119" t="s">
        <v>321</v>
      </c>
      <c r="E110" s="104" t="s">
        <v>322</v>
      </c>
      <c r="F110" s="113"/>
      <c r="G110" s="119"/>
      <c r="H110" s="119"/>
      <c r="I110" s="102">
        <v>23419</v>
      </c>
      <c r="J110" s="103" t="s">
        <v>901</v>
      </c>
      <c r="K110" s="150"/>
      <c r="L110" s="150"/>
      <c r="M110" s="150"/>
      <c r="N110" s="254" t="str" cm="1">
        <f t="array" ref="N11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10" s="255"/>
      <c r="P110" s="248"/>
      <c r="Q110" s="256" t="str" cm="1">
        <f t="array" ref="Q11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10" s="257"/>
      <c r="S110" s="248"/>
      <c r="T110" s="254"/>
      <c r="U110" s="258"/>
      <c r="V110" s="259"/>
      <c r="W110" s="259"/>
      <c r="X110" s="255"/>
      <c r="Y110" s="259"/>
      <c r="Z110" s="259"/>
      <c r="AA110" s="260" t="str" cm="1">
        <f t="array" ref="AA11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10" s="125"/>
      <c r="AD110" s="124"/>
    </row>
    <row r="111" spans="1:30" s="122" customFormat="1">
      <c r="A11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VenezulanosVE1104</v>
      </c>
      <c r="B111" s="105" t="s">
        <v>316</v>
      </c>
      <c r="C111" s="104" t="s">
        <v>317</v>
      </c>
      <c r="D111" s="119" t="s">
        <v>323</v>
      </c>
      <c r="E111" s="104" t="s">
        <v>324</v>
      </c>
      <c r="F111" s="113"/>
      <c r="G111" s="119"/>
      <c r="H111" s="119"/>
      <c r="I111" s="102">
        <v>11110</v>
      </c>
      <c r="J111" s="103" t="s">
        <v>901</v>
      </c>
      <c r="K111" s="150"/>
      <c r="L111" s="150"/>
      <c r="M111" s="150"/>
      <c r="N111" s="254" t="str" cm="1">
        <f t="array" ref="N11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11" s="255"/>
      <c r="P111" s="248"/>
      <c r="Q111" s="256" t="str" cm="1">
        <f t="array" ref="Q11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11" s="257"/>
      <c r="S111" s="248"/>
      <c r="T111" s="254"/>
      <c r="U111" s="258"/>
      <c r="V111" s="259"/>
      <c r="W111" s="259"/>
      <c r="X111" s="255"/>
      <c r="Y111" s="259"/>
      <c r="Z111" s="259"/>
      <c r="AA111" s="260" t="str" cm="1">
        <f t="array" ref="AA11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11" s="125"/>
      <c r="AD111" s="124"/>
    </row>
    <row r="112" spans="1:30" s="122" customFormat="1">
      <c r="A11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VenezulanosVE1105</v>
      </c>
      <c r="B112" s="105" t="s">
        <v>316</v>
      </c>
      <c r="C112" s="104" t="s">
        <v>317</v>
      </c>
      <c r="D112" s="119" t="s">
        <v>325</v>
      </c>
      <c r="E112" s="104" t="s">
        <v>326</v>
      </c>
      <c r="F112" s="113"/>
      <c r="G112" s="119"/>
      <c r="H112" s="119"/>
      <c r="I112" s="102">
        <v>244856</v>
      </c>
      <c r="J112" s="103" t="s">
        <v>901</v>
      </c>
      <c r="K112" s="150"/>
      <c r="L112" s="150"/>
      <c r="M112" s="150"/>
      <c r="N112" s="254" t="str" cm="1">
        <f t="array" ref="N11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12" s="255"/>
      <c r="P112" s="248"/>
      <c r="Q112" s="256" t="str" cm="1">
        <f t="array" ref="Q11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12" s="257"/>
      <c r="S112" s="248"/>
      <c r="T112" s="254"/>
      <c r="U112" s="258"/>
      <c r="V112" s="259"/>
      <c r="W112" s="259"/>
      <c r="X112" s="255"/>
      <c r="Y112" s="259"/>
      <c r="Z112" s="259"/>
      <c r="AA112" s="260" t="str" cm="1">
        <f t="array" ref="AA11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12" s="125"/>
      <c r="AD112" s="124"/>
    </row>
    <row r="113" spans="1:30" s="122" customFormat="1">
      <c r="A11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VenezulanosVE1106</v>
      </c>
      <c r="B113" s="105" t="s">
        <v>316</v>
      </c>
      <c r="C113" s="104" t="s">
        <v>317</v>
      </c>
      <c r="D113" s="119" t="s">
        <v>327</v>
      </c>
      <c r="E113" s="104" t="s">
        <v>328</v>
      </c>
      <c r="F113" s="113"/>
      <c r="G113" s="119"/>
      <c r="H113" s="119"/>
      <c r="I113" s="102">
        <v>42442</v>
      </c>
      <c r="J113" s="103" t="s">
        <v>901</v>
      </c>
      <c r="K113" s="150"/>
      <c r="L113" s="150"/>
      <c r="M113" s="150"/>
      <c r="N113" s="254" t="str" cm="1">
        <f t="array" ref="N11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13" s="255"/>
      <c r="P113" s="248"/>
      <c r="Q113" s="256" t="str" cm="1">
        <f t="array" ref="Q11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13" s="257"/>
      <c r="S113" s="248"/>
      <c r="T113" s="254"/>
      <c r="U113" s="258"/>
      <c r="V113" s="259"/>
      <c r="W113" s="259"/>
      <c r="X113" s="255"/>
      <c r="Y113" s="259"/>
      <c r="Z113" s="259"/>
      <c r="AA113" s="260" t="str" cm="1">
        <f t="array" ref="AA11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13" s="125"/>
      <c r="AD113" s="124"/>
    </row>
    <row r="114" spans="1:30" s="122" customFormat="1">
      <c r="A11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VenezulanosVE1107</v>
      </c>
      <c r="B114" s="105" t="s">
        <v>316</v>
      </c>
      <c r="C114" s="104" t="s">
        <v>317</v>
      </c>
      <c r="D114" s="119" t="s">
        <v>329</v>
      </c>
      <c r="E114" s="104" t="s">
        <v>330</v>
      </c>
      <c r="F114" s="113"/>
      <c r="G114" s="119"/>
      <c r="H114" s="119"/>
      <c r="I114" s="102">
        <v>23921</v>
      </c>
      <c r="J114" s="103" t="s">
        <v>901</v>
      </c>
      <c r="K114" s="150"/>
      <c r="L114" s="150"/>
      <c r="M114" s="150"/>
      <c r="N114" s="254" t="str" cm="1">
        <f t="array" ref="N11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14" s="255"/>
      <c r="P114" s="248"/>
      <c r="Q114" s="256" t="str" cm="1">
        <f t="array" ref="Q11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14" s="257"/>
      <c r="S114" s="248"/>
      <c r="T114" s="254"/>
      <c r="U114" s="258"/>
      <c r="V114" s="259"/>
      <c r="W114" s="259"/>
      <c r="X114" s="255"/>
      <c r="Y114" s="259"/>
      <c r="Z114" s="259"/>
      <c r="AA114" s="260" t="str" cm="1">
        <f t="array" ref="AA11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14" s="125"/>
      <c r="AD114" s="124"/>
    </row>
    <row r="115" spans="1:30" s="122" customFormat="1">
      <c r="A11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VenezulanosVE1108</v>
      </c>
      <c r="B115" s="105" t="s">
        <v>316</v>
      </c>
      <c r="C115" s="104" t="s">
        <v>317</v>
      </c>
      <c r="D115" s="119" t="s">
        <v>331</v>
      </c>
      <c r="E115" s="104" t="s">
        <v>332</v>
      </c>
      <c r="F115" s="113"/>
      <c r="G115" s="119"/>
      <c r="H115" s="119"/>
      <c r="I115" s="102">
        <v>10168</v>
      </c>
      <c r="J115" s="103" t="s">
        <v>901</v>
      </c>
      <c r="K115" s="150"/>
      <c r="L115" s="150"/>
      <c r="M115" s="150"/>
      <c r="N115" s="254" t="str" cm="1">
        <f t="array" ref="N11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15" s="255"/>
      <c r="P115" s="248"/>
      <c r="Q115" s="256" t="str" cm="1">
        <f t="array" ref="Q11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15" s="257"/>
      <c r="S115" s="248"/>
      <c r="T115" s="254"/>
      <c r="U115" s="258"/>
      <c r="V115" s="259"/>
      <c r="W115" s="259"/>
      <c r="X115" s="255"/>
      <c r="Y115" s="259"/>
      <c r="Z115" s="259"/>
      <c r="AA115" s="260" t="str" cm="1">
        <f t="array" ref="AA11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15" s="125"/>
      <c r="AD115" s="124"/>
    </row>
    <row r="116" spans="1:30" s="122" customFormat="1">
      <c r="A11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VenezulanosVE1109</v>
      </c>
      <c r="B116" s="105" t="s">
        <v>316</v>
      </c>
      <c r="C116" s="104" t="s">
        <v>317</v>
      </c>
      <c r="D116" s="119" t="s">
        <v>316</v>
      </c>
      <c r="E116" s="104" t="s">
        <v>333</v>
      </c>
      <c r="F116" s="113"/>
      <c r="G116" s="119"/>
      <c r="H116" s="119"/>
      <c r="I116" s="102">
        <v>47260</v>
      </c>
      <c r="J116" s="103" t="s">
        <v>901</v>
      </c>
      <c r="K116" s="150"/>
      <c r="L116" s="150"/>
      <c r="M116" s="150"/>
      <c r="N116" s="254" t="str" cm="1">
        <f t="array" ref="N11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16" s="255"/>
      <c r="P116" s="248"/>
      <c r="Q116" s="256" t="str" cm="1">
        <f t="array" ref="Q11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16" s="257"/>
      <c r="S116" s="248"/>
      <c r="T116" s="254"/>
      <c r="U116" s="258"/>
      <c r="V116" s="259"/>
      <c r="W116" s="259"/>
      <c r="X116" s="255"/>
      <c r="Y116" s="259"/>
      <c r="Z116" s="259"/>
      <c r="AA116" s="260" t="str" cm="1">
        <f t="array" ref="AA11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16" s="125"/>
      <c r="AD116" s="124"/>
    </row>
    <row r="117" spans="1:30" s="122" customFormat="1">
      <c r="A11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VenezulanosVE1110</v>
      </c>
      <c r="B117" s="105" t="s">
        <v>316</v>
      </c>
      <c r="C117" s="104" t="s">
        <v>317</v>
      </c>
      <c r="D117" s="119" t="s">
        <v>334</v>
      </c>
      <c r="E117" s="104" t="s">
        <v>335</v>
      </c>
      <c r="F117" s="113"/>
      <c r="G117" s="119"/>
      <c r="H117" s="119"/>
      <c r="I117" s="102">
        <v>29908</v>
      </c>
      <c r="J117" s="103" t="s">
        <v>901</v>
      </c>
      <c r="K117" s="150"/>
      <c r="L117" s="150"/>
      <c r="M117" s="150"/>
      <c r="N117" s="254" t="str" cm="1">
        <f t="array" ref="N11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17" s="255"/>
      <c r="P117" s="248"/>
      <c r="Q117" s="256" t="str" cm="1">
        <f t="array" ref="Q11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17" s="257"/>
      <c r="S117" s="248"/>
      <c r="T117" s="254"/>
      <c r="U117" s="258"/>
      <c r="V117" s="259"/>
      <c r="W117" s="259"/>
      <c r="X117" s="255"/>
      <c r="Y117" s="259"/>
      <c r="Z117" s="259"/>
      <c r="AA117" s="260" t="str" cm="1">
        <f t="array" ref="AA11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17" s="125"/>
      <c r="AD117" s="124"/>
    </row>
    <row r="118" spans="1:30" s="122" customFormat="1">
      <c r="A11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VenezulanosVE1111</v>
      </c>
      <c r="B118" s="105" t="s">
        <v>316</v>
      </c>
      <c r="C118" s="104" t="s">
        <v>317</v>
      </c>
      <c r="D118" s="119" t="s">
        <v>336</v>
      </c>
      <c r="E118" s="104" t="s">
        <v>337</v>
      </c>
      <c r="F118" s="113"/>
      <c r="G118" s="119"/>
      <c r="H118" s="119"/>
      <c r="I118" s="102">
        <v>11484</v>
      </c>
      <c r="J118" s="103" t="s">
        <v>901</v>
      </c>
      <c r="K118" s="150"/>
      <c r="L118" s="150"/>
      <c r="M118" s="150"/>
      <c r="N118" s="254" t="str" cm="1">
        <f t="array" ref="N11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18" s="255"/>
      <c r="P118" s="248"/>
      <c r="Q118" s="256" t="str" cm="1">
        <f t="array" ref="Q11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18" s="257"/>
      <c r="S118" s="248"/>
      <c r="T118" s="254"/>
      <c r="U118" s="258"/>
      <c r="V118" s="259"/>
      <c r="W118" s="259"/>
      <c r="X118" s="255"/>
      <c r="Y118" s="259"/>
      <c r="Z118" s="259"/>
      <c r="AA118" s="260" t="str" cm="1">
        <f t="array" ref="AA11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18" s="125"/>
      <c r="AD118" s="124"/>
    </row>
    <row r="119" spans="1:30" s="122" customFormat="1">
      <c r="A11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VenezulanosVE1112</v>
      </c>
      <c r="B119" s="105" t="s">
        <v>316</v>
      </c>
      <c r="C119" s="104" t="s">
        <v>317</v>
      </c>
      <c r="D119" s="119" t="s">
        <v>338</v>
      </c>
      <c r="E119" s="104" t="s">
        <v>339</v>
      </c>
      <c r="F119" s="113"/>
      <c r="G119" s="119"/>
      <c r="H119" s="119"/>
      <c r="I119" s="102">
        <v>42517</v>
      </c>
      <c r="J119" s="103" t="s">
        <v>901</v>
      </c>
      <c r="K119" s="150"/>
      <c r="L119" s="150"/>
      <c r="M119" s="150"/>
      <c r="N119" s="254" t="str" cm="1">
        <f t="array" ref="N11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19" s="255"/>
      <c r="P119" s="248"/>
      <c r="Q119" s="256" t="str" cm="1">
        <f t="array" ref="Q11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19" s="257"/>
      <c r="S119" s="248"/>
      <c r="T119" s="254"/>
      <c r="U119" s="258"/>
      <c r="V119" s="259"/>
      <c r="W119" s="259"/>
      <c r="X119" s="255"/>
      <c r="Y119" s="259"/>
      <c r="Z119" s="259"/>
      <c r="AA119" s="260" t="str" cm="1">
        <f t="array" ref="AA11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19" s="125"/>
      <c r="AD119" s="124"/>
    </row>
    <row r="120" spans="1:30" s="122" customFormat="1">
      <c r="A12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VenezulanosVE1113</v>
      </c>
      <c r="B120" s="105" t="s">
        <v>316</v>
      </c>
      <c r="C120" s="104" t="s">
        <v>317</v>
      </c>
      <c r="D120" s="119" t="s">
        <v>340</v>
      </c>
      <c r="E120" s="104" t="s">
        <v>341</v>
      </c>
      <c r="F120" s="113"/>
      <c r="G120" s="119"/>
      <c r="H120" s="119"/>
      <c r="I120" s="102">
        <v>25491</v>
      </c>
      <c r="J120" s="103" t="s">
        <v>901</v>
      </c>
      <c r="K120" s="150"/>
      <c r="L120" s="150"/>
      <c r="M120" s="150"/>
      <c r="N120" s="254" t="str" cm="1">
        <f t="array" ref="N12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20" s="255"/>
      <c r="P120" s="248"/>
      <c r="Q120" s="256" t="str" cm="1">
        <f t="array" ref="Q12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20" s="257"/>
      <c r="S120" s="248"/>
      <c r="T120" s="254"/>
      <c r="U120" s="258"/>
      <c r="V120" s="259"/>
      <c r="W120" s="259"/>
      <c r="X120" s="255"/>
      <c r="Y120" s="259"/>
      <c r="Z120" s="259"/>
      <c r="AA120" s="260" t="str" cm="1">
        <f t="array" ref="AA12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20" s="125"/>
      <c r="AD120" s="124"/>
    </row>
    <row r="121" spans="1:30" s="122" customFormat="1">
      <c r="A12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VenezulanosVE1114</v>
      </c>
      <c r="B121" s="105" t="s">
        <v>316</v>
      </c>
      <c r="C121" s="104" t="s">
        <v>317</v>
      </c>
      <c r="D121" s="119" t="s">
        <v>276</v>
      </c>
      <c r="E121" s="104" t="s">
        <v>342</v>
      </c>
      <c r="F121" s="113"/>
      <c r="G121" s="119"/>
      <c r="H121" s="119"/>
      <c r="I121" s="102">
        <v>216316</v>
      </c>
      <c r="J121" s="103" t="s">
        <v>901</v>
      </c>
      <c r="K121" s="150"/>
      <c r="L121" s="150"/>
      <c r="M121" s="150"/>
      <c r="N121" s="254" t="str" cm="1">
        <f t="array" ref="N12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21" s="255"/>
      <c r="P121" s="248"/>
      <c r="Q121" s="256" t="str" cm="1">
        <f t="array" ref="Q12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21" s="257"/>
      <c r="S121" s="248"/>
      <c r="T121" s="254"/>
      <c r="U121" s="258"/>
      <c r="V121" s="259"/>
      <c r="W121" s="259"/>
      <c r="X121" s="255"/>
      <c r="Y121" s="259"/>
      <c r="Z121" s="259"/>
      <c r="AA121" s="260" t="str" cm="1">
        <f t="array" ref="AA12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21" s="125"/>
      <c r="AD121" s="124"/>
    </row>
    <row r="122" spans="1:30" s="122" customFormat="1">
      <c r="A12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VenezulanosVE1115</v>
      </c>
      <c r="B122" s="105" t="s">
        <v>316</v>
      </c>
      <c r="C122" s="104" t="s">
        <v>317</v>
      </c>
      <c r="D122" s="119" t="s">
        <v>343</v>
      </c>
      <c r="E122" s="104" t="s">
        <v>344</v>
      </c>
      <c r="F122" s="113"/>
      <c r="G122" s="119"/>
      <c r="H122" s="119"/>
      <c r="I122" s="102">
        <v>19740</v>
      </c>
      <c r="J122" s="103" t="s">
        <v>901</v>
      </c>
      <c r="K122" s="150"/>
      <c r="L122" s="150"/>
      <c r="M122" s="150"/>
      <c r="N122" s="254" t="str" cm="1">
        <f t="array" ref="N12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22" s="255"/>
      <c r="P122" s="248"/>
      <c r="Q122" s="256" t="str" cm="1">
        <f t="array" ref="Q12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22" s="257"/>
      <c r="S122" s="248"/>
      <c r="T122" s="254"/>
      <c r="U122" s="258"/>
      <c r="V122" s="259"/>
      <c r="W122" s="259"/>
      <c r="X122" s="255"/>
      <c r="Y122" s="259"/>
      <c r="Z122" s="259"/>
      <c r="AA122" s="260" t="str" cm="1">
        <f t="array" ref="AA12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22" s="125"/>
      <c r="AD122" s="124"/>
    </row>
    <row r="123" spans="1:30" s="122" customFormat="1">
      <c r="A12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VenezulanosVE1116</v>
      </c>
      <c r="B123" s="105" t="s">
        <v>316</v>
      </c>
      <c r="C123" s="104" t="s">
        <v>317</v>
      </c>
      <c r="D123" s="119" t="s">
        <v>345</v>
      </c>
      <c r="E123" s="104" t="s">
        <v>346</v>
      </c>
      <c r="F123" s="113"/>
      <c r="G123" s="119"/>
      <c r="H123" s="119"/>
      <c r="I123" s="102">
        <v>7236</v>
      </c>
      <c r="J123" s="103" t="s">
        <v>901</v>
      </c>
      <c r="K123" s="150"/>
      <c r="L123" s="150"/>
      <c r="M123" s="150"/>
      <c r="N123" s="254" t="str" cm="1">
        <f t="array" ref="N12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23" s="255"/>
      <c r="P123" s="248"/>
      <c r="Q123" s="256" t="str" cm="1">
        <f t="array" ref="Q12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23" s="257"/>
      <c r="S123" s="248"/>
      <c r="T123" s="254"/>
      <c r="U123" s="258"/>
      <c r="V123" s="259"/>
      <c r="W123" s="259"/>
      <c r="X123" s="255"/>
      <c r="Y123" s="259"/>
      <c r="Z123" s="259"/>
      <c r="AA123" s="260" t="str" cm="1">
        <f t="array" ref="AA12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23" s="125"/>
      <c r="AD123" s="124"/>
    </row>
    <row r="124" spans="1:30" s="122" customFormat="1">
      <c r="A12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VenezulanosVE1117</v>
      </c>
      <c r="B124" s="105" t="s">
        <v>316</v>
      </c>
      <c r="C124" s="104" t="s">
        <v>317</v>
      </c>
      <c r="D124" s="119" t="s">
        <v>347</v>
      </c>
      <c r="E124" s="104" t="s">
        <v>348</v>
      </c>
      <c r="F124" s="113"/>
      <c r="G124" s="119"/>
      <c r="H124" s="119"/>
      <c r="I124" s="102">
        <v>14026</v>
      </c>
      <c r="J124" s="103" t="s">
        <v>901</v>
      </c>
      <c r="K124" s="150"/>
      <c r="L124" s="150"/>
      <c r="M124" s="150"/>
      <c r="N124" s="254" t="str" cm="1">
        <f t="array" ref="N12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24" s="255"/>
      <c r="P124" s="248"/>
      <c r="Q124" s="256" t="str" cm="1">
        <f t="array" ref="Q12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24" s="257"/>
      <c r="S124" s="248"/>
      <c r="T124" s="254"/>
      <c r="U124" s="258"/>
      <c r="V124" s="259"/>
      <c r="W124" s="259"/>
      <c r="X124" s="255"/>
      <c r="Y124" s="259"/>
      <c r="Z124" s="259"/>
      <c r="AA124" s="260" t="str" cm="1">
        <f t="array" ref="AA12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24" s="125"/>
      <c r="AD124" s="124"/>
    </row>
    <row r="125" spans="1:30" s="122" customFormat="1">
      <c r="A12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VenezulanosVE1118</v>
      </c>
      <c r="B125" s="105" t="s">
        <v>316</v>
      </c>
      <c r="C125" s="104" t="s">
        <v>317</v>
      </c>
      <c r="D125" s="119" t="s">
        <v>147</v>
      </c>
      <c r="E125" s="104" t="s">
        <v>349</v>
      </c>
      <c r="F125" s="113"/>
      <c r="G125" s="119"/>
      <c r="H125" s="119"/>
      <c r="I125" s="102">
        <v>10869</v>
      </c>
      <c r="J125" s="103" t="s">
        <v>901</v>
      </c>
      <c r="K125" s="150"/>
      <c r="L125" s="150"/>
      <c r="M125" s="150"/>
      <c r="N125" s="254" t="str" cm="1">
        <f t="array" ref="N12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25" s="255"/>
      <c r="P125" s="248"/>
      <c r="Q125" s="256" t="str" cm="1">
        <f t="array" ref="Q12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25" s="257"/>
      <c r="S125" s="248"/>
      <c r="T125" s="254"/>
      <c r="U125" s="258"/>
      <c r="V125" s="259"/>
      <c r="W125" s="259"/>
      <c r="X125" s="255"/>
      <c r="Y125" s="259"/>
      <c r="Z125" s="259"/>
      <c r="AA125" s="260" t="str" cm="1">
        <f t="array" ref="AA12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25" s="125"/>
      <c r="AD125" s="124"/>
    </row>
    <row r="126" spans="1:30" s="122" customFormat="1">
      <c r="A12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VenezulanosVE1119</v>
      </c>
      <c r="B126" s="105" t="s">
        <v>316</v>
      </c>
      <c r="C126" s="104" t="s">
        <v>317</v>
      </c>
      <c r="D126" s="119" t="s">
        <v>350</v>
      </c>
      <c r="E126" s="104" t="s">
        <v>351</v>
      </c>
      <c r="F126" s="113"/>
      <c r="G126" s="119"/>
      <c r="H126" s="119"/>
      <c r="I126" s="102">
        <v>11285</v>
      </c>
      <c r="J126" s="103" t="s">
        <v>901</v>
      </c>
      <c r="K126" s="150"/>
      <c r="L126" s="150"/>
      <c r="M126" s="150"/>
      <c r="N126" s="254" t="str" cm="1">
        <f t="array" ref="N12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26" s="255"/>
      <c r="P126" s="248"/>
      <c r="Q126" s="256" t="str" cm="1">
        <f t="array" ref="Q12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26" s="257"/>
      <c r="S126" s="248"/>
      <c r="T126" s="254"/>
      <c r="U126" s="258"/>
      <c r="V126" s="259"/>
      <c r="W126" s="259"/>
      <c r="X126" s="255"/>
      <c r="Y126" s="259"/>
      <c r="Z126" s="259"/>
      <c r="AA126" s="260" t="str" cm="1">
        <f t="array" ref="AA12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26" s="125"/>
      <c r="AD126" s="124"/>
    </row>
    <row r="127" spans="1:30" s="122" customFormat="1">
      <c r="A12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VenezulanosVE1120</v>
      </c>
      <c r="B127" s="105" t="s">
        <v>316</v>
      </c>
      <c r="C127" s="104" t="s">
        <v>317</v>
      </c>
      <c r="D127" s="119" t="s">
        <v>352</v>
      </c>
      <c r="E127" s="104" t="s">
        <v>353</v>
      </c>
      <c r="F127" s="113"/>
      <c r="G127" s="119"/>
      <c r="H127" s="119"/>
      <c r="I127" s="102">
        <v>32925</v>
      </c>
      <c r="J127" s="103" t="s">
        <v>901</v>
      </c>
      <c r="K127" s="150"/>
      <c r="L127" s="150"/>
      <c r="M127" s="150"/>
      <c r="N127" s="254" t="str" cm="1">
        <f t="array" ref="N12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27" s="255"/>
      <c r="P127" s="248"/>
      <c r="Q127" s="256" t="str" cm="1">
        <f t="array" ref="Q12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27" s="257"/>
      <c r="S127" s="248"/>
      <c r="T127" s="254"/>
      <c r="U127" s="258"/>
      <c r="V127" s="259"/>
      <c r="W127" s="259"/>
      <c r="X127" s="255"/>
      <c r="Y127" s="259"/>
      <c r="Z127" s="259"/>
      <c r="AA127" s="260" t="str" cm="1">
        <f t="array" ref="AA12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27" s="125"/>
      <c r="AD127" s="124"/>
    </row>
    <row r="128" spans="1:30" s="122" customFormat="1">
      <c r="A12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VenezulanosVE1121</v>
      </c>
      <c r="B128" s="105" t="s">
        <v>316</v>
      </c>
      <c r="C128" s="104" t="s">
        <v>317</v>
      </c>
      <c r="D128" s="119" t="s">
        <v>203</v>
      </c>
      <c r="E128" s="104" t="s">
        <v>354</v>
      </c>
      <c r="F128" s="113"/>
      <c r="G128" s="119"/>
      <c r="H128" s="119"/>
      <c r="I128" s="102">
        <v>5909</v>
      </c>
      <c r="J128" s="103" t="s">
        <v>901</v>
      </c>
      <c r="K128" s="150"/>
      <c r="L128" s="150"/>
      <c r="M128" s="150"/>
      <c r="N128" s="254" t="str" cm="1">
        <f t="array" ref="N12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28" s="255"/>
      <c r="P128" s="248"/>
      <c r="Q128" s="256" t="str" cm="1">
        <f t="array" ref="Q12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28" s="257"/>
      <c r="S128" s="248"/>
      <c r="T128" s="254"/>
      <c r="U128" s="258"/>
      <c r="V128" s="259"/>
      <c r="W128" s="259"/>
      <c r="X128" s="255"/>
      <c r="Y128" s="259"/>
      <c r="Z128" s="259"/>
      <c r="AA128" s="260" t="str" cm="1">
        <f t="array" ref="AA12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28" s="125"/>
      <c r="AD128" s="124"/>
    </row>
    <row r="129" spans="1:30" s="122" customFormat="1">
      <c r="A12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VenezulanosVE1122</v>
      </c>
      <c r="B129" s="105" t="s">
        <v>316</v>
      </c>
      <c r="C129" s="104" t="s">
        <v>317</v>
      </c>
      <c r="D129" s="119" t="s">
        <v>355</v>
      </c>
      <c r="E129" s="104" t="s">
        <v>356</v>
      </c>
      <c r="F129" s="113"/>
      <c r="G129" s="119"/>
      <c r="H129" s="119"/>
      <c r="I129" s="102">
        <v>5646</v>
      </c>
      <c r="J129" s="103" t="s">
        <v>901</v>
      </c>
      <c r="K129" s="150"/>
      <c r="L129" s="150"/>
      <c r="M129" s="150"/>
      <c r="N129" s="254" t="str" cm="1">
        <f t="array" ref="N12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29" s="255"/>
      <c r="P129" s="248"/>
      <c r="Q129" s="256" t="str" cm="1">
        <f t="array" ref="Q12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29" s="257"/>
      <c r="S129" s="248"/>
      <c r="T129" s="254"/>
      <c r="U129" s="258"/>
      <c r="V129" s="259"/>
      <c r="W129" s="259"/>
      <c r="X129" s="255"/>
      <c r="Y129" s="259"/>
      <c r="Z129" s="259"/>
      <c r="AA129" s="260" t="str" cm="1">
        <f t="array" ref="AA12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29" s="125"/>
      <c r="AD129" s="124"/>
    </row>
    <row r="130" spans="1:30" s="122" customFormat="1">
      <c r="A13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VenezulanosVE1123</v>
      </c>
      <c r="B130" s="105" t="s">
        <v>316</v>
      </c>
      <c r="C130" s="104" t="s">
        <v>317</v>
      </c>
      <c r="D130" s="119" t="s">
        <v>357</v>
      </c>
      <c r="E130" s="104" t="s">
        <v>358</v>
      </c>
      <c r="F130" s="113"/>
      <c r="G130" s="119"/>
      <c r="H130" s="119"/>
      <c r="I130" s="102">
        <v>16013</v>
      </c>
      <c r="J130" s="103" t="s">
        <v>901</v>
      </c>
      <c r="K130" s="150"/>
      <c r="L130" s="150"/>
      <c r="M130" s="150"/>
      <c r="N130" s="254" t="str" cm="1">
        <f t="array" ref="N13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30" s="255"/>
      <c r="P130" s="248"/>
      <c r="Q130" s="256" t="str" cm="1">
        <f t="array" ref="Q13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30" s="257"/>
      <c r="S130" s="248"/>
      <c r="T130" s="254"/>
      <c r="U130" s="258"/>
      <c r="V130" s="259"/>
      <c r="W130" s="259"/>
      <c r="X130" s="255"/>
      <c r="Y130" s="259"/>
      <c r="Z130" s="259"/>
      <c r="AA130" s="260" t="str" cm="1">
        <f t="array" ref="AA13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30" s="125"/>
      <c r="AD130" s="124"/>
    </row>
    <row r="131" spans="1:30" s="122" customFormat="1">
      <c r="A13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VenezulanosVE1124</v>
      </c>
      <c r="B131" s="105" t="s">
        <v>316</v>
      </c>
      <c r="C131" s="104" t="s">
        <v>317</v>
      </c>
      <c r="D131" s="119" t="s">
        <v>359</v>
      </c>
      <c r="E131" s="104" t="s">
        <v>360</v>
      </c>
      <c r="F131" s="113"/>
      <c r="G131" s="119"/>
      <c r="H131" s="119"/>
      <c r="I131" s="102">
        <v>8543</v>
      </c>
      <c r="J131" s="103" t="s">
        <v>901</v>
      </c>
      <c r="K131" s="150"/>
      <c r="L131" s="150"/>
      <c r="M131" s="150"/>
      <c r="N131" s="254" t="str" cm="1">
        <f t="array" ref="N13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31" s="255"/>
      <c r="P131" s="248"/>
      <c r="Q131" s="256" t="str" cm="1">
        <f t="array" ref="Q13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31" s="257"/>
      <c r="S131" s="248"/>
      <c r="T131" s="254"/>
      <c r="U131" s="258"/>
      <c r="V131" s="259"/>
      <c r="W131" s="259"/>
      <c r="X131" s="255"/>
      <c r="Y131" s="259"/>
      <c r="Z131" s="259"/>
      <c r="AA131" s="260" t="str" cm="1">
        <f t="array" ref="AA13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31" s="125"/>
      <c r="AD131" s="124"/>
    </row>
    <row r="132" spans="1:30" s="122" customFormat="1">
      <c r="A13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VenezulanosVE1125</v>
      </c>
      <c r="B132" s="105" t="s">
        <v>316</v>
      </c>
      <c r="C132" s="104" t="s">
        <v>317</v>
      </c>
      <c r="D132" s="119" t="s">
        <v>209</v>
      </c>
      <c r="E132" s="104" t="s">
        <v>361</v>
      </c>
      <c r="F132" s="113"/>
      <c r="G132" s="119"/>
      <c r="H132" s="119"/>
      <c r="I132" s="102">
        <v>33967</v>
      </c>
      <c r="J132" s="103" t="s">
        <v>901</v>
      </c>
      <c r="K132" s="150"/>
      <c r="L132" s="150"/>
      <c r="M132" s="150"/>
      <c r="N132" s="254" t="str" cm="1">
        <f t="array" ref="N13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32" s="255"/>
      <c r="P132" s="248"/>
      <c r="Q132" s="256" t="str" cm="1">
        <f t="array" ref="Q13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32" s="257"/>
      <c r="S132" s="248"/>
      <c r="T132" s="254"/>
      <c r="U132" s="258"/>
      <c r="V132" s="259"/>
      <c r="W132" s="259"/>
      <c r="X132" s="255"/>
      <c r="Y132" s="259"/>
      <c r="Z132" s="259"/>
      <c r="AA132" s="260" t="str" cm="1">
        <f t="array" ref="AA13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32" s="125"/>
      <c r="AD132" s="124"/>
    </row>
    <row r="133" spans="1:30" s="122" customFormat="1">
      <c r="A13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VenezulanosVE1201</v>
      </c>
      <c r="B133" s="105" t="s">
        <v>362</v>
      </c>
      <c r="C133" s="104" t="s">
        <v>363</v>
      </c>
      <c r="D133" s="119" t="s">
        <v>364</v>
      </c>
      <c r="E133" s="104" t="s">
        <v>365</v>
      </c>
      <c r="F133" s="113"/>
      <c r="G133" s="119"/>
      <c r="H133" s="119"/>
      <c r="I133" s="102">
        <v>24937</v>
      </c>
      <c r="J133" s="103" t="s">
        <v>901</v>
      </c>
      <c r="K133" s="150"/>
      <c r="L133" s="150"/>
      <c r="M133" s="150"/>
      <c r="N133" s="254" t="str" cm="1">
        <f t="array" ref="N13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33" s="255"/>
      <c r="P133" s="248"/>
      <c r="Q133" s="256" t="str" cm="1">
        <f t="array" ref="Q13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33" s="257"/>
      <c r="S133" s="248"/>
      <c r="T133" s="254"/>
      <c r="U133" s="258"/>
      <c r="V133" s="259"/>
      <c r="W133" s="259"/>
      <c r="X133" s="255"/>
      <c r="Y133" s="259"/>
      <c r="Z133" s="259"/>
      <c r="AA133" s="260" t="str" cm="1">
        <f t="array" ref="AA13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33" s="125"/>
      <c r="AD133" s="124"/>
    </row>
    <row r="134" spans="1:30" s="122" customFormat="1">
      <c r="A13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VenezulanosVE1202</v>
      </c>
      <c r="B134" s="105" t="s">
        <v>362</v>
      </c>
      <c r="C134" s="104" t="s">
        <v>363</v>
      </c>
      <c r="D134" s="119" t="s">
        <v>366</v>
      </c>
      <c r="E134" s="104" t="s">
        <v>367</v>
      </c>
      <c r="F134" s="113"/>
      <c r="G134" s="119"/>
      <c r="H134" s="119"/>
      <c r="I134" s="102">
        <v>13263</v>
      </c>
      <c r="J134" s="103" t="s">
        <v>901</v>
      </c>
      <c r="K134" s="150"/>
      <c r="L134" s="150"/>
      <c r="M134" s="150"/>
      <c r="N134" s="254" t="str" cm="1">
        <f t="array" ref="N13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34" s="255"/>
      <c r="P134" s="248"/>
      <c r="Q134" s="256" t="str" cm="1">
        <f t="array" ref="Q13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34" s="257"/>
      <c r="S134" s="248"/>
      <c r="T134" s="254"/>
      <c r="U134" s="258"/>
      <c r="V134" s="259"/>
      <c r="W134" s="259"/>
      <c r="X134" s="255"/>
      <c r="Y134" s="259"/>
      <c r="Z134" s="259"/>
      <c r="AA134" s="260" t="str" cm="1">
        <f t="array" ref="AA13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34" s="125"/>
      <c r="AD134" s="124"/>
    </row>
    <row r="135" spans="1:30" s="122" customFormat="1">
      <c r="A13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VenezulanosVE1203</v>
      </c>
      <c r="B135" s="105" t="s">
        <v>362</v>
      </c>
      <c r="C135" s="104" t="s">
        <v>363</v>
      </c>
      <c r="D135" s="119" t="s">
        <v>368</v>
      </c>
      <c r="E135" s="104" t="s">
        <v>369</v>
      </c>
      <c r="F135" s="113"/>
      <c r="G135" s="119"/>
      <c r="H135" s="119"/>
      <c r="I135" s="102">
        <v>17475</v>
      </c>
      <c r="J135" s="103" t="s">
        <v>901</v>
      </c>
      <c r="K135" s="150"/>
      <c r="L135" s="150"/>
      <c r="M135" s="150"/>
      <c r="N135" s="254" t="str" cm="1">
        <f t="array" ref="N13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35" s="255"/>
      <c r="P135" s="248"/>
      <c r="Q135" s="256" t="str" cm="1">
        <f t="array" ref="Q13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35" s="257"/>
      <c r="S135" s="248"/>
      <c r="T135" s="254"/>
      <c r="U135" s="258"/>
      <c r="V135" s="259"/>
      <c r="W135" s="259"/>
      <c r="X135" s="255"/>
      <c r="Y135" s="259"/>
      <c r="Z135" s="259"/>
      <c r="AA135" s="260" t="str" cm="1">
        <f t="array" ref="AA13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35" s="125"/>
      <c r="AD135" s="124"/>
    </row>
    <row r="136" spans="1:30" s="122" customFormat="1">
      <c r="A13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VenezulanosVE1204</v>
      </c>
      <c r="B136" s="105" t="s">
        <v>362</v>
      </c>
      <c r="C136" s="104" t="s">
        <v>363</v>
      </c>
      <c r="D136" s="119" t="s">
        <v>820</v>
      </c>
      <c r="E136" s="104" t="s">
        <v>371</v>
      </c>
      <c r="F136" s="113"/>
      <c r="G136" s="119"/>
      <c r="H136" s="119"/>
      <c r="I136" s="102">
        <v>20661</v>
      </c>
      <c r="J136" s="103" t="s">
        <v>901</v>
      </c>
      <c r="K136" s="150"/>
      <c r="L136" s="150"/>
      <c r="M136" s="150"/>
      <c r="N136" s="254" t="str" cm="1">
        <f t="array" ref="N13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36" s="255"/>
      <c r="P136" s="248"/>
      <c r="Q136" s="256" t="str" cm="1">
        <f t="array" ref="Q13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36" s="257"/>
      <c r="S136" s="248"/>
      <c r="T136" s="254"/>
      <c r="U136" s="258"/>
      <c r="V136" s="259"/>
      <c r="W136" s="259"/>
      <c r="X136" s="255"/>
      <c r="Y136" s="259"/>
      <c r="Z136" s="259"/>
      <c r="AA136" s="260" t="str" cm="1">
        <f t="array" ref="AA13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36" s="125"/>
      <c r="AD136" s="124"/>
    </row>
    <row r="137" spans="1:30" s="122" customFormat="1">
      <c r="A13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VenezulanosVE1205</v>
      </c>
      <c r="B137" s="105" t="s">
        <v>362</v>
      </c>
      <c r="C137" s="104" t="s">
        <v>363</v>
      </c>
      <c r="D137" s="119" t="s">
        <v>372</v>
      </c>
      <c r="E137" s="104" t="s">
        <v>373</v>
      </c>
      <c r="F137" s="113"/>
      <c r="G137" s="119"/>
      <c r="H137" s="119"/>
      <c r="I137" s="102">
        <v>123622</v>
      </c>
      <c r="J137" s="103" t="s">
        <v>901</v>
      </c>
      <c r="K137" s="150"/>
      <c r="L137" s="150"/>
      <c r="M137" s="150"/>
      <c r="N137" s="254" t="str" cm="1">
        <f t="array" ref="N13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37" s="255"/>
      <c r="P137" s="248"/>
      <c r="Q137" s="256" t="str" cm="1">
        <f t="array" ref="Q13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37" s="257"/>
      <c r="S137" s="248"/>
      <c r="T137" s="254"/>
      <c r="U137" s="258"/>
      <c r="V137" s="259"/>
      <c r="W137" s="259"/>
      <c r="X137" s="255"/>
      <c r="Y137" s="259"/>
      <c r="Z137" s="259"/>
      <c r="AA137" s="260" t="str" cm="1">
        <f t="array" ref="AA13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37" s="125"/>
      <c r="AD137" s="124"/>
    </row>
    <row r="138" spans="1:30" s="122" customFormat="1">
      <c r="A13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VenezulanosVE1206</v>
      </c>
      <c r="B138" s="105" t="s">
        <v>362</v>
      </c>
      <c r="C138" s="104" t="s">
        <v>363</v>
      </c>
      <c r="D138" s="119" t="s">
        <v>374</v>
      </c>
      <c r="E138" s="104" t="s">
        <v>375</v>
      </c>
      <c r="F138" s="113"/>
      <c r="G138" s="119"/>
      <c r="H138" s="119"/>
      <c r="I138" s="102">
        <v>33770</v>
      </c>
      <c r="J138" s="103" t="s">
        <v>901</v>
      </c>
      <c r="K138" s="150"/>
      <c r="L138" s="150"/>
      <c r="M138" s="150"/>
      <c r="N138" s="254" t="str" cm="1">
        <f t="array" ref="N13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38" s="255"/>
      <c r="P138" s="248"/>
      <c r="Q138" s="256" t="str" cm="1">
        <f t="array" ref="Q13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38" s="257"/>
      <c r="S138" s="248"/>
      <c r="T138" s="254"/>
      <c r="U138" s="258"/>
      <c r="V138" s="259"/>
      <c r="W138" s="259"/>
      <c r="X138" s="255"/>
      <c r="Y138" s="259"/>
      <c r="Z138" s="259"/>
      <c r="AA138" s="260" t="str" cm="1">
        <f t="array" ref="AA13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38" s="125"/>
      <c r="AD138" s="124"/>
    </row>
    <row r="139" spans="1:30" s="122" customFormat="1">
      <c r="A13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VenezulanosVE1207</v>
      </c>
      <c r="B139" s="105" t="s">
        <v>362</v>
      </c>
      <c r="C139" s="104" t="s">
        <v>363</v>
      </c>
      <c r="D139" s="119" t="s">
        <v>376</v>
      </c>
      <c r="E139" s="104" t="s">
        <v>377</v>
      </c>
      <c r="F139" s="113"/>
      <c r="G139" s="119"/>
      <c r="H139" s="119"/>
      <c r="I139" s="102">
        <v>28291</v>
      </c>
      <c r="J139" s="103" t="s">
        <v>901</v>
      </c>
      <c r="K139" s="150"/>
      <c r="L139" s="150"/>
      <c r="M139" s="150"/>
      <c r="N139" s="254" t="str" cm="1">
        <f t="array" ref="N13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39" s="255"/>
      <c r="P139" s="248"/>
      <c r="Q139" s="256" t="str" cm="1">
        <f t="array" ref="Q13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39" s="257"/>
      <c r="S139" s="248"/>
      <c r="T139" s="254"/>
      <c r="U139" s="258"/>
      <c r="V139" s="259"/>
      <c r="W139" s="259"/>
      <c r="X139" s="255"/>
      <c r="Y139" s="259"/>
      <c r="Z139" s="259"/>
      <c r="AA139" s="260" t="str" cm="1">
        <f t="array" ref="AA13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39" s="125"/>
      <c r="AD139" s="124"/>
    </row>
    <row r="140" spans="1:30" s="122" customFormat="1">
      <c r="A14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VenezulanosVE1208</v>
      </c>
      <c r="B140" s="105" t="s">
        <v>362</v>
      </c>
      <c r="C140" s="104" t="s">
        <v>363</v>
      </c>
      <c r="D140" s="119" t="s">
        <v>806</v>
      </c>
      <c r="E140" s="104" t="s">
        <v>378</v>
      </c>
      <c r="F140" s="113"/>
      <c r="G140" s="119"/>
      <c r="H140" s="119"/>
      <c r="I140" s="102">
        <v>145194</v>
      </c>
      <c r="J140" s="103" t="s">
        <v>901</v>
      </c>
      <c r="K140" s="150"/>
      <c r="L140" s="150"/>
      <c r="M140" s="150"/>
      <c r="N140" s="254" t="str" cm="1">
        <f t="array" ref="N14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40" s="255"/>
      <c r="P140" s="248"/>
      <c r="Q140" s="256" t="str" cm="1">
        <f t="array" ref="Q14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40" s="257"/>
      <c r="S140" s="248"/>
      <c r="T140" s="254"/>
      <c r="U140" s="258"/>
      <c r="V140" s="259"/>
      <c r="W140" s="259"/>
      <c r="X140" s="255"/>
      <c r="Y140" s="259"/>
      <c r="Z140" s="259"/>
      <c r="AA140" s="260" t="str" cm="1">
        <f t="array" ref="AA14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40" s="125"/>
      <c r="AD140" s="124"/>
    </row>
    <row r="141" spans="1:30" s="122" customFormat="1">
      <c r="A14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VenezulanosVE1209</v>
      </c>
      <c r="B141" s="105" t="s">
        <v>362</v>
      </c>
      <c r="C141" s="104" t="s">
        <v>363</v>
      </c>
      <c r="D141" s="119" t="s">
        <v>379</v>
      </c>
      <c r="E141" s="104" t="s">
        <v>380</v>
      </c>
      <c r="F141" s="113"/>
      <c r="G141" s="119"/>
      <c r="H141" s="119"/>
      <c r="I141" s="102">
        <v>76246</v>
      </c>
      <c r="J141" s="103" t="s">
        <v>901</v>
      </c>
      <c r="K141" s="150"/>
      <c r="L141" s="150"/>
      <c r="M141" s="150"/>
      <c r="N141" s="254" t="str" cm="1">
        <f t="array" ref="N14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41" s="255"/>
      <c r="P141" s="248"/>
      <c r="Q141" s="256" t="str" cm="1">
        <f t="array" ref="Q14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41" s="257"/>
      <c r="S141" s="248"/>
      <c r="T141" s="254"/>
      <c r="U141" s="258"/>
      <c r="V141" s="259"/>
      <c r="W141" s="259"/>
      <c r="X141" s="255"/>
      <c r="Y141" s="259"/>
      <c r="Z141" s="259"/>
      <c r="AA141" s="260" t="str" cm="1">
        <f t="array" ref="AA14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41" s="125"/>
      <c r="AD141" s="124"/>
    </row>
    <row r="142" spans="1:30" s="122" customFormat="1">
      <c r="A14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VenezulanosVE1210</v>
      </c>
      <c r="B142" s="105" t="s">
        <v>362</v>
      </c>
      <c r="C142" s="104" t="s">
        <v>363</v>
      </c>
      <c r="D142" s="119" t="s">
        <v>381</v>
      </c>
      <c r="E142" s="104" t="s">
        <v>382</v>
      </c>
      <c r="F142" s="113"/>
      <c r="G142" s="119"/>
      <c r="H142" s="119"/>
      <c r="I142" s="102">
        <v>24281</v>
      </c>
      <c r="J142" s="103" t="s">
        <v>901</v>
      </c>
      <c r="K142" s="150"/>
      <c r="L142" s="150"/>
      <c r="M142" s="150"/>
      <c r="N142" s="254" t="str" cm="1">
        <f t="array" ref="N14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42" s="255"/>
      <c r="P142" s="248"/>
      <c r="Q142" s="256" t="str" cm="1">
        <f t="array" ref="Q14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42" s="257"/>
      <c r="S142" s="248"/>
      <c r="T142" s="254"/>
      <c r="U142" s="258"/>
      <c r="V142" s="259"/>
      <c r="W142" s="259"/>
      <c r="X142" s="255"/>
      <c r="Y142" s="259"/>
      <c r="Z142" s="259"/>
      <c r="AA142" s="260" t="str" cm="1">
        <f t="array" ref="AA14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42" s="125"/>
      <c r="AD142" s="124"/>
    </row>
    <row r="143" spans="1:30" s="122" customFormat="1">
      <c r="A14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VenezulanosVE1211</v>
      </c>
      <c r="B143" s="105" t="s">
        <v>362</v>
      </c>
      <c r="C143" s="104" t="s">
        <v>363</v>
      </c>
      <c r="D143" s="119" t="s">
        <v>188</v>
      </c>
      <c r="E143" s="104" t="s">
        <v>384</v>
      </c>
      <c r="F143" s="113"/>
      <c r="G143" s="119"/>
      <c r="H143" s="119"/>
      <c r="I143" s="102">
        <v>39282</v>
      </c>
      <c r="J143" s="103" t="s">
        <v>901</v>
      </c>
      <c r="K143" s="150"/>
      <c r="L143" s="150"/>
      <c r="M143" s="150"/>
      <c r="N143" s="254" t="str" cm="1">
        <f t="array" ref="N14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43" s="255"/>
      <c r="P143" s="248"/>
      <c r="Q143" s="256" t="str" cm="1">
        <f t="array" ref="Q14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43" s="257"/>
      <c r="S143" s="248"/>
      <c r="T143" s="254"/>
      <c r="U143" s="258"/>
      <c r="V143" s="259"/>
      <c r="W143" s="259"/>
      <c r="X143" s="255"/>
      <c r="Y143" s="259"/>
      <c r="Z143" s="259"/>
      <c r="AA143" s="260" t="str" cm="1">
        <f t="array" ref="AA14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43" s="125"/>
      <c r="AD143" s="124"/>
    </row>
    <row r="144" spans="1:30" s="122" customFormat="1">
      <c r="A14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VenezulanosVE1212</v>
      </c>
      <c r="B144" s="105" t="s">
        <v>362</v>
      </c>
      <c r="C144" s="104" t="s">
        <v>363</v>
      </c>
      <c r="D144" s="119" t="s">
        <v>385</v>
      </c>
      <c r="E144" s="104" t="s">
        <v>386</v>
      </c>
      <c r="F144" s="113"/>
      <c r="G144" s="119"/>
      <c r="H144" s="119"/>
      <c r="I144" s="102">
        <v>129028</v>
      </c>
      <c r="J144" s="103" t="s">
        <v>901</v>
      </c>
      <c r="K144" s="150"/>
      <c r="L144" s="150"/>
      <c r="M144" s="150"/>
      <c r="N144" s="254" t="str" cm="1">
        <f t="array" ref="N14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44" s="255"/>
      <c r="P144" s="248"/>
      <c r="Q144" s="256" t="str" cm="1">
        <f t="array" ref="Q14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44" s="257"/>
      <c r="S144" s="248"/>
      <c r="T144" s="254"/>
      <c r="U144" s="258"/>
      <c r="V144" s="259"/>
      <c r="W144" s="259"/>
      <c r="X144" s="255"/>
      <c r="Y144" s="259"/>
      <c r="Z144" s="259"/>
      <c r="AA144" s="260" t="str" cm="1">
        <f t="array" ref="AA14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44" s="125"/>
      <c r="AD144" s="124"/>
    </row>
    <row r="145" spans="1:30" s="122" customFormat="1">
      <c r="A14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VenezulanosVE1213</v>
      </c>
      <c r="B145" s="105" t="s">
        <v>362</v>
      </c>
      <c r="C145" s="104" t="s">
        <v>363</v>
      </c>
      <c r="D145" s="119" t="s">
        <v>821</v>
      </c>
      <c r="E145" s="104" t="s">
        <v>388</v>
      </c>
      <c r="F145" s="113"/>
      <c r="G145" s="119"/>
      <c r="H145" s="119"/>
      <c r="I145" s="102">
        <v>11680</v>
      </c>
      <c r="J145" s="103" t="s">
        <v>901</v>
      </c>
      <c r="K145" s="150"/>
      <c r="L145" s="150"/>
      <c r="M145" s="150"/>
      <c r="N145" s="254" t="str" cm="1">
        <f t="array" ref="N14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45" s="255"/>
      <c r="P145" s="248"/>
      <c r="Q145" s="256" t="str" cm="1">
        <f t="array" ref="Q14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45" s="257"/>
      <c r="S145" s="248"/>
      <c r="T145" s="254"/>
      <c r="U145" s="258"/>
      <c r="V145" s="259"/>
      <c r="W145" s="259"/>
      <c r="X145" s="255"/>
      <c r="Y145" s="259"/>
      <c r="Z145" s="259"/>
      <c r="AA145" s="260" t="str" cm="1">
        <f t="array" ref="AA14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45" s="125"/>
      <c r="AD145" s="124"/>
    </row>
    <row r="146" spans="1:30" s="122" customFormat="1">
      <c r="A14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VenezulanosVE1214</v>
      </c>
      <c r="B146" s="105" t="s">
        <v>362</v>
      </c>
      <c r="C146" s="104" t="s">
        <v>363</v>
      </c>
      <c r="D146" s="119" t="s">
        <v>823</v>
      </c>
      <c r="E146" s="104" t="s">
        <v>390</v>
      </c>
      <c r="F146" s="113"/>
      <c r="G146" s="119"/>
      <c r="H146" s="119"/>
      <c r="I146" s="102">
        <v>13464</v>
      </c>
      <c r="J146" s="103" t="s">
        <v>901</v>
      </c>
      <c r="K146" s="150"/>
      <c r="L146" s="150"/>
      <c r="M146" s="150"/>
      <c r="N146" s="254" t="str" cm="1">
        <f t="array" ref="N14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46" s="255"/>
      <c r="P146" s="248"/>
      <c r="Q146" s="256" t="str" cm="1">
        <f t="array" ref="Q14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46" s="257"/>
      <c r="S146" s="248"/>
      <c r="T146" s="254"/>
      <c r="U146" s="258"/>
      <c r="V146" s="259"/>
      <c r="W146" s="259"/>
      <c r="X146" s="255"/>
      <c r="Y146" s="259"/>
      <c r="Z146" s="259"/>
      <c r="AA146" s="260" t="str" cm="1">
        <f t="array" ref="AA14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46" s="125"/>
      <c r="AD146" s="124"/>
    </row>
    <row r="147" spans="1:30" s="122" customFormat="1">
      <c r="A14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VenezulanosVE1215</v>
      </c>
      <c r="B147" s="105" t="s">
        <v>362</v>
      </c>
      <c r="C147" s="104" t="s">
        <v>363</v>
      </c>
      <c r="D147" s="119" t="s">
        <v>391</v>
      </c>
      <c r="E147" s="104" t="s">
        <v>392</v>
      </c>
      <c r="F147" s="113"/>
      <c r="G147" s="119"/>
      <c r="H147" s="119"/>
      <c r="I147" s="102">
        <v>63426</v>
      </c>
      <c r="J147" s="103" t="s">
        <v>901</v>
      </c>
      <c r="K147" s="150"/>
      <c r="L147" s="150"/>
      <c r="M147" s="150"/>
      <c r="N147" s="254" t="str" cm="1">
        <f t="array" ref="N14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47" s="255"/>
      <c r="P147" s="248"/>
      <c r="Q147" s="256" t="str" cm="1">
        <f t="array" ref="Q14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47" s="257"/>
      <c r="S147" s="248"/>
      <c r="T147" s="254"/>
      <c r="U147" s="258"/>
      <c r="V147" s="259"/>
      <c r="W147" s="259"/>
      <c r="X147" s="255"/>
      <c r="Y147" s="259"/>
      <c r="Z147" s="259"/>
      <c r="AA147" s="260" t="str" cm="1">
        <f t="array" ref="AA14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47" s="125"/>
      <c r="AD147" s="124"/>
    </row>
    <row r="148" spans="1:30" s="122" customFormat="1">
      <c r="A14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VenezulanosVE1301</v>
      </c>
      <c r="B148" s="105" t="s">
        <v>393</v>
      </c>
      <c r="C148" s="104" t="s">
        <v>394</v>
      </c>
      <c r="D148" s="119" t="s">
        <v>237</v>
      </c>
      <c r="E148" s="104" t="s">
        <v>395</v>
      </c>
      <c r="F148" s="113"/>
      <c r="G148" s="119"/>
      <c r="H148" s="119"/>
      <c r="I148" s="102">
        <v>48313</v>
      </c>
      <c r="J148" s="103" t="s">
        <v>901</v>
      </c>
      <c r="K148" s="150"/>
      <c r="L148" s="150"/>
      <c r="M148" s="150"/>
      <c r="N148" s="254" t="str" cm="1">
        <f t="array" ref="N14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48" s="255"/>
      <c r="P148" s="248"/>
      <c r="Q148" s="256" t="str" cm="1">
        <f t="array" ref="Q14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48" s="257"/>
      <c r="S148" s="248"/>
      <c r="T148" s="254"/>
      <c r="U148" s="258"/>
      <c r="V148" s="259"/>
      <c r="W148" s="259"/>
      <c r="X148" s="255"/>
      <c r="Y148" s="259"/>
      <c r="Z148" s="259"/>
      <c r="AA148" s="260" t="str" cm="1">
        <f t="array" ref="AA14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48" s="125"/>
      <c r="AD148" s="124"/>
    </row>
    <row r="149" spans="1:30" s="122" customFormat="1">
      <c r="A14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VenezulanosVE1302</v>
      </c>
      <c r="B149" s="105" t="s">
        <v>393</v>
      </c>
      <c r="C149" s="104" t="s">
        <v>394</v>
      </c>
      <c r="D149" s="119" t="s">
        <v>396</v>
      </c>
      <c r="E149" s="104" t="s">
        <v>397</v>
      </c>
      <c r="F149" s="113"/>
      <c r="G149" s="119"/>
      <c r="H149" s="119"/>
      <c r="I149" s="102">
        <v>51079</v>
      </c>
      <c r="J149" s="103" t="s">
        <v>901</v>
      </c>
      <c r="K149" s="150"/>
      <c r="L149" s="150"/>
      <c r="M149" s="150"/>
      <c r="N149" s="254" t="str" cm="1">
        <f t="array" ref="N14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49" s="255"/>
      <c r="P149" s="248"/>
      <c r="Q149" s="256" t="str" cm="1">
        <f t="array" ref="Q14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49" s="257"/>
      <c r="S149" s="248"/>
      <c r="T149" s="254"/>
      <c r="U149" s="258"/>
      <c r="V149" s="259"/>
      <c r="W149" s="259"/>
      <c r="X149" s="255"/>
      <c r="Y149" s="259"/>
      <c r="Z149" s="259"/>
      <c r="AA149" s="260" t="str" cm="1">
        <f t="array" ref="AA14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49" s="125"/>
      <c r="AD149" s="124"/>
    </row>
    <row r="150" spans="1:30" s="122" customFormat="1">
      <c r="A15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VenezulanosVE1303</v>
      </c>
      <c r="B150" s="105" t="s">
        <v>393</v>
      </c>
      <c r="C150" s="104" t="s">
        <v>394</v>
      </c>
      <c r="D150" s="119" t="s">
        <v>398</v>
      </c>
      <c r="E150" s="104" t="s">
        <v>399</v>
      </c>
      <c r="F150" s="113"/>
      <c r="G150" s="119"/>
      <c r="H150" s="119"/>
      <c r="I150" s="102">
        <v>1018728</v>
      </c>
      <c r="J150" s="103" t="s">
        <v>901</v>
      </c>
      <c r="K150" s="150"/>
      <c r="L150" s="150"/>
      <c r="M150" s="150"/>
      <c r="N150" s="254" t="str" cm="1">
        <f t="array" ref="N15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50" s="255"/>
      <c r="P150" s="248"/>
      <c r="Q150" s="256" t="str" cm="1">
        <f t="array" ref="Q15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50" s="257"/>
      <c r="S150" s="248"/>
      <c r="T150" s="254"/>
      <c r="U150" s="258"/>
      <c r="V150" s="259"/>
      <c r="W150" s="259"/>
      <c r="X150" s="255"/>
      <c r="Y150" s="259"/>
      <c r="Z150" s="259"/>
      <c r="AA150" s="260" t="str" cm="1">
        <f t="array" ref="AA15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50" s="125"/>
      <c r="AD150" s="124"/>
    </row>
    <row r="151" spans="1:30" s="122" customFormat="1">
      <c r="A15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VenezulanosVE1304</v>
      </c>
      <c r="B151" s="105" t="s">
        <v>393</v>
      </c>
      <c r="C151" s="104" t="s">
        <v>394</v>
      </c>
      <c r="D151" s="119" t="s">
        <v>400</v>
      </c>
      <c r="E151" s="104" t="s">
        <v>401</v>
      </c>
      <c r="F151" s="113"/>
      <c r="G151" s="119"/>
      <c r="H151" s="119"/>
      <c r="I151" s="102">
        <v>103280</v>
      </c>
      <c r="J151" s="103" t="s">
        <v>901</v>
      </c>
      <c r="K151" s="150"/>
      <c r="L151" s="150"/>
      <c r="M151" s="150"/>
      <c r="N151" s="254" t="str" cm="1">
        <f t="array" ref="N15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51" s="255"/>
      <c r="P151" s="248"/>
      <c r="Q151" s="256" t="str" cm="1">
        <f t="array" ref="Q15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51" s="257"/>
      <c r="S151" s="248"/>
      <c r="T151" s="254"/>
      <c r="U151" s="258"/>
      <c r="V151" s="259"/>
      <c r="W151" s="259"/>
      <c r="X151" s="255"/>
      <c r="Y151" s="259"/>
      <c r="Z151" s="259"/>
      <c r="AA151" s="260" t="str" cm="1">
        <f t="array" ref="AA15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51" s="125"/>
      <c r="AD151" s="124"/>
    </row>
    <row r="152" spans="1:30" s="122" customFormat="1">
      <c r="A15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VenezulanosVE1305</v>
      </c>
      <c r="B152" s="105" t="s">
        <v>393</v>
      </c>
      <c r="C152" s="104" t="s">
        <v>394</v>
      </c>
      <c r="D152" s="119" t="s">
        <v>402</v>
      </c>
      <c r="E152" s="104" t="s">
        <v>403</v>
      </c>
      <c r="F152" s="113"/>
      <c r="G152" s="119"/>
      <c r="H152" s="119"/>
      <c r="I152" s="102">
        <v>126675</v>
      </c>
      <c r="J152" s="103" t="s">
        <v>901</v>
      </c>
      <c r="K152" s="150"/>
      <c r="L152" s="150"/>
      <c r="M152" s="150"/>
      <c r="N152" s="254" t="str" cm="1">
        <f t="array" ref="N15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52" s="255"/>
      <c r="P152" s="248"/>
      <c r="Q152" s="256" t="str" cm="1">
        <f t="array" ref="Q15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52" s="257"/>
      <c r="S152" s="248"/>
      <c r="T152" s="254"/>
      <c r="U152" s="258"/>
      <c r="V152" s="259"/>
      <c r="W152" s="259"/>
      <c r="X152" s="255"/>
      <c r="Y152" s="259"/>
      <c r="Z152" s="259"/>
      <c r="AA152" s="260" t="str" cm="1">
        <f t="array" ref="AA15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52" s="125"/>
      <c r="AD152" s="124"/>
    </row>
    <row r="153" spans="1:30" s="122" customFormat="1">
      <c r="A15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VenezulanosVE1306</v>
      </c>
      <c r="B153" s="105" t="s">
        <v>393</v>
      </c>
      <c r="C153" s="104" t="s">
        <v>394</v>
      </c>
      <c r="D153" s="119" t="s">
        <v>404</v>
      </c>
      <c r="E153" s="104" t="s">
        <v>405</v>
      </c>
      <c r="F153" s="113"/>
      <c r="G153" s="119"/>
      <c r="H153" s="119"/>
      <c r="I153" s="102">
        <v>178035</v>
      </c>
      <c r="J153" s="103" t="s">
        <v>901</v>
      </c>
      <c r="K153" s="150"/>
      <c r="L153" s="150"/>
      <c r="M153" s="150"/>
      <c r="N153" s="254" t="str" cm="1">
        <f t="array" ref="N15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53" s="255"/>
      <c r="P153" s="248"/>
      <c r="Q153" s="256" t="str" cm="1">
        <f t="array" ref="Q15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53" s="257"/>
      <c r="S153" s="248"/>
      <c r="T153" s="254"/>
      <c r="U153" s="258"/>
      <c r="V153" s="259"/>
      <c r="W153" s="259"/>
      <c r="X153" s="255"/>
      <c r="Y153" s="259"/>
      <c r="Z153" s="259"/>
      <c r="AA153" s="260" t="str" cm="1">
        <f t="array" ref="AA15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53" s="125"/>
      <c r="AD153" s="124"/>
    </row>
    <row r="154" spans="1:30" s="122" customFormat="1">
      <c r="A15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VenezulanosVE1307</v>
      </c>
      <c r="B154" s="105" t="s">
        <v>393</v>
      </c>
      <c r="C154" s="104" t="s">
        <v>394</v>
      </c>
      <c r="D154" s="119" t="s">
        <v>830</v>
      </c>
      <c r="E154" s="104" t="s">
        <v>407</v>
      </c>
      <c r="F154" s="113"/>
      <c r="G154" s="119"/>
      <c r="H154" s="119"/>
      <c r="I154" s="102">
        <v>36605</v>
      </c>
      <c r="J154" s="103" t="s">
        <v>901</v>
      </c>
      <c r="K154" s="150"/>
      <c r="L154" s="150"/>
      <c r="M154" s="150"/>
      <c r="N154" s="254" t="str" cm="1">
        <f t="array" ref="N15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54" s="255"/>
      <c r="P154" s="248"/>
      <c r="Q154" s="256" t="str" cm="1">
        <f t="array" ref="Q15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54" s="257"/>
      <c r="S154" s="248"/>
      <c r="T154" s="254"/>
      <c r="U154" s="258"/>
      <c r="V154" s="259"/>
      <c r="W154" s="259"/>
      <c r="X154" s="255"/>
      <c r="Y154" s="259"/>
      <c r="Z154" s="259"/>
      <c r="AA154" s="260" t="str" cm="1">
        <f t="array" ref="AA15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54" s="125"/>
      <c r="AD154" s="124"/>
    </row>
    <row r="155" spans="1:30" s="122" customFormat="1">
      <c r="A15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VenezulanosVE1308</v>
      </c>
      <c r="B155" s="105" t="s">
        <v>393</v>
      </c>
      <c r="C155" s="104" t="s">
        <v>394</v>
      </c>
      <c r="D155" s="119" t="s">
        <v>408</v>
      </c>
      <c r="E155" s="104" t="s">
        <v>409</v>
      </c>
      <c r="F155" s="113"/>
      <c r="G155" s="119"/>
      <c r="H155" s="119"/>
      <c r="I155" s="102">
        <v>189462</v>
      </c>
      <c r="J155" s="103" t="s">
        <v>901</v>
      </c>
      <c r="K155" s="150"/>
      <c r="L155" s="150"/>
      <c r="M155" s="150"/>
      <c r="N155" s="254" t="str" cm="1">
        <f t="array" ref="N15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55" s="255"/>
      <c r="P155" s="248"/>
      <c r="Q155" s="256" t="str" cm="1">
        <f t="array" ref="Q15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55" s="257"/>
      <c r="S155" s="248"/>
      <c r="T155" s="254"/>
      <c r="U155" s="258"/>
      <c r="V155" s="259"/>
      <c r="W155" s="259"/>
      <c r="X155" s="255"/>
      <c r="Y155" s="259"/>
      <c r="Z155" s="259"/>
      <c r="AA155" s="260" t="str" cm="1">
        <f t="array" ref="AA15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55" s="125"/>
      <c r="AD155" s="124"/>
    </row>
    <row r="156" spans="1:30" s="122" customFormat="1">
      <c r="A15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VenezulanosVE1309</v>
      </c>
      <c r="B156" s="105" t="s">
        <v>393</v>
      </c>
      <c r="C156" s="104" t="s">
        <v>394</v>
      </c>
      <c r="D156" s="119" t="s">
        <v>207</v>
      </c>
      <c r="E156" s="104" t="s">
        <v>410</v>
      </c>
      <c r="F156" s="113"/>
      <c r="G156" s="119"/>
      <c r="H156" s="119"/>
      <c r="I156" s="102">
        <v>62764</v>
      </c>
      <c r="J156" s="103" t="s">
        <v>901</v>
      </c>
      <c r="K156" s="150"/>
      <c r="L156" s="150"/>
      <c r="M156" s="150"/>
      <c r="N156" s="254" t="str" cm="1">
        <f t="array" ref="N15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56" s="255"/>
      <c r="P156" s="248"/>
      <c r="Q156" s="256" t="str" cm="1">
        <f t="array" ref="Q15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56" s="257"/>
      <c r="S156" s="248"/>
      <c r="T156" s="254"/>
      <c r="U156" s="258"/>
      <c r="V156" s="259"/>
      <c r="W156" s="259"/>
      <c r="X156" s="255"/>
      <c r="Y156" s="259"/>
      <c r="Z156" s="259"/>
      <c r="AA156" s="260" t="str" cm="1">
        <f t="array" ref="AA15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56" s="125"/>
      <c r="AD156" s="124"/>
    </row>
    <row r="157" spans="1:30" s="122" customFormat="1">
      <c r="A15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VenezulanosVE1401</v>
      </c>
      <c r="B157" s="105" t="s">
        <v>411</v>
      </c>
      <c r="C157" s="104" t="s">
        <v>412</v>
      </c>
      <c r="D157" s="119" t="s">
        <v>413</v>
      </c>
      <c r="E157" s="104" t="s">
        <v>414</v>
      </c>
      <c r="F157" s="113"/>
      <c r="G157" s="119"/>
      <c r="H157" s="119"/>
      <c r="I157" s="102">
        <v>135683</v>
      </c>
      <c r="J157" s="103" t="s">
        <v>901</v>
      </c>
      <c r="K157" s="150"/>
      <c r="L157" s="150"/>
      <c r="M157" s="150"/>
      <c r="N157" s="254" t="str" cm="1">
        <f t="array" ref="N15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57" s="255"/>
      <c r="P157" s="248"/>
      <c r="Q157" s="256" t="str" cm="1">
        <f t="array" ref="Q15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57" s="257"/>
      <c r="S157" s="248"/>
      <c r="T157" s="254"/>
      <c r="U157" s="258"/>
      <c r="V157" s="259"/>
      <c r="W157" s="259"/>
      <c r="X157" s="255"/>
      <c r="Y157" s="259"/>
      <c r="Z157" s="259"/>
      <c r="AA157" s="260" t="str" cm="1">
        <f t="array" ref="AA15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57" s="125"/>
      <c r="AD157" s="124"/>
    </row>
    <row r="158" spans="1:30" s="122" customFormat="1">
      <c r="A15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VenezulanosVE1402</v>
      </c>
      <c r="B158" s="105" t="s">
        <v>411</v>
      </c>
      <c r="C158" s="104" t="s">
        <v>412</v>
      </c>
      <c r="D158" s="119" t="s">
        <v>415</v>
      </c>
      <c r="E158" s="104" t="s">
        <v>416</v>
      </c>
      <c r="F158" s="113"/>
      <c r="G158" s="119"/>
      <c r="H158" s="119"/>
      <c r="I158" s="102">
        <v>14555</v>
      </c>
      <c r="J158" s="103" t="s">
        <v>901</v>
      </c>
      <c r="K158" s="150"/>
      <c r="L158" s="150"/>
      <c r="M158" s="150"/>
      <c r="N158" s="254" t="str" cm="1">
        <f t="array" ref="N15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58" s="255"/>
      <c r="P158" s="248"/>
      <c r="Q158" s="256" t="str" cm="1">
        <f t="array" ref="Q15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58" s="257"/>
      <c r="S158" s="248"/>
      <c r="T158" s="254"/>
      <c r="U158" s="258"/>
      <c r="V158" s="259"/>
      <c r="W158" s="259"/>
      <c r="X158" s="255"/>
      <c r="Y158" s="259"/>
      <c r="Z158" s="259"/>
      <c r="AA158" s="260" t="str" cm="1">
        <f t="array" ref="AA15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58" s="125"/>
      <c r="AD158" s="124"/>
    </row>
    <row r="159" spans="1:30" s="122" customFormat="1">
      <c r="A15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VenezulanosVE1403</v>
      </c>
      <c r="B159" s="105" t="s">
        <v>411</v>
      </c>
      <c r="C159" s="104" t="s">
        <v>412</v>
      </c>
      <c r="D159" s="119" t="s">
        <v>417</v>
      </c>
      <c r="E159" s="104" t="s">
        <v>418</v>
      </c>
      <c r="F159" s="113"/>
      <c r="G159" s="119"/>
      <c r="H159" s="119"/>
      <c r="I159" s="102">
        <v>24553</v>
      </c>
      <c r="J159" s="103" t="s">
        <v>901</v>
      </c>
      <c r="K159" s="150"/>
      <c r="L159" s="150"/>
      <c r="M159" s="150"/>
      <c r="N159" s="254" t="str" cm="1">
        <f t="array" ref="N15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59" s="255"/>
      <c r="P159" s="248"/>
      <c r="Q159" s="256" t="str" cm="1">
        <f t="array" ref="Q15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59" s="257"/>
      <c r="S159" s="248"/>
      <c r="T159" s="254"/>
      <c r="U159" s="258"/>
      <c r="V159" s="259"/>
      <c r="W159" s="259"/>
      <c r="X159" s="255"/>
      <c r="Y159" s="259"/>
      <c r="Z159" s="259"/>
      <c r="AA159" s="260" t="str" cm="1">
        <f t="array" ref="AA15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59" s="125"/>
      <c r="AD159" s="124"/>
    </row>
    <row r="160" spans="1:30" s="122" customFormat="1">
      <c r="A16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VenezulanosVE1404</v>
      </c>
      <c r="B160" s="105" t="s">
        <v>411</v>
      </c>
      <c r="C160" s="104" t="s">
        <v>412</v>
      </c>
      <c r="D160" s="119" t="s">
        <v>419</v>
      </c>
      <c r="E160" s="104" t="s">
        <v>420</v>
      </c>
      <c r="F160" s="113"/>
      <c r="G160" s="119"/>
      <c r="H160" s="119"/>
      <c r="I160" s="102">
        <v>4335</v>
      </c>
      <c r="J160" s="103" t="s">
        <v>901</v>
      </c>
      <c r="K160" s="150"/>
      <c r="L160" s="150"/>
      <c r="M160" s="150"/>
      <c r="N160" s="254" t="str" cm="1">
        <f t="array" ref="N16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60" s="255"/>
      <c r="P160" s="248"/>
      <c r="Q160" s="256" t="str" cm="1">
        <f t="array" ref="Q16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60" s="257"/>
      <c r="S160" s="248"/>
      <c r="T160" s="254"/>
      <c r="U160" s="258"/>
      <c r="V160" s="259"/>
      <c r="W160" s="259"/>
      <c r="X160" s="255"/>
      <c r="Y160" s="259"/>
      <c r="Z160" s="259"/>
      <c r="AA160" s="260" t="str" cm="1">
        <f t="array" ref="AA16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60" s="125"/>
      <c r="AD160" s="124"/>
    </row>
    <row r="161" spans="1:30" s="122" customFormat="1">
      <c r="A16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VenezulanosVE1405</v>
      </c>
      <c r="B161" s="105" t="s">
        <v>411</v>
      </c>
      <c r="C161" s="104" t="s">
        <v>412</v>
      </c>
      <c r="D161" s="119" t="s">
        <v>421</v>
      </c>
      <c r="E161" s="104" t="s">
        <v>422</v>
      </c>
      <c r="F161" s="113"/>
      <c r="G161" s="119"/>
      <c r="H161" s="119"/>
      <c r="I161" s="102">
        <v>13375</v>
      </c>
      <c r="J161" s="103" t="s">
        <v>901</v>
      </c>
      <c r="K161" s="150"/>
      <c r="L161" s="150"/>
      <c r="M161" s="150"/>
      <c r="N161" s="254" t="str" cm="1">
        <f t="array" ref="N16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61" s="255"/>
      <c r="P161" s="248"/>
      <c r="Q161" s="256" t="str" cm="1">
        <f t="array" ref="Q16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61" s="257"/>
      <c r="S161" s="248"/>
      <c r="T161" s="254"/>
      <c r="U161" s="258"/>
      <c r="V161" s="259"/>
      <c r="W161" s="259"/>
      <c r="X161" s="255"/>
      <c r="Y161" s="259"/>
      <c r="Z161" s="259"/>
      <c r="AA161" s="260" t="str" cm="1">
        <f t="array" ref="AA16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61" s="125"/>
      <c r="AD161" s="124"/>
    </row>
    <row r="162" spans="1:30" s="122" customFormat="1">
      <c r="A16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VenezulanosVE1406</v>
      </c>
      <c r="B162" s="105" t="s">
        <v>411</v>
      </c>
      <c r="C162" s="104" t="s">
        <v>412</v>
      </c>
      <c r="D162" s="119" t="s">
        <v>423</v>
      </c>
      <c r="E162" s="104" t="s">
        <v>424</v>
      </c>
      <c r="F162" s="113"/>
      <c r="G162" s="119"/>
      <c r="H162" s="119"/>
      <c r="I162" s="102">
        <v>102133</v>
      </c>
      <c r="J162" s="103" t="s">
        <v>901</v>
      </c>
      <c r="K162" s="150"/>
      <c r="L162" s="150"/>
      <c r="M162" s="150"/>
      <c r="N162" s="254" t="str" cm="1">
        <f t="array" ref="N16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62" s="255"/>
      <c r="P162" s="248"/>
      <c r="Q162" s="256" t="str" cm="1">
        <f t="array" ref="Q16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62" s="257"/>
      <c r="S162" s="248"/>
      <c r="T162" s="254"/>
      <c r="U162" s="258"/>
      <c r="V162" s="259"/>
      <c r="W162" s="259"/>
      <c r="X162" s="255"/>
      <c r="Y162" s="259"/>
      <c r="Z162" s="259"/>
      <c r="AA162" s="260" t="str" cm="1">
        <f t="array" ref="AA16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62" s="125"/>
      <c r="AD162" s="124"/>
    </row>
    <row r="163" spans="1:30" s="122" customFormat="1">
      <c r="A16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VenezulanosVE1407</v>
      </c>
      <c r="B163" s="105" t="s">
        <v>411</v>
      </c>
      <c r="C163" s="104" t="s">
        <v>412</v>
      </c>
      <c r="D163" s="119" t="s">
        <v>425</v>
      </c>
      <c r="E163" s="104" t="s">
        <v>426</v>
      </c>
      <c r="F163" s="113"/>
      <c r="G163" s="119"/>
      <c r="H163" s="119"/>
      <c r="I163" s="102">
        <v>28255</v>
      </c>
      <c r="J163" s="103" t="s">
        <v>901</v>
      </c>
      <c r="K163" s="150"/>
      <c r="L163" s="150"/>
      <c r="M163" s="150"/>
      <c r="N163" s="254" t="str" cm="1">
        <f t="array" ref="N16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63" s="255"/>
      <c r="P163" s="248"/>
      <c r="Q163" s="256" t="str" cm="1">
        <f t="array" ref="Q16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63" s="257"/>
      <c r="S163" s="248"/>
      <c r="T163" s="254"/>
      <c r="U163" s="258"/>
      <c r="V163" s="259"/>
      <c r="W163" s="259"/>
      <c r="X163" s="255"/>
      <c r="Y163" s="259"/>
      <c r="Z163" s="259"/>
      <c r="AA163" s="260" t="str" cm="1">
        <f t="array" ref="AA16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63" s="125"/>
      <c r="AD163" s="124"/>
    </row>
    <row r="164" spans="1:30" s="122" customFormat="1">
      <c r="A16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VenezulanosVE1408</v>
      </c>
      <c r="B164" s="105" t="s">
        <v>411</v>
      </c>
      <c r="C164" s="104" t="s">
        <v>412</v>
      </c>
      <c r="D164" s="119" t="s">
        <v>427</v>
      </c>
      <c r="E164" s="104" t="s">
        <v>428</v>
      </c>
      <c r="F164" s="113"/>
      <c r="G164" s="119"/>
      <c r="H164" s="119"/>
      <c r="I164" s="102">
        <v>9655</v>
      </c>
      <c r="J164" s="103" t="s">
        <v>901</v>
      </c>
      <c r="K164" s="150"/>
      <c r="L164" s="150"/>
      <c r="M164" s="150"/>
      <c r="N164" s="254" t="str" cm="1">
        <f t="array" ref="N16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64" s="255"/>
      <c r="P164" s="248"/>
      <c r="Q164" s="256" t="str" cm="1">
        <f t="array" ref="Q16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64" s="257"/>
      <c r="S164" s="248"/>
      <c r="T164" s="254"/>
      <c r="U164" s="258"/>
      <c r="V164" s="259"/>
      <c r="W164" s="259"/>
      <c r="X164" s="255"/>
      <c r="Y164" s="259"/>
      <c r="Z164" s="259"/>
      <c r="AA164" s="260" t="str" cm="1">
        <f t="array" ref="AA16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64" s="125"/>
      <c r="AD164" s="124"/>
    </row>
    <row r="165" spans="1:30" s="122" customFormat="1">
      <c r="A16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VenezulanosVE1409</v>
      </c>
      <c r="B165" s="105" t="s">
        <v>411</v>
      </c>
      <c r="C165" s="104" t="s">
        <v>412</v>
      </c>
      <c r="D165" s="119" t="s">
        <v>429</v>
      </c>
      <c r="E165" s="104" t="s">
        <v>430</v>
      </c>
      <c r="F165" s="113"/>
      <c r="G165" s="119"/>
      <c r="H165" s="119"/>
      <c r="I165" s="102">
        <v>9262</v>
      </c>
      <c r="J165" s="103" t="s">
        <v>901</v>
      </c>
      <c r="K165" s="150"/>
      <c r="L165" s="150"/>
      <c r="M165" s="150"/>
      <c r="N165" s="254" t="str" cm="1">
        <f t="array" ref="N16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65" s="255"/>
      <c r="P165" s="248"/>
      <c r="Q165" s="256" t="str" cm="1">
        <f t="array" ref="Q16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65" s="257"/>
      <c r="S165" s="248"/>
      <c r="T165" s="254"/>
      <c r="U165" s="258"/>
      <c r="V165" s="259"/>
      <c r="W165" s="259"/>
      <c r="X165" s="255"/>
      <c r="Y165" s="259"/>
      <c r="Z165" s="259"/>
      <c r="AA165" s="260" t="str" cm="1">
        <f t="array" ref="AA16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65" s="125"/>
      <c r="AD165" s="124"/>
    </row>
    <row r="166" spans="1:30" s="122" customFormat="1">
      <c r="A16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VenezulanosVE1410</v>
      </c>
      <c r="B166" s="105" t="s">
        <v>411</v>
      </c>
      <c r="C166" s="104" t="s">
        <v>412</v>
      </c>
      <c r="D166" s="119" t="s">
        <v>431</v>
      </c>
      <c r="E166" s="104" t="s">
        <v>432</v>
      </c>
      <c r="F166" s="113"/>
      <c r="G166" s="119"/>
      <c r="H166" s="119"/>
      <c r="I166" s="102">
        <v>14996</v>
      </c>
      <c r="J166" s="103" t="s">
        <v>901</v>
      </c>
      <c r="K166" s="150"/>
      <c r="L166" s="150"/>
      <c r="M166" s="150"/>
      <c r="N166" s="254" t="str" cm="1">
        <f t="array" ref="N16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66" s="255"/>
      <c r="P166" s="248"/>
      <c r="Q166" s="256" t="str" cm="1">
        <f t="array" ref="Q16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66" s="257"/>
      <c r="S166" s="248"/>
      <c r="T166" s="254"/>
      <c r="U166" s="258"/>
      <c r="V166" s="259"/>
      <c r="W166" s="259"/>
      <c r="X166" s="255"/>
      <c r="Y166" s="259"/>
      <c r="Z166" s="259"/>
      <c r="AA166" s="260" t="str" cm="1">
        <f t="array" ref="AA16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66" s="125"/>
      <c r="AD166" s="124"/>
    </row>
    <row r="167" spans="1:30" s="122" customFormat="1">
      <c r="A16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VenezulanosVE1411</v>
      </c>
      <c r="B167" s="105" t="s">
        <v>411</v>
      </c>
      <c r="C167" s="104" t="s">
        <v>412</v>
      </c>
      <c r="D167" s="119" t="s">
        <v>433</v>
      </c>
      <c r="E167" s="104" t="s">
        <v>434</v>
      </c>
      <c r="F167" s="113"/>
      <c r="G167" s="119"/>
      <c r="H167" s="119"/>
      <c r="I167" s="102">
        <v>5000</v>
      </c>
      <c r="J167" s="103" t="s">
        <v>901</v>
      </c>
      <c r="K167" s="150"/>
      <c r="L167" s="150"/>
      <c r="M167" s="150"/>
      <c r="N167" s="254" t="str" cm="1">
        <f t="array" ref="N16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67" s="255"/>
      <c r="P167" s="248"/>
      <c r="Q167" s="256" t="str" cm="1">
        <f t="array" ref="Q16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67" s="257"/>
      <c r="S167" s="248"/>
      <c r="T167" s="254"/>
      <c r="U167" s="258"/>
      <c r="V167" s="259"/>
      <c r="W167" s="259"/>
      <c r="X167" s="255"/>
      <c r="Y167" s="259"/>
      <c r="Z167" s="259"/>
      <c r="AA167" s="260" t="str" cm="1">
        <f t="array" ref="AA16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67" s="125"/>
      <c r="AD167" s="124"/>
    </row>
    <row r="168" spans="1:30" s="122" customFormat="1">
      <c r="A16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VenezulanosVE1412</v>
      </c>
      <c r="B168" s="105" t="s">
        <v>411</v>
      </c>
      <c r="C168" s="104" t="s">
        <v>412</v>
      </c>
      <c r="D168" s="119" t="s">
        <v>100</v>
      </c>
      <c r="E168" s="104" t="s">
        <v>435</v>
      </c>
      <c r="F168" s="113"/>
      <c r="G168" s="119"/>
      <c r="H168" s="119"/>
      <c r="I168" s="102">
        <v>222451</v>
      </c>
      <c r="J168" s="103" t="s">
        <v>901</v>
      </c>
      <c r="K168" s="150"/>
      <c r="L168" s="150"/>
      <c r="M168" s="150"/>
      <c r="N168" s="254" t="str" cm="1">
        <f t="array" ref="N16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68" s="255"/>
      <c r="P168" s="248"/>
      <c r="Q168" s="256" t="str" cm="1">
        <f t="array" ref="Q16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68" s="257"/>
      <c r="S168" s="248"/>
      <c r="T168" s="254"/>
      <c r="U168" s="258"/>
      <c r="V168" s="259"/>
      <c r="W168" s="259"/>
      <c r="X168" s="255"/>
      <c r="Y168" s="259"/>
      <c r="Z168" s="259"/>
      <c r="AA168" s="260" t="str" cm="1">
        <f t="array" ref="AA16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68" s="125"/>
      <c r="AD168" s="124"/>
    </row>
    <row r="169" spans="1:30" s="122" customFormat="1">
      <c r="A16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VenezulanosVE1413</v>
      </c>
      <c r="B169" s="105" t="s">
        <v>411</v>
      </c>
      <c r="C169" s="104" t="s">
        <v>412</v>
      </c>
      <c r="D169" s="119" t="s">
        <v>276</v>
      </c>
      <c r="E169" s="104" t="s">
        <v>436</v>
      </c>
      <c r="F169" s="113"/>
      <c r="G169" s="119"/>
      <c r="H169" s="119"/>
      <c r="I169" s="102">
        <v>22370</v>
      </c>
      <c r="J169" s="103" t="s">
        <v>901</v>
      </c>
      <c r="K169" s="150"/>
      <c r="L169" s="150"/>
      <c r="M169" s="150"/>
      <c r="N169" s="254" t="str" cm="1">
        <f t="array" ref="N16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69" s="255"/>
      <c r="P169" s="248"/>
      <c r="Q169" s="256" t="str" cm="1">
        <f t="array" ref="Q16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69" s="257"/>
      <c r="S169" s="248"/>
      <c r="T169" s="254"/>
      <c r="U169" s="258"/>
      <c r="V169" s="259"/>
      <c r="W169" s="259"/>
      <c r="X169" s="255"/>
      <c r="Y169" s="259"/>
      <c r="Z169" s="259"/>
      <c r="AA169" s="260" t="str" cm="1">
        <f t="array" ref="AA16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69" s="125"/>
      <c r="AD169" s="124"/>
    </row>
    <row r="170" spans="1:30" s="122" customFormat="1">
      <c r="A17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VenezulanosVE1414</v>
      </c>
      <c r="B170" s="105" t="s">
        <v>411</v>
      </c>
      <c r="C170" s="104" t="s">
        <v>412</v>
      </c>
      <c r="D170" s="119" t="s">
        <v>831</v>
      </c>
      <c r="E170" s="104" t="s">
        <v>438</v>
      </c>
      <c r="F170" s="113"/>
      <c r="G170" s="119"/>
      <c r="H170" s="119"/>
      <c r="I170" s="102">
        <v>25338</v>
      </c>
      <c r="J170" s="103" t="s">
        <v>901</v>
      </c>
      <c r="K170" s="150"/>
      <c r="L170" s="150"/>
      <c r="M170" s="150"/>
      <c r="N170" s="254" t="str" cm="1">
        <f t="array" ref="N17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70" s="255"/>
      <c r="P170" s="248"/>
      <c r="Q170" s="256" t="str" cm="1">
        <f t="array" ref="Q17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70" s="257"/>
      <c r="S170" s="248"/>
      <c r="T170" s="254"/>
      <c r="U170" s="258"/>
      <c r="V170" s="259"/>
      <c r="W170" s="259"/>
      <c r="X170" s="255"/>
      <c r="Y170" s="259"/>
      <c r="Z170" s="259"/>
      <c r="AA170" s="260" t="str" cm="1">
        <f t="array" ref="AA17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70" s="125"/>
      <c r="AD170" s="124"/>
    </row>
    <row r="171" spans="1:30" s="122" customFormat="1">
      <c r="A17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VenezulanosVE1415</v>
      </c>
      <c r="B171" s="105" t="s">
        <v>411</v>
      </c>
      <c r="C171" s="104" t="s">
        <v>412</v>
      </c>
      <c r="D171" s="119" t="s">
        <v>439</v>
      </c>
      <c r="E171" s="104" t="s">
        <v>440</v>
      </c>
      <c r="F171" s="113"/>
      <c r="G171" s="119"/>
      <c r="H171" s="119"/>
      <c r="I171" s="102">
        <v>3259</v>
      </c>
      <c r="J171" s="103" t="s">
        <v>901</v>
      </c>
      <c r="K171" s="150"/>
      <c r="L171" s="150"/>
      <c r="M171" s="150"/>
      <c r="N171" s="254" t="str" cm="1">
        <f t="array" ref="N17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71" s="255"/>
      <c r="P171" s="248"/>
      <c r="Q171" s="256" t="str" cm="1">
        <f t="array" ref="Q17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71" s="257"/>
      <c r="S171" s="248"/>
      <c r="T171" s="254"/>
      <c r="U171" s="258"/>
      <c r="V171" s="259"/>
      <c r="W171" s="259"/>
      <c r="X171" s="255"/>
      <c r="Y171" s="259"/>
      <c r="Z171" s="259"/>
      <c r="AA171" s="260" t="str" cm="1">
        <f t="array" ref="AA17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71" s="125"/>
      <c r="AD171" s="124"/>
    </row>
    <row r="172" spans="1:30" s="122" customFormat="1">
      <c r="A17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VenezulanosVE1416</v>
      </c>
      <c r="B172" s="105" t="s">
        <v>411</v>
      </c>
      <c r="C172" s="104" t="s">
        <v>412</v>
      </c>
      <c r="D172" s="119" t="s">
        <v>441</v>
      </c>
      <c r="E172" s="104" t="s">
        <v>442</v>
      </c>
      <c r="F172" s="113"/>
      <c r="G172" s="119"/>
      <c r="H172" s="119"/>
      <c r="I172" s="102">
        <v>10959</v>
      </c>
      <c r="J172" s="103" t="s">
        <v>901</v>
      </c>
      <c r="K172" s="150"/>
      <c r="L172" s="150"/>
      <c r="M172" s="150"/>
      <c r="N172" s="254" t="str" cm="1">
        <f t="array" ref="N17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72" s="255"/>
      <c r="P172" s="248"/>
      <c r="Q172" s="256" t="str" cm="1">
        <f t="array" ref="Q17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72" s="257"/>
      <c r="S172" s="248"/>
      <c r="T172" s="254"/>
      <c r="U172" s="258"/>
      <c r="V172" s="259"/>
      <c r="W172" s="259"/>
      <c r="X172" s="255"/>
      <c r="Y172" s="259"/>
      <c r="Z172" s="259"/>
      <c r="AA172" s="260" t="str" cm="1">
        <f t="array" ref="AA17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72" s="125"/>
      <c r="AD172" s="124"/>
    </row>
    <row r="173" spans="1:30" s="122" customFormat="1">
      <c r="A17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VenezulanosVE1417</v>
      </c>
      <c r="B173" s="105" t="s">
        <v>411</v>
      </c>
      <c r="C173" s="104" t="s">
        <v>412</v>
      </c>
      <c r="D173" s="119" t="s">
        <v>443</v>
      </c>
      <c r="E173" s="104" t="s">
        <v>444</v>
      </c>
      <c r="F173" s="113"/>
      <c r="G173" s="119"/>
      <c r="H173" s="119"/>
      <c r="I173" s="102">
        <v>19441</v>
      </c>
      <c r="J173" s="103" t="s">
        <v>901</v>
      </c>
      <c r="K173" s="150"/>
      <c r="L173" s="150"/>
      <c r="M173" s="150"/>
      <c r="N173" s="254" t="str" cm="1">
        <f t="array" ref="N17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73" s="255"/>
      <c r="P173" s="248"/>
      <c r="Q173" s="256" t="str" cm="1">
        <f t="array" ref="Q17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73" s="257"/>
      <c r="S173" s="248"/>
      <c r="T173" s="254"/>
      <c r="U173" s="258"/>
      <c r="V173" s="259"/>
      <c r="W173" s="259"/>
      <c r="X173" s="255"/>
      <c r="Y173" s="259"/>
      <c r="Z173" s="259"/>
      <c r="AA173" s="260" t="str" cm="1">
        <f t="array" ref="AA17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73" s="125"/>
      <c r="AD173" s="124"/>
    </row>
    <row r="174" spans="1:30" s="122" customFormat="1">
      <c r="A17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VenezulanosVE1418</v>
      </c>
      <c r="B174" s="105" t="s">
        <v>411</v>
      </c>
      <c r="C174" s="104" t="s">
        <v>412</v>
      </c>
      <c r="D174" s="119" t="s">
        <v>445</v>
      </c>
      <c r="E174" s="104" t="s">
        <v>446</v>
      </c>
      <c r="F174" s="113"/>
      <c r="G174" s="119"/>
      <c r="H174" s="119"/>
      <c r="I174" s="102">
        <v>20581</v>
      </c>
      <c r="J174" s="103" t="s">
        <v>901</v>
      </c>
      <c r="K174" s="150"/>
      <c r="L174" s="150"/>
      <c r="M174" s="150"/>
      <c r="N174" s="254" t="str" cm="1">
        <f t="array" ref="N17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74" s="255"/>
      <c r="P174" s="248"/>
      <c r="Q174" s="256" t="str" cm="1">
        <f t="array" ref="Q17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74" s="257"/>
      <c r="S174" s="248"/>
      <c r="T174" s="254"/>
      <c r="U174" s="258"/>
      <c r="V174" s="259"/>
      <c r="W174" s="259"/>
      <c r="X174" s="255"/>
      <c r="Y174" s="259"/>
      <c r="Z174" s="259"/>
      <c r="AA174" s="260" t="str" cm="1">
        <f t="array" ref="AA17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74" s="125"/>
      <c r="AD174" s="124"/>
    </row>
    <row r="175" spans="1:30" s="122" customFormat="1">
      <c r="A17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VenezulanosVE1419</v>
      </c>
      <c r="B175" s="105" t="s">
        <v>411</v>
      </c>
      <c r="C175" s="104" t="s">
        <v>412</v>
      </c>
      <c r="D175" s="119" t="s">
        <v>447</v>
      </c>
      <c r="E175" s="104" t="s">
        <v>448</v>
      </c>
      <c r="F175" s="113"/>
      <c r="G175" s="119"/>
      <c r="H175" s="119"/>
      <c r="I175" s="102">
        <v>18439</v>
      </c>
      <c r="J175" s="103" t="s">
        <v>901</v>
      </c>
      <c r="K175" s="150"/>
      <c r="L175" s="150"/>
      <c r="M175" s="150"/>
      <c r="N175" s="254" t="str" cm="1">
        <f t="array" ref="N17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75" s="255"/>
      <c r="P175" s="248"/>
      <c r="Q175" s="256" t="str" cm="1">
        <f t="array" ref="Q17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75" s="257"/>
      <c r="S175" s="248"/>
      <c r="T175" s="254"/>
      <c r="U175" s="258"/>
      <c r="V175" s="259"/>
      <c r="W175" s="259"/>
      <c r="X175" s="255"/>
      <c r="Y175" s="259"/>
      <c r="Z175" s="259"/>
      <c r="AA175" s="260" t="str" cm="1">
        <f t="array" ref="AA17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75" s="125"/>
      <c r="AD175" s="124"/>
    </row>
    <row r="176" spans="1:30" s="122" customFormat="1">
      <c r="A17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VenezulanosVE1420</v>
      </c>
      <c r="B176" s="105" t="s">
        <v>411</v>
      </c>
      <c r="C176" s="104" t="s">
        <v>412</v>
      </c>
      <c r="D176" s="119" t="s">
        <v>203</v>
      </c>
      <c r="E176" s="104" t="s">
        <v>449</v>
      </c>
      <c r="F176" s="113"/>
      <c r="G176" s="119"/>
      <c r="H176" s="119"/>
      <c r="I176" s="102">
        <v>57096</v>
      </c>
      <c r="J176" s="103" t="s">
        <v>901</v>
      </c>
      <c r="K176" s="150"/>
      <c r="L176" s="150"/>
      <c r="M176" s="150"/>
      <c r="N176" s="254" t="str" cm="1">
        <f t="array" ref="N17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76" s="255"/>
      <c r="P176" s="248"/>
      <c r="Q176" s="256" t="str" cm="1">
        <f t="array" ref="Q17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76" s="257"/>
      <c r="S176" s="248"/>
      <c r="T176" s="254"/>
      <c r="U176" s="258"/>
      <c r="V176" s="259"/>
      <c r="W176" s="259"/>
      <c r="X176" s="255"/>
      <c r="Y176" s="259"/>
      <c r="Z176" s="259"/>
      <c r="AA176" s="260" t="str" cm="1">
        <f t="array" ref="AA17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76" s="125"/>
      <c r="AD176" s="124"/>
    </row>
    <row r="177" spans="1:30" s="122" customFormat="1">
      <c r="A17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VenezulanosVE1421</v>
      </c>
      <c r="B177" s="105" t="s">
        <v>411</v>
      </c>
      <c r="C177" s="104" t="s">
        <v>412</v>
      </c>
      <c r="D177" s="119" t="s">
        <v>205</v>
      </c>
      <c r="E177" s="104" t="s">
        <v>450</v>
      </c>
      <c r="F177" s="113"/>
      <c r="G177" s="119"/>
      <c r="H177" s="119"/>
      <c r="I177" s="102">
        <v>39330</v>
      </c>
      <c r="J177" s="103" t="s">
        <v>901</v>
      </c>
      <c r="K177" s="150"/>
      <c r="L177" s="150"/>
      <c r="M177" s="150"/>
      <c r="N177" s="254" t="str" cm="1">
        <f t="array" ref="N17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77" s="255"/>
      <c r="P177" s="248"/>
      <c r="Q177" s="256" t="str" cm="1">
        <f t="array" ref="Q17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77" s="257"/>
      <c r="S177" s="248"/>
      <c r="T177" s="254"/>
      <c r="U177" s="258"/>
      <c r="V177" s="259"/>
      <c r="W177" s="259"/>
      <c r="X177" s="255"/>
      <c r="Y177" s="259"/>
      <c r="Z177" s="259"/>
      <c r="AA177" s="260" t="str" cm="1">
        <f t="array" ref="AA17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77" s="125"/>
      <c r="AD177" s="124"/>
    </row>
    <row r="178" spans="1:30" s="122" customFormat="1">
      <c r="A17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VenezulanosVE1422</v>
      </c>
      <c r="B178" s="105" t="s">
        <v>411</v>
      </c>
      <c r="C178" s="104" t="s">
        <v>412</v>
      </c>
      <c r="D178" s="119" t="s">
        <v>451</v>
      </c>
      <c r="E178" s="104" t="s">
        <v>452</v>
      </c>
      <c r="F178" s="113"/>
      <c r="G178" s="119"/>
      <c r="H178" s="119"/>
      <c r="I178" s="102">
        <v>34796</v>
      </c>
      <c r="J178" s="103" t="s">
        <v>901</v>
      </c>
      <c r="K178" s="150"/>
      <c r="L178" s="150"/>
      <c r="M178" s="150"/>
      <c r="N178" s="254" t="str" cm="1">
        <f t="array" ref="N17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78" s="255"/>
      <c r="P178" s="248"/>
      <c r="Q178" s="256" t="str" cm="1">
        <f t="array" ref="Q17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78" s="257"/>
      <c r="S178" s="248"/>
      <c r="T178" s="254"/>
      <c r="U178" s="258"/>
      <c r="V178" s="259"/>
      <c r="W178" s="259"/>
      <c r="X178" s="255"/>
      <c r="Y178" s="259"/>
      <c r="Z178" s="259"/>
      <c r="AA178" s="260" t="str" cm="1">
        <f t="array" ref="AA17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78" s="125"/>
      <c r="AD178" s="124"/>
    </row>
    <row r="179" spans="1:30" s="122" customFormat="1">
      <c r="A17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VenezulanosVE1423</v>
      </c>
      <c r="B179" s="105" t="s">
        <v>411</v>
      </c>
      <c r="C179" s="104" t="s">
        <v>412</v>
      </c>
      <c r="D179" s="119" t="s">
        <v>453</v>
      </c>
      <c r="E179" s="104" t="s">
        <v>454</v>
      </c>
      <c r="F179" s="113"/>
      <c r="G179" s="119"/>
      <c r="H179" s="119"/>
      <c r="I179" s="102">
        <v>11413</v>
      </c>
      <c r="J179" s="103" t="s">
        <v>901</v>
      </c>
      <c r="K179" s="150"/>
      <c r="L179" s="150"/>
      <c r="M179" s="150"/>
      <c r="N179" s="254" t="str" cm="1">
        <f t="array" ref="N17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79" s="255"/>
      <c r="P179" s="248"/>
      <c r="Q179" s="256" t="str" cm="1">
        <f t="array" ref="Q17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79" s="257"/>
      <c r="S179" s="248"/>
      <c r="T179" s="254"/>
      <c r="U179" s="258"/>
      <c r="V179" s="259"/>
      <c r="W179" s="259"/>
      <c r="X179" s="255"/>
      <c r="Y179" s="259"/>
      <c r="Z179" s="259"/>
      <c r="AA179" s="260" t="str" cm="1">
        <f t="array" ref="AA17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79" s="125"/>
      <c r="AD179" s="124"/>
    </row>
    <row r="180" spans="1:30" s="122" customFormat="1">
      <c r="A18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VenezulanosVE1501</v>
      </c>
      <c r="B180" s="105" t="s">
        <v>276</v>
      </c>
      <c r="C180" s="104" t="s">
        <v>455</v>
      </c>
      <c r="D180" s="119" t="s">
        <v>456</v>
      </c>
      <c r="E180" s="104" t="s">
        <v>457</v>
      </c>
      <c r="F180" s="113"/>
      <c r="G180" s="119"/>
      <c r="H180" s="119"/>
      <c r="I180" s="102">
        <v>89335</v>
      </c>
      <c r="J180" s="103" t="s">
        <v>901</v>
      </c>
      <c r="K180" s="150"/>
      <c r="L180" s="150"/>
      <c r="M180" s="150"/>
      <c r="N180" s="254" t="str" cm="1">
        <f t="array" ref="N18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80" s="255"/>
      <c r="P180" s="248"/>
      <c r="Q180" s="256" t="str" cm="1">
        <f t="array" ref="Q18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80" s="257"/>
      <c r="S180" s="248"/>
      <c r="T180" s="254"/>
      <c r="U180" s="258"/>
      <c r="V180" s="259"/>
      <c r="W180" s="259"/>
      <c r="X180" s="255"/>
      <c r="Y180" s="259"/>
      <c r="Z180" s="259"/>
      <c r="AA180" s="260" t="str" cm="1">
        <f t="array" ref="AA18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80" s="125"/>
      <c r="AD180" s="124"/>
    </row>
    <row r="181" spans="1:30" s="122" customFormat="1">
      <c r="A18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VenezulanosVE1502</v>
      </c>
      <c r="B181" s="105" t="s">
        <v>276</v>
      </c>
      <c r="C181" s="104" t="s">
        <v>455</v>
      </c>
      <c r="D181" s="119" t="s">
        <v>415</v>
      </c>
      <c r="E181" s="104" t="s">
        <v>458</v>
      </c>
      <c r="F181" s="113"/>
      <c r="G181" s="119"/>
      <c r="H181" s="119"/>
      <c r="I181" s="102">
        <v>21447</v>
      </c>
      <c r="J181" s="103" t="s">
        <v>901</v>
      </c>
      <c r="K181" s="150"/>
      <c r="L181" s="150"/>
      <c r="M181" s="150"/>
      <c r="N181" s="254" t="str" cm="1">
        <f t="array" ref="N18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81" s="255"/>
      <c r="P181" s="248"/>
      <c r="Q181" s="256" t="str" cm="1">
        <f t="array" ref="Q18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81" s="257"/>
      <c r="S181" s="248"/>
      <c r="T181" s="254"/>
      <c r="U181" s="258"/>
      <c r="V181" s="259"/>
      <c r="W181" s="259"/>
      <c r="X181" s="255"/>
      <c r="Y181" s="259"/>
      <c r="Z181" s="259"/>
      <c r="AA181" s="260" t="str" cm="1">
        <f t="array" ref="AA18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81" s="125"/>
      <c r="AD181" s="124"/>
    </row>
    <row r="182" spans="1:30" s="122" customFormat="1">
      <c r="A18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VenezulanosVE1503</v>
      </c>
      <c r="B182" s="105" t="s">
        <v>276</v>
      </c>
      <c r="C182" s="104" t="s">
        <v>455</v>
      </c>
      <c r="D182" s="119" t="s">
        <v>459</v>
      </c>
      <c r="E182" s="104" t="s">
        <v>460</v>
      </c>
      <c r="F182" s="113"/>
      <c r="G182" s="119"/>
      <c r="H182" s="119"/>
      <c r="I182" s="102">
        <v>246194</v>
      </c>
      <c r="J182" s="103" t="s">
        <v>901</v>
      </c>
      <c r="K182" s="150"/>
      <c r="L182" s="150"/>
      <c r="M182" s="150"/>
      <c r="N182" s="254" t="str" cm="1">
        <f t="array" ref="N18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82" s="255"/>
      <c r="P182" s="248"/>
      <c r="Q182" s="256" t="str" cm="1">
        <f t="array" ref="Q18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82" s="257"/>
      <c r="S182" s="248"/>
      <c r="T182" s="254"/>
      <c r="U182" s="258"/>
      <c r="V182" s="259"/>
      <c r="W182" s="259"/>
      <c r="X182" s="255"/>
      <c r="Y182" s="259"/>
      <c r="Z182" s="259"/>
      <c r="AA182" s="260" t="str" cm="1">
        <f t="array" ref="AA18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82" s="125"/>
      <c r="AD182" s="124"/>
    </row>
    <row r="183" spans="1:30" s="122" customFormat="1">
      <c r="A18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VenezulanosVE1504</v>
      </c>
      <c r="B183" s="105" t="s">
        <v>276</v>
      </c>
      <c r="C183" s="104" t="s">
        <v>455</v>
      </c>
      <c r="D183" s="119" t="s">
        <v>461</v>
      </c>
      <c r="E183" s="104" t="s">
        <v>462</v>
      </c>
      <c r="F183" s="113"/>
      <c r="G183" s="119"/>
      <c r="H183" s="119"/>
      <c r="I183" s="102">
        <v>60274</v>
      </c>
      <c r="J183" s="103" t="s">
        <v>901</v>
      </c>
      <c r="K183" s="150"/>
      <c r="L183" s="150"/>
      <c r="M183" s="150"/>
      <c r="N183" s="254" t="str" cm="1">
        <f t="array" ref="N18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83" s="255"/>
      <c r="P183" s="248"/>
      <c r="Q183" s="256" t="str" cm="1">
        <f t="array" ref="Q18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83" s="257"/>
      <c r="S183" s="248"/>
      <c r="T183" s="254"/>
      <c r="U183" s="258"/>
      <c r="V183" s="259"/>
      <c r="W183" s="259"/>
      <c r="X183" s="255"/>
      <c r="Y183" s="259"/>
      <c r="Z183" s="259"/>
      <c r="AA183" s="260" t="str" cm="1">
        <f t="array" ref="AA18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83" s="125"/>
      <c r="AD183" s="124"/>
    </row>
    <row r="184" spans="1:30" s="122" customFormat="1">
      <c r="A18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VenezulanosVE1505</v>
      </c>
      <c r="B184" s="105" t="s">
        <v>276</v>
      </c>
      <c r="C184" s="104" t="s">
        <v>455</v>
      </c>
      <c r="D184" s="119" t="s">
        <v>463</v>
      </c>
      <c r="E184" s="104" t="s">
        <v>464</v>
      </c>
      <c r="F184" s="113"/>
      <c r="G184" s="119"/>
      <c r="H184" s="119"/>
      <c r="I184" s="102">
        <v>28135</v>
      </c>
      <c r="J184" s="103" t="s">
        <v>901</v>
      </c>
      <c r="K184" s="150"/>
      <c r="L184" s="150"/>
      <c r="M184" s="150"/>
      <c r="N184" s="254" t="str" cm="1">
        <f t="array" ref="N18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84" s="255"/>
      <c r="P184" s="248"/>
      <c r="Q184" s="256" t="str" cm="1">
        <f t="array" ref="Q18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84" s="257"/>
      <c r="S184" s="248"/>
      <c r="T184" s="254"/>
      <c r="U184" s="258"/>
      <c r="V184" s="259"/>
      <c r="W184" s="259"/>
      <c r="X184" s="255"/>
      <c r="Y184" s="259"/>
      <c r="Z184" s="259"/>
      <c r="AA184" s="260" t="str" cm="1">
        <f t="array" ref="AA18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84" s="125"/>
      <c r="AD184" s="124"/>
    </row>
    <row r="185" spans="1:30" s="122" customFormat="1">
      <c r="A18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VenezulanosVE1506</v>
      </c>
      <c r="B185" s="105" t="s">
        <v>276</v>
      </c>
      <c r="C185" s="104" t="s">
        <v>455</v>
      </c>
      <c r="D185" s="119" t="s">
        <v>465</v>
      </c>
      <c r="E185" s="104" t="s">
        <v>466</v>
      </c>
      <c r="F185" s="113"/>
      <c r="G185" s="119"/>
      <c r="H185" s="119"/>
      <c r="I185" s="102">
        <v>52877</v>
      </c>
      <c r="J185" s="103" t="s">
        <v>901</v>
      </c>
      <c r="K185" s="150"/>
      <c r="L185" s="150"/>
      <c r="M185" s="150"/>
      <c r="N185" s="254" t="str" cm="1">
        <f t="array" ref="N18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85" s="255"/>
      <c r="P185" s="248"/>
      <c r="Q185" s="256" t="str" cm="1">
        <f t="array" ref="Q18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85" s="257"/>
      <c r="S185" s="248"/>
      <c r="T185" s="254"/>
      <c r="U185" s="258"/>
      <c r="V185" s="259"/>
      <c r="W185" s="259"/>
      <c r="X185" s="255"/>
      <c r="Y185" s="259"/>
      <c r="Z185" s="259"/>
      <c r="AA185" s="260" t="str" cm="1">
        <f t="array" ref="AA18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85" s="125"/>
      <c r="AD185" s="124"/>
    </row>
    <row r="186" spans="1:30" s="122" customFormat="1">
      <c r="A18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VenezulanosVE1507</v>
      </c>
      <c r="B186" s="105" t="s">
        <v>276</v>
      </c>
      <c r="C186" s="104" t="s">
        <v>455</v>
      </c>
      <c r="D186" s="119" t="s">
        <v>467</v>
      </c>
      <c r="E186" s="104" t="s">
        <v>468</v>
      </c>
      <c r="F186" s="113"/>
      <c r="G186" s="119"/>
      <c r="H186" s="119"/>
      <c r="I186" s="102">
        <v>62597</v>
      </c>
      <c r="J186" s="103" t="s">
        <v>901</v>
      </c>
      <c r="K186" s="150"/>
      <c r="L186" s="150"/>
      <c r="M186" s="150"/>
      <c r="N186" s="254" t="str" cm="1">
        <f t="array" ref="N18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86" s="255"/>
      <c r="P186" s="248"/>
      <c r="Q186" s="256" t="str" cm="1">
        <f t="array" ref="Q18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86" s="257"/>
      <c r="S186" s="248"/>
      <c r="T186" s="254"/>
      <c r="U186" s="258"/>
      <c r="V186" s="259"/>
      <c r="W186" s="259"/>
      <c r="X186" s="255"/>
      <c r="Y186" s="259"/>
      <c r="Z186" s="259"/>
      <c r="AA186" s="260" t="str" cm="1">
        <f t="array" ref="AA18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86" s="125"/>
      <c r="AD186" s="124"/>
    </row>
    <row r="187" spans="1:30" s="122" customFormat="1">
      <c r="A18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VenezulanosVE1508</v>
      </c>
      <c r="B187" s="105" t="s">
        <v>276</v>
      </c>
      <c r="C187" s="104" t="s">
        <v>455</v>
      </c>
      <c r="D187" s="119" t="s">
        <v>469</v>
      </c>
      <c r="E187" s="104" t="s">
        <v>470</v>
      </c>
      <c r="F187" s="113"/>
      <c r="G187" s="119"/>
      <c r="H187" s="119"/>
      <c r="I187" s="102">
        <v>120553</v>
      </c>
      <c r="J187" s="103" t="s">
        <v>901</v>
      </c>
      <c r="K187" s="150"/>
      <c r="L187" s="150"/>
      <c r="M187" s="150"/>
      <c r="N187" s="254" t="str" cm="1">
        <f t="array" ref="N18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87" s="255"/>
      <c r="P187" s="248"/>
      <c r="Q187" s="256" t="str" cm="1">
        <f t="array" ref="Q18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87" s="257"/>
      <c r="S187" s="248"/>
      <c r="T187" s="254"/>
      <c r="U187" s="258"/>
      <c r="V187" s="259"/>
      <c r="W187" s="259"/>
      <c r="X187" s="255"/>
      <c r="Y187" s="259"/>
      <c r="Z187" s="259"/>
      <c r="AA187" s="260" t="str" cm="1">
        <f t="array" ref="AA18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87" s="125"/>
      <c r="AD187" s="124"/>
    </row>
    <row r="188" spans="1:30" s="122" customFormat="1">
      <c r="A18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VenezulanosVE1509</v>
      </c>
      <c r="B188" s="105" t="s">
        <v>276</v>
      </c>
      <c r="C188" s="104" t="s">
        <v>455</v>
      </c>
      <c r="D188" s="119" t="s">
        <v>471</v>
      </c>
      <c r="E188" s="104" t="s">
        <v>472</v>
      </c>
      <c r="F188" s="113"/>
      <c r="G188" s="119"/>
      <c r="H188" s="119"/>
      <c r="I188" s="102">
        <v>59467</v>
      </c>
      <c r="J188" s="103" t="s">
        <v>901</v>
      </c>
      <c r="K188" s="150"/>
      <c r="L188" s="150"/>
      <c r="M188" s="150"/>
      <c r="N188" s="254" t="str" cm="1">
        <f t="array" ref="N18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88" s="255"/>
      <c r="P188" s="248"/>
      <c r="Q188" s="256" t="str" cm="1">
        <f t="array" ref="Q18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88" s="257"/>
      <c r="S188" s="248"/>
      <c r="T188" s="254"/>
      <c r="U188" s="258"/>
      <c r="V188" s="259"/>
      <c r="W188" s="259"/>
      <c r="X188" s="255"/>
      <c r="Y188" s="259"/>
      <c r="Z188" s="259"/>
      <c r="AA188" s="260" t="str" cm="1">
        <f t="array" ref="AA18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88" s="125"/>
      <c r="AD188" s="124"/>
    </row>
    <row r="189" spans="1:30" s="122" customFormat="1">
      <c r="A18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VenezulanosVE1510</v>
      </c>
      <c r="B189" s="105" t="s">
        <v>276</v>
      </c>
      <c r="C189" s="104" t="s">
        <v>455</v>
      </c>
      <c r="D189" s="119" t="s">
        <v>804</v>
      </c>
      <c r="E189" s="104" t="s">
        <v>474</v>
      </c>
      <c r="F189" s="113"/>
      <c r="G189" s="119"/>
      <c r="H189" s="119"/>
      <c r="I189" s="102">
        <v>257935</v>
      </c>
      <c r="J189" s="103" t="s">
        <v>901</v>
      </c>
      <c r="K189" s="150"/>
      <c r="L189" s="150"/>
      <c r="M189" s="150"/>
      <c r="N189" s="254" t="str" cm="1">
        <f t="array" ref="N18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89" s="255"/>
      <c r="P189" s="248"/>
      <c r="Q189" s="256" t="str" cm="1">
        <f t="array" ref="Q18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89" s="257"/>
      <c r="S189" s="248"/>
      <c r="T189" s="254"/>
      <c r="U189" s="258"/>
      <c r="V189" s="259"/>
      <c r="W189" s="259"/>
      <c r="X189" s="255"/>
      <c r="Y189" s="259"/>
      <c r="Z189" s="259"/>
      <c r="AA189" s="260" t="str" cm="1">
        <f t="array" ref="AA18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89" s="125"/>
      <c r="AD189" s="124"/>
    </row>
    <row r="190" spans="1:30" s="122" customFormat="1">
      <c r="A19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VenezulanosVE1511</v>
      </c>
      <c r="B190" s="105" t="s">
        <v>276</v>
      </c>
      <c r="C190" s="104" t="s">
        <v>455</v>
      </c>
      <c r="D190" s="119" t="s">
        <v>133</v>
      </c>
      <c r="E190" s="104" t="s">
        <v>475</v>
      </c>
      <c r="F190" s="113"/>
      <c r="G190" s="119"/>
      <c r="H190" s="119"/>
      <c r="I190" s="102">
        <v>141913</v>
      </c>
      <c r="J190" s="103" t="s">
        <v>901</v>
      </c>
      <c r="K190" s="150"/>
      <c r="L190" s="150"/>
      <c r="M190" s="150"/>
      <c r="N190" s="254" t="str" cm="1">
        <f t="array" ref="N19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90" s="255"/>
      <c r="P190" s="248"/>
      <c r="Q190" s="256" t="str" cm="1">
        <f t="array" ref="Q19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90" s="257"/>
      <c r="S190" s="248"/>
      <c r="T190" s="254"/>
      <c r="U190" s="258"/>
      <c r="V190" s="259"/>
      <c r="W190" s="259"/>
      <c r="X190" s="255"/>
      <c r="Y190" s="259"/>
      <c r="Z190" s="259"/>
      <c r="AA190" s="260" t="str" cm="1">
        <f t="array" ref="AA19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90" s="125"/>
      <c r="AD190" s="124"/>
    </row>
    <row r="191" spans="1:30" s="122" customFormat="1">
      <c r="A19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VenezulanosVE1512</v>
      </c>
      <c r="B191" s="105" t="s">
        <v>276</v>
      </c>
      <c r="C191" s="104" t="s">
        <v>455</v>
      </c>
      <c r="D191" s="119" t="s">
        <v>476</v>
      </c>
      <c r="E191" s="104" t="s">
        <v>477</v>
      </c>
      <c r="F191" s="113"/>
      <c r="G191" s="119"/>
      <c r="H191" s="119"/>
      <c r="I191" s="102">
        <v>148218</v>
      </c>
      <c r="J191" s="103" t="s">
        <v>901</v>
      </c>
      <c r="K191" s="150"/>
      <c r="L191" s="150"/>
      <c r="M191" s="150"/>
      <c r="N191" s="254" t="str" cm="1">
        <f t="array" ref="N19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91" s="255"/>
      <c r="P191" s="248"/>
      <c r="Q191" s="256" t="str" cm="1">
        <f t="array" ref="Q19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91" s="257"/>
      <c r="S191" s="248"/>
      <c r="T191" s="254"/>
      <c r="U191" s="258"/>
      <c r="V191" s="259"/>
      <c r="W191" s="259"/>
      <c r="X191" s="255"/>
      <c r="Y191" s="259"/>
      <c r="Z191" s="259"/>
      <c r="AA191" s="260" t="str" cm="1">
        <f t="array" ref="AA19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91" s="125"/>
      <c r="AD191" s="124"/>
    </row>
    <row r="192" spans="1:30" s="122" customFormat="1">
      <c r="A19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VenezulanosVE1513</v>
      </c>
      <c r="B192" s="105" t="s">
        <v>276</v>
      </c>
      <c r="C192" s="104" t="s">
        <v>455</v>
      </c>
      <c r="D192" s="119" t="s">
        <v>478</v>
      </c>
      <c r="E192" s="104" t="s">
        <v>479</v>
      </c>
      <c r="F192" s="113"/>
      <c r="G192" s="119"/>
      <c r="H192" s="119"/>
      <c r="I192" s="102">
        <v>69787</v>
      </c>
      <c r="J192" s="103" t="s">
        <v>901</v>
      </c>
      <c r="K192" s="150"/>
      <c r="L192" s="150"/>
      <c r="M192" s="150"/>
      <c r="N192" s="254" t="str" cm="1">
        <f t="array" ref="N19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92" s="255"/>
      <c r="P192" s="248"/>
      <c r="Q192" s="256" t="str" cm="1">
        <f t="array" ref="Q19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92" s="257"/>
      <c r="S192" s="248"/>
      <c r="T192" s="254"/>
      <c r="U192" s="258"/>
      <c r="V192" s="259"/>
      <c r="W192" s="259"/>
      <c r="X192" s="255"/>
      <c r="Y192" s="259"/>
      <c r="Z192" s="259"/>
      <c r="AA192" s="260" t="str" cm="1">
        <f t="array" ref="AA19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92" s="125"/>
      <c r="AD192" s="124"/>
    </row>
    <row r="193" spans="1:30" s="122" customFormat="1">
      <c r="A19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VenezulanosVE1514</v>
      </c>
      <c r="B193" s="105" t="s">
        <v>276</v>
      </c>
      <c r="C193" s="104" t="s">
        <v>455</v>
      </c>
      <c r="D193" s="119" t="s">
        <v>171</v>
      </c>
      <c r="E193" s="104" t="s">
        <v>480</v>
      </c>
      <c r="F193" s="113"/>
      <c r="G193" s="119"/>
      <c r="H193" s="119"/>
      <c r="I193" s="102">
        <v>38798</v>
      </c>
      <c r="J193" s="103" t="s">
        <v>901</v>
      </c>
      <c r="K193" s="150"/>
      <c r="L193" s="150"/>
      <c r="M193" s="150"/>
      <c r="N193" s="254" t="str" cm="1">
        <f t="array" ref="N19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93" s="255"/>
      <c r="P193" s="248"/>
      <c r="Q193" s="256" t="str" cm="1">
        <f t="array" ref="Q19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93" s="257"/>
      <c r="S193" s="248"/>
      <c r="T193" s="254"/>
      <c r="U193" s="258"/>
      <c r="V193" s="259"/>
      <c r="W193" s="259"/>
      <c r="X193" s="255"/>
      <c r="Y193" s="259"/>
      <c r="Z193" s="259"/>
      <c r="AA193" s="260" t="str" cm="1">
        <f t="array" ref="AA19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93" s="125"/>
      <c r="AD193" s="124"/>
    </row>
    <row r="194" spans="1:30" s="122" customFormat="1">
      <c r="A19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VenezulanosVE1515</v>
      </c>
      <c r="B194" s="105" t="s">
        <v>276</v>
      </c>
      <c r="C194" s="104" t="s">
        <v>455</v>
      </c>
      <c r="D194" s="119" t="s">
        <v>481</v>
      </c>
      <c r="E194" s="104" t="s">
        <v>482</v>
      </c>
      <c r="F194" s="113"/>
      <c r="G194" s="119"/>
      <c r="H194" s="119"/>
      <c r="I194" s="102">
        <v>113706</v>
      </c>
      <c r="J194" s="103" t="s">
        <v>901</v>
      </c>
      <c r="K194" s="150"/>
      <c r="L194" s="150"/>
      <c r="M194" s="150"/>
      <c r="N194" s="254" t="str" cm="1">
        <f t="array" ref="N19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94" s="255"/>
      <c r="P194" s="248"/>
      <c r="Q194" s="256" t="str" cm="1">
        <f t="array" ref="Q19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94" s="257"/>
      <c r="S194" s="248"/>
      <c r="T194" s="254"/>
      <c r="U194" s="258"/>
      <c r="V194" s="259"/>
      <c r="W194" s="259"/>
      <c r="X194" s="255"/>
      <c r="Y194" s="259"/>
      <c r="Z194" s="259"/>
      <c r="AA194" s="260" t="str" cm="1">
        <f t="array" ref="AA19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94" s="125"/>
      <c r="AD194" s="124"/>
    </row>
    <row r="195" spans="1:30" s="122" customFormat="1">
      <c r="A19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VenezulanosVE1516</v>
      </c>
      <c r="B195" s="105" t="s">
        <v>276</v>
      </c>
      <c r="C195" s="104" t="s">
        <v>455</v>
      </c>
      <c r="D195" s="119" t="s">
        <v>483</v>
      </c>
      <c r="E195" s="104" t="s">
        <v>484</v>
      </c>
      <c r="F195" s="113"/>
      <c r="G195" s="119"/>
      <c r="H195" s="119"/>
      <c r="I195" s="102">
        <v>22331</v>
      </c>
      <c r="J195" s="103" t="s">
        <v>901</v>
      </c>
      <c r="K195" s="150"/>
      <c r="L195" s="150"/>
      <c r="M195" s="150"/>
      <c r="N195" s="254" t="str" cm="1">
        <f t="array" ref="N19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95" s="255"/>
      <c r="P195" s="248"/>
      <c r="Q195" s="256" t="str" cm="1">
        <f t="array" ref="Q19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95" s="257"/>
      <c r="S195" s="248"/>
      <c r="T195" s="254"/>
      <c r="U195" s="258"/>
      <c r="V195" s="259"/>
      <c r="W195" s="259"/>
      <c r="X195" s="255"/>
      <c r="Y195" s="259"/>
      <c r="Z195" s="259"/>
      <c r="AA195" s="260" t="str" cm="1">
        <f t="array" ref="AA19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95" s="125"/>
      <c r="AD195" s="124"/>
    </row>
    <row r="196" spans="1:30" s="122" customFormat="1">
      <c r="A19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VenezulanosVE1517</v>
      </c>
      <c r="B196" s="105" t="s">
        <v>276</v>
      </c>
      <c r="C196" s="104" t="s">
        <v>455</v>
      </c>
      <c r="D196" s="119" t="s">
        <v>485</v>
      </c>
      <c r="E196" s="104" t="s">
        <v>486</v>
      </c>
      <c r="F196" s="113"/>
      <c r="G196" s="119"/>
      <c r="H196" s="119"/>
      <c r="I196" s="102">
        <v>214736</v>
      </c>
      <c r="J196" s="103" t="s">
        <v>901</v>
      </c>
      <c r="K196" s="150"/>
      <c r="L196" s="150"/>
      <c r="M196" s="150"/>
      <c r="N196" s="254" t="str" cm="1">
        <f t="array" ref="N19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96" s="255"/>
      <c r="P196" s="248"/>
      <c r="Q196" s="256" t="str" cm="1">
        <f t="array" ref="Q19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96" s="257"/>
      <c r="S196" s="248"/>
      <c r="T196" s="254"/>
      <c r="U196" s="258"/>
      <c r="V196" s="259"/>
      <c r="W196" s="259"/>
      <c r="X196" s="255"/>
      <c r="Y196" s="259"/>
      <c r="Z196" s="259"/>
      <c r="AA196" s="260" t="str" cm="1">
        <f t="array" ref="AA19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96" s="125"/>
      <c r="AD196" s="124"/>
    </row>
    <row r="197" spans="1:30" s="122" customFormat="1">
      <c r="A19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VenezulanosVE1518</v>
      </c>
      <c r="B197" s="105" t="s">
        <v>276</v>
      </c>
      <c r="C197" s="104" t="s">
        <v>455</v>
      </c>
      <c r="D197" s="119" t="s">
        <v>155</v>
      </c>
      <c r="E197" s="104" t="s">
        <v>487</v>
      </c>
      <c r="F197" s="113"/>
      <c r="G197" s="119"/>
      <c r="H197" s="119"/>
      <c r="I197" s="102">
        <v>43559</v>
      </c>
      <c r="J197" s="103" t="s">
        <v>901</v>
      </c>
      <c r="K197" s="150"/>
      <c r="L197" s="150"/>
      <c r="M197" s="150"/>
      <c r="N197" s="254" t="str" cm="1">
        <f t="array" ref="N19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97" s="255"/>
      <c r="P197" s="248"/>
      <c r="Q197" s="256" t="str" cm="1">
        <f t="array" ref="Q19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97" s="257"/>
      <c r="S197" s="248"/>
      <c r="T197" s="254"/>
      <c r="U197" s="258"/>
      <c r="V197" s="259"/>
      <c r="W197" s="259"/>
      <c r="X197" s="255"/>
      <c r="Y197" s="259"/>
      <c r="Z197" s="259"/>
      <c r="AA197" s="260" t="str" cm="1">
        <f t="array" ref="AA19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97" s="125"/>
      <c r="AD197" s="124"/>
    </row>
    <row r="198" spans="1:30" s="122" customFormat="1">
      <c r="A19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VenezulanosVE1519</v>
      </c>
      <c r="B198" s="105" t="s">
        <v>276</v>
      </c>
      <c r="C198" s="104" t="s">
        <v>455</v>
      </c>
      <c r="D198" s="119" t="s">
        <v>203</v>
      </c>
      <c r="E198" s="104" t="s">
        <v>488</v>
      </c>
      <c r="F198" s="113"/>
      <c r="G198" s="119"/>
      <c r="H198" s="119"/>
      <c r="I198" s="102">
        <v>613902</v>
      </c>
      <c r="J198" s="103" t="s">
        <v>901</v>
      </c>
      <c r="K198" s="150"/>
      <c r="L198" s="150"/>
      <c r="M198" s="150"/>
      <c r="N198" s="254" t="str" cm="1">
        <f t="array" ref="N19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98" s="255"/>
      <c r="P198" s="248"/>
      <c r="Q198" s="256" t="str" cm="1">
        <f t="array" ref="Q19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98" s="257"/>
      <c r="S198" s="248"/>
      <c r="T198" s="254"/>
      <c r="U198" s="258"/>
      <c r="V198" s="259"/>
      <c r="W198" s="259"/>
      <c r="X198" s="255"/>
      <c r="Y198" s="259"/>
      <c r="Z198" s="259"/>
      <c r="AA198" s="260" t="str" cm="1">
        <f t="array" ref="AA19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98" s="125"/>
      <c r="AD198" s="124"/>
    </row>
    <row r="199" spans="1:30" s="122" customFormat="1">
      <c r="A19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VenezulanosVE1520</v>
      </c>
      <c r="B199" s="105" t="s">
        <v>276</v>
      </c>
      <c r="C199" s="104" t="s">
        <v>455</v>
      </c>
      <c r="D199" s="119" t="s">
        <v>207</v>
      </c>
      <c r="E199" s="104" t="s">
        <v>489</v>
      </c>
      <c r="F199" s="113"/>
      <c r="G199" s="119"/>
      <c r="H199" s="119"/>
      <c r="I199" s="102">
        <v>138489</v>
      </c>
      <c r="J199" s="103" t="s">
        <v>901</v>
      </c>
      <c r="K199" s="150"/>
      <c r="L199" s="150"/>
      <c r="M199" s="150"/>
      <c r="N199" s="254" t="str" cm="1">
        <f t="array" ref="N19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199" s="255"/>
      <c r="P199" s="248"/>
      <c r="Q199" s="256" t="str" cm="1">
        <f t="array" ref="Q19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199" s="257"/>
      <c r="S199" s="248"/>
      <c r="T199" s="254"/>
      <c r="U199" s="258"/>
      <c r="V199" s="259"/>
      <c r="W199" s="259"/>
      <c r="X199" s="255"/>
      <c r="Y199" s="259"/>
      <c r="Z199" s="259"/>
      <c r="AA199" s="260" t="str" cm="1">
        <f t="array" ref="AA19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199" s="125"/>
      <c r="AD199" s="124"/>
    </row>
    <row r="200" spans="1:30" s="122" customFormat="1">
      <c r="A20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VenezulanosVE1521</v>
      </c>
      <c r="B200" s="105" t="s">
        <v>276</v>
      </c>
      <c r="C200" s="104" t="s">
        <v>455</v>
      </c>
      <c r="D200" s="119" t="s">
        <v>209</v>
      </c>
      <c r="E200" s="104" t="s">
        <v>490</v>
      </c>
      <c r="F200" s="113"/>
      <c r="G200" s="119"/>
      <c r="H200" s="119"/>
      <c r="I200" s="102">
        <v>191300</v>
      </c>
      <c r="J200" s="103" t="s">
        <v>901</v>
      </c>
      <c r="K200" s="150"/>
      <c r="L200" s="150"/>
      <c r="M200" s="150"/>
      <c r="N200" s="254" t="str" cm="1">
        <f t="array" ref="N20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00" s="255"/>
      <c r="P200" s="248"/>
      <c r="Q200" s="256" t="str" cm="1">
        <f t="array" ref="Q20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00" s="257"/>
      <c r="S200" s="248"/>
      <c r="T200" s="254"/>
      <c r="U200" s="258"/>
      <c r="V200" s="259"/>
      <c r="W200" s="259"/>
      <c r="X200" s="255"/>
      <c r="Y200" s="259"/>
      <c r="Z200" s="259"/>
      <c r="AA200" s="260" t="str" cm="1">
        <f t="array" ref="AA20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00" s="125"/>
      <c r="AD200" s="124"/>
    </row>
    <row r="201" spans="1:30" s="122" customFormat="1">
      <c r="A20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VenezulanosVE1601</v>
      </c>
      <c r="B201" s="105" t="s">
        <v>491</v>
      </c>
      <c r="C201" s="104" t="s">
        <v>492</v>
      </c>
      <c r="D201" s="119" t="s">
        <v>318</v>
      </c>
      <c r="E201" s="104" t="s">
        <v>493</v>
      </c>
      <c r="F201" s="113"/>
      <c r="G201" s="119"/>
      <c r="H201" s="119"/>
      <c r="I201" s="102">
        <v>18632</v>
      </c>
      <c r="J201" s="103" t="s">
        <v>901</v>
      </c>
      <c r="K201" s="150"/>
      <c r="L201" s="150"/>
      <c r="M201" s="150"/>
      <c r="N201" s="254" t="str" cm="1">
        <f t="array" ref="N20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01" s="255"/>
      <c r="P201" s="248"/>
      <c r="Q201" s="256" t="str" cm="1">
        <f t="array" ref="Q20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01" s="257"/>
      <c r="S201" s="248"/>
      <c r="T201" s="254"/>
      <c r="U201" s="258"/>
      <c r="V201" s="259"/>
      <c r="W201" s="259"/>
      <c r="X201" s="255"/>
      <c r="Y201" s="259"/>
      <c r="Z201" s="259"/>
      <c r="AA201" s="260" t="str" cm="1">
        <f t="array" ref="AA20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01" s="125"/>
      <c r="AD201" s="124"/>
    </row>
    <row r="202" spans="1:30" s="122" customFormat="1">
      <c r="A20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VenezulanosVE1602</v>
      </c>
      <c r="B202" s="105" t="s">
        <v>491</v>
      </c>
      <c r="C202" s="104" t="s">
        <v>492</v>
      </c>
      <c r="D202" s="119" t="s">
        <v>494</v>
      </c>
      <c r="E202" s="104" t="s">
        <v>495</v>
      </c>
      <c r="F202" s="113"/>
      <c r="G202" s="119"/>
      <c r="H202" s="119"/>
      <c r="I202" s="102">
        <v>12116</v>
      </c>
      <c r="J202" s="103" t="s">
        <v>901</v>
      </c>
      <c r="K202" s="150"/>
      <c r="L202" s="150"/>
      <c r="M202" s="150"/>
      <c r="N202" s="254" t="str" cm="1">
        <f t="array" ref="N20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02" s="255"/>
      <c r="P202" s="248"/>
      <c r="Q202" s="256" t="str" cm="1">
        <f t="array" ref="Q20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02" s="257"/>
      <c r="S202" s="248"/>
      <c r="T202" s="254"/>
      <c r="U202" s="258"/>
      <c r="V202" s="259"/>
      <c r="W202" s="259"/>
      <c r="X202" s="255"/>
      <c r="Y202" s="259"/>
      <c r="Z202" s="259"/>
      <c r="AA202" s="260" t="str" cm="1">
        <f t="array" ref="AA20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02" s="125"/>
      <c r="AD202" s="124"/>
    </row>
    <row r="203" spans="1:30" s="122" customFormat="1">
      <c r="A20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VenezulanosVE1603</v>
      </c>
      <c r="B203" s="105" t="s">
        <v>491</v>
      </c>
      <c r="C203" s="104" t="s">
        <v>492</v>
      </c>
      <c r="D203" s="119" t="s">
        <v>180</v>
      </c>
      <c r="E203" s="104" t="s">
        <v>496</v>
      </c>
      <c r="F203" s="113"/>
      <c r="G203" s="119"/>
      <c r="H203" s="119"/>
      <c r="I203" s="102">
        <v>39522</v>
      </c>
      <c r="J203" s="103" t="s">
        <v>901</v>
      </c>
      <c r="K203" s="150"/>
      <c r="L203" s="150"/>
      <c r="M203" s="150"/>
      <c r="N203" s="254" t="str" cm="1">
        <f t="array" ref="N20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03" s="255"/>
      <c r="P203" s="248"/>
      <c r="Q203" s="256" t="str" cm="1">
        <f t="array" ref="Q20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03" s="257"/>
      <c r="S203" s="248"/>
      <c r="T203" s="254"/>
      <c r="U203" s="258"/>
      <c r="V203" s="259"/>
      <c r="W203" s="259"/>
      <c r="X203" s="255"/>
      <c r="Y203" s="259"/>
      <c r="Z203" s="259"/>
      <c r="AA203" s="260" t="str" cm="1">
        <f t="array" ref="AA20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03" s="125"/>
      <c r="AD203" s="124"/>
    </row>
    <row r="204" spans="1:30" s="122" customFormat="1">
      <c r="A20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VenezulanosVE1604</v>
      </c>
      <c r="B204" s="105" t="s">
        <v>491</v>
      </c>
      <c r="C204" s="104" t="s">
        <v>492</v>
      </c>
      <c r="D204" s="119" t="s">
        <v>497</v>
      </c>
      <c r="E204" s="104" t="s">
        <v>498</v>
      </c>
      <c r="F204" s="113"/>
      <c r="G204" s="119"/>
      <c r="H204" s="119"/>
      <c r="I204" s="102">
        <v>34496</v>
      </c>
      <c r="J204" s="103" t="s">
        <v>901</v>
      </c>
      <c r="K204" s="150"/>
      <c r="L204" s="150"/>
      <c r="M204" s="150"/>
      <c r="N204" s="254" t="str" cm="1">
        <f t="array" ref="N20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04" s="255"/>
      <c r="P204" s="248"/>
      <c r="Q204" s="256" t="str" cm="1">
        <f t="array" ref="Q20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04" s="257"/>
      <c r="S204" s="248"/>
      <c r="T204" s="254"/>
      <c r="U204" s="258"/>
      <c r="V204" s="259"/>
      <c r="W204" s="259"/>
      <c r="X204" s="255"/>
      <c r="Y204" s="259"/>
      <c r="Z204" s="259"/>
      <c r="AA204" s="260" t="str" cm="1">
        <f t="array" ref="AA20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04" s="125"/>
      <c r="AD204" s="124"/>
    </row>
    <row r="205" spans="1:30" s="122" customFormat="1">
      <c r="A20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VenezulanosVE1605</v>
      </c>
      <c r="B205" s="105" t="s">
        <v>491</v>
      </c>
      <c r="C205" s="104" t="s">
        <v>492</v>
      </c>
      <c r="D205" s="119" t="s">
        <v>242</v>
      </c>
      <c r="E205" s="104" t="s">
        <v>499</v>
      </c>
      <c r="F205" s="113"/>
      <c r="G205" s="119"/>
      <c r="H205" s="119"/>
      <c r="I205" s="102">
        <v>35245</v>
      </c>
      <c r="J205" s="103" t="s">
        <v>901</v>
      </c>
      <c r="K205" s="150"/>
      <c r="L205" s="150"/>
      <c r="M205" s="150"/>
      <c r="N205" s="254" t="str" cm="1">
        <f t="array" ref="N20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05" s="255"/>
      <c r="P205" s="248"/>
      <c r="Q205" s="256" t="str" cm="1">
        <f t="array" ref="Q20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05" s="257"/>
      <c r="S205" s="248"/>
      <c r="T205" s="254"/>
      <c r="U205" s="258"/>
      <c r="V205" s="259"/>
      <c r="W205" s="259"/>
      <c r="X205" s="255"/>
      <c r="Y205" s="259"/>
      <c r="Z205" s="259"/>
      <c r="AA205" s="260" t="str" cm="1">
        <f t="array" ref="AA20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05" s="125"/>
      <c r="AD205" s="124"/>
    </row>
    <row r="206" spans="1:30" s="122" customFormat="1">
      <c r="A20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VenezulanosVE1606</v>
      </c>
      <c r="B206" s="105" t="s">
        <v>491</v>
      </c>
      <c r="C206" s="104" t="s">
        <v>492</v>
      </c>
      <c r="D206" s="119" t="s">
        <v>227</v>
      </c>
      <c r="E206" s="104" t="s">
        <v>500</v>
      </c>
      <c r="F206" s="113"/>
      <c r="G206" s="119"/>
      <c r="H206" s="119"/>
      <c r="I206" s="102">
        <v>64175</v>
      </c>
      <c r="J206" s="103" t="s">
        <v>901</v>
      </c>
      <c r="K206" s="150"/>
      <c r="L206" s="150"/>
      <c r="M206" s="150"/>
      <c r="N206" s="254" t="str" cm="1">
        <f t="array" ref="N20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06" s="255"/>
      <c r="P206" s="248"/>
      <c r="Q206" s="256" t="str" cm="1">
        <f t="array" ref="Q20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06" s="257"/>
      <c r="S206" s="248"/>
      <c r="T206" s="254"/>
      <c r="U206" s="258"/>
      <c r="V206" s="259"/>
      <c r="W206" s="259"/>
      <c r="X206" s="255"/>
      <c r="Y206" s="259"/>
      <c r="Z206" s="259"/>
      <c r="AA206" s="260" t="str" cm="1">
        <f t="array" ref="AA20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06" s="125"/>
      <c r="AD206" s="124"/>
    </row>
    <row r="207" spans="1:30" s="122" customFormat="1">
      <c r="A20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VenezulanosVE1607</v>
      </c>
      <c r="B207" s="105" t="s">
        <v>491</v>
      </c>
      <c r="C207" s="104" t="s">
        <v>492</v>
      </c>
      <c r="D207" s="119" t="s">
        <v>100</v>
      </c>
      <c r="E207" s="104" t="s">
        <v>501</v>
      </c>
      <c r="F207" s="113"/>
      <c r="G207" s="119"/>
      <c r="H207" s="119"/>
      <c r="I207" s="102">
        <v>46295</v>
      </c>
      <c r="J207" s="103" t="s">
        <v>901</v>
      </c>
      <c r="K207" s="150"/>
      <c r="L207" s="150"/>
      <c r="M207" s="150"/>
      <c r="N207" s="254" t="str" cm="1">
        <f t="array" ref="N20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07" s="255"/>
      <c r="P207" s="248"/>
      <c r="Q207" s="256" t="str" cm="1">
        <f t="array" ref="Q20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07" s="257"/>
      <c r="S207" s="248"/>
      <c r="T207" s="254"/>
      <c r="U207" s="258"/>
      <c r="V207" s="259"/>
      <c r="W207" s="259"/>
      <c r="X207" s="255"/>
      <c r="Y207" s="259"/>
      <c r="Z207" s="259"/>
      <c r="AA207" s="260" t="str" cm="1">
        <f t="array" ref="AA20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07" s="125"/>
      <c r="AD207" s="124"/>
    </row>
    <row r="208" spans="1:30" s="122" customFormat="1">
      <c r="A20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VenezulanosVE1608</v>
      </c>
      <c r="B208" s="105" t="s">
        <v>491</v>
      </c>
      <c r="C208" s="104" t="s">
        <v>492</v>
      </c>
      <c r="D208" s="119" t="s">
        <v>502</v>
      </c>
      <c r="E208" s="104" t="s">
        <v>503</v>
      </c>
      <c r="F208" s="113"/>
      <c r="G208" s="119"/>
      <c r="H208" s="119"/>
      <c r="I208" s="102">
        <v>554507</v>
      </c>
      <c r="J208" s="103" t="s">
        <v>901</v>
      </c>
      <c r="K208" s="150"/>
      <c r="L208" s="150"/>
      <c r="M208" s="150"/>
      <c r="N208" s="254" t="str" cm="1">
        <f t="array" ref="N20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08" s="255"/>
      <c r="P208" s="248"/>
      <c r="Q208" s="256" t="str" cm="1">
        <f t="array" ref="Q20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08" s="257"/>
      <c r="S208" s="248"/>
      <c r="T208" s="254"/>
      <c r="U208" s="258"/>
      <c r="V208" s="259"/>
      <c r="W208" s="259"/>
      <c r="X208" s="255"/>
      <c r="Y208" s="259"/>
      <c r="Z208" s="259"/>
      <c r="AA208" s="260" t="str" cm="1">
        <f t="array" ref="AA20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08" s="125"/>
      <c r="AD208" s="124"/>
    </row>
    <row r="209" spans="1:30" s="122" customFormat="1">
      <c r="A20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VenezulanosVE1609</v>
      </c>
      <c r="B209" s="105" t="s">
        <v>491</v>
      </c>
      <c r="C209" s="104" t="s">
        <v>492</v>
      </c>
      <c r="D209" s="119" t="s">
        <v>250</v>
      </c>
      <c r="E209" s="104" t="s">
        <v>504</v>
      </c>
      <c r="F209" s="113"/>
      <c r="G209" s="119"/>
      <c r="H209" s="119"/>
      <c r="I209" s="102">
        <v>47660</v>
      </c>
      <c r="J209" s="103" t="s">
        <v>901</v>
      </c>
      <c r="K209" s="150"/>
      <c r="L209" s="150"/>
      <c r="M209" s="150"/>
      <c r="N209" s="254" t="str" cm="1">
        <f t="array" ref="N20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09" s="255"/>
      <c r="P209" s="248"/>
      <c r="Q209" s="256" t="str" cm="1">
        <f t="array" ref="Q20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09" s="257"/>
      <c r="S209" s="248"/>
      <c r="T209" s="254"/>
      <c r="U209" s="258"/>
      <c r="V209" s="259"/>
      <c r="W209" s="259"/>
      <c r="X209" s="255"/>
      <c r="Y209" s="259"/>
      <c r="Z209" s="259"/>
      <c r="AA209" s="260" t="str" cm="1">
        <f t="array" ref="AA20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09" s="125"/>
      <c r="AD209" s="124"/>
    </row>
    <row r="210" spans="1:30" s="122" customFormat="1">
      <c r="A21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VenezulanosVE1610</v>
      </c>
      <c r="B210" s="105" t="s">
        <v>491</v>
      </c>
      <c r="C210" s="104" t="s">
        <v>492</v>
      </c>
      <c r="D210" s="119" t="s">
        <v>505</v>
      </c>
      <c r="E210" s="104" t="s">
        <v>506</v>
      </c>
      <c r="F210" s="113"/>
      <c r="G210" s="119"/>
      <c r="H210" s="119"/>
      <c r="I210" s="102">
        <v>28594</v>
      </c>
      <c r="J210" s="103" t="s">
        <v>901</v>
      </c>
      <c r="K210" s="150"/>
      <c r="L210" s="150"/>
      <c r="M210" s="150"/>
      <c r="N210" s="254" t="str" cm="1">
        <f t="array" ref="N21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10" s="255"/>
      <c r="P210" s="248"/>
      <c r="Q210" s="256" t="str" cm="1">
        <f t="array" ref="Q21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10" s="257"/>
      <c r="S210" s="248"/>
      <c r="T210" s="254"/>
      <c r="U210" s="258"/>
      <c r="V210" s="259"/>
      <c r="W210" s="259"/>
      <c r="X210" s="255"/>
      <c r="Y210" s="259"/>
      <c r="Z210" s="259"/>
      <c r="AA210" s="260" t="str" cm="1">
        <f t="array" ref="AA21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10" s="125"/>
      <c r="AD210" s="124"/>
    </row>
    <row r="211" spans="1:30" s="122" customFormat="1">
      <c r="A21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VenezulanosVE1611</v>
      </c>
      <c r="B211" s="105" t="s">
        <v>491</v>
      </c>
      <c r="C211" s="104" t="s">
        <v>492</v>
      </c>
      <c r="D211" s="119" t="s">
        <v>507</v>
      </c>
      <c r="E211" s="104" t="s">
        <v>508</v>
      </c>
      <c r="F211" s="113"/>
      <c r="G211" s="119"/>
      <c r="H211" s="119"/>
      <c r="I211" s="102">
        <v>10027</v>
      </c>
      <c r="J211" s="103" t="s">
        <v>901</v>
      </c>
      <c r="K211" s="150"/>
      <c r="L211" s="150"/>
      <c r="M211" s="150"/>
      <c r="N211" s="254" t="str" cm="1">
        <f t="array" ref="N21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11" s="255"/>
      <c r="P211" s="248"/>
      <c r="Q211" s="256" t="str" cm="1">
        <f t="array" ref="Q21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11" s="257"/>
      <c r="S211" s="248"/>
      <c r="T211" s="254"/>
      <c r="U211" s="258"/>
      <c r="V211" s="259"/>
      <c r="W211" s="259"/>
      <c r="X211" s="255"/>
      <c r="Y211" s="259"/>
      <c r="Z211" s="259"/>
      <c r="AA211" s="260" t="str" cm="1">
        <f t="array" ref="AA21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11" s="125"/>
      <c r="AD211" s="124"/>
    </row>
    <row r="212" spans="1:30" s="122" customFormat="1">
      <c r="A21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VenezulanosVE1612</v>
      </c>
      <c r="B212" s="105" t="s">
        <v>491</v>
      </c>
      <c r="C212" s="104" t="s">
        <v>492</v>
      </c>
      <c r="D212" s="119" t="s">
        <v>509</v>
      </c>
      <c r="E212" s="104" t="s">
        <v>510</v>
      </c>
      <c r="F212" s="113"/>
      <c r="G212" s="119"/>
      <c r="H212" s="119"/>
      <c r="I212" s="102">
        <v>24788</v>
      </c>
      <c r="J212" s="103" t="s">
        <v>901</v>
      </c>
      <c r="K212" s="150"/>
      <c r="L212" s="150"/>
      <c r="M212" s="150"/>
      <c r="N212" s="254" t="str" cm="1">
        <f t="array" ref="N21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12" s="255"/>
      <c r="P212" s="248"/>
      <c r="Q212" s="256" t="str" cm="1">
        <f t="array" ref="Q21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12" s="257"/>
      <c r="S212" s="248"/>
      <c r="T212" s="254"/>
      <c r="U212" s="258"/>
      <c r="V212" s="259"/>
      <c r="W212" s="259"/>
      <c r="X212" s="255"/>
      <c r="Y212" s="259"/>
      <c r="Z212" s="259"/>
      <c r="AA212" s="260" t="str" cm="1">
        <f t="array" ref="AA21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12" s="125"/>
      <c r="AD212" s="124"/>
    </row>
    <row r="213" spans="1:30" s="122" customFormat="1">
      <c r="A21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VenezulanosVE1613</v>
      </c>
      <c r="B213" s="105" t="s">
        <v>491</v>
      </c>
      <c r="C213" s="104" t="s">
        <v>492</v>
      </c>
      <c r="D213" s="119" t="s">
        <v>511</v>
      </c>
      <c r="E213" s="104" t="s">
        <v>512</v>
      </c>
      <c r="F213" s="113"/>
      <c r="G213" s="119"/>
      <c r="H213" s="119"/>
      <c r="I213" s="102">
        <v>9836</v>
      </c>
      <c r="J213" s="103" t="s">
        <v>901</v>
      </c>
      <c r="K213" s="150"/>
      <c r="L213" s="150"/>
      <c r="M213" s="150"/>
      <c r="N213" s="254" t="str" cm="1">
        <f t="array" ref="N21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13" s="255"/>
      <c r="P213" s="248"/>
      <c r="Q213" s="256" t="str" cm="1">
        <f t="array" ref="Q21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13" s="257"/>
      <c r="S213" s="248"/>
      <c r="T213" s="254"/>
      <c r="U213" s="258"/>
      <c r="V213" s="259"/>
      <c r="W213" s="259"/>
      <c r="X213" s="255"/>
      <c r="Y213" s="259"/>
      <c r="Z213" s="259"/>
      <c r="AA213" s="260" t="str" cm="1">
        <f t="array" ref="AA21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13" s="125"/>
      <c r="AD213" s="124"/>
    </row>
    <row r="214" spans="1:30" s="122" customFormat="1">
      <c r="A21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VenezulanosVE1701</v>
      </c>
      <c r="B214" s="105" t="s">
        <v>513</v>
      </c>
      <c r="C214" s="104" t="s">
        <v>514</v>
      </c>
      <c r="D214" s="119" t="s">
        <v>832</v>
      </c>
      <c r="E214" s="104" t="s">
        <v>516</v>
      </c>
      <c r="F214" s="113"/>
      <c r="G214" s="119"/>
      <c r="H214" s="119"/>
      <c r="I214" s="102">
        <v>28930</v>
      </c>
      <c r="J214" s="103" t="s">
        <v>901</v>
      </c>
      <c r="K214" s="150"/>
      <c r="L214" s="150"/>
      <c r="M214" s="150"/>
      <c r="N214" s="254" t="str" cm="1">
        <f t="array" ref="N21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14" s="255"/>
      <c r="P214" s="248"/>
      <c r="Q214" s="256" t="str" cm="1">
        <f t="array" ref="Q21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14" s="257"/>
      <c r="S214" s="248"/>
      <c r="T214" s="254"/>
      <c r="U214" s="258"/>
      <c r="V214" s="259"/>
      <c r="W214" s="259"/>
      <c r="X214" s="255"/>
      <c r="Y214" s="259"/>
      <c r="Z214" s="259"/>
      <c r="AA214" s="260" t="str" cm="1">
        <f t="array" ref="AA21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14" s="125"/>
      <c r="AD214" s="124"/>
    </row>
    <row r="215" spans="1:30" s="122" customFormat="1">
      <c r="A21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VenezulanosVE1702</v>
      </c>
      <c r="B215" s="105" t="s">
        <v>513</v>
      </c>
      <c r="C215" s="104" t="s">
        <v>514</v>
      </c>
      <c r="D215" s="119" t="s">
        <v>221</v>
      </c>
      <c r="E215" s="104" t="s">
        <v>517</v>
      </c>
      <c r="F215" s="113"/>
      <c r="G215" s="119"/>
      <c r="H215" s="119"/>
      <c r="I215" s="102">
        <v>28948</v>
      </c>
      <c r="J215" s="103" t="s">
        <v>901</v>
      </c>
      <c r="K215" s="150"/>
      <c r="L215" s="150"/>
      <c r="M215" s="150"/>
      <c r="N215" s="254" t="str" cm="1">
        <f t="array" ref="N21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15" s="255"/>
      <c r="P215" s="248"/>
      <c r="Q215" s="256" t="str" cm="1">
        <f t="array" ref="Q21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15" s="257"/>
      <c r="S215" s="248"/>
      <c r="T215" s="254"/>
      <c r="U215" s="258"/>
      <c r="V215" s="259"/>
      <c r="W215" s="259"/>
      <c r="X215" s="255"/>
      <c r="Y215" s="259"/>
      <c r="Z215" s="259"/>
      <c r="AA215" s="260" t="str" cm="1">
        <f t="array" ref="AA21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15" s="125"/>
      <c r="AD215" s="124"/>
    </row>
    <row r="216" spans="1:30" s="122" customFormat="1">
      <c r="A21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VenezulanosVE1703</v>
      </c>
      <c r="B216" s="105" t="s">
        <v>513</v>
      </c>
      <c r="C216" s="104" t="s">
        <v>514</v>
      </c>
      <c r="D216" s="119" t="s">
        <v>518</v>
      </c>
      <c r="E216" s="104" t="s">
        <v>519</v>
      </c>
      <c r="F216" s="113"/>
      <c r="G216" s="119"/>
      <c r="H216" s="119"/>
      <c r="I216" s="102">
        <v>73078</v>
      </c>
      <c r="J216" s="103" t="s">
        <v>901</v>
      </c>
      <c r="K216" s="150"/>
      <c r="L216" s="150"/>
      <c r="M216" s="150"/>
      <c r="N216" s="254" t="str" cm="1">
        <f t="array" ref="N21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16" s="255"/>
      <c r="P216" s="248"/>
      <c r="Q216" s="256" t="str" cm="1">
        <f t="array" ref="Q21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16" s="257"/>
      <c r="S216" s="248"/>
      <c r="T216" s="254"/>
      <c r="U216" s="258"/>
      <c r="V216" s="259"/>
      <c r="W216" s="259"/>
      <c r="X216" s="255"/>
      <c r="Y216" s="259"/>
      <c r="Z216" s="259"/>
      <c r="AA216" s="260" t="str" cm="1">
        <f t="array" ref="AA21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16" s="125"/>
      <c r="AD216" s="124"/>
    </row>
    <row r="217" spans="1:30" s="122" customFormat="1">
      <c r="A21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VenezulanosVE1704</v>
      </c>
      <c r="B217" s="105" t="s">
        <v>513</v>
      </c>
      <c r="C217" s="104" t="s">
        <v>514</v>
      </c>
      <c r="D217" s="119" t="s">
        <v>520</v>
      </c>
      <c r="E217" s="104" t="s">
        <v>521</v>
      </c>
      <c r="F217" s="113"/>
      <c r="G217" s="119"/>
      <c r="H217" s="119"/>
      <c r="I217" s="102">
        <v>70041</v>
      </c>
      <c r="J217" s="103" t="s">
        <v>901</v>
      </c>
      <c r="K217" s="150"/>
      <c r="L217" s="150"/>
      <c r="M217" s="150"/>
      <c r="N217" s="254" t="str" cm="1">
        <f t="array" ref="N21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17" s="255"/>
      <c r="P217" s="248"/>
      <c r="Q217" s="256" t="str" cm="1">
        <f t="array" ref="Q21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17" s="257"/>
      <c r="S217" s="248"/>
      <c r="T217" s="254"/>
      <c r="U217" s="258"/>
      <c r="V217" s="259"/>
      <c r="W217" s="259"/>
      <c r="X217" s="255"/>
      <c r="Y217" s="259"/>
      <c r="Z217" s="259"/>
      <c r="AA217" s="260" t="str" cm="1">
        <f t="array" ref="AA21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17" s="125"/>
      <c r="AD217" s="124"/>
    </row>
    <row r="218" spans="1:30" s="122" customFormat="1">
      <c r="A21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VenezulanosVE1705</v>
      </c>
      <c r="B218" s="105" t="s">
        <v>513</v>
      </c>
      <c r="C218" s="104" t="s">
        <v>514</v>
      </c>
      <c r="D218" s="119" t="s">
        <v>522</v>
      </c>
      <c r="E218" s="104" t="s">
        <v>523</v>
      </c>
      <c r="F218" s="113"/>
      <c r="G218" s="119"/>
      <c r="H218" s="119"/>
      <c r="I218" s="102">
        <v>41323</v>
      </c>
      <c r="J218" s="103" t="s">
        <v>901</v>
      </c>
      <c r="K218" s="150"/>
      <c r="L218" s="150"/>
      <c r="M218" s="150"/>
      <c r="N218" s="254" t="str" cm="1">
        <f t="array" ref="N21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18" s="255"/>
      <c r="P218" s="248"/>
      <c r="Q218" s="256" t="str" cm="1">
        <f t="array" ref="Q21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18" s="257"/>
      <c r="S218" s="248"/>
      <c r="T218" s="254"/>
      <c r="U218" s="258"/>
      <c r="V218" s="259"/>
      <c r="W218" s="259"/>
      <c r="X218" s="255"/>
      <c r="Y218" s="259"/>
      <c r="Z218" s="259"/>
      <c r="AA218" s="260" t="str" cm="1">
        <f t="array" ref="AA21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18" s="125"/>
      <c r="AD218" s="124"/>
    </row>
    <row r="219" spans="1:30" s="122" customFormat="1">
      <c r="A21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VenezulanosVE1706</v>
      </c>
      <c r="B219" s="105" t="s">
        <v>513</v>
      </c>
      <c r="C219" s="104" t="s">
        <v>514</v>
      </c>
      <c r="D219" s="119" t="s">
        <v>524</v>
      </c>
      <c r="E219" s="104" t="s">
        <v>525</v>
      </c>
      <c r="F219" s="113"/>
      <c r="G219" s="119"/>
      <c r="H219" s="119"/>
      <c r="I219" s="102">
        <v>50050</v>
      </c>
      <c r="J219" s="103" t="s">
        <v>901</v>
      </c>
      <c r="K219" s="150"/>
      <c r="L219" s="150"/>
      <c r="M219" s="150"/>
      <c r="N219" s="254" t="str" cm="1">
        <f t="array" ref="N21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19" s="255"/>
      <c r="P219" s="248"/>
      <c r="Q219" s="256" t="str" cm="1">
        <f t="array" ref="Q21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19" s="257"/>
      <c r="S219" s="248"/>
      <c r="T219" s="254"/>
      <c r="U219" s="258"/>
      <c r="V219" s="259"/>
      <c r="W219" s="259"/>
      <c r="X219" s="255"/>
      <c r="Y219" s="259"/>
      <c r="Z219" s="259"/>
      <c r="AA219" s="260" t="str" cm="1">
        <f t="array" ref="AA21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19" s="125"/>
      <c r="AD219" s="124"/>
    </row>
    <row r="220" spans="1:30" s="122" customFormat="1">
      <c r="A22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VenezulanosVE1707</v>
      </c>
      <c r="B220" s="105" t="s">
        <v>513</v>
      </c>
      <c r="C220" s="104" t="s">
        <v>514</v>
      </c>
      <c r="D220" s="119" t="s">
        <v>526</v>
      </c>
      <c r="E220" s="104" t="s">
        <v>527</v>
      </c>
      <c r="F220" s="113"/>
      <c r="G220" s="119"/>
      <c r="H220" s="119"/>
      <c r="I220" s="102">
        <v>36496</v>
      </c>
      <c r="J220" s="103" t="s">
        <v>901</v>
      </c>
      <c r="K220" s="150"/>
      <c r="L220" s="150"/>
      <c r="M220" s="150"/>
      <c r="N220" s="254" t="str" cm="1">
        <f t="array" ref="N22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20" s="255"/>
      <c r="P220" s="248"/>
      <c r="Q220" s="256" t="str" cm="1">
        <f t="array" ref="Q22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20" s="257"/>
      <c r="S220" s="248"/>
      <c r="T220" s="254"/>
      <c r="U220" s="258"/>
      <c r="V220" s="259"/>
      <c r="W220" s="259"/>
      <c r="X220" s="255"/>
      <c r="Y220" s="259"/>
      <c r="Z220" s="259"/>
      <c r="AA220" s="260" t="str" cm="1">
        <f t="array" ref="AA22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20" s="125"/>
      <c r="AD220" s="124"/>
    </row>
    <row r="221" spans="1:30" s="122" customFormat="1">
      <c r="A22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VenezulanosVE1708</v>
      </c>
      <c r="B221" s="105" t="s">
        <v>513</v>
      </c>
      <c r="C221" s="104" t="s">
        <v>514</v>
      </c>
      <c r="D221" s="119" t="s">
        <v>528</v>
      </c>
      <c r="E221" s="104" t="s">
        <v>529</v>
      </c>
      <c r="F221" s="113"/>
      <c r="G221" s="119"/>
      <c r="H221" s="119"/>
      <c r="I221" s="102">
        <v>99867</v>
      </c>
      <c r="J221" s="103" t="s">
        <v>901</v>
      </c>
      <c r="K221" s="150"/>
      <c r="L221" s="150"/>
      <c r="M221" s="150"/>
      <c r="N221" s="254" t="str" cm="1">
        <f t="array" ref="N22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21" s="255"/>
      <c r="P221" s="248"/>
      <c r="Q221" s="256" t="str" cm="1">
        <f t="array" ref="Q22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21" s="257"/>
      <c r="S221" s="248"/>
      <c r="T221" s="254"/>
      <c r="U221" s="258"/>
      <c r="V221" s="259"/>
      <c r="W221" s="259"/>
      <c r="X221" s="255"/>
      <c r="Y221" s="259"/>
      <c r="Z221" s="259"/>
      <c r="AA221" s="260" t="str" cm="1">
        <f t="array" ref="AA22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21" s="125"/>
      <c r="AD221" s="124"/>
    </row>
    <row r="222" spans="1:30" s="122" customFormat="1">
      <c r="A22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VenezulanosVE1709</v>
      </c>
      <c r="B222" s="105" t="s">
        <v>513</v>
      </c>
      <c r="C222" s="104" t="s">
        <v>514</v>
      </c>
      <c r="D222" s="119" t="s">
        <v>818</v>
      </c>
      <c r="E222" s="104" t="s">
        <v>531</v>
      </c>
      <c r="F222" s="113"/>
      <c r="G222" s="119"/>
      <c r="H222" s="119"/>
      <c r="I222" s="102">
        <v>27023</v>
      </c>
      <c r="J222" s="103" t="s">
        <v>901</v>
      </c>
      <c r="K222" s="150"/>
      <c r="L222" s="150"/>
      <c r="M222" s="150"/>
      <c r="N222" s="254" t="str" cm="1">
        <f t="array" ref="N22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22" s="255"/>
      <c r="P222" s="248"/>
      <c r="Q222" s="256" t="str" cm="1">
        <f t="array" ref="Q22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22" s="257"/>
      <c r="S222" s="248"/>
      <c r="T222" s="254"/>
      <c r="U222" s="258"/>
      <c r="V222" s="259"/>
      <c r="W222" s="259"/>
      <c r="X222" s="255"/>
      <c r="Y222" s="259"/>
      <c r="Z222" s="259"/>
      <c r="AA222" s="260" t="str" cm="1">
        <f t="array" ref="AA22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22" s="125"/>
      <c r="AD222" s="124"/>
    </row>
    <row r="223" spans="1:30" s="122" customFormat="1">
      <c r="A22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VenezulanosVE1710</v>
      </c>
      <c r="B223" s="105" t="s">
        <v>513</v>
      </c>
      <c r="C223" s="104" t="s">
        <v>514</v>
      </c>
      <c r="D223" s="119" t="s">
        <v>532</v>
      </c>
      <c r="E223" s="104" t="s">
        <v>533</v>
      </c>
      <c r="F223" s="113"/>
      <c r="G223" s="119"/>
      <c r="H223" s="119"/>
      <c r="I223" s="102">
        <v>37758</v>
      </c>
      <c r="J223" s="103" t="s">
        <v>901</v>
      </c>
      <c r="K223" s="150"/>
      <c r="L223" s="150"/>
      <c r="M223" s="150"/>
      <c r="N223" s="254" t="str" cm="1">
        <f t="array" ref="N22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23" s="255"/>
      <c r="P223" s="248"/>
      <c r="Q223" s="256" t="str" cm="1">
        <f t="array" ref="Q22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23" s="257"/>
      <c r="S223" s="248"/>
      <c r="T223" s="254"/>
      <c r="U223" s="258"/>
      <c r="V223" s="259"/>
      <c r="W223" s="259"/>
      <c r="X223" s="255"/>
      <c r="Y223" s="259"/>
      <c r="Z223" s="259"/>
      <c r="AA223" s="260" t="str" cm="1">
        <f t="array" ref="AA22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23" s="125"/>
      <c r="AD223" s="124"/>
    </row>
    <row r="224" spans="1:30" s="122" customFormat="1">
      <c r="A22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VenezulanosVE1711</v>
      </c>
      <c r="B224" s="105" t="s">
        <v>513</v>
      </c>
      <c r="C224" s="104" t="s">
        <v>514</v>
      </c>
      <c r="D224" s="119" t="s">
        <v>534</v>
      </c>
      <c r="E224" s="104" t="s">
        <v>535</v>
      </c>
      <c r="F224" s="113"/>
      <c r="G224" s="119"/>
      <c r="H224" s="119"/>
      <c r="I224" s="102">
        <v>9182</v>
      </c>
      <c r="J224" s="103" t="s">
        <v>901</v>
      </c>
      <c r="K224" s="150"/>
      <c r="L224" s="150"/>
      <c r="M224" s="150"/>
      <c r="N224" s="254" t="str" cm="1">
        <f t="array" ref="N22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24" s="255"/>
      <c r="P224" s="248"/>
      <c r="Q224" s="256" t="str" cm="1">
        <f t="array" ref="Q22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24" s="257"/>
      <c r="S224" s="248"/>
      <c r="T224" s="254"/>
      <c r="U224" s="258"/>
      <c r="V224" s="259"/>
      <c r="W224" s="259"/>
      <c r="X224" s="255"/>
      <c r="Y224" s="259"/>
      <c r="Z224" s="259"/>
      <c r="AA224" s="260" t="str" cm="1">
        <f t="array" ref="AA22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24" s="125"/>
      <c r="AD224" s="124"/>
    </row>
    <row r="225" spans="1:30" s="122" customFormat="1">
      <c r="A22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VenezulanosVE1801</v>
      </c>
      <c r="B225" s="105" t="s">
        <v>536</v>
      </c>
      <c r="C225" s="104" t="s">
        <v>537</v>
      </c>
      <c r="D225" s="119" t="s">
        <v>538</v>
      </c>
      <c r="E225" s="104" t="s">
        <v>539</v>
      </c>
      <c r="F225" s="113"/>
      <c r="G225" s="119"/>
      <c r="H225" s="119"/>
      <c r="I225" s="102">
        <v>21185</v>
      </c>
      <c r="J225" s="103" t="s">
        <v>901</v>
      </c>
      <c r="K225" s="150"/>
      <c r="L225" s="150"/>
      <c r="M225" s="150"/>
      <c r="N225" s="254" t="str" cm="1">
        <f t="array" ref="N22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25" s="255"/>
      <c r="P225" s="248"/>
      <c r="Q225" s="256" t="str" cm="1">
        <f t="array" ref="Q22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25" s="257"/>
      <c r="S225" s="248"/>
      <c r="T225" s="254"/>
      <c r="U225" s="258"/>
      <c r="V225" s="259"/>
      <c r="W225" s="259"/>
      <c r="X225" s="255"/>
      <c r="Y225" s="259"/>
      <c r="Z225" s="259"/>
      <c r="AA225" s="260" t="str" cm="1">
        <f t="array" ref="AA22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25" s="125"/>
      <c r="AD225" s="124"/>
    </row>
    <row r="226" spans="1:30" s="122" customFormat="1">
      <c r="A22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VenezulanosVE1802</v>
      </c>
      <c r="B226" s="105" t="s">
        <v>536</v>
      </c>
      <c r="C226" s="104" t="s">
        <v>537</v>
      </c>
      <c r="D226" s="119" t="s">
        <v>540</v>
      </c>
      <c r="E226" s="104" t="s">
        <v>541</v>
      </c>
      <c r="F226" s="113"/>
      <c r="G226" s="119"/>
      <c r="H226" s="119"/>
      <c r="I226" s="102">
        <v>154747</v>
      </c>
      <c r="J226" s="103" t="s">
        <v>901</v>
      </c>
      <c r="K226" s="150"/>
      <c r="L226" s="150"/>
      <c r="M226" s="150"/>
      <c r="N226" s="254" t="str" cm="1">
        <f t="array" ref="N22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26" s="255"/>
      <c r="P226" s="248"/>
      <c r="Q226" s="256" t="str" cm="1">
        <f t="array" ref="Q22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26" s="257"/>
      <c r="S226" s="248"/>
      <c r="T226" s="254"/>
      <c r="U226" s="258"/>
      <c r="V226" s="259"/>
      <c r="W226" s="259"/>
      <c r="X226" s="255"/>
      <c r="Y226" s="259"/>
      <c r="Z226" s="259"/>
      <c r="AA226" s="260" t="str" cm="1">
        <f t="array" ref="AA22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26" s="125"/>
      <c r="AD226" s="124"/>
    </row>
    <row r="227" spans="1:30" s="122" customFormat="1">
      <c r="A22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VenezulanosVE1803</v>
      </c>
      <c r="B227" s="105" t="s">
        <v>536</v>
      </c>
      <c r="C227" s="104" t="s">
        <v>537</v>
      </c>
      <c r="D227" s="119" t="s">
        <v>542</v>
      </c>
      <c r="E227" s="104" t="s">
        <v>543</v>
      </c>
      <c r="F227" s="113"/>
      <c r="G227" s="119"/>
      <c r="H227" s="119"/>
      <c r="I227" s="102">
        <v>45965</v>
      </c>
      <c r="J227" s="103" t="s">
        <v>901</v>
      </c>
      <c r="K227" s="150"/>
      <c r="L227" s="150"/>
      <c r="M227" s="150"/>
      <c r="N227" s="254" t="str" cm="1">
        <f t="array" ref="N22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27" s="255"/>
      <c r="P227" s="248"/>
      <c r="Q227" s="256" t="str" cm="1">
        <f t="array" ref="Q22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27" s="257"/>
      <c r="S227" s="248"/>
      <c r="T227" s="254"/>
      <c r="U227" s="258"/>
      <c r="V227" s="259"/>
      <c r="W227" s="259"/>
      <c r="X227" s="255"/>
      <c r="Y227" s="259"/>
      <c r="Z227" s="259"/>
      <c r="AA227" s="260" t="str" cm="1">
        <f t="array" ref="AA22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27" s="125"/>
      <c r="AD227" s="124"/>
    </row>
    <row r="228" spans="1:30" s="122" customFormat="1">
      <c r="A22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VenezulanosVE1804</v>
      </c>
      <c r="B228" s="105" t="s">
        <v>536</v>
      </c>
      <c r="C228" s="104" t="s">
        <v>537</v>
      </c>
      <c r="D228" s="119" t="s">
        <v>544</v>
      </c>
      <c r="E228" s="104" t="s">
        <v>545</v>
      </c>
      <c r="F228" s="113"/>
      <c r="G228" s="119"/>
      <c r="H228" s="119"/>
      <c r="I228" s="102">
        <v>196996</v>
      </c>
      <c r="J228" s="103" t="s">
        <v>901</v>
      </c>
      <c r="K228" s="150"/>
      <c r="L228" s="150"/>
      <c r="M228" s="150"/>
      <c r="N228" s="254" t="str" cm="1">
        <f t="array" ref="N22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28" s="255"/>
      <c r="P228" s="248"/>
      <c r="Q228" s="256" t="str" cm="1">
        <f t="array" ref="Q22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28" s="257"/>
      <c r="S228" s="248"/>
      <c r="T228" s="254"/>
      <c r="U228" s="258"/>
      <c r="V228" s="259"/>
      <c r="W228" s="259"/>
      <c r="X228" s="255"/>
      <c r="Y228" s="259"/>
      <c r="Z228" s="259"/>
      <c r="AA228" s="260" t="str" cm="1">
        <f t="array" ref="AA22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28" s="125"/>
      <c r="AD228" s="124"/>
    </row>
    <row r="229" spans="1:30" s="122" customFormat="1">
      <c r="A22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VenezulanosVE1805</v>
      </c>
      <c r="B229" s="105" t="s">
        <v>536</v>
      </c>
      <c r="C229" s="104" t="s">
        <v>537</v>
      </c>
      <c r="D229" s="119" t="s">
        <v>546</v>
      </c>
      <c r="E229" s="104" t="s">
        <v>547</v>
      </c>
      <c r="F229" s="113"/>
      <c r="G229" s="119"/>
      <c r="H229" s="119"/>
      <c r="I229" s="102">
        <v>38403</v>
      </c>
      <c r="J229" s="103" t="s">
        <v>901</v>
      </c>
      <c r="K229" s="150"/>
      <c r="L229" s="150"/>
      <c r="M229" s="150"/>
      <c r="N229" s="254" t="str" cm="1">
        <f t="array" ref="N22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29" s="255"/>
      <c r="P229" s="248"/>
      <c r="Q229" s="256" t="str" cm="1">
        <f t="array" ref="Q22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29" s="257"/>
      <c r="S229" s="248"/>
      <c r="T229" s="254"/>
      <c r="U229" s="258"/>
      <c r="V229" s="259"/>
      <c r="W229" s="259"/>
      <c r="X229" s="255"/>
      <c r="Y229" s="259"/>
      <c r="Z229" s="259"/>
      <c r="AA229" s="260" t="str" cm="1">
        <f t="array" ref="AA22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29" s="125"/>
      <c r="AD229" s="124"/>
    </row>
    <row r="230" spans="1:30" s="122" customFormat="1">
      <c r="A23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VenezulanosVE1806</v>
      </c>
      <c r="B230" s="105" t="s">
        <v>536</v>
      </c>
      <c r="C230" s="104" t="s">
        <v>537</v>
      </c>
      <c r="D230" s="119" t="s">
        <v>819</v>
      </c>
      <c r="E230" s="104" t="s">
        <v>549</v>
      </c>
      <c r="F230" s="113"/>
      <c r="G230" s="119"/>
      <c r="H230" s="119"/>
      <c r="I230" s="102">
        <v>24287</v>
      </c>
      <c r="J230" s="103" t="s">
        <v>901</v>
      </c>
      <c r="K230" s="150"/>
      <c r="L230" s="150"/>
      <c r="M230" s="150"/>
      <c r="N230" s="254" t="str" cm="1">
        <f t="array" ref="N23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30" s="255"/>
      <c r="P230" s="248"/>
      <c r="Q230" s="256" t="str" cm="1">
        <f t="array" ref="Q23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30" s="257"/>
      <c r="S230" s="248"/>
      <c r="T230" s="254"/>
      <c r="U230" s="258"/>
      <c r="V230" s="259"/>
      <c r="W230" s="259"/>
      <c r="X230" s="255"/>
      <c r="Y230" s="259"/>
      <c r="Z230" s="259"/>
      <c r="AA230" s="260" t="str" cm="1">
        <f t="array" ref="AA23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30" s="125"/>
      <c r="AD230" s="124"/>
    </row>
    <row r="231" spans="1:30" s="122" customFormat="1">
      <c r="A23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VenezulanosVE1807</v>
      </c>
      <c r="B231" s="105" t="s">
        <v>536</v>
      </c>
      <c r="C231" s="104" t="s">
        <v>537</v>
      </c>
      <c r="D231" s="119" t="s">
        <v>550</v>
      </c>
      <c r="E231" s="104" t="s">
        <v>551</v>
      </c>
      <c r="F231" s="113"/>
      <c r="G231" s="119"/>
      <c r="H231" s="119"/>
      <c r="I231" s="102">
        <v>50334</v>
      </c>
      <c r="J231" s="103" t="s">
        <v>901</v>
      </c>
      <c r="K231" s="150"/>
      <c r="L231" s="150"/>
      <c r="M231" s="150"/>
      <c r="N231" s="254" t="str" cm="1">
        <f t="array" ref="N23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31" s="255"/>
      <c r="P231" s="248"/>
      <c r="Q231" s="256" t="str" cm="1">
        <f t="array" ref="Q23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31" s="257"/>
      <c r="S231" s="248"/>
      <c r="T231" s="254"/>
      <c r="U231" s="258"/>
      <c r="V231" s="259"/>
      <c r="W231" s="259"/>
      <c r="X231" s="255"/>
      <c r="Y231" s="259"/>
      <c r="Z231" s="259"/>
      <c r="AA231" s="260" t="str" cm="1">
        <f t="array" ref="AA23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31" s="125"/>
      <c r="AD231" s="124"/>
    </row>
    <row r="232" spans="1:30" s="122" customFormat="1">
      <c r="A23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VenezulanosVE1808</v>
      </c>
      <c r="B232" s="105" t="s">
        <v>536</v>
      </c>
      <c r="C232" s="104" t="s">
        <v>537</v>
      </c>
      <c r="D232" s="119" t="s">
        <v>171</v>
      </c>
      <c r="E232" s="104" t="s">
        <v>552</v>
      </c>
      <c r="F232" s="113"/>
      <c r="G232" s="119"/>
      <c r="H232" s="119"/>
      <c r="I232" s="102">
        <v>181169</v>
      </c>
      <c r="J232" s="103" t="s">
        <v>901</v>
      </c>
      <c r="K232" s="150"/>
      <c r="L232" s="150"/>
      <c r="M232" s="150"/>
      <c r="N232" s="254" t="str" cm="1">
        <f t="array" ref="N23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32" s="255"/>
      <c r="P232" s="248"/>
      <c r="Q232" s="256" t="str" cm="1">
        <f t="array" ref="Q23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32" s="257"/>
      <c r="S232" s="248"/>
      <c r="T232" s="254"/>
      <c r="U232" s="258"/>
      <c r="V232" s="259"/>
      <c r="W232" s="259"/>
      <c r="X232" s="255"/>
      <c r="Y232" s="259"/>
      <c r="Z232" s="259"/>
      <c r="AA232" s="260" t="str" cm="1">
        <f t="array" ref="AA23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32" s="125"/>
      <c r="AD232" s="124"/>
    </row>
    <row r="233" spans="1:30" s="122" customFormat="1">
      <c r="A23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VenezulanosVE1809</v>
      </c>
      <c r="B233" s="105" t="s">
        <v>536</v>
      </c>
      <c r="C233" s="104" t="s">
        <v>537</v>
      </c>
      <c r="D233" s="119" t="s">
        <v>553</v>
      </c>
      <c r="E233" s="104" t="s">
        <v>554</v>
      </c>
      <c r="F233" s="113"/>
      <c r="G233" s="119"/>
      <c r="H233" s="119"/>
      <c r="I233" s="102">
        <v>16550</v>
      </c>
      <c r="J233" s="103" t="s">
        <v>901</v>
      </c>
      <c r="K233" s="150"/>
      <c r="L233" s="150"/>
      <c r="M233" s="150"/>
      <c r="N233" s="254" t="str" cm="1">
        <f t="array" ref="N23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33" s="255"/>
      <c r="P233" s="248"/>
      <c r="Q233" s="256" t="str" cm="1">
        <f t="array" ref="Q23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33" s="257"/>
      <c r="S233" s="248"/>
      <c r="T233" s="254"/>
      <c r="U233" s="258"/>
      <c r="V233" s="259"/>
      <c r="W233" s="259"/>
      <c r="X233" s="255"/>
      <c r="Y233" s="259"/>
      <c r="Z233" s="259"/>
      <c r="AA233" s="260" t="str" cm="1">
        <f t="array" ref="AA23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33" s="125"/>
      <c r="AD233" s="124"/>
    </row>
    <row r="234" spans="1:30" s="122" customFormat="1">
      <c r="A23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VenezulanosVE1810</v>
      </c>
      <c r="B234" s="105" t="s">
        <v>536</v>
      </c>
      <c r="C234" s="104" t="s">
        <v>537</v>
      </c>
      <c r="D234" s="119" t="s">
        <v>833</v>
      </c>
      <c r="E234" s="104" t="s">
        <v>556</v>
      </c>
      <c r="F234" s="113"/>
      <c r="G234" s="119"/>
      <c r="H234" s="119"/>
      <c r="I234" s="102">
        <v>24296</v>
      </c>
      <c r="J234" s="103" t="s">
        <v>901</v>
      </c>
      <c r="K234" s="150"/>
      <c r="L234" s="150"/>
      <c r="M234" s="150"/>
      <c r="N234" s="254" t="str" cm="1">
        <f t="array" ref="N23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34" s="255"/>
      <c r="P234" s="248"/>
      <c r="Q234" s="256" t="str" cm="1">
        <f t="array" ref="Q23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34" s="257"/>
      <c r="S234" s="248"/>
      <c r="T234" s="254"/>
      <c r="U234" s="258"/>
      <c r="V234" s="259"/>
      <c r="W234" s="259"/>
      <c r="X234" s="255"/>
      <c r="Y234" s="259"/>
      <c r="Z234" s="259"/>
      <c r="AA234" s="260" t="str" cm="1">
        <f t="array" ref="AA23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34" s="125"/>
      <c r="AD234" s="124"/>
    </row>
    <row r="235" spans="1:30" s="122" customFormat="1">
      <c r="A23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VenezulanosVE1811</v>
      </c>
      <c r="B235" s="105" t="s">
        <v>536</v>
      </c>
      <c r="C235" s="104" t="s">
        <v>537</v>
      </c>
      <c r="D235" s="119" t="s">
        <v>834</v>
      </c>
      <c r="E235" s="104" t="s">
        <v>558</v>
      </c>
      <c r="F235" s="113"/>
      <c r="G235" s="119"/>
      <c r="H235" s="119"/>
      <c r="I235" s="102">
        <v>18020</v>
      </c>
      <c r="J235" s="103" t="s">
        <v>901</v>
      </c>
      <c r="K235" s="150"/>
      <c r="L235" s="150"/>
      <c r="M235" s="150"/>
      <c r="N235" s="254" t="str" cm="1">
        <f t="array" ref="N23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35" s="255"/>
      <c r="P235" s="248"/>
      <c r="Q235" s="256" t="str" cm="1">
        <f t="array" ref="Q23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35" s="257"/>
      <c r="S235" s="248"/>
      <c r="T235" s="254"/>
      <c r="U235" s="258"/>
      <c r="V235" s="259"/>
      <c r="W235" s="259"/>
      <c r="X235" s="255"/>
      <c r="Y235" s="259"/>
      <c r="Z235" s="259"/>
      <c r="AA235" s="260" t="str" cm="1">
        <f t="array" ref="AA23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35" s="125"/>
      <c r="AD235" s="124"/>
    </row>
    <row r="236" spans="1:30" s="122" customFormat="1">
      <c r="A23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VenezulanosVE1812</v>
      </c>
      <c r="B236" s="105" t="s">
        <v>536</v>
      </c>
      <c r="C236" s="104" t="s">
        <v>537</v>
      </c>
      <c r="D236" s="119" t="s">
        <v>559</v>
      </c>
      <c r="E236" s="104" t="s">
        <v>560</v>
      </c>
      <c r="F236" s="113"/>
      <c r="G236" s="119"/>
      <c r="H236" s="119"/>
      <c r="I236" s="102">
        <v>18002</v>
      </c>
      <c r="J236" s="103" t="s">
        <v>901</v>
      </c>
      <c r="K236" s="150"/>
      <c r="L236" s="150"/>
      <c r="M236" s="150"/>
      <c r="N236" s="254" t="str" cm="1">
        <f t="array" ref="N23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36" s="255"/>
      <c r="P236" s="248"/>
      <c r="Q236" s="256" t="str" cm="1">
        <f t="array" ref="Q23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36" s="257"/>
      <c r="S236" s="248"/>
      <c r="T236" s="254"/>
      <c r="U236" s="258"/>
      <c r="V236" s="259"/>
      <c r="W236" s="259"/>
      <c r="X236" s="255"/>
      <c r="Y236" s="259"/>
      <c r="Z236" s="259"/>
      <c r="AA236" s="260" t="str" cm="1">
        <f t="array" ref="AA23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36" s="125"/>
      <c r="AD236" s="124"/>
    </row>
    <row r="237" spans="1:30" s="122" customFormat="1">
      <c r="A23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VenezulanosVE1813</v>
      </c>
      <c r="B237" s="105" t="s">
        <v>536</v>
      </c>
      <c r="C237" s="104" t="s">
        <v>537</v>
      </c>
      <c r="D237" s="119" t="s">
        <v>203</v>
      </c>
      <c r="E237" s="104" t="s">
        <v>561</v>
      </c>
      <c r="F237" s="113"/>
      <c r="G237" s="119"/>
      <c r="H237" s="119"/>
      <c r="I237" s="102">
        <v>41965</v>
      </c>
      <c r="J237" s="103" t="s">
        <v>901</v>
      </c>
      <c r="K237" s="150"/>
      <c r="L237" s="150"/>
      <c r="M237" s="150"/>
      <c r="N237" s="254" t="str" cm="1">
        <f t="array" ref="N23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37" s="255"/>
      <c r="P237" s="248"/>
      <c r="Q237" s="256" t="str" cm="1">
        <f t="array" ref="Q23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37" s="257"/>
      <c r="S237" s="248"/>
      <c r="T237" s="254"/>
      <c r="U237" s="258"/>
      <c r="V237" s="259"/>
      <c r="W237" s="259"/>
      <c r="X237" s="255"/>
      <c r="Y237" s="259"/>
      <c r="Z237" s="259"/>
      <c r="AA237" s="260" t="str" cm="1">
        <f t="array" ref="AA23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37" s="125"/>
      <c r="AD237" s="124"/>
    </row>
    <row r="238" spans="1:30" s="122" customFormat="1">
      <c r="A23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VenezulanosVE1814</v>
      </c>
      <c r="B238" s="105" t="s">
        <v>536</v>
      </c>
      <c r="C238" s="104" t="s">
        <v>537</v>
      </c>
      <c r="D238" s="119" t="s">
        <v>562</v>
      </c>
      <c r="E238" s="104" t="s">
        <v>563</v>
      </c>
      <c r="F238" s="113"/>
      <c r="G238" s="119"/>
      <c r="H238" s="119"/>
      <c r="I238" s="102">
        <v>64368</v>
      </c>
      <c r="J238" s="103" t="s">
        <v>901</v>
      </c>
      <c r="K238" s="150"/>
      <c r="L238" s="150"/>
      <c r="M238" s="150"/>
      <c r="N238" s="254" t="str" cm="1">
        <f t="array" ref="N23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38" s="255"/>
      <c r="P238" s="248"/>
      <c r="Q238" s="256" t="str" cm="1">
        <f t="array" ref="Q23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38" s="257"/>
      <c r="S238" s="248"/>
      <c r="T238" s="254"/>
      <c r="U238" s="258"/>
      <c r="V238" s="259"/>
      <c r="W238" s="259"/>
      <c r="X238" s="255"/>
      <c r="Y238" s="259"/>
      <c r="Z238" s="259"/>
      <c r="AA238" s="260" t="str" cm="1">
        <f t="array" ref="AA23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38" s="125"/>
      <c r="AD238" s="124"/>
    </row>
    <row r="239" spans="1:30" s="122" customFormat="1">
      <c r="A23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VenezulanosVE1901</v>
      </c>
      <c r="B239" s="105" t="s">
        <v>203</v>
      </c>
      <c r="C239" s="104" t="s">
        <v>564</v>
      </c>
      <c r="D239" s="119" t="s">
        <v>237</v>
      </c>
      <c r="E239" s="104" t="s">
        <v>565</v>
      </c>
      <c r="F239" s="113"/>
      <c r="G239" s="119"/>
      <c r="H239" s="119"/>
      <c r="I239" s="102">
        <v>26228</v>
      </c>
      <c r="J239" s="103" t="s">
        <v>901</v>
      </c>
      <c r="K239" s="150"/>
      <c r="L239" s="150"/>
      <c r="M239" s="150"/>
      <c r="N239" s="254" t="str" cm="1">
        <f t="array" ref="N23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39" s="255"/>
      <c r="P239" s="248"/>
      <c r="Q239" s="256" t="str" cm="1">
        <f t="array" ref="Q23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39" s="257"/>
      <c r="S239" s="248"/>
      <c r="T239" s="254"/>
      <c r="U239" s="258"/>
      <c r="V239" s="259"/>
      <c r="W239" s="259"/>
      <c r="X239" s="255"/>
      <c r="Y239" s="259"/>
      <c r="Z239" s="259"/>
      <c r="AA239" s="260" t="str" cm="1">
        <f t="array" ref="AA23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39" s="125"/>
      <c r="AD239" s="124"/>
    </row>
    <row r="240" spans="1:30" s="122" customFormat="1">
      <c r="A24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VenezulanosVE1902</v>
      </c>
      <c r="B240" s="105" t="s">
        <v>203</v>
      </c>
      <c r="C240" s="104" t="s">
        <v>564</v>
      </c>
      <c r="D240" s="119" t="s">
        <v>566</v>
      </c>
      <c r="E240" s="104" t="s">
        <v>567</v>
      </c>
      <c r="F240" s="113"/>
      <c r="G240" s="119"/>
      <c r="H240" s="119"/>
      <c r="I240" s="102">
        <v>20531</v>
      </c>
      <c r="J240" s="103" t="s">
        <v>901</v>
      </c>
      <c r="K240" s="150"/>
      <c r="L240" s="150"/>
      <c r="M240" s="150"/>
      <c r="N240" s="254" t="str" cm="1">
        <f t="array" ref="N24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40" s="255"/>
      <c r="P240" s="248"/>
      <c r="Q240" s="256" t="str" cm="1">
        <f t="array" ref="Q24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40" s="257"/>
      <c r="S240" s="248"/>
      <c r="T240" s="254"/>
      <c r="U240" s="258"/>
      <c r="V240" s="259"/>
      <c r="W240" s="259"/>
      <c r="X240" s="255"/>
      <c r="Y240" s="259"/>
      <c r="Z240" s="259"/>
      <c r="AA240" s="260" t="str" cm="1">
        <f t="array" ref="AA24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40" s="125"/>
      <c r="AD240" s="124"/>
    </row>
    <row r="241" spans="1:30" s="122" customFormat="1">
      <c r="A24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VenezulanosVE1903</v>
      </c>
      <c r="B241" s="105" t="s">
        <v>203</v>
      </c>
      <c r="C241" s="104" t="s">
        <v>564</v>
      </c>
      <c r="D241" s="119" t="s">
        <v>221</v>
      </c>
      <c r="E241" s="104" t="s">
        <v>568</v>
      </c>
      <c r="F241" s="113"/>
      <c r="G241" s="119"/>
      <c r="H241" s="119"/>
      <c r="I241" s="102">
        <v>48268</v>
      </c>
      <c r="J241" s="103" t="s">
        <v>901</v>
      </c>
      <c r="K241" s="150"/>
      <c r="L241" s="150"/>
      <c r="M241" s="150"/>
      <c r="N241" s="254" t="str" cm="1">
        <f t="array" ref="N24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41" s="255"/>
      <c r="P241" s="248"/>
      <c r="Q241" s="256" t="str" cm="1">
        <f t="array" ref="Q24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41" s="257"/>
      <c r="S241" s="248"/>
      <c r="T241" s="254"/>
      <c r="U241" s="258"/>
      <c r="V241" s="259"/>
      <c r="W241" s="259"/>
      <c r="X241" s="255"/>
      <c r="Y241" s="259"/>
      <c r="Z241" s="259"/>
      <c r="AA241" s="260" t="str" cm="1">
        <f t="array" ref="AA24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41" s="125"/>
      <c r="AD241" s="124"/>
    </row>
    <row r="242" spans="1:30" s="122" customFormat="1">
      <c r="A24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VenezulanosVE1904</v>
      </c>
      <c r="B242" s="105" t="s">
        <v>203</v>
      </c>
      <c r="C242" s="104" t="s">
        <v>564</v>
      </c>
      <c r="D242" s="119" t="s">
        <v>569</v>
      </c>
      <c r="E242" s="104" t="s">
        <v>570</v>
      </c>
      <c r="F242" s="113"/>
      <c r="G242" s="119"/>
      <c r="H242" s="119"/>
      <c r="I242" s="102">
        <v>31809</v>
      </c>
      <c r="J242" s="103" t="s">
        <v>901</v>
      </c>
      <c r="K242" s="150"/>
      <c r="L242" s="150"/>
      <c r="M242" s="150"/>
      <c r="N242" s="254" t="str" cm="1">
        <f t="array" ref="N24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42" s="255"/>
      <c r="P242" s="248"/>
      <c r="Q242" s="256" t="str" cm="1">
        <f t="array" ref="Q24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42" s="257"/>
      <c r="S242" s="248"/>
      <c r="T242" s="254"/>
      <c r="U242" s="258"/>
      <c r="V242" s="259"/>
      <c r="W242" s="259"/>
      <c r="X242" s="255"/>
      <c r="Y242" s="259"/>
      <c r="Z242" s="259"/>
      <c r="AA242" s="260" t="str" cm="1">
        <f t="array" ref="AA24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42" s="125"/>
      <c r="AD242" s="124"/>
    </row>
    <row r="243" spans="1:30" s="122" customFormat="1">
      <c r="A24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VenezulanosVE1905</v>
      </c>
      <c r="B243" s="105" t="s">
        <v>203</v>
      </c>
      <c r="C243" s="104" t="s">
        <v>564</v>
      </c>
      <c r="D243" s="119" t="s">
        <v>571</v>
      </c>
      <c r="E243" s="104" t="s">
        <v>572</v>
      </c>
      <c r="F243" s="113"/>
      <c r="G243" s="119"/>
      <c r="H243" s="119"/>
      <c r="I243" s="102">
        <v>141932</v>
      </c>
      <c r="J243" s="103" t="s">
        <v>901</v>
      </c>
      <c r="K243" s="150"/>
      <c r="L243" s="150"/>
      <c r="M243" s="150"/>
      <c r="N243" s="254" t="str" cm="1">
        <f t="array" ref="N24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43" s="255"/>
      <c r="P243" s="248"/>
      <c r="Q243" s="256" t="str" cm="1">
        <f t="array" ref="Q24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43" s="257"/>
      <c r="S243" s="248"/>
      <c r="T243" s="254"/>
      <c r="U243" s="258"/>
      <c r="V243" s="259"/>
      <c r="W243" s="259"/>
      <c r="X243" s="255"/>
      <c r="Y243" s="259"/>
      <c r="Z243" s="259"/>
      <c r="AA243" s="260" t="str" cm="1">
        <f t="array" ref="AA24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43" s="125"/>
      <c r="AD243" s="124"/>
    </row>
    <row r="244" spans="1:30" s="122" customFormat="1">
      <c r="A24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VenezulanosVE1906</v>
      </c>
      <c r="B244" s="105" t="s">
        <v>203</v>
      </c>
      <c r="C244" s="104" t="s">
        <v>564</v>
      </c>
      <c r="D244" s="119" t="s">
        <v>180</v>
      </c>
      <c r="E244" s="104" t="s">
        <v>573</v>
      </c>
      <c r="F244" s="113"/>
      <c r="G244" s="119"/>
      <c r="H244" s="119"/>
      <c r="I244" s="102">
        <v>22365</v>
      </c>
      <c r="J244" s="103" t="s">
        <v>901</v>
      </c>
      <c r="K244" s="150"/>
      <c r="L244" s="150"/>
      <c r="M244" s="150"/>
      <c r="N244" s="254" t="str" cm="1">
        <f t="array" ref="N24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44" s="255"/>
      <c r="P244" s="248"/>
      <c r="Q244" s="256" t="str" cm="1">
        <f t="array" ref="Q24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44" s="257"/>
      <c r="S244" s="248"/>
      <c r="T244" s="254"/>
      <c r="U244" s="258"/>
      <c r="V244" s="259"/>
      <c r="W244" s="259"/>
      <c r="X244" s="255"/>
      <c r="Y244" s="259"/>
      <c r="Z244" s="259"/>
      <c r="AA244" s="260" t="str" cm="1">
        <f t="array" ref="AA24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44" s="125"/>
      <c r="AD244" s="124"/>
    </row>
    <row r="245" spans="1:30" s="122" customFormat="1">
      <c r="A24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VenezulanosVE1907</v>
      </c>
      <c r="B245" s="105" t="s">
        <v>203</v>
      </c>
      <c r="C245" s="104" t="s">
        <v>564</v>
      </c>
      <c r="D245" s="119" t="s">
        <v>574</v>
      </c>
      <c r="E245" s="104" t="s">
        <v>575</v>
      </c>
      <c r="F245" s="113"/>
      <c r="G245" s="119"/>
      <c r="H245" s="119"/>
      <c r="I245" s="102">
        <v>21381</v>
      </c>
      <c r="J245" s="103" t="s">
        <v>901</v>
      </c>
      <c r="K245" s="150"/>
      <c r="L245" s="150"/>
      <c r="M245" s="150"/>
      <c r="N245" s="254" t="str" cm="1">
        <f t="array" ref="N24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45" s="255"/>
      <c r="P245" s="248"/>
      <c r="Q245" s="256" t="str" cm="1">
        <f t="array" ref="Q24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45" s="257"/>
      <c r="S245" s="248"/>
      <c r="T245" s="254"/>
      <c r="U245" s="258"/>
      <c r="V245" s="259"/>
      <c r="W245" s="259"/>
      <c r="X245" s="255"/>
      <c r="Y245" s="259"/>
      <c r="Z245" s="259"/>
      <c r="AA245" s="260" t="str" cm="1">
        <f t="array" ref="AA24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45" s="125"/>
      <c r="AD245" s="124"/>
    </row>
    <row r="246" spans="1:30" s="122" customFormat="1">
      <c r="A24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VenezulanosVE1908</v>
      </c>
      <c r="B246" s="105" t="s">
        <v>203</v>
      </c>
      <c r="C246" s="104" t="s">
        <v>564</v>
      </c>
      <c r="D246" s="119" t="s">
        <v>576</v>
      </c>
      <c r="E246" s="104" t="s">
        <v>577</v>
      </c>
      <c r="F246" s="113"/>
      <c r="G246" s="119"/>
      <c r="H246" s="119"/>
      <c r="I246" s="102">
        <v>35731</v>
      </c>
      <c r="J246" s="103" t="s">
        <v>901</v>
      </c>
      <c r="K246" s="150"/>
      <c r="L246" s="150"/>
      <c r="M246" s="150"/>
      <c r="N246" s="254" t="str" cm="1">
        <f t="array" ref="N24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46" s="255"/>
      <c r="P246" s="248"/>
      <c r="Q246" s="256" t="str" cm="1">
        <f t="array" ref="Q24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46" s="257"/>
      <c r="S246" s="248"/>
      <c r="T246" s="254"/>
      <c r="U246" s="258"/>
      <c r="V246" s="259"/>
      <c r="W246" s="259"/>
      <c r="X246" s="255"/>
      <c r="Y246" s="259"/>
      <c r="Z246" s="259"/>
      <c r="AA246" s="260" t="str" cm="1">
        <f t="array" ref="AA24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46" s="125"/>
      <c r="AD246" s="124"/>
    </row>
    <row r="247" spans="1:30" s="122" customFormat="1">
      <c r="A24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VenezulanosVE1909</v>
      </c>
      <c r="B247" s="105" t="s">
        <v>203</v>
      </c>
      <c r="C247" s="104" t="s">
        <v>564</v>
      </c>
      <c r="D247" s="119" t="s">
        <v>100</v>
      </c>
      <c r="E247" s="104" t="s">
        <v>578</v>
      </c>
      <c r="F247" s="113"/>
      <c r="G247" s="119"/>
      <c r="H247" s="119"/>
      <c r="I247" s="102">
        <v>9796</v>
      </c>
      <c r="J247" s="103" t="s">
        <v>901</v>
      </c>
      <c r="K247" s="150"/>
      <c r="L247" s="150"/>
      <c r="M247" s="150"/>
      <c r="N247" s="254" t="str" cm="1">
        <f t="array" ref="N24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47" s="255"/>
      <c r="P247" s="248"/>
      <c r="Q247" s="256" t="str" cm="1">
        <f t="array" ref="Q24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47" s="257"/>
      <c r="S247" s="248"/>
      <c r="T247" s="254"/>
      <c r="U247" s="258"/>
      <c r="V247" s="259"/>
      <c r="W247" s="259"/>
      <c r="X247" s="255"/>
      <c r="Y247" s="259"/>
      <c r="Z247" s="259"/>
      <c r="AA247" s="260" t="str" cm="1">
        <f t="array" ref="AA24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47" s="125"/>
      <c r="AD247" s="124"/>
    </row>
    <row r="248" spans="1:30" s="122" customFormat="1">
      <c r="A24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VenezulanosVE1910</v>
      </c>
      <c r="B248" s="105" t="s">
        <v>203</v>
      </c>
      <c r="C248" s="104" t="s">
        <v>564</v>
      </c>
      <c r="D248" s="119" t="s">
        <v>528</v>
      </c>
      <c r="E248" s="104" t="s">
        <v>579</v>
      </c>
      <c r="F248" s="113"/>
      <c r="G248" s="119"/>
      <c r="H248" s="119"/>
      <c r="I248" s="102">
        <v>22838</v>
      </c>
      <c r="J248" s="103" t="s">
        <v>901</v>
      </c>
      <c r="K248" s="150"/>
      <c r="L248" s="150"/>
      <c r="M248" s="150"/>
      <c r="N248" s="254" t="str" cm="1">
        <f t="array" ref="N24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48" s="255"/>
      <c r="P248" s="248"/>
      <c r="Q248" s="256" t="str" cm="1">
        <f t="array" ref="Q24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48" s="257"/>
      <c r="S248" s="248"/>
      <c r="T248" s="254"/>
      <c r="U248" s="258"/>
      <c r="V248" s="259"/>
      <c r="W248" s="259"/>
      <c r="X248" s="255"/>
      <c r="Y248" s="259"/>
      <c r="Z248" s="259"/>
      <c r="AA248" s="260" t="str" cm="1">
        <f t="array" ref="AA24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48" s="125"/>
      <c r="AD248" s="124"/>
    </row>
    <row r="249" spans="1:30" s="122" customFormat="1">
      <c r="A24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VenezulanosVE1911</v>
      </c>
      <c r="B249" s="105" t="s">
        <v>203</v>
      </c>
      <c r="C249" s="104" t="s">
        <v>564</v>
      </c>
      <c r="D249" s="119" t="s">
        <v>824</v>
      </c>
      <c r="E249" s="104" t="s">
        <v>581</v>
      </c>
      <c r="F249" s="113"/>
      <c r="G249" s="119"/>
      <c r="H249" s="119"/>
      <c r="I249" s="102">
        <v>14627</v>
      </c>
      <c r="J249" s="103" t="s">
        <v>901</v>
      </c>
      <c r="K249" s="150"/>
      <c r="L249" s="150"/>
      <c r="M249" s="150"/>
      <c r="N249" s="254" t="str" cm="1">
        <f t="array" ref="N24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49" s="255"/>
      <c r="P249" s="248"/>
      <c r="Q249" s="256" t="str" cm="1">
        <f t="array" ref="Q24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49" s="257"/>
      <c r="S249" s="248"/>
      <c r="T249" s="254"/>
      <c r="U249" s="258"/>
      <c r="V249" s="259"/>
      <c r="W249" s="259"/>
      <c r="X249" s="255"/>
      <c r="Y249" s="259"/>
      <c r="Z249" s="259"/>
      <c r="AA249" s="260" t="str" cm="1">
        <f t="array" ref="AA24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49" s="125"/>
      <c r="AD249" s="124"/>
    </row>
    <row r="250" spans="1:30" s="122" customFormat="1">
      <c r="A25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VenezulanosVE1912</v>
      </c>
      <c r="B250" s="105" t="s">
        <v>203</v>
      </c>
      <c r="C250" s="104" t="s">
        <v>564</v>
      </c>
      <c r="D250" s="119" t="s">
        <v>582</v>
      </c>
      <c r="E250" s="104" t="s">
        <v>583</v>
      </c>
      <c r="F250" s="113"/>
      <c r="G250" s="119"/>
      <c r="H250" s="119"/>
      <c r="I250" s="102">
        <v>55104</v>
      </c>
      <c r="J250" s="103" t="s">
        <v>901</v>
      </c>
      <c r="K250" s="150"/>
      <c r="L250" s="150"/>
      <c r="M250" s="150"/>
      <c r="N250" s="254" t="str" cm="1">
        <f t="array" ref="N25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50" s="255"/>
      <c r="P250" s="248"/>
      <c r="Q250" s="256" t="str" cm="1">
        <f t="array" ref="Q25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50" s="257"/>
      <c r="S250" s="248"/>
      <c r="T250" s="254"/>
      <c r="U250" s="258"/>
      <c r="V250" s="259"/>
      <c r="W250" s="259"/>
      <c r="X250" s="255"/>
      <c r="Y250" s="259"/>
      <c r="Z250" s="259"/>
      <c r="AA250" s="260" t="str" cm="1">
        <f t="array" ref="AA25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50" s="125"/>
      <c r="AD250" s="124"/>
    </row>
    <row r="251" spans="1:30" s="122" customFormat="1">
      <c r="A25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VenezulanosVE1913</v>
      </c>
      <c r="B251" s="105" t="s">
        <v>203</v>
      </c>
      <c r="C251" s="104" t="s">
        <v>564</v>
      </c>
      <c r="D251" s="119" t="s">
        <v>584</v>
      </c>
      <c r="E251" s="104" t="s">
        <v>585</v>
      </c>
      <c r="F251" s="113"/>
      <c r="G251" s="119"/>
      <c r="H251" s="119"/>
      <c r="I251" s="102">
        <v>59508</v>
      </c>
      <c r="J251" s="103" t="s">
        <v>901</v>
      </c>
      <c r="K251" s="150"/>
      <c r="L251" s="150"/>
      <c r="M251" s="150"/>
      <c r="N251" s="254" t="str" cm="1">
        <f t="array" ref="N25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51" s="255"/>
      <c r="P251" s="248"/>
      <c r="Q251" s="256" t="str" cm="1">
        <f t="array" ref="Q25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51" s="257"/>
      <c r="S251" s="248"/>
      <c r="T251" s="254"/>
      <c r="U251" s="258"/>
      <c r="V251" s="259"/>
      <c r="W251" s="259"/>
      <c r="X251" s="255"/>
      <c r="Y251" s="259"/>
      <c r="Z251" s="259"/>
      <c r="AA251" s="260" t="str" cm="1">
        <f t="array" ref="AA25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51" s="125"/>
      <c r="AD251" s="124"/>
    </row>
    <row r="252" spans="1:30" s="122" customFormat="1">
      <c r="A25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VenezulanosVE1914</v>
      </c>
      <c r="B252" s="105" t="s">
        <v>203</v>
      </c>
      <c r="C252" s="104" t="s">
        <v>564</v>
      </c>
      <c r="D252" s="119" t="s">
        <v>203</v>
      </c>
      <c r="E252" s="104" t="s">
        <v>586</v>
      </c>
      <c r="F252" s="113"/>
      <c r="G252" s="119"/>
      <c r="H252" s="119"/>
      <c r="I252" s="102">
        <v>367023</v>
      </c>
      <c r="J252" s="103" t="s">
        <v>901</v>
      </c>
      <c r="K252" s="150"/>
      <c r="L252" s="150"/>
      <c r="M252" s="150"/>
      <c r="N252" s="254" t="str" cm="1">
        <f t="array" ref="N25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52" s="255"/>
      <c r="P252" s="248"/>
      <c r="Q252" s="256" t="str" cm="1">
        <f t="array" ref="Q25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52" s="257"/>
      <c r="S252" s="248"/>
      <c r="T252" s="254"/>
      <c r="U252" s="258"/>
      <c r="V252" s="259"/>
      <c r="W252" s="259"/>
      <c r="X252" s="255"/>
      <c r="Y252" s="259"/>
      <c r="Z252" s="259"/>
      <c r="AA252" s="260" t="str" cm="1">
        <f t="array" ref="AA25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52" s="125"/>
      <c r="AD252" s="124"/>
    </row>
    <row r="253" spans="1:30" s="122" customFormat="1">
      <c r="A25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VenezulanosVE1915</v>
      </c>
      <c r="B253" s="105" t="s">
        <v>203</v>
      </c>
      <c r="C253" s="104" t="s">
        <v>564</v>
      </c>
      <c r="D253" s="119" t="s">
        <v>587</v>
      </c>
      <c r="E253" s="104" t="s">
        <v>588</v>
      </c>
      <c r="F253" s="113"/>
      <c r="G253" s="119"/>
      <c r="H253" s="119"/>
      <c r="I253" s="102">
        <v>39377</v>
      </c>
      <c r="J253" s="103" t="s">
        <v>901</v>
      </c>
      <c r="K253" s="150"/>
      <c r="L253" s="150"/>
      <c r="M253" s="150"/>
      <c r="N253" s="254" t="str" cm="1">
        <f t="array" ref="N25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53" s="255"/>
      <c r="P253" s="248"/>
      <c r="Q253" s="256" t="str" cm="1">
        <f t="array" ref="Q25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53" s="257"/>
      <c r="S253" s="248"/>
      <c r="T253" s="254"/>
      <c r="U253" s="258"/>
      <c r="V253" s="259"/>
      <c r="W253" s="259"/>
      <c r="X253" s="255"/>
      <c r="Y253" s="259"/>
      <c r="Z253" s="259"/>
      <c r="AA253" s="260" t="str" cm="1">
        <f t="array" ref="AA25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53" s="125"/>
      <c r="AD253" s="124"/>
    </row>
    <row r="254" spans="1:30" s="122" customFormat="1">
      <c r="A25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VenezulanosVE2001</v>
      </c>
      <c r="B254" s="105" t="s">
        <v>589</v>
      </c>
      <c r="C254" s="104" t="s">
        <v>590</v>
      </c>
      <c r="D254" s="119" t="s">
        <v>415</v>
      </c>
      <c r="E254" s="104" t="s">
        <v>592</v>
      </c>
      <c r="F254" s="113"/>
      <c r="G254" s="119"/>
      <c r="H254" s="119"/>
      <c r="I254" s="102">
        <v>20820</v>
      </c>
      <c r="J254" s="103" t="s">
        <v>901</v>
      </c>
      <c r="K254" s="150"/>
      <c r="L254" s="150"/>
      <c r="M254" s="150"/>
      <c r="N254" s="254" t="str" cm="1">
        <f t="array" ref="N25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54" s="255"/>
      <c r="P254" s="248"/>
      <c r="Q254" s="256" t="str" cm="1">
        <f t="array" ref="Q25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54" s="257"/>
      <c r="S254" s="248"/>
      <c r="T254" s="254"/>
      <c r="U254" s="258"/>
      <c r="V254" s="259"/>
      <c r="W254" s="259"/>
      <c r="X254" s="255"/>
      <c r="Y254" s="259"/>
      <c r="Z254" s="259"/>
      <c r="AA254" s="260" t="str" cm="1">
        <f t="array" ref="AA25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54" s="125"/>
      <c r="AD254" s="124"/>
    </row>
    <row r="255" spans="1:30" s="122" customFormat="1">
      <c r="A25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VenezulanosVE2002</v>
      </c>
      <c r="B255" s="105" t="s">
        <v>589</v>
      </c>
      <c r="C255" s="104" t="s">
        <v>590</v>
      </c>
      <c r="D255" s="119" t="s">
        <v>835</v>
      </c>
      <c r="E255" s="104" t="s">
        <v>594</v>
      </c>
      <c r="F255" s="113"/>
      <c r="G255" s="119"/>
      <c r="H255" s="119"/>
      <c r="I255" s="102">
        <v>10284</v>
      </c>
      <c r="J255" s="103" t="s">
        <v>901</v>
      </c>
      <c r="K255" s="150"/>
      <c r="L255" s="150"/>
      <c r="M255" s="150"/>
      <c r="N255" s="254" t="str" cm="1">
        <f t="array" ref="N25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55" s="255"/>
      <c r="P255" s="248"/>
      <c r="Q255" s="256" t="str" cm="1">
        <f t="array" ref="Q25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55" s="257"/>
      <c r="S255" s="248"/>
      <c r="T255" s="254"/>
      <c r="U255" s="258"/>
      <c r="V255" s="259"/>
      <c r="W255" s="259"/>
      <c r="X255" s="255"/>
      <c r="Y255" s="259"/>
      <c r="Z255" s="259"/>
      <c r="AA255" s="260" t="str" cm="1">
        <f t="array" ref="AA25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55" s="125"/>
      <c r="AD255" s="124"/>
    </row>
    <row r="256" spans="1:30" s="122" customFormat="1">
      <c r="A25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VenezulanosVE2003</v>
      </c>
      <c r="B256" s="105" t="s">
        <v>589</v>
      </c>
      <c r="C256" s="104" t="s">
        <v>590</v>
      </c>
      <c r="D256" s="119" t="s">
        <v>595</v>
      </c>
      <c r="E256" s="104" t="s">
        <v>596</v>
      </c>
      <c r="F256" s="113"/>
      <c r="G256" s="119"/>
      <c r="H256" s="119"/>
      <c r="I256" s="102">
        <v>60678</v>
      </c>
      <c r="J256" s="103" t="s">
        <v>901</v>
      </c>
      <c r="K256" s="150"/>
      <c r="L256" s="150"/>
      <c r="M256" s="150"/>
      <c r="N256" s="254" t="str" cm="1">
        <f t="array" ref="N25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56" s="255"/>
      <c r="P256" s="248"/>
      <c r="Q256" s="256" t="str" cm="1">
        <f t="array" ref="Q25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56" s="257"/>
      <c r="S256" s="248"/>
      <c r="T256" s="254"/>
      <c r="U256" s="258"/>
      <c r="V256" s="259"/>
      <c r="W256" s="259"/>
      <c r="X256" s="255"/>
      <c r="Y256" s="259"/>
      <c r="Z256" s="259"/>
      <c r="AA256" s="260" t="str" cm="1">
        <f t="array" ref="AA25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56" s="125"/>
      <c r="AD256" s="124"/>
    </row>
    <row r="257" spans="1:30" s="122" customFormat="1">
      <c r="A25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VenezulanosVE2004</v>
      </c>
      <c r="B257" s="105" t="s">
        <v>589</v>
      </c>
      <c r="C257" s="104" t="s">
        <v>590</v>
      </c>
      <c r="D257" s="119" t="s">
        <v>180</v>
      </c>
      <c r="E257" s="104" t="s">
        <v>597</v>
      </c>
      <c r="F257" s="113"/>
      <c r="G257" s="119"/>
      <c r="H257" s="119"/>
      <c r="I257" s="102">
        <v>63020</v>
      </c>
      <c r="J257" s="103" t="s">
        <v>901</v>
      </c>
      <c r="K257" s="150"/>
      <c r="L257" s="150"/>
      <c r="M257" s="150"/>
      <c r="N257" s="254" t="str" cm="1">
        <f t="array" ref="N25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57" s="255"/>
      <c r="P257" s="248"/>
      <c r="Q257" s="256" t="str" cm="1">
        <f t="array" ref="Q25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57" s="257"/>
      <c r="S257" s="248"/>
      <c r="T257" s="254"/>
      <c r="U257" s="258"/>
      <c r="V257" s="259"/>
      <c r="W257" s="259"/>
      <c r="X257" s="255"/>
      <c r="Y257" s="259"/>
      <c r="Z257" s="259"/>
      <c r="AA257" s="260" t="str" cm="1">
        <f t="array" ref="AA25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57" s="125"/>
      <c r="AD257" s="124"/>
    </row>
    <row r="258" spans="1:30" s="122" customFormat="1">
      <c r="A25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VenezulanosVE2005</v>
      </c>
      <c r="B258" s="105" t="s">
        <v>589</v>
      </c>
      <c r="C258" s="104" t="s">
        <v>590</v>
      </c>
      <c r="D258" s="119" t="s">
        <v>598</v>
      </c>
      <c r="E258" s="104" t="s">
        <v>599</v>
      </c>
      <c r="F258" s="113"/>
      <c r="G258" s="119"/>
      <c r="H258" s="119"/>
      <c r="I258" s="102">
        <v>124803</v>
      </c>
      <c r="J258" s="103" t="s">
        <v>901</v>
      </c>
      <c r="K258" s="150"/>
      <c r="L258" s="150"/>
      <c r="M258" s="150"/>
      <c r="N258" s="254" t="str" cm="1">
        <f t="array" ref="N25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58" s="255"/>
      <c r="P258" s="248"/>
      <c r="Q258" s="256" t="str" cm="1">
        <f t="array" ref="Q25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58" s="257"/>
      <c r="S258" s="248"/>
      <c r="T258" s="254"/>
      <c r="U258" s="258"/>
      <c r="V258" s="259"/>
      <c r="W258" s="259"/>
      <c r="X258" s="255"/>
      <c r="Y258" s="259"/>
      <c r="Z258" s="259"/>
      <c r="AA258" s="260" t="str" cm="1">
        <f t="array" ref="AA25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58" s="125"/>
      <c r="AD258" s="124"/>
    </row>
    <row r="259" spans="1:30" s="122" customFormat="1">
      <c r="A25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VenezulanosVE2006</v>
      </c>
      <c r="B259" s="105" t="s">
        <v>589</v>
      </c>
      <c r="C259" s="104" t="s">
        <v>590</v>
      </c>
      <c r="D259" s="119" t="s">
        <v>600</v>
      </c>
      <c r="E259" s="104" t="s">
        <v>601</v>
      </c>
      <c r="F259" s="113"/>
      <c r="G259" s="119"/>
      <c r="H259" s="119"/>
      <c r="I259" s="102">
        <v>33872</v>
      </c>
      <c r="J259" s="103" t="s">
        <v>901</v>
      </c>
      <c r="K259" s="150"/>
      <c r="L259" s="150"/>
      <c r="M259" s="150"/>
      <c r="N259" s="254" t="str" cm="1">
        <f t="array" ref="N25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59" s="255"/>
      <c r="P259" s="248"/>
      <c r="Q259" s="256" t="str" cm="1">
        <f t="array" ref="Q25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59" s="257"/>
      <c r="S259" s="248"/>
      <c r="T259" s="254"/>
      <c r="U259" s="258"/>
      <c r="V259" s="259"/>
      <c r="W259" s="259"/>
      <c r="X259" s="255"/>
      <c r="Y259" s="259"/>
      <c r="Z259" s="259"/>
      <c r="AA259" s="260" t="str" cm="1">
        <f t="array" ref="AA25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59" s="125"/>
      <c r="AD259" s="124"/>
    </row>
    <row r="260" spans="1:30" s="122" customFormat="1">
      <c r="A26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VenezulanosVE2007</v>
      </c>
      <c r="B260" s="105" t="s">
        <v>589</v>
      </c>
      <c r="C260" s="104" t="s">
        <v>590</v>
      </c>
      <c r="D260" s="119" t="s">
        <v>602</v>
      </c>
      <c r="E260" s="104" t="s">
        <v>603</v>
      </c>
      <c r="F260" s="113"/>
      <c r="G260" s="119"/>
      <c r="H260" s="119"/>
      <c r="I260" s="102">
        <v>46923</v>
      </c>
      <c r="J260" s="103" t="s">
        <v>901</v>
      </c>
      <c r="K260" s="150"/>
      <c r="L260" s="150"/>
      <c r="M260" s="150"/>
      <c r="N260" s="254" t="str" cm="1">
        <f t="array" ref="N26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60" s="255"/>
      <c r="P260" s="248"/>
      <c r="Q260" s="256" t="str" cm="1">
        <f t="array" ref="Q26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60" s="257"/>
      <c r="S260" s="248"/>
      <c r="T260" s="254"/>
      <c r="U260" s="258"/>
      <c r="V260" s="259"/>
      <c r="W260" s="259"/>
      <c r="X260" s="255"/>
      <c r="Y260" s="259"/>
      <c r="Z260" s="259"/>
      <c r="AA260" s="260" t="str" cm="1">
        <f t="array" ref="AA26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60" s="125"/>
      <c r="AD260" s="124"/>
    </row>
    <row r="261" spans="1:30" s="122" customFormat="1">
      <c r="A26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VenezulanosVE2008</v>
      </c>
      <c r="B261" s="105" t="s">
        <v>589</v>
      </c>
      <c r="C261" s="104" t="s">
        <v>590</v>
      </c>
      <c r="D261" s="119" t="s">
        <v>806</v>
      </c>
      <c r="E261" s="104" t="s">
        <v>604</v>
      </c>
      <c r="F261" s="113"/>
      <c r="G261" s="119"/>
      <c r="H261" s="119"/>
      <c r="I261" s="102">
        <v>4224</v>
      </c>
      <c r="J261" s="103" t="s">
        <v>901</v>
      </c>
      <c r="K261" s="150"/>
      <c r="L261" s="150"/>
      <c r="M261" s="150"/>
      <c r="N261" s="254" t="str" cm="1">
        <f t="array" ref="N26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61" s="255"/>
      <c r="P261" s="248"/>
      <c r="Q261" s="256" t="str" cm="1">
        <f t="array" ref="Q26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61" s="257"/>
      <c r="S261" s="248"/>
      <c r="T261" s="254"/>
      <c r="U261" s="258"/>
      <c r="V261" s="259"/>
      <c r="W261" s="259"/>
      <c r="X261" s="255"/>
      <c r="Y261" s="259"/>
      <c r="Z261" s="259"/>
      <c r="AA261" s="260" t="str" cm="1">
        <f t="array" ref="AA26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61" s="125"/>
      <c r="AD261" s="124"/>
    </row>
    <row r="262" spans="1:30" s="122" customFormat="1">
      <c r="A26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VenezulanosVE2009</v>
      </c>
      <c r="B262" s="105" t="s">
        <v>589</v>
      </c>
      <c r="C262" s="104" t="s">
        <v>590</v>
      </c>
      <c r="D262" s="119" t="s">
        <v>814</v>
      </c>
      <c r="E262" s="104" t="s">
        <v>606</v>
      </c>
      <c r="F262" s="113"/>
      <c r="G262" s="119"/>
      <c r="H262" s="119"/>
      <c r="I262" s="102">
        <v>49570</v>
      </c>
      <c r="J262" s="103" t="s">
        <v>901</v>
      </c>
      <c r="K262" s="150"/>
      <c r="L262" s="150"/>
      <c r="M262" s="150"/>
      <c r="N262" s="254" t="str" cm="1">
        <f t="array" ref="N26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62" s="255"/>
      <c r="P262" s="248"/>
      <c r="Q262" s="256" t="str" cm="1">
        <f t="array" ref="Q26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62" s="257"/>
      <c r="S262" s="248"/>
      <c r="T262" s="254"/>
      <c r="U262" s="258"/>
      <c r="V262" s="259"/>
      <c r="W262" s="259"/>
      <c r="X262" s="255"/>
      <c r="Y262" s="259"/>
      <c r="Z262" s="259"/>
      <c r="AA262" s="260" t="str" cm="1">
        <f t="array" ref="AA26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62" s="125"/>
      <c r="AD262" s="124"/>
    </row>
    <row r="263" spans="1:30" s="122" customFormat="1">
      <c r="A26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VenezulanosVE2010</v>
      </c>
      <c r="B263" s="105" t="s">
        <v>589</v>
      </c>
      <c r="C263" s="104" t="s">
        <v>590</v>
      </c>
      <c r="D263" s="119" t="s">
        <v>607</v>
      </c>
      <c r="E263" s="104" t="s">
        <v>608</v>
      </c>
      <c r="F263" s="113"/>
      <c r="G263" s="119"/>
      <c r="H263" s="119"/>
      <c r="I263" s="102">
        <v>44214</v>
      </c>
      <c r="J263" s="103" t="s">
        <v>901</v>
      </c>
      <c r="K263" s="150"/>
      <c r="L263" s="150"/>
      <c r="M263" s="150"/>
      <c r="N263" s="254" t="str" cm="1">
        <f t="array" ref="N26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63" s="255"/>
      <c r="P263" s="248"/>
      <c r="Q263" s="256" t="str" cm="1">
        <f t="array" ref="Q26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63" s="257"/>
      <c r="S263" s="248"/>
      <c r="T263" s="254"/>
      <c r="U263" s="258"/>
      <c r="V263" s="259"/>
      <c r="W263" s="259"/>
      <c r="X263" s="255"/>
      <c r="Y263" s="259"/>
      <c r="Z263" s="259"/>
      <c r="AA263" s="260" t="str" cm="1">
        <f t="array" ref="AA26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63" s="125"/>
      <c r="AD263" s="124"/>
    </row>
    <row r="264" spans="1:30" s="122" customFormat="1">
      <c r="A26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VenezulanosVE2011</v>
      </c>
      <c r="B264" s="105" t="s">
        <v>589</v>
      </c>
      <c r="C264" s="104" t="s">
        <v>590</v>
      </c>
      <c r="D264" s="119" t="s">
        <v>133</v>
      </c>
      <c r="E264" s="104" t="s">
        <v>609</v>
      </c>
      <c r="F264" s="113"/>
      <c r="G264" s="119"/>
      <c r="H264" s="119"/>
      <c r="I264" s="102">
        <v>37797</v>
      </c>
      <c r="J264" s="103" t="s">
        <v>901</v>
      </c>
      <c r="K264" s="150"/>
      <c r="L264" s="150"/>
      <c r="M264" s="150"/>
      <c r="N264" s="254" t="str" cm="1">
        <f t="array" ref="N26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64" s="255"/>
      <c r="P264" s="248"/>
      <c r="Q264" s="256" t="str" cm="1">
        <f t="array" ref="Q26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64" s="257"/>
      <c r="S264" s="248"/>
      <c r="T264" s="254"/>
      <c r="U264" s="258"/>
      <c r="V264" s="259"/>
      <c r="W264" s="259"/>
      <c r="X264" s="255"/>
      <c r="Y264" s="259"/>
      <c r="Z264" s="259"/>
      <c r="AA264" s="260" t="str" cm="1">
        <f t="array" ref="AA26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64" s="125"/>
      <c r="AD264" s="124"/>
    </row>
    <row r="265" spans="1:30" s="122" customFormat="1">
      <c r="A26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VenezulanosVE2012</v>
      </c>
      <c r="B265" s="105" t="s">
        <v>589</v>
      </c>
      <c r="C265" s="104" t="s">
        <v>590</v>
      </c>
      <c r="D265" s="119" t="s">
        <v>610</v>
      </c>
      <c r="E265" s="104" t="s">
        <v>611</v>
      </c>
      <c r="F265" s="113"/>
      <c r="G265" s="119"/>
      <c r="H265" s="119"/>
      <c r="I265" s="102">
        <v>41927</v>
      </c>
      <c r="J265" s="103" t="s">
        <v>901</v>
      </c>
      <c r="K265" s="150"/>
      <c r="L265" s="150"/>
      <c r="M265" s="150"/>
      <c r="N265" s="254" t="str" cm="1">
        <f t="array" ref="N26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65" s="255"/>
      <c r="P265" s="248"/>
      <c r="Q265" s="256" t="str" cm="1">
        <f t="array" ref="Q26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65" s="257"/>
      <c r="S265" s="248"/>
      <c r="T265" s="254"/>
      <c r="U265" s="258"/>
      <c r="V265" s="259"/>
      <c r="W265" s="259"/>
      <c r="X265" s="255"/>
      <c r="Y265" s="259"/>
      <c r="Z265" s="259"/>
      <c r="AA265" s="260" t="str" cm="1">
        <f t="array" ref="AA26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65" s="125"/>
      <c r="AD265" s="124"/>
    </row>
    <row r="266" spans="1:30" s="122" customFormat="1">
      <c r="A26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VenezulanosVE2013</v>
      </c>
      <c r="B266" s="105" t="s">
        <v>589</v>
      </c>
      <c r="C266" s="104" t="s">
        <v>590</v>
      </c>
      <c r="D266" s="119" t="s">
        <v>612</v>
      </c>
      <c r="E266" s="104" t="s">
        <v>613</v>
      </c>
      <c r="F266" s="113"/>
      <c r="G266" s="119"/>
      <c r="H266" s="119"/>
      <c r="I266" s="102">
        <v>10097</v>
      </c>
      <c r="J266" s="103" t="s">
        <v>901</v>
      </c>
      <c r="K266" s="150"/>
      <c r="L266" s="150"/>
      <c r="M266" s="150"/>
      <c r="N266" s="254" t="str" cm="1">
        <f t="array" ref="N26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66" s="255"/>
      <c r="P266" s="248"/>
      <c r="Q266" s="256" t="str" cm="1">
        <f t="array" ref="Q26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66" s="257"/>
      <c r="S266" s="248"/>
      <c r="T266" s="254"/>
      <c r="U266" s="258"/>
      <c r="V266" s="259"/>
      <c r="W266" s="259"/>
      <c r="X266" s="255"/>
      <c r="Y266" s="259"/>
      <c r="Z266" s="259"/>
      <c r="AA266" s="260" t="str" cm="1">
        <f t="array" ref="AA26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66" s="125"/>
      <c r="AD266" s="124"/>
    </row>
    <row r="267" spans="1:30" s="122" customFormat="1">
      <c r="A26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VenezulanosVE2014</v>
      </c>
      <c r="B267" s="105" t="s">
        <v>589</v>
      </c>
      <c r="C267" s="104" t="s">
        <v>590</v>
      </c>
      <c r="D267" s="119" t="s">
        <v>614</v>
      </c>
      <c r="E267" s="104" t="s">
        <v>615</v>
      </c>
      <c r="F267" s="113"/>
      <c r="G267" s="119"/>
      <c r="H267" s="119"/>
      <c r="I267" s="102">
        <v>82497</v>
      </c>
      <c r="J267" s="103" t="s">
        <v>901</v>
      </c>
      <c r="K267" s="150"/>
      <c r="L267" s="150"/>
      <c r="M267" s="150"/>
      <c r="N267" s="254" t="str" cm="1">
        <f t="array" ref="N26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67" s="255"/>
      <c r="P267" s="248"/>
      <c r="Q267" s="256" t="str" cm="1">
        <f t="array" ref="Q26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67" s="257"/>
      <c r="S267" s="248"/>
      <c r="T267" s="254"/>
      <c r="U267" s="258"/>
      <c r="V267" s="259"/>
      <c r="W267" s="259"/>
      <c r="X267" s="255"/>
      <c r="Y267" s="259"/>
      <c r="Z267" s="259"/>
      <c r="AA267" s="260" t="str" cm="1">
        <f t="array" ref="AA26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67" s="125"/>
      <c r="AD267" s="124"/>
    </row>
    <row r="268" spans="1:30" s="122" customFormat="1">
      <c r="A26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VenezulanosVE2015</v>
      </c>
      <c r="B268" s="105" t="s">
        <v>589</v>
      </c>
      <c r="C268" s="104" t="s">
        <v>590</v>
      </c>
      <c r="D268" s="119" t="s">
        <v>141</v>
      </c>
      <c r="E268" s="104" t="s">
        <v>616</v>
      </c>
      <c r="F268" s="113"/>
      <c r="G268" s="119"/>
      <c r="H268" s="119"/>
      <c r="I268" s="102">
        <v>28167</v>
      </c>
      <c r="J268" s="103" t="s">
        <v>901</v>
      </c>
      <c r="K268" s="150"/>
      <c r="L268" s="150"/>
      <c r="M268" s="150"/>
      <c r="N268" s="254" t="str" cm="1">
        <f t="array" ref="N26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68" s="255"/>
      <c r="P268" s="248"/>
      <c r="Q268" s="256" t="str" cm="1">
        <f t="array" ref="Q26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68" s="257"/>
      <c r="S268" s="248"/>
      <c r="T268" s="254"/>
      <c r="U268" s="258"/>
      <c r="V268" s="259"/>
      <c r="W268" s="259"/>
      <c r="X268" s="255"/>
      <c r="Y268" s="259"/>
      <c r="Z268" s="259"/>
      <c r="AA268" s="260" t="str" cm="1">
        <f t="array" ref="AA26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68" s="125"/>
      <c r="AD268" s="124"/>
    </row>
    <row r="269" spans="1:30" s="122" customFormat="1">
      <c r="A26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VenezulanosVE2016</v>
      </c>
      <c r="B269" s="105" t="s">
        <v>589</v>
      </c>
      <c r="C269" s="104" t="s">
        <v>590</v>
      </c>
      <c r="D269" s="119" t="s">
        <v>100</v>
      </c>
      <c r="E269" s="104" t="s">
        <v>617</v>
      </c>
      <c r="F269" s="113"/>
      <c r="G269" s="119"/>
      <c r="H269" s="119"/>
      <c r="I269" s="102">
        <v>22976</v>
      </c>
      <c r="J269" s="103" t="s">
        <v>901</v>
      </c>
      <c r="K269" s="150"/>
      <c r="L269" s="150"/>
      <c r="M269" s="150"/>
      <c r="N269" s="254" t="str" cm="1">
        <f t="array" ref="N26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69" s="255"/>
      <c r="P269" s="248"/>
      <c r="Q269" s="256" t="str" cm="1">
        <f t="array" ref="Q26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69" s="257"/>
      <c r="S269" s="248"/>
      <c r="T269" s="254"/>
      <c r="U269" s="258"/>
      <c r="V269" s="259"/>
      <c r="W269" s="259"/>
      <c r="X269" s="255"/>
      <c r="Y269" s="259"/>
      <c r="Z269" s="259"/>
      <c r="AA269" s="260" t="str" cm="1">
        <f t="array" ref="AA26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69" s="125"/>
      <c r="AD269" s="124"/>
    </row>
    <row r="270" spans="1:30" s="122" customFormat="1">
      <c r="A27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VenezulanosVE2017</v>
      </c>
      <c r="B270" s="105" t="s">
        <v>589</v>
      </c>
      <c r="C270" s="104" t="s">
        <v>590</v>
      </c>
      <c r="D270" s="119" t="s">
        <v>618</v>
      </c>
      <c r="E270" s="104" t="s">
        <v>619</v>
      </c>
      <c r="F270" s="113"/>
      <c r="G270" s="119"/>
      <c r="H270" s="119"/>
      <c r="I270" s="102">
        <v>13862</v>
      </c>
      <c r="J270" s="103" t="s">
        <v>901</v>
      </c>
      <c r="K270" s="150"/>
      <c r="L270" s="150"/>
      <c r="M270" s="150"/>
      <c r="N270" s="254" t="str" cm="1">
        <f t="array" ref="N27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70" s="255"/>
      <c r="P270" s="248"/>
      <c r="Q270" s="256" t="str" cm="1">
        <f t="array" ref="Q27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70" s="257"/>
      <c r="S270" s="248"/>
      <c r="T270" s="254"/>
      <c r="U270" s="258"/>
      <c r="V270" s="259"/>
      <c r="W270" s="259"/>
      <c r="X270" s="255"/>
      <c r="Y270" s="259"/>
      <c r="Z270" s="259"/>
      <c r="AA270" s="260" t="str" cm="1">
        <f t="array" ref="AA27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70" s="125"/>
      <c r="AD270" s="124"/>
    </row>
    <row r="271" spans="1:30" s="122" customFormat="1">
      <c r="A27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VenezulanosVE2018</v>
      </c>
      <c r="B271" s="105" t="s">
        <v>589</v>
      </c>
      <c r="C271" s="104" t="s">
        <v>590</v>
      </c>
      <c r="D271" s="119" t="s">
        <v>620</v>
      </c>
      <c r="E271" s="104" t="s">
        <v>621</v>
      </c>
      <c r="F271" s="113"/>
      <c r="G271" s="119"/>
      <c r="H271" s="119"/>
      <c r="I271" s="102">
        <v>19993</v>
      </c>
      <c r="J271" s="103" t="s">
        <v>901</v>
      </c>
      <c r="K271" s="150"/>
      <c r="L271" s="150"/>
      <c r="M271" s="150"/>
      <c r="N271" s="254" t="str" cm="1">
        <f t="array" ref="N27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71" s="255"/>
      <c r="P271" s="248"/>
      <c r="Q271" s="256" t="str" cm="1">
        <f t="array" ref="Q27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71" s="257"/>
      <c r="S271" s="248"/>
      <c r="T271" s="254"/>
      <c r="U271" s="258"/>
      <c r="V271" s="259"/>
      <c r="W271" s="259"/>
      <c r="X271" s="255"/>
      <c r="Y271" s="259"/>
      <c r="Z271" s="259"/>
      <c r="AA271" s="260" t="str" cm="1">
        <f t="array" ref="AA27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71" s="125"/>
      <c r="AD271" s="124"/>
    </row>
    <row r="272" spans="1:30" s="122" customFormat="1">
      <c r="A27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VenezulanosVE2019</v>
      </c>
      <c r="B272" s="105" t="s">
        <v>589</v>
      </c>
      <c r="C272" s="104" t="s">
        <v>590</v>
      </c>
      <c r="D272" s="119" t="s">
        <v>622</v>
      </c>
      <c r="E272" s="104" t="s">
        <v>623</v>
      </c>
      <c r="F272" s="113"/>
      <c r="G272" s="119"/>
      <c r="H272" s="119"/>
      <c r="I272" s="102">
        <v>32901</v>
      </c>
      <c r="J272" s="103" t="s">
        <v>901</v>
      </c>
      <c r="K272" s="150"/>
      <c r="L272" s="150"/>
      <c r="M272" s="150"/>
      <c r="N272" s="254" t="str" cm="1">
        <f t="array" ref="N27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72" s="255"/>
      <c r="P272" s="248"/>
      <c r="Q272" s="256" t="str" cm="1">
        <f t="array" ref="Q27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72" s="257"/>
      <c r="S272" s="248"/>
      <c r="T272" s="254"/>
      <c r="U272" s="258"/>
      <c r="V272" s="259"/>
      <c r="W272" s="259"/>
      <c r="X272" s="255"/>
      <c r="Y272" s="259"/>
      <c r="Z272" s="259"/>
      <c r="AA272" s="260" t="str" cm="1">
        <f t="array" ref="AA27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72" s="125"/>
      <c r="AD272" s="124"/>
    </row>
    <row r="273" spans="1:30" s="122" customFormat="1">
      <c r="A27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VenezulanosVE2020</v>
      </c>
      <c r="B273" s="105" t="s">
        <v>589</v>
      </c>
      <c r="C273" s="104" t="s">
        <v>590</v>
      </c>
      <c r="D273" s="119" t="s">
        <v>624</v>
      </c>
      <c r="E273" s="104" t="s">
        <v>625</v>
      </c>
      <c r="F273" s="113"/>
      <c r="G273" s="119"/>
      <c r="H273" s="119"/>
      <c r="I273" s="102">
        <v>53049</v>
      </c>
      <c r="J273" s="103" t="s">
        <v>901</v>
      </c>
      <c r="K273" s="150"/>
      <c r="L273" s="150"/>
      <c r="M273" s="150"/>
      <c r="N273" s="254" t="str" cm="1">
        <f t="array" ref="N27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73" s="255"/>
      <c r="P273" s="248"/>
      <c r="Q273" s="256" t="str" cm="1">
        <f t="array" ref="Q27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73" s="257"/>
      <c r="S273" s="248"/>
      <c r="T273" s="254"/>
      <c r="U273" s="258"/>
      <c r="V273" s="259"/>
      <c r="W273" s="259"/>
      <c r="X273" s="255"/>
      <c r="Y273" s="259"/>
      <c r="Z273" s="259"/>
      <c r="AA273" s="260" t="str" cm="1">
        <f t="array" ref="AA27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73" s="125"/>
      <c r="AD273" s="124"/>
    </row>
    <row r="274" spans="1:30" s="122" customFormat="1">
      <c r="A27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VenezulanosVE2021</v>
      </c>
      <c r="B274" s="105" t="s">
        <v>589</v>
      </c>
      <c r="C274" s="104" t="s">
        <v>590</v>
      </c>
      <c r="D274" s="119" t="s">
        <v>626</v>
      </c>
      <c r="E274" s="104" t="s">
        <v>627</v>
      </c>
      <c r="F274" s="113"/>
      <c r="G274" s="119"/>
      <c r="H274" s="119"/>
      <c r="I274" s="102">
        <v>6030</v>
      </c>
      <c r="J274" s="103" t="s">
        <v>901</v>
      </c>
      <c r="K274" s="150"/>
      <c r="L274" s="150"/>
      <c r="M274" s="150"/>
      <c r="N274" s="254" t="str" cm="1">
        <f t="array" ref="N27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74" s="255"/>
      <c r="P274" s="248"/>
      <c r="Q274" s="256" t="str" cm="1">
        <f t="array" ref="Q27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74" s="257"/>
      <c r="S274" s="248"/>
      <c r="T274" s="254"/>
      <c r="U274" s="258"/>
      <c r="V274" s="259"/>
      <c r="W274" s="259"/>
      <c r="X274" s="255"/>
      <c r="Y274" s="259"/>
      <c r="Z274" s="259"/>
      <c r="AA274" s="260" t="str" cm="1">
        <f t="array" ref="AA27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74" s="125"/>
      <c r="AD274" s="124"/>
    </row>
    <row r="275" spans="1:30" s="122" customFormat="1">
      <c r="A27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VenezulanosVE2022</v>
      </c>
      <c r="B275" s="105" t="s">
        <v>589</v>
      </c>
      <c r="C275" s="104" t="s">
        <v>590</v>
      </c>
      <c r="D275" s="119" t="s">
        <v>628</v>
      </c>
      <c r="E275" s="104" t="s">
        <v>629</v>
      </c>
      <c r="F275" s="113"/>
      <c r="G275" s="119"/>
      <c r="H275" s="119"/>
      <c r="I275" s="102">
        <v>18316</v>
      </c>
      <c r="J275" s="103" t="s">
        <v>901</v>
      </c>
      <c r="K275" s="150"/>
      <c r="L275" s="150"/>
      <c r="M275" s="150"/>
      <c r="N275" s="254" t="str" cm="1">
        <f t="array" ref="N27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75" s="255"/>
      <c r="P275" s="248"/>
      <c r="Q275" s="256" t="str" cm="1">
        <f t="array" ref="Q27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75" s="257"/>
      <c r="S275" s="248"/>
      <c r="T275" s="254"/>
      <c r="U275" s="258"/>
      <c r="V275" s="259"/>
      <c r="W275" s="259"/>
      <c r="X275" s="255"/>
      <c r="Y275" s="259"/>
      <c r="Z275" s="259"/>
      <c r="AA275" s="260" t="str" cm="1">
        <f t="array" ref="AA27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75" s="125"/>
      <c r="AD275" s="124"/>
    </row>
    <row r="276" spans="1:30" s="122" customFormat="1">
      <c r="A27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VenezulanosVE2023</v>
      </c>
      <c r="B276" s="105" t="s">
        <v>589</v>
      </c>
      <c r="C276" s="104" t="s">
        <v>590</v>
      </c>
      <c r="D276" s="119" t="s">
        <v>630</v>
      </c>
      <c r="E276" s="104" t="s">
        <v>631</v>
      </c>
      <c r="F276" s="113"/>
      <c r="G276" s="119"/>
      <c r="H276" s="119"/>
      <c r="I276" s="102">
        <v>269720</v>
      </c>
      <c r="J276" s="103" t="s">
        <v>901</v>
      </c>
      <c r="K276" s="150"/>
      <c r="L276" s="150"/>
      <c r="M276" s="150"/>
      <c r="N276" s="254" t="str" cm="1">
        <f t="array" ref="N27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76" s="255"/>
      <c r="P276" s="248"/>
      <c r="Q276" s="256" t="str" cm="1">
        <f t="array" ref="Q27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76" s="257"/>
      <c r="S276" s="248"/>
      <c r="T276" s="254"/>
      <c r="U276" s="258"/>
      <c r="V276" s="259"/>
      <c r="W276" s="259"/>
      <c r="X276" s="255"/>
      <c r="Y276" s="259"/>
      <c r="Z276" s="259"/>
      <c r="AA276" s="260" t="str" cm="1">
        <f t="array" ref="AA27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76" s="125"/>
      <c r="AD276" s="124"/>
    </row>
    <row r="277" spans="1:30" s="122" customFormat="1">
      <c r="A27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VenezulanosVE2024</v>
      </c>
      <c r="B277" s="105" t="s">
        <v>589</v>
      </c>
      <c r="C277" s="104" t="s">
        <v>590</v>
      </c>
      <c r="D277" s="119" t="s">
        <v>632</v>
      </c>
      <c r="E277" s="104" t="s">
        <v>633</v>
      </c>
      <c r="F277" s="113"/>
      <c r="G277" s="119"/>
      <c r="H277" s="119"/>
      <c r="I277" s="102">
        <v>10470</v>
      </c>
      <c r="J277" s="103" t="s">
        <v>901</v>
      </c>
      <c r="K277" s="150"/>
      <c r="L277" s="150"/>
      <c r="M277" s="150"/>
      <c r="N277" s="254" t="str" cm="1">
        <f t="array" ref="N27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77" s="255"/>
      <c r="P277" s="248"/>
      <c r="Q277" s="256" t="str" cm="1">
        <f t="array" ref="Q27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77" s="257"/>
      <c r="S277" s="248"/>
      <c r="T277" s="254"/>
      <c r="U277" s="258"/>
      <c r="V277" s="259"/>
      <c r="W277" s="259"/>
      <c r="X277" s="255"/>
      <c r="Y277" s="259"/>
      <c r="Z277" s="259"/>
      <c r="AA277" s="260" t="str" cm="1">
        <f t="array" ref="AA27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77" s="125"/>
      <c r="AD277" s="124"/>
    </row>
    <row r="278" spans="1:30" s="122" customFormat="1">
      <c r="A27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VenezulanosVE2025</v>
      </c>
      <c r="B278" s="105" t="s">
        <v>589</v>
      </c>
      <c r="C278" s="104" t="s">
        <v>590</v>
      </c>
      <c r="D278" s="119" t="s">
        <v>157</v>
      </c>
      <c r="E278" s="104" t="s">
        <v>634</v>
      </c>
      <c r="F278" s="113"/>
      <c r="G278" s="119"/>
      <c r="H278" s="119"/>
      <c r="I278" s="102">
        <v>2498</v>
      </c>
      <c r="J278" s="103" t="s">
        <v>901</v>
      </c>
      <c r="K278" s="150"/>
      <c r="L278" s="150"/>
      <c r="M278" s="150"/>
      <c r="N278" s="254" t="str" cm="1">
        <f t="array" ref="N27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78" s="255"/>
      <c r="P278" s="248"/>
      <c r="Q278" s="256" t="str" cm="1">
        <f t="array" ref="Q27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78" s="257"/>
      <c r="S278" s="248"/>
      <c r="T278" s="254"/>
      <c r="U278" s="258"/>
      <c r="V278" s="259"/>
      <c r="W278" s="259"/>
      <c r="X278" s="255"/>
      <c r="Y278" s="259"/>
      <c r="Z278" s="259"/>
      <c r="AA278" s="260" t="str" cm="1">
        <f t="array" ref="AA27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78" s="125"/>
      <c r="AD278" s="124"/>
    </row>
    <row r="279" spans="1:30" s="122" customFormat="1">
      <c r="A27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VenezulanosVE2026</v>
      </c>
      <c r="B279" s="105" t="s">
        <v>589</v>
      </c>
      <c r="C279" s="104" t="s">
        <v>590</v>
      </c>
      <c r="D279" s="119" t="s">
        <v>203</v>
      </c>
      <c r="E279" s="104" t="s">
        <v>635</v>
      </c>
      <c r="F279" s="113"/>
      <c r="G279" s="119"/>
      <c r="H279" s="119"/>
      <c r="I279" s="102">
        <v>7480</v>
      </c>
      <c r="J279" s="103" t="s">
        <v>901</v>
      </c>
      <c r="K279" s="150"/>
      <c r="L279" s="150"/>
      <c r="M279" s="150"/>
      <c r="N279" s="254" t="str" cm="1">
        <f t="array" ref="N27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79" s="255"/>
      <c r="P279" s="248"/>
      <c r="Q279" s="256" t="str" cm="1">
        <f t="array" ref="Q27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79" s="257"/>
      <c r="S279" s="248"/>
      <c r="T279" s="254"/>
      <c r="U279" s="258"/>
      <c r="V279" s="259"/>
      <c r="W279" s="259"/>
      <c r="X279" s="255"/>
      <c r="Y279" s="259"/>
      <c r="Z279" s="259"/>
      <c r="AA279" s="260" t="str" cm="1">
        <f t="array" ref="AA27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79" s="125"/>
      <c r="AD279" s="124"/>
    </row>
    <row r="280" spans="1:30" s="122" customFormat="1">
      <c r="A28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VenezulanosVE2027</v>
      </c>
      <c r="B280" s="105" t="s">
        <v>589</v>
      </c>
      <c r="C280" s="104" t="s">
        <v>590</v>
      </c>
      <c r="D280" s="119" t="s">
        <v>636</v>
      </c>
      <c r="E280" s="104" t="s">
        <v>637</v>
      </c>
      <c r="F280" s="113"/>
      <c r="G280" s="119"/>
      <c r="H280" s="119"/>
      <c r="I280" s="102">
        <v>50693</v>
      </c>
      <c r="J280" s="103" t="s">
        <v>901</v>
      </c>
      <c r="K280" s="150"/>
      <c r="L280" s="150"/>
      <c r="M280" s="150"/>
      <c r="N280" s="254" t="str" cm="1">
        <f t="array" ref="N28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80" s="255"/>
      <c r="P280" s="248"/>
      <c r="Q280" s="256" t="str" cm="1">
        <f t="array" ref="Q28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80" s="257"/>
      <c r="S280" s="248"/>
      <c r="T280" s="254"/>
      <c r="U280" s="258"/>
      <c r="V280" s="259"/>
      <c r="W280" s="259"/>
      <c r="X280" s="255"/>
      <c r="Y280" s="259"/>
      <c r="Z280" s="259"/>
      <c r="AA280" s="260" t="str" cm="1">
        <f t="array" ref="AA28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80" s="125"/>
      <c r="AD280" s="124"/>
    </row>
    <row r="281" spans="1:30" s="122" customFormat="1">
      <c r="A28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VenezulanosVE2028</v>
      </c>
      <c r="B281" s="105" t="s">
        <v>589</v>
      </c>
      <c r="C281" s="104" t="s">
        <v>590</v>
      </c>
      <c r="D281" s="119" t="s">
        <v>638</v>
      </c>
      <c r="E281" s="104" t="s">
        <v>639</v>
      </c>
      <c r="F281" s="113"/>
      <c r="G281" s="119"/>
      <c r="H281" s="119"/>
      <c r="I281" s="102">
        <v>20562</v>
      </c>
      <c r="J281" s="103" t="s">
        <v>901</v>
      </c>
      <c r="K281" s="150"/>
      <c r="L281" s="150"/>
      <c r="M281" s="150"/>
      <c r="N281" s="254" t="str" cm="1">
        <f t="array" ref="N28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81" s="255"/>
      <c r="P281" s="248"/>
      <c r="Q281" s="256" t="str" cm="1">
        <f t="array" ref="Q28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81" s="257"/>
      <c r="S281" s="248"/>
      <c r="T281" s="254"/>
      <c r="U281" s="258"/>
      <c r="V281" s="259"/>
      <c r="W281" s="259"/>
      <c r="X281" s="255"/>
      <c r="Y281" s="259"/>
      <c r="Z281" s="259"/>
      <c r="AA281" s="260" t="str" cm="1">
        <f t="array" ref="AA28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81" s="125"/>
      <c r="AD281" s="124"/>
    </row>
    <row r="282" spans="1:30" s="122" customFormat="1">
      <c r="A28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VenezulanosVE2029</v>
      </c>
      <c r="B282" s="105" t="s">
        <v>589</v>
      </c>
      <c r="C282" s="104" t="s">
        <v>590</v>
      </c>
      <c r="D282" s="119" t="s">
        <v>640</v>
      </c>
      <c r="E282" s="104" t="s">
        <v>641</v>
      </c>
      <c r="F282" s="113"/>
      <c r="G282" s="119"/>
      <c r="H282" s="119"/>
      <c r="I282" s="102">
        <v>7826</v>
      </c>
      <c r="J282" s="103" t="s">
        <v>901</v>
      </c>
      <c r="K282" s="150"/>
      <c r="L282" s="150"/>
      <c r="M282" s="150"/>
      <c r="N282" s="254" t="str" cm="1">
        <f t="array" ref="N28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82" s="255"/>
      <c r="P282" s="248"/>
      <c r="Q282" s="256" t="str" cm="1">
        <f t="array" ref="Q28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82" s="257"/>
      <c r="S282" s="248"/>
      <c r="T282" s="254"/>
      <c r="U282" s="258"/>
      <c r="V282" s="259"/>
      <c r="W282" s="259"/>
      <c r="X282" s="255"/>
      <c r="Y282" s="259"/>
      <c r="Z282" s="259"/>
      <c r="AA282" s="260" t="str" cm="1">
        <f t="array" ref="AA28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82" s="125"/>
      <c r="AD282" s="124"/>
    </row>
    <row r="283" spans="1:30" s="122" customFormat="1">
      <c r="A28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VenezulanosVE2101</v>
      </c>
      <c r="B283" s="105" t="s">
        <v>642</v>
      </c>
      <c r="C283" s="104" t="s">
        <v>643</v>
      </c>
      <c r="D283" s="119" t="s">
        <v>415</v>
      </c>
      <c r="E283" s="104" t="s">
        <v>644</v>
      </c>
      <c r="F283" s="113"/>
      <c r="G283" s="119"/>
      <c r="H283" s="119"/>
      <c r="I283" s="102">
        <v>15030</v>
      </c>
      <c r="J283" s="103" t="s">
        <v>901</v>
      </c>
      <c r="K283" s="150"/>
      <c r="L283" s="150"/>
      <c r="M283" s="150"/>
      <c r="N283" s="254" t="str" cm="1">
        <f t="array" ref="N28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83" s="255"/>
      <c r="P283" s="248"/>
      <c r="Q283" s="256" t="str" cm="1">
        <f t="array" ref="Q28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83" s="257"/>
      <c r="S283" s="248"/>
      <c r="T283" s="254"/>
      <c r="U283" s="258"/>
      <c r="V283" s="259"/>
      <c r="W283" s="259"/>
      <c r="X283" s="255"/>
      <c r="Y283" s="259"/>
      <c r="Z283" s="259"/>
      <c r="AA283" s="260" t="str" cm="1">
        <f t="array" ref="AA28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83" s="125"/>
      <c r="AD283" s="124"/>
    </row>
    <row r="284" spans="1:30" s="122" customFormat="1">
      <c r="A28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VenezulanosVE2102</v>
      </c>
      <c r="B284" s="105" t="s">
        <v>642</v>
      </c>
      <c r="C284" s="104" t="s">
        <v>643</v>
      </c>
      <c r="D284" s="119" t="s">
        <v>645</v>
      </c>
      <c r="E284" s="104" t="s">
        <v>646</v>
      </c>
      <c r="F284" s="113"/>
      <c r="G284" s="119"/>
      <c r="H284" s="119"/>
      <c r="I284" s="102">
        <v>85054</v>
      </c>
      <c r="J284" s="103" t="s">
        <v>901</v>
      </c>
      <c r="K284" s="150"/>
      <c r="L284" s="150"/>
      <c r="M284" s="150"/>
      <c r="N284" s="254" t="str" cm="1">
        <f t="array" ref="N28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84" s="255"/>
      <c r="P284" s="248"/>
      <c r="Q284" s="256" t="str" cm="1">
        <f t="array" ref="Q28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84" s="257"/>
      <c r="S284" s="248"/>
      <c r="T284" s="254"/>
      <c r="U284" s="258"/>
      <c r="V284" s="259"/>
      <c r="W284" s="259"/>
      <c r="X284" s="255"/>
      <c r="Y284" s="259"/>
      <c r="Z284" s="259"/>
      <c r="AA284" s="260" t="str" cm="1">
        <f t="array" ref="AA28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84" s="125"/>
      <c r="AD284" s="124"/>
    </row>
    <row r="285" spans="1:30" s="122" customFormat="1">
      <c r="A28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VenezulanosVE2103</v>
      </c>
      <c r="B285" s="105" t="s">
        <v>642</v>
      </c>
      <c r="C285" s="104" t="s">
        <v>643</v>
      </c>
      <c r="D285" s="119" t="s">
        <v>180</v>
      </c>
      <c r="E285" s="104" t="s">
        <v>647</v>
      </c>
      <c r="F285" s="113"/>
      <c r="G285" s="119"/>
      <c r="H285" s="119"/>
      <c r="I285" s="102">
        <v>15635</v>
      </c>
      <c r="J285" s="103" t="s">
        <v>901</v>
      </c>
      <c r="K285" s="150"/>
      <c r="L285" s="150"/>
      <c r="M285" s="150"/>
      <c r="N285" s="254" t="str" cm="1">
        <f t="array" ref="N28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85" s="255"/>
      <c r="P285" s="248"/>
      <c r="Q285" s="256" t="str" cm="1">
        <f t="array" ref="Q28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85" s="257"/>
      <c r="S285" s="248"/>
      <c r="T285" s="254"/>
      <c r="U285" s="258"/>
      <c r="V285" s="259"/>
      <c r="W285" s="259"/>
      <c r="X285" s="255"/>
      <c r="Y285" s="259"/>
      <c r="Z285" s="259"/>
      <c r="AA285" s="260" t="str" cm="1">
        <f t="array" ref="AA28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85" s="125"/>
      <c r="AD285" s="124"/>
    </row>
    <row r="286" spans="1:30" s="122" customFormat="1">
      <c r="A28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VenezulanosVE2104</v>
      </c>
      <c r="B286" s="105" t="s">
        <v>642</v>
      </c>
      <c r="C286" s="104" t="s">
        <v>643</v>
      </c>
      <c r="D286" s="119" t="s">
        <v>648</v>
      </c>
      <c r="E286" s="104" t="s">
        <v>649</v>
      </c>
      <c r="F286" s="113"/>
      <c r="G286" s="119"/>
      <c r="H286" s="119"/>
      <c r="I286" s="102">
        <v>28441</v>
      </c>
      <c r="J286" s="103" t="s">
        <v>901</v>
      </c>
      <c r="K286" s="150"/>
      <c r="L286" s="150"/>
      <c r="M286" s="150"/>
      <c r="N286" s="254" t="str" cm="1">
        <f t="array" ref="N28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86" s="255"/>
      <c r="P286" s="248"/>
      <c r="Q286" s="256" t="str" cm="1">
        <f t="array" ref="Q28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86" s="257"/>
      <c r="S286" s="248"/>
      <c r="T286" s="254"/>
      <c r="U286" s="258"/>
      <c r="V286" s="259"/>
      <c r="W286" s="259"/>
      <c r="X286" s="255"/>
      <c r="Y286" s="259"/>
      <c r="Z286" s="259"/>
      <c r="AA286" s="260" t="str" cm="1">
        <f t="array" ref="AA28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86" s="125"/>
      <c r="AD286" s="124"/>
    </row>
    <row r="287" spans="1:30" s="122" customFormat="1">
      <c r="A28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VenezulanosVE2105</v>
      </c>
      <c r="B287" s="105" t="s">
        <v>642</v>
      </c>
      <c r="C287" s="104" t="s">
        <v>643</v>
      </c>
      <c r="D287" s="119" t="s">
        <v>650</v>
      </c>
      <c r="E287" s="104" t="s">
        <v>651</v>
      </c>
      <c r="F287" s="113"/>
      <c r="G287" s="119"/>
      <c r="H287" s="119"/>
      <c r="I287" s="102">
        <v>27976</v>
      </c>
      <c r="J287" s="103" t="s">
        <v>901</v>
      </c>
      <c r="K287" s="150"/>
      <c r="L287" s="150"/>
      <c r="M287" s="150"/>
      <c r="N287" s="254" t="str" cm="1">
        <f t="array" ref="N28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87" s="255"/>
      <c r="P287" s="248"/>
      <c r="Q287" s="256" t="str" cm="1">
        <f t="array" ref="Q28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87" s="257"/>
      <c r="S287" s="248"/>
      <c r="T287" s="254"/>
      <c r="U287" s="258"/>
      <c r="V287" s="259"/>
      <c r="W287" s="259"/>
      <c r="X287" s="255"/>
      <c r="Y287" s="259"/>
      <c r="Z287" s="259"/>
      <c r="AA287" s="260" t="str" cm="1">
        <f t="array" ref="AA28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87" s="125"/>
      <c r="AD287" s="124"/>
    </row>
    <row r="288" spans="1:30" s="122" customFormat="1">
      <c r="A28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VenezulanosVE2106</v>
      </c>
      <c r="B288" s="105" t="s">
        <v>642</v>
      </c>
      <c r="C288" s="104" t="s">
        <v>643</v>
      </c>
      <c r="D288" s="119" t="s">
        <v>652</v>
      </c>
      <c r="E288" s="104" t="s">
        <v>653</v>
      </c>
      <c r="F288" s="113"/>
      <c r="G288" s="119"/>
      <c r="H288" s="119"/>
      <c r="I288" s="102">
        <v>27739</v>
      </c>
      <c r="J288" s="103" t="s">
        <v>901</v>
      </c>
      <c r="K288" s="150"/>
      <c r="L288" s="150"/>
      <c r="M288" s="150"/>
      <c r="N288" s="254" t="str" cm="1">
        <f t="array" ref="N28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88" s="255"/>
      <c r="P288" s="248"/>
      <c r="Q288" s="256" t="str" cm="1">
        <f t="array" ref="Q28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88" s="257"/>
      <c r="S288" s="248"/>
      <c r="T288" s="254"/>
      <c r="U288" s="258"/>
      <c r="V288" s="259"/>
      <c r="W288" s="259"/>
      <c r="X288" s="255"/>
      <c r="Y288" s="259"/>
      <c r="Z288" s="259"/>
      <c r="AA288" s="260" t="str" cm="1">
        <f t="array" ref="AA28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88" s="125"/>
      <c r="AD288" s="124"/>
    </row>
    <row r="289" spans="1:30" s="122" customFormat="1">
      <c r="A28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VenezulanosVE2107</v>
      </c>
      <c r="B289" s="105" t="s">
        <v>642</v>
      </c>
      <c r="C289" s="104" t="s">
        <v>643</v>
      </c>
      <c r="D289" s="119" t="s">
        <v>654</v>
      </c>
      <c r="E289" s="104" t="s">
        <v>655</v>
      </c>
      <c r="F289" s="113"/>
      <c r="G289" s="119"/>
      <c r="H289" s="119"/>
      <c r="I289" s="102">
        <v>4656</v>
      </c>
      <c r="J289" s="103" t="s">
        <v>901</v>
      </c>
      <c r="K289" s="150"/>
      <c r="L289" s="150"/>
      <c r="M289" s="150"/>
      <c r="N289" s="254" t="str" cm="1">
        <f t="array" ref="N28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89" s="255"/>
      <c r="P289" s="248"/>
      <c r="Q289" s="256" t="str" cm="1">
        <f t="array" ref="Q28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89" s="257"/>
      <c r="S289" s="248"/>
      <c r="T289" s="254"/>
      <c r="U289" s="258"/>
      <c r="V289" s="259"/>
      <c r="W289" s="259"/>
      <c r="X289" s="255"/>
      <c r="Y289" s="259"/>
      <c r="Z289" s="259"/>
      <c r="AA289" s="260" t="str" cm="1">
        <f t="array" ref="AA28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89" s="125"/>
      <c r="AD289" s="124"/>
    </row>
    <row r="290" spans="1:30" s="122" customFormat="1">
      <c r="A29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VenezulanosVE2108</v>
      </c>
      <c r="B290" s="105" t="s">
        <v>642</v>
      </c>
      <c r="C290" s="104" t="s">
        <v>643</v>
      </c>
      <c r="D290" s="119" t="s">
        <v>656</v>
      </c>
      <c r="E290" s="104" t="s">
        <v>657</v>
      </c>
      <c r="F290" s="113"/>
      <c r="G290" s="119"/>
      <c r="H290" s="119"/>
      <c r="I290" s="102">
        <v>5449</v>
      </c>
      <c r="J290" s="103" t="s">
        <v>901</v>
      </c>
      <c r="K290" s="150"/>
      <c r="L290" s="150"/>
      <c r="M290" s="150"/>
      <c r="N290" s="254" t="str" cm="1">
        <f t="array" ref="N29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90" s="255"/>
      <c r="P290" s="248"/>
      <c r="Q290" s="256" t="str" cm="1">
        <f t="array" ref="Q29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90" s="257"/>
      <c r="S290" s="248"/>
      <c r="T290" s="254"/>
      <c r="U290" s="258"/>
      <c r="V290" s="259"/>
      <c r="W290" s="259"/>
      <c r="X290" s="255"/>
      <c r="Y290" s="259"/>
      <c r="Z290" s="259"/>
      <c r="AA290" s="260" t="str" cm="1">
        <f t="array" ref="AA29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90" s="125"/>
      <c r="AD290" s="124"/>
    </row>
    <row r="291" spans="1:30" s="122" customFormat="1">
      <c r="A29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VenezulanosVE2109</v>
      </c>
      <c r="B291" s="105" t="s">
        <v>642</v>
      </c>
      <c r="C291" s="104" t="s">
        <v>643</v>
      </c>
      <c r="D291" s="119" t="s">
        <v>658</v>
      </c>
      <c r="E291" s="104" t="s">
        <v>659</v>
      </c>
      <c r="F291" s="113"/>
      <c r="G291" s="119"/>
      <c r="H291" s="119"/>
      <c r="I291" s="102">
        <v>19460</v>
      </c>
      <c r="J291" s="103" t="s">
        <v>901</v>
      </c>
      <c r="K291" s="150"/>
      <c r="L291" s="150"/>
      <c r="M291" s="150"/>
      <c r="N291" s="254" t="str" cm="1">
        <f t="array" ref="N29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91" s="255"/>
      <c r="P291" s="248"/>
      <c r="Q291" s="256" t="str" cm="1">
        <f t="array" ref="Q29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91" s="257"/>
      <c r="S291" s="248"/>
      <c r="T291" s="254"/>
      <c r="U291" s="258"/>
      <c r="V291" s="259"/>
      <c r="W291" s="259"/>
      <c r="X291" s="255"/>
      <c r="Y291" s="259"/>
      <c r="Z291" s="259"/>
      <c r="AA291" s="260" t="str" cm="1">
        <f t="array" ref="AA29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91" s="125"/>
      <c r="AD291" s="124"/>
    </row>
    <row r="292" spans="1:30" s="122" customFormat="1">
      <c r="A29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VenezulanosVE2110</v>
      </c>
      <c r="B292" s="105" t="s">
        <v>642</v>
      </c>
      <c r="C292" s="104" t="s">
        <v>643</v>
      </c>
      <c r="D292" s="119" t="s">
        <v>276</v>
      </c>
      <c r="E292" s="104" t="s">
        <v>660</v>
      </c>
      <c r="F292" s="113"/>
      <c r="G292" s="119"/>
      <c r="H292" s="119"/>
      <c r="I292" s="102">
        <v>21776</v>
      </c>
      <c r="J292" s="103" t="s">
        <v>901</v>
      </c>
      <c r="K292" s="150"/>
      <c r="L292" s="150"/>
      <c r="M292" s="150"/>
      <c r="N292" s="254" t="str" cm="1">
        <f t="array" ref="N29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92" s="255"/>
      <c r="P292" s="248"/>
      <c r="Q292" s="256" t="str" cm="1">
        <f t="array" ref="Q29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92" s="257"/>
      <c r="S292" s="248"/>
      <c r="T292" s="254"/>
      <c r="U292" s="258"/>
      <c r="V292" s="259"/>
      <c r="W292" s="259"/>
      <c r="X292" s="255"/>
      <c r="Y292" s="259"/>
      <c r="Z292" s="259"/>
      <c r="AA292" s="260" t="str" cm="1">
        <f t="array" ref="AA29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92" s="125"/>
      <c r="AD292" s="124"/>
    </row>
    <row r="293" spans="1:30" s="122" customFormat="1">
      <c r="A29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VenezulanosVE2111</v>
      </c>
      <c r="B293" s="105" t="s">
        <v>642</v>
      </c>
      <c r="C293" s="104" t="s">
        <v>643</v>
      </c>
      <c r="D293" s="119" t="s">
        <v>661</v>
      </c>
      <c r="E293" s="104" t="s">
        <v>662</v>
      </c>
      <c r="F293" s="113"/>
      <c r="G293" s="119"/>
      <c r="H293" s="119"/>
      <c r="I293" s="102">
        <v>12891</v>
      </c>
      <c r="J293" s="103" t="s">
        <v>901</v>
      </c>
      <c r="K293" s="150"/>
      <c r="L293" s="150"/>
      <c r="M293" s="150"/>
      <c r="N293" s="254" t="str" cm="1">
        <f t="array" ref="N29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93" s="255"/>
      <c r="P293" s="248"/>
      <c r="Q293" s="256" t="str" cm="1">
        <f t="array" ref="Q29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93" s="257"/>
      <c r="S293" s="248"/>
      <c r="T293" s="254"/>
      <c r="U293" s="258"/>
      <c r="V293" s="259"/>
      <c r="W293" s="259"/>
      <c r="X293" s="255"/>
      <c r="Y293" s="259"/>
      <c r="Z293" s="259"/>
      <c r="AA293" s="260" t="str" cm="1">
        <f t="array" ref="AA29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93" s="125"/>
      <c r="AD293" s="124"/>
    </row>
    <row r="294" spans="1:30" s="122" customFormat="1">
      <c r="A29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VenezulanosVE2112</v>
      </c>
      <c r="B294" s="105" t="s">
        <v>642</v>
      </c>
      <c r="C294" s="104" t="s">
        <v>643</v>
      </c>
      <c r="D294" s="119" t="s">
        <v>663</v>
      </c>
      <c r="E294" s="104" t="s">
        <v>664</v>
      </c>
      <c r="F294" s="113"/>
      <c r="G294" s="119"/>
      <c r="H294" s="119"/>
      <c r="I294" s="102">
        <v>20218</v>
      </c>
      <c r="J294" s="103" t="s">
        <v>901</v>
      </c>
      <c r="K294" s="150"/>
      <c r="L294" s="150"/>
      <c r="M294" s="150"/>
      <c r="N294" s="254" t="str" cm="1">
        <f t="array" ref="N29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94" s="255"/>
      <c r="P294" s="248"/>
      <c r="Q294" s="256" t="str" cm="1">
        <f t="array" ref="Q29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94" s="257"/>
      <c r="S294" s="248"/>
      <c r="T294" s="254"/>
      <c r="U294" s="258"/>
      <c r="V294" s="259"/>
      <c r="W294" s="259"/>
      <c r="X294" s="255"/>
      <c r="Y294" s="259"/>
      <c r="Z294" s="259"/>
      <c r="AA294" s="260" t="str" cm="1">
        <f t="array" ref="AA29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94" s="125"/>
      <c r="AD294" s="124"/>
    </row>
    <row r="295" spans="1:30" s="122" customFormat="1">
      <c r="A29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VenezulanosVE2113</v>
      </c>
      <c r="B295" s="105" t="s">
        <v>642</v>
      </c>
      <c r="C295" s="104" t="s">
        <v>643</v>
      </c>
      <c r="D295" s="119" t="s">
        <v>665</v>
      </c>
      <c r="E295" s="104" t="s">
        <v>666</v>
      </c>
      <c r="F295" s="113"/>
      <c r="G295" s="119"/>
      <c r="H295" s="119"/>
      <c r="I295" s="102">
        <v>48623</v>
      </c>
      <c r="J295" s="103" t="s">
        <v>901</v>
      </c>
      <c r="K295" s="150"/>
      <c r="L295" s="150"/>
      <c r="M295" s="150"/>
      <c r="N295" s="254" t="str" cm="1">
        <f t="array" ref="N29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95" s="255"/>
      <c r="P295" s="248"/>
      <c r="Q295" s="256" t="str" cm="1">
        <f t="array" ref="Q29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95" s="257"/>
      <c r="S295" s="248"/>
      <c r="T295" s="254"/>
      <c r="U295" s="258"/>
      <c r="V295" s="259"/>
      <c r="W295" s="259"/>
      <c r="X295" s="255"/>
      <c r="Y295" s="259"/>
      <c r="Z295" s="259"/>
      <c r="AA295" s="260" t="str" cm="1">
        <f t="array" ref="AA29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95" s="125"/>
      <c r="AD295" s="124"/>
    </row>
    <row r="296" spans="1:30" s="122" customFormat="1">
      <c r="A29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VenezulanosVE2114</v>
      </c>
      <c r="B296" s="105" t="s">
        <v>642</v>
      </c>
      <c r="C296" s="104" t="s">
        <v>643</v>
      </c>
      <c r="D296" s="119" t="s">
        <v>667</v>
      </c>
      <c r="E296" s="104" t="s">
        <v>668</v>
      </c>
      <c r="F296" s="113"/>
      <c r="G296" s="119"/>
      <c r="H296" s="119"/>
      <c r="I296" s="102">
        <v>29160</v>
      </c>
      <c r="J296" s="103" t="s">
        <v>901</v>
      </c>
      <c r="K296" s="150"/>
      <c r="L296" s="150"/>
      <c r="M296" s="150"/>
      <c r="N296" s="254" t="str" cm="1">
        <f t="array" ref="N29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96" s="255"/>
      <c r="P296" s="248"/>
      <c r="Q296" s="256" t="str" cm="1">
        <f t="array" ref="Q29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96" s="257"/>
      <c r="S296" s="248"/>
      <c r="T296" s="254"/>
      <c r="U296" s="258"/>
      <c r="V296" s="259"/>
      <c r="W296" s="259"/>
      <c r="X296" s="255"/>
      <c r="Y296" s="259"/>
      <c r="Z296" s="259"/>
      <c r="AA296" s="260" t="str" cm="1">
        <f t="array" ref="AA29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96" s="125"/>
      <c r="AD296" s="124"/>
    </row>
    <row r="297" spans="1:30" s="122" customFormat="1">
      <c r="A29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VenezulanosVE2115</v>
      </c>
      <c r="B297" s="105" t="s">
        <v>642</v>
      </c>
      <c r="C297" s="104" t="s">
        <v>643</v>
      </c>
      <c r="D297" s="119" t="s">
        <v>669</v>
      </c>
      <c r="E297" s="104" t="s">
        <v>670</v>
      </c>
      <c r="F297" s="113"/>
      <c r="G297" s="119"/>
      <c r="H297" s="119"/>
      <c r="I297" s="102">
        <v>22649</v>
      </c>
      <c r="J297" s="103" t="s">
        <v>901</v>
      </c>
      <c r="K297" s="150"/>
      <c r="L297" s="150"/>
      <c r="M297" s="150"/>
      <c r="N297" s="254" t="str" cm="1">
        <f t="array" ref="N29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97" s="255"/>
      <c r="P297" s="248"/>
      <c r="Q297" s="256" t="str" cm="1">
        <f t="array" ref="Q29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97" s="257"/>
      <c r="S297" s="248"/>
      <c r="T297" s="254"/>
      <c r="U297" s="258"/>
      <c r="V297" s="259"/>
      <c r="W297" s="259"/>
      <c r="X297" s="255"/>
      <c r="Y297" s="259"/>
      <c r="Z297" s="259"/>
      <c r="AA297" s="260" t="str" cm="1">
        <f t="array" ref="AA29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97" s="125"/>
      <c r="AD297" s="124"/>
    </row>
    <row r="298" spans="1:30" s="122" customFormat="1">
      <c r="A29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VenezulanosVE2116</v>
      </c>
      <c r="B298" s="105" t="s">
        <v>642</v>
      </c>
      <c r="C298" s="104" t="s">
        <v>643</v>
      </c>
      <c r="D298" s="119" t="s">
        <v>836</v>
      </c>
      <c r="E298" s="104" t="s">
        <v>672</v>
      </c>
      <c r="F298" s="113"/>
      <c r="G298" s="119"/>
      <c r="H298" s="119"/>
      <c r="I298" s="102">
        <v>56658</v>
      </c>
      <c r="J298" s="103" t="s">
        <v>901</v>
      </c>
      <c r="K298" s="150"/>
      <c r="L298" s="150"/>
      <c r="M298" s="150"/>
      <c r="N298" s="254" t="str" cm="1">
        <f t="array" ref="N29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98" s="255"/>
      <c r="P298" s="248"/>
      <c r="Q298" s="256" t="str" cm="1">
        <f t="array" ref="Q29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98" s="257"/>
      <c r="S298" s="248"/>
      <c r="T298" s="254"/>
      <c r="U298" s="258"/>
      <c r="V298" s="259"/>
      <c r="W298" s="259"/>
      <c r="X298" s="255"/>
      <c r="Y298" s="259"/>
      <c r="Z298" s="259"/>
      <c r="AA298" s="260" t="str" cm="1">
        <f t="array" ref="AA29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98" s="125"/>
      <c r="AD298" s="124"/>
    </row>
    <row r="299" spans="1:30" s="122" customFormat="1">
      <c r="A29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VenezulanosVE2117</v>
      </c>
      <c r="B299" s="105" t="s">
        <v>642</v>
      </c>
      <c r="C299" s="104" t="s">
        <v>643</v>
      </c>
      <c r="D299" s="119" t="s">
        <v>203</v>
      </c>
      <c r="E299" s="104" t="s">
        <v>673</v>
      </c>
      <c r="F299" s="113"/>
      <c r="G299" s="119"/>
      <c r="H299" s="119"/>
      <c r="I299" s="102">
        <v>31412</v>
      </c>
      <c r="J299" s="103" t="s">
        <v>901</v>
      </c>
      <c r="K299" s="150"/>
      <c r="L299" s="150"/>
      <c r="M299" s="150"/>
      <c r="N299" s="254" t="str" cm="1">
        <f t="array" ref="N29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299" s="255"/>
      <c r="P299" s="248"/>
      <c r="Q299" s="256" t="str" cm="1">
        <f t="array" ref="Q29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299" s="257"/>
      <c r="S299" s="248"/>
      <c r="T299" s="254"/>
      <c r="U299" s="258"/>
      <c r="V299" s="259"/>
      <c r="W299" s="259"/>
      <c r="X299" s="255"/>
      <c r="Y299" s="259"/>
      <c r="Z299" s="259"/>
      <c r="AA299" s="260" t="str" cm="1">
        <f t="array" ref="AA29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299" s="125"/>
      <c r="AD299" s="124"/>
    </row>
    <row r="300" spans="1:30" s="122" customFormat="1">
      <c r="A30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VenezulanosVE2118</v>
      </c>
      <c r="B300" s="105" t="s">
        <v>642</v>
      </c>
      <c r="C300" s="104" t="s">
        <v>643</v>
      </c>
      <c r="D300" s="119" t="s">
        <v>642</v>
      </c>
      <c r="E300" s="104" t="s">
        <v>674</v>
      </c>
      <c r="F300" s="113"/>
      <c r="G300" s="119"/>
      <c r="H300" s="119"/>
      <c r="I300" s="102">
        <v>55431</v>
      </c>
      <c r="J300" s="103" t="s">
        <v>901</v>
      </c>
      <c r="K300" s="150"/>
      <c r="L300" s="150"/>
      <c r="M300" s="150"/>
      <c r="N300" s="254" t="str" cm="1">
        <f t="array" ref="N30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00" s="255"/>
      <c r="P300" s="248"/>
      <c r="Q300" s="256" t="str" cm="1">
        <f t="array" ref="Q30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00" s="257"/>
      <c r="S300" s="248"/>
      <c r="T300" s="254"/>
      <c r="U300" s="258"/>
      <c r="V300" s="259"/>
      <c r="W300" s="259"/>
      <c r="X300" s="255"/>
      <c r="Y300" s="259"/>
      <c r="Z300" s="259"/>
      <c r="AA300" s="260" t="str" cm="1">
        <f t="array" ref="AA30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00" s="125"/>
      <c r="AD300" s="124"/>
    </row>
    <row r="301" spans="1:30" s="122" customFormat="1">
      <c r="A30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VenezulanosVE2119</v>
      </c>
      <c r="B301" s="105" t="s">
        <v>642</v>
      </c>
      <c r="C301" s="104" t="s">
        <v>643</v>
      </c>
      <c r="D301" s="119" t="s">
        <v>207</v>
      </c>
      <c r="E301" s="104" t="s">
        <v>675</v>
      </c>
      <c r="F301" s="113"/>
      <c r="G301" s="119"/>
      <c r="H301" s="119"/>
      <c r="I301" s="102">
        <v>34380</v>
      </c>
      <c r="J301" s="103" t="s">
        <v>901</v>
      </c>
      <c r="K301" s="150"/>
      <c r="L301" s="150"/>
      <c r="M301" s="150"/>
      <c r="N301" s="254" t="str" cm="1">
        <f t="array" ref="N30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01" s="255"/>
      <c r="P301" s="248"/>
      <c r="Q301" s="256" t="str" cm="1">
        <f t="array" ref="Q30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01" s="257"/>
      <c r="S301" s="248"/>
      <c r="T301" s="254"/>
      <c r="U301" s="258"/>
      <c r="V301" s="259"/>
      <c r="W301" s="259"/>
      <c r="X301" s="255"/>
      <c r="Y301" s="259"/>
      <c r="Z301" s="259"/>
      <c r="AA301" s="260" t="str" cm="1">
        <f t="array" ref="AA30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01" s="125"/>
      <c r="AD301" s="124"/>
    </row>
    <row r="302" spans="1:30" s="122" customFormat="1">
      <c r="A30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VenezulanosVE2120</v>
      </c>
      <c r="B302" s="105" t="s">
        <v>642</v>
      </c>
      <c r="C302" s="104" t="s">
        <v>643</v>
      </c>
      <c r="D302" s="119" t="s">
        <v>676</v>
      </c>
      <c r="E302" s="104" t="s">
        <v>677</v>
      </c>
      <c r="F302" s="113"/>
      <c r="G302" s="119"/>
      <c r="H302" s="119"/>
      <c r="I302" s="102">
        <v>139204</v>
      </c>
      <c r="J302" s="103" t="s">
        <v>901</v>
      </c>
      <c r="K302" s="150"/>
      <c r="L302" s="150"/>
      <c r="M302" s="150"/>
      <c r="N302" s="254" t="str" cm="1">
        <f t="array" ref="N30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02" s="255"/>
      <c r="P302" s="248"/>
      <c r="Q302" s="256" t="str" cm="1">
        <f t="array" ref="Q30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02" s="257"/>
      <c r="S302" s="248"/>
      <c r="T302" s="254"/>
      <c r="U302" s="258"/>
      <c r="V302" s="259"/>
      <c r="W302" s="259"/>
      <c r="X302" s="255"/>
      <c r="Y302" s="259"/>
      <c r="Z302" s="259"/>
      <c r="AA302" s="260" t="str" cm="1">
        <f t="array" ref="AA30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02" s="125"/>
      <c r="AD302" s="124"/>
    </row>
    <row r="303" spans="1:30" s="122" customFormat="1">
      <c r="A30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VenezulanosVE2201</v>
      </c>
      <c r="B303" s="105" t="s">
        <v>678</v>
      </c>
      <c r="C303" s="104" t="s">
        <v>679</v>
      </c>
      <c r="D303" s="119" t="s">
        <v>680</v>
      </c>
      <c r="E303" s="104" t="s">
        <v>681</v>
      </c>
      <c r="F303" s="113"/>
      <c r="G303" s="119"/>
      <c r="H303" s="119"/>
      <c r="I303" s="102">
        <v>20943</v>
      </c>
      <c r="J303" s="103" t="s">
        <v>901</v>
      </c>
      <c r="K303" s="150"/>
      <c r="L303" s="150"/>
      <c r="M303" s="150"/>
      <c r="N303" s="254" t="str" cm="1">
        <f t="array" ref="N30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03" s="255"/>
      <c r="P303" s="248"/>
      <c r="Q303" s="256" t="str" cm="1">
        <f t="array" ref="Q30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03" s="257"/>
      <c r="S303" s="248"/>
      <c r="T303" s="254"/>
      <c r="U303" s="258"/>
      <c r="V303" s="259"/>
      <c r="W303" s="259"/>
      <c r="X303" s="255"/>
      <c r="Y303" s="259"/>
      <c r="Z303" s="259"/>
      <c r="AA303" s="260" t="str" cm="1">
        <f t="array" ref="AA30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03" s="125"/>
      <c r="AD303" s="124"/>
    </row>
    <row r="304" spans="1:30" s="122" customFormat="1">
      <c r="A30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VenezulanosVE2202</v>
      </c>
      <c r="B304" s="105" t="s">
        <v>678</v>
      </c>
      <c r="C304" s="104" t="s">
        <v>679</v>
      </c>
      <c r="D304" s="119" t="s">
        <v>180</v>
      </c>
      <c r="E304" s="104" t="s">
        <v>682</v>
      </c>
      <c r="F304" s="113"/>
      <c r="G304" s="119"/>
      <c r="H304" s="119"/>
      <c r="I304" s="102">
        <v>31883</v>
      </c>
      <c r="J304" s="103" t="s">
        <v>901</v>
      </c>
      <c r="K304" s="150"/>
      <c r="L304" s="150"/>
      <c r="M304" s="150"/>
      <c r="N304" s="254" t="str" cm="1">
        <f t="array" ref="N30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04" s="255"/>
      <c r="P304" s="248"/>
      <c r="Q304" s="256" t="str" cm="1">
        <f t="array" ref="Q30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04" s="257"/>
      <c r="S304" s="248"/>
      <c r="T304" s="254"/>
      <c r="U304" s="258"/>
      <c r="V304" s="259"/>
      <c r="W304" s="259"/>
      <c r="X304" s="255"/>
      <c r="Y304" s="259"/>
      <c r="Z304" s="259"/>
      <c r="AA304" s="260" t="str" cm="1">
        <f t="array" ref="AA30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04" s="125"/>
      <c r="AD304" s="124"/>
    </row>
    <row r="305" spans="1:30" s="122" customFormat="1">
      <c r="A30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VenezulanosVE2203</v>
      </c>
      <c r="B305" s="105" t="s">
        <v>678</v>
      </c>
      <c r="C305" s="104" t="s">
        <v>679</v>
      </c>
      <c r="D305" s="119" t="s">
        <v>683</v>
      </c>
      <c r="E305" s="104" t="s">
        <v>684</v>
      </c>
      <c r="F305" s="113"/>
      <c r="G305" s="119"/>
      <c r="H305" s="119"/>
      <c r="I305" s="102">
        <v>71311</v>
      </c>
      <c r="J305" s="103" t="s">
        <v>901</v>
      </c>
      <c r="K305" s="150"/>
      <c r="L305" s="150"/>
      <c r="M305" s="150"/>
      <c r="N305" s="254" t="str" cm="1">
        <f t="array" ref="N30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05" s="255"/>
      <c r="P305" s="248"/>
      <c r="Q305" s="256" t="str" cm="1">
        <f t="array" ref="Q30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05" s="257"/>
      <c r="S305" s="248"/>
      <c r="T305" s="254"/>
      <c r="U305" s="258"/>
      <c r="V305" s="259"/>
      <c r="W305" s="259"/>
      <c r="X305" s="255"/>
      <c r="Y305" s="259"/>
      <c r="Z305" s="259"/>
      <c r="AA305" s="260" t="str" cm="1">
        <f t="array" ref="AA30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05" s="125"/>
      <c r="AD305" s="124"/>
    </row>
    <row r="306" spans="1:30" s="122" customFormat="1">
      <c r="A30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VenezulanosVE2204</v>
      </c>
      <c r="B306" s="105" t="s">
        <v>678</v>
      </c>
      <c r="C306" s="104" t="s">
        <v>679</v>
      </c>
      <c r="D306" s="119" t="s">
        <v>685</v>
      </c>
      <c r="E306" s="104" t="s">
        <v>686</v>
      </c>
      <c r="F306" s="113"/>
      <c r="G306" s="119"/>
      <c r="H306" s="119"/>
      <c r="I306" s="102">
        <v>42416</v>
      </c>
      <c r="J306" s="103" t="s">
        <v>901</v>
      </c>
      <c r="K306" s="150"/>
      <c r="L306" s="150"/>
      <c r="M306" s="150"/>
      <c r="N306" s="254" t="str" cm="1">
        <f t="array" ref="N30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06" s="255"/>
      <c r="P306" s="248"/>
      <c r="Q306" s="256" t="str" cm="1">
        <f t="array" ref="Q30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06" s="257"/>
      <c r="S306" s="248"/>
      <c r="T306" s="254"/>
      <c r="U306" s="258"/>
      <c r="V306" s="259"/>
      <c r="W306" s="259"/>
      <c r="X306" s="255"/>
      <c r="Y306" s="259"/>
      <c r="Z306" s="259"/>
      <c r="AA306" s="260" t="str" cm="1">
        <f t="array" ref="AA30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06" s="125"/>
      <c r="AD306" s="124"/>
    </row>
    <row r="307" spans="1:30" s="122" customFormat="1">
      <c r="A30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VenezulanosVE2205</v>
      </c>
      <c r="B307" s="105" t="s">
        <v>678</v>
      </c>
      <c r="C307" s="104" t="s">
        <v>679</v>
      </c>
      <c r="D307" s="119" t="s">
        <v>133</v>
      </c>
      <c r="E307" s="104" t="s">
        <v>687</v>
      </c>
      <c r="F307" s="113"/>
      <c r="G307" s="119"/>
      <c r="H307" s="119"/>
      <c r="I307" s="102">
        <v>59114</v>
      </c>
      <c r="J307" s="103" t="s">
        <v>901</v>
      </c>
      <c r="K307" s="150"/>
      <c r="L307" s="150"/>
      <c r="M307" s="150"/>
      <c r="N307" s="254" t="str" cm="1">
        <f t="array" ref="N30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07" s="255"/>
      <c r="P307" s="248"/>
      <c r="Q307" s="256" t="str" cm="1">
        <f t="array" ref="Q30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07" s="257"/>
      <c r="S307" s="248"/>
      <c r="T307" s="254"/>
      <c r="U307" s="258"/>
      <c r="V307" s="259"/>
      <c r="W307" s="259"/>
      <c r="X307" s="255"/>
      <c r="Y307" s="259"/>
      <c r="Z307" s="259"/>
      <c r="AA307" s="260" t="str" cm="1">
        <f t="array" ref="AA30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07" s="125"/>
      <c r="AD307" s="124"/>
    </row>
    <row r="308" spans="1:30" s="122" customFormat="1">
      <c r="A30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VenezulanosVE2206</v>
      </c>
      <c r="B308" s="105" t="s">
        <v>678</v>
      </c>
      <c r="C308" s="104" t="s">
        <v>679</v>
      </c>
      <c r="D308" s="119" t="s">
        <v>688</v>
      </c>
      <c r="E308" s="104" t="s">
        <v>689</v>
      </c>
      <c r="F308" s="113"/>
      <c r="G308" s="119"/>
      <c r="H308" s="119"/>
      <c r="I308" s="102">
        <v>20113</v>
      </c>
      <c r="J308" s="103" t="s">
        <v>901</v>
      </c>
      <c r="K308" s="150"/>
      <c r="L308" s="150"/>
      <c r="M308" s="150"/>
      <c r="N308" s="254" t="str" cm="1">
        <f t="array" ref="N30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08" s="255"/>
      <c r="P308" s="248"/>
      <c r="Q308" s="256" t="str" cm="1">
        <f t="array" ref="Q30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08" s="257"/>
      <c r="S308" s="248"/>
      <c r="T308" s="254"/>
      <c r="U308" s="258"/>
      <c r="V308" s="259"/>
      <c r="W308" s="259"/>
      <c r="X308" s="255"/>
      <c r="Y308" s="259"/>
      <c r="Z308" s="259"/>
      <c r="AA308" s="260" t="str" cm="1">
        <f t="array" ref="AA30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08" s="125"/>
      <c r="AD308" s="124"/>
    </row>
    <row r="309" spans="1:30" s="122" customFormat="1">
      <c r="A30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VenezulanosVE2207</v>
      </c>
      <c r="B309" s="105" t="s">
        <v>678</v>
      </c>
      <c r="C309" s="104" t="s">
        <v>679</v>
      </c>
      <c r="D309" s="119" t="s">
        <v>690</v>
      </c>
      <c r="E309" s="104" t="s">
        <v>691</v>
      </c>
      <c r="F309" s="113"/>
      <c r="G309" s="119"/>
      <c r="H309" s="119"/>
      <c r="I309" s="102">
        <v>17586</v>
      </c>
      <c r="J309" s="103" t="s">
        <v>901</v>
      </c>
      <c r="K309" s="150"/>
      <c r="L309" s="150"/>
      <c r="M309" s="150"/>
      <c r="N309" s="254" t="str" cm="1">
        <f t="array" ref="N30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09" s="255"/>
      <c r="P309" s="248"/>
      <c r="Q309" s="256" t="str" cm="1">
        <f t="array" ref="Q30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09" s="257"/>
      <c r="S309" s="248"/>
      <c r="T309" s="254"/>
      <c r="U309" s="258"/>
      <c r="V309" s="259"/>
      <c r="W309" s="259"/>
      <c r="X309" s="255"/>
      <c r="Y309" s="259"/>
      <c r="Z309" s="259"/>
      <c r="AA309" s="260" t="str" cm="1">
        <f t="array" ref="AA30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09" s="125"/>
      <c r="AD309" s="124"/>
    </row>
    <row r="310" spans="1:30" s="122" customFormat="1">
      <c r="A31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VenezulanosVE2208</v>
      </c>
      <c r="B310" s="105" t="s">
        <v>678</v>
      </c>
      <c r="C310" s="104" t="s">
        <v>679</v>
      </c>
      <c r="D310" s="119" t="s">
        <v>692</v>
      </c>
      <c r="E310" s="104" t="s">
        <v>693</v>
      </c>
      <c r="F310" s="113"/>
      <c r="G310" s="119"/>
      <c r="H310" s="119"/>
      <c r="I310" s="102">
        <v>13474</v>
      </c>
      <c r="J310" s="103" t="s">
        <v>901</v>
      </c>
      <c r="K310" s="150"/>
      <c r="L310" s="150"/>
      <c r="M310" s="150"/>
      <c r="N310" s="254" t="str" cm="1">
        <f t="array" ref="N31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10" s="255"/>
      <c r="P310" s="248"/>
      <c r="Q310" s="256" t="str" cm="1">
        <f t="array" ref="Q31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10" s="257"/>
      <c r="S310" s="248"/>
      <c r="T310" s="254"/>
      <c r="U310" s="258"/>
      <c r="V310" s="259"/>
      <c r="W310" s="259"/>
      <c r="X310" s="255"/>
      <c r="Y310" s="259"/>
      <c r="Z310" s="259"/>
      <c r="AA310" s="260" t="str" cm="1">
        <f t="array" ref="AA31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10" s="125"/>
      <c r="AD310" s="124"/>
    </row>
    <row r="311" spans="1:30" s="122" customFormat="1">
      <c r="A31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VenezulanosVE2209</v>
      </c>
      <c r="B311" s="105" t="s">
        <v>678</v>
      </c>
      <c r="C311" s="104" t="s">
        <v>679</v>
      </c>
      <c r="D311" s="119" t="s">
        <v>694</v>
      </c>
      <c r="E311" s="104" t="s">
        <v>695</v>
      </c>
      <c r="F311" s="113"/>
      <c r="G311" s="119"/>
      <c r="H311" s="119"/>
      <c r="I311" s="102">
        <v>60255</v>
      </c>
      <c r="J311" s="103" t="s">
        <v>901</v>
      </c>
      <c r="K311" s="150"/>
      <c r="L311" s="150"/>
      <c r="M311" s="150"/>
      <c r="N311" s="254" t="str" cm="1">
        <f t="array" ref="N31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11" s="255"/>
      <c r="P311" s="248"/>
      <c r="Q311" s="256" t="str" cm="1">
        <f t="array" ref="Q31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11" s="257"/>
      <c r="S311" s="248"/>
      <c r="T311" s="254"/>
      <c r="U311" s="258"/>
      <c r="V311" s="259"/>
      <c r="W311" s="259"/>
      <c r="X311" s="255"/>
      <c r="Y311" s="259"/>
      <c r="Z311" s="259"/>
      <c r="AA311" s="260" t="str" cm="1">
        <f t="array" ref="AA31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11" s="125"/>
      <c r="AD311" s="124"/>
    </row>
    <row r="312" spans="1:30" s="122" customFormat="1">
      <c r="A31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VenezulanosVE2210</v>
      </c>
      <c r="B312" s="105" t="s">
        <v>678</v>
      </c>
      <c r="C312" s="104" t="s">
        <v>679</v>
      </c>
      <c r="D312" s="119" t="s">
        <v>696</v>
      </c>
      <c r="E312" s="104" t="s">
        <v>697</v>
      </c>
      <c r="F312" s="113"/>
      <c r="G312" s="119"/>
      <c r="H312" s="119"/>
      <c r="I312" s="102">
        <v>103917</v>
      </c>
      <c r="J312" s="103" t="s">
        <v>901</v>
      </c>
      <c r="K312" s="150"/>
      <c r="L312" s="150"/>
      <c r="M312" s="150"/>
      <c r="N312" s="254" t="str" cm="1">
        <f t="array" ref="N31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12" s="255"/>
      <c r="P312" s="248"/>
      <c r="Q312" s="256" t="str" cm="1">
        <f t="array" ref="Q31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12" s="257"/>
      <c r="S312" s="248"/>
      <c r="T312" s="254"/>
      <c r="U312" s="258"/>
      <c r="V312" s="259"/>
      <c r="W312" s="259"/>
      <c r="X312" s="255"/>
      <c r="Y312" s="259"/>
      <c r="Z312" s="259"/>
      <c r="AA312" s="260" t="str" cm="1">
        <f t="array" ref="AA31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12" s="125"/>
      <c r="AD312" s="124"/>
    </row>
    <row r="313" spans="1:30" s="122" customFormat="1">
      <c r="A31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VenezulanosVE2211</v>
      </c>
      <c r="B313" s="105" t="s">
        <v>678</v>
      </c>
      <c r="C313" s="104" t="s">
        <v>679</v>
      </c>
      <c r="D313" s="119" t="s">
        <v>698</v>
      </c>
      <c r="E313" s="104" t="s">
        <v>699</v>
      </c>
      <c r="F313" s="113"/>
      <c r="G313" s="119"/>
      <c r="H313" s="119"/>
      <c r="I313" s="102">
        <v>103036</v>
      </c>
      <c r="J313" s="103" t="s">
        <v>901</v>
      </c>
      <c r="K313" s="150"/>
      <c r="L313" s="150"/>
      <c r="M313" s="150"/>
      <c r="N313" s="254" t="str" cm="1">
        <f t="array" ref="N31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13" s="255"/>
      <c r="P313" s="248"/>
      <c r="Q313" s="256" t="str" cm="1">
        <f t="array" ref="Q31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13" s="257"/>
      <c r="S313" s="248"/>
      <c r="T313" s="254"/>
      <c r="U313" s="258"/>
      <c r="V313" s="259"/>
      <c r="W313" s="259"/>
      <c r="X313" s="255"/>
      <c r="Y313" s="259"/>
      <c r="Z313" s="259"/>
      <c r="AA313" s="260" t="str" cm="1">
        <f t="array" ref="AA31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13" s="125"/>
      <c r="AD313" s="124"/>
    </row>
    <row r="314" spans="1:30" s="122" customFormat="1">
      <c r="A31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VenezulanosVE2212</v>
      </c>
      <c r="B314" s="105" t="s">
        <v>678</v>
      </c>
      <c r="C314" s="104" t="s">
        <v>679</v>
      </c>
      <c r="D314" s="119" t="s">
        <v>203</v>
      </c>
      <c r="E314" s="104" t="s">
        <v>700</v>
      </c>
      <c r="F314" s="113"/>
      <c r="G314" s="119"/>
      <c r="H314" s="119"/>
      <c r="I314" s="102">
        <v>19418</v>
      </c>
      <c r="J314" s="103" t="s">
        <v>901</v>
      </c>
      <c r="K314" s="150"/>
      <c r="L314" s="150"/>
      <c r="M314" s="150"/>
      <c r="N314" s="254" t="str" cm="1">
        <f t="array" ref="N31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14" s="255"/>
      <c r="P314" s="248"/>
      <c r="Q314" s="256" t="str" cm="1">
        <f t="array" ref="Q31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14" s="257"/>
      <c r="S314" s="248"/>
      <c r="T314" s="254"/>
      <c r="U314" s="258"/>
      <c r="V314" s="259"/>
      <c r="W314" s="259"/>
      <c r="X314" s="255"/>
      <c r="Y314" s="259"/>
      <c r="Z314" s="259"/>
      <c r="AA314" s="260" t="str" cm="1">
        <f t="array" ref="AA31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14" s="125"/>
      <c r="AD314" s="124"/>
    </row>
    <row r="315" spans="1:30" s="122" customFormat="1">
      <c r="A31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VenezulanosVE2213</v>
      </c>
      <c r="B315" s="105" t="s">
        <v>678</v>
      </c>
      <c r="C315" s="104" t="s">
        <v>679</v>
      </c>
      <c r="D315" s="119" t="s">
        <v>701</v>
      </c>
      <c r="E315" s="104" t="s">
        <v>702</v>
      </c>
      <c r="F315" s="113"/>
      <c r="G315" s="119"/>
      <c r="H315" s="119"/>
      <c r="I315" s="102">
        <v>22462</v>
      </c>
      <c r="J315" s="103" t="s">
        <v>901</v>
      </c>
      <c r="K315" s="150"/>
      <c r="L315" s="150"/>
      <c r="M315" s="150"/>
      <c r="N315" s="254" t="str" cm="1">
        <f t="array" ref="N31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15" s="255"/>
      <c r="P315" s="248"/>
      <c r="Q315" s="256" t="str" cm="1">
        <f t="array" ref="Q31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15" s="257"/>
      <c r="S315" s="248"/>
      <c r="T315" s="254"/>
      <c r="U315" s="258"/>
      <c r="V315" s="259"/>
      <c r="W315" s="259"/>
      <c r="X315" s="255"/>
      <c r="Y315" s="259"/>
      <c r="Z315" s="259"/>
      <c r="AA315" s="260" t="str" cm="1">
        <f t="array" ref="AA31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15" s="125"/>
      <c r="AD315" s="124"/>
    </row>
    <row r="316" spans="1:30" s="122" customFormat="1">
      <c r="A31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VenezulanosVE2214</v>
      </c>
      <c r="B316" s="105" t="s">
        <v>678</v>
      </c>
      <c r="C316" s="104" t="s">
        <v>679</v>
      </c>
      <c r="D316" s="119" t="s">
        <v>703</v>
      </c>
      <c r="E316" s="104" t="s">
        <v>704</v>
      </c>
      <c r="F316" s="113"/>
      <c r="G316" s="119"/>
      <c r="H316" s="119"/>
      <c r="I316" s="102">
        <v>28466</v>
      </c>
      <c r="J316" s="103" t="s">
        <v>901</v>
      </c>
      <c r="K316" s="150"/>
      <c r="L316" s="150"/>
      <c r="M316" s="150"/>
      <c r="N316" s="254" t="str" cm="1">
        <f t="array" ref="N31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16" s="255"/>
      <c r="P316" s="248"/>
      <c r="Q316" s="256" t="str" cm="1">
        <f t="array" ref="Q31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16" s="257"/>
      <c r="S316" s="248"/>
      <c r="T316" s="254"/>
      <c r="U316" s="258"/>
      <c r="V316" s="259"/>
      <c r="W316" s="259"/>
      <c r="X316" s="255"/>
      <c r="Y316" s="259"/>
      <c r="Z316" s="259"/>
      <c r="AA316" s="260" t="str" cm="1">
        <f t="array" ref="AA31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16" s="125"/>
      <c r="AD316" s="124"/>
    </row>
    <row r="317" spans="1:30" s="122" customFormat="1">
      <c r="A31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VenezulanosVE2301</v>
      </c>
      <c r="B317" s="105" t="s">
        <v>705</v>
      </c>
      <c r="C317" s="104" t="s">
        <v>706</v>
      </c>
      <c r="D317" s="119" t="s">
        <v>707</v>
      </c>
      <c r="E317" s="104" t="s">
        <v>708</v>
      </c>
      <c r="F317" s="113"/>
      <c r="G317" s="119"/>
      <c r="H317" s="119"/>
      <c r="I317" s="102">
        <v>12198</v>
      </c>
      <c r="J317" s="103" t="s">
        <v>901</v>
      </c>
      <c r="K317" s="150"/>
      <c r="L317" s="150"/>
      <c r="M317" s="150"/>
      <c r="N317" s="254" t="str" cm="1">
        <f t="array" ref="N31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17" s="255"/>
      <c r="P317" s="248"/>
      <c r="Q317" s="256" t="str" cm="1">
        <f t="array" ref="Q31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17" s="257"/>
      <c r="S317" s="248"/>
      <c r="T317" s="254"/>
      <c r="U317" s="258"/>
      <c r="V317" s="259"/>
      <c r="W317" s="259"/>
      <c r="X317" s="255"/>
      <c r="Y317" s="259"/>
      <c r="Z317" s="259"/>
      <c r="AA317" s="260" t="str" cm="1">
        <f t="array" ref="AA31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17" s="125"/>
      <c r="AD317" s="124"/>
    </row>
    <row r="318" spans="1:30" s="122" customFormat="1">
      <c r="A31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VenezulanosVE2302</v>
      </c>
      <c r="B318" s="105" t="s">
        <v>705</v>
      </c>
      <c r="C318" s="104" t="s">
        <v>706</v>
      </c>
      <c r="D318" s="119" t="s">
        <v>709</v>
      </c>
      <c r="E318" s="104" t="s">
        <v>710</v>
      </c>
      <c r="F318" s="113"/>
      <c r="G318" s="119"/>
      <c r="H318" s="119"/>
      <c r="I318" s="102">
        <v>91875</v>
      </c>
      <c r="J318" s="103" t="s">
        <v>901</v>
      </c>
      <c r="K318" s="150"/>
      <c r="L318" s="150"/>
      <c r="M318" s="150"/>
      <c r="N318" s="254" t="str" cm="1">
        <f t="array" ref="N31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18" s="255"/>
      <c r="P318" s="248"/>
      <c r="Q318" s="256" t="str" cm="1">
        <f t="array" ref="Q31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18" s="257"/>
      <c r="S318" s="248"/>
      <c r="T318" s="254"/>
      <c r="U318" s="258"/>
      <c r="V318" s="259"/>
      <c r="W318" s="259"/>
      <c r="X318" s="255"/>
      <c r="Y318" s="259"/>
      <c r="Z318" s="259"/>
      <c r="AA318" s="260" t="str" cm="1">
        <f t="array" ref="AA31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18" s="125"/>
      <c r="AD318" s="124"/>
    </row>
    <row r="319" spans="1:30" s="122" customFormat="1">
      <c r="A31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VenezulanosVE2303</v>
      </c>
      <c r="B319" s="105" t="s">
        <v>705</v>
      </c>
      <c r="C319" s="104" t="s">
        <v>706</v>
      </c>
      <c r="D319" s="119" t="s">
        <v>711</v>
      </c>
      <c r="E319" s="104" t="s">
        <v>712</v>
      </c>
      <c r="F319" s="113"/>
      <c r="G319" s="119"/>
      <c r="H319" s="119"/>
      <c r="I319" s="102">
        <v>268988</v>
      </c>
      <c r="J319" s="103" t="s">
        <v>901</v>
      </c>
      <c r="K319" s="150"/>
      <c r="L319" s="150"/>
      <c r="M319" s="150"/>
      <c r="N319" s="254" t="str" cm="1">
        <f t="array" ref="N31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19" s="255"/>
      <c r="P319" s="248"/>
      <c r="Q319" s="256" t="str" cm="1">
        <f t="array" ref="Q31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19" s="257"/>
      <c r="S319" s="248"/>
      <c r="T319" s="254"/>
      <c r="U319" s="258"/>
      <c r="V319" s="259"/>
      <c r="W319" s="259"/>
      <c r="X319" s="255"/>
      <c r="Y319" s="259"/>
      <c r="Z319" s="259"/>
      <c r="AA319" s="260" t="str" cm="1">
        <f t="array" ref="AA31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19" s="125"/>
      <c r="AD319" s="124"/>
    </row>
    <row r="320" spans="1:30" s="122" customFormat="1">
      <c r="A32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VenezulanosVE2304</v>
      </c>
      <c r="B320" s="105" t="s">
        <v>705</v>
      </c>
      <c r="C320" s="104" t="s">
        <v>706</v>
      </c>
      <c r="D320" s="119" t="s">
        <v>713</v>
      </c>
      <c r="E320" s="104" t="s">
        <v>714</v>
      </c>
      <c r="F320" s="113"/>
      <c r="G320" s="119"/>
      <c r="H320" s="119"/>
      <c r="I320" s="102">
        <v>41616</v>
      </c>
      <c r="J320" s="103" t="s">
        <v>901</v>
      </c>
      <c r="K320" s="150"/>
      <c r="L320" s="150"/>
      <c r="M320" s="150"/>
      <c r="N320" s="254" t="str" cm="1">
        <f t="array" ref="N32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20" s="255"/>
      <c r="P320" s="248"/>
      <c r="Q320" s="256" t="str" cm="1">
        <f t="array" ref="Q32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20" s="257"/>
      <c r="S320" s="248"/>
      <c r="T320" s="254"/>
      <c r="U320" s="258"/>
      <c r="V320" s="259"/>
      <c r="W320" s="259"/>
      <c r="X320" s="255"/>
      <c r="Y320" s="259"/>
      <c r="Z320" s="259"/>
      <c r="AA320" s="260" t="str" cm="1">
        <f t="array" ref="AA32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20" s="125"/>
      <c r="AD320" s="124"/>
    </row>
    <row r="321" spans="1:30" s="122" customFormat="1">
      <c r="A32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VenezulanosVE2305</v>
      </c>
      <c r="B321" s="105" t="s">
        <v>705</v>
      </c>
      <c r="C321" s="104" t="s">
        <v>706</v>
      </c>
      <c r="D321" s="119" t="s">
        <v>715</v>
      </c>
      <c r="E321" s="104" t="s">
        <v>716</v>
      </c>
      <c r="F321" s="113"/>
      <c r="G321" s="119"/>
      <c r="H321" s="119"/>
      <c r="I321" s="102">
        <v>131637</v>
      </c>
      <c r="J321" s="103" t="s">
        <v>901</v>
      </c>
      <c r="K321" s="150"/>
      <c r="L321" s="150"/>
      <c r="M321" s="150"/>
      <c r="N321" s="254" t="str" cm="1">
        <f t="array" ref="N32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21" s="255"/>
      <c r="P321" s="248"/>
      <c r="Q321" s="256" t="str" cm="1">
        <f t="array" ref="Q32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21" s="257"/>
      <c r="S321" s="248"/>
      <c r="T321" s="254"/>
      <c r="U321" s="258"/>
      <c r="V321" s="259"/>
      <c r="W321" s="259"/>
      <c r="X321" s="255"/>
      <c r="Y321" s="259"/>
      <c r="Z321" s="259"/>
      <c r="AA321" s="260" t="str" cm="1">
        <f t="array" ref="AA32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21" s="125"/>
      <c r="AD321" s="124"/>
    </row>
    <row r="322" spans="1:30" s="122" customFormat="1">
      <c r="A32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VenezulanosVE2306</v>
      </c>
      <c r="B322" s="105" t="s">
        <v>705</v>
      </c>
      <c r="C322" s="104" t="s">
        <v>706</v>
      </c>
      <c r="D322" s="119" t="s">
        <v>717</v>
      </c>
      <c r="E322" s="104" t="s">
        <v>718</v>
      </c>
      <c r="F322" s="113"/>
      <c r="G322" s="119"/>
      <c r="H322" s="119"/>
      <c r="I322" s="102">
        <v>34710</v>
      </c>
      <c r="J322" s="103" t="s">
        <v>901</v>
      </c>
      <c r="K322" s="150"/>
      <c r="L322" s="150"/>
      <c r="M322" s="150"/>
      <c r="N322" s="254" t="str" cm="1">
        <f t="array" ref="N32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22" s="255"/>
      <c r="P322" s="248"/>
      <c r="Q322" s="256" t="str" cm="1">
        <f t="array" ref="Q32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22" s="257"/>
      <c r="S322" s="248"/>
      <c r="T322" s="254"/>
      <c r="U322" s="258"/>
      <c r="V322" s="259"/>
      <c r="W322" s="259"/>
      <c r="X322" s="255"/>
      <c r="Y322" s="259"/>
      <c r="Z322" s="259"/>
      <c r="AA322" s="260" t="str" cm="1">
        <f t="array" ref="AA32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22" s="125"/>
      <c r="AD322" s="124"/>
    </row>
    <row r="323" spans="1:30" s="122" customFormat="1">
      <c r="A32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VenezulanosVE2307</v>
      </c>
      <c r="B323" s="105" t="s">
        <v>705</v>
      </c>
      <c r="C323" s="104" t="s">
        <v>706</v>
      </c>
      <c r="D323" s="119" t="s">
        <v>805</v>
      </c>
      <c r="E323" s="104" t="s">
        <v>720</v>
      </c>
      <c r="F323" s="113"/>
      <c r="G323" s="119"/>
      <c r="H323" s="119"/>
      <c r="I323" s="102">
        <v>121430</v>
      </c>
      <c r="J323" s="103" t="s">
        <v>901</v>
      </c>
      <c r="K323" s="150"/>
      <c r="L323" s="150"/>
      <c r="M323" s="150"/>
      <c r="N323" s="254" t="str" cm="1">
        <f t="array" ref="N32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23" s="255"/>
      <c r="P323" s="248"/>
      <c r="Q323" s="256" t="str" cm="1">
        <f t="array" ref="Q32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23" s="257"/>
      <c r="S323" s="248"/>
      <c r="T323" s="254"/>
      <c r="U323" s="258"/>
      <c r="V323" s="259"/>
      <c r="W323" s="259"/>
      <c r="X323" s="255"/>
      <c r="Y323" s="259"/>
      <c r="Z323" s="259"/>
      <c r="AA323" s="260" t="str" cm="1">
        <f t="array" ref="AA32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23" s="125"/>
      <c r="AD323" s="124"/>
    </row>
    <row r="324" spans="1:30" s="122" customFormat="1">
      <c r="A32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VenezulanosVE2308</v>
      </c>
      <c r="B324" s="105" t="s">
        <v>705</v>
      </c>
      <c r="C324" s="104" t="s">
        <v>706</v>
      </c>
      <c r="D324" s="119" t="s">
        <v>815</v>
      </c>
      <c r="E324" s="104" t="s">
        <v>722</v>
      </c>
      <c r="F324" s="113"/>
      <c r="G324" s="119"/>
      <c r="H324" s="119"/>
      <c r="I324" s="102">
        <v>31175</v>
      </c>
      <c r="J324" s="103" t="s">
        <v>901</v>
      </c>
      <c r="K324" s="150"/>
      <c r="L324" s="150"/>
      <c r="M324" s="150"/>
      <c r="N324" s="254" t="str" cm="1">
        <f t="array" ref="N32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24" s="255"/>
      <c r="P324" s="248"/>
      <c r="Q324" s="256" t="str" cm="1">
        <f t="array" ref="Q32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24" s="257"/>
      <c r="S324" s="248"/>
      <c r="T324" s="254"/>
      <c r="U324" s="258"/>
      <c r="V324" s="259"/>
      <c r="W324" s="259"/>
      <c r="X324" s="255"/>
      <c r="Y324" s="259"/>
      <c r="Z324" s="259"/>
      <c r="AA324" s="260" t="str" cm="1">
        <f t="array" ref="AA32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24" s="125"/>
      <c r="AD324" s="124"/>
    </row>
    <row r="325" spans="1:30" s="122" customFormat="1">
      <c r="A32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VenezulanosVE2309</v>
      </c>
      <c r="B325" s="105" t="s">
        <v>705</v>
      </c>
      <c r="C325" s="104" t="s">
        <v>706</v>
      </c>
      <c r="D325" s="119" t="s">
        <v>808</v>
      </c>
      <c r="E325" s="104" t="s">
        <v>724</v>
      </c>
      <c r="F325" s="113"/>
      <c r="G325" s="119"/>
      <c r="H325" s="119"/>
      <c r="I325" s="102">
        <v>84064</v>
      </c>
      <c r="J325" s="103" t="s">
        <v>901</v>
      </c>
      <c r="K325" s="150"/>
      <c r="L325" s="150"/>
      <c r="M325" s="150"/>
      <c r="N325" s="254" t="str" cm="1">
        <f t="array" ref="N32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25" s="255"/>
      <c r="P325" s="248"/>
      <c r="Q325" s="256" t="str" cm="1">
        <f t="array" ref="Q32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25" s="257"/>
      <c r="S325" s="248"/>
      <c r="T325" s="254"/>
      <c r="U325" s="258"/>
      <c r="V325" s="259"/>
      <c r="W325" s="259"/>
      <c r="X325" s="255"/>
      <c r="Y325" s="259"/>
      <c r="Z325" s="259"/>
      <c r="AA325" s="260" t="str" cm="1">
        <f t="array" ref="AA32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25" s="125"/>
      <c r="AD325" s="124"/>
    </row>
    <row r="326" spans="1:30" s="122" customFormat="1">
      <c r="A32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VenezulanosVE2310</v>
      </c>
      <c r="B326" s="105" t="s">
        <v>705</v>
      </c>
      <c r="C326" s="104" t="s">
        <v>706</v>
      </c>
      <c r="D326" s="119" t="s">
        <v>725</v>
      </c>
      <c r="E326" s="104" t="s">
        <v>726</v>
      </c>
      <c r="F326" s="113"/>
      <c r="G326" s="119"/>
      <c r="H326" s="119"/>
      <c r="I326" s="102">
        <v>208025</v>
      </c>
      <c r="J326" s="103" t="s">
        <v>901</v>
      </c>
      <c r="K326" s="150"/>
      <c r="L326" s="150"/>
      <c r="M326" s="150"/>
      <c r="N326" s="254" t="str" cm="1">
        <f t="array" ref="N32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26" s="255"/>
      <c r="P326" s="248"/>
      <c r="Q326" s="256" t="str" cm="1">
        <f t="array" ref="Q32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26" s="257"/>
      <c r="S326" s="248"/>
      <c r="T326" s="254"/>
      <c r="U326" s="258"/>
      <c r="V326" s="259"/>
      <c r="W326" s="259"/>
      <c r="X326" s="255"/>
      <c r="Y326" s="259"/>
      <c r="Z326" s="259"/>
      <c r="AA326" s="260" t="str" cm="1">
        <f t="array" ref="AA32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26" s="125"/>
      <c r="AD326" s="124"/>
    </row>
    <row r="327" spans="1:30" s="122" customFormat="1">
      <c r="A32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VenezulanosVE2311</v>
      </c>
      <c r="B327" s="105" t="s">
        <v>705</v>
      </c>
      <c r="C327" s="104" t="s">
        <v>706</v>
      </c>
      <c r="D327" s="119" t="s">
        <v>807</v>
      </c>
      <c r="E327" s="104" t="s">
        <v>728</v>
      </c>
      <c r="F327" s="113"/>
      <c r="G327" s="119"/>
      <c r="H327" s="119"/>
      <c r="I327" s="102">
        <v>125501</v>
      </c>
      <c r="J327" s="103" t="s">
        <v>901</v>
      </c>
      <c r="K327" s="150"/>
      <c r="L327" s="150"/>
      <c r="M327" s="150"/>
      <c r="N327" s="254" t="str" cm="1">
        <f t="array" ref="N32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27" s="255"/>
      <c r="P327" s="248"/>
      <c r="Q327" s="256" t="str" cm="1">
        <f t="array" ref="Q32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27" s="257"/>
      <c r="S327" s="248"/>
      <c r="T327" s="254"/>
      <c r="U327" s="258"/>
      <c r="V327" s="259"/>
      <c r="W327" s="259"/>
      <c r="X327" s="255"/>
      <c r="Y327" s="259"/>
      <c r="Z327" s="259"/>
      <c r="AA327" s="260" t="str" cm="1">
        <f t="array" ref="AA32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27" s="125"/>
      <c r="AD327" s="124"/>
    </row>
    <row r="328" spans="1:30" s="122" customFormat="1">
      <c r="A32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VenezulanosVE2312</v>
      </c>
      <c r="B328" s="105" t="s">
        <v>705</v>
      </c>
      <c r="C328" s="104" t="s">
        <v>706</v>
      </c>
      <c r="D328" s="119" t="s">
        <v>729</v>
      </c>
      <c r="E328" s="104" t="s">
        <v>730</v>
      </c>
      <c r="F328" s="113"/>
      <c r="G328" s="119"/>
      <c r="H328" s="119"/>
      <c r="I328" s="102">
        <v>211898</v>
      </c>
      <c r="J328" s="103" t="s">
        <v>901</v>
      </c>
      <c r="K328" s="150"/>
      <c r="L328" s="150"/>
      <c r="M328" s="150"/>
      <c r="N328" s="254" t="str" cm="1">
        <f t="array" ref="N32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28" s="255"/>
      <c r="P328" s="248"/>
      <c r="Q328" s="256" t="str" cm="1">
        <f t="array" ref="Q32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28" s="257"/>
      <c r="S328" s="248"/>
      <c r="T328" s="254"/>
      <c r="U328" s="258"/>
      <c r="V328" s="259"/>
      <c r="W328" s="259"/>
      <c r="X328" s="255"/>
      <c r="Y328" s="259"/>
      <c r="Z328" s="259"/>
      <c r="AA328" s="260" t="str" cm="1">
        <f t="array" ref="AA32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28" s="125"/>
      <c r="AD328" s="124"/>
    </row>
    <row r="329" spans="1:30" s="122" customFormat="1">
      <c r="A329"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VenezulanosVE2313</v>
      </c>
      <c r="B329" s="105" t="s">
        <v>705</v>
      </c>
      <c r="C329" s="104" t="s">
        <v>706</v>
      </c>
      <c r="D329" s="119" t="s">
        <v>731</v>
      </c>
      <c r="E329" s="104" t="s">
        <v>732</v>
      </c>
      <c r="F329" s="113"/>
      <c r="G329" s="119"/>
      <c r="H329" s="119"/>
      <c r="I329" s="102">
        <v>1492399</v>
      </c>
      <c r="J329" s="103" t="s">
        <v>901</v>
      </c>
      <c r="K329" s="150"/>
      <c r="L329" s="150"/>
      <c r="M329" s="150"/>
      <c r="N329" s="254" t="str" cm="1">
        <f t="array" ref="N329">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29" s="255"/>
      <c r="P329" s="248"/>
      <c r="Q329" s="256" t="str" cm="1">
        <f t="array" ref="Q329">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29" s="257"/>
      <c r="S329" s="248"/>
      <c r="T329" s="254"/>
      <c r="U329" s="258"/>
      <c r="V329" s="259"/>
      <c r="W329" s="259"/>
      <c r="X329" s="255"/>
      <c r="Y329" s="259"/>
      <c r="Z329" s="259"/>
      <c r="AA329" s="260" t="str" cm="1">
        <f t="array" ref="AA329">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29" s="125"/>
      <c r="AD329" s="124"/>
    </row>
    <row r="330" spans="1:30" s="122" customFormat="1">
      <c r="A330"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VenezulanosVE2314</v>
      </c>
      <c r="B330" s="105" t="s">
        <v>705</v>
      </c>
      <c r="C330" s="104" t="s">
        <v>706</v>
      </c>
      <c r="D330" s="119" t="s">
        <v>276</v>
      </c>
      <c r="E330" s="104" t="s">
        <v>733</v>
      </c>
      <c r="F330" s="113"/>
      <c r="G330" s="119"/>
      <c r="H330" s="119"/>
      <c r="I330" s="102">
        <v>99665</v>
      </c>
      <c r="J330" s="103" t="s">
        <v>901</v>
      </c>
      <c r="K330" s="150"/>
      <c r="L330" s="150"/>
      <c r="M330" s="150"/>
      <c r="N330" s="254" t="str" cm="1">
        <f t="array" ref="N330">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30" s="255"/>
      <c r="P330" s="248"/>
      <c r="Q330" s="256" t="str" cm="1">
        <f t="array" ref="Q330">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30" s="257"/>
      <c r="S330" s="248"/>
      <c r="T330" s="254"/>
      <c r="U330" s="258"/>
      <c r="V330" s="259"/>
      <c r="W330" s="259"/>
      <c r="X330" s="255"/>
      <c r="Y330" s="259"/>
      <c r="Z330" s="259"/>
      <c r="AA330" s="260" t="str" cm="1">
        <f t="array" ref="AA330">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30" s="125"/>
      <c r="AD330" s="124"/>
    </row>
    <row r="331" spans="1:30" s="122" customFormat="1">
      <c r="A331"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VenezulanosVE2315</v>
      </c>
      <c r="B331" s="105" t="s">
        <v>705</v>
      </c>
      <c r="C331" s="104" t="s">
        <v>706</v>
      </c>
      <c r="D331" s="119" t="s">
        <v>734</v>
      </c>
      <c r="E331" s="104" t="s">
        <v>735</v>
      </c>
      <c r="F331" s="113"/>
      <c r="G331" s="119"/>
      <c r="H331" s="119"/>
      <c r="I331" s="102">
        <v>67026</v>
      </c>
      <c r="J331" s="103" t="s">
        <v>901</v>
      </c>
      <c r="K331" s="150"/>
      <c r="L331" s="150"/>
      <c r="M331" s="150"/>
      <c r="N331" s="254" t="str" cm="1">
        <f t="array" ref="N331">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31" s="255"/>
      <c r="P331" s="248"/>
      <c r="Q331" s="256" t="str" cm="1">
        <f t="array" ref="Q331">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31" s="257"/>
      <c r="S331" s="248"/>
      <c r="T331" s="254"/>
      <c r="U331" s="258"/>
      <c r="V331" s="259"/>
      <c r="W331" s="259"/>
      <c r="X331" s="255"/>
      <c r="Y331" s="259"/>
      <c r="Z331" s="259"/>
      <c r="AA331" s="260" t="str" cm="1">
        <f t="array" ref="AA331">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31" s="125"/>
      <c r="AD331" s="124"/>
    </row>
    <row r="332" spans="1:30" s="122" customFormat="1">
      <c r="A332"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VenezulanosVE2316</v>
      </c>
      <c r="B332" s="105" t="s">
        <v>705</v>
      </c>
      <c r="C332" s="104" t="s">
        <v>706</v>
      </c>
      <c r="D332" s="119" t="s">
        <v>809</v>
      </c>
      <c r="E332" s="104" t="s">
        <v>737</v>
      </c>
      <c r="F332" s="113"/>
      <c r="G332" s="119"/>
      <c r="H332" s="119"/>
      <c r="I332" s="102">
        <v>86923</v>
      </c>
      <c r="J332" s="103" t="s">
        <v>901</v>
      </c>
      <c r="K332" s="150"/>
      <c r="L332" s="150"/>
      <c r="M332" s="150"/>
      <c r="N332" s="254" t="str" cm="1">
        <f t="array" ref="N332">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32" s="255"/>
      <c r="P332" s="248"/>
      <c r="Q332" s="256" t="str" cm="1">
        <f t="array" ref="Q332">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32" s="257"/>
      <c r="S332" s="248"/>
      <c r="T332" s="254"/>
      <c r="U332" s="258"/>
      <c r="V332" s="259"/>
      <c r="W332" s="259"/>
      <c r="X332" s="255"/>
      <c r="Y332" s="259"/>
      <c r="Z332" s="259"/>
      <c r="AA332" s="260" t="str" cm="1">
        <f t="array" ref="AA332">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32" s="125"/>
      <c r="AD332" s="124"/>
    </row>
    <row r="333" spans="1:30" s="122" customFormat="1">
      <c r="A333"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VenezulanosVE2317</v>
      </c>
      <c r="B333" s="105" t="s">
        <v>705</v>
      </c>
      <c r="C333" s="104" t="s">
        <v>706</v>
      </c>
      <c r="D333" s="119" t="s">
        <v>350</v>
      </c>
      <c r="E333" s="104" t="s">
        <v>738</v>
      </c>
      <c r="F333" s="113"/>
      <c r="G333" s="119"/>
      <c r="H333" s="119"/>
      <c r="I333" s="102">
        <v>456843</v>
      </c>
      <c r="J333" s="103" t="s">
        <v>901</v>
      </c>
      <c r="K333" s="150"/>
      <c r="L333" s="150"/>
      <c r="M333" s="150"/>
      <c r="N333" s="254" t="str" cm="1">
        <f t="array" ref="N333">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33" s="255"/>
      <c r="P333" s="248"/>
      <c r="Q333" s="256" t="str" cm="1">
        <f t="array" ref="Q333">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33" s="257"/>
      <c r="S333" s="248"/>
      <c r="T333" s="254"/>
      <c r="U333" s="258"/>
      <c r="V333" s="259"/>
      <c r="W333" s="259"/>
      <c r="X333" s="255"/>
      <c r="Y333" s="259"/>
      <c r="Z333" s="259"/>
      <c r="AA333" s="260" t="str" cm="1">
        <f t="array" ref="AA333">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33" s="125"/>
      <c r="AD333" s="124"/>
    </row>
    <row r="334" spans="1:30" s="122" customFormat="1">
      <c r="A334"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VenezulanosVE2318</v>
      </c>
      <c r="B334" s="105" t="s">
        <v>705</v>
      </c>
      <c r="C334" s="104" t="s">
        <v>706</v>
      </c>
      <c r="D334" s="119" t="s">
        <v>739</v>
      </c>
      <c r="E334" s="104" t="s">
        <v>740</v>
      </c>
      <c r="F334" s="113"/>
      <c r="G334" s="119"/>
      <c r="H334" s="119"/>
      <c r="I334" s="102">
        <v>61213</v>
      </c>
      <c r="J334" s="103" t="s">
        <v>901</v>
      </c>
      <c r="K334" s="150"/>
      <c r="L334" s="150"/>
      <c r="M334" s="150"/>
      <c r="N334" s="254" t="str" cm="1">
        <f t="array" ref="N334">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34" s="255"/>
      <c r="P334" s="248"/>
      <c r="Q334" s="256" t="str" cm="1">
        <f t="array" ref="Q334">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34" s="257"/>
      <c r="S334" s="248"/>
      <c r="T334" s="254"/>
      <c r="U334" s="258"/>
      <c r="V334" s="259"/>
      <c r="W334" s="259"/>
      <c r="X334" s="255"/>
      <c r="Y334" s="259"/>
      <c r="Z334" s="259"/>
      <c r="AA334" s="260" t="str" cm="1">
        <f t="array" ref="AA334">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34" s="125"/>
      <c r="AD334" s="124"/>
    </row>
    <row r="335" spans="1:30" s="122" customFormat="1">
      <c r="A335"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VenezulanosVE2319</v>
      </c>
      <c r="B335" s="105" t="s">
        <v>705</v>
      </c>
      <c r="C335" s="104" t="s">
        <v>706</v>
      </c>
      <c r="D335" s="119" t="s">
        <v>155</v>
      </c>
      <c r="E335" s="104" t="s">
        <v>741</v>
      </c>
      <c r="F335" s="113"/>
      <c r="G335" s="119"/>
      <c r="H335" s="119"/>
      <c r="I335" s="102">
        <v>44823</v>
      </c>
      <c r="J335" s="103" t="s">
        <v>901</v>
      </c>
      <c r="K335" s="150"/>
      <c r="L335" s="150"/>
      <c r="M335" s="150"/>
      <c r="N335" s="254" t="str" cm="1">
        <f t="array" ref="N335">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35" s="255"/>
      <c r="P335" s="248"/>
      <c r="Q335" s="256" t="str" cm="1">
        <f t="array" ref="Q335">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35" s="257"/>
      <c r="S335" s="248"/>
      <c r="T335" s="254"/>
      <c r="U335" s="258"/>
      <c r="V335" s="259"/>
      <c r="W335" s="259"/>
      <c r="X335" s="255"/>
      <c r="Y335" s="259"/>
      <c r="Z335" s="259"/>
      <c r="AA335" s="260" t="str" cm="1">
        <f t="array" ref="AA335">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35" s="125"/>
      <c r="AD335" s="124"/>
    </row>
    <row r="336" spans="1:30" s="122" customFormat="1">
      <c r="A336"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VenezulanosVE2320</v>
      </c>
      <c r="B336" s="105" t="s">
        <v>705</v>
      </c>
      <c r="C336" s="104" t="s">
        <v>706</v>
      </c>
      <c r="D336" s="119" t="s">
        <v>203</v>
      </c>
      <c r="E336" s="104" t="s">
        <v>742</v>
      </c>
      <c r="F336" s="113"/>
      <c r="G336" s="119"/>
      <c r="H336" s="119"/>
      <c r="I336" s="102">
        <v>62202</v>
      </c>
      <c r="J336" s="103" t="s">
        <v>901</v>
      </c>
      <c r="K336" s="150"/>
      <c r="L336" s="150"/>
      <c r="M336" s="150"/>
      <c r="N336" s="254" t="str" cm="1">
        <f t="array" ref="N336">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36" s="255"/>
      <c r="P336" s="248"/>
      <c r="Q336" s="256" t="str" cm="1">
        <f t="array" ref="Q336">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36" s="257"/>
      <c r="S336" s="248"/>
      <c r="T336" s="254"/>
      <c r="U336" s="258"/>
      <c r="V336" s="259"/>
      <c r="W336" s="259"/>
      <c r="X336" s="255"/>
      <c r="Y336" s="259"/>
      <c r="Z336" s="259"/>
      <c r="AA336" s="260" t="str" cm="1">
        <f t="array" ref="AA336">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36" s="125"/>
      <c r="AD336" s="124"/>
    </row>
    <row r="337" spans="1:30" s="122" customFormat="1">
      <c r="A337"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VenezulanosVE2321</v>
      </c>
      <c r="B337" s="105" t="s">
        <v>705</v>
      </c>
      <c r="C337" s="104" t="s">
        <v>706</v>
      </c>
      <c r="D337" s="119" t="s">
        <v>743</v>
      </c>
      <c r="E337" s="104" t="s">
        <v>744</v>
      </c>
      <c r="F337" s="113"/>
      <c r="G337" s="119"/>
      <c r="H337" s="119"/>
      <c r="I337" s="102">
        <v>53812</v>
      </c>
      <c r="J337" s="103" t="s">
        <v>901</v>
      </c>
      <c r="K337" s="150"/>
      <c r="L337" s="150"/>
      <c r="M337" s="150"/>
      <c r="N337" s="254" t="str" cm="1">
        <f t="array" ref="N337">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37" s="255"/>
      <c r="P337" s="248"/>
      <c r="Q337" s="256" t="str" cm="1">
        <f t="array" ref="Q337">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37" s="257"/>
      <c r="S337" s="248"/>
      <c r="T337" s="254"/>
      <c r="U337" s="258"/>
      <c r="V337" s="259"/>
      <c r="W337" s="259"/>
      <c r="X337" s="255"/>
      <c r="Y337" s="259"/>
      <c r="Z337" s="259"/>
      <c r="AA337" s="260" t="str" cm="1">
        <f t="array" ref="AA337">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37" s="125"/>
      <c r="AD337" s="124"/>
    </row>
    <row r="338" spans="1:30" s="122" customFormat="1">
      <c r="A338" s="253" t="str">
        <f>IFERROR(_xlfn.CONCAT(IF(tblSeverityReference[[#This Row],[Grupo de población]]="", "",tblSeverityReference[[#This Row],[Grupo de población]] ), IF(tblSeverityReference[[#This Row],[Foco de necesidades]]&lt;&gt;"",tblSeverityReference[[#This Row],[Foco de necesidades]],), _xlfn.IFS(tblSeverityReference[[#This Row],[Admin 3 Código P]]&lt;&gt;"", tblSeverityReference[[#This Row],[Admin 3 Código P]], tblSeverityReference[[#This Row],[Admin 2 Código P]]&lt;&gt;"", tblSeverityReference[[#This Row],[Admin 2 Código P]], tblSeverityReference[[#This Row],[Admin 1 Código P]]&lt;&gt;"", tblSeverityReference[[#This Row],[Admin 1 Código P]])),"")</f>
        <v>VenezulanosVE2401</v>
      </c>
      <c r="B338" s="105" t="s">
        <v>745</v>
      </c>
      <c r="C338" s="104" t="s">
        <v>746</v>
      </c>
      <c r="D338" s="119" t="s">
        <v>747</v>
      </c>
      <c r="E338" s="104" t="s">
        <v>748</v>
      </c>
      <c r="F338" s="113"/>
      <c r="G338" s="119"/>
      <c r="H338" s="119"/>
      <c r="I338" s="102">
        <v>360888</v>
      </c>
      <c r="J338" s="103" t="s">
        <v>901</v>
      </c>
      <c r="K338" s="150"/>
      <c r="L338" s="150"/>
      <c r="M338" s="150"/>
      <c r="N338" s="254" t="str" cm="1">
        <f t="array" ref="N338">_xlfn.IFS(AND(tblSeverityReference[[#This Row],[CDR x/10 000/día]]="", tblSeverityReference[[#This Row],[Tasa de mortalidad de menores de 5 años]]= "", tblSeverityReference[[#This Row],[Víctimas civiles]]=""), "", OR(tblSeverityReference[[#This Row],[Víctimas civiles]]&gt;=2, tblSeverityReference[[#This Row],[CDR x/10 000/día]]&gt;=2, tblSeverityReference[[#This Row],[Tasa de mortalidad de menores de 5 años]]&gt;=4), 5, OR(tblSeverityReference[[#This Row],[Víctimas civiles]]&gt;=1, tblSeverityReference[[#This Row],[CDR x/10 000/día]]&gt;=1, tblSeverityReference[[#This Row],[Tasa de mortalidad de menores de 5 años]]&gt;=2), 4, OR(tblSeverityReference[[#This Row],[Víctimas civiles]]&gt;=0.5, tblSeverityReference[[#This Row],[CDR x/10 000/día]]&gt;=0.5, tblSeverityReference[[#This Row],[Tasa de mortalidad de menores de 5 años]]&gt;=1), 3, OR(tblSeverityReference[[#This Row],[Víctimas civiles]]&gt;=0, tblSeverityReference[[#This Row],[CDR x/10 000/día]]&gt;=0, tblSeverityReference[[#This Row],[Tasa de mortalidad de menores de 5 años]]&gt;=0), 2)</f>
        <v/>
      </c>
      <c r="O338" s="255"/>
      <c r="P338" s="248"/>
      <c r="Q338" s="256" t="str" cm="1">
        <f t="array" ref="Q338">IFERROR(_xlfn.IFS(AND(tblSeverityReference[[#This Row],[WHZ]]="", tblSeverityReference[[#This Row],[Perímetro braquial]]=""), "", OR(tblSeverityReference[[#This Row],[WHZ]] &gt;= 0.3, tblSeverityReference[[#This Row],[Perímetro braquial]]&gt;0.15), 5, OR(tblSeverityReference[[#This Row],[WHZ]] &gt;=0.15, tblSeverityReference[[#This Row],[Perímetro braquial]]&gt;0.1),  4, OR(tblSeverityReference[[#This Row],[WHZ]] &gt;=0.1,tblSeverityReference[[#This Row],[Perímetro braquial]]&gt;0.05), 3, OR(tblSeverityReference[[#This Row],[WHZ]] &gt;= 0.05, tblSeverityReference[[#This Row],[Perímetro braquial]]&gt;=0), 2, tblSeverityReference[[#This Row],[WHZ]] &gt;=0, 1), "")</f>
        <v/>
      </c>
      <c r="R338" s="257"/>
      <c r="S338" s="248"/>
      <c r="T338" s="254"/>
      <c r="U338" s="258"/>
      <c r="V338" s="259"/>
      <c r="W338" s="259"/>
      <c r="X338" s="255"/>
      <c r="Y338" s="259"/>
      <c r="Z338" s="259"/>
      <c r="AA338" s="260" t="str" cm="1">
        <f t="array" ref="AA338">_xlfn.IFS(SUM(tblSeverityReference[[#This Row],[Estrategia de afrontamiento (mínima)]:[Estrategia de afrontamiento (catastrófica)]])=0, "", tblSeverityReference[[#This Row],[Estrategia de afrontamiento (catastrófica)]]&gt;0.2, 5, tblSeverityReference[[#This Row],[Estrategia de afrontamiento (catastrófica)]]+tblSeverityReference[[#This Row],[Estrategia de afrontamiento (extrema)]]&gt;0.2, 4, tblSeverityReference[[#This Row],[Estrategia de afrontamiento (catastrófica)]]+tblSeverityReference[[#This Row],[Estrategia de afrontamiento (extrema)]]+tblSeverityReference[[#This Row],[Estrategia de afrontamiento (severa)]]&gt;0.2, 3, tblSeverityReference[[#This Row],[Estrategia de afrontamiento (catastrófica)]]+tblSeverityReference[[#This Row],[Estrategia de afrontamiento (extrema)]]+tblSeverityReference[[#This Row],[Estrategia de afrontamiento (severa)]]+tblSeverityReference[[#This Row],[Estrategia de afrontamiento (estresada)]]&gt;0.2, 2, 1=1, 1)</f>
        <v/>
      </c>
      <c r="AB338" s="125"/>
      <c r="AD338" s="124"/>
    </row>
  </sheetData>
  <mergeCells count="5">
    <mergeCell ref="K2:T2"/>
    <mergeCell ref="B2:G2"/>
    <mergeCell ref="I2:J2"/>
    <mergeCell ref="K1:AA1"/>
    <mergeCell ref="U2:AA2"/>
  </mergeCells>
  <phoneticPr fontId="8"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36FDA-7DEA-4C00-BDCD-877AD5FC3B43}">
  <sheetPr>
    <tabColor theme="7" tint="0.59999389629810485"/>
  </sheetPr>
  <dimension ref="A1:BA336"/>
  <sheetViews>
    <sheetView workbookViewId="0">
      <selection activeCell="AR4" sqref="AR4"/>
    </sheetView>
  </sheetViews>
  <sheetFormatPr defaultColWidth="8.7109375" defaultRowHeight="14.45"/>
  <cols>
    <col min="1" max="1" width="16.42578125" customWidth="1"/>
    <col min="2" max="2" width="5.85546875" hidden="1" customWidth="1"/>
    <col min="3" max="3" width="23.85546875" customWidth="1"/>
    <col min="4" max="4" width="8.5703125" customWidth="1"/>
    <col min="5" max="5" width="13.28515625" bestFit="1" customWidth="1"/>
    <col min="6" max="10" width="8.7109375" customWidth="1"/>
    <col min="11" max="11" width="14.85546875" customWidth="1"/>
    <col min="12" max="21" width="8.7109375" customWidth="1"/>
    <col min="22" max="22" width="13.42578125" bestFit="1" customWidth="1"/>
    <col min="23" max="23" width="10.42578125" customWidth="1"/>
    <col min="24" max="24" width="11.5703125" bestFit="1" customWidth="1"/>
    <col min="25" max="25" width="11.5703125" customWidth="1"/>
    <col min="26" max="26" width="9.5703125" customWidth="1"/>
    <col min="27" max="27" width="11.42578125" customWidth="1"/>
    <col min="28" max="28" width="11.140625" bestFit="1" customWidth="1"/>
    <col min="29" max="29" width="11.5703125" bestFit="1" customWidth="1"/>
    <col min="30" max="30" width="51.42578125" customWidth="1"/>
    <col min="31" max="39" width="11.42578125" customWidth="1"/>
    <col min="40" max="40" width="6.7109375" customWidth="1"/>
    <col min="41" max="41" width="6.7109375" hidden="1" customWidth="1"/>
    <col min="42" max="42" width="13.5703125" customWidth="1"/>
    <col min="43" max="52" width="11.42578125" customWidth="1"/>
  </cols>
  <sheetData>
    <row r="1" spans="1:53" ht="29.45" customHeight="1">
      <c r="A1" s="268" t="s">
        <v>761</v>
      </c>
      <c r="B1" s="268" t="s">
        <v>762</v>
      </c>
      <c r="C1" s="268" t="s">
        <v>763</v>
      </c>
      <c r="D1" s="268" t="s">
        <v>764</v>
      </c>
      <c r="E1" s="268" t="s">
        <v>902</v>
      </c>
      <c r="F1" s="268" t="s">
        <v>903</v>
      </c>
      <c r="G1" s="268" t="s">
        <v>904</v>
      </c>
      <c r="H1" s="268" t="s">
        <v>905</v>
      </c>
      <c r="I1" s="268" t="s">
        <v>906</v>
      </c>
      <c r="J1" s="268" t="s">
        <v>907</v>
      </c>
      <c r="K1" s="268" t="s">
        <v>908</v>
      </c>
      <c r="L1" s="268" t="s">
        <v>909</v>
      </c>
      <c r="M1" s="268" t="s">
        <v>910</v>
      </c>
      <c r="N1" s="268" t="s">
        <v>911</v>
      </c>
      <c r="O1" s="268" t="s">
        <v>912</v>
      </c>
      <c r="P1" s="268" t="s">
        <v>913</v>
      </c>
      <c r="Q1" s="268" t="s">
        <v>914</v>
      </c>
      <c r="R1" s="268" t="s">
        <v>915</v>
      </c>
      <c r="S1" s="268" t="s">
        <v>916</v>
      </c>
      <c r="T1" s="268" t="s">
        <v>917</v>
      </c>
      <c r="U1" s="268" t="s">
        <v>918</v>
      </c>
      <c r="V1" s="268" t="s">
        <v>919</v>
      </c>
      <c r="W1" s="309" t="s">
        <v>861</v>
      </c>
      <c r="X1" s="309" t="s">
        <v>920</v>
      </c>
      <c r="Y1" s="310" t="s">
        <v>921</v>
      </c>
      <c r="Z1" s="311" t="s">
        <v>922</v>
      </c>
      <c r="AA1" s="310" t="s">
        <v>923</v>
      </c>
      <c r="AB1" s="310" t="s">
        <v>924</v>
      </c>
      <c r="AC1" s="310" t="s">
        <v>925</v>
      </c>
      <c r="AD1" s="310" t="s">
        <v>926</v>
      </c>
      <c r="AE1" s="310" t="s">
        <v>927</v>
      </c>
      <c r="AF1" s="310" t="s">
        <v>928</v>
      </c>
      <c r="AG1" s="310" t="s">
        <v>929</v>
      </c>
      <c r="AH1" s="310" t="s">
        <v>930</v>
      </c>
      <c r="AI1" s="310" t="s">
        <v>931</v>
      </c>
      <c r="AJ1" s="310" t="s">
        <v>932</v>
      </c>
      <c r="AK1" s="310" t="s">
        <v>933</v>
      </c>
      <c r="AL1" s="310" t="s">
        <v>934</v>
      </c>
      <c r="AM1" s="310" t="s">
        <v>935</v>
      </c>
      <c r="AN1" s="310" t="s">
        <v>936</v>
      </c>
      <c r="AO1" s="310" t="s">
        <v>937</v>
      </c>
      <c r="AP1" s="310" t="s">
        <v>938</v>
      </c>
      <c r="AQ1" s="310" t="s">
        <v>939</v>
      </c>
      <c r="AR1" s="310" t="s">
        <v>940</v>
      </c>
      <c r="AS1" t="s">
        <v>941</v>
      </c>
      <c r="AT1" t="s">
        <v>942</v>
      </c>
      <c r="AU1" t="s">
        <v>943</v>
      </c>
      <c r="AV1" t="s">
        <v>944</v>
      </c>
      <c r="AW1" t="s">
        <v>945</v>
      </c>
      <c r="AX1" t="s">
        <v>946</v>
      </c>
      <c r="AY1" t="s">
        <v>947</v>
      </c>
      <c r="AZ1" t="s">
        <v>948</v>
      </c>
      <c r="BA1" t="s">
        <v>949</v>
      </c>
    </row>
    <row r="2" spans="1:53">
      <c r="A2" t="s">
        <v>180</v>
      </c>
      <c r="B2" t="s">
        <v>239</v>
      </c>
      <c r="C2" t="s">
        <v>252</v>
      </c>
      <c r="D2" t="s">
        <v>253</v>
      </c>
      <c r="E2" s="8">
        <v>41853</v>
      </c>
      <c r="F2" s="8">
        <v>21591</v>
      </c>
      <c r="G2" s="8">
        <v>1297.1731768772693</v>
      </c>
      <c r="H2" s="8">
        <v>28000</v>
      </c>
      <c r="I2" s="8">
        <v>3621.390173575317</v>
      </c>
      <c r="J2" s="8">
        <v>10028.49676865043</v>
      </c>
      <c r="K2" s="8">
        <v>2825.0775000000003</v>
      </c>
      <c r="L2" s="8">
        <v>3219.1474627367879</v>
      </c>
      <c r="M2" s="8">
        <v>3509.9738690276508</v>
      </c>
      <c r="N2" s="6" cm="1">
        <f t="array" ref="N2">_xlfn.XLOOKUP(Table8[[#This Row],[Admin2PCODE]:[Admin2PCODE]],tblPiNAnalysis[[Admin2PCODE]:[Admin2PCODE]],tblPiNAnalysis[% SAMV],0,0)</f>
        <v>0.5</v>
      </c>
      <c r="O2" s="6" cm="1">
        <f t="array" ref="O2">_xlfn.XLOOKUP(Table8[[#This Row],[Admin2PCODE]:[Admin2PCODE]],tblPiNAnalysis[[Admin2PCODE]:[Admin2PCODE]],tblPiNAnalysis[% NUT],0,0)</f>
        <v>0.05</v>
      </c>
      <c r="P2" s="6" cm="1">
        <f t="array" ref="P2">_xlfn.XLOOKUP(Table8[[#This Row],[Admin2PCODE]:[Admin2PCODE]],tblPiNAnalysis[[Admin2PCODE]:[Admin2PCODE]],tblPiNAnalysis[% SAL],0,0)</f>
        <v>0.65</v>
      </c>
      <c r="Q2" s="6" cm="1">
        <f t="array" ref="Q2">_xlfn.XLOOKUP(Table8[[#This Row],[Admin2PCODE]:[Admin2PCODE]],tblPiNAnalysis[[Admin2PCODE]:[Admin2PCODE]],tblPiNAnalysis[% EDU],0,0)</f>
        <v>0.1</v>
      </c>
      <c r="R2" s="6" cm="1">
        <f t="array" ref="R2">_xlfn.XLOOKUP(Table8[[#This Row],[Admin2PCODE]:[Admin2PCODE]],tblPiNAnalysis[[Admin2PCODE]:[Admin2PCODE]],tblPiNAnalysis[% PRO],0,0)</f>
        <v>0.25</v>
      </c>
      <c r="S2" s="6" cm="1">
        <f t="array" ref="S2">_xlfn.XLOOKUP(Table8[[#This Row],[Admin2PCODE]:[Admin2PCODE]],tblPiNAnalysis[[Admin2PCODE]:[Admin2PCODE]],tblPiNAnalysis[% WASH],0,0)</f>
        <v>0.05</v>
      </c>
      <c r="T2" s="6" cm="1">
        <f t="array" ref="T2">_xlfn.XLOOKUP(Table8[[#This Row],[Admin2PCODE]:[Admin2PCODE]],tblPiNAnalysis[[Admin2PCODE]:[Admin2PCODE]],tblPiNAnalysis[% NNA],0,0)</f>
        <v>0.1</v>
      </c>
      <c r="U2" s="6" cm="1">
        <f t="array" ref="U2">_xlfn.XLOOKUP(Table8[[#This Row],[Admin2PCODE]:[Admin2PCODE]],tblPiNAnalysis[[Admin2PCODE]:[Admin2PCODE]],tblPiNAnalysis[% VBG],0,0)</f>
        <v>0.1</v>
      </c>
      <c r="V2" s="8" cm="1">
        <f t="array" ref="V2">_xlfn.XLOOKUP(Table8[[#This Row],[Admin2PCODE]:[Admin2PCODE]],tblPiNAnalysis[[Admin2PCODE]:[Admin2PCODE]],tblPiNAnalysis[PiN preliminar],0,0)</f>
        <v>28000</v>
      </c>
      <c r="W2" s="308" cm="1">
        <f t="array" ref="W2">_xlfn.XLOOKUP(Table8[[#This Row],[Admin2PCODE]],tblPiNAnalysis[Admin2PCODE],tblSeverityAnalysis[Severidad media],0,0)</f>
        <v>2.6666666666666665</v>
      </c>
      <c r="X2" s="42">
        <f>Table8[[#This Row],[Severidad media]]*6</f>
        <v>16</v>
      </c>
      <c r="Y2" s="6" cm="1">
        <f t="array" ref="Y2">_xlfn.XLOOKUP(Table8[[#This Row],[Admin2PCODE]],tblPiNAnalysis[Admin2PCODE],tblPiNAnalysis[% PiN Sectores más altos],0,0)</f>
        <v>0.66900819535039302</v>
      </c>
      <c r="Z2" s="42" cm="1">
        <f t="array" ref="Z2">_xlfn.XLOOKUP(Table8[[#This Row],[Admin2PCODE]:[Admin2PCODE]],tblPiNAnalysis[[Admin2PCODE]:[Admin2PCODE]],tblPiNAnalysis[Severidad],0,0)</f>
        <v>4</v>
      </c>
      <c r="AA2">
        <f>_xlfn.XLOOKUP(Table8[[#This Row],[Admin2PCODE]],tblSeverityAnalysis[Admin 2 Código P],tblSeverityAnalysis[Severidad Ttotal 2025],0,0)</f>
        <v>5</v>
      </c>
      <c r="AB2" t="str">
        <f>_xlfn.XLOOKUP(Table8[[#This Row],[Admin2PCODE]],tblSeverityAnalysis[Admin 2 Código P],tblSeverityAnalysis[Priorización Final 2025],0,0)</f>
        <v>No</v>
      </c>
      <c r="AC2">
        <v>6</v>
      </c>
      <c r="AD2" t="s">
        <v>950</v>
      </c>
      <c r="AE2">
        <v>3</v>
      </c>
      <c r="AF2">
        <v>0</v>
      </c>
      <c r="AG2">
        <v>1</v>
      </c>
      <c r="AH2">
        <v>0</v>
      </c>
      <c r="AI2">
        <v>1</v>
      </c>
      <c r="AJ2">
        <v>2</v>
      </c>
      <c r="AK2">
        <v>1</v>
      </c>
      <c r="AL2">
        <v>1</v>
      </c>
      <c r="AM2">
        <v>1</v>
      </c>
      <c r="AN2">
        <v>1</v>
      </c>
      <c r="AO2" s="314">
        <f>Table8[[#This Row],[N° Clústeres con respuesta]]/Table8[[#This Row],[Org Total]]</f>
        <v>2</v>
      </c>
      <c r="AP2" s="313">
        <v>9771</v>
      </c>
      <c r="AQ2" s="313">
        <v>1569</v>
      </c>
      <c r="AR2" s="312">
        <f>Table8[[#This Row],[Alcanzados Oct 2025]]/Table8[[#This Row],[Meta 2025]]</f>
        <v>0.1605772182990482</v>
      </c>
      <c r="AS2" s="423">
        <v>0</v>
      </c>
      <c r="AT2" s="423">
        <v>1569</v>
      </c>
      <c r="AU2" s="423">
        <v>0</v>
      </c>
      <c r="AV2" s="423">
        <v>342</v>
      </c>
      <c r="AW2" s="423">
        <v>8</v>
      </c>
      <c r="AX2" s="423">
        <v>0</v>
      </c>
      <c r="AY2" s="423">
        <v>2</v>
      </c>
      <c r="AZ2" s="423">
        <v>825</v>
      </c>
      <c r="BA2" s="42">
        <v>429</v>
      </c>
    </row>
    <row r="3" spans="1:53">
      <c r="A3" t="s">
        <v>306</v>
      </c>
      <c r="B3" t="s">
        <v>307</v>
      </c>
      <c r="C3" s="430" t="s">
        <v>308</v>
      </c>
      <c r="D3" t="s">
        <v>309</v>
      </c>
      <c r="E3" s="8">
        <v>27250</v>
      </c>
      <c r="F3" s="8">
        <v>9669</v>
      </c>
      <c r="G3" s="8">
        <v>3020.7010416679373</v>
      </c>
      <c r="H3" s="8">
        <v>22400</v>
      </c>
      <c r="I3" s="8">
        <v>2224.6410759086475</v>
      </c>
      <c r="J3" s="8">
        <v>6507.468808159284</v>
      </c>
      <c r="K3" s="8">
        <v>16350</v>
      </c>
      <c r="L3" s="8">
        <v>2082.3900186109709</v>
      </c>
      <c r="M3" s="8">
        <v>2277.6140828557491</v>
      </c>
      <c r="N3" s="6" cm="1">
        <f t="array" ref="N3">_xlfn.XLOOKUP(Table8[[#This Row],[Admin2PCODE]:[Admin2PCODE]],tblPiNAnalysis[[Admin2PCODE]:[Admin2PCODE]],tblPiNAnalysis[% SAMV],0,0)</f>
        <v>0.35000000000000003</v>
      </c>
      <c r="O3" s="6" cm="1">
        <f t="array" ref="O3">_xlfn.XLOOKUP(Table8[[#This Row],[Admin2PCODE]:[Admin2PCODE]],tblPiNAnalysis[[Admin2PCODE]:[Admin2PCODE]],tblPiNAnalysis[% NUT],0,0)</f>
        <v>0.1</v>
      </c>
      <c r="P3" s="6" cm="1">
        <f t="array" ref="P3">_xlfn.XLOOKUP(Table8[[#This Row],[Admin2PCODE]:[Admin2PCODE]],tblPiNAnalysis[[Admin2PCODE]:[Admin2PCODE]],tblPiNAnalysis[% SAL],0,0)</f>
        <v>0.8</v>
      </c>
      <c r="Q3" s="6" cm="1">
        <f t="array" ref="Q3">_xlfn.XLOOKUP(Table8[[#This Row],[Admin2PCODE]:[Admin2PCODE]],tblPiNAnalysis[[Admin2PCODE]:[Admin2PCODE]],tblPiNAnalysis[% EDU],0,0)</f>
        <v>0.1</v>
      </c>
      <c r="R3" s="6" cm="1">
        <f t="array" ref="R3">_xlfn.XLOOKUP(Table8[[#This Row],[Admin2PCODE]:[Admin2PCODE]],tblPiNAnalysis[[Admin2PCODE]:[Admin2PCODE]],tblPiNAnalysis[% PRO],0,0)</f>
        <v>0.25</v>
      </c>
      <c r="S3" s="6" cm="1">
        <f t="array" ref="S3">_xlfn.XLOOKUP(Table8[[#This Row],[Admin2PCODE]:[Admin2PCODE]],tblPiNAnalysis[[Admin2PCODE]:[Admin2PCODE]],tblPiNAnalysis[% WASH],0,0)</f>
        <v>0.60000000000000009</v>
      </c>
      <c r="T3" s="6" cm="1">
        <f t="array" ref="T3">_xlfn.XLOOKUP(Table8[[#This Row],[Admin2PCODE]:[Admin2PCODE]],tblPiNAnalysis[[Admin2PCODE]:[Admin2PCODE]],tblPiNAnalysis[% NNA],0,0)</f>
        <v>0.1</v>
      </c>
      <c r="U3" s="6" cm="1">
        <f t="array" ref="U3">_xlfn.XLOOKUP(Table8[[#This Row],[Admin2PCODE]:[Admin2PCODE]],tblPiNAnalysis[[Admin2PCODE]:[Admin2PCODE]],tblPiNAnalysis[% VBG],0,0)</f>
        <v>0.1</v>
      </c>
      <c r="V3" s="8" cm="1">
        <f t="array" ref="V3">_xlfn.XLOOKUP(Table8[[#This Row],[Admin2PCODE]:[Admin2PCODE]],tblPiNAnalysis[[Admin2PCODE]:[Admin2PCODE]],tblPiNAnalysis[PiN preliminar],0,0)</f>
        <v>22400</v>
      </c>
      <c r="W3" s="308" cm="1">
        <f t="array" ref="W3">_xlfn.XLOOKUP(Table8[[#This Row],[Admin2PCODE]],tblPiNAnalysis[Admin2PCODE],tblSeverityAnalysis[Severidad media],0,0)</f>
        <v>2.3333333333333335</v>
      </c>
      <c r="X3" s="42">
        <f>Table8[[#This Row],[Severidad media]]*6</f>
        <v>14</v>
      </c>
      <c r="Y3" s="6" cm="1">
        <f t="array" ref="Y3">_xlfn.XLOOKUP(Table8[[#This Row],[Admin2PCODE]],tblPiNAnalysis[Admin2PCODE],tblPiNAnalysis[% PiN Sectores más altos],0,0)</f>
        <v>0.82201834862385326</v>
      </c>
      <c r="Z3" s="42" cm="1">
        <f t="array" ref="Z3">_xlfn.XLOOKUP(Table8[[#This Row],[Admin2PCODE]:[Admin2PCODE]],tblPiNAnalysis[[Admin2PCODE]:[Admin2PCODE]],tblPiNAnalysis[Severidad],0,0)</f>
        <v>5</v>
      </c>
      <c r="AA3">
        <f>_xlfn.XLOOKUP(Table8[[#This Row],[Admin2PCODE]],tblSeverityAnalysis[Admin 2 Código P],tblSeverityAnalysis[Severidad Ttotal 2025],0,0)</f>
        <v>5</v>
      </c>
      <c r="AB3" t="str">
        <f>_xlfn.XLOOKUP(Table8[[#This Row],[Admin2PCODE]],tblSeverityAnalysis[Admin 2 Código P],tblSeverityAnalysis[Priorización Final 2025],0,0)</f>
        <v>Sí</v>
      </c>
      <c r="AC3">
        <v>9</v>
      </c>
      <c r="AD3" t="s">
        <v>951</v>
      </c>
      <c r="AE3">
        <v>11</v>
      </c>
      <c r="AF3">
        <v>1</v>
      </c>
      <c r="AG3">
        <v>5</v>
      </c>
      <c r="AH3">
        <v>3</v>
      </c>
      <c r="AI3">
        <v>1</v>
      </c>
      <c r="AJ3">
        <v>5</v>
      </c>
      <c r="AK3">
        <v>1</v>
      </c>
      <c r="AL3">
        <v>1</v>
      </c>
      <c r="AM3">
        <v>7</v>
      </c>
      <c r="AN3">
        <v>2</v>
      </c>
      <c r="AO3" s="314">
        <f>Table8[[#This Row],[N° Clústeres con respuesta]]/Table8[[#This Row],[Org Total]]</f>
        <v>0.81818181818181823</v>
      </c>
      <c r="AP3" s="313">
        <v>6363</v>
      </c>
      <c r="AQ3" s="313">
        <v>20046</v>
      </c>
      <c r="AR3" s="312">
        <f>Table8[[#This Row],[Alcanzados Oct 2025]]/Table8[[#This Row],[Meta 2025]]</f>
        <v>3.1504007543611503</v>
      </c>
      <c r="AS3" s="423">
        <v>0</v>
      </c>
      <c r="AT3" s="423">
        <v>1641</v>
      </c>
      <c r="AU3" s="423">
        <v>1676</v>
      </c>
      <c r="AV3" s="423">
        <v>630</v>
      </c>
      <c r="AW3" s="423">
        <v>796</v>
      </c>
      <c r="AX3" s="423">
        <v>977</v>
      </c>
      <c r="AY3" s="423">
        <v>207</v>
      </c>
      <c r="AZ3" s="423">
        <v>4419</v>
      </c>
      <c r="BA3" s="42">
        <v>20046</v>
      </c>
    </row>
    <row r="4" spans="1:53">
      <c r="A4" t="s">
        <v>103</v>
      </c>
      <c r="B4" t="s">
        <v>104</v>
      </c>
      <c r="C4" t="s">
        <v>105</v>
      </c>
      <c r="D4" t="s">
        <v>106</v>
      </c>
      <c r="E4" s="8">
        <v>12973</v>
      </c>
      <c r="F4" s="8">
        <v>3964</v>
      </c>
      <c r="G4" s="8">
        <v>982.13525880133534</v>
      </c>
      <c r="H4" s="8">
        <v>9100</v>
      </c>
      <c r="I4" s="8">
        <v>1347.7145588794669</v>
      </c>
      <c r="J4" s="8">
        <v>2586.5263587700383</v>
      </c>
      <c r="K4" s="8">
        <v>7783.7999999999993</v>
      </c>
      <c r="L4" s="8">
        <v>827.68843480641226</v>
      </c>
      <c r="M4" s="8">
        <v>905.28422556951341</v>
      </c>
      <c r="N4" s="6" cm="1">
        <f t="array" ref="N4">_xlfn.XLOOKUP(Table8[[#This Row],[Admin2PCODE]:[Admin2PCODE]],tblPiNAnalysis[[Admin2PCODE]:[Admin2PCODE]],tblPiNAnalysis[% SAMV],0,0)</f>
        <v>0.30000000000000004</v>
      </c>
      <c r="O4" s="6" cm="1">
        <f t="array" ref="O4">_xlfn.XLOOKUP(Table8[[#This Row],[Admin2PCODE]:[Admin2PCODE]],tblPiNAnalysis[[Admin2PCODE]:[Admin2PCODE]],tblPiNAnalysis[% NUT],0,0)</f>
        <v>0.1</v>
      </c>
      <c r="P4" s="6" cm="1">
        <f t="array" ref="P4">_xlfn.XLOOKUP(Table8[[#This Row],[Admin2PCODE]:[Admin2PCODE]],tblPiNAnalysis[[Admin2PCODE]:[Admin2PCODE]],tblPiNAnalysis[% SAL],0,0)</f>
        <v>0.70000000000000007</v>
      </c>
      <c r="Q4" s="6" cm="1">
        <f t="array" ref="Q4">_xlfn.XLOOKUP(Table8[[#This Row],[Admin2PCODE]:[Admin2PCODE]],tblPiNAnalysis[[Admin2PCODE]:[Admin2PCODE]],tblPiNAnalysis[% EDU],0,0)</f>
        <v>0.1</v>
      </c>
      <c r="R4" s="6" cm="1">
        <f t="array" ref="R4">_xlfn.XLOOKUP(Table8[[#This Row],[Admin2PCODE]:[Admin2PCODE]],tblPiNAnalysis[[Admin2PCODE]:[Admin2PCODE]],tblPiNAnalysis[% PRO],0,0)</f>
        <v>0.2</v>
      </c>
      <c r="S4" s="6" cm="1">
        <f t="array" ref="S4">_xlfn.XLOOKUP(Table8[[#This Row],[Admin2PCODE]:[Admin2PCODE]],tblPiNAnalysis[[Admin2PCODE]:[Admin2PCODE]],tblPiNAnalysis[% WASH],0,0)</f>
        <v>0.60000000000000009</v>
      </c>
      <c r="T4" s="6" cm="1">
        <f t="array" ref="T4">_xlfn.XLOOKUP(Table8[[#This Row],[Admin2PCODE]:[Admin2PCODE]],tblPiNAnalysis[[Admin2PCODE]:[Admin2PCODE]],tblPiNAnalysis[% NNA],0,0)</f>
        <v>0.05</v>
      </c>
      <c r="U4" s="6" cm="1">
        <f t="array" ref="U4">_xlfn.XLOOKUP(Table8[[#This Row],[Admin2PCODE]:[Admin2PCODE]],tblPiNAnalysis[[Admin2PCODE]:[Admin2PCODE]],tblPiNAnalysis[% VBG],0,0)</f>
        <v>0.05</v>
      </c>
      <c r="V4" s="8" cm="1">
        <f t="array" ref="V4">_xlfn.XLOOKUP(Table8[[#This Row],[Admin2PCODE]:[Admin2PCODE]],tblPiNAnalysis[[Admin2PCODE]:[Admin2PCODE]],tblPiNAnalysis[PiN preliminar],0,0)</f>
        <v>9100</v>
      </c>
      <c r="W4" s="308" cm="1">
        <f t="array" ref="W4">_xlfn.XLOOKUP(Table8[[#This Row],[Admin2PCODE]],tblPiNAnalysis[Admin2PCODE],tblSeverityAnalysis[Severidad media],0,0)</f>
        <v>3.5</v>
      </c>
      <c r="X4" s="42">
        <f>Table8[[#This Row],[Severidad media]]*6</f>
        <v>21</v>
      </c>
      <c r="Y4" s="6" cm="1">
        <f t="array" ref="Y4">_xlfn.XLOOKUP(Table8[[#This Row],[Admin2PCODE]],tblPiNAnalysis[Admin2PCODE],tblPiNAnalysis[% PiN Sectores más altos],0,0)</f>
        <v>0.70145687196485007</v>
      </c>
      <c r="Z4" s="42" cm="1">
        <f t="array" ref="Z4">_xlfn.XLOOKUP(Table8[[#This Row],[Admin2PCODE]:[Admin2PCODE]],tblPiNAnalysis[[Admin2PCODE]:[Admin2PCODE]],tblPiNAnalysis[Severidad],0,0)</f>
        <v>3</v>
      </c>
      <c r="AA4">
        <f>_xlfn.XLOOKUP(Table8[[#This Row],[Admin2PCODE]],tblSeverityAnalysis[Admin 2 Código P],tblSeverityAnalysis[Severidad Ttotal 2025],0,0)</f>
        <v>4</v>
      </c>
      <c r="AB4" t="str">
        <f>_xlfn.XLOOKUP(Table8[[#This Row],[Admin2PCODE]],tblSeverityAnalysis[Admin 2 Código P],tblSeverityAnalysis[Priorización Final 2025],0,0)</f>
        <v>No</v>
      </c>
      <c r="AC4">
        <v>1</v>
      </c>
      <c r="AD4" t="s">
        <v>952</v>
      </c>
      <c r="AE4">
        <v>2</v>
      </c>
      <c r="AF4">
        <v>0</v>
      </c>
      <c r="AG4">
        <v>0</v>
      </c>
      <c r="AH4">
        <v>0</v>
      </c>
      <c r="AI4">
        <v>0</v>
      </c>
      <c r="AJ4">
        <v>2</v>
      </c>
      <c r="AK4">
        <v>0</v>
      </c>
      <c r="AL4">
        <v>0</v>
      </c>
      <c r="AM4">
        <v>0</v>
      </c>
      <c r="AN4">
        <v>0</v>
      </c>
      <c r="AO4" s="314">
        <f>Table8[[#This Row],[N° Clústeres con respuesta]]/Table8[[#This Row],[Org Total]]</f>
        <v>0.5</v>
      </c>
      <c r="AP4" s="313">
        <v>3029</v>
      </c>
      <c r="AQ4" s="313">
        <v>1</v>
      </c>
      <c r="AR4" s="312">
        <f>Table8[[#This Row],[Alcanzados Oct 2025]]/Table8[[#This Row],[Meta 2025]]</f>
        <v>3.3014196104324861E-4</v>
      </c>
      <c r="AS4" s="423">
        <v>0</v>
      </c>
      <c r="AT4" s="423">
        <v>0</v>
      </c>
      <c r="AU4" s="423">
        <v>0</v>
      </c>
      <c r="AV4" s="423">
        <v>0</v>
      </c>
      <c r="AW4" s="423">
        <v>1</v>
      </c>
      <c r="AX4" s="423">
        <v>0</v>
      </c>
      <c r="AY4" s="423">
        <v>0</v>
      </c>
      <c r="AZ4" s="423">
        <v>0</v>
      </c>
      <c r="BA4" s="42">
        <v>0</v>
      </c>
    </row>
    <row r="5" spans="1:53">
      <c r="A5" t="s">
        <v>103</v>
      </c>
      <c r="B5" t="s">
        <v>104</v>
      </c>
      <c r="C5" t="s">
        <v>107</v>
      </c>
      <c r="D5" t="s">
        <v>108</v>
      </c>
      <c r="E5" s="8">
        <v>9377</v>
      </c>
      <c r="F5" s="8">
        <v>1563</v>
      </c>
      <c r="G5" s="8">
        <v>509.86292503653624</v>
      </c>
      <c r="H5" s="8">
        <v>7700</v>
      </c>
      <c r="I5" s="8">
        <v>726.38710305892255</v>
      </c>
      <c r="J5" s="8">
        <v>2243.4771602115143</v>
      </c>
      <c r="K5" s="8">
        <v>5626.2</v>
      </c>
      <c r="L5" s="8">
        <v>717.91269126768452</v>
      </c>
      <c r="M5" s="8">
        <v>785.21700607403011</v>
      </c>
      <c r="N5" s="6" cm="1">
        <f t="array" ref="N5">_xlfn.XLOOKUP(Table8[[#This Row],[Admin2PCODE]:[Admin2PCODE]],tblPiNAnalysis[[Admin2PCODE]:[Admin2PCODE]],tblPiNAnalysis[% SAMV],0,0)</f>
        <v>0.15000000000000002</v>
      </c>
      <c r="O5" s="6" cm="1">
        <f t="array" ref="O5">_xlfn.XLOOKUP(Table8[[#This Row],[Admin2PCODE]:[Admin2PCODE]],tblPiNAnalysis[[Admin2PCODE]:[Admin2PCODE]],tblPiNAnalysis[% NUT],0,0)</f>
        <v>0.05</v>
      </c>
      <c r="P5" s="6" cm="1">
        <f t="array" ref="P5">_xlfn.XLOOKUP(Table8[[#This Row],[Admin2PCODE]:[Admin2PCODE]],tblPiNAnalysis[[Admin2PCODE]:[Admin2PCODE]],tblPiNAnalysis[% SAL],0,0)</f>
        <v>0.8</v>
      </c>
      <c r="Q5" s="6" cm="1">
        <f t="array" ref="Q5">_xlfn.XLOOKUP(Table8[[#This Row],[Admin2PCODE]:[Admin2PCODE]],tblPiNAnalysis[[Admin2PCODE]:[Admin2PCODE]],tblPiNAnalysis[% EDU],0,0)</f>
        <v>0.1</v>
      </c>
      <c r="R5" s="6" cm="1">
        <f t="array" ref="R5">_xlfn.XLOOKUP(Table8[[#This Row],[Admin2PCODE]:[Admin2PCODE]],tblPiNAnalysis[[Admin2PCODE]:[Admin2PCODE]],tblPiNAnalysis[% PRO],0,0)</f>
        <v>0.25</v>
      </c>
      <c r="S5" s="6" cm="1">
        <f t="array" ref="S5">_xlfn.XLOOKUP(Table8[[#This Row],[Admin2PCODE]:[Admin2PCODE]],tblPiNAnalysis[[Admin2PCODE]:[Admin2PCODE]],tblPiNAnalysis[% WASH],0,0)</f>
        <v>0.60000000000000009</v>
      </c>
      <c r="T5" s="6" cm="1">
        <f t="array" ref="T5">_xlfn.XLOOKUP(Table8[[#This Row],[Admin2PCODE]:[Admin2PCODE]],tblPiNAnalysis[[Admin2PCODE]:[Admin2PCODE]],tblPiNAnalysis[% NNA],0,0)</f>
        <v>0.1</v>
      </c>
      <c r="U5" s="6" cm="1">
        <f t="array" ref="U5">_xlfn.XLOOKUP(Table8[[#This Row],[Admin2PCODE]:[Admin2PCODE]],tblPiNAnalysis[[Admin2PCODE]:[Admin2PCODE]],tblPiNAnalysis[% VBG],0,0)</f>
        <v>0.1</v>
      </c>
      <c r="V5" s="8" cm="1">
        <f t="array" ref="V5">_xlfn.XLOOKUP(Table8[[#This Row],[Admin2PCODE]:[Admin2PCODE]],tblPiNAnalysis[[Admin2PCODE]:[Admin2PCODE]],tblPiNAnalysis[PiN preliminar],0,0)</f>
        <v>7700</v>
      </c>
      <c r="W5" s="308" cm="1">
        <f t="array" ref="W5">_xlfn.XLOOKUP(Table8[[#This Row],[Admin2PCODE]],tblPiNAnalysis[Admin2PCODE],tblSeverityAnalysis[Severidad media],0,0)</f>
        <v>2.8333333333333335</v>
      </c>
      <c r="X5" s="42">
        <f>Table8[[#This Row],[Severidad media]]*6</f>
        <v>17</v>
      </c>
      <c r="Y5" s="6" cm="1">
        <f t="array" ref="Y5">_xlfn.XLOOKUP(Table8[[#This Row],[Admin2PCODE]],tblPiNAnalysis[Admin2PCODE],tblPiNAnalysis[% PiN Sectores más altos],0,0)</f>
        <v>0.82115815292737548</v>
      </c>
      <c r="Z5" s="42" cm="1">
        <f t="array" ref="Z5">_xlfn.XLOOKUP(Table8[[#This Row],[Admin2PCODE]:[Admin2PCODE]],tblPiNAnalysis[[Admin2PCODE]:[Admin2PCODE]],tblPiNAnalysis[Severidad],0,0)</f>
        <v>3</v>
      </c>
      <c r="AA5">
        <f>_xlfn.XLOOKUP(Table8[[#This Row],[Admin2PCODE]],tblSeverityAnalysis[Admin 2 Código P],tblSeverityAnalysis[Severidad Ttotal 2025],0,0)</f>
        <v>4</v>
      </c>
      <c r="AB5" t="str">
        <f>_xlfn.XLOOKUP(Table8[[#This Row],[Admin2PCODE]],tblSeverityAnalysis[Admin 2 Código P],tblSeverityAnalysis[Priorización Final 2025],0,0)</f>
        <v>No</v>
      </c>
      <c r="AC5">
        <v>4</v>
      </c>
      <c r="AD5" t="s">
        <v>953</v>
      </c>
      <c r="AE5">
        <v>3</v>
      </c>
      <c r="AF5">
        <v>0</v>
      </c>
      <c r="AG5">
        <v>1</v>
      </c>
      <c r="AH5">
        <v>0</v>
      </c>
      <c r="AI5">
        <v>0</v>
      </c>
      <c r="AJ5">
        <v>2</v>
      </c>
      <c r="AK5">
        <v>1</v>
      </c>
      <c r="AL5">
        <v>0</v>
      </c>
      <c r="AM5">
        <v>2</v>
      </c>
      <c r="AN5">
        <v>0</v>
      </c>
      <c r="AO5" s="314">
        <f>Table8[[#This Row],[N° Clústeres con respuesta]]/Table8[[#This Row],[Org Total]]</f>
        <v>1.3333333333333333</v>
      </c>
      <c r="AP5" s="313">
        <v>2189</v>
      </c>
      <c r="AQ5" s="313">
        <v>403</v>
      </c>
      <c r="AR5" s="312">
        <f>Table8[[#This Row],[Alcanzados Oct 2025]]/Table8[[#This Row],[Meta 2025]]</f>
        <v>0.18410232983097305</v>
      </c>
      <c r="AS5" s="423">
        <v>0</v>
      </c>
      <c r="AT5" s="423">
        <v>0</v>
      </c>
      <c r="AU5" s="423">
        <v>0</v>
      </c>
      <c r="AV5" s="423">
        <v>0</v>
      </c>
      <c r="AW5" s="423">
        <v>57</v>
      </c>
      <c r="AX5" s="423">
        <v>403</v>
      </c>
      <c r="AY5" s="423">
        <v>0</v>
      </c>
      <c r="AZ5" s="423">
        <v>32</v>
      </c>
      <c r="BA5" s="42">
        <v>0</v>
      </c>
    </row>
    <row r="6" spans="1:53">
      <c r="A6" t="s">
        <v>103</v>
      </c>
      <c r="B6" t="s">
        <v>104</v>
      </c>
      <c r="C6" t="s">
        <v>111</v>
      </c>
      <c r="D6" t="s">
        <v>112</v>
      </c>
      <c r="E6" s="8">
        <v>8535</v>
      </c>
      <c r="F6" s="8">
        <v>2024</v>
      </c>
      <c r="G6" s="8">
        <v>782.46237614377844</v>
      </c>
      <c r="H6" s="8">
        <v>7500</v>
      </c>
      <c r="I6" s="8">
        <v>2960.1249813816162</v>
      </c>
      <c r="J6" s="8">
        <v>2042.0259744486805</v>
      </c>
      <c r="K6" s="8">
        <v>1152.2249999999999</v>
      </c>
      <c r="L6" s="8">
        <v>655.49033779802642</v>
      </c>
      <c r="M6" s="8">
        <v>714.70909105703822</v>
      </c>
      <c r="N6" s="6" cm="1">
        <f t="array" ref="N6">_xlfn.XLOOKUP(Table8[[#This Row],[Admin2PCODE]:[Admin2PCODE]],tblPiNAnalysis[[Admin2PCODE]:[Admin2PCODE]],tblPiNAnalysis[% SAMV],0,0)</f>
        <v>0.25</v>
      </c>
      <c r="O6" s="6" cm="1">
        <f t="array" ref="O6">_xlfn.XLOOKUP(Table8[[#This Row],[Admin2PCODE]:[Admin2PCODE]],tblPiNAnalysis[[Admin2PCODE]:[Admin2PCODE]],tblPiNAnalysis[% NUT],0,0)</f>
        <v>0.1</v>
      </c>
      <c r="P6" s="6" cm="1">
        <f t="array" ref="P6">_xlfn.XLOOKUP(Table8[[#This Row],[Admin2PCODE]:[Admin2PCODE]],tblPiNAnalysis[[Admin2PCODE]:[Admin2PCODE]],tblPiNAnalysis[% SAL],0,0)</f>
        <v>0.9</v>
      </c>
      <c r="Q6" s="6" cm="1">
        <f t="array" ref="Q6">_xlfn.XLOOKUP(Table8[[#This Row],[Admin2PCODE]:[Admin2PCODE]],tblPiNAnalysis[[Admin2PCODE]:[Admin2PCODE]],tblPiNAnalysis[% EDU],0,0)</f>
        <v>0.35000000000000003</v>
      </c>
      <c r="R6" s="6" cm="1">
        <f t="array" ref="R6">_xlfn.XLOOKUP(Table8[[#This Row],[Admin2PCODE]:[Admin2PCODE]],tblPiNAnalysis[[Admin2PCODE]:[Admin2PCODE]],tblPiNAnalysis[% PRO],0,0)</f>
        <v>0.25</v>
      </c>
      <c r="S6" s="6" cm="1">
        <f t="array" ref="S6">_xlfn.XLOOKUP(Table8[[#This Row],[Admin2PCODE]:[Admin2PCODE]],tblPiNAnalysis[[Admin2PCODE]:[Admin2PCODE]],tblPiNAnalysis[% WASH],0,0)</f>
        <v>0.15000000000000002</v>
      </c>
      <c r="T6" s="6" cm="1">
        <f t="array" ref="T6">_xlfn.XLOOKUP(Table8[[#This Row],[Admin2PCODE]:[Admin2PCODE]],tblPiNAnalysis[[Admin2PCODE]:[Admin2PCODE]],tblPiNAnalysis[% NNA],0,0)</f>
        <v>0.1</v>
      </c>
      <c r="U6" s="6" cm="1">
        <f t="array" ref="U6">_xlfn.XLOOKUP(Table8[[#This Row],[Admin2PCODE]:[Admin2PCODE]],tblPiNAnalysis[[Admin2PCODE]:[Admin2PCODE]],tblPiNAnalysis[% VBG],0,0)</f>
        <v>0.1</v>
      </c>
      <c r="V6" s="8" cm="1">
        <f t="array" ref="V6">_xlfn.XLOOKUP(Table8[[#This Row],[Admin2PCODE]:[Admin2PCODE]],tblPiNAnalysis[[Admin2PCODE]:[Admin2PCODE]],tblPiNAnalysis[PiN preliminar],0,0)</f>
        <v>7500</v>
      </c>
      <c r="W6" s="308" cm="1">
        <f t="array" ref="W6">_xlfn.XLOOKUP(Table8[[#This Row],[Admin2PCODE]],tblPiNAnalysis[Admin2PCODE],tblSeverityAnalysis[Severidad media],0,0)</f>
        <v>2.6666666666666665</v>
      </c>
      <c r="X6" s="42">
        <f>Table8[[#This Row],[Severidad media]]*6</f>
        <v>16</v>
      </c>
      <c r="Y6" s="6" cm="1">
        <f t="array" ref="Y6">_xlfn.XLOOKUP(Table8[[#This Row],[Admin2PCODE]],tblPiNAnalysis[Admin2PCODE],tblPiNAnalysis[% PiN Sectores más altos],0,0)</f>
        <v>0.87873462214411246</v>
      </c>
      <c r="Z6" s="42" cm="1">
        <f t="array" ref="Z6">_xlfn.XLOOKUP(Table8[[#This Row],[Admin2PCODE]:[Admin2PCODE]],tblPiNAnalysis[[Admin2PCODE]:[Admin2PCODE]],tblPiNAnalysis[Severidad],0,0)</f>
        <v>3</v>
      </c>
      <c r="AA6">
        <f>_xlfn.XLOOKUP(Table8[[#This Row],[Admin2PCODE]],tblSeverityAnalysis[Admin 2 Código P],tblSeverityAnalysis[Severidad Ttotal 2025],0,0)</f>
        <v>4</v>
      </c>
      <c r="AB6" t="str">
        <f>_xlfn.XLOOKUP(Table8[[#This Row],[Admin2PCODE]],tblSeverityAnalysis[Admin 2 Código P],tblSeverityAnalysis[Priorización Final 2025],0,0)</f>
        <v>No</v>
      </c>
      <c r="AC6">
        <v>7</v>
      </c>
      <c r="AD6" t="s">
        <v>954</v>
      </c>
      <c r="AE6">
        <v>13</v>
      </c>
      <c r="AF6">
        <v>0</v>
      </c>
      <c r="AG6">
        <v>3</v>
      </c>
      <c r="AH6">
        <v>3</v>
      </c>
      <c r="AI6">
        <v>1</v>
      </c>
      <c r="AJ6">
        <v>4</v>
      </c>
      <c r="AK6">
        <v>4</v>
      </c>
      <c r="AL6">
        <v>4</v>
      </c>
      <c r="AM6">
        <v>4</v>
      </c>
      <c r="AN6">
        <v>2</v>
      </c>
      <c r="AO6" s="314">
        <f>Table8[[#This Row],[N° Clústeres con respuesta]]/Table8[[#This Row],[Org Total]]</f>
        <v>0.53846153846153844</v>
      </c>
      <c r="AP6" s="313">
        <v>1994</v>
      </c>
      <c r="AQ6" s="313">
        <v>1184</v>
      </c>
      <c r="AR6" s="312">
        <f>Table8[[#This Row],[Alcanzados Oct 2025]]/Table8[[#This Row],[Meta 2025]]</f>
        <v>0.59378134403209626</v>
      </c>
      <c r="AS6" s="423">
        <v>0</v>
      </c>
      <c r="AT6" s="423">
        <v>0</v>
      </c>
      <c r="AU6" s="423">
        <v>61</v>
      </c>
      <c r="AV6" s="423">
        <v>82</v>
      </c>
      <c r="AW6" s="423">
        <v>206</v>
      </c>
      <c r="AX6" s="423">
        <v>318</v>
      </c>
      <c r="AY6" s="423">
        <v>433</v>
      </c>
      <c r="AZ6" s="423">
        <v>1184</v>
      </c>
      <c r="BA6" s="42">
        <v>94</v>
      </c>
    </row>
    <row r="7" spans="1:53">
      <c r="A7" t="s">
        <v>103</v>
      </c>
      <c r="B7" t="s">
        <v>104</v>
      </c>
      <c r="C7" t="s">
        <v>113</v>
      </c>
      <c r="D7" t="s">
        <v>114</v>
      </c>
      <c r="E7" s="8">
        <v>2070</v>
      </c>
      <c r="F7" s="8">
        <v>345</v>
      </c>
      <c r="G7" s="8">
        <v>140.940754629065</v>
      </c>
      <c r="H7" s="8">
        <v>1800</v>
      </c>
      <c r="I7" s="8">
        <v>352.52286114586201</v>
      </c>
      <c r="J7" s="8">
        <v>495.25410276611228</v>
      </c>
      <c r="K7" s="8">
        <v>1656</v>
      </c>
      <c r="L7" s="8">
        <v>157.98605878238982</v>
      </c>
      <c r="M7" s="8">
        <v>173.33893596813925</v>
      </c>
      <c r="N7" s="6" cm="1">
        <f t="array" ref="N7">_xlfn.XLOOKUP(Table8[[#This Row],[Admin2PCODE]:[Admin2PCODE]],tblPiNAnalysis[[Admin2PCODE]:[Admin2PCODE]],tblPiNAnalysis[% SAMV],0,0)</f>
        <v>0.15000000000000002</v>
      </c>
      <c r="O7" s="6" cm="1">
        <f t="array" ref="O7">_xlfn.XLOOKUP(Table8[[#This Row],[Admin2PCODE]:[Admin2PCODE]],tblPiNAnalysis[[Admin2PCODE]:[Admin2PCODE]],tblPiNAnalysis[% NUT],0,0)</f>
        <v>0.05</v>
      </c>
      <c r="P7" s="6" cm="1">
        <f t="array" ref="P7">_xlfn.XLOOKUP(Table8[[#This Row],[Admin2PCODE]:[Admin2PCODE]],tblPiNAnalysis[[Admin2PCODE]:[Admin2PCODE]],tblPiNAnalysis[% SAL],0,0)</f>
        <v>0.85000000000000009</v>
      </c>
      <c r="Q7" s="6" cm="1">
        <f t="array" ref="Q7">_xlfn.XLOOKUP(Table8[[#This Row],[Admin2PCODE]:[Admin2PCODE]],tblPiNAnalysis[[Admin2PCODE]:[Admin2PCODE]],tblPiNAnalysis[% EDU],0,0)</f>
        <v>0.15000000000000002</v>
      </c>
      <c r="R7" s="6" cm="1">
        <f t="array" ref="R7">_xlfn.XLOOKUP(Table8[[#This Row],[Admin2PCODE]:[Admin2PCODE]],tblPiNAnalysis[[Admin2PCODE]:[Admin2PCODE]],tblPiNAnalysis[% PRO],0,0)</f>
        <v>0.25</v>
      </c>
      <c r="S7" s="6" cm="1">
        <f t="array" ref="S7">_xlfn.XLOOKUP(Table8[[#This Row],[Admin2PCODE]:[Admin2PCODE]],tblPiNAnalysis[[Admin2PCODE]:[Admin2PCODE]],tblPiNAnalysis[% WASH],0,0)</f>
        <v>0.8</v>
      </c>
      <c r="T7" s="6" cm="1">
        <f t="array" ref="T7">_xlfn.XLOOKUP(Table8[[#This Row],[Admin2PCODE]:[Admin2PCODE]],tblPiNAnalysis[[Admin2PCODE]:[Admin2PCODE]],tblPiNAnalysis[% NNA],0,0)</f>
        <v>0.1</v>
      </c>
      <c r="U7" s="6" cm="1">
        <f t="array" ref="U7">_xlfn.XLOOKUP(Table8[[#This Row],[Admin2PCODE]:[Admin2PCODE]],tblPiNAnalysis[[Admin2PCODE]:[Admin2PCODE]],tblPiNAnalysis[% VBG],0,0)</f>
        <v>0.1</v>
      </c>
      <c r="V7" s="8" cm="1">
        <f t="array" ref="V7">_xlfn.XLOOKUP(Table8[[#This Row],[Admin2PCODE]:[Admin2PCODE]],tblPiNAnalysis[[Admin2PCODE]:[Admin2PCODE]],tblPiNAnalysis[PiN preliminar],0,0)</f>
        <v>1800</v>
      </c>
      <c r="W7" s="308" cm="1">
        <f t="array" ref="W7">_xlfn.XLOOKUP(Table8[[#This Row],[Admin2PCODE]],tblPiNAnalysis[Admin2PCODE],tblSeverityAnalysis[Severidad media],0,0)</f>
        <v>3</v>
      </c>
      <c r="X7" s="42">
        <f>Table8[[#This Row],[Severidad media]]*6</f>
        <v>18</v>
      </c>
      <c r="Y7" s="6" cm="1">
        <f t="array" ref="Y7">_xlfn.XLOOKUP(Table8[[#This Row],[Admin2PCODE]],tblPiNAnalysis[Admin2PCODE],tblPiNAnalysis[% PiN Sectores más altos],0,0)</f>
        <v>0.86956521739130432</v>
      </c>
      <c r="Z7" s="42" cm="1">
        <f t="array" ref="Z7">_xlfn.XLOOKUP(Table8[[#This Row],[Admin2PCODE]:[Admin2PCODE]],tblPiNAnalysis[[Admin2PCODE]:[Admin2PCODE]],tblPiNAnalysis[Severidad],0,0)</f>
        <v>4</v>
      </c>
      <c r="AA7">
        <f>_xlfn.XLOOKUP(Table8[[#This Row],[Admin2PCODE]],tblSeverityAnalysis[Admin 2 Código P],tblSeverityAnalysis[Severidad Ttotal 2025],0,0)</f>
        <v>4</v>
      </c>
      <c r="AB7" t="str">
        <f>_xlfn.XLOOKUP(Table8[[#This Row],[Admin2PCODE]],tblSeverityAnalysis[Admin 2 Código P],tblSeverityAnalysis[Priorización Final 2025],0,0)</f>
        <v>No</v>
      </c>
      <c r="AC7">
        <v>1</v>
      </c>
      <c r="AD7" t="s">
        <v>952</v>
      </c>
      <c r="AE7">
        <v>2</v>
      </c>
      <c r="AF7">
        <v>0</v>
      </c>
      <c r="AG7">
        <v>0</v>
      </c>
      <c r="AH7">
        <v>0</v>
      </c>
      <c r="AI7">
        <v>0</v>
      </c>
      <c r="AJ7">
        <v>2</v>
      </c>
      <c r="AK7">
        <v>0</v>
      </c>
      <c r="AL7">
        <v>0</v>
      </c>
      <c r="AM7">
        <v>0</v>
      </c>
      <c r="AN7">
        <v>0</v>
      </c>
      <c r="AO7" s="314">
        <f>Table8[[#This Row],[N° Clústeres con respuesta]]/Table8[[#This Row],[Org Total]]</f>
        <v>0.5</v>
      </c>
      <c r="AP7" s="313">
        <v>485</v>
      </c>
      <c r="AQ7" s="313">
        <v>2</v>
      </c>
      <c r="AR7" s="312">
        <f>Table8[[#This Row],[Alcanzados Oct 2025]]/Table8[[#This Row],[Meta 2025]]</f>
        <v>4.1237113402061857E-3</v>
      </c>
      <c r="AS7" s="423">
        <v>0</v>
      </c>
      <c r="AT7" s="423">
        <v>0</v>
      </c>
      <c r="AU7" s="423">
        <v>0</v>
      </c>
      <c r="AV7" s="423">
        <v>0</v>
      </c>
      <c r="AW7" s="423">
        <v>2</v>
      </c>
      <c r="AX7" s="423">
        <v>0</v>
      </c>
      <c r="AY7" s="423">
        <v>0</v>
      </c>
      <c r="AZ7" s="423">
        <v>0</v>
      </c>
      <c r="BA7" s="42">
        <v>0</v>
      </c>
    </row>
    <row r="8" spans="1:53">
      <c r="A8" t="s">
        <v>103</v>
      </c>
      <c r="B8" t="s">
        <v>104</v>
      </c>
      <c r="C8" t="s">
        <v>115</v>
      </c>
      <c r="D8" t="s">
        <v>116</v>
      </c>
      <c r="E8" s="8">
        <v>7896</v>
      </c>
      <c r="F8" s="8">
        <v>2632</v>
      </c>
      <c r="G8" s="8">
        <v>1275.4925719681594</v>
      </c>
      <c r="H8" s="8">
        <v>2882.04</v>
      </c>
      <c r="I8" s="8">
        <v>672.57931585203801</v>
      </c>
      <c r="J8" s="8">
        <v>1574.2859885029077</v>
      </c>
      <c r="K8" s="8">
        <v>4737.5999999999995</v>
      </c>
      <c r="L8" s="8">
        <v>505.3458023094334</v>
      </c>
      <c r="M8" s="8">
        <v>551.00009597601763</v>
      </c>
      <c r="N8" s="6" cm="1">
        <f t="array" ref="N8">_xlfn.XLOOKUP(Table8[[#This Row],[Admin2PCODE]:[Admin2PCODE]],tblPiNAnalysis[[Admin2PCODE]:[Admin2PCODE]],tblPiNAnalysis[% SAMV],0,0)</f>
        <v>0.35000000000000003</v>
      </c>
      <c r="O8" s="6" cm="1">
        <f t="array" ref="O8">_xlfn.XLOOKUP(Table8[[#This Row],[Admin2PCODE]:[Admin2PCODE]],tblPiNAnalysis[[Admin2PCODE]:[Admin2PCODE]],tblPiNAnalysis[% NUT],0,0)</f>
        <v>0.15000000000000002</v>
      </c>
      <c r="P8" s="6" cm="1">
        <f t="array" ref="P8">_xlfn.XLOOKUP(Table8[[#This Row],[Admin2PCODE]:[Admin2PCODE]],tblPiNAnalysis[[Admin2PCODE]:[Admin2PCODE]],tblPiNAnalysis[% SAL],0,0)</f>
        <v>0.35000000000000003</v>
      </c>
      <c r="Q8" s="6" cm="1">
        <f t="array" ref="Q8">_xlfn.XLOOKUP(Table8[[#This Row],[Admin2PCODE]:[Admin2PCODE]],tblPiNAnalysis[[Admin2PCODE]:[Admin2PCODE]],tblPiNAnalysis[% EDU],0,0)</f>
        <v>0.1</v>
      </c>
      <c r="R8" s="6" cm="1">
        <f t="array" ref="R8">_xlfn.XLOOKUP(Table8[[#This Row],[Admin2PCODE]:[Admin2PCODE]],tblPiNAnalysis[[Admin2PCODE]:[Admin2PCODE]],tblPiNAnalysis[% PRO],0,0)</f>
        <v>0.2</v>
      </c>
      <c r="S8" s="6" cm="1">
        <f t="array" ref="S8">_xlfn.XLOOKUP(Table8[[#This Row],[Admin2PCODE]:[Admin2PCODE]],tblPiNAnalysis[[Admin2PCODE]:[Admin2PCODE]],tblPiNAnalysis[% WASH],0,0)</f>
        <v>0.60000000000000009</v>
      </c>
      <c r="T8" s="6" cm="1">
        <f t="array" ref="T8">_xlfn.XLOOKUP(Table8[[#This Row],[Admin2PCODE]:[Admin2PCODE]],tblPiNAnalysis[[Admin2PCODE]:[Admin2PCODE]],tblPiNAnalysis[% NNA],0,0)</f>
        <v>0.05</v>
      </c>
      <c r="U8" s="6" cm="1">
        <f t="array" ref="U8">_xlfn.XLOOKUP(Table8[[#This Row],[Admin2PCODE]:[Admin2PCODE]],tblPiNAnalysis[[Admin2PCODE]:[Admin2PCODE]],tblPiNAnalysis[% VBG],0,0)</f>
        <v>0.05</v>
      </c>
      <c r="V8" s="8" cm="1">
        <f t="array" ref="V8">_xlfn.XLOOKUP(Table8[[#This Row],[Admin2PCODE]:[Admin2PCODE]],tblPiNAnalysis[[Admin2PCODE]:[Admin2PCODE]],tblPiNAnalysis[PiN preliminar],0,0)</f>
        <v>4737.5999999999995</v>
      </c>
      <c r="W8" s="308" cm="1">
        <f t="array" ref="W8">_xlfn.XLOOKUP(Table8[[#This Row],[Admin2PCODE]],tblPiNAnalysis[Admin2PCODE],tblSeverityAnalysis[Severidad media],0,0)</f>
        <v>2.5</v>
      </c>
      <c r="X8" s="42">
        <f>Table8[[#This Row],[Severidad media]]*6</f>
        <v>15</v>
      </c>
      <c r="Y8" s="6" cm="1">
        <f t="array" ref="Y8">_xlfn.XLOOKUP(Table8[[#This Row],[Admin2PCODE]],tblPiNAnalysis[Admin2PCODE],tblPiNAnalysis[% PiN Sectores más altos],0,0)</f>
        <v>0.6</v>
      </c>
      <c r="Z8" s="42" cm="1">
        <f t="array" ref="Z8">_xlfn.XLOOKUP(Table8[[#This Row],[Admin2PCODE]:[Admin2PCODE]],tblPiNAnalysis[[Admin2PCODE]:[Admin2PCODE]],tblPiNAnalysis[Severidad],0,0)</f>
        <v>4</v>
      </c>
      <c r="AA8">
        <f>_xlfn.XLOOKUP(Table8[[#This Row],[Admin2PCODE]],tblSeverityAnalysis[Admin 2 Código P],tblSeverityAnalysis[Severidad Ttotal 2025],0,0)</f>
        <v>4</v>
      </c>
      <c r="AB8" t="str">
        <f>_xlfn.XLOOKUP(Table8[[#This Row],[Admin2PCODE]],tblSeverityAnalysis[Admin 2 Código P],tblSeverityAnalysis[Priorización Final 2025],0,0)</f>
        <v>No</v>
      </c>
      <c r="AC8">
        <v>4</v>
      </c>
      <c r="AD8" t="s">
        <v>955</v>
      </c>
      <c r="AE8">
        <v>4</v>
      </c>
      <c r="AF8">
        <v>0</v>
      </c>
      <c r="AG8">
        <v>0</v>
      </c>
      <c r="AH8">
        <v>1</v>
      </c>
      <c r="AI8">
        <v>1</v>
      </c>
      <c r="AJ8">
        <v>2</v>
      </c>
      <c r="AK8">
        <v>0</v>
      </c>
      <c r="AL8">
        <v>0</v>
      </c>
      <c r="AM8">
        <v>1</v>
      </c>
      <c r="AN8">
        <v>0</v>
      </c>
      <c r="AO8" s="314">
        <f>Table8[[#This Row],[N° Clústeres con respuesta]]/Table8[[#This Row],[Org Total]]</f>
        <v>1</v>
      </c>
      <c r="AP8" s="313">
        <v>1842</v>
      </c>
      <c r="AQ8" s="313">
        <v>237</v>
      </c>
      <c r="AR8" s="312">
        <f>Table8[[#This Row],[Alcanzados Oct 2025]]/Table8[[#This Row],[Meta 2025]]</f>
        <v>0.12866449511400652</v>
      </c>
      <c r="AS8" s="423">
        <v>0</v>
      </c>
      <c r="AT8" s="423">
        <v>0</v>
      </c>
      <c r="AU8" s="423">
        <v>0</v>
      </c>
      <c r="AV8" s="423">
        <v>237</v>
      </c>
      <c r="AW8" s="423">
        <v>66</v>
      </c>
      <c r="AX8" s="423">
        <v>0</v>
      </c>
      <c r="AY8" s="423">
        <v>0</v>
      </c>
      <c r="AZ8" s="423">
        <v>11</v>
      </c>
      <c r="BA8" s="42">
        <v>0</v>
      </c>
    </row>
    <row r="9" spans="1:53">
      <c r="A9" t="s">
        <v>103</v>
      </c>
      <c r="B9" t="s">
        <v>104</v>
      </c>
      <c r="C9" t="s">
        <v>117</v>
      </c>
      <c r="D9" t="s">
        <v>118</v>
      </c>
      <c r="E9" s="8">
        <v>2349</v>
      </c>
      <c r="F9" s="8">
        <v>392</v>
      </c>
      <c r="G9" s="8">
        <v>297.91205260869572</v>
      </c>
      <c r="H9" s="8">
        <v>2000</v>
      </c>
      <c r="I9" s="8">
        <v>209.70964428889977</v>
      </c>
      <c r="J9" s="8">
        <v>562.00574270415348</v>
      </c>
      <c r="K9" s="8">
        <v>1879.2</v>
      </c>
      <c r="L9" s="8">
        <v>180.40384340803325</v>
      </c>
      <c r="M9" s="8">
        <v>196.7020099464537</v>
      </c>
      <c r="N9" s="6" cm="1">
        <f t="array" ref="N9">_xlfn.XLOOKUP(Table8[[#This Row],[Admin2PCODE]:[Admin2PCODE]],tblPiNAnalysis[[Admin2PCODE]:[Admin2PCODE]],tblPiNAnalysis[% SAMV],0,0)</f>
        <v>0.15000000000000002</v>
      </c>
      <c r="O9" s="6" cm="1">
        <f t="array" ref="O9">_xlfn.XLOOKUP(Table8[[#This Row],[Admin2PCODE]:[Admin2PCODE]],tblPiNAnalysis[[Admin2PCODE]:[Admin2PCODE]],tblPiNAnalysis[% NUT],0,0)</f>
        <v>0.15000000000000002</v>
      </c>
      <c r="P9" s="6" cm="1">
        <f t="array" ref="P9">_xlfn.XLOOKUP(Table8[[#This Row],[Admin2PCODE]:[Admin2PCODE]],tblPiNAnalysis[[Admin2PCODE]:[Admin2PCODE]],tblPiNAnalysis[% SAL],0,0)</f>
        <v>0.85000000000000009</v>
      </c>
      <c r="Q9" s="6" cm="1">
        <f t="array" ref="Q9">_xlfn.XLOOKUP(Table8[[#This Row],[Admin2PCODE]:[Admin2PCODE]],tblPiNAnalysis[[Admin2PCODE]:[Admin2PCODE]],tblPiNAnalysis[% EDU],0,0)</f>
        <v>0.1</v>
      </c>
      <c r="R9" s="6" cm="1">
        <f t="array" ref="R9">_xlfn.XLOOKUP(Table8[[#This Row],[Admin2PCODE]:[Admin2PCODE]],tblPiNAnalysis[[Admin2PCODE]:[Admin2PCODE]],tblPiNAnalysis[% PRO],0,0)</f>
        <v>0.25</v>
      </c>
      <c r="S9" s="6" cm="1">
        <f t="array" ref="S9">_xlfn.XLOOKUP(Table8[[#This Row],[Admin2PCODE]:[Admin2PCODE]],tblPiNAnalysis[[Admin2PCODE]:[Admin2PCODE]],tblPiNAnalysis[% WASH],0,0)</f>
        <v>0.8</v>
      </c>
      <c r="T9" s="6" cm="1">
        <f t="array" ref="T9">_xlfn.XLOOKUP(Table8[[#This Row],[Admin2PCODE]:[Admin2PCODE]],tblPiNAnalysis[[Admin2PCODE]:[Admin2PCODE]],tblPiNAnalysis[% NNA],0,0)</f>
        <v>0.1</v>
      </c>
      <c r="U9" s="6" cm="1">
        <f t="array" ref="U9">_xlfn.XLOOKUP(Table8[[#This Row],[Admin2PCODE]:[Admin2PCODE]],tblPiNAnalysis[[Admin2PCODE]:[Admin2PCODE]],tblPiNAnalysis[% VBG],0,0)</f>
        <v>0.1</v>
      </c>
      <c r="V9" s="8" cm="1">
        <f t="array" ref="V9">_xlfn.XLOOKUP(Table8[[#This Row],[Admin2PCODE]:[Admin2PCODE]],tblPiNAnalysis[[Admin2PCODE]:[Admin2PCODE]],tblPiNAnalysis[PiN preliminar],0,0)</f>
        <v>2000</v>
      </c>
      <c r="W9" s="308" cm="1">
        <f t="array" ref="W9">_xlfn.XLOOKUP(Table8[[#This Row],[Admin2PCODE]],tblPiNAnalysis[Admin2PCODE],tblSeverityAnalysis[Severidad media],0,0)</f>
        <v>2.6666666666666665</v>
      </c>
      <c r="X9" s="42">
        <f>Table8[[#This Row],[Severidad media]]*6</f>
        <v>16</v>
      </c>
      <c r="Y9" s="6" cm="1">
        <f t="array" ref="Y9">_xlfn.XLOOKUP(Table8[[#This Row],[Admin2PCODE]],tblPiNAnalysis[Admin2PCODE],tblPiNAnalysis[% PiN Sectores más altos],0,0)</f>
        <v>0.85142613878246065</v>
      </c>
      <c r="Z9" s="42" cm="1">
        <f t="array" ref="Z9">_xlfn.XLOOKUP(Table8[[#This Row],[Admin2PCODE]:[Admin2PCODE]],tblPiNAnalysis[[Admin2PCODE]:[Admin2PCODE]],tblPiNAnalysis[Severidad],0,0)</f>
        <v>4</v>
      </c>
      <c r="AA9">
        <f>_xlfn.XLOOKUP(Table8[[#This Row],[Admin2PCODE]],tblSeverityAnalysis[Admin 2 Código P],tblSeverityAnalysis[Severidad Ttotal 2025],0,0)</f>
        <v>4</v>
      </c>
      <c r="AB9" t="str">
        <f>_xlfn.XLOOKUP(Table8[[#This Row],[Admin2PCODE]],tblSeverityAnalysis[Admin 2 Código P],tblSeverityAnalysis[Priorización Final 2025],0,0)</f>
        <v>No</v>
      </c>
      <c r="AC9">
        <v>1</v>
      </c>
      <c r="AD9" t="s">
        <v>952</v>
      </c>
      <c r="AE9">
        <v>2</v>
      </c>
      <c r="AF9">
        <v>0</v>
      </c>
      <c r="AG9">
        <v>0</v>
      </c>
      <c r="AH9">
        <v>0</v>
      </c>
      <c r="AI9">
        <v>0</v>
      </c>
      <c r="AJ9">
        <v>2</v>
      </c>
      <c r="AK9">
        <v>0</v>
      </c>
      <c r="AL9">
        <v>0</v>
      </c>
      <c r="AM9">
        <v>0</v>
      </c>
      <c r="AN9">
        <v>0</v>
      </c>
      <c r="AO9" s="314">
        <f>Table8[[#This Row],[N° Clústeres con respuesta]]/Table8[[#This Row],[Org Total]]</f>
        <v>0.5</v>
      </c>
      <c r="AP9" s="313">
        <v>549</v>
      </c>
      <c r="AQ9" s="313">
        <v>82</v>
      </c>
      <c r="AR9" s="312">
        <f>Table8[[#This Row],[Alcanzados Oct 2025]]/Table8[[#This Row],[Meta 2025]]</f>
        <v>0.1493624772313297</v>
      </c>
      <c r="AS9" s="423">
        <v>0</v>
      </c>
      <c r="AT9" s="423">
        <v>0</v>
      </c>
      <c r="AU9" s="423">
        <v>0</v>
      </c>
      <c r="AV9" s="423">
        <v>0</v>
      </c>
      <c r="AW9" s="423">
        <v>82</v>
      </c>
      <c r="AX9" s="423">
        <v>0</v>
      </c>
      <c r="AY9" s="423">
        <v>0</v>
      </c>
      <c r="AZ9" s="423">
        <v>0</v>
      </c>
      <c r="BA9" s="42">
        <v>0</v>
      </c>
    </row>
    <row r="10" spans="1:53">
      <c r="A10" t="s">
        <v>163</v>
      </c>
      <c r="B10" t="s">
        <v>164</v>
      </c>
      <c r="C10" t="s">
        <v>167</v>
      </c>
      <c r="D10" t="s">
        <v>168</v>
      </c>
      <c r="E10" s="8">
        <v>55543</v>
      </c>
      <c r="F10" s="8">
        <v>2700</v>
      </c>
      <c r="G10" s="8">
        <v>4932.8788742499491</v>
      </c>
      <c r="H10" s="8">
        <v>27300</v>
      </c>
      <c r="I10" s="8">
        <v>2091.9090466414323</v>
      </c>
      <c r="J10" s="8">
        <v>13338.18679102983</v>
      </c>
      <c r="K10" s="8">
        <v>33325.799999999996</v>
      </c>
      <c r="L10" s="8">
        <v>4268.2197731295455</v>
      </c>
      <c r="M10" s="8">
        <v>4668.365376860439</v>
      </c>
      <c r="N10" s="6" cm="1">
        <f t="array" ref="N10">_xlfn.XLOOKUP(Table8[[#This Row],[Admin2PCODE]:[Admin2PCODE]],tblPiNAnalysis[[Admin2PCODE]:[Admin2PCODE]],tblPiNAnalysis[% SAMV],0,0)</f>
        <v>0.05</v>
      </c>
      <c r="O10" s="6" cm="1">
        <f t="array" ref="O10">_xlfn.XLOOKUP(Table8[[#This Row],[Admin2PCODE]:[Admin2PCODE]],tblPiNAnalysis[[Admin2PCODE]:[Admin2PCODE]],tblPiNAnalysis[% NUT],0,0)</f>
        <v>0.1</v>
      </c>
      <c r="P10" s="6" cm="1">
        <f t="array" ref="P10">_xlfn.XLOOKUP(Table8[[#This Row],[Admin2PCODE]:[Admin2PCODE]],tblPiNAnalysis[[Admin2PCODE]:[Admin2PCODE]],tblPiNAnalysis[% SAL],0,0)</f>
        <v>0.5</v>
      </c>
      <c r="Q10" s="6" cm="1">
        <f t="array" ref="Q10">_xlfn.XLOOKUP(Table8[[#This Row],[Admin2PCODE]:[Admin2PCODE]],tblPiNAnalysis[[Admin2PCODE]:[Admin2PCODE]],tblPiNAnalysis[% EDU],0,0)</f>
        <v>0.05</v>
      </c>
      <c r="R10" s="6" cm="1">
        <f t="array" ref="R10">_xlfn.XLOOKUP(Table8[[#This Row],[Admin2PCODE]:[Admin2PCODE]],tblPiNAnalysis[[Admin2PCODE]:[Admin2PCODE]],tblPiNAnalysis[% PRO],0,0)</f>
        <v>0.25</v>
      </c>
      <c r="S10" s="6" cm="1">
        <f t="array" ref="S10">_xlfn.XLOOKUP(Table8[[#This Row],[Admin2PCODE]:[Admin2PCODE]],tblPiNAnalysis[[Admin2PCODE]:[Admin2PCODE]],tblPiNAnalysis[% WASH],0,0)</f>
        <v>0.60000000000000009</v>
      </c>
      <c r="T10" s="6" cm="1">
        <f t="array" ref="T10">_xlfn.XLOOKUP(Table8[[#This Row],[Admin2PCODE]:[Admin2PCODE]],tblPiNAnalysis[[Admin2PCODE]:[Admin2PCODE]],tblPiNAnalysis[% NNA],0,0)</f>
        <v>0.1</v>
      </c>
      <c r="U10" s="6" cm="1">
        <f t="array" ref="U10">_xlfn.XLOOKUP(Table8[[#This Row],[Admin2PCODE]:[Admin2PCODE]],tblPiNAnalysis[[Admin2PCODE]:[Admin2PCODE]],tblPiNAnalysis[% VBG],0,0)</f>
        <v>0.1</v>
      </c>
      <c r="V10" s="8" cm="1">
        <f t="array" ref="V10">_xlfn.XLOOKUP(Table8[[#This Row],[Admin2PCODE]:[Admin2PCODE]],tblPiNAnalysis[[Admin2PCODE]:[Admin2PCODE]],tblPiNAnalysis[PiN preliminar],0,0)</f>
        <v>33325.799999999996</v>
      </c>
      <c r="W10" s="308" cm="1">
        <f t="array" ref="W10">_xlfn.XLOOKUP(Table8[[#This Row],[Admin2PCODE]],tblPiNAnalysis[Admin2PCODE],tblSeverityAnalysis[Severidad media],0,0)</f>
        <v>3.3333333333333335</v>
      </c>
      <c r="X10" s="42">
        <f>Table8[[#This Row],[Severidad media]]*6</f>
        <v>20</v>
      </c>
      <c r="Y10" s="6" cm="1">
        <f t="array" ref="Y10">_xlfn.XLOOKUP(Table8[[#This Row],[Admin2PCODE]],tblPiNAnalysis[Admin2PCODE],tblPiNAnalysis[% PiN Sectores más altos],0,0)</f>
        <v>0.59999999999999987</v>
      </c>
      <c r="Z10" s="42" cm="1">
        <f t="array" ref="Z10">_xlfn.XLOOKUP(Table8[[#This Row],[Admin2PCODE]:[Admin2PCODE]],tblPiNAnalysis[[Admin2PCODE]:[Admin2PCODE]],tblPiNAnalysis[Severidad],0,0)</f>
        <v>4</v>
      </c>
      <c r="AA10">
        <f>_xlfn.XLOOKUP(Table8[[#This Row],[Admin2PCODE]],tblSeverityAnalysis[Admin 2 Código P],tblSeverityAnalysis[Severidad Ttotal 2025],0,0)</f>
        <v>4</v>
      </c>
      <c r="AB10" t="str">
        <f>_xlfn.XLOOKUP(Table8[[#This Row],[Admin2PCODE]],tblSeverityAnalysis[Admin 2 Código P],tblSeverityAnalysis[Priorización Final 2025],0,0)</f>
        <v>No</v>
      </c>
      <c r="AC10">
        <v>8</v>
      </c>
      <c r="AD10" t="s">
        <v>956</v>
      </c>
      <c r="AE10">
        <v>21</v>
      </c>
      <c r="AF10">
        <v>1</v>
      </c>
      <c r="AG10">
        <v>10</v>
      </c>
      <c r="AH10">
        <v>2</v>
      </c>
      <c r="AI10">
        <v>5</v>
      </c>
      <c r="AJ10">
        <v>9</v>
      </c>
      <c r="AK10">
        <v>6</v>
      </c>
      <c r="AL10">
        <v>9</v>
      </c>
      <c r="AM10">
        <v>6</v>
      </c>
      <c r="AN10">
        <v>6</v>
      </c>
      <c r="AO10" s="314">
        <f>Table8[[#This Row],[N° Clústeres con respuesta]]/Table8[[#This Row],[Org Total]]</f>
        <v>0.38095238095238093</v>
      </c>
      <c r="AP10" s="313">
        <v>12969</v>
      </c>
      <c r="AQ10" s="313">
        <v>19206</v>
      </c>
      <c r="AR10" s="312">
        <f>Table8[[#This Row],[Alcanzados Oct 2025]]/Table8[[#This Row],[Meta 2025]]</f>
        <v>1.4809160305343512</v>
      </c>
      <c r="AS10" s="423">
        <v>46</v>
      </c>
      <c r="AT10" s="423">
        <v>8470</v>
      </c>
      <c r="AU10" s="423">
        <v>531</v>
      </c>
      <c r="AV10" s="423">
        <v>9466</v>
      </c>
      <c r="AW10" s="423">
        <v>1793</v>
      </c>
      <c r="AX10" s="423">
        <v>1336</v>
      </c>
      <c r="AY10" s="423">
        <v>4882</v>
      </c>
      <c r="AZ10" s="423">
        <v>5671</v>
      </c>
      <c r="BA10" s="42">
        <v>19206</v>
      </c>
    </row>
    <row r="11" spans="1:53">
      <c r="A11" t="s">
        <v>119</v>
      </c>
      <c r="B11" t="s">
        <v>120</v>
      </c>
      <c r="C11" t="s">
        <v>147</v>
      </c>
      <c r="D11" t="s">
        <v>148</v>
      </c>
      <c r="E11" s="8">
        <v>23779</v>
      </c>
      <c r="F11" s="8">
        <v>2869</v>
      </c>
      <c r="G11" s="8">
        <v>732.2190387289229</v>
      </c>
      <c r="H11" s="8">
        <v>9800</v>
      </c>
      <c r="I11" s="8">
        <v>2156.2087348994664</v>
      </c>
      <c r="J11" s="8">
        <v>5675.5569677895837</v>
      </c>
      <c r="K11" s="8">
        <v>19023.2</v>
      </c>
      <c r="L11" s="8">
        <v>1816.1782296926667</v>
      </c>
      <c r="M11" s="8">
        <v>1986.4449387263544</v>
      </c>
      <c r="N11" s="6" cm="1">
        <f t="array" ref="N11">_xlfn.XLOOKUP(Table8[[#This Row],[Admin2PCODE]:[Admin2PCODE]],tblPiNAnalysis[[Admin2PCODE]:[Admin2PCODE]],tblPiNAnalysis[% SAMV],0,0)</f>
        <v>0.1</v>
      </c>
      <c r="O11" s="6" cm="1">
        <f t="array" ref="O11">_xlfn.XLOOKUP(Table8[[#This Row],[Admin2PCODE]:[Admin2PCODE]],tblPiNAnalysis[[Admin2PCODE]:[Admin2PCODE]],tblPiNAnalysis[% NUT],0,0)</f>
        <v>0.05</v>
      </c>
      <c r="P11" s="6" cm="1">
        <f t="array" ref="P11">_xlfn.XLOOKUP(Table8[[#This Row],[Admin2PCODE]:[Admin2PCODE]],tblPiNAnalysis[[Admin2PCODE]:[Admin2PCODE]],tblPiNAnalysis[% SAL],0,0)</f>
        <v>0.4</v>
      </c>
      <c r="Q11" s="6" cm="1">
        <f t="array" ref="Q11">_xlfn.XLOOKUP(Table8[[#This Row],[Admin2PCODE]:[Admin2PCODE]],tblPiNAnalysis[[Admin2PCODE]:[Admin2PCODE]],tblPiNAnalysis[% EDU],0,0)</f>
        <v>0.1</v>
      </c>
      <c r="R11" s="6" cm="1">
        <f t="array" ref="R11">_xlfn.XLOOKUP(Table8[[#This Row],[Admin2PCODE]:[Admin2PCODE]],tblPiNAnalysis[[Admin2PCODE]:[Admin2PCODE]],tblPiNAnalysis[% PRO],0,0)</f>
        <v>0.25</v>
      </c>
      <c r="S11" s="6" cm="1">
        <f t="array" ref="S11">_xlfn.XLOOKUP(Table8[[#This Row],[Admin2PCODE]:[Admin2PCODE]],tblPiNAnalysis[[Admin2PCODE]:[Admin2PCODE]],tblPiNAnalysis[% WASH],0,0)</f>
        <v>0.8</v>
      </c>
      <c r="T11" s="6" cm="1">
        <f t="array" ref="T11">_xlfn.XLOOKUP(Table8[[#This Row],[Admin2PCODE]:[Admin2PCODE]],tblPiNAnalysis[[Admin2PCODE]:[Admin2PCODE]],tblPiNAnalysis[% NNA],0,0)</f>
        <v>0.1</v>
      </c>
      <c r="U11" s="6" cm="1">
        <f t="array" ref="U11">_xlfn.XLOOKUP(Table8[[#This Row],[Admin2PCODE]:[Admin2PCODE]],tblPiNAnalysis[[Admin2PCODE]:[Admin2PCODE]],tblPiNAnalysis[% VBG],0,0)</f>
        <v>0.1</v>
      </c>
      <c r="V11" s="8" cm="1">
        <f t="array" ref="V11">_xlfn.XLOOKUP(Table8[[#This Row],[Admin2PCODE]:[Admin2PCODE]],tblPiNAnalysis[[Admin2PCODE]:[Admin2PCODE]],tblPiNAnalysis[PiN preliminar],0,0)</f>
        <v>19023.2</v>
      </c>
      <c r="W11" s="308" cm="1">
        <f t="array" ref="W11">_xlfn.XLOOKUP(Table8[[#This Row],[Admin2PCODE]],tblPiNAnalysis[Admin2PCODE],tblSeverityAnalysis[Severidad media],0,0)</f>
        <v>3.1666666666666665</v>
      </c>
      <c r="X11" s="42">
        <f>Table8[[#This Row],[Severidad media]]*6</f>
        <v>19</v>
      </c>
      <c r="Y11" s="6" cm="1">
        <f t="array" ref="Y11">_xlfn.XLOOKUP(Table8[[#This Row],[Admin2PCODE]],tblPiNAnalysis[Admin2PCODE],tblPiNAnalysis[% PiN Sectores más altos],0,0)</f>
        <v>0.8</v>
      </c>
      <c r="Z11" s="42" cm="1">
        <f t="array" ref="Z11">_xlfn.XLOOKUP(Table8[[#This Row],[Admin2PCODE]:[Admin2PCODE]],tblPiNAnalysis[[Admin2PCODE]:[Admin2PCODE]],tblPiNAnalysis[Severidad],0,0)</f>
        <v>3</v>
      </c>
      <c r="AA11">
        <f>_xlfn.XLOOKUP(Table8[[#This Row],[Admin2PCODE]],tblSeverityAnalysis[Admin 2 Código P],tblSeverityAnalysis[Severidad Ttotal 2025],0,0)</f>
        <v>4</v>
      </c>
      <c r="AB11" t="str">
        <f>_xlfn.XLOOKUP(Table8[[#This Row],[Admin2PCODE]],tblSeverityAnalysis[Admin 2 Código P],tblSeverityAnalysis[Priorización Final 2025],0,0)</f>
        <v>No</v>
      </c>
      <c r="AC11">
        <v>2</v>
      </c>
      <c r="AD11" t="s">
        <v>957</v>
      </c>
      <c r="AE11">
        <v>3</v>
      </c>
      <c r="AF11">
        <v>0</v>
      </c>
      <c r="AG11">
        <v>0</v>
      </c>
      <c r="AH11">
        <v>0</v>
      </c>
      <c r="AI11">
        <v>0</v>
      </c>
      <c r="AJ11">
        <v>1</v>
      </c>
      <c r="AK11">
        <v>0</v>
      </c>
      <c r="AL11">
        <v>0</v>
      </c>
      <c r="AM11">
        <v>0</v>
      </c>
      <c r="AN11">
        <v>2</v>
      </c>
      <c r="AO11" s="314">
        <f>Table8[[#This Row],[N° Clústeres con respuesta]]/Table8[[#This Row],[Org Total]]</f>
        <v>0.66666666666666663</v>
      </c>
      <c r="AP11" s="313">
        <v>5550</v>
      </c>
      <c r="AQ11" s="313">
        <v>765</v>
      </c>
      <c r="AR11" s="312">
        <f>Table8[[#This Row],[Alcanzados Oct 2025]]/Table8[[#This Row],[Meta 2025]]</f>
        <v>0.13783783783783785</v>
      </c>
      <c r="AS11" s="423">
        <v>0</v>
      </c>
      <c r="AT11" s="423">
        <v>0</v>
      </c>
      <c r="AU11" s="423">
        <v>0</v>
      </c>
      <c r="AV11" s="423">
        <v>0</v>
      </c>
      <c r="AW11" s="423">
        <v>2</v>
      </c>
      <c r="AX11" s="423">
        <v>0</v>
      </c>
      <c r="AY11" s="423">
        <v>0</v>
      </c>
      <c r="AZ11" s="423">
        <v>0</v>
      </c>
      <c r="BA11" s="42">
        <v>765</v>
      </c>
    </row>
    <row r="12" spans="1:53">
      <c r="A12" t="s">
        <v>119</v>
      </c>
      <c r="B12" t="s">
        <v>120</v>
      </c>
      <c r="C12" t="s">
        <v>822</v>
      </c>
      <c r="D12" t="s">
        <v>160</v>
      </c>
      <c r="E12" s="8">
        <v>9989</v>
      </c>
      <c r="F12" s="8">
        <v>0</v>
      </c>
      <c r="G12" s="8">
        <v>307.67428776412777</v>
      </c>
      <c r="H12" s="8">
        <v>3645.9850000000001</v>
      </c>
      <c r="I12" s="8">
        <v>849.29883177073134</v>
      </c>
      <c r="J12" s="8">
        <v>1192.0841614712594</v>
      </c>
      <c r="K12" s="8">
        <v>5993.4</v>
      </c>
      <c r="L12" s="8">
        <v>381.46693167080304</v>
      </c>
      <c r="M12" s="8">
        <v>417.22945651494075</v>
      </c>
      <c r="N12" s="6" cm="1">
        <f t="array" ref="N12">_xlfn.XLOOKUP(Table8[[#This Row],[Admin2PCODE]:[Admin2PCODE]],tblPiNAnalysis[[Admin2PCODE]:[Admin2PCODE]],tblPiNAnalysis[% SAMV],0,0)</f>
        <v>0</v>
      </c>
      <c r="O12" s="6" cm="1">
        <f t="array" ref="O12">_xlfn.XLOOKUP(Table8[[#This Row],[Admin2PCODE]:[Admin2PCODE]],tblPiNAnalysis[[Admin2PCODE]:[Admin2PCODE]],tblPiNAnalysis[% NUT],0,0)</f>
        <v>0.05</v>
      </c>
      <c r="P12" s="6" cm="1">
        <f t="array" ref="P12">_xlfn.XLOOKUP(Table8[[#This Row],[Admin2PCODE]:[Admin2PCODE]],tblPiNAnalysis[[Admin2PCODE]:[Admin2PCODE]],tblPiNAnalysis[% SAL],0,0)</f>
        <v>0.35000000000000003</v>
      </c>
      <c r="Q12" s="6" cm="1">
        <f t="array" ref="Q12">_xlfn.XLOOKUP(Table8[[#This Row],[Admin2PCODE]:[Admin2PCODE]],tblPiNAnalysis[[Admin2PCODE]:[Admin2PCODE]],tblPiNAnalysis[% EDU],0,0)</f>
        <v>0.1</v>
      </c>
      <c r="R12" s="6" cm="1">
        <f t="array" ref="R12">_xlfn.XLOOKUP(Table8[[#This Row],[Admin2PCODE]:[Admin2PCODE]],tblPiNAnalysis[[Admin2PCODE]:[Admin2PCODE]],tblPiNAnalysis[% PRO],0,0)</f>
        <v>0.1</v>
      </c>
      <c r="S12" s="6" cm="1">
        <f t="array" ref="S12">_xlfn.XLOOKUP(Table8[[#This Row],[Admin2PCODE]:[Admin2PCODE]],tblPiNAnalysis[[Admin2PCODE]:[Admin2PCODE]],tblPiNAnalysis[% WASH],0,0)</f>
        <v>0.60000000000000009</v>
      </c>
      <c r="T12" s="6" cm="1">
        <f t="array" ref="T12">_xlfn.XLOOKUP(Table8[[#This Row],[Admin2PCODE]:[Admin2PCODE]],tblPiNAnalysis[[Admin2PCODE]:[Admin2PCODE]],tblPiNAnalysis[% NNA],0,0)</f>
        <v>0.05</v>
      </c>
      <c r="U12" s="6" cm="1">
        <f t="array" ref="U12">_xlfn.XLOOKUP(Table8[[#This Row],[Admin2PCODE]:[Admin2PCODE]],tblPiNAnalysis[[Admin2PCODE]:[Admin2PCODE]],tblPiNAnalysis[% VBG],0,0)</f>
        <v>0.05</v>
      </c>
      <c r="V12" s="8" cm="1">
        <f t="array" ref="V12">_xlfn.XLOOKUP(Table8[[#This Row],[Admin2PCODE]:[Admin2PCODE]],tblPiNAnalysis[[Admin2PCODE]:[Admin2PCODE]],tblPiNAnalysis[PiN preliminar],0,0)</f>
        <v>5993.4</v>
      </c>
      <c r="W12" s="308" cm="1">
        <f t="array" ref="W12">_xlfn.XLOOKUP(Table8[[#This Row],[Admin2PCODE]],tblPiNAnalysis[Admin2PCODE],tblSeverityAnalysis[Severidad media],0,0)</f>
        <v>2.8333333333333335</v>
      </c>
      <c r="X12" s="42">
        <f>Table8[[#This Row],[Severidad media]]*6</f>
        <v>17</v>
      </c>
      <c r="Y12" s="6" cm="1">
        <f t="array" ref="Y12">_xlfn.XLOOKUP(Table8[[#This Row],[Admin2PCODE]],tblPiNAnalysis[Admin2PCODE],tblPiNAnalysis[% PiN Sectores más altos],0,0)</f>
        <v>0.6</v>
      </c>
      <c r="Z12" s="42" cm="1">
        <f t="array" ref="Z12">_xlfn.XLOOKUP(Table8[[#This Row],[Admin2PCODE]:[Admin2PCODE]],tblPiNAnalysis[[Admin2PCODE]:[Admin2PCODE]],tblPiNAnalysis[Severidad],0,0)</f>
        <v>3</v>
      </c>
      <c r="AA12">
        <f>_xlfn.XLOOKUP(Table8[[#This Row],[Admin2PCODE]],tblSeverityAnalysis[Admin 2 Código P],tblSeverityAnalysis[Severidad Ttotal 2025],0,0)</f>
        <v>4</v>
      </c>
      <c r="AB12" t="str">
        <f>_xlfn.XLOOKUP(Table8[[#This Row],[Admin2PCODE]],tblSeverityAnalysis[Admin 2 Código P],tblSeverityAnalysis[Priorización Final 2025],0,0)</f>
        <v>No</v>
      </c>
      <c r="AC12">
        <v>1</v>
      </c>
      <c r="AD12" t="s">
        <v>952</v>
      </c>
      <c r="AE12">
        <v>1</v>
      </c>
      <c r="AF12">
        <v>0</v>
      </c>
      <c r="AG12">
        <v>0</v>
      </c>
      <c r="AH12">
        <v>0</v>
      </c>
      <c r="AI12">
        <v>0</v>
      </c>
      <c r="AJ12">
        <v>1</v>
      </c>
      <c r="AK12">
        <v>0</v>
      </c>
      <c r="AL12">
        <v>0</v>
      </c>
      <c r="AM12">
        <v>0</v>
      </c>
      <c r="AN12">
        <v>0</v>
      </c>
      <c r="AO12" s="314">
        <f>Table8[[#This Row],[N° Clústeres con respuesta]]/Table8[[#This Row],[Org Total]]</f>
        <v>1</v>
      </c>
      <c r="AP12" s="313">
        <v>2332</v>
      </c>
      <c r="AQ12" s="313">
        <v>4</v>
      </c>
      <c r="AR12" s="312">
        <f>Table8[[#This Row],[Alcanzados Oct 2025]]/Table8[[#This Row],[Meta 2025]]</f>
        <v>1.7152658662092624E-3</v>
      </c>
      <c r="AS12" s="423">
        <v>0</v>
      </c>
      <c r="AT12" s="423">
        <v>0</v>
      </c>
      <c r="AU12" s="423">
        <v>0</v>
      </c>
      <c r="AV12" s="423">
        <v>0</v>
      </c>
      <c r="AW12" s="423">
        <v>4</v>
      </c>
      <c r="AX12" s="423">
        <v>0</v>
      </c>
      <c r="AY12" s="423">
        <v>0</v>
      </c>
      <c r="AZ12" s="423">
        <v>0</v>
      </c>
      <c r="BA12" s="42">
        <v>0</v>
      </c>
    </row>
    <row r="13" spans="1:53">
      <c r="A13" t="s">
        <v>306</v>
      </c>
      <c r="B13" t="s">
        <v>307</v>
      </c>
      <c r="C13" t="s">
        <v>312</v>
      </c>
      <c r="D13" t="s">
        <v>313</v>
      </c>
      <c r="E13" s="8">
        <v>6582</v>
      </c>
      <c r="F13" s="8">
        <v>2808</v>
      </c>
      <c r="G13" s="8">
        <v>772.55810387521024</v>
      </c>
      <c r="H13" s="8">
        <v>2800</v>
      </c>
      <c r="I13" s="8">
        <v>1642.1886787801559</v>
      </c>
      <c r="J13" s="8">
        <v>1571.8223741396118</v>
      </c>
      <c r="K13" s="8">
        <v>3949.2</v>
      </c>
      <c r="L13" s="8">
        <v>502.98315972467583</v>
      </c>
      <c r="M13" s="8">
        <v>550.13783094886412</v>
      </c>
      <c r="N13" s="6" cm="1">
        <f t="array" ref="N13">_xlfn.XLOOKUP(Table8[[#This Row],[Admin2PCODE]:[Admin2PCODE]],tblPiNAnalysis[[Admin2PCODE]:[Admin2PCODE]],tblPiNAnalysis[% SAMV],0,0)</f>
        <v>0.45</v>
      </c>
      <c r="O13" s="6" cm="1">
        <f t="array" ref="O13">_xlfn.XLOOKUP(Table8[[#This Row],[Admin2PCODE]:[Admin2PCODE]],tblPiNAnalysis[[Admin2PCODE]:[Admin2PCODE]],tblPiNAnalysis[% NUT],0,0)</f>
        <v>0.1</v>
      </c>
      <c r="P13" s="6" cm="1">
        <f t="array" ref="P13">_xlfn.XLOOKUP(Table8[[#This Row],[Admin2PCODE]:[Admin2PCODE]],tblPiNAnalysis[[Admin2PCODE]:[Admin2PCODE]],tblPiNAnalysis[% SAL],0,0)</f>
        <v>0.45</v>
      </c>
      <c r="Q13" s="6" cm="1">
        <f t="array" ref="Q13">_xlfn.XLOOKUP(Table8[[#This Row],[Admin2PCODE]:[Admin2PCODE]],tblPiNAnalysis[[Admin2PCODE]:[Admin2PCODE]],tblPiNAnalysis[% EDU],0,0)</f>
        <v>0.25</v>
      </c>
      <c r="R13" s="6" cm="1">
        <f t="array" ref="R13">_xlfn.XLOOKUP(Table8[[#This Row],[Admin2PCODE]:[Admin2PCODE]],tblPiNAnalysis[[Admin2PCODE]:[Admin2PCODE]],tblPiNAnalysis[% PRO],0,0)</f>
        <v>0.25</v>
      </c>
      <c r="S13" s="6" cm="1">
        <f t="array" ref="S13">_xlfn.XLOOKUP(Table8[[#This Row],[Admin2PCODE]:[Admin2PCODE]],tblPiNAnalysis[[Admin2PCODE]:[Admin2PCODE]],tblPiNAnalysis[% WASH],0,0)</f>
        <v>0.60000000000000009</v>
      </c>
      <c r="T13" s="6" cm="1">
        <f t="array" ref="T13">_xlfn.XLOOKUP(Table8[[#This Row],[Admin2PCODE]:[Admin2PCODE]],tblPiNAnalysis[[Admin2PCODE]:[Admin2PCODE]],tblPiNAnalysis[% NNA],0,0)</f>
        <v>0.1</v>
      </c>
      <c r="U13" s="6" cm="1">
        <f t="array" ref="U13">_xlfn.XLOOKUP(Table8[[#This Row],[Admin2PCODE]:[Admin2PCODE]],tblPiNAnalysis[[Admin2PCODE]:[Admin2PCODE]],tblPiNAnalysis[% VBG],0,0)</f>
        <v>0.1</v>
      </c>
      <c r="V13" s="8" cm="1">
        <f t="array" ref="V13">_xlfn.XLOOKUP(Table8[[#This Row],[Admin2PCODE]:[Admin2PCODE]],tblPiNAnalysis[[Admin2PCODE]:[Admin2PCODE]],tblPiNAnalysis[PiN preliminar],0,0)</f>
        <v>3949.2</v>
      </c>
      <c r="W13" s="308" cm="1">
        <f t="array" ref="W13">_xlfn.XLOOKUP(Table8[[#This Row],[Admin2PCODE]],tblPiNAnalysis[Admin2PCODE],tblSeverityAnalysis[Severidad media],0,0)</f>
        <v>3</v>
      </c>
      <c r="X13" s="42">
        <f>Table8[[#This Row],[Severidad media]]*6</f>
        <v>18</v>
      </c>
      <c r="Y13" s="6" cm="1">
        <f t="array" ref="Y13">_xlfn.XLOOKUP(Table8[[#This Row],[Admin2PCODE]],tblPiNAnalysis[Admin2PCODE],tblPiNAnalysis[% PiN Sectores más altos],0,0)</f>
        <v>0.6</v>
      </c>
      <c r="Z13" s="42" cm="1">
        <f t="array" ref="Z13">_xlfn.XLOOKUP(Table8[[#This Row],[Admin2PCODE]:[Admin2PCODE]],tblPiNAnalysis[[Admin2PCODE]:[Admin2PCODE]],tblPiNAnalysis[Severidad],0,0)</f>
        <v>4</v>
      </c>
      <c r="AA13">
        <f>_xlfn.XLOOKUP(Table8[[#This Row],[Admin2PCODE]],tblSeverityAnalysis[Admin 2 Código P],tblSeverityAnalysis[Severidad Ttotal 2025],0,0)</f>
        <v>4</v>
      </c>
      <c r="AB13" t="str">
        <f>_xlfn.XLOOKUP(Table8[[#This Row],[Admin2PCODE]],tblSeverityAnalysis[Admin 2 Código P],tblSeverityAnalysis[Priorización Final 2025],0,0)</f>
        <v>No</v>
      </c>
      <c r="AC13">
        <v>7</v>
      </c>
      <c r="AD13" t="s">
        <v>958</v>
      </c>
      <c r="AE13">
        <v>15</v>
      </c>
      <c r="AF13">
        <v>0</v>
      </c>
      <c r="AG13">
        <v>4</v>
      </c>
      <c r="AH13">
        <v>3</v>
      </c>
      <c r="AI13">
        <v>4</v>
      </c>
      <c r="AJ13">
        <v>4</v>
      </c>
      <c r="AK13">
        <v>3</v>
      </c>
      <c r="AL13">
        <v>0</v>
      </c>
      <c r="AM13">
        <v>8</v>
      </c>
      <c r="AN13">
        <v>5</v>
      </c>
      <c r="AO13" s="314">
        <f>Table8[[#This Row],[N° Clústeres con respuesta]]/Table8[[#This Row],[Org Total]]</f>
        <v>0.46666666666666667</v>
      </c>
      <c r="AP13" s="313">
        <v>1537</v>
      </c>
      <c r="AQ13" s="313">
        <v>6924</v>
      </c>
      <c r="AR13" s="312">
        <f>Table8[[#This Row],[Alcanzados Oct 2025]]/Table8[[#This Row],[Meta 2025]]</f>
        <v>4.5048796356538716</v>
      </c>
      <c r="AS13" s="423">
        <v>0</v>
      </c>
      <c r="AT13" s="423">
        <v>177</v>
      </c>
      <c r="AU13" s="423">
        <v>2156</v>
      </c>
      <c r="AV13" s="423">
        <v>276</v>
      </c>
      <c r="AW13" s="423">
        <v>139</v>
      </c>
      <c r="AX13" s="423">
        <v>99</v>
      </c>
      <c r="AY13" s="423">
        <v>0</v>
      </c>
      <c r="AZ13" s="423">
        <v>2135</v>
      </c>
      <c r="BA13" s="42">
        <v>6924</v>
      </c>
    </row>
    <row r="14" spans="1:53">
      <c r="A14" t="s">
        <v>276</v>
      </c>
      <c r="B14" t="s">
        <v>455</v>
      </c>
      <c r="C14" t="s">
        <v>456</v>
      </c>
      <c r="D14" t="s">
        <v>457</v>
      </c>
      <c r="E14" s="8">
        <v>89335</v>
      </c>
      <c r="F14" s="8">
        <v>22136</v>
      </c>
      <c r="G14" s="8">
        <v>3597.6361967716234</v>
      </c>
      <c r="H14" s="8">
        <v>37100</v>
      </c>
      <c r="I14" s="8">
        <v>9296.5220466373139</v>
      </c>
      <c r="J14" s="8">
        <v>17809.644481572828</v>
      </c>
      <c r="K14" s="8">
        <v>12060.225</v>
      </c>
      <c r="L14" s="8">
        <v>5699.0862341033053</v>
      </c>
      <c r="M14" s="8">
        <v>6233.3755685504902</v>
      </c>
      <c r="N14" s="6" cm="1">
        <f t="array" ref="N14">_xlfn.XLOOKUP(Table8[[#This Row],[Admin2PCODE]:[Admin2PCODE]],tblPiNAnalysis[[Admin2PCODE]:[Admin2PCODE]],tblPiNAnalysis[% SAMV],0,0)</f>
        <v>0.25</v>
      </c>
      <c r="O14" s="6" cm="1">
        <f t="array" ref="O14">_xlfn.XLOOKUP(Table8[[#This Row],[Admin2PCODE]:[Admin2PCODE]],tblPiNAnalysis[[Admin2PCODE]:[Admin2PCODE]],tblPiNAnalysis[% NUT],0,0)</f>
        <v>0.05</v>
      </c>
      <c r="P14" s="6" cm="1">
        <f t="array" ref="P14">_xlfn.XLOOKUP(Table8[[#This Row],[Admin2PCODE]:[Admin2PCODE]],tblPiNAnalysis[[Admin2PCODE]:[Admin2PCODE]],tblPiNAnalysis[% SAL],0,0)</f>
        <v>0.4</v>
      </c>
      <c r="Q14" s="6" cm="1">
        <f t="array" ref="Q14">_xlfn.XLOOKUP(Table8[[#This Row],[Admin2PCODE]:[Admin2PCODE]],tblPiNAnalysis[[Admin2PCODE]:[Admin2PCODE]],tblPiNAnalysis[% EDU],0,0)</f>
        <v>0.1</v>
      </c>
      <c r="R14" s="6" cm="1">
        <f t="array" ref="R14">_xlfn.XLOOKUP(Table8[[#This Row],[Admin2PCODE]:[Admin2PCODE]],tblPiNAnalysis[[Admin2PCODE]:[Admin2PCODE]],tblPiNAnalysis[% PRO],0,0)</f>
        <v>0.2</v>
      </c>
      <c r="S14" s="6" cm="1">
        <f t="array" ref="S14">_xlfn.XLOOKUP(Table8[[#This Row],[Admin2PCODE]:[Admin2PCODE]],tblPiNAnalysis[[Admin2PCODE]:[Admin2PCODE]],tblPiNAnalysis[% WASH],0,0)</f>
        <v>0.15000000000000002</v>
      </c>
      <c r="T14" s="6" cm="1">
        <f t="array" ref="T14">_xlfn.XLOOKUP(Table8[[#This Row],[Admin2PCODE]:[Admin2PCODE]],tblPiNAnalysis[[Admin2PCODE]:[Admin2PCODE]],tblPiNAnalysis[% NNA],0,0)</f>
        <v>0.05</v>
      </c>
      <c r="U14" s="6" cm="1">
        <f t="array" ref="U14">_xlfn.XLOOKUP(Table8[[#This Row],[Admin2PCODE]:[Admin2PCODE]],tblPiNAnalysis[[Admin2PCODE]:[Admin2PCODE]],tblPiNAnalysis[% VBG],0,0)</f>
        <v>0.05</v>
      </c>
      <c r="V14" s="8" cm="1">
        <f t="array" ref="V14">_xlfn.XLOOKUP(Table8[[#This Row],[Admin2PCODE]:[Admin2PCODE]],tblPiNAnalysis[[Admin2PCODE]:[Admin2PCODE]],tblPiNAnalysis[PiN preliminar],0,0)</f>
        <v>37100</v>
      </c>
      <c r="W14" s="308" cm="1">
        <f t="array" ref="W14">_xlfn.XLOOKUP(Table8[[#This Row],[Admin2PCODE]],tblPiNAnalysis[Admin2PCODE],tblSeverityAnalysis[Severidad media],0,0)</f>
        <v>2.5</v>
      </c>
      <c r="X14" s="42">
        <f>Table8[[#This Row],[Severidad media]]*6</f>
        <v>15</v>
      </c>
      <c r="Y14" s="6" cm="1">
        <f t="array" ref="Y14">_xlfn.XLOOKUP(Table8[[#This Row],[Admin2PCODE]],tblPiNAnalysis[Admin2PCODE],tblPiNAnalysis[% PiN Sectores más altos],0,0)</f>
        <v>0.41529075950075556</v>
      </c>
      <c r="Z14" s="42" cm="1">
        <f t="array" ref="Z14">_xlfn.XLOOKUP(Table8[[#This Row],[Admin2PCODE]:[Admin2PCODE]],tblPiNAnalysis[[Admin2PCODE]:[Admin2PCODE]],tblPiNAnalysis[Severidad],0,0)</f>
        <v>4</v>
      </c>
      <c r="AA14">
        <f>_xlfn.XLOOKUP(Table8[[#This Row],[Admin2PCODE]],tblSeverityAnalysis[Admin 2 Código P],tblSeverityAnalysis[Severidad Ttotal 2025],0,0)</f>
        <v>4</v>
      </c>
      <c r="AB14" t="str">
        <f>_xlfn.XLOOKUP(Table8[[#This Row],[Admin2PCODE]],tblSeverityAnalysis[Admin 2 Código P],tblSeverityAnalysis[Priorización Final 2025],0,0)</f>
        <v>No</v>
      </c>
      <c r="AC14">
        <v>7</v>
      </c>
      <c r="AD14" t="s">
        <v>959</v>
      </c>
      <c r="AE14">
        <v>11</v>
      </c>
      <c r="AF14">
        <v>0</v>
      </c>
      <c r="AG14">
        <v>3</v>
      </c>
      <c r="AH14">
        <v>0</v>
      </c>
      <c r="AI14">
        <v>3</v>
      </c>
      <c r="AJ14">
        <v>6</v>
      </c>
      <c r="AK14">
        <v>2</v>
      </c>
      <c r="AL14">
        <v>1</v>
      </c>
      <c r="AM14">
        <v>5</v>
      </c>
      <c r="AN14">
        <v>4</v>
      </c>
      <c r="AO14" s="314">
        <f>Table8[[#This Row],[N° Clústeres con respuesta]]/Table8[[#This Row],[Org Total]]</f>
        <v>0.63636363636363635</v>
      </c>
      <c r="AP14" s="313">
        <v>20859</v>
      </c>
      <c r="AQ14" s="313">
        <v>9887</v>
      </c>
      <c r="AR14" s="312">
        <f>Table8[[#This Row],[Alcanzados Oct 2025]]/Table8[[#This Row],[Meta 2025]]</f>
        <v>0.47399204180449683</v>
      </c>
      <c r="AS14" s="423">
        <v>0</v>
      </c>
      <c r="AT14" s="423">
        <v>9885</v>
      </c>
      <c r="AU14" s="423">
        <v>0</v>
      </c>
      <c r="AV14" s="423">
        <v>4233</v>
      </c>
      <c r="AW14" s="423">
        <v>3203</v>
      </c>
      <c r="AX14" s="423">
        <v>26</v>
      </c>
      <c r="AY14" s="423">
        <v>1607</v>
      </c>
      <c r="AZ14" s="423">
        <v>6283</v>
      </c>
      <c r="BA14" s="42">
        <v>2660</v>
      </c>
    </row>
    <row r="15" spans="1:53">
      <c r="A15" t="s">
        <v>163</v>
      </c>
      <c r="B15" t="s">
        <v>164</v>
      </c>
      <c r="C15" t="s">
        <v>169</v>
      </c>
      <c r="D15" t="s">
        <v>170</v>
      </c>
      <c r="E15" s="8">
        <v>28161</v>
      </c>
      <c r="F15" s="8">
        <v>4693</v>
      </c>
      <c r="G15" s="8">
        <v>1415.0457714879094</v>
      </c>
      <c r="H15" s="8">
        <v>10278.764999999999</v>
      </c>
      <c r="I15" s="8">
        <v>5529.0919175159233</v>
      </c>
      <c r="J15" s="8">
        <v>6762.628562054465</v>
      </c>
      <c r="K15" s="8">
        <v>16896.599999999999</v>
      </c>
      <c r="L15" s="8">
        <v>2164.0411398574288</v>
      </c>
      <c r="M15" s="8">
        <v>2366.9199967190625</v>
      </c>
      <c r="N15" s="6" cm="1">
        <f t="array" ref="N15">_xlfn.XLOOKUP(Table8[[#This Row],[Admin2PCODE]:[Admin2PCODE]],tblPiNAnalysis[[Admin2PCODE]:[Admin2PCODE]],tblPiNAnalysis[% SAMV],0,0)</f>
        <v>0.15000000000000002</v>
      </c>
      <c r="O15" s="6" cm="1">
        <f t="array" ref="O15">_xlfn.XLOOKUP(Table8[[#This Row],[Admin2PCODE]:[Admin2PCODE]],tblPiNAnalysis[[Admin2PCODE]:[Admin2PCODE]],tblPiNAnalysis[% NUT],0,0)</f>
        <v>0.05</v>
      </c>
      <c r="P15" s="6" cm="1">
        <f t="array" ref="P15">_xlfn.XLOOKUP(Table8[[#This Row],[Admin2PCODE]:[Admin2PCODE]],tblPiNAnalysis[[Admin2PCODE]:[Admin2PCODE]],tblPiNAnalysis[% SAL],0,0)</f>
        <v>0.35000000000000003</v>
      </c>
      <c r="Q15" s="6" cm="1">
        <f t="array" ref="Q15">_xlfn.XLOOKUP(Table8[[#This Row],[Admin2PCODE]:[Admin2PCODE]],tblPiNAnalysis[[Admin2PCODE]:[Admin2PCODE]],tblPiNAnalysis[% EDU],0,0)</f>
        <v>0.2</v>
      </c>
      <c r="R15" s="6" cm="1">
        <f t="array" ref="R15">_xlfn.XLOOKUP(Table8[[#This Row],[Admin2PCODE]:[Admin2PCODE]],tblPiNAnalysis[[Admin2PCODE]:[Admin2PCODE]],tblPiNAnalysis[% PRO],0,0)</f>
        <v>0.25</v>
      </c>
      <c r="S15" s="6" cm="1">
        <f t="array" ref="S15">_xlfn.XLOOKUP(Table8[[#This Row],[Admin2PCODE]:[Admin2PCODE]],tblPiNAnalysis[[Admin2PCODE]:[Admin2PCODE]],tblPiNAnalysis[% WASH],0,0)</f>
        <v>0.60000000000000009</v>
      </c>
      <c r="T15" s="6" cm="1">
        <f t="array" ref="T15">_xlfn.XLOOKUP(Table8[[#This Row],[Admin2PCODE]:[Admin2PCODE]],tblPiNAnalysis[[Admin2PCODE]:[Admin2PCODE]],tblPiNAnalysis[% NNA],0,0)</f>
        <v>0.1</v>
      </c>
      <c r="U15" s="6" cm="1">
        <f t="array" ref="U15">_xlfn.XLOOKUP(Table8[[#This Row],[Admin2PCODE]:[Admin2PCODE]],tblPiNAnalysis[[Admin2PCODE]:[Admin2PCODE]],tblPiNAnalysis[% VBG],0,0)</f>
        <v>0.1</v>
      </c>
      <c r="V15" s="8" cm="1">
        <f t="array" ref="V15">_xlfn.XLOOKUP(Table8[[#This Row],[Admin2PCODE]:[Admin2PCODE]],tblPiNAnalysis[[Admin2PCODE]:[Admin2PCODE]],tblPiNAnalysis[PiN preliminar],0,0)</f>
        <v>16896.599999999999</v>
      </c>
      <c r="W15" s="308" cm="1">
        <f t="array" ref="W15">_xlfn.XLOOKUP(Table8[[#This Row],[Admin2PCODE]],tblPiNAnalysis[Admin2PCODE],tblSeverityAnalysis[Severidad media],0,0)</f>
        <v>3.1666666666666665</v>
      </c>
      <c r="X15" s="42">
        <f>Table8[[#This Row],[Severidad media]]*6</f>
        <v>19</v>
      </c>
      <c r="Y15" s="6" cm="1">
        <f t="array" ref="Y15">_xlfn.XLOOKUP(Table8[[#This Row],[Admin2PCODE]],tblPiNAnalysis[Admin2PCODE],tblPiNAnalysis[% PiN Sectores más altos],0,0)</f>
        <v>0.6</v>
      </c>
      <c r="Z15" s="42" cm="1">
        <f t="array" ref="Z15">_xlfn.XLOOKUP(Table8[[#This Row],[Admin2PCODE]:[Admin2PCODE]],tblPiNAnalysis[[Admin2PCODE]:[Admin2PCODE]],tblPiNAnalysis[Severidad],0,0)</f>
        <v>3</v>
      </c>
      <c r="AA15">
        <f>_xlfn.XLOOKUP(Table8[[#This Row],[Admin2PCODE]],tblSeverityAnalysis[Admin 2 Código P],tblSeverityAnalysis[Severidad Ttotal 2025],0,0)</f>
        <v>4</v>
      </c>
      <c r="AB15" t="str">
        <f>_xlfn.XLOOKUP(Table8[[#This Row],[Admin2PCODE]],tblSeverityAnalysis[Admin 2 Código P],tblSeverityAnalysis[Priorización Final 2025],0,0)</f>
        <v>No</v>
      </c>
      <c r="AC15">
        <v>4</v>
      </c>
      <c r="AD15" t="s">
        <v>960</v>
      </c>
      <c r="AE15">
        <v>2</v>
      </c>
      <c r="AF15">
        <v>0</v>
      </c>
      <c r="AG15">
        <v>1</v>
      </c>
      <c r="AH15">
        <v>0</v>
      </c>
      <c r="AI15">
        <v>1</v>
      </c>
      <c r="AJ15">
        <v>2</v>
      </c>
      <c r="AK15">
        <v>0</v>
      </c>
      <c r="AL15">
        <v>0</v>
      </c>
      <c r="AM15">
        <v>1</v>
      </c>
      <c r="AN15">
        <v>0</v>
      </c>
      <c r="AO15" s="314">
        <f>Table8[[#This Row],[N° Clústeres con respuesta]]/Table8[[#This Row],[Org Total]]</f>
        <v>2</v>
      </c>
      <c r="AP15" s="313">
        <v>6576</v>
      </c>
      <c r="AQ15" s="313">
        <v>1200</v>
      </c>
      <c r="AR15" s="312">
        <f>Table8[[#This Row],[Alcanzados Oct 2025]]/Table8[[#This Row],[Meta 2025]]</f>
        <v>0.18248175182481752</v>
      </c>
      <c r="AS15" s="423">
        <v>0</v>
      </c>
      <c r="AT15" s="423">
        <v>1200</v>
      </c>
      <c r="AU15" s="423">
        <v>0</v>
      </c>
      <c r="AV15" s="423">
        <v>173</v>
      </c>
      <c r="AW15" s="423">
        <v>22</v>
      </c>
      <c r="AX15" s="423">
        <v>0</v>
      </c>
      <c r="AY15" s="423">
        <v>0</v>
      </c>
      <c r="AZ15" s="423">
        <v>74</v>
      </c>
      <c r="BA15" s="42">
        <v>0</v>
      </c>
    </row>
    <row r="16" spans="1:53">
      <c r="A16" t="s">
        <v>705</v>
      </c>
      <c r="B16" t="s">
        <v>706</v>
      </c>
      <c r="C16" t="s">
        <v>815</v>
      </c>
      <c r="D16" t="s">
        <v>722</v>
      </c>
      <c r="E16" s="8">
        <v>31175</v>
      </c>
      <c r="F16" s="8">
        <v>3247</v>
      </c>
      <c r="G16" s="8">
        <v>2467.22718487559</v>
      </c>
      <c r="H16" s="8">
        <v>11378.875</v>
      </c>
      <c r="I16" s="8">
        <v>4984.6427237542912</v>
      </c>
      <c r="J16" s="8">
        <v>7430.3304671064543</v>
      </c>
      <c r="K16" s="8">
        <v>18705</v>
      </c>
      <c r="L16" s="8">
        <v>2377.7057494740652</v>
      </c>
      <c r="M16" s="8">
        <v>2600.6156634872591</v>
      </c>
      <c r="N16" s="6" cm="1">
        <f t="array" ref="N16">_xlfn.XLOOKUP(Table8[[#This Row],[Admin2PCODE]:[Admin2PCODE]],tblPiNAnalysis[[Admin2PCODE]:[Admin2PCODE]],tblPiNAnalysis[% SAMV],0,0)</f>
        <v>0.1</v>
      </c>
      <c r="O16" s="6" cm="1">
        <f t="array" ref="O16">_xlfn.XLOOKUP(Table8[[#This Row],[Admin2PCODE]:[Admin2PCODE]],tblPiNAnalysis[[Admin2PCODE]:[Admin2PCODE]],tblPiNAnalysis[% NUT],0,0)</f>
        <v>0.1</v>
      </c>
      <c r="P16" s="6" cm="1">
        <f t="array" ref="P16">_xlfn.XLOOKUP(Table8[[#This Row],[Admin2PCODE]:[Admin2PCODE]],tblPiNAnalysis[[Admin2PCODE]:[Admin2PCODE]],tblPiNAnalysis[% SAL],0,0)</f>
        <v>0.35000000000000003</v>
      </c>
      <c r="Q16" s="6" cm="1">
        <f t="array" ref="Q16">_xlfn.XLOOKUP(Table8[[#This Row],[Admin2PCODE]:[Admin2PCODE]],tblPiNAnalysis[[Admin2PCODE]:[Admin2PCODE]],tblPiNAnalysis[% EDU],0,0)</f>
        <v>0.15000000000000002</v>
      </c>
      <c r="R16" s="6" cm="1">
        <f t="array" ref="R16">_xlfn.XLOOKUP(Table8[[#This Row],[Admin2PCODE]:[Admin2PCODE]],tblPiNAnalysis[[Admin2PCODE]:[Admin2PCODE]],tblPiNAnalysis[% PRO],0,0)</f>
        <v>0.25</v>
      </c>
      <c r="S16" s="6" cm="1">
        <f t="array" ref="S16">_xlfn.XLOOKUP(Table8[[#This Row],[Admin2PCODE]:[Admin2PCODE]],tblPiNAnalysis[[Admin2PCODE]:[Admin2PCODE]],tblPiNAnalysis[% WASH],0,0)</f>
        <v>0.60000000000000009</v>
      </c>
      <c r="T16" s="6" cm="1">
        <f t="array" ref="T16">_xlfn.XLOOKUP(Table8[[#This Row],[Admin2PCODE]:[Admin2PCODE]],tblPiNAnalysis[[Admin2PCODE]:[Admin2PCODE]],tblPiNAnalysis[% NNA],0,0)</f>
        <v>0.1</v>
      </c>
      <c r="U16" s="6" cm="1">
        <f t="array" ref="U16">_xlfn.XLOOKUP(Table8[[#This Row],[Admin2PCODE]:[Admin2PCODE]],tblPiNAnalysis[[Admin2PCODE]:[Admin2PCODE]],tblPiNAnalysis[% VBG],0,0)</f>
        <v>0.1</v>
      </c>
      <c r="V16" s="8" cm="1">
        <f t="array" ref="V16">_xlfn.XLOOKUP(Table8[[#This Row],[Admin2PCODE]:[Admin2PCODE]],tblPiNAnalysis[[Admin2PCODE]:[Admin2PCODE]],tblPiNAnalysis[PiN preliminar],0,0)</f>
        <v>18705</v>
      </c>
      <c r="W16" s="308" cm="1">
        <f t="array" ref="W16">_xlfn.XLOOKUP(Table8[[#This Row],[Admin2PCODE]],tblPiNAnalysis[Admin2PCODE],tblSeverityAnalysis[Severidad media],0,0)</f>
        <v>3.3333333333333335</v>
      </c>
      <c r="X16" s="42">
        <f>Table8[[#This Row],[Severidad media]]*6</f>
        <v>20</v>
      </c>
      <c r="Y16" s="6" cm="1">
        <f t="array" ref="Y16">_xlfn.XLOOKUP(Table8[[#This Row],[Admin2PCODE]],tblPiNAnalysis[Admin2PCODE],tblPiNAnalysis[% PiN Sectores más altos],0,0)</f>
        <v>0.6</v>
      </c>
      <c r="Z16" s="42" cm="1">
        <f t="array" ref="Z16">_xlfn.XLOOKUP(Table8[[#This Row],[Admin2PCODE]:[Admin2PCODE]],tblPiNAnalysis[[Admin2PCODE]:[Admin2PCODE]],tblPiNAnalysis[Severidad],0,0)</f>
        <v>4</v>
      </c>
      <c r="AA16">
        <f>_xlfn.XLOOKUP(Table8[[#This Row],[Admin2PCODE]],tblSeverityAnalysis[Admin 2 Código P],tblSeverityAnalysis[Severidad Ttotal 2025],0,0)</f>
        <v>4</v>
      </c>
      <c r="AB16" t="str">
        <f>_xlfn.XLOOKUP(Table8[[#This Row],[Admin2PCODE]],tblSeverityAnalysis[Admin 2 Código P],tblSeverityAnalysis[Priorización Final 2025],0,0)</f>
        <v>No</v>
      </c>
      <c r="AC16">
        <v>7</v>
      </c>
      <c r="AD16" t="s">
        <v>961</v>
      </c>
      <c r="AE16">
        <v>11</v>
      </c>
      <c r="AF16">
        <v>0</v>
      </c>
      <c r="AG16">
        <v>2</v>
      </c>
      <c r="AH16">
        <v>1</v>
      </c>
      <c r="AI16">
        <v>3</v>
      </c>
      <c r="AJ16">
        <v>3</v>
      </c>
      <c r="AK16">
        <v>4</v>
      </c>
      <c r="AL16">
        <v>0</v>
      </c>
      <c r="AM16">
        <v>2</v>
      </c>
      <c r="AN16">
        <v>2</v>
      </c>
      <c r="AO16" s="314">
        <f>Table8[[#This Row],[N° Clústeres con respuesta]]/Table8[[#This Row],[Org Total]]</f>
        <v>0.63636363636363635</v>
      </c>
      <c r="AP16" s="313">
        <v>7278</v>
      </c>
      <c r="AQ16" s="313">
        <v>10178</v>
      </c>
      <c r="AR16" s="312">
        <f>Table8[[#This Row],[Alcanzados Oct 2025]]/Table8[[#This Row],[Meta 2025]]</f>
        <v>1.398461115691124</v>
      </c>
      <c r="AS16" s="423">
        <v>0</v>
      </c>
      <c r="AT16" s="423">
        <v>0</v>
      </c>
      <c r="AU16" s="423">
        <v>159</v>
      </c>
      <c r="AV16" s="423">
        <v>1945</v>
      </c>
      <c r="AW16" s="423">
        <v>1656</v>
      </c>
      <c r="AX16" s="423">
        <v>35</v>
      </c>
      <c r="AY16" s="423">
        <v>0</v>
      </c>
      <c r="AZ16" s="423">
        <v>10082</v>
      </c>
      <c r="BA16" s="42">
        <v>0</v>
      </c>
    </row>
    <row r="17" spans="1:53">
      <c r="A17" t="s">
        <v>103</v>
      </c>
      <c r="B17" t="s">
        <v>104</v>
      </c>
      <c r="C17" t="s">
        <v>109</v>
      </c>
      <c r="D17" t="s">
        <v>110</v>
      </c>
      <c r="E17" s="8">
        <v>106577</v>
      </c>
      <c r="F17" s="8">
        <v>9117</v>
      </c>
      <c r="G17" s="8">
        <v>5153.499637808698</v>
      </c>
      <c r="H17" s="8">
        <v>38900.605000000003</v>
      </c>
      <c r="I17" s="8">
        <v>27513.797680685166</v>
      </c>
      <c r="J17" s="8">
        <v>25498.887203142003</v>
      </c>
      <c r="K17" s="8">
        <v>14387.895</v>
      </c>
      <c r="L17" s="8">
        <v>8159.6439050054414</v>
      </c>
      <c r="M17" s="8">
        <v>8924.6105210997011</v>
      </c>
      <c r="N17" s="6" cm="1">
        <f t="array" ref="N17">_xlfn.XLOOKUP(Table8[[#This Row],[Admin2PCODE]:[Admin2PCODE]],tblPiNAnalysis[[Admin2PCODE]:[Admin2PCODE]],tblPiNAnalysis[% SAMV],0,0)</f>
        <v>0.1</v>
      </c>
      <c r="O17" s="6" cm="1">
        <f t="array" ref="O17">_xlfn.XLOOKUP(Table8[[#This Row],[Admin2PCODE]:[Admin2PCODE]],tblPiNAnalysis[[Admin2PCODE]:[Admin2PCODE]],tblPiNAnalysis[% NUT],0,0)</f>
        <v>0.05</v>
      </c>
      <c r="P17" s="6" cm="1">
        <f t="array" ref="P17">_xlfn.XLOOKUP(Table8[[#This Row],[Admin2PCODE]:[Admin2PCODE]],tblPiNAnalysis[[Admin2PCODE]:[Admin2PCODE]],tblPiNAnalysis[% SAL],0,0)</f>
        <v>0.35000000000000003</v>
      </c>
      <c r="Q17" s="6" cm="1">
        <f t="array" ref="Q17">_xlfn.XLOOKUP(Table8[[#This Row],[Admin2PCODE]:[Admin2PCODE]],tblPiNAnalysis[[Admin2PCODE]:[Admin2PCODE]],tblPiNAnalysis[% EDU],0,0)</f>
        <v>0.25</v>
      </c>
      <c r="R17" s="6" cm="1">
        <f t="array" ref="R17">_xlfn.XLOOKUP(Table8[[#This Row],[Admin2PCODE]:[Admin2PCODE]],tblPiNAnalysis[[Admin2PCODE]:[Admin2PCODE]],tblPiNAnalysis[% PRO],0,0)</f>
        <v>0.25</v>
      </c>
      <c r="S17" s="6" cm="1">
        <f t="array" ref="S17">_xlfn.XLOOKUP(Table8[[#This Row],[Admin2PCODE]:[Admin2PCODE]],tblPiNAnalysis[[Admin2PCODE]:[Admin2PCODE]],tblPiNAnalysis[% WASH],0,0)</f>
        <v>0.15000000000000002</v>
      </c>
      <c r="T17" s="6" cm="1">
        <f t="array" ref="T17">_xlfn.XLOOKUP(Table8[[#This Row],[Admin2PCODE]:[Admin2PCODE]],tblPiNAnalysis[[Admin2PCODE]:[Admin2PCODE]],tblPiNAnalysis[% NNA],0,0)</f>
        <v>0.1</v>
      </c>
      <c r="U17" s="6" cm="1">
        <f t="array" ref="U17">_xlfn.XLOOKUP(Table8[[#This Row],[Admin2PCODE]:[Admin2PCODE]],tblPiNAnalysis[[Admin2PCODE]:[Admin2PCODE]],tblPiNAnalysis[% VBG],0,0)</f>
        <v>0.1</v>
      </c>
      <c r="V17" s="8" cm="1">
        <f t="array" ref="V17">_xlfn.XLOOKUP(Table8[[#This Row],[Admin2PCODE]:[Admin2PCODE]],tblPiNAnalysis[[Admin2PCODE]:[Admin2PCODE]],tblPiNAnalysis[PiN preliminar],0,0)</f>
        <v>38900.605000000003</v>
      </c>
      <c r="W17" s="308" cm="1">
        <f t="array" ref="W17">_xlfn.XLOOKUP(Table8[[#This Row],[Admin2PCODE]],tblPiNAnalysis[Admin2PCODE],tblSeverityAnalysis[Severidad media],0,0)</f>
        <v>2.6666666666666665</v>
      </c>
      <c r="X17" s="42">
        <f>Table8[[#This Row],[Severidad media]]*6</f>
        <v>16</v>
      </c>
      <c r="Y17" s="6" cm="1">
        <f t="array" ref="Y17">_xlfn.XLOOKUP(Table8[[#This Row],[Admin2PCODE]],tblPiNAnalysis[Admin2PCODE],tblPiNAnalysis[% PiN Sectores más altos],0,0)</f>
        <v>0.36500000000000005</v>
      </c>
      <c r="Z17" s="42" cm="1">
        <f t="array" ref="Z17">_xlfn.XLOOKUP(Table8[[#This Row],[Admin2PCODE]:[Admin2PCODE]],tblPiNAnalysis[[Admin2PCODE]:[Admin2PCODE]],tblPiNAnalysis[Severidad],0,0)</f>
        <v>3</v>
      </c>
      <c r="AA17">
        <f>_xlfn.XLOOKUP(Table8[[#This Row],[Admin2PCODE]],tblSeverityAnalysis[Admin 2 Código P],tblSeverityAnalysis[Severidad Ttotal 2025],0,0)</f>
        <v>4</v>
      </c>
      <c r="AB17" t="str">
        <f>_xlfn.XLOOKUP(Table8[[#This Row],[Admin2PCODE]],tblSeverityAnalysis[Admin 2 Código P],tblSeverityAnalysis[Priorización Final 2025],0,0)</f>
        <v>Sí</v>
      </c>
      <c r="AC17">
        <v>9</v>
      </c>
      <c r="AD17" t="s">
        <v>962</v>
      </c>
      <c r="AE17">
        <v>27</v>
      </c>
      <c r="AF17">
        <v>2</v>
      </c>
      <c r="AG17">
        <v>10</v>
      </c>
      <c r="AH17">
        <v>4</v>
      </c>
      <c r="AI17">
        <v>5</v>
      </c>
      <c r="AJ17">
        <v>11</v>
      </c>
      <c r="AK17">
        <v>7</v>
      </c>
      <c r="AL17">
        <v>9</v>
      </c>
      <c r="AM17">
        <v>10</v>
      </c>
      <c r="AN17">
        <v>5</v>
      </c>
      <c r="AO17" s="314">
        <f>Table8[[#This Row],[N° Clústeres con respuesta]]/Table8[[#This Row],[Org Total]]</f>
        <v>0.33333333333333331</v>
      </c>
      <c r="AP17" s="313">
        <v>24883</v>
      </c>
      <c r="AQ17" s="313">
        <v>50707</v>
      </c>
      <c r="AR17" s="312">
        <f>Table8[[#This Row],[Alcanzados Oct 2025]]/Table8[[#This Row],[Meta 2025]]</f>
        <v>2.0378169834826991</v>
      </c>
      <c r="AS17" s="423">
        <v>591</v>
      </c>
      <c r="AT17" s="423">
        <v>24986</v>
      </c>
      <c r="AU17" s="423">
        <v>3625</v>
      </c>
      <c r="AV17" s="423">
        <v>4135</v>
      </c>
      <c r="AW17" s="423">
        <v>5151</v>
      </c>
      <c r="AX17" s="423">
        <v>2064</v>
      </c>
      <c r="AY17" s="423">
        <v>2778</v>
      </c>
      <c r="AZ17" s="423">
        <v>50707</v>
      </c>
      <c r="BA17" s="42">
        <v>3651</v>
      </c>
    </row>
    <row r="18" spans="1:53">
      <c r="A18" t="s">
        <v>163</v>
      </c>
      <c r="B18" t="s">
        <v>164</v>
      </c>
      <c r="C18" t="s">
        <v>177</v>
      </c>
      <c r="D18" t="s">
        <v>178</v>
      </c>
      <c r="E18" s="8">
        <v>168860</v>
      </c>
      <c r="F18" s="8">
        <v>6318</v>
      </c>
      <c r="G18" s="8">
        <v>10039.650037290579</v>
      </c>
      <c r="H18" s="8">
        <v>61633.9</v>
      </c>
      <c r="I18" s="8">
        <v>3417.3421638215896</v>
      </c>
      <c r="J18" s="8">
        <v>40550.316359096505</v>
      </c>
      <c r="K18" s="8">
        <v>101316</v>
      </c>
      <c r="L18" s="8">
        <v>12976.101234910882</v>
      </c>
      <c r="M18" s="8">
        <v>14192.610725683775</v>
      </c>
      <c r="N18" s="6" cm="1">
        <f t="array" ref="N18">_xlfn.XLOOKUP(Table8[[#This Row],[Admin2PCODE]:[Admin2PCODE]],tblPiNAnalysis[[Admin2PCODE]:[Admin2PCODE]],tblPiNAnalysis[% SAMV],0,0)</f>
        <v>0.05</v>
      </c>
      <c r="O18" s="6" cm="1">
        <f t="array" ref="O18">_xlfn.XLOOKUP(Table8[[#This Row],[Admin2PCODE]:[Admin2PCODE]],tblPiNAnalysis[[Admin2PCODE]:[Admin2PCODE]],tblPiNAnalysis[% NUT],0,0)</f>
        <v>0.05</v>
      </c>
      <c r="P18" s="6" cm="1">
        <f t="array" ref="P18">_xlfn.XLOOKUP(Table8[[#This Row],[Admin2PCODE]:[Admin2PCODE]],tblPiNAnalysis[[Admin2PCODE]:[Admin2PCODE]],tblPiNAnalysis[% SAL],0,0)</f>
        <v>0.35000000000000003</v>
      </c>
      <c r="Q18" s="6" cm="1">
        <f t="array" ref="Q18">_xlfn.XLOOKUP(Table8[[#This Row],[Admin2PCODE]:[Admin2PCODE]],tblPiNAnalysis[[Admin2PCODE]:[Admin2PCODE]],tblPiNAnalysis[% EDU],0,0)</f>
        <v>0</v>
      </c>
      <c r="R18" s="6" cm="1">
        <f t="array" ref="R18">_xlfn.XLOOKUP(Table8[[#This Row],[Admin2PCODE]:[Admin2PCODE]],tblPiNAnalysis[[Admin2PCODE]:[Admin2PCODE]],tblPiNAnalysis[% PRO],0,0)</f>
        <v>0.25</v>
      </c>
      <c r="S18" s="6" cm="1">
        <f t="array" ref="S18">_xlfn.XLOOKUP(Table8[[#This Row],[Admin2PCODE]:[Admin2PCODE]],tblPiNAnalysis[[Admin2PCODE]:[Admin2PCODE]],tblPiNAnalysis[% WASH],0,0)</f>
        <v>0.60000000000000009</v>
      </c>
      <c r="T18" s="6" cm="1">
        <f t="array" ref="T18">_xlfn.XLOOKUP(Table8[[#This Row],[Admin2PCODE]:[Admin2PCODE]],tblPiNAnalysis[[Admin2PCODE]:[Admin2PCODE]],tblPiNAnalysis[% NNA],0,0)</f>
        <v>0.1</v>
      </c>
      <c r="U18" s="6" cm="1">
        <f t="array" ref="U18">_xlfn.XLOOKUP(Table8[[#This Row],[Admin2PCODE]:[Admin2PCODE]],tblPiNAnalysis[[Admin2PCODE]:[Admin2PCODE]],tblPiNAnalysis[% VBG],0,0)</f>
        <v>0.1</v>
      </c>
      <c r="V18" s="8" cm="1">
        <f t="array" ref="V18">_xlfn.XLOOKUP(Table8[[#This Row],[Admin2PCODE]:[Admin2PCODE]],tblPiNAnalysis[[Admin2PCODE]:[Admin2PCODE]],tblPiNAnalysis[PiN preliminar],0,0)</f>
        <v>101316</v>
      </c>
      <c r="W18" s="308" cm="1">
        <f t="array" ref="W18">_xlfn.XLOOKUP(Table8[[#This Row],[Admin2PCODE]],tblPiNAnalysis[Admin2PCODE],tblSeverityAnalysis[Severidad media],0,0)</f>
        <v>3.1666666666666665</v>
      </c>
      <c r="X18" s="42">
        <f>Table8[[#This Row],[Severidad media]]*6</f>
        <v>19</v>
      </c>
      <c r="Y18" s="6" cm="1">
        <f t="array" ref="Y18">_xlfn.XLOOKUP(Table8[[#This Row],[Admin2PCODE]],tblPiNAnalysis[Admin2PCODE],tblPiNAnalysis[% PiN Sectores más altos],0,0)</f>
        <v>0.6</v>
      </c>
      <c r="Z18" s="42" cm="1">
        <f t="array" ref="Z18">_xlfn.XLOOKUP(Table8[[#This Row],[Admin2PCODE]:[Admin2PCODE]],tblPiNAnalysis[[Admin2PCODE]:[Admin2PCODE]],tblPiNAnalysis[Severidad],0,0)</f>
        <v>3</v>
      </c>
      <c r="AA18">
        <f>_xlfn.XLOOKUP(Table8[[#This Row],[Admin2PCODE]],tblSeverityAnalysis[Admin 2 Código P],tblSeverityAnalysis[Severidad Ttotal 2025],0,0)</f>
        <v>4</v>
      </c>
      <c r="AB18" t="str">
        <f>_xlfn.XLOOKUP(Table8[[#This Row],[Admin2PCODE]],tblSeverityAnalysis[Admin 2 Código P],tblSeverityAnalysis[Priorización Final 2025],0,0)</f>
        <v>Sí</v>
      </c>
      <c r="AC18">
        <v>8</v>
      </c>
      <c r="AD18" t="s">
        <v>963</v>
      </c>
      <c r="AE18">
        <v>25</v>
      </c>
      <c r="AF18">
        <v>1</v>
      </c>
      <c r="AG18">
        <v>9</v>
      </c>
      <c r="AH18">
        <v>3</v>
      </c>
      <c r="AI18">
        <v>6</v>
      </c>
      <c r="AJ18">
        <v>5</v>
      </c>
      <c r="AK18">
        <v>6</v>
      </c>
      <c r="AL18">
        <v>6</v>
      </c>
      <c r="AM18">
        <v>8</v>
      </c>
      <c r="AN18">
        <v>2</v>
      </c>
      <c r="AO18" s="314">
        <f>Table8[[#This Row],[N° Clústeres con respuesta]]/Table8[[#This Row],[Org Total]]</f>
        <v>0.32</v>
      </c>
      <c r="AP18" s="313">
        <v>39425</v>
      </c>
      <c r="AQ18" s="313">
        <v>31058</v>
      </c>
      <c r="AR18" s="312">
        <f>Table8[[#This Row],[Alcanzados Oct 2025]]/Table8[[#This Row],[Meta 2025]]</f>
        <v>0.78777425491439446</v>
      </c>
      <c r="AS18" s="423">
        <v>9</v>
      </c>
      <c r="AT18" s="423">
        <v>12283</v>
      </c>
      <c r="AU18" s="423">
        <v>576</v>
      </c>
      <c r="AV18" s="423">
        <v>9286</v>
      </c>
      <c r="AW18" s="423">
        <v>2161</v>
      </c>
      <c r="AX18" s="423">
        <v>244</v>
      </c>
      <c r="AY18" s="423">
        <v>1575</v>
      </c>
      <c r="AZ18" s="423">
        <v>31058</v>
      </c>
      <c r="BA18" s="42">
        <v>6652</v>
      </c>
    </row>
    <row r="19" spans="1:53">
      <c r="A19" t="s">
        <v>180</v>
      </c>
      <c r="B19" t="s">
        <v>239</v>
      </c>
      <c r="C19" t="s">
        <v>246</v>
      </c>
      <c r="D19" t="s">
        <v>247</v>
      </c>
      <c r="E19" s="8">
        <v>29091</v>
      </c>
      <c r="F19" s="8">
        <v>1763</v>
      </c>
      <c r="G19" s="8">
        <v>1991.3478835207732</v>
      </c>
      <c r="H19" s="8">
        <v>22400</v>
      </c>
      <c r="I19" s="8">
        <v>7128.4096028049971</v>
      </c>
      <c r="J19" s="8">
        <v>6970.563627381779</v>
      </c>
      <c r="K19" s="8">
        <v>3927.2849999999999</v>
      </c>
      <c r="L19" s="8">
        <v>2230.5803607621692</v>
      </c>
      <c r="M19" s="8">
        <v>2439.6972695836225</v>
      </c>
      <c r="N19" s="6" cm="1">
        <f t="array" ref="N19">_xlfn.XLOOKUP(Table8[[#This Row],[Admin2PCODE]:[Admin2PCODE]],tblPiNAnalysis[[Admin2PCODE]:[Admin2PCODE]],tblPiNAnalysis[% SAMV],0,0)</f>
        <v>0.05</v>
      </c>
      <c r="O19" s="6" cm="1">
        <f t="array" ref="O19">_xlfn.XLOOKUP(Table8[[#This Row],[Admin2PCODE]:[Admin2PCODE]],tblPiNAnalysis[[Admin2PCODE]:[Admin2PCODE]],tblPiNAnalysis[% NUT],0,0)</f>
        <v>0.05</v>
      </c>
      <c r="P19" s="6" cm="1">
        <f t="array" ref="P19">_xlfn.XLOOKUP(Table8[[#This Row],[Admin2PCODE]:[Admin2PCODE]],tblPiNAnalysis[[Admin2PCODE]:[Admin2PCODE]],tblPiNAnalysis[% SAL],0,0)</f>
        <v>0.75</v>
      </c>
      <c r="Q19" s="6" cm="1">
        <f t="array" ref="Q19">_xlfn.XLOOKUP(Table8[[#This Row],[Admin2PCODE]:[Admin2PCODE]],tblPiNAnalysis[[Admin2PCODE]:[Admin2PCODE]],tblPiNAnalysis[% EDU],0,0)</f>
        <v>0.25</v>
      </c>
      <c r="R19" s="6" cm="1">
        <f t="array" ref="R19">_xlfn.XLOOKUP(Table8[[#This Row],[Admin2PCODE]:[Admin2PCODE]],tblPiNAnalysis[[Admin2PCODE]:[Admin2PCODE]],tblPiNAnalysis[% PRO],0,0)</f>
        <v>0.25</v>
      </c>
      <c r="S19" s="6" cm="1">
        <f t="array" ref="S19">_xlfn.XLOOKUP(Table8[[#This Row],[Admin2PCODE]:[Admin2PCODE]],tblPiNAnalysis[[Admin2PCODE]:[Admin2PCODE]],tblPiNAnalysis[% WASH],0,0)</f>
        <v>0.15000000000000002</v>
      </c>
      <c r="T19" s="6" cm="1">
        <f t="array" ref="T19">_xlfn.XLOOKUP(Table8[[#This Row],[Admin2PCODE]:[Admin2PCODE]],tblPiNAnalysis[[Admin2PCODE]:[Admin2PCODE]],tblPiNAnalysis[% NNA],0,0)</f>
        <v>0.1</v>
      </c>
      <c r="U19" s="6" cm="1">
        <f t="array" ref="U19">_xlfn.XLOOKUP(Table8[[#This Row],[Admin2PCODE]:[Admin2PCODE]],tblPiNAnalysis[[Admin2PCODE]:[Admin2PCODE]],tblPiNAnalysis[% VBG],0,0)</f>
        <v>0.1</v>
      </c>
      <c r="V19" s="8" cm="1">
        <f t="array" ref="V19">_xlfn.XLOOKUP(Table8[[#This Row],[Admin2PCODE]:[Admin2PCODE]],tblPiNAnalysis[[Admin2PCODE]:[Admin2PCODE]],tblPiNAnalysis[PiN preliminar],0,0)</f>
        <v>22400</v>
      </c>
      <c r="W19" s="308" cm="1">
        <f t="array" ref="W19">_xlfn.XLOOKUP(Table8[[#This Row],[Admin2PCODE]],tblPiNAnalysis[Admin2PCODE],tblSeverityAnalysis[Severidad media],0,0)</f>
        <v>3.3333333333333335</v>
      </c>
      <c r="X19" s="42">
        <f>Table8[[#This Row],[Severidad media]]*6</f>
        <v>20</v>
      </c>
      <c r="Y19" s="6" cm="1">
        <f t="array" ref="Y19">_xlfn.XLOOKUP(Table8[[#This Row],[Admin2PCODE]],tblPiNAnalysis[Admin2PCODE],tblPiNAnalysis[% PiN Sectores más altos],0,0)</f>
        <v>0.76999759375751953</v>
      </c>
      <c r="Z19" s="42" cm="1">
        <f t="array" ref="Z19">_xlfn.XLOOKUP(Table8[[#This Row],[Admin2PCODE]:[Admin2PCODE]],tblPiNAnalysis[[Admin2PCODE]:[Admin2PCODE]],tblPiNAnalysis[Severidad],0,0)</f>
        <v>3</v>
      </c>
      <c r="AA19">
        <f>_xlfn.XLOOKUP(Table8[[#This Row],[Admin2PCODE]],tblSeverityAnalysis[Admin 2 Código P],tblSeverityAnalysis[Severidad Ttotal 2025],0,0)</f>
        <v>4</v>
      </c>
      <c r="AB19" t="str">
        <f>_xlfn.XLOOKUP(Table8[[#This Row],[Admin2PCODE]],tblSeverityAnalysis[Admin 2 Código P],tblSeverityAnalysis[Priorización Final 2025],0,0)</f>
        <v>Sí</v>
      </c>
      <c r="AC19">
        <v>9</v>
      </c>
      <c r="AD19" t="s">
        <v>964</v>
      </c>
      <c r="AE19">
        <v>19</v>
      </c>
      <c r="AF19">
        <v>1</v>
      </c>
      <c r="AG19">
        <v>7</v>
      </c>
      <c r="AH19">
        <v>3</v>
      </c>
      <c r="AI19">
        <v>3</v>
      </c>
      <c r="AJ19">
        <v>8</v>
      </c>
      <c r="AK19">
        <v>9</v>
      </c>
      <c r="AL19">
        <v>7</v>
      </c>
      <c r="AM19">
        <v>10</v>
      </c>
      <c r="AN19">
        <v>5</v>
      </c>
      <c r="AO19" s="314">
        <f>Table8[[#This Row],[N° Clústeres con respuesta]]/Table8[[#This Row],[Org Total]]</f>
        <v>0.47368421052631576</v>
      </c>
      <c r="AP19" s="313">
        <v>6793</v>
      </c>
      <c r="AQ19" s="313">
        <v>18765</v>
      </c>
      <c r="AR19" s="312">
        <f>Table8[[#This Row],[Alcanzados Oct 2025]]/Table8[[#This Row],[Meta 2025]]</f>
        <v>2.7624024731341086</v>
      </c>
      <c r="AS19" s="423">
        <v>394</v>
      </c>
      <c r="AT19" s="423">
        <v>5938</v>
      </c>
      <c r="AU19" s="423">
        <v>405</v>
      </c>
      <c r="AV19" s="423">
        <v>2866</v>
      </c>
      <c r="AW19" s="423">
        <v>1079</v>
      </c>
      <c r="AX19" s="423">
        <v>2732</v>
      </c>
      <c r="AY19" s="423">
        <v>665</v>
      </c>
      <c r="AZ19" s="423">
        <v>18765</v>
      </c>
      <c r="BA19" s="42">
        <v>1364</v>
      </c>
    </row>
    <row r="20" spans="1:53">
      <c r="A20" t="s">
        <v>123</v>
      </c>
      <c r="B20" t="s">
        <v>179</v>
      </c>
      <c r="C20" t="s">
        <v>195</v>
      </c>
      <c r="D20" t="s">
        <v>196</v>
      </c>
      <c r="E20" s="8">
        <v>26118</v>
      </c>
      <c r="F20" s="8">
        <v>9711</v>
      </c>
      <c r="G20" s="8">
        <v>859.46539019577131</v>
      </c>
      <c r="H20" s="8">
        <v>11100</v>
      </c>
      <c r="I20" s="8">
        <v>2510.9409208820671</v>
      </c>
      <c r="J20" s="8">
        <v>5210.5293675601251</v>
      </c>
      <c r="K20" s="8">
        <v>0</v>
      </c>
      <c r="L20" s="8">
        <v>1667.3693976192399</v>
      </c>
      <c r="M20" s="8">
        <v>1823.6852786460433</v>
      </c>
      <c r="N20" s="6" cm="1">
        <f t="array" ref="N20">_xlfn.XLOOKUP(Table8[[#This Row],[Admin2PCODE]:[Admin2PCODE]],tblPiNAnalysis[[Admin2PCODE]:[Admin2PCODE]],tblPiNAnalysis[% SAMV],0,0)</f>
        <v>0.35000000000000003</v>
      </c>
      <c r="O20" s="6" cm="1">
        <f t="array" ref="O20">_xlfn.XLOOKUP(Table8[[#This Row],[Admin2PCODE]:[Admin2PCODE]],tblPiNAnalysis[[Admin2PCODE]:[Admin2PCODE]],tblPiNAnalysis[% NUT],0,0)</f>
        <v>0.05</v>
      </c>
      <c r="P20" s="6" cm="1">
        <f t="array" ref="P20">_xlfn.XLOOKUP(Table8[[#This Row],[Admin2PCODE]:[Admin2PCODE]],tblPiNAnalysis[[Admin2PCODE]:[Admin2PCODE]],tblPiNAnalysis[% SAL],0,0)</f>
        <v>0.4</v>
      </c>
      <c r="Q20" s="6" cm="1">
        <f t="array" ref="Q20">_xlfn.XLOOKUP(Table8[[#This Row],[Admin2PCODE]:[Admin2PCODE]],tblPiNAnalysis[[Admin2PCODE]:[Admin2PCODE]],tblPiNAnalysis[% EDU],0,0)</f>
        <v>0.1</v>
      </c>
      <c r="R20" s="6" cm="1">
        <f t="array" ref="R20">_xlfn.XLOOKUP(Table8[[#This Row],[Admin2PCODE]:[Admin2PCODE]],tblPiNAnalysis[[Admin2PCODE]:[Admin2PCODE]],tblPiNAnalysis[% PRO],0,0)</f>
        <v>0.2</v>
      </c>
      <c r="S20" s="6" cm="1">
        <f t="array" ref="S20">_xlfn.XLOOKUP(Table8[[#This Row],[Admin2PCODE]:[Admin2PCODE]],tblPiNAnalysis[[Admin2PCODE]:[Admin2PCODE]],tblPiNAnalysis[% WASH],0,0)</f>
        <v>0</v>
      </c>
      <c r="T20" s="6" cm="1">
        <f t="array" ref="T20">_xlfn.XLOOKUP(Table8[[#This Row],[Admin2PCODE]:[Admin2PCODE]],tblPiNAnalysis[[Admin2PCODE]:[Admin2PCODE]],tblPiNAnalysis[% NNA],0,0)</f>
        <v>0.05</v>
      </c>
      <c r="U20" s="6" cm="1">
        <f t="array" ref="U20">_xlfn.XLOOKUP(Table8[[#This Row],[Admin2PCODE]:[Admin2PCODE]],tblPiNAnalysis[[Admin2PCODE]:[Admin2PCODE]],tblPiNAnalysis[% VBG],0,0)</f>
        <v>0.05</v>
      </c>
      <c r="V20" s="8" cm="1">
        <f t="array" ref="V20">_xlfn.XLOOKUP(Table8[[#This Row],[Admin2PCODE]:[Admin2PCODE]],tblPiNAnalysis[[Admin2PCODE]:[Admin2PCODE]],tblPiNAnalysis[PiN preliminar],0,0)</f>
        <v>11100</v>
      </c>
      <c r="W20" s="308" cm="1">
        <f t="array" ref="W20">_xlfn.XLOOKUP(Table8[[#This Row],[Admin2PCODE]],tblPiNAnalysis[Admin2PCODE],tblSeverityAnalysis[Severidad media],0,0)</f>
        <v>2.5</v>
      </c>
      <c r="X20" s="42">
        <f>Table8[[#This Row],[Severidad media]]*6</f>
        <v>15</v>
      </c>
      <c r="Y20" s="6" cm="1">
        <f t="array" ref="Y20">_xlfn.XLOOKUP(Table8[[#This Row],[Admin2PCODE]],tblPiNAnalysis[Admin2PCODE],tblPiNAnalysis[% PiN Sectores más altos],0,0)</f>
        <v>0.42499425683436709</v>
      </c>
      <c r="Z20" s="42" cm="1">
        <f t="array" ref="Z20">_xlfn.XLOOKUP(Table8[[#This Row],[Admin2PCODE]:[Admin2PCODE]],tblPiNAnalysis[[Admin2PCODE]:[Admin2PCODE]],tblPiNAnalysis[Severidad],0,0)</f>
        <v>3</v>
      </c>
      <c r="AA20">
        <f>_xlfn.XLOOKUP(Table8[[#This Row],[Admin2PCODE]],tblSeverityAnalysis[Admin 2 Código P],tblSeverityAnalysis[Severidad Ttotal 2025],0,0)</f>
        <v>4</v>
      </c>
      <c r="AB20" t="str">
        <f>_xlfn.XLOOKUP(Table8[[#This Row],[Admin2PCODE]],tblSeverityAnalysis[Admin 2 Código P],tblSeverityAnalysis[Priorización Final 2025],0,0)</f>
        <v>No</v>
      </c>
      <c r="AC20">
        <v>3</v>
      </c>
      <c r="AD20" t="s">
        <v>965</v>
      </c>
      <c r="AE20">
        <v>6</v>
      </c>
      <c r="AF20">
        <v>0</v>
      </c>
      <c r="AG20">
        <v>0</v>
      </c>
      <c r="AH20">
        <v>0</v>
      </c>
      <c r="AI20">
        <v>0</v>
      </c>
      <c r="AJ20">
        <v>3</v>
      </c>
      <c r="AK20">
        <v>0</v>
      </c>
      <c r="AL20">
        <v>2</v>
      </c>
      <c r="AM20">
        <v>1</v>
      </c>
      <c r="AN20">
        <v>0</v>
      </c>
      <c r="AO20" s="314">
        <f>Table8[[#This Row],[N° Clústeres con respuesta]]/Table8[[#This Row],[Org Total]]</f>
        <v>0.5</v>
      </c>
      <c r="AP20" s="313">
        <v>6098</v>
      </c>
      <c r="AQ20" s="313">
        <v>10</v>
      </c>
      <c r="AR20" s="312">
        <f>Table8[[#This Row],[Alcanzados Oct 2025]]/Table8[[#This Row],[Meta 2025]]</f>
        <v>1.6398819285011479E-3</v>
      </c>
      <c r="AS20" s="423">
        <v>0</v>
      </c>
      <c r="AT20" s="423">
        <v>0</v>
      </c>
      <c r="AU20" s="423">
        <v>0</v>
      </c>
      <c r="AV20" s="423">
        <v>0</v>
      </c>
      <c r="AW20" s="423">
        <v>10</v>
      </c>
      <c r="AX20" s="423">
        <v>0</v>
      </c>
      <c r="AY20" s="423">
        <v>1</v>
      </c>
      <c r="AZ20" s="423">
        <v>0</v>
      </c>
      <c r="BA20" s="42">
        <v>0</v>
      </c>
    </row>
    <row r="21" spans="1:53">
      <c r="A21" t="s">
        <v>215</v>
      </c>
      <c r="B21" t="s">
        <v>216</v>
      </c>
      <c r="C21" t="s">
        <v>810</v>
      </c>
      <c r="D21" t="s">
        <v>220</v>
      </c>
      <c r="E21" s="8">
        <v>83507</v>
      </c>
      <c r="F21" s="8">
        <v>8118</v>
      </c>
      <c r="G21" s="8">
        <v>3306.2876662788221</v>
      </c>
      <c r="H21" s="8">
        <v>30480.055</v>
      </c>
      <c r="I21" s="8">
        <v>8707.8034025486122</v>
      </c>
      <c r="J21" s="8">
        <v>7195.7290131067421</v>
      </c>
      <c r="K21" s="8">
        <v>11273.445</v>
      </c>
      <c r="L21" s="8">
        <v>2302.6332841941576</v>
      </c>
      <c r="M21" s="8">
        <v>2518.5051545873594</v>
      </c>
      <c r="N21" s="6" cm="1">
        <f t="array" ref="N21">_xlfn.XLOOKUP(Table8[[#This Row],[Admin2PCODE]:[Admin2PCODE]],tblPiNAnalysis[[Admin2PCODE]:[Admin2PCODE]],tblPiNAnalysis[% SAMV],0,0)</f>
        <v>0.1</v>
      </c>
      <c r="O21" s="6" cm="1">
        <f t="array" ref="O21">_xlfn.XLOOKUP(Table8[[#This Row],[Admin2PCODE]:[Admin2PCODE]],tblPiNAnalysis[[Admin2PCODE]:[Admin2PCODE]],tblPiNAnalysis[% NUT],0,0)</f>
        <v>0.05</v>
      </c>
      <c r="P21" s="6" cm="1">
        <f t="array" ref="P21">_xlfn.XLOOKUP(Table8[[#This Row],[Admin2PCODE]:[Admin2PCODE]],tblPiNAnalysis[[Admin2PCODE]:[Admin2PCODE]],tblPiNAnalysis[% SAL],0,0)</f>
        <v>0.35000000000000003</v>
      </c>
      <c r="Q21" s="6" cm="1">
        <f t="array" ref="Q21">_xlfn.XLOOKUP(Table8[[#This Row],[Admin2PCODE]:[Admin2PCODE]],tblPiNAnalysis[[Admin2PCODE]:[Admin2PCODE]],tblPiNAnalysis[% EDU],0,0)</f>
        <v>0.1</v>
      </c>
      <c r="R21" s="6" cm="1">
        <f t="array" ref="R21">_xlfn.XLOOKUP(Table8[[#This Row],[Admin2PCODE]:[Admin2PCODE]],tblPiNAnalysis[[Admin2PCODE]:[Admin2PCODE]],tblPiNAnalysis[% PRO],0,0)</f>
        <v>0.1</v>
      </c>
      <c r="S21" s="6" cm="1">
        <f t="array" ref="S21">_xlfn.XLOOKUP(Table8[[#This Row],[Admin2PCODE]:[Admin2PCODE]],tblPiNAnalysis[[Admin2PCODE]:[Admin2PCODE]],tblPiNAnalysis[% WASH],0,0)</f>
        <v>0.15000000000000002</v>
      </c>
      <c r="T21" s="6" cm="1">
        <f t="array" ref="T21">_xlfn.XLOOKUP(Table8[[#This Row],[Admin2PCODE]:[Admin2PCODE]],tblPiNAnalysis[[Admin2PCODE]:[Admin2PCODE]],tblPiNAnalysis[% NNA],0,0)</f>
        <v>0.05</v>
      </c>
      <c r="U21" s="6" cm="1">
        <f t="array" ref="U21">_xlfn.XLOOKUP(Table8[[#This Row],[Admin2PCODE]:[Admin2PCODE]],tblPiNAnalysis[[Admin2PCODE]:[Admin2PCODE]],tblPiNAnalysis[% VBG],0,0)</f>
        <v>0.05</v>
      </c>
      <c r="V21" s="8" cm="1">
        <f t="array" ref="V21">_xlfn.XLOOKUP(Table8[[#This Row],[Admin2PCODE]:[Admin2PCODE]],tblPiNAnalysis[[Admin2PCODE]:[Admin2PCODE]],tblPiNAnalysis[PiN preliminar],0,0)</f>
        <v>30480.055</v>
      </c>
      <c r="W21" s="308" cm="1">
        <f t="array" ref="W21">_xlfn.XLOOKUP(Table8[[#This Row],[Admin2PCODE]],tblPiNAnalysis[Admin2PCODE],tblSeverityAnalysis[Severidad media],0,0)</f>
        <v>3.3333333333333335</v>
      </c>
      <c r="X21" s="42">
        <f>Table8[[#This Row],[Severidad media]]*6</f>
        <v>20</v>
      </c>
      <c r="Y21" s="6" cm="1">
        <f t="array" ref="Y21">_xlfn.XLOOKUP(Table8[[#This Row],[Admin2PCODE]],tblPiNAnalysis[Admin2PCODE],tblPiNAnalysis[% PiN Sectores más altos],0,0)</f>
        <v>0.36499999999999999</v>
      </c>
      <c r="Z21" s="42" cm="1">
        <f t="array" ref="Z21">_xlfn.XLOOKUP(Table8[[#This Row],[Admin2PCODE]:[Admin2PCODE]],tblPiNAnalysis[[Admin2PCODE]:[Admin2PCODE]],tblPiNAnalysis[Severidad],0,0)</f>
        <v>3</v>
      </c>
      <c r="AA21">
        <f>_xlfn.XLOOKUP(Table8[[#This Row],[Admin2PCODE]],tblSeverityAnalysis[Admin 2 Código P],tblSeverityAnalysis[Severidad Ttotal 2025],0,0)</f>
        <v>4</v>
      </c>
      <c r="AB21" t="str">
        <f>_xlfn.XLOOKUP(Table8[[#This Row],[Admin2PCODE]],tblSeverityAnalysis[Admin 2 Código P],tblSeverityAnalysis[Priorización Final 2025],0,0)</f>
        <v>No</v>
      </c>
      <c r="AC21">
        <v>3</v>
      </c>
      <c r="AD21" t="s">
        <v>966</v>
      </c>
      <c r="AE21">
        <v>5</v>
      </c>
      <c r="AF21">
        <v>0</v>
      </c>
      <c r="AG21">
        <v>0</v>
      </c>
      <c r="AH21">
        <v>0</v>
      </c>
      <c r="AI21">
        <v>0</v>
      </c>
      <c r="AJ21">
        <v>1</v>
      </c>
      <c r="AK21">
        <v>2</v>
      </c>
      <c r="AL21">
        <v>0</v>
      </c>
      <c r="AM21">
        <v>0</v>
      </c>
      <c r="AN21">
        <v>2</v>
      </c>
      <c r="AO21" s="314">
        <f>Table8[[#This Row],[N° Clústeres con respuesta]]/Table8[[#This Row],[Org Total]]</f>
        <v>0.6</v>
      </c>
      <c r="AP21" s="313">
        <v>13719</v>
      </c>
      <c r="AQ21" s="313">
        <v>2675</v>
      </c>
      <c r="AR21" s="312">
        <f>Table8[[#This Row],[Alcanzados Oct 2025]]/Table8[[#This Row],[Meta 2025]]</f>
        <v>0.19498505721991399</v>
      </c>
      <c r="AS21" s="423">
        <v>0</v>
      </c>
      <c r="AT21" s="423">
        <v>0</v>
      </c>
      <c r="AU21" s="423">
        <v>0</v>
      </c>
      <c r="AV21" s="423">
        <v>0</v>
      </c>
      <c r="AW21" s="423">
        <v>5</v>
      </c>
      <c r="AX21" s="423">
        <v>25</v>
      </c>
      <c r="AY21" s="423">
        <v>0</v>
      </c>
      <c r="AZ21" s="423">
        <v>0</v>
      </c>
      <c r="BA21" s="42">
        <v>2675</v>
      </c>
    </row>
    <row r="22" spans="1:53">
      <c r="A22" t="s">
        <v>215</v>
      </c>
      <c r="B22" t="s">
        <v>216</v>
      </c>
      <c r="C22" t="s">
        <v>221</v>
      </c>
      <c r="D22" t="s">
        <v>222</v>
      </c>
      <c r="E22" s="8">
        <v>24259</v>
      </c>
      <c r="F22" s="8">
        <v>4906</v>
      </c>
      <c r="G22" s="8">
        <v>910.18086668605383</v>
      </c>
      <c r="H22" s="8">
        <v>11200</v>
      </c>
      <c r="I22" s="8">
        <v>1558.6935086411447</v>
      </c>
      <c r="J22" s="8">
        <v>696.79264464438666</v>
      </c>
      <c r="K22" s="8">
        <v>0</v>
      </c>
      <c r="L22" s="8">
        <v>222.97364628620372</v>
      </c>
      <c r="M22" s="8">
        <v>243.8774256255353</v>
      </c>
      <c r="N22" s="6" cm="1">
        <f t="array" ref="N22">_xlfn.XLOOKUP(Table8[[#This Row],[Admin2PCODE]:[Admin2PCODE]],tblPiNAnalysis[[Admin2PCODE]:[Admin2PCODE]],tblPiNAnalysis[% SAMV],0,0)</f>
        <v>0.2</v>
      </c>
      <c r="O22" s="6" cm="1">
        <f t="array" ref="O22">_xlfn.XLOOKUP(Table8[[#This Row],[Admin2PCODE]:[Admin2PCODE]],tblPiNAnalysis[[Admin2PCODE]:[Admin2PCODE]],tblPiNAnalysis[% NUT],0,0)</f>
        <v>0.05</v>
      </c>
      <c r="P22" s="6" cm="1">
        <f t="array" ref="P22">_xlfn.XLOOKUP(Table8[[#This Row],[Admin2PCODE]:[Admin2PCODE]],tblPiNAnalysis[[Admin2PCODE]:[Admin2PCODE]],tblPiNAnalysis[% SAL],0,0)</f>
        <v>0.45</v>
      </c>
      <c r="Q22" s="6" cm="1">
        <f t="array" ref="Q22">_xlfn.XLOOKUP(Table8[[#This Row],[Admin2PCODE]:[Admin2PCODE]],tblPiNAnalysis[[Admin2PCODE]:[Admin2PCODE]],tblPiNAnalysis[% EDU],0,0)</f>
        <v>0.05</v>
      </c>
      <c r="R22" s="6" cm="1">
        <f t="array" ref="R22">_xlfn.XLOOKUP(Table8[[#This Row],[Admin2PCODE]:[Admin2PCODE]],tblPiNAnalysis[[Admin2PCODE]:[Admin2PCODE]],tblPiNAnalysis[% PRO],0,0)</f>
        <v>0.05</v>
      </c>
      <c r="S22" s="6" cm="1">
        <f t="array" ref="S22">_xlfn.XLOOKUP(Table8[[#This Row],[Admin2PCODE]:[Admin2PCODE]],tblPiNAnalysis[[Admin2PCODE]:[Admin2PCODE]],tblPiNAnalysis[% WASH],0,0)</f>
        <v>0</v>
      </c>
      <c r="T22" s="6" cm="1">
        <f t="array" ref="T22">_xlfn.XLOOKUP(Table8[[#This Row],[Admin2PCODE]:[Admin2PCODE]],tblPiNAnalysis[[Admin2PCODE]:[Admin2PCODE]],tblPiNAnalysis[% NNA],0,0)</f>
        <v>0</v>
      </c>
      <c r="U22" s="6" cm="1">
        <f t="array" ref="U22">_xlfn.XLOOKUP(Table8[[#This Row],[Admin2PCODE]:[Admin2PCODE]],tblPiNAnalysis[[Admin2PCODE]:[Admin2PCODE]],tblPiNAnalysis[% VBG],0,0)</f>
        <v>0</v>
      </c>
      <c r="V22" s="8" cm="1">
        <f t="array" ref="V22">_xlfn.XLOOKUP(Table8[[#This Row],[Admin2PCODE]:[Admin2PCODE]],tblPiNAnalysis[[Admin2PCODE]:[Admin2PCODE]],tblPiNAnalysis[PiN preliminar],0,0)</f>
        <v>0</v>
      </c>
      <c r="W22" s="308" cm="1">
        <f t="array" ref="W22">_xlfn.XLOOKUP(Table8[[#This Row],[Admin2PCODE]],tblPiNAnalysis[Admin2PCODE],tblSeverityAnalysis[Severidad media],0,0)</f>
        <v>3</v>
      </c>
      <c r="X22" s="42">
        <f>Table8[[#This Row],[Severidad media]]*6</f>
        <v>18</v>
      </c>
      <c r="Y22" s="6" cm="1">
        <f t="array" ref="Y22">_xlfn.XLOOKUP(Table8[[#This Row],[Admin2PCODE]],tblPiNAnalysis[Admin2PCODE],tblPiNAnalysis[% PiN Sectores más altos],0,0)</f>
        <v>0.46168432334391357</v>
      </c>
      <c r="Z22" s="42" cm="1">
        <f t="array" ref="Z22">_xlfn.XLOOKUP(Table8[[#This Row],[Admin2PCODE]:[Admin2PCODE]],tblPiNAnalysis[[Admin2PCODE]:[Admin2PCODE]],tblPiNAnalysis[Severidad],0,0)</f>
        <v>2</v>
      </c>
      <c r="AA22">
        <f>_xlfn.XLOOKUP(Table8[[#This Row],[Admin2PCODE]],tblSeverityAnalysis[Admin 2 Código P],tblSeverityAnalysis[Severidad Ttotal 2025],0,0)</f>
        <v>4</v>
      </c>
      <c r="AB22" t="str">
        <f>_xlfn.XLOOKUP(Table8[[#This Row],[Admin2PCODE]],tblSeverityAnalysis[Admin 2 Código P],tblSeverityAnalysis[Priorización Final 2025],0,0)</f>
        <v>No</v>
      </c>
      <c r="AC22">
        <v>2</v>
      </c>
      <c r="AD22" t="s">
        <v>967</v>
      </c>
      <c r="AE22">
        <v>3</v>
      </c>
      <c r="AF22">
        <v>0</v>
      </c>
      <c r="AG22">
        <v>0</v>
      </c>
      <c r="AH22">
        <v>1</v>
      </c>
      <c r="AI22">
        <v>0</v>
      </c>
      <c r="AJ22">
        <v>0</v>
      </c>
      <c r="AK22">
        <v>0</v>
      </c>
      <c r="AL22">
        <v>0</v>
      </c>
      <c r="AM22">
        <v>0</v>
      </c>
      <c r="AN22">
        <v>2</v>
      </c>
      <c r="AO22" s="314">
        <f>Table8[[#This Row],[N° Clústeres con respuesta]]/Table8[[#This Row],[Org Total]]</f>
        <v>0.66666666666666663</v>
      </c>
      <c r="AP22" s="313">
        <v>5665</v>
      </c>
      <c r="AQ22" s="313">
        <v>7339</v>
      </c>
      <c r="AR22" s="312">
        <f>Table8[[#This Row],[Alcanzados Oct 2025]]/Table8[[#This Row],[Meta 2025]]</f>
        <v>1.2954986760812004</v>
      </c>
      <c r="AS22" s="423">
        <v>0</v>
      </c>
      <c r="AT22" s="423">
        <v>0</v>
      </c>
      <c r="AU22" s="423">
        <v>0</v>
      </c>
      <c r="AV22" s="423">
        <v>0</v>
      </c>
      <c r="AW22" s="423">
        <v>0</v>
      </c>
      <c r="AX22" s="423">
        <v>0</v>
      </c>
      <c r="AY22" s="423">
        <v>0</v>
      </c>
      <c r="AZ22" s="423">
        <v>0</v>
      </c>
      <c r="BA22" s="42">
        <v>7339</v>
      </c>
    </row>
    <row r="23" spans="1:53">
      <c r="A23" t="s">
        <v>215</v>
      </c>
      <c r="B23" t="s">
        <v>216</v>
      </c>
      <c r="C23" t="s">
        <v>180</v>
      </c>
      <c r="D23" t="s">
        <v>224</v>
      </c>
      <c r="E23" s="8">
        <v>54059</v>
      </c>
      <c r="F23" s="8">
        <v>17100</v>
      </c>
      <c r="G23" s="8">
        <v>2112.0067110644577</v>
      </c>
      <c r="H23" s="8">
        <v>47700</v>
      </c>
      <c r="I23" s="8">
        <v>4205.5268157862192</v>
      </c>
      <c r="J23" s="8">
        <v>7763.698746203655</v>
      </c>
      <c r="K23" s="8">
        <v>0</v>
      </c>
      <c r="L23" s="8">
        <v>2484.3835987851699</v>
      </c>
      <c r="M23" s="8">
        <v>2717.2945611712789</v>
      </c>
      <c r="N23" s="6" cm="1">
        <f t="array" ref="N23">_xlfn.XLOOKUP(Table8[[#This Row],[Admin2PCODE]:[Admin2PCODE]],tblPiNAnalysis[[Admin2PCODE]:[Admin2PCODE]],tblPiNAnalysis[% SAMV],0,0)</f>
        <v>0.30000000000000004</v>
      </c>
      <c r="O23" s="6" cm="1">
        <f t="array" ref="O23">_xlfn.XLOOKUP(Table8[[#This Row],[Admin2PCODE]:[Admin2PCODE]],tblPiNAnalysis[[Admin2PCODE]:[Admin2PCODE]],tblPiNAnalysis[% NUT],0,0)</f>
        <v>0.05</v>
      </c>
      <c r="P23" s="6" cm="1">
        <f t="array" ref="P23">_xlfn.XLOOKUP(Table8[[#This Row],[Admin2PCODE]:[Admin2PCODE]],tblPiNAnalysis[[Admin2PCODE]:[Admin2PCODE]],tblPiNAnalysis[% SAL],0,0)</f>
        <v>0.9</v>
      </c>
      <c r="Q23" s="6" cm="1">
        <f t="array" ref="Q23">_xlfn.XLOOKUP(Table8[[#This Row],[Admin2PCODE]:[Admin2PCODE]],tblPiNAnalysis[[Admin2PCODE]:[Admin2PCODE]],tblPiNAnalysis[% EDU],0,0)</f>
        <v>0.1</v>
      </c>
      <c r="R23" s="6" cm="1">
        <f t="array" ref="R23">_xlfn.XLOOKUP(Table8[[#This Row],[Admin2PCODE]:[Admin2PCODE]],tblPiNAnalysis[[Admin2PCODE]:[Admin2PCODE]],tblPiNAnalysis[% PRO],0,0)</f>
        <v>0.15000000000000002</v>
      </c>
      <c r="S23" s="6" cm="1">
        <f t="array" ref="S23">_xlfn.XLOOKUP(Table8[[#This Row],[Admin2PCODE]:[Admin2PCODE]],tblPiNAnalysis[[Admin2PCODE]:[Admin2PCODE]],tblPiNAnalysis[% WASH],0,0)</f>
        <v>0</v>
      </c>
      <c r="T23" s="6" cm="1">
        <f t="array" ref="T23">_xlfn.XLOOKUP(Table8[[#This Row],[Admin2PCODE]:[Admin2PCODE]],tblPiNAnalysis[[Admin2PCODE]:[Admin2PCODE]],tblPiNAnalysis[% NNA],0,0)</f>
        <v>0.05</v>
      </c>
      <c r="U23" s="6" cm="1">
        <f t="array" ref="U23">_xlfn.XLOOKUP(Table8[[#This Row],[Admin2PCODE]:[Admin2PCODE]],tblPiNAnalysis[[Admin2PCODE]:[Admin2PCODE]],tblPiNAnalysis[% VBG],0,0)</f>
        <v>0.05</v>
      </c>
      <c r="V23" s="8" cm="1">
        <f t="array" ref="V23">_xlfn.XLOOKUP(Table8[[#This Row],[Admin2PCODE]:[Admin2PCODE]],tblPiNAnalysis[[Admin2PCODE]:[Admin2PCODE]],tblPiNAnalysis[PiN preliminar],0,0)</f>
        <v>0</v>
      </c>
      <c r="W23" s="308" cm="1">
        <f t="array" ref="W23">_xlfn.XLOOKUP(Table8[[#This Row],[Admin2PCODE]],tblPiNAnalysis[Admin2PCODE],tblSeverityAnalysis[Severidad media],0,0)</f>
        <v>2.6666666666666665</v>
      </c>
      <c r="X23" s="42">
        <f>Table8[[#This Row],[Severidad media]]*6</f>
        <v>16</v>
      </c>
      <c r="Y23" s="6" cm="1">
        <f t="array" ref="Y23">_xlfn.XLOOKUP(Table8[[#This Row],[Admin2PCODE]],tblPiNAnalysis[Admin2PCODE],tblPiNAnalysis[% PiN Sectores más altos],0,0)</f>
        <v>0.88236926321241604</v>
      </c>
      <c r="Z23" s="42" cm="1">
        <f t="array" ref="Z23">_xlfn.XLOOKUP(Table8[[#This Row],[Admin2PCODE]:[Admin2PCODE]],tblPiNAnalysis[[Admin2PCODE]:[Admin2PCODE]],tblPiNAnalysis[Severidad],0,0)</f>
        <v>2</v>
      </c>
      <c r="AA23">
        <f>_xlfn.XLOOKUP(Table8[[#This Row],[Admin2PCODE]],tblSeverityAnalysis[Admin 2 Código P],tblSeverityAnalysis[Severidad Ttotal 2025],0,0)</f>
        <v>4</v>
      </c>
      <c r="AB23" t="str">
        <f>_xlfn.XLOOKUP(Table8[[#This Row],[Admin2PCODE]],tblSeverityAnalysis[Admin 2 Código P],tblSeverityAnalysis[Priorización Final 2025],0,0)</f>
        <v>No</v>
      </c>
      <c r="AC23">
        <v>2</v>
      </c>
      <c r="AD23" t="s">
        <v>968</v>
      </c>
      <c r="AE23">
        <v>4</v>
      </c>
      <c r="AF23">
        <v>0</v>
      </c>
      <c r="AG23">
        <v>0</v>
      </c>
      <c r="AH23">
        <v>0</v>
      </c>
      <c r="AI23">
        <v>0</v>
      </c>
      <c r="AJ23">
        <v>0</v>
      </c>
      <c r="AK23">
        <v>0</v>
      </c>
      <c r="AL23">
        <v>2</v>
      </c>
      <c r="AM23">
        <v>0</v>
      </c>
      <c r="AN23">
        <v>2</v>
      </c>
      <c r="AO23" s="314">
        <f>Table8[[#This Row],[N° Clústeres con respuesta]]/Table8[[#This Row],[Org Total]]</f>
        <v>0.5</v>
      </c>
      <c r="AP23" s="313">
        <v>11791</v>
      </c>
      <c r="AQ23" s="313">
        <v>4577</v>
      </c>
      <c r="AR23" s="312">
        <f>Table8[[#This Row],[Alcanzados Oct 2025]]/Table8[[#This Row],[Meta 2025]]</f>
        <v>0.38817742345857009</v>
      </c>
      <c r="AS23" s="423">
        <v>0</v>
      </c>
      <c r="AT23" s="423">
        <v>0</v>
      </c>
      <c r="AU23" s="423">
        <v>0</v>
      </c>
      <c r="AV23" s="423">
        <v>0</v>
      </c>
      <c r="AW23" s="423">
        <v>0</v>
      </c>
      <c r="AX23" s="423">
        <v>0</v>
      </c>
      <c r="AY23" s="423">
        <v>1</v>
      </c>
      <c r="AZ23" s="423">
        <v>0</v>
      </c>
      <c r="BA23" s="42">
        <v>4577</v>
      </c>
    </row>
    <row r="24" spans="1:53">
      <c r="A24" t="s">
        <v>215</v>
      </c>
      <c r="B24" t="s">
        <v>216</v>
      </c>
      <c r="C24" t="s">
        <v>225</v>
      </c>
      <c r="D24" t="s">
        <v>226</v>
      </c>
      <c r="E24" s="8">
        <v>26629</v>
      </c>
      <c r="F24" s="8">
        <v>5055</v>
      </c>
      <c r="G24" s="8">
        <v>1231.0694342439137</v>
      </c>
      <c r="H24" s="8">
        <v>21000</v>
      </c>
      <c r="I24" s="8">
        <v>1763.0692104279424</v>
      </c>
      <c r="J24" s="8">
        <v>2294.5988706338317</v>
      </c>
      <c r="K24" s="8">
        <v>0</v>
      </c>
      <c r="L24" s="8">
        <v>734.27163860282621</v>
      </c>
      <c r="M24" s="8">
        <v>803.10960472184104</v>
      </c>
      <c r="N24" s="6" cm="1">
        <f t="array" ref="N24">_xlfn.XLOOKUP(Table8[[#This Row],[Admin2PCODE]:[Admin2PCODE]],tblPiNAnalysis[[Admin2PCODE]:[Admin2PCODE]],tblPiNAnalysis[% SAMV],0,0)</f>
        <v>0.2</v>
      </c>
      <c r="O24" s="6" cm="1">
        <f t="array" ref="O24">_xlfn.XLOOKUP(Table8[[#This Row],[Admin2PCODE]:[Admin2PCODE]],tblPiNAnalysis[[Admin2PCODE]:[Admin2PCODE]],tblPiNAnalysis[% NUT],0,0)</f>
        <v>0.05</v>
      </c>
      <c r="P24" s="6" cm="1">
        <f t="array" ref="P24">_xlfn.XLOOKUP(Table8[[#This Row],[Admin2PCODE]:[Admin2PCODE]],tblPiNAnalysis[[Admin2PCODE]:[Admin2PCODE]],tblPiNAnalysis[% SAL],0,0)</f>
        <v>0.8</v>
      </c>
      <c r="Q24" s="6" cm="1">
        <f t="array" ref="Q24">_xlfn.XLOOKUP(Table8[[#This Row],[Admin2PCODE]:[Admin2PCODE]],tblPiNAnalysis[[Admin2PCODE]:[Admin2PCODE]],tblPiNAnalysis[% EDU],0,0)</f>
        <v>0.05</v>
      </c>
      <c r="R24" s="6" cm="1">
        <f t="array" ref="R24">_xlfn.XLOOKUP(Table8[[#This Row],[Admin2PCODE]:[Admin2PCODE]],tblPiNAnalysis[[Admin2PCODE]:[Admin2PCODE]],tblPiNAnalysis[% PRO],0,0)</f>
        <v>0.1</v>
      </c>
      <c r="S24" s="6" cm="1">
        <f t="array" ref="S24">_xlfn.XLOOKUP(Table8[[#This Row],[Admin2PCODE]:[Admin2PCODE]],tblPiNAnalysis[[Admin2PCODE]:[Admin2PCODE]],tblPiNAnalysis[% WASH],0,0)</f>
        <v>0</v>
      </c>
      <c r="T24" s="6" cm="1">
        <f t="array" ref="T24">_xlfn.XLOOKUP(Table8[[#This Row],[Admin2PCODE]:[Admin2PCODE]],tblPiNAnalysis[[Admin2PCODE]:[Admin2PCODE]],tblPiNAnalysis[% NNA],0,0)</f>
        <v>0.05</v>
      </c>
      <c r="U24" s="6" cm="1">
        <f t="array" ref="U24">_xlfn.XLOOKUP(Table8[[#This Row],[Admin2PCODE]:[Admin2PCODE]],tblPiNAnalysis[[Admin2PCODE]:[Admin2PCODE]],tblPiNAnalysis[% VBG],0,0)</f>
        <v>0.05</v>
      </c>
      <c r="V24" s="8" cm="1">
        <f t="array" ref="V24">_xlfn.XLOOKUP(Table8[[#This Row],[Admin2PCODE]:[Admin2PCODE]],tblPiNAnalysis[[Admin2PCODE]:[Admin2PCODE]],tblPiNAnalysis[PiN preliminar],0,0)</f>
        <v>0</v>
      </c>
      <c r="W24" s="308" cm="1">
        <f t="array" ref="W24">_xlfn.XLOOKUP(Table8[[#This Row],[Admin2PCODE]],tblPiNAnalysis[Admin2PCODE],tblSeverityAnalysis[Severidad media],0,0)</f>
        <v>3</v>
      </c>
      <c r="X24" s="42">
        <f>Table8[[#This Row],[Severidad media]]*6</f>
        <v>18</v>
      </c>
      <c r="Y24" s="6" cm="1">
        <f t="array" ref="Y24">_xlfn.XLOOKUP(Table8[[#This Row],[Admin2PCODE]],tblPiNAnalysis[Admin2PCODE],tblPiNAnalysis[% PiN Sectores más altos],0,0)</f>
        <v>0.78861391715798568</v>
      </c>
      <c r="Z24" s="42" cm="1">
        <f t="array" ref="Z24">_xlfn.XLOOKUP(Table8[[#This Row],[Admin2PCODE]:[Admin2PCODE]],tblPiNAnalysis[[Admin2PCODE]:[Admin2PCODE]],tblPiNAnalysis[Severidad],0,0)</f>
        <v>2</v>
      </c>
      <c r="AA24">
        <f>_xlfn.XLOOKUP(Table8[[#This Row],[Admin2PCODE]],tblSeverityAnalysis[Admin 2 Código P],tblSeverityAnalysis[Severidad Ttotal 2025],0,0)</f>
        <v>4</v>
      </c>
      <c r="AB24" t="str">
        <f>_xlfn.XLOOKUP(Table8[[#This Row],[Admin2PCODE]],tblSeverityAnalysis[Admin 2 Código P],tblSeverityAnalysis[Priorización Final 2025],0,0)</f>
        <v>No</v>
      </c>
      <c r="AC24">
        <v>1</v>
      </c>
      <c r="AD24" t="s">
        <v>92</v>
      </c>
      <c r="AE24">
        <v>2</v>
      </c>
      <c r="AF24">
        <v>0</v>
      </c>
      <c r="AG24">
        <v>0</v>
      </c>
      <c r="AH24">
        <v>0</v>
      </c>
      <c r="AI24">
        <v>0</v>
      </c>
      <c r="AJ24">
        <v>0</v>
      </c>
      <c r="AK24">
        <v>0</v>
      </c>
      <c r="AL24">
        <v>0</v>
      </c>
      <c r="AM24">
        <v>0</v>
      </c>
      <c r="AN24">
        <v>2</v>
      </c>
      <c r="AO24" s="314">
        <f>Table8[[#This Row],[N° Clústeres con respuesta]]/Table8[[#This Row],[Org Total]]</f>
        <v>0.5</v>
      </c>
      <c r="AP24" s="313">
        <v>6218</v>
      </c>
      <c r="AQ24" s="313">
        <v>5129</v>
      </c>
      <c r="AR24" s="312">
        <f>Table8[[#This Row],[Alcanzados Oct 2025]]/Table8[[#This Row],[Meta 2025]]</f>
        <v>0.824863300096494</v>
      </c>
      <c r="AS24" s="423">
        <v>0</v>
      </c>
      <c r="AT24" s="423">
        <v>0</v>
      </c>
      <c r="AU24" s="423">
        <v>0</v>
      </c>
      <c r="AV24" s="423">
        <v>0</v>
      </c>
      <c r="AW24" s="423">
        <v>0</v>
      </c>
      <c r="AX24" s="423">
        <v>0</v>
      </c>
      <c r="AY24" s="423">
        <v>0</v>
      </c>
      <c r="AZ24" s="423">
        <v>0</v>
      </c>
      <c r="BA24" s="42">
        <v>5129</v>
      </c>
    </row>
    <row r="25" spans="1:53">
      <c r="A25" t="s">
        <v>215</v>
      </c>
      <c r="B25" t="s">
        <v>216</v>
      </c>
      <c r="C25" t="s">
        <v>229</v>
      </c>
      <c r="D25" t="s">
        <v>230</v>
      </c>
      <c r="E25" s="8">
        <v>38344</v>
      </c>
      <c r="F25" s="8">
        <v>7736</v>
      </c>
      <c r="G25" s="8">
        <v>1587.675273980743</v>
      </c>
      <c r="H25" s="8">
        <v>13995.56</v>
      </c>
      <c r="I25" s="8">
        <v>2906.6436473137446</v>
      </c>
      <c r="J25" s="8">
        <v>5506.7845266178247</v>
      </c>
      <c r="K25" s="8">
        <v>0</v>
      </c>
      <c r="L25" s="8">
        <v>1767.6778330443217</v>
      </c>
      <c r="M25" s="8">
        <v>1927.3745843162387</v>
      </c>
      <c r="N25" s="6" cm="1">
        <f t="array" ref="N25">_xlfn.XLOOKUP(Table8[[#This Row],[Admin2PCODE]:[Admin2PCODE]],tblPiNAnalysis[[Admin2PCODE]:[Admin2PCODE]],tblPiNAnalysis[% SAMV],0,0)</f>
        <v>0.2</v>
      </c>
      <c r="O25" s="6" cm="1">
        <f t="array" ref="O25">_xlfn.XLOOKUP(Table8[[#This Row],[Admin2PCODE]:[Admin2PCODE]],tblPiNAnalysis[[Admin2PCODE]:[Admin2PCODE]],tblPiNAnalysis[% NUT],0,0)</f>
        <v>0.05</v>
      </c>
      <c r="P25" s="6" cm="1">
        <f t="array" ref="P25">_xlfn.XLOOKUP(Table8[[#This Row],[Admin2PCODE]:[Admin2PCODE]],tblPiNAnalysis[[Admin2PCODE]:[Admin2PCODE]],tblPiNAnalysis[% SAL],0,0)</f>
        <v>0.35000000000000003</v>
      </c>
      <c r="Q25" s="6" cm="1">
        <f t="array" ref="Q25">_xlfn.XLOOKUP(Table8[[#This Row],[Admin2PCODE]:[Admin2PCODE]],tblPiNAnalysis[[Admin2PCODE]:[Admin2PCODE]],tblPiNAnalysis[% EDU],0,0)</f>
        <v>0.1</v>
      </c>
      <c r="R25" s="6" cm="1">
        <f t="array" ref="R25">_xlfn.XLOOKUP(Table8[[#This Row],[Admin2PCODE]:[Admin2PCODE]],tblPiNAnalysis[[Admin2PCODE]:[Admin2PCODE]],tblPiNAnalysis[% PRO],0,0)</f>
        <v>0.15000000000000002</v>
      </c>
      <c r="S25" s="6" cm="1">
        <f t="array" ref="S25">_xlfn.XLOOKUP(Table8[[#This Row],[Admin2PCODE]:[Admin2PCODE]],tblPiNAnalysis[[Admin2PCODE]:[Admin2PCODE]],tblPiNAnalysis[% WASH],0,0)</f>
        <v>0</v>
      </c>
      <c r="T25" s="6" cm="1">
        <f t="array" ref="T25">_xlfn.XLOOKUP(Table8[[#This Row],[Admin2PCODE]:[Admin2PCODE]],tblPiNAnalysis[[Admin2PCODE]:[Admin2PCODE]],tblPiNAnalysis[% NNA],0,0)</f>
        <v>0.05</v>
      </c>
      <c r="U25" s="6" cm="1">
        <f t="array" ref="U25">_xlfn.XLOOKUP(Table8[[#This Row],[Admin2PCODE]:[Admin2PCODE]],tblPiNAnalysis[[Admin2PCODE]:[Admin2PCODE]],tblPiNAnalysis[% VBG],0,0)</f>
        <v>0.05</v>
      </c>
      <c r="V25" s="8" cm="1">
        <f t="array" ref="V25">_xlfn.XLOOKUP(Table8[[#This Row],[Admin2PCODE]:[Admin2PCODE]],tblPiNAnalysis[[Admin2PCODE]:[Admin2PCODE]],tblPiNAnalysis[PiN preliminar],0,0)</f>
        <v>13995.56</v>
      </c>
      <c r="W25" s="308" cm="1">
        <f t="array" ref="W25">_xlfn.XLOOKUP(Table8[[#This Row],[Admin2PCODE]],tblPiNAnalysis[Admin2PCODE],tblSeverityAnalysis[Severidad media],0,0)</f>
        <v>3.1666666666666665</v>
      </c>
      <c r="X25" s="42">
        <f>Table8[[#This Row],[Severidad media]]*6</f>
        <v>19</v>
      </c>
      <c r="Y25" s="6" cm="1">
        <f t="array" ref="Y25">_xlfn.XLOOKUP(Table8[[#This Row],[Admin2PCODE]],tblPiNAnalysis[Admin2PCODE],tblPiNAnalysis[% PiN Sectores más altos],0,0)</f>
        <v>0.36499999999999999</v>
      </c>
      <c r="Z25" s="42" cm="1">
        <f t="array" ref="Z25">_xlfn.XLOOKUP(Table8[[#This Row],[Admin2PCODE]:[Admin2PCODE]],tblPiNAnalysis[[Admin2PCODE]:[Admin2PCODE]],tblPiNAnalysis[Severidad],0,0)</f>
        <v>3</v>
      </c>
      <c r="AA25">
        <f>_xlfn.XLOOKUP(Table8[[#This Row],[Admin2PCODE]],tblSeverityAnalysis[Admin 2 Código P],tblSeverityAnalysis[Severidad Ttotal 2025],0,0)</f>
        <v>4</v>
      </c>
      <c r="AB25" t="str">
        <f>_xlfn.XLOOKUP(Table8[[#This Row],[Admin2PCODE]],tblSeverityAnalysis[Admin 2 Código P],tblSeverityAnalysis[Priorización Final 2025],0,0)</f>
        <v>No</v>
      </c>
      <c r="AC25">
        <v>2</v>
      </c>
      <c r="AD25" t="s">
        <v>957</v>
      </c>
      <c r="AE25">
        <v>3</v>
      </c>
      <c r="AF25">
        <v>0</v>
      </c>
      <c r="AG25">
        <v>0</v>
      </c>
      <c r="AH25">
        <v>0</v>
      </c>
      <c r="AI25">
        <v>0</v>
      </c>
      <c r="AJ25">
        <v>1</v>
      </c>
      <c r="AK25">
        <v>0</v>
      </c>
      <c r="AL25">
        <v>0</v>
      </c>
      <c r="AM25">
        <v>0</v>
      </c>
      <c r="AN25">
        <v>2</v>
      </c>
      <c r="AO25" s="314">
        <f>Table8[[#This Row],[N° Clústeres con respuesta]]/Table8[[#This Row],[Org Total]]</f>
        <v>0.66666666666666663</v>
      </c>
      <c r="AP25" s="313">
        <v>8951</v>
      </c>
      <c r="AQ25" s="313">
        <v>368</v>
      </c>
      <c r="AR25" s="312">
        <f>Table8[[#This Row],[Alcanzados Oct 2025]]/Table8[[#This Row],[Meta 2025]]</f>
        <v>4.1112724835213943E-2</v>
      </c>
      <c r="AS25" s="423">
        <v>0</v>
      </c>
      <c r="AT25" s="423">
        <v>0</v>
      </c>
      <c r="AU25" s="423">
        <v>0</v>
      </c>
      <c r="AV25" s="423">
        <v>0</v>
      </c>
      <c r="AW25" s="423">
        <v>3</v>
      </c>
      <c r="AX25" s="423">
        <v>0</v>
      </c>
      <c r="AY25" s="423">
        <v>0</v>
      </c>
      <c r="AZ25" s="423">
        <v>0</v>
      </c>
      <c r="BA25" s="42">
        <v>368</v>
      </c>
    </row>
    <row r="26" spans="1:53">
      <c r="A26" t="s">
        <v>215</v>
      </c>
      <c r="B26" t="s">
        <v>216</v>
      </c>
      <c r="C26" t="s">
        <v>231</v>
      </c>
      <c r="D26" t="s">
        <v>232</v>
      </c>
      <c r="E26" s="8">
        <v>66873</v>
      </c>
      <c r="F26" s="8">
        <v>3843</v>
      </c>
      <c r="G26" s="8">
        <v>2735.4918458675638</v>
      </c>
      <c r="H26" s="8">
        <v>24408.645</v>
      </c>
      <c r="I26" s="8">
        <v>3993.8365335946228</v>
      </c>
      <c r="J26" s="8">
        <v>5762.3910126514802</v>
      </c>
      <c r="K26" s="8">
        <v>9027.8549999999996</v>
      </c>
      <c r="L26" s="8">
        <v>1849.7275150611254</v>
      </c>
      <c r="M26" s="8">
        <v>2016.8368544280179</v>
      </c>
      <c r="N26" s="6" cm="1">
        <f t="array" ref="N26">_xlfn.XLOOKUP(Table8[[#This Row],[Admin2PCODE]:[Admin2PCODE]],tblPiNAnalysis[[Admin2PCODE]:[Admin2PCODE]],tblPiNAnalysis[% SAMV],0,0)</f>
        <v>0.05</v>
      </c>
      <c r="O26" s="6" cm="1">
        <f t="array" ref="O26">_xlfn.XLOOKUP(Table8[[#This Row],[Admin2PCODE]:[Admin2PCODE]],tblPiNAnalysis[[Admin2PCODE]:[Admin2PCODE]],tblPiNAnalysis[% NUT],0,0)</f>
        <v>0.05</v>
      </c>
      <c r="P26" s="6" cm="1">
        <f t="array" ref="P26">_xlfn.XLOOKUP(Table8[[#This Row],[Admin2PCODE]:[Admin2PCODE]],tblPiNAnalysis[[Admin2PCODE]:[Admin2PCODE]],tblPiNAnalysis[% SAL],0,0)</f>
        <v>0.35000000000000003</v>
      </c>
      <c r="Q26" s="6" cm="1">
        <f t="array" ref="Q26">_xlfn.XLOOKUP(Table8[[#This Row],[Admin2PCODE]:[Admin2PCODE]],tblPiNAnalysis[[Admin2PCODE]:[Admin2PCODE]],tblPiNAnalysis[% EDU],0,0)</f>
        <v>0.05</v>
      </c>
      <c r="R26" s="6" cm="1">
        <f t="array" ref="R26">_xlfn.XLOOKUP(Table8[[#This Row],[Admin2PCODE]:[Admin2PCODE]],tblPiNAnalysis[[Admin2PCODE]:[Admin2PCODE]],tblPiNAnalysis[% PRO],0,0)</f>
        <v>0.1</v>
      </c>
      <c r="S26" s="6" cm="1">
        <f t="array" ref="S26">_xlfn.XLOOKUP(Table8[[#This Row],[Admin2PCODE]:[Admin2PCODE]],tblPiNAnalysis[[Admin2PCODE]:[Admin2PCODE]],tblPiNAnalysis[% WASH],0,0)</f>
        <v>0.15000000000000002</v>
      </c>
      <c r="T26" s="6" cm="1">
        <f t="array" ref="T26">_xlfn.XLOOKUP(Table8[[#This Row],[Admin2PCODE]:[Admin2PCODE]],tblPiNAnalysis[[Admin2PCODE]:[Admin2PCODE]],tblPiNAnalysis[% NNA],0,0)</f>
        <v>0.05</v>
      </c>
      <c r="U26" s="6" cm="1">
        <f t="array" ref="U26">_xlfn.XLOOKUP(Table8[[#This Row],[Admin2PCODE]:[Admin2PCODE]],tblPiNAnalysis[[Admin2PCODE]:[Admin2PCODE]],tblPiNAnalysis[% VBG],0,0)</f>
        <v>0.05</v>
      </c>
      <c r="V26" s="8" cm="1">
        <f t="array" ref="V26">_xlfn.XLOOKUP(Table8[[#This Row],[Admin2PCODE]:[Admin2PCODE]],tblPiNAnalysis[[Admin2PCODE]:[Admin2PCODE]],tblPiNAnalysis[PiN preliminar],0,0)</f>
        <v>0</v>
      </c>
      <c r="W26" s="308" cm="1">
        <f t="array" ref="W26">_xlfn.XLOOKUP(Table8[[#This Row],[Admin2PCODE]],tblPiNAnalysis[Admin2PCODE],tblSeverityAnalysis[Severidad media],0,0)</f>
        <v>3</v>
      </c>
      <c r="X26" s="42">
        <f>Table8[[#This Row],[Severidad media]]*6</f>
        <v>18</v>
      </c>
      <c r="Y26" s="6" cm="1">
        <f t="array" ref="Y26">_xlfn.XLOOKUP(Table8[[#This Row],[Admin2PCODE]],tblPiNAnalysis[Admin2PCODE],tblPiNAnalysis[% PiN Sectores más altos],0,0)</f>
        <v>0.36499999999999999</v>
      </c>
      <c r="Z26" s="42" cm="1">
        <f t="array" ref="Z26">_xlfn.XLOOKUP(Table8[[#This Row],[Admin2PCODE]:[Admin2PCODE]],tblPiNAnalysis[[Admin2PCODE]:[Admin2PCODE]],tblPiNAnalysis[Severidad],0,0)</f>
        <v>2</v>
      </c>
      <c r="AA26">
        <f>_xlfn.XLOOKUP(Table8[[#This Row],[Admin2PCODE]],tblSeverityAnalysis[Admin 2 Código P],tblSeverityAnalysis[Severidad Ttotal 2025],0,0)</f>
        <v>4</v>
      </c>
      <c r="AB26" t="str">
        <f>_xlfn.XLOOKUP(Table8[[#This Row],[Admin2PCODE]],tblSeverityAnalysis[Admin 2 Código P],tblSeverityAnalysis[Priorización Final 2025],0,0)</f>
        <v>No</v>
      </c>
      <c r="AC26">
        <v>2</v>
      </c>
      <c r="AD26" t="s">
        <v>957</v>
      </c>
      <c r="AE26">
        <v>3</v>
      </c>
      <c r="AF26">
        <v>0</v>
      </c>
      <c r="AG26">
        <v>0</v>
      </c>
      <c r="AH26">
        <v>0</v>
      </c>
      <c r="AI26">
        <v>0</v>
      </c>
      <c r="AJ26">
        <v>1</v>
      </c>
      <c r="AK26">
        <v>0</v>
      </c>
      <c r="AL26">
        <v>0</v>
      </c>
      <c r="AM26">
        <v>0</v>
      </c>
      <c r="AN26">
        <v>2</v>
      </c>
      <c r="AO26" s="314">
        <f>Table8[[#This Row],[N° Clústeres con respuesta]]/Table8[[#This Row],[Org Total]]</f>
        <v>0.66666666666666663</v>
      </c>
      <c r="AP26" s="313">
        <v>11791</v>
      </c>
      <c r="AQ26" s="313">
        <v>1072</v>
      </c>
      <c r="AR26" s="312">
        <f>Table8[[#This Row],[Alcanzados Oct 2025]]/Table8[[#This Row],[Meta 2025]]</f>
        <v>9.091680094987703E-2</v>
      </c>
      <c r="AS26" s="423">
        <v>0</v>
      </c>
      <c r="AT26" s="423">
        <v>0</v>
      </c>
      <c r="AU26" s="423">
        <v>0</v>
      </c>
      <c r="AV26" s="423">
        <v>0</v>
      </c>
      <c r="AW26" s="423">
        <v>2</v>
      </c>
      <c r="AX26" s="423">
        <v>0</v>
      </c>
      <c r="AY26" s="423">
        <v>0</v>
      </c>
      <c r="AZ26" s="423">
        <v>0</v>
      </c>
      <c r="BA26" s="42">
        <v>1072</v>
      </c>
    </row>
    <row r="27" spans="1:53">
      <c r="A27" t="s">
        <v>215</v>
      </c>
      <c r="B27" t="s">
        <v>216</v>
      </c>
      <c r="C27" t="s">
        <v>235</v>
      </c>
      <c r="D27" t="s">
        <v>236</v>
      </c>
      <c r="E27" s="8">
        <v>24685</v>
      </c>
      <c r="F27" s="8">
        <v>4452</v>
      </c>
      <c r="G27" s="8">
        <v>1025.3949492626957</v>
      </c>
      <c r="H27" s="8">
        <v>11200</v>
      </c>
      <c r="I27" s="8">
        <v>1095.9410729399117</v>
      </c>
      <c r="J27" s="8">
        <v>709.02866701210633</v>
      </c>
      <c r="K27" s="8">
        <v>0</v>
      </c>
      <c r="L27" s="8">
        <v>226.88917344387403</v>
      </c>
      <c r="M27" s="8">
        <v>248.16003345423721</v>
      </c>
      <c r="N27" s="6" cm="1">
        <f t="array" ref="N27">_xlfn.XLOOKUP(Table8[[#This Row],[Admin2PCODE]:[Admin2PCODE]],tblPiNAnalysis[[Admin2PCODE]:[Admin2PCODE]],tblPiNAnalysis[% SAMV],0,0)</f>
        <v>0.2</v>
      </c>
      <c r="O27" s="6" cm="1">
        <f t="array" ref="O27">_xlfn.XLOOKUP(Table8[[#This Row],[Admin2PCODE]:[Admin2PCODE]],tblPiNAnalysis[[Admin2PCODE]:[Admin2PCODE]],tblPiNAnalysis[% NUT],0,0)</f>
        <v>0.05</v>
      </c>
      <c r="P27" s="6" cm="1">
        <f t="array" ref="P27">_xlfn.XLOOKUP(Table8[[#This Row],[Admin2PCODE]:[Admin2PCODE]],tblPiNAnalysis[[Admin2PCODE]:[Admin2PCODE]],tblPiNAnalysis[% SAL],0,0)</f>
        <v>0.45</v>
      </c>
      <c r="Q27" s="6" cm="1">
        <f t="array" ref="Q27">_xlfn.XLOOKUP(Table8[[#This Row],[Admin2PCODE]:[Admin2PCODE]],tblPiNAnalysis[[Admin2PCODE]:[Admin2PCODE]],tblPiNAnalysis[% EDU],0,0)</f>
        <v>0.05</v>
      </c>
      <c r="R27" s="6" cm="1">
        <f t="array" ref="R27">_xlfn.XLOOKUP(Table8[[#This Row],[Admin2PCODE]:[Admin2PCODE]],tblPiNAnalysis[[Admin2PCODE]:[Admin2PCODE]],tblPiNAnalysis[% PRO],0,0)</f>
        <v>0.05</v>
      </c>
      <c r="S27" s="6" cm="1">
        <f t="array" ref="S27">_xlfn.XLOOKUP(Table8[[#This Row],[Admin2PCODE]:[Admin2PCODE]],tblPiNAnalysis[[Admin2PCODE]:[Admin2PCODE]],tblPiNAnalysis[% WASH],0,0)</f>
        <v>0</v>
      </c>
      <c r="T27" s="6" cm="1">
        <f t="array" ref="T27">_xlfn.XLOOKUP(Table8[[#This Row],[Admin2PCODE]:[Admin2PCODE]],tblPiNAnalysis[[Admin2PCODE]:[Admin2PCODE]],tblPiNAnalysis[% NNA],0,0)</f>
        <v>0</v>
      </c>
      <c r="U27" s="6" cm="1">
        <f t="array" ref="U27">_xlfn.XLOOKUP(Table8[[#This Row],[Admin2PCODE]:[Admin2PCODE]],tblPiNAnalysis[[Admin2PCODE]:[Admin2PCODE]],tblPiNAnalysis[% VBG],0,0)</f>
        <v>0</v>
      </c>
      <c r="V27" s="8" cm="1">
        <f t="array" ref="V27">_xlfn.XLOOKUP(Table8[[#This Row],[Admin2PCODE]:[Admin2PCODE]],tblPiNAnalysis[[Admin2PCODE]:[Admin2PCODE]],tblPiNAnalysis[PiN preliminar],0,0)</f>
        <v>0</v>
      </c>
      <c r="W27" s="308" cm="1">
        <f t="array" ref="W27">_xlfn.XLOOKUP(Table8[[#This Row],[Admin2PCODE]],tblPiNAnalysis[Admin2PCODE],tblSeverityAnalysis[Severidad media],0,0)</f>
        <v>3.8333333333333335</v>
      </c>
      <c r="X27" s="42">
        <f>Table8[[#This Row],[Severidad media]]*6</f>
        <v>23</v>
      </c>
      <c r="Y27" s="6" cm="1">
        <f t="array" ref="Y27">_xlfn.XLOOKUP(Table8[[#This Row],[Admin2PCODE]],tblPiNAnalysis[Admin2PCODE],tblPiNAnalysis[% PiN Sectores más altos],0,0)</f>
        <v>0.45371683208426172</v>
      </c>
      <c r="Z27" s="42" cm="1">
        <f t="array" ref="Z27">_xlfn.XLOOKUP(Table8[[#This Row],[Admin2PCODE]:[Admin2PCODE]],tblPiNAnalysis[[Admin2PCODE]:[Admin2PCODE]],tblPiNAnalysis[Severidad],0,0)</f>
        <v>2</v>
      </c>
      <c r="AA27">
        <f>_xlfn.XLOOKUP(Table8[[#This Row],[Admin2PCODE]],tblSeverityAnalysis[Admin 2 Código P],tblSeverityAnalysis[Severidad Ttotal 2025],0,0)</f>
        <v>4</v>
      </c>
      <c r="AB27" t="str">
        <f>_xlfn.XLOOKUP(Table8[[#This Row],[Admin2PCODE]],tblSeverityAnalysis[Admin 2 Código P],tblSeverityAnalysis[Priorización Final 2025],0,0)</f>
        <v>No</v>
      </c>
      <c r="AC27">
        <v>1</v>
      </c>
      <c r="AD27" t="s">
        <v>92</v>
      </c>
      <c r="AE27">
        <v>2</v>
      </c>
      <c r="AF27">
        <v>0</v>
      </c>
      <c r="AG27">
        <v>0</v>
      </c>
      <c r="AH27">
        <v>0</v>
      </c>
      <c r="AI27">
        <v>0</v>
      </c>
      <c r="AJ27">
        <v>0</v>
      </c>
      <c r="AK27">
        <v>0</v>
      </c>
      <c r="AL27">
        <v>0</v>
      </c>
      <c r="AM27">
        <v>0</v>
      </c>
      <c r="AN27">
        <v>2</v>
      </c>
      <c r="AO27" s="314">
        <f>Table8[[#This Row],[N° Clústeres con respuesta]]/Table8[[#This Row],[Org Total]]</f>
        <v>0.5</v>
      </c>
      <c r="AP27" s="313">
        <v>5764</v>
      </c>
      <c r="AQ27" s="313">
        <v>5465</v>
      </c>
      <c r="AR27" s="312">
        <f>Table8[[#This Row],[Alcanzados Oct 2025]]/Table8[[#This Row],[Meta 2025]]</f>
        <v>0.94812630117973629</v>
      </c>
      <c r="AS27" s="423">
        <v>0</v>
      </c>
      <c r="AT27" s="423">
        <v>0</v>
      </c>
      <c r="AU27" s="423">
        <v>0</v>
      </c>
      <c r="AV27" s="423">
        <v>0</v>
      </c>
      <c r="AW27" s="423">
        <v>0</v>
      </c>
      <c r="AX27" s="423">
        <v>0</v>
      </c>
      <c r="AY27" s="423">
        <v>0</v>
      </c>
      <c r="AZ27" s="423">
        <v>0</v>
      </c>
      <c r="BA27" s="42">
        <v>5465</v>
      </c>
    </row>
    <row r="28" spans="1:53">
      <c r="A28" t="s">
        <v>215</v>
      </c>
      <c r="B28" t="s">
        <v>216</v>
      </c>
      <c r="C28" t="s">
        <v>237</v>
      </c>
      <c r="D28" t="s">
        <v>238</v>
      </c>
      <c r="E28" s="8">
        <v>16503</v>
      </c>
      <c r="F28" s="8">
        <v>2477</v>
      </c>
      <c r="G28" s="8">
        <v>651.86717274777004</v>
      </c>
      <c r="H28" s="8">
        <v>9800</v>
      </c>
      <c r="I28" s="8">
        <v>234.60195846867936</v>
      </c>
      <c r="J28" s="8">
        <v>2370.0830649586369</v>
      </c>
      <c r="K28" s="8">
        <v>0</v>
      </c>
      <c r="L28" s="8">
        <v>758.42658078676368</v>
      </c>
      <c r="M28" s="8">
        <v>829.52907273552273</v>
      </c>
      <c r="N28" s="6" cm="1">
        <f t="array" ref="N28">_xlfn.XLOOKUP(Table8[[#This Row],[Admin2PCODE]:[Admin2PCODE]],tblPiNAnalysis[[Admin2PCODE]:[Admin2PCODE]],tblPiNAnalysis[% SAMV],0,0)</f>
        <v>0.15000000000000002</v>
      </c>
      <c r="O28" s="6" cm="1">
        <f t="array" ref="O28">_xlfn.XLOOKUP(Table8[[#This Row],[Admin2PCODE]:[Admin2PCODE]],tblPiNAnalysis[[Admin2PCODE]:[Admin2PCODE]],tblPiNAnalysis[% NUT],0,0)</f>
        <v>0.05</v>
      </c>
      <c r="P28" s="6" cm="1">
        <f t="array" ref="P28">_xlfn.XLOOKUP(Table8[[#This Row],[Admin2PCODE]:[Admin2PCODE]],tblPiNAnalysis[[Admin2PCODE]:[Admin2PCODE]],tblPiNAnalysis[% SAL],0,0)</f>
        <v>0.60000000000000009</v>
      </c>
      <c r="Q28" s="6" cm="1">
        <f t="array" ref="Q28">_xlfn.XLOOKUP(Table8[[#This Row],[Admin2PCODE]:[Admin2PCODE]],tblPiNAnalysis[[Admin2PCODE]:[Admin2PCODE]],tblPiNAnalysis[% EDU],0,0)</f>
        <v>0</v>
      </c>
      <c r="R28" s="6" cm="1">
        <f t="array" ref="R28">_xlfn.XLOOKUP(Table8[[#This Row],[Admin2PCODE]:[Admin2PCODE]],tblPiNAnalysis[[Admin2PCODE]:[Admin2PCODE]],tblPiNAnalysis[% PRO],0,0)</f>
        <v>0.15000000000000002</v>
      </c>
      <c r="S28" s="6" cm="1">
        <f t="array" ref="S28">_xlfn.XLOOKUP(Table8[[#This Row],[Admin2PCODE]:[Admin2PCODE]],tblPiNAnalysis[[Admin2PCODE]:[Admin2PCODE]],tblPiNAnalysis[% WASH],0,0)</f>
        <v>0</v>
      </c>
      <c r="T28" s="6" cm="1">
        <f t="array" ref="T28">_xlfn.XLOOKUP(Table8[[#This Row],[Admin2PCODE]:[Admin2PCODE]],tblPiNAnalysis[[Admin2PCODE]:[Admin2PCODE]],tblPiNAnalysis[% NNA],0,0)</f>
        <v>0.05</v>
      </c>
      <c r="U28" s="6" cm="1">
        <f t="array" ref="U28">_xlfn.XLOOKUP(Table8[[#This Row],[Admin2PCODE]:[Admin2PCODE]],tblPiNAnalysis[[Admin2PCODE]:[Admin2PCODE]],tblPiNAnalysis[% VBG],0,0)</f>
        <v>0.05</v>
      </c>
      <c r="V28" s="8" cm="1">
        <f t="array" ref="V28">_xlfn.XLOOKUP(Table8[[#This Row],[Admin2PCODE]:[Admin2PCODE]],tblPiNAnalysis[[Admin2PCODE]:[Admin2PCODE]],tblPiNAnalysis[PiN preliminar],0,0)</f>
        <v>9800</v>
      </c>
      <c r="W28" s="308" cm="1">
        <f t="array" ref="W28">_xlfn.XLOOKUP(Table8[[#This Row],[Admin2PCODE]],tblPiNAnalysis[Admin2PCODE],tblSeverityAnalysis[Severidad media],0,0)</f>
        <v>2.5</v>
      </c>
      <c r="X28" s="42">
        <f>Table8[[#This Row],[Severidad media]]*6</f>
        <v>15</v>
      </c>
      <c r="Y28" s="6" cm="1">
        <f t="array" ref="Y28">_xlfn.XLOOKUP(Table8[[#This Row],[Admin2PCODE]],tblPiNAnalysis[Admin2PCODE],tblPiNAnalysis[% PiN Sectores más altos],0,0)</f>
        <v>0.59383142458946858</v>
      </c>
      <c r="Z28" s="42" cm="1">
        <f t="array" ref="Z28">_xlfn.XLOOKUP(Table8[[#This Row],[Admin2PCODE]:[Admin2PCODE]],tblPiNAnalysis[[Admin2PCODE]:[Admin2PCODE]],tblPiNAnalysis[Severidad],0,0)</f>
        <v>3</v>
      </c>
      <c r="AA28">
        <f>_xlfn.XLOOKUP(Table8[[#This Row],[Admin2PCODE]],tblSeverityAnalysis[Admin 2 Código P],tblSeverityAnalysis[Severidad Ttotal 2025],0,0)</f>
        <v>4</v>
      </c>
      <c r="AB28" t="str">
        <f>_xlfn.XLOOKUP(Table8[[#This Row],[Admin2PCODE]],tblSeverityAnalysis[Admin 2 Código P],tblSeverityAnalysis[Priorización Final 2025],0,0)</f>
        <v>No</v>
      </c>
      <c r="AC28">
        <v>3</v>
      </c>
      <c r="AD28" t="s">
        <v>969</v>
      </c>
      <c r="AE28">
        <v>4</v>
      </c>
      <c r="AF28">
        <v>0</v>
      </c>
      <c r="AG28">
        <v>0</v>
      </c>
      <c r="AH28">
        <v>0</v>
      </c>
      <c r="AI28">
        <v>0</v>
      </c>
      <c r="AJ28">
        <v>1</v>
      </c>
      <c r="AK28">
        <v>0</v>
      </c>
      <c r="AL28">
        <v>2</v>
      </c>
      <c r="AM28">
        <v>0</v>
      </c>
      <c r="AN28">
        <v>2</v>
      </c>
      <c r="AO28" s="314">
        <f>Table8[[#This Row],[N° Clústeres con respuesta]]/Table8[[#This Row],[Org Total]]</f>
        <v>0.75</v>
      </c>
      <c r="AP28" s="313">
        <v>3854</v>
      </c>
      <c r="AQ28" s="313">
        <v>3767</v>
      </c>
      <c r="AR28" s="312">
        <f>Table8[[#This Row],[Alcanzados Oct 2025]]/Table8[[#This Row],[Meta 2025]]</f>
        <v>0.97742605085625323</v>
      </c>
      <c r="AS28" s="423">
        <v>0</v>
      </c>
      <c r="AT28" s="423">
        <v>0</v>
      </c>
      <c r="AU28" s="423">
        <v>0</v>
      </c>
      <c r="AV28" s="423">
        <v>0</v>
      </c>
      <c r="AW28" s="423">
        <v>8</v>
      </c>
      <c r="AX28" s="423">
        <v>0</v>
      </c>
      <c r="AY28" s="423">
        <v>8</v>
      </c>
      <c r="AZ28" s="423">
        <v>0</v>
      </c>
      <c r="BA28" s="42">
        <v>3767</v>
      </c>
    </row>
    <row r="29" spans="1:53">
      <c r="A29" t="s">
        <v>180</v>
      </c>
      <c r="B29" t="s">
        <v>239</v>
      </c>
      <c r="C29" t="s">
        <v>250</v>
      </c>
      <c r="D29" t="s">
        <v>251</v>
      </c>
      <c r="E29" s="8">
        <v>100488</v>
      </c>
      <c r="F29" s="8">
        <v>2512</v>
      </c>
      <c r="G29" s="8">
        <v>7859.3203884388549</v>
      </c>
      <c r="H29" s="8">
        <v>36678.120000000003</v>
      </c>
      <c r="I29" s="8">
        <v>6927.7815860897972</v>
      </c>
      <c r="J29" s="8">
        <v>24078.168429697846</v>
      </c>
      <c r="K29" s="8">
        <v>45219.6</v>
      </c>
      <c r="L29" s="8">
        <v>7705.0138975033105</v>
      </c>
      <c r="M29" s="8">
        <v>8427.3589503942458</v>
      </c>
      <c r="N29" s="6" cm="1">
        <f t="array" ref="N29">_xlfn.XLOOKUP(Table8[[#This Row],[Admin2PCODE]:[Admin2PCODE]],tblPiNAnalysis[[Admin2PCODE]:[Admin2PCODE]],tblPiNAnalysis[% SAMV],0,0)</f>
        <v>0</v>
      </c>
      <c r="O29" s="6" cm="1">
        <f t="array" ref="O29">_xlfn.XLOOKUP(Table8[[#This Row],[Admin2PCODE]:[Admin2PCODE]],tblPiNAnalysis[[Admin2PCODE]:[Admin2PCODE]],tblPiNAnalysis[% NUT],0,0)</f>
        <v>0.1</v>
      </c>
      <c r="P29" s="6" cm="1">
        <f t="array" ref="P29">_xlfn.XLOOKUP(Table8[[#This Row],[Admin2PCODE]:[Admin2PCODE]],tblPiNAnalysis[[Admin2PCODE]:[Admin2PCODE]],tblPiNAnalysis[% SAL],0,0)</f>
        <v>0.35000000000000003</v>
      </c>
      <c r="Q29" s="6" cm="1">
        <f t="array" ref="Q29">_xlfn.XLOOKUP(Table8[[#This Row],[Admin2PCODE]:[Admin2PCODE]],tblPiNAnalysis[[Admin2PCODE]:[Admin2PCODE]],tblPiNAnalysis[% EDU],0,0)</f>
        <v>0.05</v>
      </c>
      <c r="R29" s="6" cm="1">
        <f t="array" ref="R29">_xlfn.XLOOKUP(Table8[[#This Row],[Admin2PCODE]:[Admin2PCODE]],tblPiNAnalysis[[Admin2PCODE]:[Admin2PCODE]],tblPiNAnalysis[% PRO],0,0)</f>
        <v>0.25</v>
      </c>
      <c r="S29" s="6" cm="1">
        <f t="array" ref="S29">_xlfn.XLOOKUP(Table8[[#This Row],[Admin2PCODE]:[Admin2PCODE]],tblPiNAnalysis[[Admin2PCODE]:[Admin2PCODE]],tblPiNAnalysis[% WASH],0,0)</f>
        <v>0.45</v>
      </c>
      <c r="T29" s="6" cm="1">
        <f t="array" ref="T29">_xlfn.XLOOKUP(Table8[[#This Row],[Admin2PCODE]:[Admin2PCODE]],tblPiNAnalysis[[Admin2PCODE]:[Admin2PCODE]],tblPiNAnalysis[% NNA],0,0)</f>
        <v>0.1</v>
      </c>
      <c r="U29" s="6" cm="1">
        <f t="array" ref="U29">_xlfn.XLOOKUP(Table8[[#This Row],[Admin2PCODE]:[Admin2PCODE]],tblPiNAnalysis[[Admin2PCODE]:[Admin2PCODE]],tblPiNAnalysis[% VBG],0,0)</f>
        <v>0.1</v>
      </c>
      <c r="V29" s="8" cm="1">
        <f t="array" ref="V29">_xlfn.XLOOKUP(Table8[[#This Row],[Admin2PCODE]:[Admin2PCODE]],tblPiNAnalysis[[Admin2PCODE]:[Admin2PCODE]],tblPiNAnalysis[PiN preliminar],0,0)</f>
        <v>45219.6</v>
      </c>
      <c r="W29" s="308" cm="1">
        <f t="array" ref="W29">_xlfn.XLOOKUP(Table8[[#This Row],[Admin2PCODE]],tblPiNAnalysis[Admin2PCODE],tblSeverityAnalysis[Severidad media],0,0)</f>
        <v>2.3333333333333335</v>
      </c>
      <c r="X29" s="42">
        <f>Table8[[#This Row],[Severidad media]]*6</f>
        <v>14</v>
      </c>
      <c r="Y29" s="6" cm="1">
        <f t="array" ref="Y29">_xlfn.XLOOKUP(Table8[[#This Row],[Admin2PCODE]],tblPiNAnalysis[Admin2PCODE],tblPiNAnalysis[% PiN Sectores más altos],0,0)</f>
        <v>0.45</v>
      </c>
      <c r="Z29" s="42" cm="1">
        <f t="array" ref="Z29">_xlfn.XLOOKUP(Table8[[#This Row],[Admin2PCODE]:[Admin2PCODE]],tblPiNAnalysis[[Admin2PCODE]:[Admin2PCODE]],tblPiNAnalysis[Severidad],0,0)</f>
        <v>3</v>
      </c>
      <c r="AA29">
        <f>_xlfn.XLOOKUP(Table8[[#This Row],[Admin2PCODE]],tblSeverityAnalysis[Admin 2 Código P],tblSeverityAnalysis[Severidad Ttotal 2025],0,0)</f>
        <v>4</v>
      </c>
      <c r="AB29" t="str">
        <f>_xlfn.XLOOKUP(Table8[[#This Row],[Admin2PCODE]],tblSeverityAnalysis[Admin 2 Código P],tblSeverityAnalysis[Priorización Final 2025],0,0)</f>
        <v>Sí</v>
      </c>
      <c r="AC29">
        <v>6</v>
      </c>
      <c r="AD29" t="s">
        <v>970</v>
      </c>
      <c r="AE29">
        <v>8</v>
      </c>
      <c r="AF29">
        <v>0</v>
      </c>
      <c r="AG29">
        <v>3</v>
      </c>
      <c r="AH29">
        <v>0</v>
      </c>
      <c r="AI29">
        <v>3</v>
      </c>
      <c r="AJ29">
        <v>4</v>
      </c>
      <c r="AK29">
        <v>2</v>
      </c>
      <c r="AL29">
        <v>3</v>
      </c>
      <c r="AM29">
        <v>3</v>
      </c>
      <c r="AN29">
        <v>0</v>
      </c>
      <c r="AO29" s="314">
        <f>Table8[[#This Row],[N° Clústeres con respuesta]]/Table8[[#This Row],[Org Total]]</f>
        <v>0.75</v>
      </c>
      <c r="AP29" s="313">
        <v>23462</v>
      </c>
      <c r="AQ29" s="313">
        <v>4374</v>
      </c>
      <c r="AR29" s="312">
        <f>Table8[[#This Row],[Alcanzados Oct 2025]]/Table8[[#This Row],[Meta 2025]]</f>
        <v>0.18642911942715881</v>
      </c>
      <c r="AS29" s="423">
        <v>0</v>
      </c>
      <c r="AT29" s="423">
        <v>1625</v>
      </c>
      <c r="AU29" s="423">
        <v>0</v>
      </c>
      <c r="AV29" s="423">
        <v>1528</v>
      </c>
      <c r="AW29" s="423">
        <v>59</v>
      </c>
      <c r="AX29" s="423">
        <v>30</v>
      </c>
      <c r="AY29" s="423">
        <v>3186</v>
      </c>
      <c r="AZ29" s="423">
        <v>8</v>
      </c>
      <c r="BA29" s="42">
        <v>0</v>
      </c>
    </row>
    <row r="30" spans="1:53">
      <c r="A30" t="s">
        <v>163</v>
      </c>
      <c r="B30" t="s">
        <v>164</v>
      </c>
      <c r="C30" t="s">
        <v>165</v>
      </c>
      <c r="D30" t="s">
        <v>166</v>
      </c>
      <c r="E30" s="8">
        <v>59842</v>
      </c>
      <c r="F30" s="8">
        <v>21868</v>
      </c>
      <c r="G30" s="8">
        <v>6344.3324429168088</v>
      </c>
      <c r="H30" s="8">
        <v>27200</v>
      </c>
      <c r="I30" s="8">
        <v>706.101853914201</v>
      </c>
      <c r="J30" s="8">
        <v>14370.555676661454</v>
      </c>
      <c r="K30" s="8">
        <v>35905.199999999997</v>
      </c>
      <c r="L30" s="8">
        <v>4598.577816531666</v>
      </c>
      <c r="M30" s="8">
        <v>5029.6944868315077</v>
      </c>
      <c r="N30" s="6" cm="1">
        <f t="array" ref="N30">_xlfn.XLOOKUP(Table8[[#This Row],[Admin2PCODE]:[Admin2PCODE]],tblPiNAnalysis[[Admin2PCODE]:[Admin2PCODE]],tblPiNAnalysis[% SAMV],0,0)</f>
        <v>0.35000000000000003</v>
      </c>
      <c r="O30" s="6" cm="1">
        <f t="array" ref="O30">_xlfn.XLOOKUP(Table8[[#This Row],[Admin2PCODE]:[Admin2PCODE]],tblPiNAnalysis[[Admin2PCODE]:[Admin2PCODE]],tblPiNAnalysis[% NUT],0,0)</f>
        <v>0.1</v>
      </c>
      <c r="P30" s="6" cm="1">
        <f t="array" ref="P30">_xlfn.XLOOKUP(Table8[[#This Row],[Admin2PCODE]:[Admin2PCODE]],tblPiNAnalysis[[Admin2PCODE]:[Admin2PCODE]],tblPiNAnalysis[% SAL],0,0)</f>
        <v>0.45</v>
      </c>
      <c r="Q30" s="6" cm="1">
        <f t="array" ref="Q30">_xlfn.XLOOKUP(Table8[[#This Row],[Admin2PCODE]:[Admin2PCODE]],tblPiNAnalysis[[Admin2PCODE]:[Admin2PCODE]],tblPiNAnalysis[% EDU],0,0)</f>
        <v>0</v>
      </c>
      <c r="R30" s="6" cm="1">
        <f t="array" ref="R30">_xlfn.XLOOKUP(Table8[[#This Row],[Admin2PCODE]:[Admin2PCODE]],tblPiNAnalysis[[Admin2PCODE]:[Admin2PCODE]],tblPiNAnalysis[% PRO],0,0)</f>
        <v>0.25</v>
      </c>
      <c r="S30" s="6" cm="1">
        <f t="array" ref="S30">_xlfn.XLOOKUP(Table8[[#This Row],[Admin2PCODE]:[Admin2PCODE]],tblPiNAnalysis[[Admin2PCODE]:[Admin2PCODE]],tblPiNAnalysis[% WASH],0,0)</f>
        <v>0.60000000000000009</v>
      </c>
      <c r="T30" s="6" cm="1">
        <f t="array" ref="T30">_xlfn.XLOOKUP(Table8[[#This Row],[Admin2PCODE]:[Admin2PCODE]],tblPiNAnalysis[[Admin2PCODE]:[Admin2PCODE]],tblPiNAnalysis[% NNA],0,0)</f>
        <v>0.1</v>
      </c>
      <c r="U30" s="6" cm="1">
        <f t="array" ref="U30">_xlfn.XLOOKUP(Table8[[#This Row],[Admin2PCODE]:[Admin2PCODE]],tblPiNAnalysis[[Admin2PCODE]:[Admin2PCODE]],tblPiNAnalysis[% VBG],0,0)</f>
        <v>0.1</v>
      </c>
      <c r="V30" s="8" cm="1">
        <f t="array" ref="V30">_xlfn.XLOOKUP(Table8[[#This Row],[Admin2PCODE]:[Admin2PCODE]],tblPiNAnalysis[[Admin2PCODE]:[Admin2PCODE]],tblPiNAnalysis[PiN preliminar],0,0)</f>
        <v>35905.199999999997</v>
      </c>
      <c r="W30" s="308" cm="1">
        <f t="array" ref="W30">_xlfn.XLOOKUP(Table8[[#This Row],[Admin2PCODE]],tblPiNAnalysis[Admin2PCODE],tblSeverityAnalysis[Severidad media],0,0)</f>
        <v>3.3333333333333335</v>
      </c>
      <c r="X30" s="42">
        <f>Table8[[#This Row],[Severidad media]]*6</f>
        <v>20</v>
      </c>
      <c r="Y30" s="6" cm="1">
        <f t="array" ref="Y30">_xlfn.XLOOKUP(Table8[[#This Row],[Admin2PCODE]],tblPiNAnalysis[Admin2PCODE],tblPiNAnalysis[% PiN Sectores más altos],0,0)</f>
        <v>0.6</v>
      </c>
      <c r="Z30" s="42" cm="1">
        <f t="array" ref="Z30">_xlfn.XLOOKUP(Table8[[#This Row],[Admin2PCODE]:[Admin2PCODE]],tblPiNAnalysis[[Admin2PCODE]:[Admin2PCODE]],tblPiNAnalysis[Severidad],0,0)</f>
        <v>4</v>
      </c>
      <c r="AA30">
        <f>_xlfn.XLOOKUP(Table8[[#This Row],[Admin2PCODE]],tblSeverityAnalysis[Admin 2 Código P],tblSeverityAnalysis[Severidad Ttotal 2025],0,0)</f>
        <v>4</v>
      </c>
      <c r="AB30" t="str">
        <f>_xlfn.XLOOKUP(Table8[[#This Row],[Admin2PCODE]],tblSeverityAnalysis[Admin 2 Código P],tblSeverityAnalysis[Priorización Final 2025],0,0)</f>
        <v>Sí</v>
      </c>
      <c r="AC30">
        <v>8</v>
      </c>
      <c r="AD30" t="s">
        <v>971</v>
      </c>
      <c r="AE30">
        <v>16</v>
      </c>
      <c r="AF30">
        <v>1</v>
      </c>
      <c r="AG30">
        <v>7</v>
      </c>
      <c r="AH30">
        <v>1</v>
      </c>
      <c r="AI30">
        <v>4</v>
      </c>
      <c r="AJ30">
        <v>5</v>
      </c>
      <c r="AK30">
        <v>2</v>
      </c>
      <c r="AL30">
        <v>2</v>
      </c>
      <c r="AM30">
        <v>6</v>
      </c>
      <c r="AN30">
        <v>4</v>
      </c>
      <c r="AO30" s="314">
        <f>Table8[[#This Row],[N° Clústeres con respuesta]]/Table8[[#This Row],[Org Total]]</f>
        <v>0.5</v>
      </c>
      <c r="AP30" s="313">
        <v>13970</v>
      </c>
      <c r="AQ30" s="313">
        <v>21520</v>
      </c>
      <c r="AR30" s="312">
        <f>Table8[[#This Row],[Alcanzados Oct 2025]]/Table8[[#This Row],[Meta 2025]]</f>
        <v>1.5404438081603435</v>
      </c>
      <c r="AS30" s="423">
        <v>4</v>
      </c>
      <c r="AT30" s="423">
        <v>7964</v>
      </c>
      <c r="AU30" s="423">
        <v>417</v>
      </c>
      <c r="AV30" s="423">
        <v>1731</v>
      </c>
      <c r="AW30" s="423">
        <v>503</v>
      </c>
      <c r="AX30" s="423">
        <v>89</v>
      </c>
      <c r="AY30" s="423">
        <v>306</v>
      </c>
      <c r="AZ30" s="423">
        <v>13380</v>
      </c>
      <c r="BA30" s="42">
        <v>19081</v>
      </c>
    </row>
    <row r="31" spans="1:53">
      <c r="A31" t="s">
        <v>163</v>
      </c>
      <c r="B31" t="s">
        <v>164</v>
      </c>
      <c r="C31" t="s">
        <v>171</v>
      </c>
      <c r="D31" t="s">
        <v>172</v>
      </c>
      <c r="E31" s="8">
        <v>102386</v>
      </c>
      <c r="F31" s="8">
        <v>0</v>
      </c>
      <c r="G31" s="8">
        <v>6340.9934519553926</v>
      </c>
      <c r="H31" s="8">
        <v>37370.89</v>
      </c>
      <c r="I31" s="8">
        <v>5822.2852267812905</v>
      </c>
      <c r="J31" s="8">
        <v>20489.284470085939</v>
      </c>
      <c r="K31" s="8">
        <v>0</v>
      </c>
      <c r="L31" s="8">
        <v>6556.5710304274999</v>
      </c>
      <c r="M31" s="8">
        <v>7171.2495645300778</v>
      </c>
      <c r="N31" s="6" cm="1">
        <f t="array" ref="N31">_xlfn.XLOOKUP(Table8[[#This Row],[Admin2PCODE]:[Admin2PCODE]],tblPiNAnalysis[[Admin2PCODE]:[Admin2PCODE]],tblPiNAnalysis[% SAMV],0,0)</f>
        <v>0</v>
      </c>
      <c r="O31" s="6" cm="1">
        <f t="array" ref="O31">_xlfn.XLOOKUP(Table8[[#This Row],[Admin2PCODE]:[Admin2PCODE]],tblPiNAnalysis[[Admin2PCODE]:[Admin2PCODE]],tblPiNAnalysis[% NUT],0,0)</f>
        <v>0.05</v>
      </c>
      <c r="P31" s="6" cm="1">
        <f t="array" ref="P31">_xlfn.XLOOKUP(Table8[[#This Row],[Admin2PCODE]:[Admin2PCODE]],tblPiNAnalysis[[Admin2PCODE]:[Admin2PCODE]],tblPiNAnalysis[% SAL],0,0)</f>
        <v>0.35000000000000003</v>
      </c>
      <c r="Q31" s="6" cm="1">
        <f t="array" ref="Q31">_xlfn.XLOOKUP(Table8[[#This Row],[Admin2PCODE]:[Admin2PCODE]],tblPiNAnalysis[[Admin2PCODE]:[Admin2PCODE]],tblPiNAnalysis[% EDU],0,0)</f>
        <v>0.05</v>
      </c>
      <c r="R31" s="6" cm="1">
        <f t="array" ref="R31">_xlfn.XLOOKUP(Table8[[#This Row],[Admin2PCODE]:[Admin2PCODE]],tblPiNAnalysis[[Admin2PCODE]:[Admin2PCODE]],tblPiNAnalysis[% PRO],0,0)</f>
        <v>0.2</v>
      </c>
      <c r="S31" s="6" cm="1">
        <f t="array" ref="S31">_xlfn.XLOOKUP(Table8[[#This Row],[Admin2PCODE]:[Admin2PCODE]],tblPiNAnalysis[[Admin2PCODE]:[Admin2PCODE]],tblPiNAnalysis[% WASH],0,0)</f>
        <v>0</v>
      </c>
      <c r="T31" s="6" cm="1">
        <f t="array" ref="T31">_xlfn.XLOOKUP(Table8[[#This Row],[Admin2PCODE]:[Admin2PCODE]],tblPiNAnalysis[[Admin2PCODE]:[Admin2PCODE]],tblPiNAnalysis[% NNA],0,0)</f>
        <v>0.05</v>
      </c>
      <c r="U31" s="6" cm="1">
        <f t="array" ref="U31">_xlfn.XLOOKUP(Table8[[#This Row],[Admin2PCODE]:[Admin2PCODE]],tblPiNAnalysis[[Admin2PCODE]:[Admin2PCODE]],tblPiNAnalysis[% VBG],0,0)</f>
        <v>0.05</v>
      </c>
      <c r="V31" s="8" cm="1">
        <f t="array" ref="V31">_xlfn.XLOOKUP(Table8[[#This Row],[Admin2PCODE]:[Admin2PCODE]],tblPiNAnalysis[[Admin2PCODE]:[Admin2PCODE]],tblPiNAnalysis[PiN preliminar],0,0)</f>
        <v>37370.89</v>
      </c>
      <c r="W31" s="308" cm="1">
        <f t="array" ref="W31">_xlfn.XLOOKUP(Table8[[#This Row],[Admin2PCODE]],tblPiNAnalysis[Admin2PCODE],tblSeverityAnalysis[Severidad media],0,0)</f>
        <v>2.6666666666666665</v>
      </c>
      <c r="X31" s="42">
        <f>Table8[[#This Row],[Severidad media]]*6</f>
        <v>16</v>
      </c>
      <c r="Y31" s="6" cm="1">
        <f t="array" ref="Y31">_xlfn.XLOOKUP(Table8[[#This Row],[Admin2PCODE]],tblPiNAnalysis[Admin2PCODE],tblPiNAnalysis[% PiN Sectores más altos],0,0)</f>
        <v>0.36499999999999999</v>
      </c>
      <c r="Z31" s="42" cm="1">
        <f t="array" ref="Z31">_xlfn.XLOOKUP(Table8[[#This Row],[Admin2PCODE]:[Admin2PCODE]],tblPiNAnalysis[[Admin2PCODE]:[Admin2PCODE]],tblPiNAnalysis[Severidad],0,0)</f>
        <v>4</v>
      </c>
      <c r="AA31">
        <f>_xlfn.XLOOKUP(Table8[[#This Row],[Admin2PCODE]],tblSeverityAnalysis[Admin 2 Código P],tblSeverityAnalysis[Severidad Ttotal 2025],0,0)</f>
        <v>4</v>
      </c>
      <c r="AB31" t="str">
        <f>_xlfn.XLOOKUP(Table8[[#This Row],[Admin2PCODE]],tblSeverityAnalysis[Admin 2 Código P],tblSeverityAnalysis[Priorización Final 2025],0,0)</f>
        <v>Sí</v>
      </c>
      <c r="AC31">
        <v>9</v>
      </c>
      <c r="AD31" t="s">
        <v>972</v>
      </c>
      <c r="AE31">
        <v>30</v>
      </c>
      <c r="AF31">
        <v>9</v>
      </c>
      <c r="AG31">
        <v>14</v>
      </c>
      <c r="AH31">
        <v>2</v>
      </c>
      <c r="AI31">
        <v>5</v>
      </c>
      <c r="AJ31">
        <v>13</v>
      </c>
      <c r="AK31">
        <v>10</v>
      </c>
      <c r="AL31">
        <v>11</v>
      </c>
      <c r="AM31">
        <v>14</v>
      </c>
      <c r="AN31">
        <v>10</v>
      </c>
      <c r="AO31" s="314">
        <f>Table8[[#This Row],[N° Clústeres con respuesta]]/Table8[[#This Row],[Org Total]]</f>
        <v>0.3</v>
      </c>
      <c r="AP31" s="313">
        <v>16821</v>
      </c>
      <c r="AQ31" s="313">
        <v>20761</v>
      </c>
      <c r="AR31" s="312">
        <f>Table8[[#This Row],[Alcanzados Oct 2025]]/Table8[[#This Row],[Meta 2025]]</f>
        <v>1.2342310207478746</v>
      </c>
      <c r="AS31" s="423">
        <v>3557</v>
      </c>
      <c r="AT31" s="423">
        <v>19936</v>
      </c>
      <c r="AU31" s="423">
        <v>51</v>
      </c>
      <c r="AV31" s="423">
        <v>1892</v>
      </c>
      <c r="AW31" s="423">
        <v>6018</v>
      </c>
      <c r="AX31" s="423">
        <v>11426</v>
      </c>
      <c r="AY31" s="423">
        <v>5031</v>
      </c>
      <c r="AZ31" s="423">
        <v>8907</v>
      </c>
      <c r="BA31" s="42">
        <v>16583</v>
      </c>
    </row>
    <row r="32" spans="1:53">
      <c r="A32" t="s">
        <v>163</v>
      </c>
      <c r="B32" t="s">
        <v>164</v>
      </c>
      <c r="C32" t="s">
        <v>173</v>
      </c>
      <c r="D32" t="s">
        <v>174</v>
      </c>
      <c r="E32" s="8">
        <v>29616</v>
      </c>
      <c r="F32" s="8">
        <v>7019</v>
      </c>
      <c r="G32" s="8">
        <v>1363.3115695584729</v>
      </c>
      <c r="H32" s="8">
        <v>11200</v>
      </c>
      <c r="I32" s="8">
        <v>757.95896507376585</v>
      </c>
      <c r="J32" s="8">
        <v>5926.6955332376046</v>
      </c>
      <c r="K32" s="8">
        <v>17769.599999999999</v>
      </c>
      <c r="L32" s="8">
        <v>1896.5425706360334</v>
      </c>
      <c r="M32" s="8">
        <v>2074.3434366331617</v>
      </c>
      <c r="N32" s="6" cm="1">
        <f t="array" ref="N32">_xlfn.XLOOKUP(Table8[[#This Row],[Admin2PCODE]:[Admin2PCODE]],tblPiNAnalysis[[Admin2PCODE]:[Admin2PCODE]],tblPiNAnalysis[% SAMV],0,0)</f>
        <v>0.25</v>
      </c>
      <c r="O32" s="6" cm="1">
        <f t="array" ref="O32">_xlfn.XLOOKUP(Table8[[#This Row],[Admin2PCODE]:[Admin2PCODE]],tblPiNAnalysis[[Admin2PCODE]:[Admin2PCODE]],tblPiNAnalysis[% NUT],0,0)</f>
        <v>0.05</v>
      </c>
      <c r="P32" s="6" cm="1">
        <f t="array" ref="P32">_xlfn.XLOOKUP(Table8[[#This Row],[Admin2PCODE]:[Admin2PCODE]],tblPiNAnalysis[[Admin2PCODE]:[Admin2PCODE]],tblPiNAnalysis[% SAL],0,0)</f>
        <v>0.4</v>
      </c>
      <c r="Q32" s="6" cm="1">
        <f t="array" ref="Q32">_xlfn.XLOOKUP(Table8[[#This Row],[Admin2PCODE]:[Admin2PCODE]],tblPiNAnalysis[[Admin2PCODE]:[Admin2PCODE]],tblPiNAnalysis[% EDU],0,0)</f>
        <v>0.05</v>
      </c>
      <c r="R32" s="6" cm="1">
        <f t="array" ref="R32">_xlfn.XLOOKUP(Table8[[#This Row],[Admin2PCODE]:[Admin2PCODE]],tblPiNAnalysis[[Admin2PCODE]:[Admin2PCODE]],tblPiNAnalysis[% PRO],0,0)</f>
        <v>0.2</v>
      </c>
      <c r="S32" s="6" cm="1">
        <f t="array" ref="S32">_xlfn.XLOOKUP(Table8[[#This Row],[Admin2PCODE]:[Admin2PCODE]],tblPiNAnalysis[[Admin2PCODE]:[Admin2PCODE]],tblPiNAnalysis[% WASH],0,0)</f>
        <v>0.60000000000000009</v>
      </c>
      <c r="T32" s="6" cm="1">
        <f t="array" ref="T32">_xlfn.XLOOKUP(Table8[[#This Row],[Admin2PCODE]:[Admin2PCODE]],tblPiNAnalysis[[Admin2PCODE]:[Admin2PCODE]],tblPiNAnalysis[% NNA],0,0)</f>
        <v>0.05</v>
      </c>
      <c r="U32" s="6" cm="1">
        <f t="array" ref="U32">_xlfn.XLOOKUP(Table8[[#This Row],[Admin2PCODE]:[Admin2PCODE]],tblPiNAnalysis[[Admin2PCODE]:[Admin2PCODE]],tblPiNAnalysis[% VBG],0,0)</f>
        <v>0.05</v>
      </c>
      <c r="V32" s="8" cm="1">
        <f t="array" ref="V32">_xlfn.XLOOKUP(Table8[[#This Row],[Admin2PCODE]:[Admin2PCODE]],tblPiNAnalysis[[Admin2PCODE]:[Admin2PCODE]],tblPiNAnalysis[PiN preliminar],0,0)</f>
        <v>17769.599999999999</v>
      </c>
      <c r="W32" s="308" cm="1">
        <f t="array" ref="W32">_xlfn.XLOOKUP(Table8[[#This Row],[Admin2PCODE]],tblPiNAnalysis[Admin2PCODE],tblSeverityAnalysis[Severidad media],0,0)</f>
        <v>3</v>
      </c>
      <c r="X32" s="42">
        <f>Table8[[#This Row],[Severidad media]]*6</f>
        <v>18</v>
      </c>
      <c r="Y32" s="6" cm="1">
        <f t="array" ref="Y32">_xlfn.XLOOKUP(Table8[[#This Row],[Admin2PCODE]],tblPiNAnalysis[Admin2PCODE],tblPiNAnalysis[% PiN Sectores más altos],0,0)</f>
        <v>0.6</v>
      </c>
      <c r="Z32" s="42" cm="1">
        <f t="array" ref="Z32">_xlfn.XLOOKUP(Table8[[#This Row],[Admin2PCODE]:[Admin2PCODE]],tblPiNAnalysis[[Admin2PCODE]:[Admin2PCODE]],tblPiNAnalysis[Severidad],0,0)</f>
        <v>4</v>
      </c>
      <c r="AA32">
        <f>_xlfn.XLOOKUP(Table8[[#This Row],[Admin2PCODE]],tblSeverityAnalysis[Admin 2 Código P],tblSeverityAnalysis[Severidad Ttotal 2025],0,0)</f>
        <v>4</v>
      </c>
      <c r="AB32" t="str">
        <f>_xlfn.XLOOKUP(Table8[[#This Row],[Admin2PCODE]],tblSeverityAnalysis[Admin 2 Código P],tblSeverityAnalysis[Priorización Final 2025],0,0)</f>
        <v>Sí</v>
      </c>
      <c r="AC32">
        <v>8</v>
      </c>
      <c r="AD32" t="s">
        <v>973</v>
      </c>
      <c r="AE32">
        <v>21</v>
      </c>
      <c r="AF32">
        <v>2</v>
      </c>
      <c r="AG32">
        <v>9</v>
      </c>
      <c r="AH32">
        <v>3</v>
      </c>
      <c r="AI32">
        <v>4</v>
      </c>
      <c r="AJ32">
        <v>5</v>
      </c>
      <c r="AK32">
        <v>5</v>
      </c>
      <c r="AL32">
        <v>5</v>
      </c>
      <c r="AM32">
        <v>6</v>
      </c>
      <c r="AN32">
        <v>10</v>
      </c>
      <c r="AO32" s="314">
        <f>Table8[[#This Row],[N° Clústeres con respuesta]]/Table8[[#This Row],[Org Total]]</f>
        <v>0.38095238095238093</v>
      </c>
      <c r="AP32" s="313">
        <v>6915</v>
      </c>
      <c r="AQ32" s="313">
        <v>8831</v>
      </c>
      <c r="AR32" s="312">
        <f>Table8[[#This Row],[Alcanzados Oct 2025]]/Table8[[#This Row],[Meta 2025]]</f>
        <v>1.2770788141720897</v>
      </c>
      <c r="AS32" s="423">
        <v>1137</v>
      </c>
      <c r="AT32" s="423">
        <v>8300</v>
      </c>
      <c r="AU32" s="423">
        <v>743</v>
      </c>
      <c r="AV32" s="423">
        <v>5358</v>
      </c>
      <c r="AW32" s="423">
        <v>962</v>
      </c>
      <c r="AX32" s="423">
        <v>4937</v>
      </c>
      <c r="AY32" s="423">
        <v>3335</v>
      </c>
      <c r="AZ32" s="423">
        <v>3110</v>
      </c>
      <c r="BA32" s="42">
        <v>5930</v>
      </c>
    </row>
    <row r="33" spans="1:53">
      <c r="A33" t="s">
        <v>163</v>
      </c>
      <c r="B33" t="s">
        <v>164</v>
      </c>
      <c r="C33" t="s">
        <v>175</v>
      </c>
      <c r="D33" t="s">
        <v>176</v>
      </c>
      <c r="E33" s="8">
        <v>24970</v>
      </c>
      <c r="F33" s="8">
        <v>3026</v>
      </c>
      <c r="G33" s="8">
        <v>3417.4794151314604</v>
      </c>
      <c r="H33" s="8">
        <v>12100</v>
      </c>
      <c r="I33" s="8">
        <v>386.41111982904505</v>
      </c>
      <c r="J33" s="8">
        <v>5996.3366071694882</v>
      </c>
      <c r="K33" s="8">
        <v>19976</v>
      </c>
      <c r="L33" s="8">
        <v>1924.8240509014058</v>
      </c>
      <c r="M33" s="8">
        <v>2098.717812509321</v>
      </c>
      <c r="N33" s="6" cm="1">
        <f t="array" ref="N33">_xlfn.XLOOKUP(Table8[[#This Row],[Admin2PCODE]:[Admin2PCODE]],tblPiNAnalysis[[Admin2PCODE]:[Admin2PCODE]],tblPiNAnalysis[% SAMV],0,0)</f>
        <v>0.1</v>
      </c>
      <c r="O33" s="6" cm="1">
        <f t="array" ref="O33">_xlfn.XLOOKUP(Table8[[#This Row],[Admin2PCODE]:[Admin2PCODE]],tblPiNAnalysis[[Admin2PCODE]:[Admin2PCODE]],tblPiNAnalysis[% NUT],0,0)</f>
        <v>0.15000000000000002</v>
      </c>
      <c r="P33" s="6" cm="1">
        <f t="array" ref="P33">_xlfn.XLOOKUP(Table8[[#This Row],[Admin2PCODE]:[Admin2PCODE]],tblPiNAnalysis[[Admin2PCODE]:[Admin2PCODE]],tblPiNAnalysis[% SAL],0,0)</f>
        <v>0.5</v>
      </c>
      <c r="Q33" s="6" cm="1">
        <f t="array" ref="Q33">_xlfn.XLOOKUP(Table8[[#This Row],[Admin2PCODE]:[Admin2PCODE]],tblPiNAnalysis[[Admin2PCODE]:[Admin2PCODE]],tblPiNAnalysis[% EDU],0,0)</f>
        <v>0</v>
      </c>
      <c r="R33" s="6" cm="1">
        <f t="array" ref="R33">_xlfn.XLOOKUP(Table8[[#This Row],[Admin2PCODE]:[Admin2PCODE]],tblPiNAnalysis[[Admin2PCODE]:[Admin2PCODE]],tblPiNAnalysis[% PRO],0,0)</f>
        <v>0.25</v>
      </c>
      <c r="S33" s="6" cm="1">
        <f t="array" ref="S33">_xlfn.XLOOKUP(Table8[[#This Row],[Admin2PCODE]:[Admin2PCODE]],tblPiNAnalysis[[Admin2PCODE]:[Admin2PCODE]],tblPiNAnalysis[% WASH],0,0)</f>
        <v>0.8</v>
      </c>
      <c r="T33" s="6" cm="1">
        <f t="array" ref="T33">_xlfn.XLOOKUP(Table8[[#This Row],[Admin2PCODE]:[Admin2PCODE]],tblPiNAnalysis[[Admin2PCODE]:[Admin2PCODE]],tblPiNAnalysis[% NNA],0,0)</f>
        <v>0.1</v>
      </c>
      <c r="U33" s="6" cm="1">
        <f t="array" ref="U33">_xlfn.XLOOKUP(Table8[[#This Row],[Admin2PCODE]:[Admin2PCODE]],tblPiNAnalysis[[Admin2PCODE]:[Admin2PCODE]],tblPiNAnalysis[% VBG],0,0)</f>
        <v>0.1</v>
      </c>
      <c r="V33" s="8" cm="1">
        <f t="array" ref="V33">_xlfn.XLOOKUP(Table8[[#This Row],[Admin2PCODE]:[Admin2PCODE]],tblPiNAnalysis[[Admin2PCODE]:[Admin2PCODE]],tblPiNAnalysis[PiN preliminar],0,0)</f>
        <v>19976</v>
      </c>
      <c r="W33" s="308" cm="1">
        <f t="array" ref="W33">_xlfn.XLOOKUP(Table8[[#This Row],[Admin2PCODE]],tblPiNAnalysis[Admin2PCODE],tblSeverityAnalysis[Severidad media],0,0)</f>
        <v>2.8333333333333335</v>
      </c>
      <c r="X33" s="42">
        <f>Table8[[#This Row],[Severidad media]]*6</f>
        <v>17</v>
      </c>
      <c r="Y33" s="6" cm="1">
        <f t="array" ref="Y33">_xlfn.XLOOKUP(Table8[[#This Row],[Admin2PCODE]],tblPiNAnalysis[Admin2PCODE],tblPiNAnalysis[% PiN Sectores más altos],0,0)</f>
        <v>0.8</v>
      </c>
      <c r="Z33" s="42" cm="1">
        <f t="array" ref="Z33">_xlfn.XLOOKUP(Table8[[#This Row],[Admin2PCODE]:[Admin2PCODE]],tblPiNAnalysis[[Admin2PCODE]:[Admin2PCODE]],tblPiNAnalysis[Severidad],0,0)</f>
        <v>4</v>
      </c>
      <c r="AA33">
        <f>_xlfn.XLOOKUP(Table8[[#This Row],[Admin2PCODE]],tblSeverityAnalysis[Admin 2 Código P],tblSeverityAnalysis[Severidad Ttotal 2025],0,0)</f>
        <v>4</v>
      </c>
      <c r="AB33" t="str">
        <f>_xlfn.XLOOKUP(Table8[[#This Row],[Admin2PCODE]],tblSeverityAnalysis[Admin 2 Código P],tblSeverityAnalysis[Priorización Final 2025],0,0)</f>
        <v>Sí</v>
      </c>
      <c r="AC33">
        <v>7</v>
      </c>
      <c r="AD33" t="s">
        <v>974</v>
      </c>
      <c r="AE33">
        <v>8</v>
      </c>
      <c r="AF33">
        <v>0</v>
      </c>
      <c r="AG33">
        <v>3</v>
      </c>
      <c r="AH33">
        <v>0</v>
      </c>
      <c r="AI33">
        <v>1</v>
      </c>
      <c r="AJ33">
        <v>3</v>
      </c>
      <c r="AK33">
        <v>1</v>
      </c>
      <c r="AL33">
        <v>3</v>
      </c>
      <c r="AM33">
        <v>3</v>
      </c>
      <c r="AN33">
        <v>1</v>
      </c>
      <c r="AO33" s="314">
        <f>Table8[[#This Row],[N° Clústeres con respuesta]]/Table8[[#This Row],[Org Total]]</f>
        <v>0.875</v>
      </c>
      <c r="AP33" s="313">
        <v>5830</v>
      </c>
      <c r="AQ33" s="313">
        <v>1416</v>
      </c>
      <c r="AR33" s="312">
        <f>Table8[[#This Row],[Alcanzados Oct 2025]]/Table8[[#This Row],[Meta 2025]]</f>
        <v>0.24288164665523157</v>
      </c>
      <c r="AS33" s="423">
        <v>0</v>
      </c>
      <c r="AT33" s="423">
        <v>1384</v>
      </c>
      <c r="AU33" s="423">
        <v>77</v>
      </c>
      <c r="AV33" s="423">
        <v>393</v>
      </c>
      <c r="AW33" s="423">
        <v>600</v>
      </c>
      <c r="AX33" s="423">
        <v>392</v>
      </c>
      <c r="AY33" s="423">
        <v>431</v>
      </c>
      <c r="AZ33" s="423">
        <v>656</v>
      </c>
      <c r="BA33" s="42">
        <v>33</v>
      </c>
    </row>
    <row r="34" spans="1:53">
      <c r="A34" t="s">
        <v>180</v>
      </c>
      <c r="B34" t="s">
        <v>239</v>
      </c>
      <c r="C34" t="s">
        <v>242</v>
      </c>
      <c r="D34" t="s">
        <v>243</v>
      </c>
      <c r="E34" s="8">
        <v>68514</v>
      </c>
      <c r="F34" s="8">
        <v>6471</v>
      </c>
      <c r="G34" s="8">
        <v>4003.4646790787765</v>
      </c>
      <c r="H34" s="8">
        <v>38500</v>
      </c>
      <c r="I34" s="8">
        <v>4618.1501085536829</v>
      </c>
      <c r="J34" s="8">
        <v>13680.668602157461</v>
      </c>
      <c r="K34" s="8">
        <v>41108.400000000001</v>
      </c>
      <c r="L34" s="8">
        <v>4377.8139526903869</v>
      </c>
      <c r="M34" s="8">
        <v>4788.2340107551108</v>
      </c>
      <c r="N34" s="6" cm="1">
        <f t="array" ref="N34">_xlfn.XLOOKUP(Table8[[#This Row],[Admin2PCODE]:[Admin2PCODE]],tblPiNAnalysis[[Admin2PCODE]:[Admin2PCODE]],tblPiNAnalysis[% SAMV],0,0)</f>
        <v>0.1</v>
      </c>
      <c r="O34" s="6" cm="1">
        <f t="array" ref="O34">_xlfn.XLOOKUP(Table8[[#This Row],[Admin2PCODE]:[Admin2PCODE]],tblPiNAnalysis[[Admin2PCODE]:[Admin2PCODE]],tblPiNAnalysis[% NUT],0,0)</f>
        <v>0.05</v>
      </c>
      <c r="P34" s="6" cm="1">
        <f t="array" ref="P34">_xlfn.XLOOKUP(Table8[[#This Row],[Admin2PCODE]:[Admin2PCODE]],tblPiNAnalysis[[Admin2PCODE]:[Admin2PCODE]],tblPiNAnalysis[% SAL],0,0)</f>
        <v>0.55000000000000004</v>
      </c>
      <c r="Q34" s="6" cm="1">
        <f t="array" ref="Q34">_xlfn.XLOOKUP(Table8[[#This Row],[Admin2PCODE]:[Admin2PCODE]],tblPiNAnalysis[[Admin2PCODE]:[Admin2PCODE]],tblPiNAnalysis[% EDU],0,0)</f>
        <v>0.05</v>
      </c>
      <c r="R34" s="6" cm="1">
        <f t="array" ref="R34">_xlfn.XLOOKUP(Table8[[#This Row],[Admin2PCODE]:[Admin2PCODE]],tblPiNAnalysis[[Admin2PCODE]:[Admin2PCODE]],tblPiNAnalysis[% PRO],0,0)</f>
        <v>0.2</v>
      </c>
      <c r="S34" s="6" cm="1">
        <f t="array" ref="S34">_xlfn.XLOOKUP(Table8[[#This Row],[Admin2PCODE]:[Admin2PCODE]],tblPiNAnalysis[[Admin2PCODE]:[Admin2PCODE]],tblPiNAnalysis[% WASH],0,0)</f>
        <v>0.60000000000000009</v>
      </c>
      <c r="T34" s="6" cm="1">
        <f t="array" ref="T34">_xlfn.XLOOKUP(Table8[[#This Row],[Admin2PCODE]:[Admin2PCODE]],tblPiNAnalysis[[Admin2PCODE]:[Admin2PCODE]],tblPiNAnalysis[% NNA],0,0)</f>
        <v>0.05</v>
      </c>
      <c r="U34" s="6" cm="1">
        <f t="array" ref="U34">_xlfn.XLOOKUP(Table8[[#This Row],[Admin2PCODE]:[Admin2PCODE]],tblPiNAnalysis[[Admin2PCODE]:[Admin2PCODE]],tblPiNAnalysis[% VBG],0,0)</f>
        <v>0.05</v>
      </c>
      <c r="V34" s="8" cm="1">
        <f t="array" ref="V34">_xlfn.XLOOKUP(Table8[[#This Row],[Admin2PCODE]:[Admin2PCODE]],tblPiNAnalysis[[Admin2PCODE]:[Admin2PCODE]],tblPiNAnalysis[PiN preliminar],0,0)</f>
        <v>41108.400000000001</v>
      </c>
      <c r="W34" s="308" cm="1">
        <f t="array" ref="W34">_xlfn.XLOOKUP(Table8[[#This Row],[Admin2PCODE]],tblPiNAnalysis[Admin2PCODE],tblSeverityAnalysis[Severidad media],0,0)</f>
        <v>2.5</v>
      </c>
      <c r="X34" s="42">
        <f>Table8[[#This Row],[Severidad media]]*6</f>
        <v>15</v>
      </c>
      <c r="Y34" s="6" cm="1">
        <f t="array" ref="Y34">_xlfn.XLOOKUP(Table8[[#This Row],[Admin2PCODE]],tblPiNAnalysis[Admin2PCODE],tblPiNAnalysis[% PiN Sectores más altos],0,0)</f>
        <v>0.6</v>
      </c>
      <c r="Z34" s="42" cm="1">
        <f t="array" ref="Z34">_xlfn.XLOOKUP(Table8[[#This Row],[Admin2PCODE]:[Admin2PCODE]],tblPiNAnalysis[[Admin2PCODE]:[Admin2PCODE]],tblPiNAnalysis[Severidad],0,0)</f>
        <v>4</v>
      </c>
      <c r="AA34">
        <f>_xlfn.XLOOKUP(Table8[[#This Row],[Admin2PCODE]],tblSeverityAnalysis[Admin 2 Código P],tblSeverityAnalysis[Severidad Ttotal 2025],0,0)</f>
        <v>4</v>
      </c>
      <c r="AB34" t="str">
        <f>_xlfn.XLOOKUP(Table8[[#This Row],[Admin2PCODE]],tblSeverityAnalysis[Admin 2 Código P],tblSeverityAnalysis[Priorización Final 2025],0,0)</f>
        <v>Sí</v>
      </c>
      <c r="AC34">
        <v>7</v>
      </c>
      <c r="AD34" t="s">
        <v>975</v>
      </c>
      <c r="AE34">
        <v>16</v>
      </c>
      <c r="AF34">
        <v>0</v>
      </c>
      <c r="AG34">
        <v>6</v>
      </c>
      <c r="AH34">
        <v>1</v>
      </c>
      <c r="AI34">
        <v>6</v>
      </c>
      <c r="AJ34">
        <v>6</v>
      </c>
      <c r="AK34">
        <v>1</v>
      </c>
      <c r="AL34">
        <v>2</v>
      </c>
      <c r="AM34">
        <v>8</v>
      </c>
      <c r="AN34">
        <v>2</v>
      </c>
      <c r="AO34" s="314">
        <f>Table8[[#This Row],[N° Clústeres con respuesta]]/Table8[[#This Row],[Org Total]]</f>
        <v>0.4375</v>
      </c>
      <c r="AP34" s="313">
        <v>15996</v>
      </c>
      <c r="AQ34" s="313">
        <v>17717</v>
      </c>
      <c r="AR34" s="312">
        <f>Table8[[#This Row],[Alcanzados Oct 2025]]/Table8[[#This Row],[Meta 2025]]</f>
        <v>1.1075893973493374</v>
      </c>
      <c r="AS34" s="423">
        <v>0</v>
      </c>
      <c r="AT34" s="423">
        <v>7519</v>
      </c>
      <c r="AU34" s="423">
        <v>0</v>
      </c>
      <c r="AV34" s="423">
        <v>8092</v>
      </c>
      <c r="AW34" s="423">
        <v>903</v>
      </c>
      <c r="AX34" s="423">
        <v>0</v>
      </c>
      <c r="AY34" s="423">
        <v>561</v>
      </c>
      <c r="AZ34" s="423">
        <v>17717</v>
      </c>
      <c r="BA34" s="42">
        <v>405</v>
      </c>
    </row>
    <row r="35" spans="1:53">
      <c r="A35" t="s">
        <v>180</v>
      </c>
      <c r="B35" t="s">
        <v>239</v>
      </c>
      <c r="C35" s="430" t="s">
        <v>244</v>
      </c>
      <c r="D35" t="s">
        <v>245</v>
      </c>
      <c r="E35" s="8">
        <v>22263</v>
      </c>
      <c r="F35" s="8">
        <v>9894</v>
      </c>
      <c r="G35" s="8">
        <v>1291.7422728640395</v>
      </c>
      <c r="H35" s="8">
        <v>8125.9949999999999</v>
      </c>
      <c r="I35" s="8">
        <v>2363.3583442033496</v>
      </c>
      <c r="J35" s="8">
        <v>4445.408603932503</v>
      </c>
      <c r="K35" s="8">
        <v>17810.400000000001</v>
      </c>
      <c r="L35" s="8">
        <v>1422.5307532584011</v>
      </c>
      <c r="M35" s="8">
        <v>1555.8930113763761</v>
      </c>
      <c r="N35" s="6" cm="1">
        <f t="array" ref="N35">_xlfn.XLOOKUP(Table8[[#This Row],[Admin2PCODE]:[Admin2PCODE]],tblPiNAnalysis[[Admin2PCODE]:[Admin2PCODE]],tblPiNAnalysis[% SAMV],0,0)</f>
        <v>0.45</v>
      </c>
      <c r="O35" s="6" cm="1">
        <f t="array" ref="O35">_xlfn.XLOOKUP(Table8[[#This Row],[Admin2PCODE]:[Admin2PCODE]],tblPiNAnalysis[[Admin2PCODE]:[Admin2PCODE]],tblPiNAnalysis[% NUT],0,0)</f>
        <v>0.05</v>
      </c>
      <c r="P35" s="6" cm="1">
        <f t="array" ref="P35">_xlfn.XLOOKUP(Table8[[#This Row],[Admin2PCODE]:[Admin2PCODE]],tblPiNAnalysis[[Admin2PCODE]:[Admin2PCODE]],tblPiNAnalysis[% SAL],0,0)</f>
        <v>0.35000000000000003</v>
      </c>
      <c r="Q35" s="6" cm="1">
        <f t="array" ref="Q35">_xlfn.XLOOKUP(Table8[[#This Row],[Admin2PCODE]:[Admin2PCODE]],tblPiNAnalysis[[Admin2PCODE]:[Admin2PCODE]],tblPiNAnalysis[% EDU],0,0)</f>
        <v>0.1</v>
      </c>
      <c r="R35" s="6" cm="1">
        <f t="array" ref="R35">_xlfn.XLOOKUP(Table8[[#This Row],[Admin2PCODE]:[Admin2PCODE]],tblPiNAnalysis[[Admin2PCODE]:[Admin2PCODE]],tblPiNAnalysis[% PRO],0,0)</f>
        <v>0.2</v>
      </c>
      <c r="S35" s="6" cm="1">
        <f t="array" ref="S35">_xlfn.XLOOKUP(Table8[[#This Row],[Admin2PCODE]:[Admin2PCODE]],tblPiNAnalysis[[Admin2PCODE]:[Admin2PCODE]],tblPiNAnalysis[% WASH],0,0)</f>
        <v>0.8</v>
      </c>
      <c r="T35" s="6" cm="1">
        <f t="array" ref="T35">_xlfn.XLOOKUP(Table8[[#This Row],[Admin2PCODE]:[Admin2PCODE]],tblPiNAnalysis[[Admin2PCODE]:[Admin2PCODE]],tblPiNAnalysis[% NNA],0,0)</f>
        <v>0.05</v>
      </c>
      <c r="U35" s="6" cm="1">
        <f t="array" ref="U35">_xlfn.XLOOKUP(Table8[[#This Row],[Admin2PCODE]:[Admin2PCODE]],tblPiNAnalysis[[Admin2PCODE]:[Admin2PCODE]],tblPiNAnalysis[% VBG],0,0)</f>
        <v>0.05</v>
      </c>
      <c r="V35" s="8" cm="1">
        <f t="array" ref="V35">_xlfn.XLOOKUP(Table8[[#This Row],[Admin2PCODE]:[Admin2PCODE]],tblPiNAnalysis[[Admin2PCODE]:[Admin2PCODE]],tblPiNAnalysis[PiN preliminar],0,0)</f>
        <v>17810.400000000001</v>
      </c>
      <c r="W35" s="308" cm="1">
        <f t="array" ref="W35">_xlfn.XLOOKUP(Table8[[#This Row],[Admin2PCODE]],tblPiNAnalysis[Admin2PCODE],tblSeverityAnalysis[Severidad media],0,0)</f>
        <v>3.3333333333333335</v>
      </c>
      <c r="X35" s="42">
        <f>Table8[[#This Row],[Severidad media]]*6</f>
        <v>20</v>
      </c>
      <c r="Y35" s="6" cm="1">
        <f t="array" ref="Y35">_xlfn.XLOOKUP(Table8[[#This Row],[Admin2PCODE]],tblPiNAnalysis[Admin2PCODE],tblPiNAnalysis[% PiN Sectores más altos],0,0)</f>
        <v>0.8</v>
      </c>
      <c r="Z35" s="42" cm="1">
        <f t="array" ref="Z35">_xlfn.XLOOKUP(Table8[[#This Row],[Admin2PCODE]:[Admin2PCODE]],tblPiNAnalysis[[Admin2PCODE]:[Admin2PCODE]],tblPiNAnalysis[Severidad],0,0)</f>
        <v>5</v>
      </c>
      <c r="AA35">
        <f>_xlfn.XLOOKUP(Table8[[#This Row],[Admin2PCODE]],tblSeverityAnalysis[Admin 2 Código P],tblSeverityAnalysis[Severidad Ttotal 2025],0,0)</f>
        <v>4</v>
      </c>
      <c r="AB35" t="str">
        <f>_xlfn.XLOOKUP(Table8[[#This Row],[Admin2PCODE]],tblSeverityAnalysis[Admin 2 Código P],tblSeverityAnalysis[Priorización Final 2025],0,0)</f>
        <v>Sí</v>
      </c>
      <c r="AC35">
        <v>8</v>
      </c>
      <c r="AD35" t="s">
        <v>976</v>
      </c>
      <c r="AE35">
        <v>12</v>
      </c>
      <c r="AF35">
        <v>0</v>
      </c>
      <c r="AG35">
        <v>5</v>
      </c>
      <c r="AH35">
        <v>1</v>
      </c>
      <c r="AI35">
        <v>2</v>
      </c>
      <c r="AJ35">
        <v>5</v>
      </c>
      <c r="AK35">
        <v>3</v>
      </c>
      <c r="AL35">
        <v>5</v>
      </c>
      <c r="AM35">
        <v>5</v>
      </c>
      <c r="AN35">
        <v>2</v>
      </c>
      <c r="AO35" s="314">
        <f>Table8[[#This Row],[N° Clústeres con respuesta]]/Table8[[#This Row],[Org Total]]</f>
        <v>0.66666666666666663</v>
      </c>
      <c r="AP35" s="313">
        <v>5197</v>
      </c>
      <c r="AQ35" s="313">
        <v>2016</v>
      </c>
      <c r="AR35" s="312">
        <f>Table8[[#This Row],[Alcanzados Oct 2025]]/Table8[[#This Row],[Meta 2025]]</f>
        <v>0.3879161054454493</v>
      </c>
      <c r="AS35" s="423">
        <v>0</v>
      </c>
      <c r="AT35" s="423">
        <v>484</v>
      </c>
      <c r="AU35" s="423">
        <v>21</v>
      </c>
      <c r="AV35" s="423">
        <v>610</v>
      </c>
      <c r="AW35" s="423">
        <v>860</v>
      </c>
      <c r="AX35" s="423">
        <v>1339</v>
      </c>
      <c r="AY35" s="423">
        <v>1347</v>
      </c>
      <c r="AZ35" s="423">
        <v>352</v>
      </c>
      <c r="BA35" s="42">
        <v>15</v>
      </c>
    </row>
    <row r="36" spans="1:53">
      <c r="A36" t="s">
        <v>180</v>
      </c>
      <c r="B36" t="s">
        <v>239</v>
      </c>
      <c r="C36" t="s">
        <v>254</v>
      </c>
      <c r="D36" t="s">
        <v>255</v>
      </c>
      <c r="E36" s="8">
        <v>22248</v>
      </c>
      <c r="F36" s="8">
        <v>7045</v>
      </c>
      <c r="G36" s="8">
        <v>1855.7296584467563</v>
      </c>
      <c r="H36" s="8">
        <v>8120.52</v>
      </c>
      <c r="I36" s="8">
        <v>3844.302297622447</v>
      </c>
      <c r="J36" s="8">
        <v>5330.8961390804643</v>
      </c>
      <c r="K36" s="8">
        <v>13348.8</v>
      </c>
      <c r="L36" s="8">
        <v>1705.8867645057487</v>
      </c>
      <c r="M36" s="8">
        <v>1865.8136486781621</v>
      </c>
      <c r="N36" s="6" cm="1">
        <f t="array" ref="N36">_xlfn.XLOOKUP(Table8[[#This Row],[Admin2PCODE]:[Admin2PCODE]],tblPiNAnalysis[[Admin2PCODE]:[Admin2PCODE]],tblPiNAnalysis[% SAMV],0,0)</f>
        <v>0.30000000000000004</v>
      </c>
      <c r="O36" s="6" cm="1">
        <f t="array" ref="O36">_xlfn.XLOOKUP(Table8[[#This Row],[Admin2PCODE]:[Admin2PCODE]],tblPiNAnalysis[[Admin2PCODE]:[Admin2PCODE]],tblPiNAnalysis[% NUT],0,0)</f>
        <v>0.1</v>
      </c>
      <c r="P36" s="6" cm="1">
        <f t="array" ref="P36">_xlfn.XLOOKUP(Table8[[#This Row],[Admin2PCODE]:[Admin2PCODE]],tblPiNAnalysis[[Admin2PCODE]:[Admin2PCODE]],tblPiNAnalysis[% SAL],0,0)</f>
        <v>0.35000000000000003</v>
      </c>
      <c r="Q36" s="6" cm="1">
        <f t="array" ref="Q36">_xlfn.XLOOKUP(Table8[[#This Row],[Admin2PCODE]:[Admin2PCODE]],tblPiNAnalysis[[Admin2PCODE]:[Admin2PCODE]],tblPiNAnalysis[% EDU],0,0)</f>
        <v>0.15000000000000002</v>
      </c>
      <c r="R36" s="6" cm="1">
        <f t="array" ref="R36">_xlfn.XLOOKUP(Table8[[#This Row],[Admin2PCODE]:[Admin2PCODE]],tblPiNAnalysis[[Admin2PCODE]:[Admin2PCODE]],tblPiNAnalysis[% PRO],0,0)</f>
        <v>0.25</v>
      </c>
      <c r="S36" s="6" cm="1">
        <f t="array" ref="S36">_xlfn.XLOOKUP(Table8[[#This Row],[Admin2PCODE]:[Admin2PCODE]],tblPiNAnalysis[[Admin2PCODE]:[Admin2PCODE]],tblPiNAnalysis[% WASH],0,0)</f>
        <v>0.60000000000000009</v>
      </c>
      <c r="T36" s="6" cm="1">
        <f t="array" ref="T36">_xlfn.XLOOKUP(Table8[[#This Row],[Admin2PCODE]:[Admin2PCODE]],tblPiNAnalysis[[Admin2PCODE]:[Admin2PCODE]],tblPiNAnalysis[% NNA],0,0)</f>
        <v>0.1</v>
      </c>
      <c r="U36" s="6" cm="1">
        <f t="array" ref="U36">_xlfn.XLOOKUP(Table8[[#This Row],[Admin2PCODE]:[Admin2PCODE]],tblPiNAnalysis[[Admin2PCODE]:[Admin2PCODE]],tblPiNAnalysis[% VBG],0,0)</f>
        <v>0.1</v>
      </c>
      <c r="V36" s="8" cm="1">
        <f t="array" ref="V36">_xlfn.XLOOKUP(Table8[[#This Row],[Admin2PCODE]:[Admin2PCODE]],tblPiNAnalysis[[Admin2PCODE]:[Admin2PCODE]],tblPiNAnalysis[PiN preliminar],0,0)</f>
        <v>13348.8</v>
      </c>
      <c r="W36" s="308" cm="1">
        <f t="array" ref="W36">_xlfn.XLOOKUP(Table8[[#This Row],[Admin2PCODE]],tblPiNAnalysis[Admin2PCODE],tblSeverityAnalysis[Severidad media],0,0)</f>
        <v>3.3333333333333335</v>
      </c>
      <c r="X36" s="42">
        <f>Table8[[#This Row],[Severidad media]]*6</f>
        <v>20</v>
      </c>
      <c r="Y36" s="6" cm="1">
        <f t="array" ref="Y36">_xlfn.XLOOKUP(Table8[[#This Row],[Admin2PCODE]],tblPiNAnalysis[Admin2PCODE],tblPiNAnalysis[% PiN Sectores más altos],0,0)</f>
        <v>0.6</v>
      </c>
      <c r="Z36" s="42" cm="1">
        <f t="array" ref="Z36">_xlfn.XLOOKUP(Table8[[#This Row],[Admin2PCODE]:[Admin2PCODE]],tblPiNAnalysis[[Admin2PCODE]:[Admin2PCODE]],tblPiNAnalysis[Severidad],0,0)</f>
        <v>3</v>
      </c>
      <c r="AA36">
        <f>_xlfn.XLOOKUP(Table8[[#This Row],[Admin2PCODE]],tblSeverityAnalysis[Admin 2 Código P],tblSeverityAnalysis[Severidad Ttotal 2025],0,0)</f>
        <v>4</v>
      </c>
      <c r="AB36" t="str">
        <f>_xlfn.XLOOKUP(Table8[[#This Row],[Admin2PCODE]],tblSeverityAnalysis[Admin 2 Código P],tblSeverityAnalysis[Priorización Final 2025],0,0)</f>
        <v>No</v>
      </c>
      <c r="AC36">
        <v>4</v>
      </c>
      <c r="AD36" t="s">
        <v>977</v>
      </c>
      <c r="AE36">
        <v>3</v>
      </c>
      <c r="AF36">
        <v>0</v>
      </c>
      <c r="AG36">
        <v>0</v>
      </c>
      <c r="AH36">
        <v>2</v>
      </c>
      <c r="AI36">
        <v>0</v>
      </c>
      <c r="AJ36">
        <v>2</v>
      </c>
      <c r="AK36">
        <v>1</v>
      </c>
      <c r="AL36">
        <v>0</v>
      </c>
      <c r="AM36">
        <v>0</v>
      </c>
      <c r="AN36">
        <v>1</v>
      </c>
      <c r="AO36" s="314">
        <f>Table8[[#This Row],[N° Clústeres con respuesta]]/Table8[[#This Row],[Org Total]]</f>
        <v>1.3333333333333333</v>
      </c>
      <c r="AP36" s="313">
        <v>5193</v>
      </c>
      <c r="AQ36" s="313">
        <v>321</v>
      </c>
      <c r="AR36" s="312">
        <f>Table8[[#This Row],[Alcanzados Oct 2025]]/Table8[[#This Row],[Meta 2025]]</f>
        <v>6.1813980358174467E-2</v>
      </c>
      <c r="AS36" s="423">
        <v>0</v>
      </c>
      <c r="AT36" s="423">
        <v>0</v>
      </c>
      <c r="AU36" s="423">
        <v>298</v>
      </c>
      <c r="AV36" s="423">
        <v>0</v>
      </c>
      <c r="AW36" s="423">
        <v>11</v>
      </c>
      <c r="AX36" s="423">
        <v>70</v>
      </c>
      <c r="AY36" s="423">
        <v>0</v>
      </c>
      <c r="AZ36" s="423">
        <v>0</v>
      </c>
      <c r="BA36" s="42">
        <v>0</v>
      </c>
    </row>
    <row r="37" spans="1:53">
      <c r="A37" t="s">
        <v>180</v>
      </c>
      <c r="B37" t="s">
        <v>239</v>
      </c>
      <c r="C37" t="s">
        <v>256</v>
      </c>
      <c r="D37" t="s">
        <v>257</v>
      </c>
      <c r="E37" s="8">
        <v>51214</v>
      </c>
      <c r="F37" s="8">
        <v>8130</v>
      </c>
      <c r="G37" s="8">
        <v>2832.2792786890295</v>
      </c>
      <c r="H37" s="8">
        <v>38767</v>
      </c>
      <c r="I37" s="8">
        <v>11016.833570855109</v>
      </c>
      <c r="J37" s="8">
        <v>12271.508219474423</v>
      </c>
      <c r="K37" s="8">
        <v>30728.399999999998</v>
      </c>
      <c r="L37" s="8">
        <v>3926.8826302318153</v>
      </c>
      <c r="M37" s="8">
        <v>4295.0278768160479</v>
      </c>
      <c r="N37" s="6" cm="1">
        <f t="array" ref="N37">_xlfn.XLOOKUP(Table8[[#This Row],[Admin2PCODE]:[Admin2PCODE]],tblPiNAnalysis[[Admin2PCODE]:[Admin2PCODE]],tblPiNAnalysis[% SAMV],0,0)</f>
        <v>0.15000000000000002</v>
      </c>
      <c r="O37" s="6" cm="1">
        <f t="array" ref="O37">_xlfn.XLOOKUP(Table8[[#This Row],[Admin2PCODE]:[Admin2PCODE]],tblPiNAnalysis[[Admin2PCODE]:[Admin2PCODE]],tblPiNAnalysis[% NUT],0,0)</f>
        <v>0.05</v>
      </c>
      <c r="P37" s="6" cm="1">
        <f t="array" ref="P37">_xlfn.XLOOKUP(Table8[[#This Row],[Admin2PCODE]:[Admin2PCODE]],tblPiNAnalysis[[Admin2PCODE]:[Admin2PCODE]],tblPiNAnalysis[% SAL],0,0)</f>
        <v>0.75</v>
      </c>
      <c r="Q37" s="6" cm="1">
        <f t="array" ref="Q37">_xlfn.XLOOKUP(Table8[[#This Row],[Admin2PCODE]:[Admin2PCODE]],tblPiNAnalysis[[Admin2PCODE]:[Admin2PCODE]],tblPiNAnalysis[% EDU],0,0)</f>
        <v>0.2</v>
      </c>
      <c r="R37" s="6" cm="1">
        <f t="array" ref="R37">_xlfn.XLOOKUP(Table8[[#This Row],[Admin2PCODE]:[Admin2PCODE]],tblPiNAnalysis[[Admin2PCODE]:[Admin2PCODE]],tblPiNAnalysis[% PRO],0,0)</f>
        <v>0.25</v>
      </c>
      <c r="S37" s="6" cm="1">
        <f t="array" ref="S37">_xlfn.XLOOKUP(Table8[[#This Row],[Admin2PCODE]:[Admin2PCODE]],tblPiNAnalysis[[Admin2PCODE]:[Admin2PCODE]],tblPiNAnalysis[% WASH],0,0)</f>
        <v>0.60000000000000009</v>
      </c>
      <c r="T37" s="6" cm="1">
        <f t="array" ref="T37">_xlfn.XLOOKUP(Table8[[#This Row],[Admin2PCODE]:[Admin2PCODE]],tblPiNAnalysis[[Admin2PCODE]:[Admin2PCODE]],tblPiNAnalysis[% NNA],0,0)</f>
        <v>0.1</v>
      </c>
      <c r="U37" s="6" cm="1">
        <f t="array" ref="U37">_xlfn.XLOOKUP(Table8[[#This Row],[Admin2PCODE]:[Admin2PCODE]],tblPiNAnalysis[[Admin2PCODE]:[Admin2PCODE]],tblPiNAnalysis[% VBG],0,0)</f>
        <v>0.1</v>
      </c>
      <c r="V37" s="8" cm="1">
        <f t="array" ref="V37">_xlfn.XLOOKUP(Table8[[#This Row],[Admin2PCODE]:[Admin2PCODE]],tblPiNAnalysis[[Admin2PCODE]:[Admin2PCODE]],tblPiNAnalysis[PiN preliminar],0,0)</f>
        <v>38767</v>
      </c>
      <c r="W37" s="308" cm="1">
        <f t="array" ref="W37">_xlfn.XLOOKUP(Table8[[#This Row],[Admin2PCODE]],tblPiNAnalysis[Admin2PCODE],tblSeverityAnalysis[Severidad media],0,0)</f>
        <v>2.6666666666666665</v>
      </c>
      <c r="X37" s="42">
        <f>Table8[[#This Row],[Severidad media]]*6</f>
        <v>16</v>
      </c>
      <c r="Y37" s="6" cm="1">
        <f t="array" ref="Y37">_xlfn.XLOOKUP(Table8[[#This Row],[Admin2PCODE]],tblPiNAnalysis[Admin2PCODE],tblPiNAnalysis[% PiN Sectores más altos],0,0)</f>
        <v>0.75696098723005423</v>
      </c>
      <c r="Z37" s="42" cm="1">
        <f t="array" ref="Z37">_xlfn.XLOOKUP(Table8[[#This Row],[Admin2PCODE]:[Admin2PCODE]],tblPiNAnalysis[[Admin2PCODE]:[Admin2PCODE]],tblPiNAnalysis[Severidad],0,0)</f>
        <v>4</v>
      </c>
      <c r="AA37">
        <f>_xlfn.XLOOKUP(Table8[[#This Row],[Admin2PCODE]],tblSeverityAnalysis[Admin 2 Código P],tblSeverityAnalysis[Severidad Ttotal 2025],0,0)</f>
        <v>4</v>
      </c>
      <c r="AB37" t="str">
        <f>_xlfn.XLOOKUP(Table8[[#This Row],[Admin2PCODE]],tblSeverityAnalysis[Admin 2 Código P],tblSeverityAnalysis[Priorización Final 2025],0,0)</f>
        <v>Sí</v>
      </c>
      <c r="AC37">
        <v>7</v>
      </c>
      <c r="AD37" t="s">
        <v>978</v>
      </c>
      <c r="AE37">
        <v>11</v>
      </c>
      <c r="AF37">
        <v>0</v>
      </c>
      <c r="AG37">
        <v>5</v>
      </c>
      <c r="AH37">
        <v>1</v>
      </c>
      <c r="AI37">
        <v>4</v>
      </c>
      <c r="AJ37">
        <v>5</v>
      </c>
      <c r="AK37">
        <v>4</v>
      </c>
      <c r="AL37">
        <v>0</v>
      </c>
      <c r="AM37">
        <v>3</v>
      </c>
      <c r="AN37">
        <v>3</v>
      </c>
      <c r="AO37" s="314">
        <f>Table8[[#This Row],[N° Clústeres con respuesta]]/Table8[[#This Row],[Org Total]]</f>
        <v>0.63636363636363635</v>
      </c>
      <c r="AP37" s="313">
        <v>11956</v>
      </c>
      <c r="AQ37" s="313">
        <v>3016</v>
      </c>
      <c r="AR37" s="312">
        <f>Table8[[#This Row],[Alcanzados Oct 2025]]/Table8[[#This Row],[Meta 2025]]</f>
        <v>0.25225828036132486</v>
      </c>
      <c r="AS37" s="423">
        <v>0</v>
      </c>
      <c r="AT37" s="423">
        <v>770</v>
      </c>
      <c r="AU37" s="423">
        <v>35</v>
      </c>
      <c r="AV37" s="423">
        <v>586</v>
      </c>
      <c r="AW37" s="423">
        <v>191</v>
      </c>
      <c r="AX37" s="423">
        <v>1919</v>
      </c>
      <c r="AY37" s="423">
        <v>58</v>
      </c>
      <c r="AZ37" s="423">
        <v>1784</v>
      </c>
      <c r="BA37" s="42">
        <v>1320</v>
      </c>
    </row>
    <row r="38" spans="1:53">
      <c r="A38" t="s">
        <v>276</v>
      </c>
      <c r="B38" t="s">
        <v>455</v>
      </c>
      <c r="C38" t="s">
        <v>476</v>
      </c>
      <c r="D38" t="s">
        <v>477</v>
      </c>
      <c r="E38" s="8">
        <v>148218</v>
      </c>
      <c r="F38" s="8">
        <v>16036</v>
      </c>
      <c r="G38" s="8">
        <v>11441.380194558114</v>
      </c>
      <c r="H38" s="8">
        <v>54099.57</v>
      </c>
      <c r="I38" s="8">
        <v>13405.051233996901</v>
      </c>
      <c r="J38" s="8">
        <v>35458.127978101686</v>
      </c>
      <c r="K38" s="8">
        <v>66698.100000000006</v>
      </c>
      <c r="L38" s="8">
        <v>11346.60095299254</v>
      </c>
      <c r="M38" s="8">
        <v>12410.344792335587</v>
      </c>
      <c r="N38" s="6" cm="1">
        <f t="array" ref="N38">_xlfn.XLOOKUP(Table8[[#This Row],[Admin2PCODE]:[Admin2PCODE]],tblPiNAnalysis[[Admin2PCODE]:[Admin2PCODE]],tblPiNAnalysis[% SAMV],0,0)</f>
        <v>0.1</v>
      </c>
      <c r="O38" s="6" cm="1">
        <f t="array" ref="O38">_xlfn.XLOOKUP(Table8[[#This Row],[Admin2PCODE]:[Admin2PCODE]],tblPiNAnalysis[[Admin2PCODE]:[Admin2PCODE]],tblPiNAnalysis[% NUT],0,0)</f>
        <v>0.1</v>
      </c>
      <c r="P38" s="6" cm="1">
        <f t="array" ref="P38">_xlfn.XLOOKUP(Table8[[#This Row],[Admin2PCODE]:[Admin2PCODE]],tblPiNAnalysis[[Admin2PCODE]:[Admin2PCODE]],tblPiNAnalysis[% SAL],0,0)</f>
        <v>0.35000000000000003</v>
      </c>
      <c r="Q38" s="6" cm="1">
        <f t="array" ref="Q38">_xlfn.XLOOKUP(Table8[[#This Row],[Admin2PCODE]:[Admin2PCODE]],tblPiNAnalysis[[Admin2PCODE]:[Admin2PCODE]],tblPiNAnalysis[% EDU],0,0)</f>
        <v>0.1</v>
      </c>
      <c r="R38" s="6" cm="1">
        <f t="array" ref="R38">_xlfn.XLOOKUP(Table8[[#This Row],[Admin2PCODE]:[Admin2PCODE]],tblPiNAnalysis[[Admin2PCODE]:[Admin2PCODE]],tblPiNAnalysis[% PRO],0,0)</f>
        <v>0.25</v>
      </c>
      <c r="S38" s="6" cm="1">
        <f t="array" ref="S38">_xlfn.XLOOKUP(Table8[[#This Row],[Admin2PCODE]:[Admin2PCODE]],tblPiNAnalysis[[Admin2PCODE]:[Admin2PCODE]],tblPiNAnalysis[% WASH],0,0)</f>
        <v>0.45</v>
      </c>
      <c r="T38" s="6" cm="1">
        <f t="array" ref="T38">_xlfn.XLOOKUP(Table8[[#This Row],[Admin2PCODE]:[Admin2PCODE]],tblPiNAnalysis[[Admin2PCODE]:[Admin2PCODE]],tblPiNAnalysis[% NNA],0,0)</f>
        <v>0.1</v>
      </c>
      <c r="U38" s="6" cm="1">
        <f t="array" ref="U38">_xlfn.XLOOKUP(Table8[[#This Row],[Admin2PCODE]:[Admin2PCODE]],tblPiNAnalysis[[Admin2PCODE]:[Admin2PCODE]],tblPiNAnalysis[% VBG],0,0)</f>
        <v>0.1</v>
      </c>
      <c r="V38" s="8" cm="1">
        <f t="array" ref="V38">_xlfn.XLOOKUP(Table8[[#This Row],[Admin2PCODE]:[Admin2PCODE]],tblPiNAnalysis[[Admin2PCODE]:[Admin2PCODE]],tblPiNAnalysis[PiN preliminar],0,0)</f>
        <v>66698.100000000006</v>
      </c>
      <c r="W38" s="308" cm="1">
        <f t="array" ref="W38">_xlfn.XLOOKUP(Table8[[#This Row],[Admin2PCODE]],tblPiNAnalysis[Admin2PCODE],tblSeverityAnalysis[Severidad media],0,0)</f>
        <v>3.3333333333333335</v>
      </c>
      <c r="X38" s="42">
        <f>Table8[[#This Row],[Severidad media]]*6</f>
        <v>20</v>
      </c>
      <c r="Y38" s="6" cm="1">
        <f t="array" ref="Y38">_xlfn.XLOOKUP(Table8[[#This Row],[Admin2PCODE]],tblPiNAnalysis[Admin2PCODE],tblPiNAnalysis[% PiN Sectores más altos],0,0)</f>
        <v>0.45000000000000007</v>
      </c>
      <c r="Z38" s="42" cm="1">
        <f t="array" ref="Z38">_xlfn.XLOOKUP(Table8[[#This Row],[Admin2PCODE]:[Admin2PCODE]],tblPiNAnalysis[[Admin2PCODE]:[Admin2PCODE]],tblPiNAnalysis[Severidad],0,0)</f>
        <v>3</v>
      </c>
      <c r="AA38">
        <f>_xlfn.XLOOKUP(Table8[[#This Row],[Admin2PCODE]],tblSeverityAnalysis[Admin 2 Código P],tblSeverityAnalysis[Severidad Ttotal 2025],0,0)</f>
        <v>4</v>
      </c>
      <c r="AB38" t="str">
        <f>_xlfn.XLOOKUP(Table8[[#This Row],[Admin2PCODE]],tblSeverityAnalysis[Admin 2 Código P],tblSeverityAnalysis[Priorización Final 2025],0,0)</f>
        <v>Sí</v>
      </c>
      <c r="AC38">
        <v>8</v>
      </c>
      <c r="AD38" t="s">
        <v>979</v>
      </c>
      <c r="AE38">
        <v>17</v>
      </c>
      <c r="AF38">
        <v>0</v>
      </c>
      <c r="AG38">
        <v>3</v>
      </c>
      <c r="AH38">
        <v>2</v>
      </c>
      <c r="AI38">
        <v>3</v>
      </c>
      <c r="AJ38">
        <v>8</v>
      </c>
      <c r="AK38">
        <v>2</v>
      </c>
      <c r="AL38">
        <v>5</v>
      </c>
      <c r="AM38">
        <v>7</v>
      </c>
      <c r="AN38">
        <v>1</v>
      </c>
      <c r="AO38" s="314">
        <f>Table8[[#This Row],[N° Clústeres con respuesta]]/Table8[[#This Row],[Org Total]]</f>
        <v>0.47058823529411764</v>
      </c>
      <c r="AP38" s="313">
        <v>34605</v>
      </c>
      <c r="AQ38" s="313">
        <v>4997</v>
      </c>
      <c r="AR38" s="312">
        <f>Table8[[#This Row],[Alcanzados Oct 2025]]/Table8[[#This Row],[Meta 2025]]</f>
        <v>0.14440109810720994</v>
      </c>
      <c r="AS38" s="423">
        <v>0</v>
      </c>
      <c r="AT38" s="423">
        <v>1739</v>
      </c>
      <c r="AU38" s="423">
        <v>364</v>
      </c>
      <c r="AV38" s="423">
        <v>3076</v>
      </c>
      <c r="AW38" s="423">
        <v>1913</v>
      </c>
      <c r="AX38" s="423">
        <v>0</v>
      </c>
      <c r="AY38" s="423">
        <v>2783</v>
      </c>
      <c r="AZ38" s="423">
        <v>4177</v>
      </c>
      <c r="BA38" s="42">
        <v>45</v>
      </c>
    </row>
    <row r="39" spans="1:53">
      <c r="A39" t="s">
        <v>180</v>
      </c>
      <c r="B39" t="s">
        <v>239</v>
      </c>
      <c r="C39" t="s">
        <v>203</v>
      </c>
      <c r="D39" t="s">
        <v>258</v>
      </c>
      <c r="E39" s="8">
        <v>20817</v>
      </c>
      <c r="F39" s="8">
        <v>7980</v>
      </c>
      <c r="G39" s="8">
        <v>1849.4484320327797</v>
      </c>
      <c r="H39" s="8">
        <v>18200</v>
      </c>
      <c r="I39" s="8">
        <v>1194.7859218025274</v>
      </c>
      <c r="J39" s="8">
        <v>4988.0108291638817</v>
      </c>
      <c r="K39" s="8">
        <v>12490.199999999999</v>
      </c>
      <c r="L39" s="8">
        <v>1596.1634653324422</v>
      </c>
      <c r="M39" s="8">
        <v>1745.8037902073586</v>
      </c>
      <c r="N39" s="6" cm="1">
        <f t="array" ref="N39">_xlfn.XLOOKUP(Table8[[#This Row],[Admin2PCODE]:[Admin2PCODE]],tblPiNAnalysis[[Admin2PCODE]:[Admin2PCODE]],tblPiNAnalysis[% SAMV],0,0)</f>
        <v>0.4</v>
      </c>
      <c r="O39" s="6" cm="1">
        <f t="array" ref="O39">_xlfn.XLOOKUP(Table8[[#This Row],[Admin2PCODE]:[Admin2PCODE]],tblPiNAnalysis[[Admin2PCODE]:[Admin2PCODE]],tblPiNAnalysis[% NUT],0,0)</f>
        <v>0.1</v>
      </c>
      <c r="P39" s="6" cm="1">
        <f t="array" ref="P39">_xlfn.XLOOKUP(Table8[[#This Row],[Admin2PCODE]:[Admin2PCODE]],tblPiNAnalysis[[Admin2PCODE]:[Admin2PCODE]],tblPiNAnalysis[% SAL],0,0)</f>
        <v>0.85000000000000009</v>
      </c>
      <c r="Q39" s="6" cm="1">
        <f t="array" ref="Q39">_xlfn.XLOOKUP(Table8[[#This Row],[Admin2PCODE]:[Admin2PCODE]],tblPiNAnalysis[[Admin2PCODE]:[Admin2PCODE]],tblPiNAnalysis[% EDU],0,0)</f>
        <v>0.05</v>
      </c>
      <c r="R39" s="6" cm="1">
        <f t="array" ref="R39">_xlfn.XLOOKUP(Table8[[#This Row],[Admin2PCODE]:[Admin2PCODE]],tblPiNAnalysis[[Admin2PCODE]:[Admin2PCODE]],tblPiNAnalysis[% PRO],0,0)</f>
        <v>0.25</v>
      </c>
      <c r="S39" s="6" cm="1">
        <f t="array" ref="S39">_xlfn.XLOOKUP(Table8[[#This Row],[Admin2PCODE]:[Admin2PCODE]],tblPiNAnalysis[[Admin2PCODE]:[Admin2PCODE]],tblPiNAnalysis[% WASH],0,0)</f>
        <v>0.60000000000000009</v>
      </c>
      <c r="T39" s="6" cm="1">
        <f t="array" ref="T39">_xlfn.XLOOKUP(Table8[[#This Row],[Admin2PCODE]:[Admin2PCODE]],tblPiNAnalysis[[Admin2PCODE]:[Admin2PCODE]],tblPiNAnalysis[% NNA],0,0)</f>
        <v>0.1</v>
      </c>
      <c r="U39" s="6" cm="1">
        <f t="array" ref="U39">_xlfn.XLOOKUP(Table8[[#This Row],[Admin2PCODE]:[Admin2PCODE]],tblPiNAnalysis[[Admin2PCODE]:[Admin2PCODE]],tblPiNAnalysis[% VBG],0,0)</f>
        <v>0.1</v>
      </c>
      <c r="V39" s="8" cm="1">
        <f t="array" ref="V39">_xlfn.XLOOKUP(Table8[[#This Row],[Admin2PCODE]:[Admin2PCODE]],tblPiNAnalysis[[Admin2PCODE]:[Admin2PCODE]],tblPiNAnalysis[PiN preliminar],0,0)</f>
        <v>18200</v>
      </c>
      <c r="W39" s="308" cm="1">
        <f t="array" ref="W39">_xlfn.XLOOKUP(Table8[[#This Row],[Admin2PCODE]],tblPiNAnalysis[Admin2PCODE],tblSeverityAnalysis[Severidad media],0,0)</f>
        <v>3.1666666666666665</v>
      </c>
      <c r="X39" s="42">
        <f>Table8[[#This Row],[Severidad media]]*6</f>
        <v>19</v>
      </c>
      <c r="Y39" s="6" cm="1">
        <f t="array" ref="Y39">_xlfn.XLOOKUP(Table8[[#This Row],[Admin2PCODE]],tblPiNAnalysis[Admin2PCODE],tblPiNAnalysis[% PiN Sectores más altos],0,0)</f>
        <v>0.87428543978479123</v>
      </c>
      <c r="Z39" s="42" cm="1">
        <f t="array" ref="Z39">_xlfn.XLOOKUP(Table8[[#This Row],[Admin2PCODE]:[Admin2PCODE]],tblPiNAnalysis[[Admin2PCODE]:[Admin2PCODE]],tblPiNAnalysis[Severidad],0,0)</f>
        <v>4</v>
      </c>
      <c r="AA39">
        <f>_xlfn.XLOOKUP(Table8[[#This Row],[Admin2PCODE]],tblSeverityAnalysis[Admin 2 Código P],tblSeverityAnalysis[Severidad Ttotal 2025],0,0)</f>
        <v>4</v>
      </c>
      <c r="AB39" t="str">
        <f>_xlfn.XLOOKUP(Table8[[#This Row],[Admin2PCODE]],tblSeverityAnalysis[Admin 2 Código P],tblSeverityAnalysis[Priorización Final 2025],0,0)</f>
        <v>Sí</v>
      </c>
      <c r="AC39">
        <v>6</v>
      </c>
      <c r="AD39" t="s">
        <v>980</v>
      </c>
      <c r="AE39">
        <v>9</v>
      </c>
      <c r="AF39">
        <v>0</v>
      </c>
      <c r="AG39">
        <v>5</v>
      </c>
      <c r="AH39">
        <v>0</v>
      </c>
      <c r="AI39">
        <v>4</v>
      </c>
      <c r="AJ39">
        <v>2</v>
      </c>
      <c r="AK39">
        <v>0</v>
      </c>
      <c r="AL39">
        <v>2</v>
      </c>
      <c r="AM39">
        <v>4</v>
      </c>
      <c r="AN39">
        <v>1</v>
      </c>
      <c r="AO39" s="314">
        <f>Table8[[#This Row],[N° Clústeres con respuesta]]/Table8[[#This Row],[Org Total]]</f>
        <v>0.66666666666666663</v>
      </c>
      <c r="AP39" s="313">
        <v>4861</v>
      </c>
      <c r="AQ39" s="313">
        <v>9268</v>
      </c>
      <c r="AR39" s="312">
        <f>Table8[[#This Row],[Alcanzados Oct 2025]]/Table8[[#This Row],[Meta 2025]]</f>
        <v>1.9066035795103888</v>
      </c>
      <c r="AS39" s="423">
        <v>0</v>
      </c>
      <c r="AT39" s="423">
        <v>8407</v>
      </c>
      <c r="AU39" s="423">
        <v>0</v>
      </c>
      <c r="AV39" s="423">
        <v>2646</v>
      </c>
      <c r="AW39" s="423">
        <v>21</v>
      </c>
      <c r="AX39" s="423">
        <v>0</v>
      </c>
      <c r="AY39" s="423">
        <v>45</v>
      </c>
      <c r="AZ39" s="423">
        <v>8069</v>
      </c>
      <c r="BA39" s="42">
        <v>243</v>
      </c>
    </row>
    <row r="40" spans="1:53">
      <c r="A40" t="s">
        <v>290</v>
      </c>
      <c r="B40" t="s">
        <v>291</v>
      </c>
      <c r="C40" t="s">
        <v>184</v>
      </c>
      <c r="D40" t="s">
        <v>295</v>
      </c>
      <c r="E40" s="8">
        <v>12180</v>
      </c>
      <c r="F40" s="8">
        <v>2030</v>
      </c>
      <c r="G40" s="8">
        <v>408.33944637997649</v>
      </c>
      <c r="H40" s="8">
        <v>5600</v>
      </c>
      <c r="I40" s="8">
        <v>359.83107966044281</v>
      </c>
      <c r="J40" s="8">
        <v>3134.281962033936</v>
      </c>
      <c r="K40" s="8">
        <v>0</v>
      </c>
      <c r="L40" s="8">
        <v>1002.9702278508596</v>
      </c>
      <c r="M40" s="8">
        <v>1096.9986867118778</v>
      </c>
      <c r="N40" s="6" cm="1">
        <f t="array" ref="N40">_xlfn.XLOOKUP(Table8[[#This Row],[Admin2PCODE]:[Admin2PCODE]],tblPiNAnalysis[[Admin2PCODE]:[Admin2PCODE]],tblPiNAnalysis[% SAMV],0,0)</f>
        <v>0.15000000000000002</v>
      </c>
      <c r="O40" s="6" cm="1">
        <f t="array" ref="O40">_xlfn.XLOOKUP(Table8[[#This Row],[Admin2PCODE]:[Admin2PCODE]],tblPiNAnalysis[[Admin2PCODE]:[Admin2PCODE]],tblPiNAnalysis[% NUT],0,0)</f>
        <v>0.05</v>
      </c>
      <c r="P40" s="6" cm="1">
        <f t="array" ref="P40">_xlfn.XLOOKUP(Table8[[#This Row],[Admin2PCODE]:[Admin2PCODE]],tblPiNAnalysis[[Admin2PCODE]:[Admin2PCODE]],tblPiNAnalysis[% SAL],0,0)</f>
        <v>0.45</v>
      </c>
      <c r="Q40" s="6" cm="1">
        <f t="array" ref="Q40">_xlfn.XLOOKUP(Table8[[#This Row],[Admin2PCODE]:[Admin2PCODE]],tblPiNAnalysis[[Admin2PCODE]:[Admin2PCODE]],tblPiNAnalysis[% EDU],0,0)</f>
        <v>0.05</v>
      </c>
      <c r="R40" s="6" cm="1">
        <f t="array" ref="R40">_xlfn.XLOOKUP(Table8[[#This Row],[Admin2PCODE]:[Admin2PCODE]],tblPiNAnalysis[[Admin2PCODE]:[Admin2PCODE]],tblPiNAnalysis[% PRO],0,0)</f>
        <v>0.25</v>
      </c>
      <c r="S40" s="6" cm="1">
        <f t="array" ref="S40">_xlfn.XLOOKUP(Table8[[#This Row],[Admin2PCODE]:[Admin2PCODE]],tblPiNAnalysis[[Admin2PCODE]:[Admin2PCODE]],tblPiNAnalysis[% WASH],0,0)</f>
        <v>0</v>
      </c>
      <c r="T40" s="6" cm="1">
        <f t="array" ref="T40">_xlfn.XLOOKUP(Table8[[#This Row],[Admin2PCODE]:[Admin2PCODE]],tblPiNAnalysis[[Admin2PCODE]:[Admin2PCODE]],tblPiNAnalysis[% NNA],0,0)</f>
        <v>0.1</v>
      </c>
      <c r="U40" s="6" cm="1">
        <f t="array" ref="U40">_xlfn.XLOOKUP(Table8[[#This Row],[Admin2PCODE]:[Admin2PCODE]],tblPiNAnalysis[[Admin2PCODE]:[Admin2PCODE]],tblPiNAnalysis[% VBG],0,0)</f>
        <v>0.1</v>
      </c>
      <c r="V40" s="8" cm="1">
        <f t="array" ref="V40">_xlfn.XLOOKUP(Table8[[#This Row],[Admin2PCODE]:[Admin2PCODE]],tblPiNAnalysis[[Admin2PCODE]:[Admin2PCODE]],tblPiNAnalysis[PiN preliminar],0,0)</f>
        <v>0</v>
      </c>
      <c r="W40" s="308" cm="1">
        <f t="array" ref="W40">_xlfn.XLOOKUP(Table8[[#This Row],[Admin2PCODE]],tblPiNAnalysis[Admin2PCODE],tblSeverityAnalysis[Severidad media],0,0)</f>
        <v>2</v>
      </c>
      <c r="X40" s="42">
        <f>Table8[[#This Row],[Severidad media]]*6</f>
        <v>12</v>
      </c>
      <c r="Y40" s="6" cm="1">
        <f t="array" ref="Y40">_xlfn.XLOOKUP(Table8[[#This Row],[Admin2PCODE]],tblPiNAnalysis[Admin2PCODE],tblPiNAnalysis[% PiN Sectores más altos],0,0)</f>
        <v>0.45977011494252873</v>
      </c>
      <c r="Z40" s="42" cm="1">
        <f t="array" ref="Z40">_xlfn.XLOOKUP(Table8[[#This Row],[Admin2PCODE]:[Admin2PCODE]],tblPiNAnalysis[[Admin2PCODE]:[Admin2PCODE]],tblPiNAnalysis[Severidad],0,0)</f>
        <v>2</v>
      </c>
      <c r="AA40">
        <f>_xlfn.XLOOKUP(Table8[[#This Row],[Admin2PCODE]],tblSeverityAnalysis[Admin 2 Código P],tblSeverityAnalysis[Severidad Ttotal 2025],0,0)</f>
        <v>4</v>
      </c>
      <c r="AB40" t="str">
        <f>_xlfn.XLOOKUP(Table8[[#This Row],[Admin2PCODE]],tblSeverityAnalysis[Admin 2 Código P],tblSeverityAnalysis[Priorización Final 2025],0,0)</f>
        <v>No</v>
      </c>
      <c r="AC40">
        <v>0</v>
      </c>
      <c r="AD40">
        <v>0</v>
      </c>
      <c r="AE40">
        <v>0</v>
      </c>
      <c r="AF40">
        <v>0</v>
      </c>
      <c r="AG40">
        <v>0</v>
      </c>
      <c r="AH40">
        <v>0</v>
      </c>
      <c r="AI40">
        <v>0</v>
      </c>
      <c r="AJ40">
        <v>0</v>
      </c>
      <c r="AK40">
        <v>0</v>
      </c>
      <c r="AL40">
        <v>0</v>
      </c>
      <c r="AM40">
        <v>0</v>
      </c>
      <c r="AN40">
        <v>0</v>
      </c>
      <c r="AO40" s="314" t="e">
        <f>Table8[[#This Row],[N° Clústeres con respuesta]]/Table8[[#This Row],[Org Total]]</f>
        <v>#DIV/0!</v>
      </c>
      <c r="AP40" s="313">
        <v>2842</v>
      </c>
      <c r="AQ40" s="313">
        <v>0</v>
      </c>
      <c r="AR40" s="312">
        <f>Table8[[#This Row],[Alcanzados Oct 2025]]/Table8[[#This Row],[Meta 2025]]</f>
        <v>0</v>
      </c>
      <c r="AS40" s="423">
        <v>0</v>
      </c>
      <c r="AT40" s="423">
        <v>0</v>
      </c>
      <c r="AU40" s="423">
        <v>0</v>
      </c>
      <c r="AV40" s="423">
        <v>0</v>
      </c>
      <c r="AW40" s="423">
        <v>0</v>
      </c>
      <c r="AX40" s="423">
        <v>0</v>
      </c>
      <c r="AY40" s="423">
        <v>0</v>
      </c>
      <c r="AZ40" s="423">
        <v>0</v>
      </c>
      <c r="BA40" s="42">
        <v>0</v>
      </c>
    </row>
    <row r="41" spans="1:53">
      <c r="A41" t="s">
        <v>290</v>
      </c>
      <c r="B41" t="s">
        <v>291</v>
      </c>
      <c r="C41" t="s">
        <v>829</v>
      </c>
      <c r="D41" t="s">
        <v>299</v>
      </c>
      <c r="E41" s="8">
        <v>17187</v>
      </c>
      <c r="F41" s="8">
        <v>2865</v>
      </c>
      <c r="G41" s="8">
        <v>805.34152665643967</v>
      </c>
      <c r="H41" s="8">
        <v>11200</v>
      </c>
      <c r="I41" s="8">
        <v>1531.6189700667658</v>
      </c>
      <c r="J41" s="8">
        <v>4422.7343252444371</v>
      </c>
      <c r="K41" s="8">
        <v>0</v>
      </c>
      <c r="L41" s="8">
        <v>1419.697718403464</v>
      </c>
      <c r="M41" s="8">
        <v>1547.9570138355527</v>
      </c>
      <c r="N41" s="6" cm="1">
        <f t="array" ref="N41">_xlfn.XLOOKUP(Table8[[#This Row],[Admin2PCODE]:[Admin2PCODE]],tblPiNAnalysis[[Admin2PCODE]:[Admin2PCODE]],tblPiNAnalysis[% SAMV],0,0)</f>
        <v>0.15000000000000002</v>
      </c>
      <c r="O41" s="6" cm="1">
        <f t="array" ref="O41">_xlfn.XLOOKUP(Table8[[#This Row],[Admin2PCODE]:[Admin2PCODE]],tblPiNAnalysis[[Admin2PCODE]:[Admin2PCODE]],tblPiNAnalysis[% NUT],0,0)</f>
        <v>0.05</v>
      </c>
      <c r="P41" s="6" cm="1">
        <f t="array" ref="P41">_xlfn.XLOOKUP(Table8[[#This Row],[Admin2PCODE]:[Admin2PCODE]],tblPiNAnalysis[[Admin2PCODE]:[Admin2PCODE]],tblPiNAnalysis[% SAL],0,0)</f>
        <v>0.65</v>
      </c>
      <c r="Q41" s="6" cm="1">
        <f t="array" ref="Q41">_xlfn.XLOOKUP(Table8[[#This Row],[Admin2PCODE]:[Admin2PCODE]],tblPiNAnalysis[[Admin2PCODE]:[Admin2PCODE]],tblPiNAnalysis[% EDU],0,0)</f>
        <v>0.1</v>
      </c>
      <c r="R41" s="6" cm="1">
        <f t="array" ref="R41">_xlfn.XLOOKUP(Table8[[#This Row],[Admin2PCODE]:[Admin2PCODE]],tblPiNAnalysis[[Admin2PCODE]:[Admin2PCODE]],tblPiNAnalysis[% PRO],0,0)</f>
        <v>0.25</v>
      </c>
      <c r="S41" s="6" cm="1">
        <f t="array" ref="S41">_xlfn.XLOOKUP(Table8[[#This Row],[Admin2PCODE]:[Admin2PCODE]],tblPiNAnalysis[[Admin2PCODE]:[Admin2PCODE]],tblPiNAnalysis[% WASH],0,0)</f>
        <v>0</v>
      </c>
      <c r="T41" s="6" cm="1">
        <f t="array" ref="T41">_xlfn.XLOOKUP(Table8[[#This Row],[Admin2PCODE]:[Admin2PCODE]],tblPiNAnalysis[[Admin2PCODE]:[Admin2PCODE]],tblPiNAnalysis[% NNA],0,0)</f>
        <v>0.1</v>
      </c>
      <c r="U41" s="6" cm="1">
        <f t="array" ref="U41">_xlfn.XLOOKUP(Table8[[#This Row],[Admin2PCODE]:[Admin2PCODE]],tblPiNAnalysis[[Admin2PCODE]:[Admin2PCODE]],tblPiNAnalysis[% VBG],0,0)</f>
        <v>0.1</v>
      </c>
      <c r="V41" s="8" cm="1">
        <f t="array" ref="V41">_xlfn.XLOOKUP(Table8[[#This Row],[Admin2PCODE]:[Admin2PCODE]],tblPiNAnalysis[[Admin2PCODE]:[Admin2PCODE]],tblPiNAnalysis[PiN preliminar],0,0)</f>
        <v>0</v>
      </c>
      <c r="W41" s="308" cm="1">
        <f t="array" ref="W41">_xlfn.XLOOKUP(Table8[[#This Row],[Admin2PCODE]],tblPiNAnalysis[Admin2PCODE],tblSeverityAnalysis[Severidad media],0,0)</f>
        <v>2.5</v>
      </c>
      <c r="X41" s="42">
        <f>Table8[[#This Row],[Severidad media]]*6</f>
        <v>15</v>
      </c>
      <c r="Y41" s="6" cm="1">
        <f t="array" ref="Y41">_xlfn.XLOOKUP(Table8[[#This Row],[Admin2PCODE]],tblPiNAnalysis[Admin2PCODE],tblPiNAnalysis[% PiN Sectores más altos],0,0)</f>
        <v>0.65165532088206202</v>
      </c>
      <c r="Z41" s="42" cm="1">
        <f t="array" ref="Z41">_xlfn.XLOOKUP(Table8[[#This Row],[Admin2PCODE]:[Admin2PCODE]],tblPiNAnalysis[[Admin2PCODE]:[Admin2PCODE]],tblPiNAnalysis[Severidad],0,0)</f>
        <v>2</v>
      </c>
      <c r="AA41">
        <f>_xlfn.XLOOKUP(Table8[[#This Row],[Admin2PCODE]],tblSeverityAnalysis[Admin 2 Código P],tblSeverityAnalysis[Severidad Ttotal 2025],0,0)</f>
        <v>4</v>
      </c>
      <c r="AB41" t="str">
        <f>_xlfn.XLOOKUP(Table8[[#This Row],[Admin2PCODE]],tblSeverityAnalysis[Admin 2 Código P],tblSeverityAnalysis[Priorización Final 2025],0,0)</f>
        <v>No</v>
      </c>
      <c r="AC41">
        <v>1</v>
      </c>
      <c r="AD41" t="s">
        <v>93</v>
      </c>
      <c r="AE41">
        <v>1</v>
      </c>
      <c r="AF41">
        <v>0</v>
      </c>
      <c r="AG41">
        <v>0</v>
      </c>
      <c r="AH41">
        <v>0</v>
      </c>
      <c r="AI41">
        <v>1</v>
      </c>
      <c r="AJ41">
        <v>0</v>
      </c>
      <c r="AK41">
        <v>0</v>
      </c>
      <c r="AL41">
        <v>0</v>
      </c>
      <c r="AM41">
        <v>0</v>
      </c>
      <c r="AN41">
        <v>0</v>
      </c>
      <c r="AO41" s="314">
        <f>Table8[[#This Row],[N° Clústeres con respuesta]]/Table8[[#This Row],[Org Total]]</f>
        <v>1</v>
      </c>
      <c r="AP41" s="313">
        <v>3856</v>
      </c>
      <c r="AQ41" s="313">
        <v>6003</v>
      </c>
      <c r="AR41" s="312">
        <f>Table8[[#This Row],[Alcanzados Oct 2025]]/Table8[[#This Row],[Meta 2025]]</f>
        <v>1.5567946058091287</v>
      </c>
      <c r="AS41" s="423">
        <v>0</v>
      </c>
      <c r="AT41" s="423">
        <v>0</v>
      </c>
      <c r="AU41" s="423">
        <v>0</v>
      </c>
      <c r="AV41" s="423">
        <v>6003</v>
      </c>
      <c r="AW41" s="423">
        <v>0</v>
      </c>
      <c r="AX41" s="423">
        <v>0</v>
      </c>
      <c r="AY41" s="423">
        <v>0</v>
      </c>
      <c r="AZ41" s="423">
        <v>0</v>
      </c>
      <c r="BA41" s="42">
        <v>0</v>
      </c>
    </row>
    <row r="42" spans="1:53">
      <c r="A42" t="s">
        <v>306</v>
      </c>
      <c r="B42" t="s">
        <v>307</v>
      </c>
      <c r="C42" t="s">
        <v>310</v>
      </c>
      <c r="D42" t="s">
        <v>311</v>
      </c>
      <c r="E42" s="8">
        <v>30221</v>
      </c>
      <c r="F42" s="8">
        <v>7524</v>
      </c>
      <c r="G42" s="8">
        <v>1153.0693155530209</v>
      </c>
      <c r="H42" s="8">
        <v>11030.665000000001</v>
      </c>
      <c r="I42" s="8">
        <v>1694.8917954765736</v>
      </c>
      <c r="J42" s="8">
        <v>7216.9620128947436</v>
      </c>
      <c r="K42" s="8">
        <v>18132.599999999999</v>
      </c>
      <c r="L42" s="8">
        <v>2309.4278441263177</v>
      </c>
      <c r="M42" s="8">
        <v>2525.9367045131603</v>
      </c>
      <c r="N42" s="6" cm="1">
        <f t="array" ref="N42">_xlfn.XLOOKUP(Table8[[#This Row],[Admin2PCODE]:[Admin2PCODE]],tblPiNAnalysis[[Admin2PCODE]:[Admin2PCODE]],tblPiNAnalysis[% SAMV],0,0)</f>
        <v>0.25</v>
      </c>
      <c r="O42" s="6" cm="1">
        <f t="array" ref="O42">_xlfn.XLOOKUP(Table8[[#This Row],[Admin2PCODE]:[Admin2PCODE]],tblPiNAnalysis[[Admin2PCODE]:[Admin2PCODE]],tblPiNAnalysis[% NUT],0,0)</f>
        <v>0.05</v>
      </c>
      <c r="P42" s="6" cm="1">
        <f t="array" ref="P42">_xlfn.XLOOKUP(Table8[[#This Row],[Admin2PCODE]:[Admin2PCODE]],tblPiNAnalysis[[Admin2PCODE]:[Admin2PCODE]],tblPiNAnalysis[% SAL],0,0)</f>
        <v>0.35000000000000003</v>
      </c>
      <c r="Q42" s="6" cm="1">
        <f t="array" ref="Q42">_xlfn.XLOOKUP(Table8[[#This Row],[Admin2PCODE]:[Admin2PCODE]],tblPiNAnalysis[[Admin2PCODE]:[Admin2PCODE]],tblPiNAnalysis[% EDU],0,0)</f>
        <v>0.05</v>
      </c>
      <c r="R42" s="6" cm="1">
        <f t="array" ref="R42">_xlfn.XLOOKUP(Table8[[#This Row],[Admin2PCODE]:[Admin2PCODE]],tblPiNAnalysis[[Admin2PCODE]:[Admin2PCODE]],tblPiNAnalysis[% PRO],0,0)</f>
        <v>0.25</v>
      </c>
      <c r="S42" s="6" cm="1">
        <f t="array" ref="S42">_xlfn.XLOOKUP(Table8[[#This Row],[Admin2PCODE]:[Admin2PCODE]],tblPiNAnalysis[[Admin2PCODE]:[Admin2PCODE]],tblPiNAnalysis[% WASH],0,0)</f>
        <v>0.60000000000000009</v>
      </c>
      <c r="T42" s="6" cm="1">
        <f t="array" ref="T42">_xlfn.XLOOKUP(Table8[[#This Row],[Admin2PCODE]:[Admin2PCODE]],tblPiNAnalysis[[Admin2PCODE]:[Admin2PCODE]],tblPiNAnalysis[% NNA],0,0)</f>
        <v>0.1</v>
      </c>
      <c r="U42" s="6" cm="1">
        <f t="array" ref="U42">_xlfn.XLOOKUP(Table8[[#This Row],[Admin2PCODE]:[Admin2PCODE]],tblPiNAnalysis[[Admin2PCODE]:[Admin2PCODE]],tblPiNAnalysis[% VBG],0,0)</f>
        <v>0.1</v>
      </c>
      <c r="V42" s="8" cm="1">
        <f t="array" ref="V42">_xlfn.XLOOKUP(Table8[[#This Row],[Admin2PCODE]:[Admin2PCODE]],tblPiNAnalysis[[Admin2PCODE]:[Admin2PCODE]],tblPiNAnalysis[PiN preliminar],0,0)</f>
        <v>18132.599999999999</v>
      </c>
      <c r="W42" s="308" cm="1">
        <f t="array" ref="W42">_xlfn.XLOOKUP(Table8[[#This Row],[Admin2PCODE]],tblPiNAnalysis[Admin2PCODE],tblSeverityAnalysis[Severidad media],0,0)</f>
        <v>3</v>
      </c>
      <c r="X42" s="42">
        <f>Table8[[#This Row],[Severidad media]]*6</f>
        <v>18</v>
      </c>
      <c r="Y42" s="6" cm="1">
        <f t="array" ref="Y42">_xlfn.XLOOKUP(Table8[[#This Row],[Admin2PCODE]],tblPiNAnalysis[Admin2PCODE],tblPiNAnalysis[% PiN Sectores más altos],0,0)</f>
        <v>0.6</v>
      </c>
      <c r="Z42" s="42" cm="1">
        <f t="array" ref="Z42">_xlfn.XLOOKUP(Table8[[#This Row],[Admin2PCODE]:[Admin2PCODE]],tblPiNAnalysis[[Admin2PCODE]:[Admin2PCODE]],tblPiNAnalysis[Severidad],0,0)</f>
        <v>4</v>
      </c>
      <c r="AA42">
        <f>_xlfn.XLOOKUP(Table8[[#This Row],[Admin2PCODE]],tblSeverityAnalysis[Admin 2 Código P],tblSeverityAnalysis[Severidad Ttotal 2025],0,0)</f>
        <v>4</v>
      </c>
      <c r="AB42" t="str">
        <f>_xlfn.XLOOKUP(Table8[[#This Row],[Admin2PCODE]],tblSeverityAnalysis[Admin 2 Código P],tblSeverityAnalysis[Priorización Final 2025],0,0)</f>
        <v>Sí</v>
      </c>
      <c r="AC42">
        <v>9</v>
      </c>
      <c r="AD42" t="s">
        <v>981</v>
      </c>
      <c r="AE42">
        <v>15</v>
      </c>
      <c r="AF42">
        <v>1</v>
      </c>
      <c r="AG42">
        <v>3</v>
      </c>
      <c r="AH42">
        <v>2</v>
      </c>
      <c r="AI42">
        <v>2</v>
      </c>
      <c r="AJ42">
        <v>6</v>
      </c>
      <c r="AK42">
        <v>3</v>
      </c>
      <c r="AL42">
        <v>6</v>
      </c>
      <c r="AM42">
        <v>7</v>
      </c>
      <c r="AN42">
        <v>2</v>
      </c>
      <c r="AO42" s="314">
        <f>Table8[[#This Row],[N° Clústeres con respuesta]]/Table8[[#This Row],[Org Total]]</f>
        <v>0.6</v>
      </c>
      <c r="AP42" s="313">
        <v>7056</v>
      </c>
      <c r="AQ42" s="313">
        <v>13160</v>
      </c>
      <c r="AR42" s="312">
        <f>Table8[[#This Row],[Alcanzados Oct 2025]]/Table8[[#This Row],[Meta 2025]]</f>
        <v>1.8650793650793651</v>
      </c>
      <c r="AS42" s="423">
        <v>0</v>
      </c>
      <c r="AT42" s="423">
        <v>1177</v>
      </c>
      <c r="AU42" s="423">
        <v>35</v>
      </c>
      <c r="AV42" s="423">
        <v>256</v>
      </c>
      <c r="AW42" s="423">
        <v>1704</v>
      </c>
      <c r="AX42" s="423">
        <v>814</v>
      </c>
      <c r="AY42" s="423">
        <v>1198</v>
      </c>
      <c r="AZ42" s="423">
        <v>2731</v>
      </c>
      <c r="BA42" s="42">
        <v>13160</v>
      </c>
    </row>
    <row r="43" spans="1:53">
      <c r="A43" t="s">
        <v>203</v>
      </c>
      <c r="B43" t="s">
        <v>564</v>
      </c>
      <c r="C43" t="s">
        <v>576</v>
      </c>
      <c r="D43" t="s">
        <v>577</v>
      </c>
      <c r="E43" s="8">
        <v>35731</v>
      </c>
      <c r="F43" s="8">
        <v>6414</v>
      </c>
      <c r="G43" s="8">
        <v>1537.2418604392319</v>
      </c>
      <c r="H43" s="8">
        <v>13041.815000000001</v>
      </c>
      <c r="I43" s="8">
        <v>1978.4485672164108</v>
      </c>
      <c r="J43" s="8">
        <v>8553.4737611536257</v>
      </c>
      <c r="K43" s="8">
        <v>21438.6</v>
      </c>
      <c r="L43" s="8">
        <v>2745.6650773303136</v>
      </c>
      <c r="M43" s="8">
        <v>2993.7158164037687</v>
      </c>
      <c r="N43" s="6" cm="1">
        <f t="array" ref="N43">_xlfn.XLOOKUP(Table8[[#This Row],[Admin2PCODE]:[Admin2PCODE]],tblPiNAnalysis[[Admin2PCODE]:[Admin2PCODE]],tblPiNAnalysis[% SAMV],0,0)</f>
        <v>0.2</v>
      </c>
      <c r="O43" s="6" cm="1">
        <f t="array" ref="O43">_xlfn.XLOOKUP(Table8[[#This Row],[Admin2PCODE]:[Admin2PCODE]],tblPiNAnalysis[[Admin2PCODE]:[Admin2PCODE]],tblPiNAnalysis[% NUT],0,0)</f>
        <v>0.05</v>
      </c>
      <c r="P43" s="6" cm="1">
        <f t="array" ref="P43">_xlfn.XLOOKUP(Table8[[#This Row],[Admin2PCODE]:[Admin2PCODE]],tblPiNAnalysis[[Admin2PCODE]:[Admin2PCODE]],tblPiNAnalysis[% SAL],0,0)</f>
        <v>0.35000000000000003</v>
      </c>
      <c r="Q43" s="6" cm="1">
        <f t="array" ref="Q43">_xlfn.XLOOKUP(Table8[[#This Row],[Admin2PCODE]:[Admin2PCODE]],tblPiNAnalysis[[Admin2PCODE]:[Admin2PCODE]],tblPiNAnalysis[% EDU],0,0)</f>
        <v>0.05</v>
      </c>
      <c r="R43" s="6" cm="1">
        <f t="array" ref="R43">_xlfn.XLOOKUP(Table8[[#This Row],[Admin2PCODE]:[Admin2PCODE]],tblPiNAnalysis[[Admin2PCODE]:[Admin2PCODE]],tblPiNAnalysis[% PRO],0,0)</f>
        <v>0.25</v>
      </c>
      <c r="S43" s="6" cm="1">
        <f t="array" ref="S43">_xlfn.XLOOKUP(Table8[[#This Row],[Admin2PCODE]:[Admin2PCODE]],tblPiNAnalysis[[Admin2PCODE]:[Admin2PCODE]],tblPiNAnalysis[% WASH],0,0)</f>
        <v>0.60000000000000009</v>
      </c>
      <c r="T43" s="6" cm="1">
        <f t="array" ref="T43">_xlfn.XLOOKUP(Table8[[#This Row],[Admin2PCODE]:[Admin2PCODE]],tblPiNAnalysis[[Admin2PCODE]:[Admin2PCODE]],tblPiNAnalysis[% NNA],0,0)</f>
        <v>0.1</v>
      </c>
      <c r="U43" s="6" cm="1">
        <f t="array" ref="U43">_xlfn.XLOOKUP(Table8[[#This Row],[Admin2PCODE]:[Admin2PCODE]],tblPiNAnalysis[[Admin2PCODE]:[Admin2PCODE]],tblPiNAnalysis[% VBG],0,0)</f>
        <v>0.1</v>
      </c>
      <c r="V43" s="8" cm="1">
        <f t="array" ref="V43">_xlfn.XLOOKUP(Table8[[#This Row],[Admin2PCODE]:[Admin2PCODE]],tblPiNAnalysis[[Admin2PCODE]:[Admin2PCODE]],tblPiNAnalysis[PiN preliminar],0,0)</f>
        <v>21438.6</v>
      </c>
      <c r="W43" s="308" cm="1">
        <f t="array" ref="W43">_xlfn.XLOOKUP(Table8[[#This Row],[Admin2PCODE]],tblPiNAnalysis[Admin2PCODE],tblSeverityAnalysis[Severidad media],0,0)</f>
        <v>2.5</v>
      </c>
      <c r="X43" s="42">
        <f>Table8[[#This Row],[Severidad media]]*6</f>
        <v>15</v>
      </c>
      <c r="Y43" s="6" cm="1">
        <f t="array" ref="Y43">_xlfn.XLOOKUP(Table8[[#This Row],[Admin2PCODE]],tblPiNAnalysis[Admin2PCODE],tblPiNAnalysis[% PiN Sectores más altos],0,0)</f>
        <v>0.6</v>
      </c>
      <c r="Z43" s="42" cm="1">
        <f t="array" ref="Z43">_xlfn.XLOOKUP(Table8[[#This Row],[Admin2PCODE]:[Admin2PCODE]],tblPiNAnalysis[[Admin2PCODE]:[Admin2PCODE]],tblPiNAnalysis[Severidad],0,0)</f>
        <v>4</v>
      </c>
      <c r="AA43">
        <f>_xlfn.XLOOKUP(Table8[[#This Row],[Admin2PCODE]],tblSeverityAnalysis[Admin 2 Código P],tblSeverityAnalysis[Severidad Ttotal 2025],0,0)</f>
        <v>4</v>
      </c>
      <c r="AB43" t="str">
        <f>_xlfn.XLOOKUP(Table8[[#This Row],[Admin2PCODE]],tblSeverityAnalysis[Admin 2 Código P],tblSeverityAnalysis[Priorización Final 2025],0,0)</f>
        <v>Sí</v>
      </c>
      <c r="AC43">
        <v>8</v>
      </c>
      <c r="AD43" t="s">
        <v>982</v>
      </c>
      <c r="AE43">
        <v>15</v>
      </c>
      <c r="AF43">
        <v>2</v>
      </c>
      <c r="AG43">
        <v>4</v>
      </c>
      <c r="AH43">
        <v>0</v>
      </c>
      <c r="AI43">
        <v>4</v>
      </c>
      <c r="AJ43">
        <v>7</v>
      </c>
      <c r="AK43">
        <v>1</v>
      </c>
      <c r="AL43">
        <v>6</v>
      </c>
      <c r="AM43">
        <v>5</v>
      </c>
      <c r="AN43">
        <v>6</v>
      </c>
      <c r="AO43" s="314">
        <f>Table8[[#This Row],[N° Clústeres con respuesta]]/Table8[[#This Row],[Org Total]]</f>
        <v>0.53333333333333333</v>
      </c>
      <c r="AP43" s="313">
        <v>8340</v>
      </c>
      <c r="AQ43" s="313">
        <v>17744</v>
      </c>
      <c r="AR43" s="312">
        <f>Table8[[#This Row],[Alcanzados Oct 2025]]/Table8[[#This Row],[Meta 2025]]</f>
        <v>2.12757793764988</v>
      </c>
      <c r="AS43" s="423">
        <v>1689</v>
      </c>
      <c r="AT43" s="423">
        <v>377</v>
      </c>
      <c r="AU43" s="423">
        <v>0</v>
      </c>
      <c r="AV43" s="423">
        <v>1901</v>
      </c>
      <c r="AW43" s="423">
        <v>973</v>
      </c>
      <c r="AX43" s="423">
        <v>75</v>
      </c>
      <c r="AY43" s="423">
        <v>1579</v>
      </c>
      <c r="AZ43" s="423">
        <v>6268</v>
      </c>
      <c r="BA43" s="42">
        <v>17744</v>
      </c>
    </row>
    <row r="44" spans="1:53">
      <c r="A44" t="s">
        <v>589</v>
      </c>
      <c r="B44" t="s">
        <v>590</v>
      </c>
      <c r="C44" t="s">
        <v>814</v>
      </c>
      <c r="D44" t="s">
        <v>606</v>
      </c>
      <c r="E44" s="8">
        <v>49570</v>
      </c>
      <c r="F44" s="8">
        <v>19152</v>
      </c>
      <c r="G44" s="8">
        <v>2284.2050741202611</v>
      </c>
      <c r="H44" s="8">
        <v>18093.05</v>
      </c>
      <c r="I44" s="8">
        <v>4021.2830935506327</v>
      </c>
      <c r="J44" s="8">
        <v>11907.221042961875</v>
      </c>
      <c r="K44" s="8">
        <v>0</v>
      </c>
      <c r="L44" s="8">
        <v>3810.3107337478</v>
      </c>
      <c r="M44" s="8">
        <v>4167.5273650366571</v>
      </c>
      <c r="N44" s="6" cm="1">
        <f t="array" ref="N44">_xlfn.XLOOKUP(Table8[[#This Row],[Admin2PCODE]:[Admin2PCODE]],tblPiNAnalysis[[Admin2PCODE]:[Admin2PCODE]],tblPiNAnalysis[% SAMV],0,0)</f>
        <v>0.4</v>
      </c>
      <c r="O44" s="6" cm="1">
        <f t="array" ref="O44">_xlfn.XLOOKUP(Table8[[#This Row],[Admin2PCODE]:[Admin2PCODE]],tblPiNAnalysis[[Admin2PCODE]:[Admin2PCODE]],tblPiNAnalysis[% NUT],0,0)</f>
        <v>0.05</v>
      </c>
      <c r="P44" s="6" cm="1">
        <f t="array" ref="P44">_xlfn.XLOOKUP(Table8[[#This Row],[Admin2PCODE]:[Admin2PCODE]],tblPiNAnalysis[[Admin2PCODE]:[Admin2PCODE]],tblPiNAnalysis[% SAL],0,0)</f>
        <v>0.35000000000000003</v>
      </c>
      <c r="Q44" s="6" cm="1">
        <f t="array" ref="Q44">_xlfn.XLOOKUP(Table8[[#This Row],[Admin2PCODE]:[Admin2PCODE]],tblPiNAnalysis[[Admin2PCODE]:[Admin2PCODE]],tblPiNAnalysis[% EDU],0,0)</f>
        <v>0.1</v>
      </c>
      <c r="R44" s="6" cm="1">
        <f t="array" ref="R44">_xlfn.XLOOKUP(Table8[[#This Row],[Admin2PCODE]:[Admin2PCODE]],tblPiNAnalysis[[Admin2PCODE]:[Admin2PCODE]],tblPiNAnalysis[% PRO],0,0)</f>
        <v>0.25</v>
      </c>
      <c r="S44" s="6" cm="1">
        <f t="array" ref="S44">_xlfn.XLOOKUP(Table8[[#This Row],[Admin2PCODE]:[Admin2PCODE]],tblPiNAnalysis[[Admin2PCODE]:[Admin2PCODE]],tblPiNAnalysis[% WASH],0,0)</f>
        <v>0</v>
      </c>
      <c r="T44" s="6" cm="1">
        <f t="array" ref="T44">_xlfn.XLOOKUP(Table8[[#This Row],[Admin2PCODE]:[Admin2PCODE]],tblPiNAnalysis[[Admin2PCODE]:[Admin2PCODE]],tblPiNAnalysis[% NNA],0,0)</f>
        <v>0.1</v>
      </c>
      <c r="U44" s="6" cm="1">
        <f t="array" ref="U44">_xlfn.XLOOKUP(Table8[[#This Row],[Admin2PCODE]:[Admin2PCODE]],tblPiNAnalysis[[Admin2PCODE]:[Admin2PCODE]],tblPiNAnalysis[% VBG],0,0)</f>
        <v>0.1</v>
      </c>
      <c r="V44" s="8" cm="1">
        <f t="array" ref="V44">_xlfn.XLOOKUP(Table8[[#This Row],[Admin2PCODE]:[Admin2PCODE]],tblPiNAnalysis[[Admin2PCODE]:[Admin2PCODE]],tblPiNAnalysis[PiN preliminar],0,0)</f>
        <v>19152</v>
      </c>
      <c r="W44" s="308" cm="1">
        <f t="array" ref="W44">_xlfn.XLOOKUP(Table8[[#This Row],[Admin2PCODE]],tblPiNAnalysis[Admin2PCODE],tblSeverityAnalysis[Severidad media],0,0)</f>
        <v>2.5</v>
      </c>
      <c r="X44" s="42">
        <f>Table8[[#This Row],[Severidad media]]*6</f>
        <v>15</v>
      </c>
      <c r="Y44" s="6" cm="1">
        <f t="array" ref="Y44">_xlfn.XLOOKUP(Table8[[#This Row],[Admin2PCODE]],tblPiNAnalysis[Admin2PCODE],tblPiNAnalysis[% PiN Sectores más altos],0,0)</f>
        <v>0.38636271938672584</v>
      </c>
      <c r="Z44" s="42" cm="1">
        <f t="array" ref="Z44">_xlfn.XLOOKUP(Table8[[#This Row],[Admin2PCODE]:[Admin2PCODE]],tblPiNAnalysis[[Admin2PCODE]:[Admin2PCODE]],tblPiNAnalysis[Severidad],0,0)</f>
        <v>3</v>
      </c>
      <c r="AA44">
        <f>_xlfn.XLOOKUP(Table8[[#This Row],[Admin2PCODE]],tblSeverityAnalysis[Admin 2 Código P],tblSeverityAnalysis[Severidad Ttotal 2025],0,0)</f>
        <v>4</v>
      </c>
      <c r="AB44" t="str">
        <f>_xlfn.XLOOKUP(Table8[[#This Row],[Admin2PCODE]],tblSeverityAnalysis[Admin 2 Código P],tblSeverityAnalysis[Priorización Final 2025],0,0)</f>
        <v>Sí</v>
      </c>
      <c r="AC44">
        <v>8</v>
      </c>
      <c r="AD44" t="s">
        <v>983</v>
      </c>
      <c r="AE44">
        <v>12</v>
      </c>
      <c r="AF44">
        <v>2</v>
      </c>
      <c r="AG44">
        <v>5</v>
      </c>
      <c r="AH44">
        <v>1</v>
      </c>
      <c r="AI44">
        <v>3</v>
      </c>
      <c r="AJ44">
        <v>6</v>
      </c>
      <c r="AK44">
        <v>6</v>
      </c>
      <c r="AL44">
        <v>2</v>
      </c>
      <c r="AM44">
        <v>3</v>
      </c>
      <c r="AN44">
        <v>0</v>
      </c>
      <c r="AO44" s="314">
        <f>Table8[[#This Row],[N° Clústeres con respuesta]]/Table8[[#This Row],[Org Total]]</f>
        <v>0.66666666666666663</v>
      </c>
      <c r="AP44" s="313">
        <v>8144</v>
      </c>
      <c r="AQ44" s="313">
        <v>4507</v>
      </c>
      <c r="AR44" s="312">
        <f>Table8[[#This Row],[Alcanzados Oct 2025]]/Table8[[#This Row],[Meta 2025]]</f>
        <v>0.55341355599214148</v>
      </c>
      <c r="AS44" s="423">
        <v>20</v>
      </c>
      <c r="AT44" s="423">
        <v>1519</v>
      </c>
      <c r="AU44" s="423">
        <v>30</v>
      </c>
      <c r="AV44" s="423">
        <v>1420</v>
      </c>
      <c r="AW44" s="423">
        <v>3137</v>
      </c>
      <c r="AX44" s="423">
        <v>411</v>
      </c>
      <c r="AY44" s="423">
        <v>669</v>
      </c>
      <c r="AZ44" s="423">
        <v>2819</v>
      </c>
      <c r="BA44" s="42">
        <v>0</v>
      </c>
    </row>
    <row r="45" spans="1:53">
      <c r="A45" t="s">
        <v>589</v>
      </c>
      <c r="B45" t="s">
        <v>590</v>
      </c>
      <c r="C45" t="s">
        <v>624</v>
      </c>
      <c r="D45" t="s">
        <v>625</v>
      </c>
      <c r="E45" s="8">
        <v>53049</v>
      </c>
      <c r="F45" s="8">
        <v>28225</v>
      </c>
      <c r="G45" s="8">
        <v>1783.518817212745</v>
      </c>
      <c r="H45" s="8">
        <v>19362.884999999998</v>
      </c>
      <c r="I45" s="8">
        <v>9320.8238035168688</v>
      </c>
      <c r="J45" s="8">
        <v>12742.912429051536</v>
      </c>
      <c r="K45" s="8">
        <v>31829.399999999998</v>
      </c>
      <c r="L45" s="8">
        <v>4077.7319772964916</v>
      </c>
      <c r="M45" s="8">
        <v>4460.0193501680369</v>
      </c>
      <c r="N45" s="6" cm="1">
        <f t="array" ref="N45">_xlfn.XLOOKUP(Table8[[#This Row],[Admin2PCODE]:[Admin2PCODE]],tblPiNAnalysis[[Admin2PCODE]:[Admin2PCODE]],tblPiNAnalysis[% SAMV],0,0)</f>
        <v>0.55000000000000004</v>
      </c>
      <c r="O45" s="6" cm="1">
        <f t="array" ref="O45">_xlfn.XLOOKUP(Table8[[#This Row],[Admin2PCODE]:[Admin2PCODE]],tblPiNAnalysis[[Admin2PCODE]:[Admin2PCODE]],tblPiNAnalysis[% NUT],0,0)</f>
        <v>0.05</v>
      </c>
      <c r="P45" s="6" cm="1">
        <f t="array" ref="P45">_xlfn.XLOOKUP(Table8[[#This Row],[Admin2PCODE]:[Admin2PCODE]],tblPiNAnalysis[[Admin2PCODE]:[Admin2PCODE]],tblPiNAnalysis[% SAL],0,0)</f>
        <v>0.35000000000000003</v>
      </c>
      <c r="Q45" s="6" cm="1">
        <f t="array" ref="Q45">_xlfn.XLOOKUP(Table8[[#This Row],[Admin2PCODE]:[Admin2PCODE]],tblPiNAnalysis[[Admin2PCODE]:[Admin2PCODE]],tblPiNAnalysis[% EDU],0,0)</f>
        <v>0.2</v>
      </c>
      <c r="R45" s="6" cm="1">
        <f t="array" ref="R45">_xlfn.XLOOKUP(Table8[[#This Row],[Admin2PCODE]:[Admin2PCODE]],tblPiNAnalysis[[Admin2PCODE]:[Admin2PCODE]],tblPiNAnalysis[% PRO],0,0)</f>
        <v>0.25</v>
      </c>
      <c r="S45" s="6" cm="1">
        <f t="array" ref="S45">_xlfn.XLOOKUP(Table8[[#This Row],[Admin2PCODE]:[Admin2PCODE]],tblPiNAnalysis[[Admin2PCODE]:[Admin2PCODE]],tblPiNAnalysis[% WASH],0,0)</f>
        <v>0.60000000000000009</v>
      </c>
      <c r="T45" s="6" cm="1">
        <f t="array" ref="T45">_xlfn.XLOOKUP(Table8[[#This Row],[Admin2PCODE]:[Admin2PCODE]],tblPiNAnalysis[[Admin2PCODE]:[Admin2PCODE]],tblPiNAnalysis[% NNA],0,0)</f>
        <v>0.1</v>
      </c>
      <c r="U45" s="6" cm="1">
        <f t="array" ref="U45">_xlfn.XLOOKUP(Table8[[#This Row],[Admin2PCODE]:[Admin2PCODE]],tblPiNAnalysis[[Admin2PCODE]:[Admin2PCODE]],tblPiNAnalysis[% VBG],0,0)</f>
        <v>0.1</v>
      </c>
      <c r="V45" s="8" cm="1">
        <f t="array" ref="V45">_xlfn.XLOOKUP(Table8[[#This Row],[Admin2PCODE]:[Admin2PCODE]],tblPiNAnalysis[[Admin2PCODE]:[Admin2PCODE]],tblPiNAnalysis[PiN preliminar],0,0)</f>
        <v>31829.399999999998</v>
      </c>
      <c r="W45" s="308" cm="1">
        <f t="array" ref="W45">_xlfn.XLOOKUP(Table8[[#This Row],[Admin2PCODE]],tblPiNAnalysis[Admin2PCODE],tblSeverityAnalysis[Severidad media],0,0)</f>
        <v>3.1666666666666665</v>
      </c>
      <c r="X45" s="42">
        <f>Table8[[#This Row],[Severidad media]]*6</f>
        <v>19</v>
      </c>
      <c r="Y45" s="6" cm="1">
        <f t="array" ref="Y45">_xlfn.XLOOKUP(Table8[[#This Row],[Admin2PCODE]],tblPiNAnalysis[Admin2PCODE],tblPiNAnalysis[% PiN Sectores más altos],0,0)</f>
        <v>0.6</v>
      </c>
      <c r="Z45" s="42" cm="1">
        <f t="array" ref="Z45">_xlfn.XLOOKUP(Table8[[#This Row],[Admin2PCODE]:[Admin2PCODE]],tblPiNAnalysis[[Admin2PCODE]:[Admin2PCODE]],tblPiNAnalysis[Severidad],0,0)</f>
        <v>4</v>
      </c>
      <c r="AA45">
        <f>_xlfn.XLOOKUP(Table8[[#This Row],[Admin2PCODE]],tblSeverityAnalysis[Admin 2 Código P],tblSeverityAnalysis[Severidad Ttotal 2025],0,0)</f>
        <v>4</v>
      </c>
      <c r="AB45" t="str">
        <f>_xlfn.XLOOKUP(Table8[[#This Row],[Admin2PCODE]],tblSeverityAnalysis[Admin 2 Código P],tblSeverityAnalysis[Priorización Final 2025],0,0)</f>
        <v>Sí</v>
      </c>
      <c r="AC45">
        <v>8</v>
      </c>
      <c r="AD45" t="s">
        <v>984</v>
      </c>
      <c r="AE45">
        <v>15</v>
      </c>
      <c r="AF45">
        <v>4</v>
      </c>
      <c r="AG45">
        <v>5</v>
      </c>
      <c r="AH45">
        <v>0</v>
      </c>
      <c r="AI45">
        <v>2</v>
      </c>
      <c r="AJ45">
        <v>5</v>
      </c>
      <c r="AK45">
        <v>7</v>
      </c>
      <c r="AL45">
        <v>4</v>
      </c>
      <c r="AM45">
        <v>4</v>
      </c>
      <c r="AN45">
        <v>2</v>
      </c>
      <c r="AO45" s="314">
        <f>Table8[[#This Row],[N° Clústeres con respuesta]]/Table8[[#This Row],[Org Total]]</f>
        <v>0.53333333333333333</v>
      </c>
      <c r="AP45" s="313">
        <v>12386</v>
      </c>
      <c r="AQ45" s="313">
        <v>1949</v>
      </c>
      <c r="AR45" s="312">
        <f>Table8[[#This Row],[Alcanzados Oct 2025]]/Table8[[#This Row],[Meta 2025]]</f>
        <v>0.15735507831422574</v>
      </c>
      <c r="AS45" s="423">
        <v>47</v>
      </c>
      <c r="AT45" s="423">
        <v>365</v>
      </c>
      <c r="AU45" s="423">
        <v>32</v>
      </c>
      <c r="AV45" s="423">
        <v>419</v>
      </c>
      <c r="AW45" s="423">
        <v>1570</v>
      </c>
      <c r="AX45" s="423">
        <v>612</v>
      </c>
      <c r="AY45" s="423">
        <v>757</v>
      </c>
      <c r="AZ45" s="423">
        <v>523</v>
      </c>
      <c r="BA45" s="42">
        <v>367</v>
      </c>
    </row>
    <row r="46" spans="1:53">
      <c r="A46" t="s">
        <v>316</v>
      </c>
      <c r="B46" t="s">
        <v>317</v>
      </c>
      <c r="C46" t="s">
        <v>327</v>
      </c>
      <c r="D46" t="s">
        <v>328</v>
      </c>
      <c r="E46" s="8">
        <v>42442</v>
      </c>
      <c r="F46" s="8">
        <v>3979</v>
      </c>
      <c r="G46" s="8">
        <v>2741.6181750233609</v>
      </c>
      <c r="H46" s="8">
        <v>15491.33</v>
      </c>
      <c r="I46" s="8">
        <v>4309.9988029649658</v>
      </c>
      <c r="J46" s="8">
        <v>10157.447364713376</v>
      </c>
      <c r="K46" s="8">
        <v>25465.200000000001</v>
      </c>
      <c r="L46" s="8">
        <v>3250.3831567082807</v>
      </c>
      <c r="M46" s="8">
        <v>3555.1065776496816</v>
      </c>
      <c r="N46" s="6" cm="1">
        <f t="array" ref="N46">_xlfn.XLOOKUP(Table8[[#This Row],[Admin2PCODE]:[Admin2PCODE]],tblPiNAnalysis[[Admin2PCODE]:[Admin2PCODE]],tblPiNAnalysis[% SAMV],0,0)</f>
        <v>0.1</v>
      </c>
      <c r="O46" s="6" cm="1">
        <f t="array" ref="O46">_xlfn.XLOOKUP(Table8[[#This Row],[Admin2PCODE]:[Admin2PCODE]],tblPiNAnalysis[[Admin2PCODE]:[Admin2PCODE]],tblPiNAnalysis[% NUT],0,0)</f>
        <v>0.05</v>
      </c>
      <c r="P46" s="6" cm="1">
        <f t="array" ref="P46">_xlfn.XLOOKUP(Table8[[#This Row],[Admin2PCODE]:[Admin2PCODE]],tblPiNAnalysis[[Admin2PCODE]:[Admin2PCODE]],tblPiNAnalysis[% SAL],0,0)</f>
        <v>0.35000000000000003</v>
      </c>
      <c r="Q46" s="6" cm="1">
        <f t="array" ref="Q46">_xlfn.XLOOKUP(Table8[[#This Row],[Admin2PCODE]:[Admin2PCODE]],tblPiNAnalysis[[Admin2PCODE]:[Admin2PCODE]],tblPiNAnalysis[% EDU],0,0)</f>
        <v>0.1</v>
      </c>
      <c r="R46" s="6" cm="1">
        <f t="array" ref="R46">_xlfn.XLOOKUP(Table8[[#This Row],[Admin2PCODE]:[Admin2PCODE]],tblPiNAnalysis[[Admin2PCODE]:[Admin2PCODE]],tblPiNAnalysis[% PRO],0,0)</f>
        <v>0.25</v>
      </c>
      <c r="S46" s="6" cm="1">
        <f t="array" ref="S46">_xlfn.XLOOKUP(Table8[[#This Row],[Admin2PCODE]:[Admin2PCODE]],tblPiNAnalysis[[Admin2PCODE]:[Admin2PCODE]],tblPiNAnalysis[% WASH],0,0)</f>
        <v>0.60000000000000009</v>
      </c>
      <c r="T46" s="6" cm="1">
        <f t="array" ref="T46">_xlfn.XLOOKUP(Table8[[#This Row],[Admin2PCODE]:[Admin2PCODE]],tblPiNAnalysis[[Admin2PCODE]:[Admin2PCODE]],tblPiNAnalysis[% NNA],0,0)</f>
        <v>0.1</v>
      </c>
      <c r="U46" s="6" cm="1">
        <f t="array" ref="U46">_xlfn.XLOOKUP(Table8[[#This Row],[Admin2PCODE]:[Admin2PCODE]],tblPiNAnalysis[[Admin2PCODE]:[Admin2PCODE]],tblPiNAnalysis[% VBG],0,0)</f>
        <v>0.1</v>
      </c>
      <c r="V46" s="8" cm="1">
        <f t="array" ref="V46">_xlfn.XLOOKUP(Table8[[#This Row],[Admin2PCODE]:[Admin2PCODE]],tblPiNAnalysis[[Admin2PCODE]:[Admin2PCODE]],tblPiNAnalysis[PiN preliminar],0,0)</f>
        <v>25465.200000000001</v>
      </c>
      <c r="W46" s="308" cm="1">
        <f t="array" ref="W46">_xlfn.XLOOKUP(Table8[[#This Row],[Admin2PCODE]],tblPiNAnalysis[Admin2PCODE],tblSeverityAnalysis[Severidad media],0,0)</f>
        <v>3.1666666666666665</v>
      </c>
      <c r="X46" s="42">
        <f>Table8[[#This Row],[Severidad media]]*6</f>
        <v>19</v>
      </c>
      <c r="Y46" s="6" cm="1">
        <f t="array" ref="Y46">_xlfn.XLOOKUP(Table8[[#This Row],[Admin2PCODE]],tblPiNAnalysis[Admin2PCODE],tblPiNAnalysis[% PiN Sectores más altos],0,0)</f>
        <v>0.6</v>
      </c>
      <c r="Z46" s="42" cm="1">
        <f t="array" ref="Z46">_xlfn.XLOOKUP(Table8[[#This Row],[Admin2PCODE]:[Admin2PCODE]],tblPiNAnalysis[[Admin2PCODE]:[Admin2PCODE]],tblPiNAnalysis[Severidad],0,0)</f>
        <v>3</v>
      </c>
      <c r="AA46">
        <f>_xlfn.XLOOKUP(Table8[[#This Row],[Admin2PCODE]],tblSeverityAnalysis[Admin 2 Código P],tblSeverityAnalysis[Severidad Ttotal 2025],0,0)</f>
        <v>4</v>
      </c>
      <c r="AB46" t="str">
        <f>_xlfn.XLOOKUP(Table8[[#This Row],[Admin2PCODE]],tblSeverityAnalysis[Admin 2 Código P],tblSeverityAnalysis[Priorización Final 2025],0,0)</f>
        <v>No</v>
      </c>
      <c r="AC46">
        <v>6</v>
      </c>
      <c r="AD46" t="s">
        <v>985</v>
      </c>
      <c r="AE46">
        <v>14</v>
      </c>
      <c r="AF46">
        <v>0</v>
      </c>
      <c r="AG46">
        <v>0</v>
      </c>
      <c r="AH46">
        <v>0</v>
      </c>
      <c r="AI46">
        <v>1</v>
      </c>
      <c r="AJ46">
        <v>6</v>
      </c>
      <c r="AK46">
        <v>5</v>
      </c>
      <c r="AL46">
        <v>1</v>
      </c>
      <c r="AM46">
        <v>1</v>
      </c>
      <c r="AN46">
        <v>5</v>
      </c>
      <c r="AO46" s="314">
        <f>Table8[[#This Row],[N° Clústeres con respuesta]]/Table8[[#This Row],[Org Total]]</f>
        <v>0.42857142857142855</v>
      </c>
      <c r="AP46" s="313">
        <v>9910</v>
      </c>
      <c r="AQ46" s="313">
        <v>7450</v>
      </c>
      <c r="AR46" s="312">
        <f>Table8[[#This Row],[Alcanzados Oct 2025]]/Table8[[#This Row],[Meta 2025]]</f>
        <v>0.75176589303733599</v>
      </c>
      <c r="AS46" s="423">
        <v>0</v>
      </c>
      <c r="AT46" s="423">
        <v>0</v>
      </c>
      <c r="AU46" s="423">
        <v>0</v>
      </c>
      <c r="AV46" s="423">
        <v>354</v>
      </c>
      <c r="AW46" s="423">
        <v>21</v>
      </c>
      <c r="AX46" s="423">
        <v>146</v>
      </c>
      <c r="AY46" s="423">
        <v>8</v>
      </c>
      <c r="AZ46" s="423">
        <v>389</v>
      </c>
      <c r="BA46" s="42">
        <v>7450</v>
      </c>
    </row>
    <row r="47" spans="1:53">
      <c r="A47" t="s">
        <v>316</v>
      </c>
      <c r="B47" t="s">
        <v>317</v>
      </c>
      <c r="C47" t="s">
        <v>331</v>
      </c>
      <c r="D47" t="s">
        <v>332</v>
      </c>
      <c r="E47" s="8">
        <v>10168</v>
      </c>
      <c r="F47" s="8">
        <v>2034</v>
      </c>
      <c r="G47" s="8">
        <v>354.05141062751409</v>
      </c>
      <c r="H47" s="8">
        <v>7000</v>
      </c>
      <c r="I47" s="8">
        <v>967.18391296109689</v>
      </c>
      <c r="J47" s="8">
        <v>2027.8836373640422</v>
      </c>
      <c r="K47" s="8">
        <v>6100.8</v>
      </c>
      <c r="L47" s="8">
        <v>648.92276395649355</v>
      </c>
      <c r="M47" s="8">
        <v>709.75927307741472</v>
      </c>
      <c r="N47" s="6" cm="1">
        <f t="array" ref="N47">_xlfn.XLOOKUP(Table8[[#This Row],[Admin2PCODE]:[Admin2PCODE]],tblPiNAnalysis[[Admin2PCODE]:[Admin2PCODE]],tblPiNAnalysis[% SAMV],0,0)</f>
        <v>0.2</v>
      </c>
      <c r="O47" s="6" cm="1">
        <f t="array" ref="O47">_xlfn.XLOOKUP(Table8[[#This Row],[Admin2PCODE]:[Admin2PCODE]],tblPiNAnalysis[[Admin2PCODE]:[Admin2PCODE]],tblPiNAnalysis[% NUT],0,0)</f>
        <v>0.05</v>
      </c>
      <c r="P47" s="6" cm="1">
        <f t="array" ref="P47">_xlfn.XLOOKUP(Table8[[#This Row],[Admin2PCODE]:[Admin2PCODE]],tblPiNAnalysis[[Admin2PCODE]:[Admin2PCODE]],tblPiNAnalysis[% SAL],0,0)</f>
        <v>0.70000000000000007</v>
      </c>
      <c r="Q47" s="6" cm="1">
        <f t="array" ref="Q47">_xlfn.XLOOKUP(Table8[[#This Row],[Admin2PCODE]:[Admin2PCODE]],tblPiNAnalysis[[Admin2PCODE]:[Admin2PCODE]],tblPiNAnalysis[% EDU],0,0)</f>
        <v>0.1</v>
      </c>
      <c r="R47" s="6" cm="1">
        <f t="array" ref="R47">_xlfn.XLOOKUP(Table8[[#This Row],[Admin2PCODE]:[Admin2PCODE]],tblPiNAnalysis[[Admin2PCODE]:[Admin2PCODE]],tblPiNAnalysis[% PRO],0,0)</f>
        <v>0.2</v>
      </c>
      <c r="S47" s="6" cm="1">
        <f t="array" ref="S47">_xlfn.XLOOKUP(Table8[[#This Row],[Admin2PCODE]:[Admin2PCODE]],tblPiNAnalysis[[Admin2PCODE]:[Admin2PCODE]],tblPiNAnalysis[% WASH],0,0)</f>
        <v>0.60000000000000009</v>
      </c>
      <c r="T47" s="6" cm="1">
        <f t="array" ref="T47">_xlfn.XLOOKUP(Table8[[#This Row],[Admin2PCODE]:[Admin2PCODE]],tblPiNAnalysis[[Admin2PCODE]:[Admin2PCODE]],tblPiNAnalysis[% NNA],0,0)</f>
        <v>0.05</v>
      </c>
      <c r="U47" s="6" cm="1">
        <f t="array" ref="U47">_xlfn.XLOOKUP(Table8[[#This Row],[Admin2PCODE]:[Admin2PCODE]],tblPiNAnalysis[[Admin2PCODE]:[Admin2PCODE]],tblPiNAnalysis[% VBG],0,0)</f>
        <v>0.05</v>
      </c>
      <c r="V47" s="8" cm="1">
        <f t="array" ref="V47">_xlfn.XLOOKUP(Table8[[#This Row],[Admin2PCODE]:[Admin2PCODE]],tblPiNAnalysis[[Admin2PCODE]:[Admin2PCODE]],tblPiNAnalysis[PiN preliminar],0,0)</f>
        <v>7000</v>
      </c>
      <c r="W47" s="308" cm="1">
        <f t="array" ref="W47">_xlfn.XLOOKUP(Table8[[#This Row],[Admin2PCODE]],tblPiNAnalysis[Admin2PCODE],tblSeverityAnalysis[Severidad media],0,0)</f>
        <v>2.5</v>
      </c>
      <c r="X47" s="42">
        <f>Table8[[#This Row],[Severidad media]]*6</f>
        <v>15</v>
      </c>
      <c r="Y47" s="6" cm="1">
        <f t="array" ref="Y47">_xlfn.XLOOKUP(Table8[[#This Row],[Admin2PCODE]],tblPiNAnalysis[Admin2PCODE],tblPiNAnalysis[% PiN Sectores más altos],0,0)</f>
        <v>0.68843430369787573</v>
      </c>
      <c r="Z47" s="42" cm="1">
        <f t="array" ref="Z47">_xlfn.XLOOKUP(Table8[[#This Row],[Admin2PCODE]:[Admin2PCODE]],tblPiNAnalysis[[Admin2PCODE]:[Admin2PCODE]],tblPiNAnalysis[Severidad],0,0)</f>
        <v>3</v>
      </c>
      <c r="AA47">
        <f>_xlfn.XLOOKUP(Table8[[#This Row],[Admin2PCODE]],tblSeverityAnalysis[Admin 2 Código P],tblSeverityAnalysis[Severidad Ttotal 2025],0,0)</f>
        <v>4</v>
      </c>
      <c r="AB47" t="str">
        <f>_xlfn.XLOOKUP(Table8[[#This Row],[Admin2PCODE]],tblSeverityAnalysis[Admin 2 Código P],tblSeverityAnalysis[Priorización Final 2025],0,0)</f>
        <v>No</v>
      </c>
      <c r="AC47">
        <v>0</v>
      </c>
      <c r="AD47">
        <v>0</v>
      </c>
      <c r="AE47">
        <v>0</v>
      </c>
      <c r="AF47">
        <v>0</v>
      </c>
      <c r="AG47">
        <v>0</v>
      </c>
      <c r="AH47">
        <v>0</v>
      </c>
      <c r="AI47">
        <v>0</v>
      </c>
      <c r="AJ47">
        <v>0</v>
      </c>
      <c r="AK47">
        <v>0</v>
      </c>
      <c r="AL47">
        <v>0</v>
      </c>
      <c r="AM47">
        <v>0</v>
      </c>
      <c r="AN47">
        <v>0</v>
      </c>
      <c r="AO47" s="314" t="e">
        <f>Table8[[#This Row],[N° Clústeres con respuesta]]/Table8[[#This Row],[Org Total]]</f>
        <v>#DIV/0!</v>
      </c>
      <c r="AP47" s="313">
        <v>2374</v>
      </c>
      <c r="AQ47" s="313">
        <v>0</v>
      </c>
      <c r="AR47" s="312">
        <f>Table8[[#This Row],[Alcanzados Oct 2025]]/Table8[[#This Row],[Meta 2025]]</f>
        <v>0</v>
      </c>
      <c r="AS47" s="423">
        <v>0</v>
      </c>
      <c r="AT47" s="423">
        <v>0</v>
      </c>
      <c r="AU47" s="423">
        <v>0</v>
      </c>
      <c r="AV47" s="423">
        <v>0</v>
      </c>
      <c r="AW47" s="423">
        <v>0</v>
      </c>
      <c r="AX47" s="423">
        <v>0</v>
      </c>
      <c r="AY47" s="423">
        <v>0</v>
      </c>
      <c r="AZ47" s="423">
        <v>0</v>
      </c>
      <c r="BA47" s="42">
        <v>0</v>
      </c>
    </row>
    <row r="48" spans="1:53">
      <c r="A48" t="s">
        <v>316</v>
      </c>
      <c r="B48" t="s">
        <v>317</v>
      </c>
      <c r="C48" t="s">
        <v>316</v>
      </c>
      <c r="D48" t="s">
        <v>333</v>
      </c>
      <c r="E48" s="8">
        <v>47260</v>
      </c>
      <c r="F48" s="8">
        <v>8303</v>
      </c>
      <c r="G48" s="8">
        <v>2335.1810107225751</v>
      </c>
      <c r="H48" s="8">
        <v>17249.900000000001</v>
      </c>
      <c r="I48" s="8">
        <v>4467.9959280783969</v>
      </c>
      <c r="J48" s="8">
        <v>9425.4308322014749</v>
      </c>
      <c r="K48" s="8">
        <v>28356</v>
      </c>
      <c r="L48" s="8">
        <v>3025.5632971366736</v>
      </c>
      <c r="M48" s="8">
        <v>3298.9007912705165</v>
      </c>
      <c r="N48" s="6" cm="1">
        <f t="array" ref="N48">_xlfn.XLOOKUP(Table8[[#This Row],[Admin2PCODE]:[Admin2PCODE]],tblPiNAnalysis[[Admin2PCODE]:[Admin2PCODE]],tblPiNAnalysis[% SAMV],0,0)</f>
        <v>0.2</v>
      </c>
      <c r="O48" s="6" cm="1">
        <f t="array" ref="O48">_xlfn.XLOOKUP(Table8[[#This Row],[Admin2PCODE]:[Admin2PCODE]],tblPiNAnalysis[[Admin2PCODE]:[Admin2PCODE]],tblPiNAnalysis[% NUT],0,0)</f>
        <v>0.05</v>
      </c>
      <c r="P48" s="6" cm="1">
        <f t="array" ref="P48">_xlfn.XLOOKUP(Table8[[#This Row],[Admin2PCODE]:[Admin2PCODE]],tblPiNAnalysis[[Admin2PCODE]:[Admin2PCODE]],tblPiNAnalysis[% SAL],0,0)</f>
        <v>0.35000000000000003</v>
      </c>
      <c r="Q48" s="6" cm="1">
        <f t="array" ref="Q48">_xlfn.XLOOKUP(Table8[[#This Row],[Admin2PCODE]:[Admin2PCODE]],tblPiNAnalysis[[Admin2PCODE]:[Admin2PCODE]],tblPiNAnalysis[% EDU],0,0)</f>
        <v>0.1</v>
      </c>
      <c r="R48" s="6" cm="1">
        <f t="array" ref="R48">_xlfn.XLOOKUP(Table8[[#This Row],[Admin2PCODE]:[Admin2PCODE]],tblPiNAnalysis[[Admin2PCODE]:[Admin2PCODE]],tblPiNAnalysis[% PRO],0,0)</f>
        <v>0.2</v>
      </c>
      <c r="S48" s="6" cm="1">
        <f t="array" ref="S48">_xlfn.XLOOKUP(Table8[[#This Row],[Admin2PCODE]:[Admin2PCODE]],tblPiNAnalysis[[Admin2PCODE]:[Admin2PCODE]],tblPiNAnalysis[% WASH],0,0)</f>
        <v>0.60000000000000009</v>
      </c>
      <c r="T48" s="6" cm="1">
        <f t="array" ref="T48">_xlfn.XLOOKUP(Table8[[#This Row],[Admin2PCODE]:[Admin2PCODE]],tblPiNAnalysis[[Admin2PCODE]:[Admin2PCODE]],tblPiNAnalysis[% NNA],0,0)</f>
        <v>0.05</v>
      </c>
      <c r="U48" s="6" cm="1">
        <f t="array" ref="U48">_xlfn.XLOOKUP(Table8[[#This Row],[Admin2PCODE]:[Admin2PCODE]],tblPiNAnalysis[[Admin2PCODE]:[Admin2PCODE]],tblPiNAnalysis[% VBG],0,0)</f>
        <v>0.05</v>
      </c>
      <c r="V48" s="8" cm="1">
        <f t="array" ref="V48">_xlfn.XLOOKUP(Table8[[#This Row],[Admin2PCODE]:[Admin2PCODE]],tblPiNAnalysis[[Admin2PCODE]:[Admin2PCODE]],tblPiNAnalysis[PiN preliminar],0,0)</f>
        <v>28356</v>
      </c>
      <c r="W48" s="308" cm="1">
        <f t="array" ref="W48">_xlfn.XLOOKUP(Table8[[#This Row],[Admin2PCODE]],tblPiNAnalysis[Admin2PCODE],tblSeverityAnalysis[Severidad media],0,0)</f>
        <v>3.1666666666666665</v>
      </c>
      <c r="X48" s="42">
        <f>Table8[[#This Row],[Severidad media]]*6</f>
        <v>19</v>
      </c>
      <c r="Y48" s="6" cm="1">
        <f t="array" ref="Y48">_xlfn.XLOOKUP(Table8[[#This Row],[Admin2PCODE]],tblPiNAnalysis[Admin2PCODE],tblPiNAnalysis[% PiN Sectores más altos],0,0)</f>
        <v>0.6</v>
      </c>
      <c r="Z48" s="42" cm="1">
        <f t="array" ref="Z48">_xlfn.XLOOKUP(Table8[[#This Row],[Admin2PCODE]:[Admin2PCODE]],tblPiNAnalysis[[Admin2PCODE]:[Admin2PCODE]],tblPiNAnalysis[Severidad],0,0)</f>
        <v>3</v>
      </c>
      <c r="AA48">
        <f>_xlfn.XLOOKUP(Table8[[#This Row],[Admin2PCODE]],tblSeverityAnalysis[Admin 2 Código P],tblSeverityAnalysis[Severidad Ttotal 2025],0,0)</f>
        <v>4</v>
      </c>
      <c r="AB48" t="str">
        <f>_xlfn.XLOOKUP(Table8[[#This Row],[Admin2PCODE]],tblSeverityAnalysis[Admin 2 Código P],tblSeverityAnalysis[Priorización Final 2025],0,0)</f>
        <v>No</v>
      </c>
      <c r="AC48">
        <v>7</v>
      </c>
      <c r="AD48" t="s">
        <v>986</v>
      </c>
      <c r="AE48">
        <v>11</v>
      </c>
      <c r="AF48">
        <v>0</v>
      </c>
      <c r="AG48">
        <v>1</v>
      </c>
      <c r="AH48">
        <v>0</v>
      </c>
      <c r="AI48">
        <v>2</v>
      </c>
      <c r="AJ48">
        <v>5</v>
      </c>
      <c r="AK48">
        <v>3</v>
      </c>
      <c r="AL48">
        <v>3</v>
      </c>
      <c r="AM48">
        <v>1</v>
      </c>
      <c r="AN48">
        <v>4</v>
      </c>
      <c r="AO48" s="314">
        <f>Table8[[#This Row],[N° Clústeres con respuesta]]/Table8[[#This Row],[Org Total]]</f>
        <v>0.63636363636363635</v>
      </c>
      <c r="AP48" s="313">
        <v>11034</v>
      </c>
      <c r="AQ48" s="313">
        <v>4609</v>
      </c>
      <c r="AR48" s="312">
        <f>Table8[[#This Row],[Alcanzados Oct 2025]]/Table8[[#This Row],[Meta 2025]]</f>
        <v>0.41770889976436471</v>
      </c>
      <c r="AS48" s="423">
        <v>0</v>
      </c>
      <c r="AT48" s="423">
        <v>0</v>
      </c>
      <c r="AU48" s="423">
        <v>0</v>
      </c>
      <c r="AV48" s="423">
        <v>2301</v>
      </c>
      <c r="AW48" s="423">
        <v>114</v>
      </c>
      <c r="AX48" s="423">
        <v>80</v>
      </c>
      <c r="AY48" s="423">
        <v>245</v>
      </c>
      <c r="AZ48" s="423">
        <v>916</v>
      </c>
      <c r="BA48" s="42">
        <v>4609</v>
      </c>
    </row>
    <row r="49" spans="1:53">
      <c r="A49" t="s">
        <v>705</v>
      </c>
      <c r="B49" t="s">
        <v>706</v>
      </c>
      <c r="C49" t="s">
        <v>713</v>
      </c>
      <c r="D49" t="s">
        <v>714</v>
      </c>
      <c r="E49" s="8">
        <v>41616</v>
      </c>
      <c r="F49" s="8">
        <v>1734</v>
      </c>
      <c r="G49" s="8">
        <v>3113.2588394437125</v>
      </c>
      <c r="H49" s="8">
        <v>15189.84</v>
      </c>
      <c r="I49" s="8">
        <v>6960.4254978717099</v>
      </c>
      <c r="J49" s="8">
        <v>8265.7212702245997</v>
      </c>
      <c r="K49" s="8">
        <v>18727.2</v>
      </c>
      <c r="L49" s="8">
        <v>2645.030806471872</v>
      </c>
      <c r="M49" s="8">
        <v>2893.0024445786098</v>
      </c>
      <c r="N49" s="6" cm="1">
        <f t="array" ref="N49">_xlfn.XLOOKUP(Table8[[#This Row],[Admin2PCODE]:[Admin2PCODE]],tblPiNAnalysis[[Admin2PCODE]:[Admin2PCODE]],tblPiNAnalysis[% SAMV],0,0)</f>
        <v>0.05</v>
      </c>
      <c r="O49" s="6" cm="1">
        <f t="array" ref="O49">_xlfn.XLOOKUP(Table8[[#This Row],[Admin2PCODE]:[Admin2PCODE]],tblPiNAnalysis[[Admin2PCODE]:[Admin2PCODE]],tblPiNAnalysis[% NUT],0,0)</f>
        <v>0.05</v>
      </c>
      <c r="P49" s="6" cm="1">
        <f t="array" ref="P49">_xlfn.XLOOKUP(Table8[[#This Row],[Admin2PCODE]:[Admin2PCODE]],tblPiNAnalysis[[Admin2PCODE]:[Admin2PCODE]],tblPiNAnalysis[% SAL],0,0)</f>
        <v>0.35000000000000003</v>
      </c>
      <c r="Q49" s="6" cm="1">
        <f t="array" ref="Q49">_xlfn.XLOOKUP(Table8[[#This Row],[Admin2PCODE]:[Admin2PCODE]],tblPiNAnalysis[[Admin2PCODE]:[Admin2PCODE]],tblPiNAnalysis[% EDU],0,0)</f>
        <v>0.15000000000000002</v>
      </c>
      <c r="R49" s="6" cm="1">
        <f t="array" ref="R49">_xlfn.XLOOKUP(Table8[[#This Row],[Admin2PCODE]:[Admin2PCODE]],tblPiNAnalysis[[Admin2PCODE]:[Admin2PCODE]],tblPiNAnalysis[% PRO],0,0)</f>
        <v>0.2</v>
      </c>
      <c r="S49" s="6" cm="1">
        <f t="array" ref="S49">_xlfn.XLOOKUP(Table8[[#This Row],[Admin2PCODE]:[Admin2PCODE]],tblPiNAnalysis[[Admin2PCODE]:[Admin2PCODE]],tblPiNAnalysis[% WASH],0,0)</f>
        <v>0.45</v>
      </c>
      <c r="T49" s="6" cm="1">
        <f t="array" ref="T49">_xlfn.XLOOKUP(Table8[[#This Row],[Admin2PCODE]:[Admin2PCODE]],tblPiNAnalysis[[Admin2PCODE]:[Admin2PCODE]],tblPiNAnalysis[% NNA],0,0)</f>
        <v>0.05</v>
      </c>
      <c r="U49" s="6" cm="1">
        <f t="array" ref="U49">_xlfn.XLOOKUP(Table8[[#This Row],[Admin2PCODE]:[Admin2PCODE]],tblPiNAnalysis[[Admin2PCODE]:[Admin2PCODE]],tblPiNAnalysis[% VBG],0,0)</f>
        <v>0.05</v>
      </c>
      <c r="V49" s="8" cm="1">
        <f t="array" ref="V49">_xlfn.XLOOKUP(Table8[[#This Row],[Admin2PCODE]:[Admin2PCODE]],tblPiNAnalysis[[Admin2PCODE]:[Admin2PCODE]],tblPiNAnalysis[PiN preliminar],0,0)</f>
        <v>18727.2</v>
      </c>
      <c r="W49" s="308" cm="1">
        <f t="array" ref="W49">_xlfn.XLOOKUP(Table8[[#This Row],[Admin2PCODE]],tblPiNAnalysis[Admin2PCODE],tblSeverityAnalysis[Severidad media],0,0)</f>
        <v>2.8333333333333335</v>
      </c>
      <c r="X49" s="42">
        <f>Table8[[#This Row],[Severidad media]]*6</f>
        <v>17</v>
      </c>
      <c r="Y49" s="6" cm="1">
        <f t="array" ref="Y49">_xlfn.XLOOKUP(Table8[[#This Row],[Admin2PCODE]],tblPiNAnalysis[Admin2PCODE],tblPiNAnalysis[% PiN Sectores más altos],0,0)</f>
        <v>0.45</v>
      </c>
      <c r="Z49" s="42" cm="1">
        <f t="array" ref="Z49">_xlfn.XLOOKUP(Table8[[#This Row],[Admin2PCODE]:[Admin2PCODE]],tblPiNAnalysis[[Admin2PCODE]:[Admin2PCODE]],tblPiNAnalysis[Severidad],0,0)</f>
        <v>4</v>
      </c>
      <c r="AA49">
        <f>_xlfn.XLOOKUP(Table8[[#This Row],[Admin2PCODE]],tblSeverityAnalysis[Admin 2 Código P],tblSeverityAnalysis[Severidad Ttotal 2025],0,0)</f>
        <v>4</v>
      </c>
      <c r="AB49" t="str">
        <f>_xlfn.XLOOKUP(Table8[[#This Row],[Admin2PCODE]],tblSeverityAnalysis[Admin 2 Código P],tblSeverityAnalysis[Priorización Final 2025],0,0)</f>
        <v>Sí</v>
      </c>
      <c r="AC49">
        <v>8</v>
      </c>
      <c r="AD49" t="s">
        <v>987</v>
      </c>
      <c r="AE49">
        <v>15</v>
      </c>
      <c r="AF49">
        <v>3</v>
      </c>
      <c r="AG49">
        <v>6</v>
      </c>
      <c r="AH49">
        <v>0</v>
      </c>
      <c r="AI49">
        <v>4</v>
      </c>
      <c r="AJ49">
        <v>8</v>
      </c>
      <c r="AK49">
        <v>6</v>
      </c>
      <c r="AL49">
        <v>2</v>
      </c>
      <c r="AM49">
        <v>5</v>
      </c>
      <c r="AN49">
        <v>3</v>
      </c>
      <c r="AO49" s="314">
        <f>Table8[[#This Row],[N° Clústeres con respuesta]]/Table8[[#This Row],[Org Total]]</f>
        <v>0.53333333333333333</v>
      </c>
      <c r="AP49" s="313">
        <v>9717</v>
      </c>
      <c r="AQ49" s="313">
        <v>15541</v>
      </c>
      <c r="AR49" s="312">
        <f>Table8[[#This Row],[Alcanzados Oct 2025]]/Table8[[#This Row],[Meta 2025]]</f>
        <v>1.5993619429865185</v>
      </c>
      <c r="AS49" s="423">
        <v>1073</v>
      </c>
      <c r="AT49" s="423">
        <v>2098</v>
      </c>
      <c r="AU49" s="423">
        <v>0</v>
      </c>
      <c r="AV49" s="423">
        <v>2882</v>
      </c>
      <c r="AW49" s="423">
        <v>1349</v>
      </c>
      <c r="AX49" s="423">
        <v>1604</v>
      </c>
      <c r="AY49" s="423">
        <v>316</v>
      </c>
      <c r="AZ49" s="423">
        <v>14643</v>
      </c>
      <c r="BA49" s="42">
        <v>500</v>
      </c>
    </row>
    <row r="50" spans="1:53">
      <c r="A50" t="s">
        <v>705</v>
      </c>
      <c r="B50" t="s">
        <v>706</v>
      </c>
      <c r="C50" t="s">
        <v>715</v>
      </c>
      <c r="D50" t="s">
        <v>716</v>
      </c>
      <c r="E50" s="8">
        <v>131637</v>
      </c>
      <c r="F50" s="8">
        <v>9609</v>
      </c>
      <c r="G50" s="8">
        <v>8392.6171726725388</v>
      </c>
      <c r="H50" s="8">
        <v>48047.504999999997</v>
      </c>
      <c r="I50" s="8">
        <v>20046.072436259514</v>
      </c>
      <c r="J50" s="8">
        <v>31374.704465067924</v>
      </c>
      <c r="K50" s="8">
        <v>17770.994999999999</v>
      </c>
      <c r="L50" s="8">
        <v>10071.280133286804</v>
      </c>
      <c r="M50" s="8">
        <v>10981.146562773774</v>
      </c>
      <c r="N50" s="6" cm="1">
        <f t="array" ref="N50">_xlfn.XLOOKUP(Table8[[#This Row],[Admin2PCODE]:[Admin2PCODE]],tblPiNAnalysis[[Admin2PCODE]:[Admin2PCODE]],tblPiNAnalysis[% SAMV],0,0)</f>
        <v>0.05</v>
      </c>
      <c r="O50" s="6" cm="1">
        <f t="array" ref="O50">_xlfn.XLOOKUP(Table8[[#This Row],[Admin2PCODE]:[Admin2PCODE]],tblPiNAnalysis[[Admin2PCODE]:[Admin2PCODE]],tblPiNAnalysis[% NUT],0,0)</f>
        <v>0.05</v>
      </c>
      <c r="P50" s="6" cm="1">
        <f t="array" ref="P50">_xlfn.XLOOKUP(Table8[[#This Row],[Admin2PCODE]:[Admin2PCODE]],tblPiNAnalysis[[Admin2PCODE]:[Admin2PCODE]],tblPiNAnalysis[% SAL],0,0)</f>
        <v>0.35000000000000003</v>
      </c>
      <c r="Q50" s="6" cm="1">
        <f t="array" ref="Q50">_xlfn.XLOOKUP(Table8[[#This Row],[Admin2PCODE]:[Admin2PCODE]],tblPiNAnalysis[[Admin2PCODE]:[Admin2PCODE]],tblPiNAnalysis[% EDU],0,0)</f>
        <v>0.15000000000000002</v>
      </c>
      <c r="R50" s="6" cm="1">
        <f t="array" ref="R50">_xlfn.XLOOKUP(Table8[[#This Row],[Admin2PCODE]:[Admin2PCODE]],tblPiNAnalysis[[Admin2PCODE]:[Admin2PCODE]],tblPiNAnalysis[% PRO],0,0)</f>
        <v>0.25</v>
      </c>
      <c r="S50" s="6" cm="1">
        <f t="array" ref="S50">_xlfn.XLOOKUP(Table8[[#This Row],[Admin2PCODE]:[Admin2PCODE]],tblPiNAnalysis[[Admin2PCODE]:[Admin2PCODE]],tblPiNAnalysis[% WASH],0,0)</f>
        <v>0.15000000000000002</v>
      </c>
      <c r="T50" s="6" cm="1">
        <f t="array" ref="T50">_xlfn.XLOOKUP(Table8[[#This Row],[Admin2PCODE]:[Admin2PCODE]],tblPiNAnalysis[[Admin2PCODE]:[Admin2PCODE]],tblPiNAnalysis[% NNA],0,0)</f>
        <v>0.1</v>
      </c>
      <c r="U50" s="6" cm="1">
        <f t="array" ref="U50">_xlfn.XLOOKUP(Table8[[#This Row],[Admin2PCODE]:[Admin2PCODE]],tblPiNAnalysis[[Admin2PCODE]:[Admin2PCODE]],tblPiNAnalysis[% VBG],0,0)</f>
        <v>0.1</v>
      </c>
      <c r="V50" s="8" cm="1">
        <f t="array" ref="V50">_xlfn.XLOOKUP(Table8[[#This Row],[Admin2PCODE]:[Admin2PCODE]],tblPiNAnalysis[[Admin2PCODE]:[Admin2PCODE]],tblPiNAnalysis[PiN preliminar],0,0)</f>
        <v>48047.504999999997</v>
      </c>
      <c r="W50" s="308" cm="1">
        <f t="array" ref="W50">_xlfn.XLOOKUP(Table8[[#This Row],[Admin2PCODE]],tblPiNAnalysis[Admin2PCODE],tblSeverityAnalysis[Severidad media],0,0)</f>
        <v>2.5</v>
      </c>
      <c r="X50" s="42">
        <f>Table8[[#This Row],[Severidad media]]*6</f>
        <v>15</v>
      </c>
      <c r="Y50" s="6" cm="1">
        <f t="array" ref="Y50">_xlfn.XLOOKUP(Table8[[#This Row],[Admin2PCODE]],tblPiNAnalysis[Admin2PCODE],tblPiNAnalysis[% PiN Sectores más altos],0,0)</f>
        <v>0.36499999999999999</v>
      </c>
      <c r="Z50" s="42" cm="1">
        <f t="array" ref="Z50">_xlfn.XLOOKUP(Table8[[#This Row],[Admin2PCODE]:[Admin2PCODE]],tblPiNAnalysis[[Admin2PCODE]:[Admin2PCODE]],tblPiNAnalysis[Severidad],0,0)</f>
        <v>4</v>
      </c>
      <c r="AA50">
        <f>_xlfn.XLOOKUP(Table8[[#This Row],[Admin2PCODE]],tblSeverityAnalysis[Admin 2 Código P],tblSeverityAnalysis[Severidad Ttotal 2025],0,0)</f>
        <v>4</v>
      </c>
      <c r="AB50" t="str">
        <f>_xlfn.XLOOKUP(Table8[[#This Row],[Admin2PCODE]],tblSeverityAnalysis[Admin 2 Código P],tblSeverityAnalysis[Priorización Final 2025],0,0)</f>
        <v>Sí</v>
      </c>
      <c r="AC50">
        <v>8</v>
      </c>
      <c r="AD50" t="s">
        <v>988</v>
      </c>
      <c r="AE50">
        <v>15</v>
      </c>
      <c r="AF50">
        <v>1</v>
      </c>
      <c r="AG50">
        <v>7</v>
      </c>
      <c r="AH50">
        <v>0</v>
      </c>
      <c r="AI50">
        <v>4</v>
      </c>
      <c r="AJ50">
        <v>7</v>
      </c>
      <c r="AK50">
        <v>5</v>
      </c>
      <c r="AL50">
        <v>3</v>
      </c>
      <c r="AM50">
        <v>6</v>
      </c>
      <c r="AN50">
        <v>5</v>
      </c>
      <c r="AO50" s="314">
        <f>Table8[[#This Row],[N° Clústeres con respuesta]]/Table8[[#This Row],[Org Total]]</f>
        <v>0.53333333333333333</v>
      </c>
      <c r="AP50" s="313">
        <v>30733</v>
      </c>
      <c r="AQ50" s="313">
        <v>19756</v>
      </c>
      <c r="AR50" s="312">
        <f>Table8[[#This Row],[Alcanzados Oct 2025]]/Table8[[#This Row],[Meta 2025]]</f>
        <v>0.64282692870855429</v>
      </c>
      <c r="AS50" s="423">
        <v>555</v>
      </c>
      <c r="AT50" s="423">
        <v>2500</v>
      </c>
      <c r="AU50" s="423">
        <v>0</v>
      </c>
      <c r="AV50" s="423">
        <v>6865</v>
      </c>
      <c r="AW50" s="423">
        <v>1776</v>
      </c>
      <c r="AX50" s="423">
        <v>1158</v>
      </c>
      <c r="AY50" s="423">
        <v>321</v>
      </c>
      <c r="AZ50" s="423">
        <v>19543</v>
      </c>
      <c r="BA50" s="42">
        <v>445</v>
      </c>
    </row>
    <row r="51" spans="1:53">
      <c r="A51" t="s">
        <v>705</v>
      </c>
      <c r="B51" t="s">
        <v>706</v>
      </c>
      <c r="C51" t="s">
        <v>807</v>
      </c>
      <c r="D51" t="s">
        <v>728</v>
      </c>
      <c r="E51" s="8">
        <v>125501</v>
      </c>
      <c r="F51" s="8">
        <v>0</v>
      </c>
      <c r="G51" s="8">
        <v>6512.8598284746859</v>
      </c>
      <c r="H51" s="8">
        <v>45807.864999999998</v>
      </c>
      <c r="I51" s="8">
        <v>15704.379175137039</v>
      </c>
      <c r="J51" s="8">
        <v>29912.234288767508</v>
      </c>
      <c r="K51" s="8">
        <v>16942.635000000002</v>
      </c>
      <c r="L51" s="8">
        <v>9571.9149724056024</v>
      </c>
      <c r="M51" s="8">
        <v>10469.282001068626</v>
      </c>
      <c r="N51" s="6" cm="1">
        <f t="array" ref="N51">_xlfn.XLOOKUP(Table8[[#This Row],[Admin2PCODE]:[Admin2PCODE]],tblPiNAnalysis[[Admin2PCODE]:[Admin2PCODE]],tblPiNAnalysis[% SAMV],0,0)</f>
        <v>0</v>
      </c>
      <c r="O51" s="6" cm="1">
        <f t="array" ref="O51">_xlfn.XLOOKUP(Table8[[#This Row],[Admin2PCODE]:[Admin2PCODE]],tblPiNAnalysis[[Admin2PCODE]:[Admin2PCODE]],tblPiNAnalysis[% NUT],0,0)</f>
        <v>0.05</v>
      </c>
      <c r="P51" s="6" cm="1">
        <f t="array" ref="P51">_xlfn.XLOOKUP(Table8[[#This Row],[Admin2PCODE]:[Admin2PCODE]],tblPiNAnalysis[[Admin2PCODE]:[Admin2PCODE]],tblPiNAnalysis[% SAL],0,0)</f>
        <v>0.35000000000000003</v>
      </c>
      <c r="Q51" s="6" cm="1">
        <f t="array" ref="Q51">_xlfn.XLOOKUP(Table8[[#This Row],[Admin2PCODE]:[Admin2PCODE]],tblPiNAnalysis[[Admin2PCODE]:[Admin2PCODE]],tblPiNAnalysis[% EDU],0,0)</f>
        <v>0.15000000000000002</v>
      </c>
      <c r="R51" s="6" cm="1">
        <f t="array" ref="R51">_xlfn.XLOOKUP(Table8[[#This Row],[Admin2PCODE]:[Admin2PCODE]],tblPiNAnalysis[[Admin2PCODE]:[Admin2PCODE]],tblPiNAnalysis[% PRO],0,0)</f>
        <v>0.25</v>
      </c>
      <c r="S51" s="6" cm="1">
        <f t="array" ref="S51">_xlfn.XLOOKUP(Table8[[#This Row],[Admin2PCODE]:[Admin2PCODE]],tblPiNAnalysis[[Admin2PCODE]:[Admin2PCODE]],tblPiNAnalysis[% WASH],0,0)</f>
        <v>0.15000000000000002</v>
      </c>
      <c r="T51" s="6" cm="1">
        <f t="array" ref="T51">_xlfn.XLOOKUP(Table8[[#This Row],[Admin2PCODE]:[Admin2PCODE]],tblPiNAnalysis[[Admin2PCODE]:[Admin2PCODE]],tblPiNAnalysis[% NNA],0,0)</f>
        <v>0.1</v>
      </c>
      <c r="U51" s="6" cm="1">
        <f t="array" ref="U51">_xlfn.XLOOKUP(Table8[[#This Row],[Admin2PCODE]:[Admin2PCODE]],tblPiNAnalysis[[Admin2PCODE]:[Admin2PCODE]],tblPiNAnalysis[% VBG],0,0)</f>
        <v>0.1</v>
      </c>
      <c r="V51" s="8" cm="1">
        <f t="array" ref="V51">_xlfn.XLOOKUP(Table8[[#This Row],[Admin2PCODE]:[Admin2PCODE]],tblPiNAnalysis[[Admin2PCODE]:[Admin2PCODE]],tblPiNAnalysis[PiN preliminar],0,0)</f>
        <v>45807.864999999998</v>
      </c>
      <c r="W51" s="308" cm="1">
        <f t="array" ref="W51">_xlfn.XLOOKUP(Table8[[#This Row],[Admin2PCODE]],tblPiNAnalysis[Admin2PCODE],tblSeverityAnalysis[Severidad media],0,0)</f>
        <v>2.8333333333333335</v>
      </c>
      <c r="X51" s="42">
        <f>Table8[[#This Row],[Severidad media]]*6</f>
        <v>17</v>
      </c>
      <c r="Y51" s="6" cm="1">
        <f t="array" ref="Y51">_xlfn.XLOOKUP(Table8[[#This Row],[Admin2PCODE]],tblPiNAnalysis[Admin2PCODE],tblPiNAnalysis[% PiN Sectores más altos],0,0)</f>
        <v>0.36499999999999999</v>
      </c>
      <c r="Z51" s="42" cm="1">
        <f t="array" ref="Z51">_xlfn.XLOOKUP(Table8[[#This Row],[Admin2PCODE]:[Admin2PCODE]],tblPiNAnalysis[[Admin2PCODE]:[Admin2PCODE]],tblPiNAnalysis[Severidad],0,0)</f>
        <v>3</v>
      </c>
      <c r="AA51">
        <f>_xlfn.XLOOKUP(Table8[[#This Row],[Admin2PCODE]],tblSeverityAnalysis[Admin 2 Código P],tblSeverityAnalysis[Severidad Ttotal 2025],0,0)</f>
        <v>4</v>
      </c>
      <c r="AB51" t="str">
        <f>_xlfn.XLOOKUP(Table8[[#This Row],[Admin2PCODE]],tblSeverityAnalysis[Admin 2 Código P],tblSeverityAnalysis[Priorización Final 2025],0,0)</f>
        <v>Sí</v>
      </c>
      <c r="AC51">
        <v>7</v>
      </c>
      <c r="AD51" t="s">
        <v>989</v>
      </c>
      <c r="AE51">
        <v>16</v>
      </c>
      <c r="AF51">
        <v>1</v>
      </c>
      <c r="AG51">
        <v>5</v>
      </c>
      <c r="AH51">
        <v>1</v>
      </c>
      <c r="AI51">
        <v>3</v>
      </c>
      <c r="AJ51">
        <v>8</v>
      </c>
      <c r="AK51">
        <v>6</v>
      </c>
      <c r="AL51">
        <v>0</v>
      </c>
      <c r="AM51">
        <v>4</v>
      </c>
      <c r="AN51">
        <v>3</v>
      </c>
      <c r="AO51" s="314">
        <f>Table8[[#This Row],[N° Clústeres con respuesta]]/Table8[[#This Row],[Org Total]]</f>
        <v>0.4375</v>
      </c>
      <c r="AP51" s="313">
        <v>29302</v>
      </c>
      <c r="AQ51" s="313">
        <v>35040</v>
      </c>
      <c r="AR51" s="312">
        <f>Table8[[#This Row],[Alcanzados Oct 2025]]/Table8[[#This Row],[Meta 2025]]</f>
        <v>1.1958228107296431</v>
      </c>
      <c r="AS51" s="423">
        <v>6</v>
      </c>
      <c r="AT51" s="423">
        <v>104</v>
      </c>
      <c r="AU51" s="423">
        <v>135</v>
      </c>
      <c r="AV51" s="423">
        <v>8805</v>
      </c>
      <c r="AW51" s="423">
        <v>1502</v>
      </c>
      <c r="AX51" s="423">
        <v>1315</v>
      </c>
      <c r="AY51" s="423">
        <v>0</v>
      </c>
      <c r="AZ51" s="423">
        <v>33021</v>
      </c>
      <c r="BA51" s="42">
        <v>1155</v>
      </c>
    </row>
    <row r="52" spans="1:53">
      <c r="A52" t="s">
        <v>316</v>
      </c>
      <c r="B52" t="s">
        <v>317</v>
      </c>
      <c r="C52" t="s">
        <v>147</v>
      </c>
      <c r="D52" t="s">
        <v>349</v>
      </c>
      <c r="E52" s="8">
        <v>10869</v>
      </c>
      <c r="F52" s="8">
        <v>1418</v>
      </c>
      <c r="G52" s="8">
        <v>916.92668144987113</v>
      </c>
      <c r="H52" s="8">
        <v>8400</v>
      </c>
      <c r="I52" s="8">
        <v>932.3776863418052</v>
      </c>
      <c r="J52" s="8">
        <v>2167.6895411594974</v>
      </c>
      <c r="K52" s="8">
        <v>6521.4</v>
      </c>
      <c r="L52" s="8">
        <v>693.66065317103926</v>
      </c>
      <c r="M52" s="8">
        <v>758.69133940582401</v>
      </c>
      <c r="N52" s="6" cm="1">
        <f t="array" ref="N52">_xlfn.XLOOKUP(Table8[[#This Row],[Admin2PCODE]:[Admin2PCODE]],tblPiNAnalysis[[Admin2PCODE]:[Admin2PCODE]],tblPiNAnalysis[% SAMV],0,0)</f>
        <v>0.15000000000000002</v>
      </c>
      <c r="O52" s="6" cm="1">
        <f t="array" ref="O52">_xlfn.XLOOKUP(Table8[[#This Row],[Admin2PCODE]:[Admin2PCODE]],tblPiNAnalysis[[Admin2PCODE]:[Admin2PCODE]],tblPiNAnalysis[% NUT],0,0)</f>
        <v>0.1</v>
      </c>
      <c r="P52" s="6" cm="1">
        <f t="array" ref="P52">_xlfn.XLOOKUP(Table8[[#This Row],[Admin2PCODE]:[Admin2PCODE]],tblPiNAnalysis[[Admin2PCODE]:[Admin2PCODE]],tblPiNAnalysis[% SAL],0,0)</f>
        <v>0.75</v>
      </c>
      <c r="Q52" s="6" cm="1">
        <f t="array" ref="Q52">_xlfn.XLOOKUP(Table8[[#This Row],[Admin2PCODE]:[Admin2PCODE]],tblPiNAnalysis[[Admin2PCODE]:[Admin2PCODE]],tblPiNAnalysis[% EDU],0,0)</f>
        <v>0.1</v>
      </c>
      <c r="R52" s="6" cm="1">
        <f t="array" ref="R52">_xlfn.XLOOKUP(Table8[[#This Row],[Admin2PCODE]:[Admin2PCODE]],tblPiNAnalysis[[Admin2PCODE]:[Admin2PCODE]],tblPiNAnalysis[% PRO],0,0)</f>
        <v>0.2</v>
      </c>
      <c r="S52" s="6" cm="1">
        <f t="array" ref="S52">_xlfn.XLOOKUP(Table8[[#This Row],[Admin2PCODE]:[Admin2PCODE]],tblPiNAnalysis[[Admin2PCODE]:[Admin2PCODE]],tblPiNAnalysis[% WASH],0,0)</f>
        <v>0.60000000000000009</v>
      </c>
      <c r="T52" s="6" cm="1">
        <f t="array" ref="T52">_xlfn.XLOOKUP(Table8[[#This Row],[Admin2PCODE]:[Admin2PCODE]],tblPiNAnalysis[[Admin2PCODE]:[Admin2PCODE]],tblPiNAnalysis[% NNA],0,0)</f>
        <v>0.05</v>
      </c>
      <c r="U52" s="6" cm="1">
        <f t="array" ref="U52">_xlfn.XLOOKUP(Table8[[#This Row],[Admin2PCODE]:[Admin2PCODE]],tblPiNAnalysis[[Admin2PCODE]:[Admin2PCODE]],tblPiNAnalysis[% VBG],0,0)</f>
        <v>0.05</v>
      </c>
      <c r="V52" s="8" cm="1">
        <f t="array" ref="V52">_xlfn.XLOOKUP(Table8[[#This Row],[Admin2PCODE]:[Admin2PCODE]],tblPiNAnalysis[[Admin2PCODE]:[Admin2PCODE]],tblPiNAnalysis[PiN preliminar],0,0)</f>
        <v>8400</v>
      </c>
      <c r="W52" s="308" cm="1">
        <f t="array" ref="W52">_xlfn.XLOOKUP(Table8[[#This Row],[Admin2PCODE]],tblPiNAnalysis[Admin2PCODE],tblSeverityAnalysis[Severidad media],0,0)</f>
        <v>3.1666666666666665</v>
      </c>
      <c r="X52" s="42">
        <f>Table8[[#This Row],[Severidad media]]*6</f>
        <v>19</v>
      </c>
      <c r="Y52" s="6" cm="1">
        <f t="array" ref="Y52">_xlfn.XLOOKUP(Table8[[#This Row],[Admin2PCODE]],tblPiNAnalysis[Admin2PCODE],tblPiNAnalysis[% PiN Sectores más altos],0,0)</f>
        <v>0.77284018768975982</v>
      </c>
      <c r="Z52" s="42" cm="1">
        <f t="array" ref="Z52">_xlfn.XLOOKUP(Table8[[#This Row],[Admin2PCODE]:[Admin2PCODE]],tblPiNAnalysis[[Admin2PCODE]:[Admin2PCODE]],tblPiNAnalysis[Severidad],0,0)</f>
        <v>3</v>
      </c>
      <c r="AA52">
        <f>_xlfn.XLOOKUP(Table8[[#This Row],[Admin2PCODE]],tblSeverityAnalysis[Admin 2 Código P],tblSeverityAnalysis[Severidad Ttotal 2025],0,0)</f>
        <v>4</v>
      </c>
      <c r="AB52" t="str">
        <f>_xlfn.XLOOKUP(Table8[[#This Row],[Admin2PCODE]],tblSeverityAnalysis[Admin 2 Código P],tblSeverityAnalysis[Priorización Final 2025],0,0)</f>
        <v>No</v>
      </c>
      <c r="AC52">
        <v>2</v>
      </c>
      <c r="AD52" t="s">
        <v>990</v>
      </c>
      <c r="AE52">
        <v>3</v>
      </c>
      <c r="AF52">
        <v>0</v>
      </c>
      <c r="AG52">
        <v>0</v>
      </c>
      <c r="AH52">
        <v>0</v>
      </c>
      <c r="AI52">
        <v>1</v>
      </c>
      <c r="AJ52">
        <v>0</v>
      </c>
      <c r="AK52">
        <v>0</v>
      </c>
      <c r="AL52">
        <v>0</v>
      </c>
      <c r="AM52">
        <v>0</v>
      </c>
      <c r="AN52">
        <v>2</v>
      </c>
      <c r="AO52" s="314">
        <f>Table8[[#This Row],[N° Clústeres con respuesta]]/Table8[[#This Row],[Org Total]]</f>
        <v>0.66666666666666663</v>
      </c>
      <c r="AP52" s="313">
        <v>2537</v>
      </c>
      <c r="AQ52" s="313">
        <v>1598</v>
      </c>
      <c r="AR52" s="312">
        <f>Table8[[#This Row],[Alcanzados Oct 2025]]/Table8[[#This Row],[Meta 2025]]</f>
        <v>0.62987780843515961</v>
      </c>
      <c r="AS52" s="423">
        <v>0</v>
      </c>
      <c r="AT52" s="423">
        <v>0</v>
      </c>
      <c r="AU52" s="423">
        <v>0</v>
      </c>
      <c r="AV52" s="423">
        <v>569</v>
      </c>
      <c r="AW52" s="423">
        <v>0</v>
      </c>
      <c r="AX52" s="423">
        <v>0</v>
      </c>
      <c r="AY52" s="423">
        <v>0</v>
      </c>
      <c r="AZ52" s="423">
        <v>0</v>
      </c>
      <c r="BA52" s="42">
        <v>1598</v>
      </c>
    </row>
    <row r="53" spans="1:53">
      <c r="A53" t="s">
        <v>316</v>
      </c>
      <c r="B53" t="s">
        <v>317</v>
      </c>
      <c r="C53" t="s">
        <v>350</v>
      </c>
      <c r="D53" t="s">
        <v>351</v>
      </c>
      <c r="E53" s="8">
        <v>11285</v>
      </c>
      <c r="F53" s="8">
        <v>1504</v>
      </c>
      <c r="G53" s="8">
        <v>305.44893935630103</v>
      </c>
      <c r="H53" s="8">
        <v>4900</v>
      </c>
      <c r="I53" s="8">
        <v>835.38964084982274</v>
      </c>
      <c r="J53" s="8">
        <v>2250.6556695174286</v>
      </c>
      <c r="K53" s="8">
        <v>6771</v>
      </c>
      <c r="L53" s="8">
        <v>720.20981424557715</v>
      </c>
      <c r="M53" s="8">
        <v>787.72948433109991</v>
      </c>
      <c r="N53" s="6" cm="1">
        <f t="array" ref="N53">_xlfn.XLOOKUP(Table8[[#This Row],[Admin2PCODE]:[Admin2PCODE]],tblPiNAnalysis[[Admin2PCODE]:[Admin2PCODE]],tblPiNAnalysis[% SAMV],0,0)</f>
        <v>0.15000000000000002</v>
      </c>
      <c r="O53" s="6" cm="1">
        <f t="array" ref="O53">_xlfn.XLOOKUP(Table8[[#This Row],[Admin2PCODE]:[Admin2PCODE]],tblPiNAnalysis[[Admin2PCODE]:[Admin2PCODE]],tblPiNAnalysis[% NUT],0,0)</f>
        <v>0.05</v>
      </c>
      <c r="P53" s="6" cm="1">
        <f t="array" ref="P53">_xlfn.XLOOKUP(Table8[[#This Row],[Admin2PCODE]:[Admin2PCODE]],tblPiNAnalysis[[Admin2PCODE]:[Admin2PCODE]],tblPiNAnalysis[% SAL],0,0)</f>
        <v>0.45</v>
      </c>
      <c r="Q53" s="6" cm="1">
        <f t="array" ref="Q53">_xlfn.XLOOKUP(Table8[[#This Row],[Admin2PCODE]:[Admin2PCODE]],tblPiNAnalysis[[Admin2PCODE]:[Admin2PCODE]],tblPiNAnalysis[% EDU],0,0)</f>
        <v>0.05</v>
      </c>
      <c r="R53" s="6" cm="1">
        <f t="array" ref="R53">_xlfn.XLOOKUP(Table8[[#This Row],[Admin2PCODE]:[Admin2PCODE]],tblPiNAnalysis[[Admin2PCODE]:[Admin2PCODE]],tblPiNAnalysis[% PRO],0,0)</f>
        <v>0.2</v>
      </c>
      <c r="S53" s="6" cm="1">
        <f t="array" ref="S53">_xlfn.XLOOKUP(Table8[[#This Row],[Admin2PCODE]:[Admin2PCODE]],tblPiNAnalysis[[Admin2PCODE]:[Admin2PCODE]],tblPiNAnalysis[% WASH],0,0)</f>
        <v>0.60000000000000009</v>
      </c>
      <c r="T53" s="6" cm="1">
        <f t="array" ref="T53">_xlfn.XLOOKUP(Table8[[#This Row],[Admin2PCODE]:[Admin2PCODE]],tblPiNAnalysis[[Admin2PCODE]:[Admin2PCODE]],tblPiNAnalysis[% NNA],0,0)</f>
        <v>0.05</v>
      </c>
      <c r="U53" s="6" cm="1">
        <f t="array" ref="U53">_xlfn.XLOOKUP(Table8[[#This Row],[Admin2PCODE]:[Admin2PCODE]],tblPiNAnalysis[[Admin2PCODE]:[Admin2PCODE]],tblPiNAnalysis[% VBG],0,0)</f>
        <v>0.05</v>
      </c>
      <c r="V53" s="8" cm="1">
        <f t="array" ref="V53">_xlfn.XLOOKUP(Table8[[#This Row],[Admin2PCODE]:[Admin2PCODE]],tblPiNAnalysis[[Admin2PCODE]:[Admin2PCODE]],tblPiNAnalysis[PiN preliminar],0,0)</f>
        <v>6771</v>
      </c>
      <c r="W53" s="308" cm="1">
        <f t="array" ref="W53">_xlfn.XLOOKUP(Table8[[#This Row],[Admin2PCODE]],tblPiNAnalysis[Admin2PCODE],tblSeverityAnalysis[Severidad media],0,0)</f>
        <v>3</v>
      </c>
      <c r="X53" s="42">
        <f>Table8[[#This Row],[Severidad media]]*6</f>
        <v>18</v>
      </c>
      <c r="Y53" s="6" cm="1">
        <f t="array" ref="Y53">_xlfn.XLOOKUP(Table8[[#This Row],[Admin2PCODE]],tblPiNAnalysis[Admin2PCODE],tblPiNAnalysis[% PiN Sectores más altos],0,0)</f>
        <v>0.6</v>
      </c>
      <c r="Z53" s="42" cm="1">
        <f t="array" ref="Z53">_xlfn.XLOOKUP(Table8[[#This Row],[Admin2PCODE]:[Admin2PCODE]],tblPiNAnalysis[[Admin2PCODE]:[Admin2PCODE]],tblPiNAnalysis[Severidad],0,0)</f>
        <v>3</v>
      </c>
      <c r="AA53">
        <f>_xlfn.XLOOKUP(Table8[[#This Row],[Admin2PCODE]],tblSeverityAnalysis[Admin 2 Código P],tblSeverityAnalysis[Severidad Ttotal 2025],0,0)</f>
        <v>4</v>
      </c>
      <c r="AB53" t="str">
        <f>_xlfn.XLOOKUP(Table8[[#This Row],[Admin2PCODE]],tblSeverityAnalysis[Admin 2 Código P],tblSeverityAnalysis[Priorización Final 2025],0,0)</f>
        <v>No</v>
      </c>
      <c r="AC53">
        <v>1</v>
      </c>
      <c r="AD53" t="s">
        <v>92</v>
      </c>
      <c r="AE53">
        <v>2</v>
      </c>
      <c r="AF53">
        <v>0</v>
      </c>
      <c r="AG53">
        <v>0</v>
      </c>
      <c r="AH53">
        <v>0</v>
      </c>
      <c r="AI53">
        <v>0</v>
      </c>
      <c r="AJ53">
        <v>0</v>
      </c>
      <c r="AK53">
        <v>0</v>
      </c>
      <c r="AL53">
        <v>0</v>
      </c>
      <c r="AM53">
        <v>0</v>
      </c>
      <c r="AN53">
        <v>2</v>
      </c>
      <c r="AO53" s="314">
        <f>Table8[[#This Row],[N° Clústeres con respuesta]]/Table8[[#This Row],[Org Total]]</f>
        <v>0.5</v>
      </c>
      <c r="AP53" s="313">
        <v>2633</v>
      </c>
      <c r="AQ53" s="313">
        <v>1361</v>
      </c>
      <c r="AR53" s="312">
        <f>Table8[[#This Row],[Alcanzados Oct 2025]]/Table8[[#This Row],[Meta 2025]]</f>
        <v>0.51690087352829472</v>
      </c>
      <c r="AS53" s="423">
        <v>0</v>
      </c>
      <c r="AT53" s="423">
        <v>0</v>
      </c>
      <c r="AU53" s="423">
        <v>0</v>
      </c>
      <c r="AV53" s="423">
        <v>0</v>
      </c>
      <c r="AW53" s="423">
        <v>5</v>
      </c>
      <c r="AX53" s="423">
        <v>0</v>
      </c>
      <c r="AY53" s="423">
        <v>0</v>
      </c>
      <c r="AZ53" s="423">
        <v>0</v>
      </c>
      <c r="BA53" s="42">
        <v>1361</v>
      </c>
    </row>
    <row r="54" spans="1:53">
      <c r="A54" t="s">
        <v>316</v>
      </c>
      <c r="B54" t="s">
        <v>317</v>
      </c>
      <c r="C54" t="s">
        <v>357</v>
      </c>
      <c r="D54" t="s">
        <v>358</v>
      </c>
      <c r="E54" s="8">
        <v>16013</v>
      </c>
      <c r="F54" s="8">
        <v>2669</v>
      </c>
      <c r="G54" s="8">
        <v>623.97613362068967</v>
      </c>
      <c r="H54" s="8">
        <v>8400</v>
      </c>
      <c r="I54" s="8">
        <v>526.55138078333516</v>
      </c>
      <c r="J54" s="8">
        <v>3832.3171540256176</v>
      </c>
      <c r="K54" s="8">
        <v>9607.7999999999993</v>
      </c>
      <c r="L54" s="8">
        <v>1230.1738064422234</v>
      </c>
      <c r="M54" s="8">
        <v>1341.3110039089661</v>
      </c>
      <c r="N54" s="6" cm="1">
        <f t="array" ref="N54">_xlfn.XLOOKUP(Table8[[#This Row],[Admin2PCODE]:[Admin2PCODE]],tblPiNAnalysis[[Admin2PCODE]:[Admin2PCODE]],tblPiNAnalysis[% SAMV],0,0)</f>
        <v>0.15000000000000002</v>
      </c>
      <c r="O54" s="6" cm="1">
        <f t="array" ref="O54">_xlfn.XLOOKUP(Table8[[#This Row],[Admin2PCODE]:[Admin2PCODE]],tblPiNAnalysis[[Admin2PCODE]:[Admin2PCODE]],tblPiNAnalysis[% NUT],0,0)</f>
        <v>0.05</v>
      </c>
      <c r="P54" s="6" cm="1">
        <f t="array" ref="P54">_xlfn.XLOOKUP(Table8[[#This Row],[Admin2PCODE]:[Admin2PCODE]],tblPiNAnalysis[[Admin2PCODE]:[Admin2PCODE]],tblPiNAnalysis[% SAL],0,0)</f>
        <v>0.5</v>
      </c>
      <c r="Q54" s="6" cm="1">
        <f t="array" ref="Q54">_xlfn.XLOOKUP(Table8[[#This Row],[Admin2PCODE]:[Admin2PCODE]],tblPiNAnalysis[[Admin2PCODE]:[Admin2PCODE]],tblPiNAnalysis[% EDU],0,0)</f>
        <v>0.05</v>
      </c>
      <c r="R54" s="6" cm="1">
        <f t="array" ref="R54">_xlfn.XLOOKUP(Table8[[#This Row],[Admin2PCODE]:[Admin2PCODE]],tblPiNAnalysis[[Admin2PCODE]:[Admin2PCODE]],tblPiNAnalysis[% PRO],0,0)</f>
        <v>0.25</v>
      </c>
      <c r="S54" s="6" cm="1">
        <f t="array" ref="S54">_xlfn.XLOOKUP(Table8[[#This Row],[Admin2PCODE]:[Admin2PCODE]],tblPiNAnalysis[[Admin2PCODE]:[Admin2PCODE]],tblPiNAnalysis[% WASH],0,0)</f>
        <v>0.60000000000000009</v>
      </c>
      <c r="T54" s="6" cm="1">
        <f t="array" ref="T54">_xlfn.XLOOKUP(Table8[[#This Row],[Admin2PCODE]:[Admin2PCODE]],tblPiNAnalysis[[Admin2PCODE]:[Admin2PCODE]],tblPiNAnalysis[% NNA],0,0)</f>
        <v>0.1</v>
      </c>
      <c r="U54" s="6" cm="1">
        <f t="array" ref="U54">_xlfn.XLOOKUP(Table8[[#This Row],[Admin2PCODE]:[Admin2PCODE]],tblPiNAnalysis[[Admin2PCODE]:[Admin2PCODE]],tblPiNAnalysis[% VBG],0,0)</f>
        <v>0.1</v>
      </c>
      <c r="V54" s="8" cm="1">
        <f t="array" ref="V54">_xlfn.XLOOKUP(Table8[[#This Row],[Admin2PCODE]:[Admin2PCODE]],tblPiNAnalysis[[Admin2PCODE]:[Admin2PCODE]],tblPiNAnalysis[PiN preliminar],0,0)</f>
        <v>9607.7999999999993</v>
      </c>
      <c r="W54" s="308" cm="1">
        <f t="array" ref="W54">_xlfn.XLOOKUP(Table8[[#This Row],[Admin2PCODE]],tblPiNAnalysis[Admin2PCODE],tblSeverityAnalysis[Severidad media],0,0)</f>
        <v>3.3333333333333335</v>
      </c>
      <c r="X54" s="42">
        <f>Table8[[#This Row],[Severidad media]]*6</f>
        <v>20</v>
      </c>
      <c r="Y54" s="6" cm="1">
        <f t="array" ref="Y54">_xlfn.XLOOKUP(Table8[[#This Row],[Admin2PCODE]],tblPiNAnalysis[Admin2PCODE],tblPiNAnalysis[% PiN Sectores más altos],0,0)</f>
        <v>0.6</v>
      </c>
      <c r="Z54" s="42" cm="1">
        <f t="array" ref="Z54">_xlfn.XLOOKUP(Table8[[#This Row],[Admin2PCODE]:[Admin2PCODE]],tblPiNAnalysis[[Admin2PCODE]:[Admin2PCODE]],tblPiNAnalysis[Severidad],0,0)</f>
        <v>3</v>
      </c>
      <c r="AA54">
        <f>_xlfn.XLOOKUP(Table8[[#This Row],[Admin2PCODE]],tblSeverityAnalysis[Admin 2 Código P],tblSeverityAnalysis[Severidad Ttotal 2025],0,0)</f>
        <v>4</v>
      </c>
      <c r="AB54" t="str">
        <f>_xlfn.XLOOKUP(Table8[[#This Row],[Admin2PCODE]],tblSeverityAnalysis[Admin 2 Código P],tblSeverityAnalysis[Priorización Final 2025],0,0)</f>
        <v>No</v>
      </c>
      <c r="AC54">
        <v>1</v>
      </c>
      <c r="AD54" t="s">
        <v>93</v>
      </c>
      <c r="AE54">
        <v>1</v>
      </c>
      <c r="AF54">
        <v>0</v>
      </c>
      <c r="AG54">
        <v>0</v>
      </c>
      <c r="AH54">
        <v>0</v>
      </c>
      <c r="AI54">
        <v>1</v>
      </c>
      <c r="AJ54">
        <v>0</v>
      </c>
      <c r="AK54">
        <v>0</v>
      </c>
      <c r="AL54">
        <v>0</v>
      </c>
      <c r="AM54">
        <v>0</v>
      </c>
      <c r="AN54">
        <v>0</v>
      </c>
      <c r="AO54" s="314">
        <f>Table8[[#This Row],[N° Clústeres con respuesta]]/Table8[[#This Row],[Org Total]]</f>
        <v>1</v>
      </c>
      <c r="AP54" s="313">
        <v>3739</v>
      </c>
      <c r="AQ54" s="313">
        <v>653</v>
      </c>
      <c r="AR54" s="312">
        <f>Table8[[#This Row],[Alcanzados Oct 2025]]/Table8[[#This Row],[Meta 2025]]</f>
        <v>0.17464562717304091</v>
      </c>
      <c r="AS54" s="423">
        <v>0</v>
      </c>
      <c r="AT54" s="423">
        <v>0</v>
      </c>
      <c r="AU54" s="423">
        <v>0</v>
      </c>
      <c r="AV54" s="423">
        <v>653</v>
      </c>
      <c r="AW54" s="423">
        <v>0</v>
      </c>
      <c r="AX54" s="423">
        <v>0</v>
      </c>
      <c r="AY54" s="423">
        <v>0</v>
      </c>
      <c r="AZ54" s="423">
        <v>0</v>
      </c>
      <c r="BA54" s="42">
        <v>0</v>
      </c>
    </row>
    <row r="55" spans="1:53">
      <c r="A55" t="s">
        <v>362</v>
      </c>
      <c r="B55" t="s">
        <v>363</v>
      </c>
      <c r="C55" t="s">
        <v>368</v>
      </c>
      <c r="D55" t="s">
        <v>369</v>
      </c>
      <c r="E55" s="8">
        <v>17475</v>
      </c>
      <c r="F55" s="8">
        <v>3102</v>
      </c>
      <c r="G55" s="8">
        <v>1020.2898625197403</v>
      </c>
      <c r="H55" s="8">
        <v>7700</v>
      </c>
      <c r="I55" s="8">
        <v>1352.440333635805</v>
      </c>
      <c r="J55" s="8">
        <v>1943.4438825821976</v>
      </c>
      <c r="K55" s="8">
        <v>7863.75</v>
      </c>
      <c r="L55" s="8">
        <v>621.9020424263033</v>
      </c>
      <c r="M55" s="8">
        <v>680.20535890376914</v>
      </c>
      <c r="N55" s="6" cm="1">
        <f t="array" ref="N55">_xlfn.XLOOKUP(Table8[[#This Row],[Admin2PCODE]:[Admin2PCODE]],tblPiNAnalysis[[Admin2PCODE]:[Admin2PCODE]],tblPiNAnalysis[% SAMV],0,0)</f>
        <v>0.2</v>
      </c>
      <c r="O55" s="6" cm="1">
        <f t="array" ref="O55">_xlfn.XLOOKUP(Table8[[#This Row],[Admin2PCODE]:[Admin2PCODE]],tblPiNAnalysis[[Admin2PCODE]:[Admin2PCODE]],tblPiNAnalysis[% NUT],0,0)</f>
        <v>0.05</v>
      </c>
      <c r="P55" s="6" cm="1">
        <f t="array" ref="P55">_xlfn.XLOOKUP(Table8[[#This Row],[Admin2PCODE]:[Admin2PCODE]],tblPiNAnalysis[[Admin2PCODE]:[Admin2PCODE]],tblPiNAnalysis[% SAL],0,0)</f>
        <v>0.45</v>
      </c>
      <c r="Q55" s="6" cm="1">
        <f t="array" ref="Q55">_xlfn.XLOOKUP(Table8[[#This Row],[Admin2PCODE]:[Admin2PCODE]],tblPiNAnalysis[[Admin2PCODE]:[Admin2PCODE]],tblPiNAnalysis[% EDU],0,0)</f>
        <v>0.1</v>
      </c>
      <c r="R55" s="6" cm="1">
        <f t="array" ref="R55">_xlfn.XLOOKUP(Table8[[#This Row],[Admin2PCODE]:[Admin2PCODE]],tblPiNAnalysis[[Admin2PCODE]:[Admin2PCODE]],tblPiNAnalysis[% PRO],0,0)</f>
        <v>0.1</v>
      </c>
      <c r="S55" s="6" cm="1">
        <f t="array" ref="S55">_xlfn.XLOOKUP(Table8[[#This Row],[Admin2PCODE]:[Admin2PCODE]],tblPiNAnalysis[[Admin2PCODE]:[Admin2PCODE]],tblPiNAnalysis[% WASH],0,0)</f>
        <v>0.45</v>
      </c>
      <c r="T55" s="6" cm="1">
        <f t="array" ref="T55">_xlfn.XLOOKUP(Table8[[#This Row],[Admin2PCODE]:[Admin2PCODE]],tblPiNAnalysis[[Admin2PCODE]:[Admin2PCODE]],tblPiNAnalysis[% NNA],0,0)</f>
        <v>0.05</v>
      </c>
      <c r="U55" s="6" cm="1">
        <f t="array" ref="U55">_xlfn.XLOOKUP(Table8[[#This Row],[Admin2PCODE]:[Admin2PCODE]],tblPiNAnalysis[[Admin2PCODE]:[Admin2PCODE]],tblPiNAnalysis[% VBG],0,0)</f>
        <v>0.05</v>
      </c>
      <c r="V55" s="8" cm="1">
        <f t="array" ref="V55">_xlfn.XLOOKUP(Table8[[#This Row],[Admin2PCODE]:[Admin2PCODE]],tblPiNAnalysis[[Admin2PCODE]:[Admin2PCODE]],tblPiNAnalysis[PiN preliminar],0,0)</f>
        <v>7863.75</v>
      </c>
      <c r="W55" s="308" cm="1">
        <f t="array" ref="W55">_xlfn.XLOOKUP(Table8[[#This Row],[Admin2PCODE]],tblPiNAnalysis[Admin2PCODE],tblSeverityAnalysis[Severidad media],0,0)</f>
        <v>2.8333333333333335</v>
      </c>
      <c r="X55" s="42">
        <f>Table8[[#This Row],[Severidad media]]*6</f>
        <v>17</v>
      </c>
      <c r="Y55" s="6" cm="1">
        <f t="array" ref="Y55">_xlfn.XLOOKUP(Table8[[#This Row],[Admin2PCODE]],tblPiNAnalysis[Admin2PCODE],tblPiNAnalysis[% PiN Sectores más altos],0,0)</f>
        <v>0.45</v>
      </c>
      <c r="Z55" s="42" cm="1">
        <f t="array" ref="Z55">_xlfn.XLOOKUP(Table8[[#This Row],[Admin2PCODE]:[Admin2PCODE]],tblPiNAnalysis[[Admin2PCODE]:[Admin2PCODE]],tblPiNAnalysis[Severidad],0,0)</f>
        <v>3</v>
      </c>
      <c r="AA55">
        <f>_xlfn.XLOOKUP(Table8[[#This Row],[Admin2PCODE]],tblSeverityAnalysis[Admin 2 Código P],tblSeverityAnalysis[Severidad Ttotal 2025],0,0)</f>
        <v>4</v>
      </c>
      <c r="AB55" t="str">
        <f>_xlfn.XLOOKUP(Table8[[#This Row],[Admin2PCODE]],tblSeverityAnalysis[Admin 2 Código P],tblSeverityAnalysis[Priorización Final 2025],0,0)</f>
        <v>No</v>
      </c>
      <c r="AC55">
        <v>2</v>
      </c>
      <c r="AD55" t="s">
        <v>991</v>
      </c>
      <c r="AE55">
        <v>1</v>
      </c>
      <c r="AF55">
        <v>0</v>
      </c>
      <c r="AG55">
        <v>0</v>
      </c>
      <c r="AH55">
        <v>0</v>
      </c>
      <c r="AI55">
        <v>0</v>
      </c>
      <c r="AJ55">
        <v>1</v>
      </c>
      <c r="AK55">
        <v>0</v>
      </c>
      <c r="AL55">
        <v>1</v>
      </c>
      <c r="AM55">
        <v>0</v>
      </c>
      <c r="AN55">
        <v>0</v>
      </c>
      <c r="AO55" s="314">
        <f>Table8[[#This Row],[N° Clústeres con respuesta]]/Table8[[#This Row],[Org Total]]</f>
        <v>2</v>
      </c>
      <c r="AP55" s="313">
        <v>4082</v>
      </c>
      <c r="AQ55" s="313">
        <v>10</v>
      </c>
      <c r="AR55" s="312">
        <f>Table8[[#This Row],[Alcanzados Oct 2025]]/Table8[[#This Row],[Meta 2025]]</f>
        <v>2.4497795198432141E-3</v>
      </c>
      <c r="AS55" s="423">
        <v>0</v>
      </c>
      <c r="AT55" s="423">
        <v>0</v>
      </c>
      <c r="AU55" s="423">
        <v>0</v>
      </c>
      <c r="AV55" s="423">
        <v>0</v>
      </c>
      <c r="AW55" s="423">
        <v>10</v>
      </c>
      <c r="AX55" s="423">
        <v>0</v>
      </c>
      <c r="AY55" s="423">
        <v>1</v>
      </c>
      <c r="AZ55" s="423">
        <v>0</v>
      </c>
      <c r="BA55" s="42">
        <v>0</v>
      </c>
    </row>
    <row r="56" spans="1:53">
      <c r="A56" t="s">
        <v>362</v>
      </c>
      <c r="B56" t="s">
        <v>363</v>
      </c>
      <c r="C56" t="s">
        <v>820</v>
      </c>
      <c r="D56" t="s">
        <v>371</v>
      </c>
      <c r="E56" s="8">
        <v>20661</v>
      </c>
      <c r="F56" s="8">
        <v>0</v>
      </c>
      <c r="G56" s="8">
        <v>1127.6680384267049</v>
      </c>
      <c r="H56" s="8">
        <v>7541.2650000000003</v>
      </c>
      <c r="I56" s="8">
        <v>1499.7524248814229</v>
      </c>
      <c r="J56" s="8">
        <v>3829.6131671941616</v>
      </c>
      <c r="K56" s="8">
        <v>2789.2350000000001</v>
      </c>
      <c r="L56" s="8">
        <v>1229.3058266693261</v>
      </c>
      <c r="M56" s="8">
        <v>1340.3646085179564</v>
      </c>
      <c r="N56" s="6" cm="1">
        <f t="array" ref="N56">_xlfn.XLOOKUP(Table8[[#This Row],[Admin2PCODE]:[Admin2PCODE]],tblPiNAnalysis[[Admin2PCODE]:[Admin2PCODE]],tblPiNAnalysis[% SAMV],0,0)</f>
        <v>0</v>
      </c>
      <c r="O56" s="6" cm="1">
        <f t="array" ref="O56">_xlfn.XLOOKUP(Table8[[#This Row],[Admin2PCODE]:[Admin2PCODE]],tblPiNAnalysis[[Admin2PCODE]:[Admin2PCODE]],tblPiNAnalysis[% NUT],0,0)</f>
        <v>0.05</v>
      </c>
      <c r="P56" s="6" cm="1">
        <f t="array" ref="P56">_xlfn.XLOOKUP(Table8[[#This Row],[Admin2PCODE]:[Admin2PCODE]],tblPiNAnalysis[[Admin2PCODE]:[Admin2PCODE]],tblPiNAnalysis[% SAL],0,0)</f>
        <v>0.35000000000000003</v>
      </c>
      <c r="Q56" s="6" cm="1">
        <f t="array" ref="Q56">_xlfn.XLOOKUP(Table8[[#This Row],[Admin2PCODE]:[Admin2PCODE]],tblPiNAnalysis[[Admin2PCODE]:[Admin2PCODE]],tblPiNAnalysis[% EDU],0,0)</f>
        <v>0.05</v>
      </c>
      <c r="R56" s="6" cm="1">
        <f t="array" ref="R56">_xlfn.XLOOKUP(Table8[[#This Row],[Admin2PCODE]:[Admin2PCODE]],tblPiNAnalysis[[Admin2PCODE]:[Admin2PCODE]],tblPiNAnalysis[% PRO],0,0)</f>
        <v>0.2</v>
      </c>
      <c r="S56" s="6" cm="1">
        <f t="array" ref="S56">_xlfn.XLOOKUP(Table8[[#This Row],[Admin2PCODE]:[Admin2PCODE]],tblPiNAnalysis[[Admin2PCODE]:[Admin2PCODE]],tblPiNAnalysis[% WASH],0,0)</f>
        <v>0.15000000000000002</v>
      </c>
      <c r="T56" s="6" cm="1">
        <f t="array" ref="T56">_xlfn.XLOOKUP(Table8[[#This Row],[Admin2PCODE]:[Admin2PCODE]],tblPiNAnalysis[[Admin2PCODE]:[Admin2PCODE]],tblPiNAnalysis[% NNA],0,0)</f>
        <v>0.05</v>
      </c>
      <c r="U56" s="6" cm="1">
        <f t="array" ref="U56">_xlfn.XLOOKUP(Table8[[#This Row],[Admin2PCODE]:[Admin2PCODE]],tblPiNAnalysis[[Admin2PCODE]:[Admin2PCODE]],tblPiNAnalysis[% VBG],0,0)</f>
        <v>0.05</v>
      </c>
      <c r="V56" s="8" cm="1">
        <f t="array" ref="V56">_xlfn.XLOOKUP(Table8[[#This Row],[Admin2PCODE]:[Admin2PCODE]],tblPiNAnalysis[[Admin2PCODE]:[Admin2PCODE]],tblPiNAnalysis[PiN preliminar],0,0)</f>
        <v>7541.2650000000003</v>
      </c>
      <c r="W56" s="308" cm="1">
        <f t="array" ref="W56">_xlfn.XLOOKUP(Table8[[#This Row],[Admin2PCODE]],tblPiNAnalysis[Admin2PCODE],tblSeverityAnalysis[Severidad media],0,0)</f>
        <v>3</v>
      </c>
      <c r="X56" s="42">
        <f>Table8[[#This Row],[Severidad media]]*6</f>
        <v>18</v>
      </c>
      <c r="Y56" s="6" cm="1">
        <f t="array" ref="Y56">_xlfn.XLOOKUP(Table8[[#This Row],[Admin2PCODE]],tblPiNAnalysis[Admin2PCODE],tblPiNAnalysis[% PiN Sectores más altos],0,0)</f>
        <v>0.36499999999999999</v>
      </c>
      <c r="Z56" s="42" cm="1">
        <f t="array" ref="Z56">_xlfn.XLOOKUP(Table8[[#This Row],[Admin2PCODE]:[Admin2PCODE]],tblPiNAnalysis[[Admin2PCODE]:[Admin2PCODE]],tblPiNAnalysis[Severidad],0,0)</f>
        <v>3</v>
      </c>
      <c r="AA56">
        <f>_xlfn.XLOOKUP(Table8[[#This Row],[Admin2PCODE]],tblSeverityAnalysis[Admin 2 Código P],tblSeverityAnalysis[Severidad Ttotal 2025],0,0)</f>
        <v>4</v>
      </c>
      <c r="AB56" t="str">
        <f>_xlfn.XLOOKUP(Table8[[#This Row],[Admin2PCODE]],tblSeverityAnalysis[Admin 2 Código P],tblSeverityAnalysis[Priorización Final 2025],0,0)</f>
        <v>No</v>
      </c>
      <c r="AC56">
        <v>3</v>
      </c>
      <c r="AD56" t="s">
        <v>992</v>
      </c>
      <c r="AE56">
        <v>5</v>
      </c>
      <c r="AF56">
        <v>0</v>
      </c>
      <c r="AG56">
        <v>0</v>
      </c>
      <c r="AH56">
        <v>1</v>
      </c>
      <c r="AI56">
        <v>0</v>
      </c>
      <c r="AJ56">
        <v>3</v>
      </c>
      <c r="AK56">
        <v>0</v>
      </c>
      <c r="AL56">
        <v>1</v>
      </c>
      <c r="AM56">
        <v>0</v>
      </c>
      <c r="AN56">
        <v>1</v>
      </c>
      <c r="AO56" s="314">
        <f>Table8[[#This Row],[N° Clústeres con respuesta]]/Table8[[#This Row],[Org Total]]</f>
        <v>0.6</v>
      </c>
      <c r="AP56" s="313">
        <v>4824</v>
      </c>
      <c r="AQ56" s="313">
        <v>5580</v>
      </c>
      <c r="AR56" s="312">
        <f>Table8[[#This Row],[Alcanzados Oct 2025]]/Table8[[#This Row],[Meta 2025]]</f>
        <v>1.1567164179104477</v>
      </c>
      <c r="AS56" s="423">
        <v>0</v>
      </c>
      <c r="AT56" s="423">
        <v>0</v>
      </c>
      <c r="AU56" s="423">
        <v>0</v>
      </c>
      <c r="AV56" s="423">
        <v>0</v>
      </c>
      <c r="AW56" s="423">
        <v>13</v>
      </c>
      <c r="AX56" s="423">
        <v>0</v>
      </c>
      <c r="AY56" s="423">
        <v>4</v>
      </c>
      <c r="AZ56" s="423">
        <v>0</v>
      </c>
      <c r="BA56" s="42">
        <v>5580</v>
      </c>
    </row>
    <row r="57" spans="1:53">
      <c r="A57" t="s">
        <v>362</v>
      </c>
      <c r="B57" t="s">
        <v>363</v>
      </c>
      <c r="C57" t="s">
        <v>821</v>
      </c>
      <c r="D57" t="s">
        <v>388</v>
      </c>
      <c r="E57" s="8">
        <v>11680</v>
      </c>
      <c r="F57" s="8">
        <v>2073</v>
      </c>
      <c r="G57" s="8">
        <v>625.45348391388063</v>
      </c>
      <c r="H57" s="8">
        <v>5600</v>
      </c>
      <c r="I57" s="8">
        <v>859.20182473808234</v>
      </c>
      <c r="J57" s="8">
        <v>1298.9656394025792</v>
      </c>
      <c r="K57" s="8">
        <v>7008</v>
      </c>
      <c r="L57" s="8">
        <v>415.66900460882539</v>
      </c>
      <c r="M57" s="8">
        <v>454.63797379090266</v>
      </c>
      <c r="N57" s="6" cm="1">
        <f t="array" ref="N57">_xlfn.XLOOKUP(Table8[[#This Row],[Admin2PCODE]:[Admin2PCODE]],tblPiNAnalysis[[Admin2PCODE]:[Admin2PCODE]],tblPiNAnalysis[% SAMV],0,0)</f>
        <v>0.2</v>
      </c>
      <c r="O57" s="6" cm="1">
        <f t="array" ref="O57">_xlfn.XLOOKUP(Table8[[#This Row],[Admin2PCODE]:[Admin2PCODE]],tblPiNAnalysis[[Admin2PCODE]:[Admin2PCODE]],tblPiNAnalysis[% NUT],0,0)</f>
        <v>0.05</v>
      </c>
      <c r="P57" s="6" cm="1">
        <f t="array" ref="P57">_xlfn.XLOOKUP(Table8[[#This Row],[Admin2PCODE]:[Admin2PCODE]],tblPiNAnalysis[[Admin2PCODE]:[Admin2PCODE]],tblPiNAnalysis[% SAL],0,0)</f>
        <v>0.5</v>
      </c>
      <c r="Q57" s="6" cm="1">
        <f t="array" ref="Q57">_xlfn.XLOOKUP(Table8[[#This Row],[Admin2PCODE]:[Admin2PCODE]],tblPiNAnalysis[[Admin2PCODE]:[Admin2PCODE]],tblPiNAnalysis[% EDU],0,0)</f>
        <v>0.05</v>
      </c>
      <c r="R57" s="6" cm="1">
        <f t="array" ref="R57">_xlfn.XLOOKUP(Table8[[#This Row],[Admin2PCODE]:[Admin2PCODE]],tblPiNAnalysis[[Admin2PCODE]:[Admin2PCODE]],tblPiNAnalysis[% PRO],0,0)</f>
        <v>0.1</v>
      </c>
      <c r="S57" s="6" cm="1">
        <f t="array" ref="S57">_xlfn.XLOOKUP(Table8[[#This Row],[Admin2PCODE]:[Admin2PCODE]],tblPiNAnalysis[[Admin2PCODE]:[Admin2PCODE]],tblPiNAnalysis[% WASH],0,0)</f>
        <v>0.60000000000000009</v>
      </c>
      <c r="T57" s="6" cm="1">
        <f t="array" ref="T57">_xlfn.XLOOKUP(Table8[[#This Row],[Admin2PCODE]:[Admin2PCODE]],tblPiNAnalysis[[Admin2PCODE]:[Admin2PCODE]],tblPiNAnalysis[% NNA],0,0)</f>
        <v>0.05</v>
      </c>
      <c r="U57" s="6" cm="1">
        <f t="array" ref="U57">_xlfn.XLOOKUP(Table8[[#This Row],[Admin2PCODE]:[Admin2PCODE]],tblPiNAnalysis[[Admin2PCODE]:[Admin2PCODE]],tblPiNAnalysis[% VBG],0,0)</f>
        <v>0.05</v>
      </c>
      <c r="V57" s="8" cm="1">
        <f t="array" ref="V57">_xlfn.XLOOKUP(Table8[[#This Row],[Admin2PCODE]:[Admin2PCODE]],tblPiNAnalysis[[Admin2PCODE]:[Admin2PCODE]],tblPiNAnalysis[PiN preliminar],0,0)</f>
        <v>7008</v>
      </c>
      <c r="W57" s="308" cm="1">
        <f t="array" ref="W57">_xlfn.XLOOKUP(Table8[[#This Row],[Admin2PCODE]],tblPiNAnalysis[Admin2PCODE],tblSeverityAnalysis[Severidad media],0,0)</f>
        <v>2.8333333333333335</v>
      </c>
      <c r="X57" s="42">
        <f>Table8[[#This Row],[Severidad media]]*6</f>
        <v>17</v>
      </c>
      <c r="Y57" s="6" cm="1">
        <f t="array" ref="Y57">_xlfn.XLOOKUP(Table8[[#This Row],[Admin2PCODE]],tblPiNAnalysis[Admin2PCODE],tblPiNAnalysis[% PiN Sectores más altos],0,0)</f>
        <v>0.6</v>
      </c>
      <c r="Z57" s="42" cm="1">
        <f t="array" ref="Z57">_xlfn.XLOOKUP(Table8[[#This Row],[Admin2PCODE]:[Admin2PCODE]],tblPiNAnalysis[[Admin2PCODE]:[Admin2PCODE]],tblPiNAnalysis[Severidad],0,0)</f>
        <v>3</v>
      </c>
      <c r="AA57">
        <f>_xlfn.XLOOKUP(Table8[[#This Row],[Admin2PCODE]],tblSeverityAnalysis[Admin 2 Código P],tblSeverityAnalysis[Severidad Ttotal 2025],0,0)</f>
        <v>4</v>
      </c>
      <c r="AB57" t="str">
        <f>_xlfn.XLOOKUP(Table8[[#This Row],[Admin2PCODE]],tblSeverityAnalysis[Admin 2 Código P],tblSeverityAnalysis[Priorización Final 2025],0,0)</f>
        <v>No</v>
      </c>
      <c r="AC57">
        <v>1</v>
      </c>
      <c r="AD57" t="s">
        <v>952</v>
      </c>
      <c r="AE57">
        <v>1</v>
      </c>
      <c r="AF57">
        <v>0</v>
      </c>
      <c r="AG57">
        <v>0</v>
      </c>
      <c r="AH57">
        <v>0</v>
      </c>
      <c r="AI57">
        <v>0</v>
      </c>
      <c r="AJ57">
        <v>1</v>
      </c>
      <c r="AK57">
        <v>0</v>
      </c>
      <c r="AL57">
        <v>0</v>
      </c>
      <c r="AM57">
        <v>0</v>
      </c>
      <c r="AN57">
        <v>0</v>
      </c>
      <c r="AO57" s="314">
        <f>Table8[[#This Row],[N° Clústeres con respuesta]]/Table8[[#This Row],[Org Total]]</f>
        <v>1</v>
      </c>
      <c r="AP57" s="313">
        <v>2621</v>
      </c>
      <c r="AQ57" s="313">
        <v>6</v>
      </c>
      <c r="AR57" s="312">
        <f>Table8[[#This Row],[Alcanzados Oct 2025]]/Table8[[#This Row],[Meta 2025]]</f>
        <v>2.2892025944296068E-3</v>
      </c>
      <c r="AS57" s="423">
        <v>0</v>
      </c>
      <c r="AT57" s="423">
        <v>0</v>
      </c>
      <c r="AU57" s="423">
        <v>0</v>
      </c>
      <c r="AV57" s="423">
        <v>0</v>
      </c>
      <c r="AW57" s="423">
        <v>6</v>
      </c>
      <c r="AX57" s="423">
        <v>0</v>
      </c>
      <c r="AY57" s="423">
        <v>0</v>
      </c>
      <c r="AZ57" s="423">
        <v>0</v>
      </c>
      <c r="BA57" s="42">
        <v>0</v>
      </c>
    </row>
    <row r="58" spans="1:53">
      <c r="A58" t="s">
        <v>393</v>
      </c>
      <c r="B58" t="s">
        <v>394</v>
      </c>
      <c r="C58" t="s">
        <v>207</v>
      </c>
      <c r="D58" t="s">
        <v>410</v>
      </c>
      <c r="E58" s="8">
        <v>62764</v>
      </c>
      <c r="F58" s="8">
        <v>7113</v>
      </c>
      <c r="G58" s="8">
        <v>2625.1246631407112</v>
      </c>
      <c r="H58" s="8">
        <v>24500</v>
      </c>
      <c r="I58" s="8">
        <v>3212.5750178089393</v>
      </c>
      <c r="J58" s="8">
        <v>7478.9383706577783</v>
      </c>
      <c r="K58" s="8">
        <v>8473.14</v>
      </c>
      <c r="L58" s="8">
        <v>2393.260278610489</v>
      </c>
      <c r="M58" s="8">
        <v>2617.6284297302227</v>
      </c>
      <c r="N58" s="6" cm="1">
        <f t="array" ref="N58">_xlfn.XLOOKUP(Table8[[#This Row],[Admin2PCODE]:[Admin2PCODE]],tblPiNAnalysis[[Admin2PCODE]:[Admin2PCODE]],tblPiNAnalysis[% SAMV],0,0)</f>
        <v>0.1</v>
      </c>
      <c r="O58" s="6" cm="1">
        <f t="array" ref="O58">_xlfn.XLOOKUP(Table8[[#This Row],[Admin2PCODE]:[Admin2PCODE]],tblPiNAnalysis[[Admin2PCODE]:[Admin2PCODE]],tblPiNAnalysis[% NUT],0,0)</f>
        <v>0.05</v>
      </c>
      <c r="P58" s="6" cm="1">
        <f t="array" ref="P58">_xlfn.XLOOKUP(Table8[[#This Row],[Admin2PCODE]:[Admin2PCODE]],tblPiNAnalysis[[Admin2PCODE]:[Admin2PCODE]],tblPiNAnalysis[% SAL],0,0)</f>
        <v>0.4</v>
      </c>
      <c r="Q58" s="6" cm="1">
        <f t="array" ref="Q58">_xlfn.XLOOKUP(Table8[[#This Row],[Admin2PCODE]:[Admin2PCODE]],tblPiNAnalysis[[Admin2PCODE]:[Admin2PCODE]],tblPiNAnalysis[% EDU],0,0)</f>
        <v>0.05</v>
      </c>
      <c r="R58" s="6" cm="1">
        <f t="array" ref="R58">_xlfn.XLOOKUP(Table8[[#This Row],[Admin2PCODE]:[Admin2PCODE]],tblPiNAnalysis[[Admin2PCODE]:[Admin2PCODE]],tblPiNAnalysis[% PRO],0,0)</f>
        <v>0.1</v>
      </c>
      <c r="S58" s="6" cm="1">
        <f t="array" ref="S58">_xlfn.XLOOKUP(Table8[[#This Row],[Admin2PCODE]:[Admin2PCODE]],tblPiNAnalysis[[Admin2PCODE]:[Admin2PCODE]],tblPiNAnalysis[% WASH],0,0)</f>
        <v>0.15000000000000002</v>
      </c>
      <c r="T58" s="6" cm="1">
        <f t="array" ref="T58">_xlfn.XLOOKUP(Table8[[#This Row],[Admin2PCODE]:[Admin2PCODE]],tblPiNAnalysis[[Admin2PCODE]:[Admin2PCODE]],tblPiNAnalysis[% NNA],0,0)</f>
        <v>0.05</v>
      </c>
      <c r="U58" s="6" cm="1">
        <f t="array" ref="U58">_xlfn.XLOOKUP(Table8[[#This Row],[Admin2PCODE]:[Admin2PCODE]],tblPiNAnalysis[[Admin2PCODE]:[Admin2PCODE]],tblPiNAnalysis[% VBG],0,0)</f>
        <v>0.05</v>
      </c>
      <c r="V58" s="8" cm="1">
        <f t="array" ref="V58">_xlfn.XLOOKUP(Table8[[#This Row],[Admin2PCODE]:[Admin2PCODE]],tblPiNAnalysis[[Admin2PCODE]:[Admin2PCODE]],tblPiNAnalysis[PiN preliminar],0,0)</f>
        <v>24500</v>
      </c>
      <c r="W58" s="308" cm="1">
        <f t="array" ref="W58">_xlfn.XLOOKUP(Table8[[#This Row],[Admin2PCODE]],tblPiNAnalysis[Admin2PCODE],tblSeverityAnalysis[Severidad media],0,0)</f>
        <v>2.6666666666666665</v>
      </c>
      <c r="X58" s="42">
        <f>Table8[[#This Row],[Severidad media]]*6</f>
        <v>16</v>
      </c>
      <c r="Y58" s="6" cm="1">
        <f t="array" ref="Y58">_xlfn.XLOOKUP(Table8[[#This Row],[Admin2PCODE]],tblPiNAnalysis[Admin2PCODE],tblPiNAnalysis[% PiN Sectores más altos],0,0)</f>
        <v>0.39035115671403992</v>
      </c>
      <c r="Z58" s="42" cm="1">
        <f t="array" ref="Z58">_xlfn.XLOOKUP(Table8[[#This Row],[Admin2PCODE]:[Admin2PCODE]],tblPiNAnalysis[[Admin2PCODE]:[Admin2PCODE]],tblPiNAnalysis[Severidad],0,0)</f>
        <v>3</v>
      </c>
      <c r="AA58">
        <f>_xlfn.XLOOKUP(Table8[[#This Row],[Admin2PCODE]],tblSeverityAnalysis[Admin 2 Código P],tblSeverityAnalysis[Severidad Ttotal 2025],0,0)</f>
        <v>4</v>
      </c>
      <c r="AB58" t="str">
        <f>_xlfn.XLOOKUP(Table8[[#This Row],[Admin2PCODE]],tblSeverityAnalysis[Admin 2 Código P],tblSeverityAnalysis[Priorización Final 2025],0,0)</f>
        <v>No</v>
      </c>
      <c r="AC58">
        <v>1</v>
      </c>
      <c r="AD58" t="s">
        <v>94</v>
      </c>
      <c r="AE58">
        <v>3</v>
      </c>
      <c r="AF58">
        <v>0</v>
      </c>
      <c r="AG58">
        <v>0</v>
      </c>
      <c r="AH58">
        <v>0</v>
      </c>
      <c r="AI58">
        <v>0</v>
      </c>
      <c r="AJ58">
        <v>0</v>
      </c>
      <c r="AK58">
        <v>0</v>
      </c>
      <c r="AL58">
        <v>0</v>
      </c>
      <c r="AM58">
        <v>3</v>
      </c>
      <c r="AN58">
        <v>0</v>
      </c>
      <c r="AO58" s="314">
        <f>Table8[[#This Row],[N° Clústeres con respuesta]]/Table8[[#This Row],[Org Total]]</f>
        <v>0.33333333333333331</v>
      </c>
      <c r="AP58" s="313">
        <v>14654</v>
      </c>
      <c r="AQ58" s="313">
        <v>479</v>
      </c>
      <c r="AR58" s="312">
        <f>Table8[[#This Row],[Alcanzados Oct 2025]]/Table8[[#This Row],[Meta 2025]]</f>
        <v>3.2687320868022382E-2</v>
      </c>
      <c r="AS58" s="423">
        <v>0</v>
      </c>
      <c r="AT58" s="423">
        <v>0</v>
      </c>
      <c r="AU58" s="423">
        <v>0</v>
      </c>
      <c r="AV58" s="423">
        <v>0</v>
      </c>
      <c r="AW58" s="423">
        <v>0</v>
      </c>
      <c r="AX58" s="423">
        <v>0</v>
      </c>
      <c r="AY58" s="423">
        <v>0</v>
      </c>
      <c r="AZ58" s="423">
        <v>479</v>
      </c>
      <c r="BA58" s="42">
        <v>0</v>
      </c>
    </row>
    <row r="59" spans="1:53">
      <c r="A59" t="s">
        <v>411</v>
      </c>
      <c r="B59" t="s">
        <v>412</v>
      </c>
      <c r="C59" t="s">
        <v>417</v>
      </c>
      <c r="D59" t="s">
        <v>418</v>
      </c>
      <c r="E59" s="8">
        <v>24553</v>
      </c>
      <c r="F59" s="8">
        <v>8556</v>
      </c>
      <c r="G59" s="8">
        <v>805.38895250687324</v>
      </c>
      <c r="H59" s="8">
        <v>17400</v>
      </c>
      <c r="I59" s="8">
        <v>2479.4893026590148</v>
      </c>
      <c r="J59" s="8">
        <v>4107.0443748487796</v>
      </c>
      <c r="K59" s="8">
        <v>0</v>
      </c>
      <c r="L59" s="8">
        <v>1314.2541999516095</v>
      </c>
      <c r="M59" s="8">
        <v>1437.4655311970728</v>
      </c>
      <c r="N59" s="6" cm="1">
        <f t="array" ref="N59">_xlfn.XLOOKUP(Table8[[#This Row],[Admin2PCODE]:[Admin2PCODE]],tblPiNAnalysis[[Admin2PCODE]:[Admin2PCODE]],tblPiNAnalysis[% SAMV],0,0)</f>
        <v>0.35000000000000003</v>
      </c>
      <c r="O59" s="6" cm="1">
        <f t="array" ref="O59">_xlfn.XLOOKUP(Table8[[#This Row],[Admin2PCODE]:[Admin2PCODE]],tblPiNAnalysis[[Admin2PCODE]:[Admin2PCODE]],tblPiNAnalysis[% NUT],0,0)</f>
        <v>0.05</v>
      </c>
      <c r="P59" s="6" cm="1">
        <f t="array" ref="P59">_xlfn.XLOOKUP(Table8[[#This Row],[Admin2PCODE]:[Admin2PCODE]],tblPiNAnalysis[[Admin2PCODE]:[Admin2PCODE]],tblPiNAnalysis[% SAL],0,0)</f>
        <v>0.70000000000000007</v>
      </c>
      <c r="Q59" s="6" cm="1">
        <f t="array" ref="Q59">_xlfn.XLOOKUP(Table8[[#This Row],[Admin2PCODE]:[Admin2PCODE]],tblPiNAnalysis[[Admin2PCODE]:[Admin2PCODE]],tblPiNAnalysis[% EDU],0,0)</f>
        <v>0.1</v>
      </c>
      <c r="R59" s="6" cm="1">
        <f t="array" ref="R59">_xlfn.XLOOKUP(Table8[[#This Row],[Admin2PCODE]:[Admin2PCODE]],tblPiNAnalysis[[Admin2PCODE]:[Admin2PCODE]],tblPiNAnalysis[% PRO],0,0)</f>
        <v>0.15000000000000002</v>
      </c>
      <c r="S59" s="6" cm="1">
        <f t="array" ref="S59">_xlfn.XLOOKUP(Table8[[#This Row],[Admin2PCODE]:[Admin2PCODE]],tblPiNAnalysis[[Admin2PCODE]:[Admin2PCODE]],tblPiNAnalysis[% WASH],0,0)</f>
        <v>0</v>
      </c>
      <c r="T59" s="6" cm="1">
        <f t="array" ref="T59">_xlfn.XLOOKUP(Table8[[#This Row],[Admin2PCODE]:[Admin2PCODE]],tblPiNAnalysis[[Admin2PCODE]:[Admin2PCODE]],tblPiNAnalysis[% NNA],0,0)</f>
        <v>0.05</v>
      </c>
      <c r="U59" s="6" cm="1">
        <f t="array" ref="U59">_xlfn.XLOOKUP(Table8[[#This Row],[Admin2PCODE]:[Admin2PCODE]],tblPiNAnalysis[[Admin2PCODE]:[Admin2PCODE]],tblPiNAnalysis[% VBG],0,0)</f>
        <v>0.05</v>
      </c>
      <c r="V59" s="8" cm="1">
        <f t="array" ref="V59">_xlfn.XLOOKUP(Table8[[#This Row],[Admin2PCODE]:[Admin2PCODE]],tblPiNAnalysis[[Admin2PCODE]:[Admin2PCODE]],tblPiNAnalysis[PiN preliminar],0,0)</f>
        <v>17400</v>
      </c>
      <c r="W59" s="308" cm="1">
        <f t="array" ref="W59">_xlfn.XLOOKUP(Table8[[#This Row],[Admin2PCODE]],tblPiNAnalysis[Admin2PCODE],tblSeverityAnalysis[Severidad media],0,0)</f>
        <v>3</v>
      </c>
      <c r="X59" s="42">
        <f>Table8[[#This Row],[Severidad media]]*6</f>
        <v>18</v>
      </c>
      <c r="Y59" s="6" cm="1">
        <f t="array" ref="Y59">_xlfn.XLOOKUP(Table8[[#This Row],[Admin2PCODE]],tblPiNAnalysis[Admin2PCODE],tblPiNAnalysis[% PiN Sectores más altos],0,0)</f>
        <v>0.70867103816234267</v>
      </c>
      <c r="Z59" s="42" cm="1">
        <f t="array" ref="Z59">_xlfn.XLOOKUP(Table8[[#This Row],[Admin2PCODE]:[Admin2PCODE]],tblPiNAnalysis[[Admin2PCODE]:[Admin2PCODE]],tblPiNAnalysis[Severidad],0,0)</f>
        <v>3</v>
      </c>
      <c r="AA59">
        <f>_xlfn.XLOOKUP(Table8[[#This Row],[Admin2PCODE]],tblSeverityAnalysis[Admin 2 Código P],tblSeverityAnalysis[Severidad Ttotal 2025],0,0)</f>
        <v>4</v>
      </c>
      <c r="AB59" t="str">
        <f>_xlfn.XLOOKUP(Table8[[#This Row],[Admin2PCODE]],tblSeverityAnalysis[Admin 2 Código P],tblSeverityAnalysis[Priorización Final 2025],0,0)</f>
        <v>No</v>
      </c>
      <c r="AC59">
        <v>1</v>
      </c>
      <c r="AD59" t="s">
        <v>952</v>
      </c>
      <c r="AE59">
        <v>2</v>
      </c>
      <c r="AF59">
        <v>0</v>
      </c>
      <c r="AG59">
        <v>0</v>
      </c>
      <c r="AH59">
        <v>0</v>
      </c>
      <c r="AI59">
        <v>0</v>
      </c>
      <c r="AJ59">
        <v>2</v>
      </c>
      <c r="AK59">
        <v>0</v>
      </c>
      <c r="AL59">
        <v>0</v>
      </c>
      <c r="AM59">
        <v>0</v>
      </c>
      <c r="AN59">
        <v>0</v>
      </c>
      <c r="AO59" s="314">
        <f>Table8[[#This Row],[N° Clústeres con respuesta]]/Table8[[#This Row],[Org Total]]</f>
        <v>0.5</v>
      </c>
      <c r="AP59" s="313">
        <v>5731</v>
      </c>
      <c r="AQ59" s="313">
        <v>3</v>
      </c>
      <c r="AR59" s="312">
        <f>Table8[[#This Row],[Alcanzados Oct 2025]]/Table8[[#This Row],[Meta 2025]]</f>
        <v>5.234688536032106E-4</v>
      </c>
      <c r="AS59" s="423">
        <v>0</v>
      </c>
      <c r="AT59" s="423">
        <v>0</v>
      </c>
      <c r="AU59" s="423">
        <v>0</v>
      </c>
      <c r="AV59" s="423">
        <v>0</v>
      </c>
      <c r="AW59" s="423">
        <v>3</v>
      </c>
      <c r="AX59" s="423">
        <v>0</v>
      </c>
      <c r="AY59" s="423">
        <v>0</v>
      </c>
      <c r="AZ59" s="423">
        <v>0</v>
      </c>
      <c r="BA59" s="42">
        <v>0</v>
      </c>
    </row>
    <row r="60" spans="1:53">
      <c r="A60" t="s">
        <v>411</v>
      </c>
      <c r="B60" t="s">
        <v>412</v>
      </c>
      <c r="C60" t="s">
        <v>421</v>
      </c>
      <c r="D60" t="s">
        <v>422</v>
      </c>
      <c r="E60" s="8">
        <v>13375</v>
      </c>
      <c r="F60" s="8">
        <v>2260</v>
      </c>
      <c r="G60" s="8">
        <v>528.83147596117101</v>
      </c>
      <c r="H60" s="8">
        <v>8400</v>
      </c>
      <c r="I60" s="8">
        <v>1330.934324580694</v>
      </c>
      <c r="J60" s="8">
        <v>1342.3626892095244</v>
      </c>
      <c r="K60" s="8">
        <v>0</v>
      </c>
      <c r="L60" s="8">
        <v>430.89842323625732</v>
      </c>
      <c r="M60" s="8">
        <v>469.82694122333356</v>
      </c>
      <c r="N60" s="6" cm="1">
        <f t="array" ref="N60">_xlfn.XLOOKUP(Table8[[#This Row],[Admin2PCODE]:[Admin2PCODE]],tblPiNAnalysis[[Admin2PCODE]:[Admin2PCODE]],tblPiNAnalysis[% SAMV],0,0)</f>
        <v>0.15000000000000002</v>
      </c>
      <c r="O60" s="6" cm="1">
        <f t="array" ref="O60">_xlfn.XLOOKUP(Table8[[#This Row],[Admin2PCODE]:[Admin2PCODE]],tblPiNAnalysis[[Admin2PCODE]:[Admin2PCODE]],tblPiNAnalysis[% NUT],0,0)</f>
        <v>0.05</v>
      </c>
      <c r="P60" s="6" cm="1">
        <f t="array" ref="P60">_xlfn.XLOOKUP(Table8[[#This Row],[Admin2PCODE]:[Admin2PCODE]],tblPiNAnalysis[[Admin2PCODE]:[Admin2PCODE]],tblPiNAnalysis[% SAL],0,0)</f>
        <v>0.65</v>
      </c>
      <c r="Q60" s="6" cm="1">
        <f t="array" ref="Q60">_xlfn.XLOOKUP(Table8[[#This Row],[Admin2PCODE]:[Admin2PCODE]],tblPiNAnalysis[[Admin2PCODE]:[Admin2PCODE]],tblPiNAnalysis[% EDU],0,0)</f>
        <v>0.1</v>
      </c>
      <c r="R60" s="6" cm="1">
        <f t="array" ref="R60">_xlfn.XLOOKUP(Table8[[#This Row],[Admin2PCODE]:[Admin2PCODE]],tblPiNAnalysis[[Admin2PCODE]:[Admin2PCODE]],tblPiNAnalysis[% PRO],0,0)</f>
        <v>0.1</v>
      </c>
      <c r="S60" s="6" cm="1">
        <f t="array" ref="S60">_xlfn.XLOOKUP(Table8[[#This Row],[Admin2PCODE]:[Admin2PCODE]],tblPiNAnalysis[[Admin2PCODE]:[Admin2PCODE]],tblPiNAnalysis[% WASH],0,0)</f>
        <v>0</v>
      </c>
      <c r="T60" s="6" cm="1">
        <f t="array" ref="T60">_xlfn.XLOOKUP(Table8[[#This Row],[Admin2PCODE]:[Admin2PCODE]],tblPiNAnalysis[[Admin2PCODE]:[Admin2PCODE]],tblPiNAnalysis[% NNA],0,0)</f>
        <v>0.05</v>
      </c>
      <c r="U60" s="6" cm="1">
        <f t="array" ref="U60">_xlfn.XLOOKUP(Table8[[#This Row],[Admin2PCODE]:[Admin2PCODE]],tblPiNAnalysis[[Admin2PCODE]:[Admin2PCODE]],tblPiNAnalysis[% VBG],0,0)</f>
        <v>0.05</v>
      </c>
      <c r="V60" s="8" cm="1">
        <f t="array" ref="V60">_xlfn.XLOOKUP(Table8[[#This Row],[Admin2PCODE]:[Admin2PCODE]],tblPiNAnalysis[[Admin2PCODE]:[Admin2PCODE]],tblPiNAnalysis[PiN preliminar],0,0)</f>
        <v>0</v>
      </c>
      <c r="W60" s="308" cm="1">
        <f t="array" ref="W60">_xlfn.XLOOKUP(Table8[[#This Row],[Admin2PCODE]],tblPiNAnalysis[Admin2PCODE],tblSeverityAnalysis[Severidad media],0,0)</f>
        <v>2.5</v>
      </c>
      <c r="X60" s="42">
        <f>Table8[[#This Row],[Severidad media]]*6</f>
        <v>15</v>
      </c>
      <c r="Y60" s="6" cm="1">
        <f t="array" ref="Y60">_xlfn.XLOOKUP(Table8[[#This Row],[Admin2PCODE]],tblPiNAnalysis[Admin2PCODE],tblPiNAnalysis[% PiN Sectores más altos],0,0)</f>
        <v>0.62803738317757007</v>
      </c>
      <c r="Z60" s="42" cm="1">
        <f t="array" ref="Z60">_xlfn.XLOOKUP(Table8[[#This Row],[Admin2PCODE]:[Admin2PCODE]],tblPiNAnalysis[[Admin2PCODE]:[Admin2PCODE]],tblPiNAnalysis[Severidad],0,0)</f>
        <v>2</v>
      </c>
      <c r="AA60">
        <f>_xlfn.XLOOKUP(Table8[[#This Row],[Admin2PCODE]],tblSeverityAnalysis[Admin 2 Código P],tblSeverityAnalysis[Severidad Ttotal 2025],0,0)</f>
        <v>4</v>
      </c>
      <c r="AB60" t="str">
        <f>_xlfn.XLOOKUP(Table8[[#This Row],[Admin2PCODE]],tblSeverityAnalysis[Admin 2 Código P],tblSeverityAnalysis[Priorización Final 2025],0,0)</f>
        <v>No</v>
      </c>
      <c r="AC60">
        <v>0</v>
      </c>
      <c r="AD60">
        <v>0</v>
      </c>
      <c r="AE60">
        <v>0</v>
      </c>
      <c r="AF60">
        <v>0</v>
      </c>
      <c r="AG60">
        <v>0</v>
      </c>
      <c r="AH60">
        <v>0</v>
      </c>
      <c r="AI60">
        <v>0</v>
      </c>
      <c r="AJ60">
        <v>0</v>
      </c>
      <c r="AK60">
        <v>0</v>
      </c>
      <c r="AL60">
        <v>0</v>
      </c>
      <c r="AM60">
        <v>0</v>
      </c>
      <c r="AN60">
        <v>0</v>
      </c>
      <c r="AO60" s="314" t="e">
        <f>Table8[[#This Row],[N° Clústeres con respuesta]]/Table8[[#This Row],[Org Total]]</f>
        <v>#DIV/0!</v>
      </c>
      <c r="AP60" s="313">
        <v>3001</v>
      </c>
      <c r="AQ60" s="313">
        <v>0</v>
      </c>
      <c r="AR60" s="312">
        <f>Table8[[#This Row],[Alcanzados Oct 2025]]/Table8[[#This Row],[Meta 2025]]</f>
        <v>0</v>
      </c>
      <c r="AS60" s="423">
        <v>0</v>
      </c>
      <c r="AT60" s="423">
        <v>0</v>
      </c>
      <c r="AU60" s="423">
        <v>0</v>
      </c>
      <c r="AV60" s="423">
        <v>0</v>
      </c>
      <c r="AW60" s="423">
        <v>0</v>
      </c>
      <c r="AX60" s="423">
        <v>0</v>
      </c>
      <c r="AY60" s="423">
        <v>0</v>
      </c>
      <c r="AZ60" s="423">
        <v>0</v>
      </c>
      <c r="BA60" s="42">
        <v>0</v>
      </c>
    </row>
    <row r="61" spans="1:53">
      <c r="A61" t="s">
        <v>411</v>
      </c>
      <c r="B61" t="s">
        <v>412</v>
      </c>
      <c r="C61" t="s">
        <v>433</v>
      </c>
      <c r="D61" t="s">
        <v>434</v>
      </c>
      <c r="E61" s="8">
        <v>5000</v>
      </c>
      <c r="F61" s="8">
        <v>845</v>
      </c>
      <c r="G61" s="8">
        <v>207.64490296220634</v>
      </c>
      <c r="H61" s="8">
        <v>4495</v>
      </c>
      <c r="I61" s="8">
        <v>292.25911754380951</v>
      </c>
      <c r="J61" s="8">
        <v>167.27260924729282</v>
      </c>
      <c r="K61" s="8">
        <v>0</v>
      </c>
      <c r="L61" s="8">
        <v>53.527234959133693</v>
      </c>
      <c r="M61" s="8">
        <v>58.545413236552477</v>
      </c>
      <c r="N61" s="6" cm="1">
        <f t="array" ref="N61">_xlfn.XLOOKUP(Table8[[#This Row],[Admin2PCODE]:[Admin2PCODE]],tblPiNAnalysis[[Admin2PCODE]:[Admin2PCODE]],tblPiNAnalysis[% SAMV],0,0)</f>
        <v>0.15000000000000002</v>
      </c>
      <c r="O61" s="6" cm="1">
        <f t="array" ref="O61">_xlfn.XLOOKUP(Table8[[#This Row],[Admin2PCODE]:[Admin2PCODE]],tblPiNAnalysis[[Admin2PCODE]:[Admin2PCODE]],tblPiNAnalysis[% NUT],0,0)</f>
        <v>0.05</v>
      </c>
      <c r="P61" s="6" cm="1">
        <f t="array" ref="P61">_xlfn.XLOOKUP(Table8[[#This Row],[Admin2PCODE]:[Admin2PCODE]],tblPiNAnalysis[[Admin2PCODE]:[Admin2PCODE]],tblPiNAnalysis[% SAL],0,0)</f>
        <v>0.9</v>
      </c>
      <c r="Q61" s="6" cm="1">
        <f t="array" ref="Q61">_xlfn.XLOOKUP(Table8[[#This Row],[Admin2PCODE]:[Admin2PCODE]],tblPiNAnalysis[[Admin2PCODE]:[Admin2PCODE]],tblPiNAnalysis[% EDU],0,0)</f>
        <v>0.05</v>
      </c>
      <c r="R61" s="6" cm="1">
        <f t="array" ref="R61">_xlfn.XLOOKUP(Table8[[#This Row],[Admin2PCODE]:[Admin2PCODE]],tblPiNAnalysis[[Admin2PCODE]:[Admin2PCODE]],tblPiNAnalysis[% PRO],0,0)</f>
        <v>0.05</v>
      </c>
      <c r="S61" s="6" cm="1">
        <f t="array" ref="S61">_xlfn.XLOOKUP(Table8[[#This Row],[Admin2PCODE]:[Admin2PCODE]],tblPiNAnalysis[[Admin2PCODE]:[Admin2PCODE]],tblPiNAnalysis[% WASH],0,0)</f>
        <v>0</v>
      </c>
      <c r="T61" s="6" cm="1">
        <f t="array" ref="T61">_xlfn.XLOOKUP(Table8[[#This Row],[Admin2PCODE]:[Admin2PCODE]],tblPiNAnalysis[[Admin2PCODE]:[Admin2PCODE]],tblPiNAnalysis[% NNA],0,0)</f>
        <v>0</v>
      </c>
      <c r="U61" s="6" cm="1">
        <f t="array" ref="U61">_xlfn.XLOOKUP(Table8[[#This Row],[Admin2PCODE]:[Admin2PCODE]],tblPiNAnalysis[[Admin2PCODE]:[Admin2PCODE]],tblPiNAnalysis[% VBG],0,0)</f>
        <v>0</v>
      </c>
      <c r="V61" s="8" cm="1">
        <f t="array" ref="V61">_xlfn.XLOOKUP(Table8[[#This Row],[Admin2PCODE]:[Admin2PCODE]],tblPiNAnalysis[[Admin2PCODE]:[Admin2PCODE]],tblPiNAnalysis[PiN preliminar],0,0)</f>
        <v>0</v>
      </c>
      <c r="W61" s="308" cm="1">
        <f t="array" ref="W61">_xlfn.XLOOKUP(Table8[[#This Row],[Admin2PCODE]],tblPiNAnalysis[Admin2PCODE],tblSeverityAnalysis[Severidad media],0,0)</f>
        <v>2.1666666666666665</v>
      </c>
      <c r="X61" s="42">
        <f>Table8[[#This Row],[Severidad media]]*6</f>
        <v>13</v>
      </c>
      <c r="Y61" s="6" cm="1">
        <f t="array" ref="Y61">_xlfn.XLOOKUP(Table8[[#This Row],[Admin2PCODE]],tblPiNAnalysis[Admin2PCODE],tblPiNAnalysis[% PiN Sectores más altos],0,0)</f>
        <v>0.89900000000000002</v>
      </c>
      <c r="Z61" s="42" cm="1">
        <f t="array" ref="Z61">_xlfn.XLOOKUP(Table8[[#This Row],[Admin2PCODE]:[Admin2PCODE]],tblPiNAnalysis[[Admin2PCODE]:[Admin2PCODE]],tblPiNAnalysis[Severidad],0,0)</f>
        <v>2</v>
      </c>
      <c r="AA61">
        <f>_xlfn.XLOOKUP(Table8[[#This Row],[Admin2PCODE]],tblSeverityAnalysis[Admin 2 Código P],tblSeverityAnalysis[Severidad Ttotal 2025],0,0)</f>
        <v>4</v>
      </c>
      <c r="AB61" t="str">
        <f>_xlfn.XLOOKUP(Table8[[#This Row],[Admin2PCODE]],tblSeverityAnalysis[Admin 2 Código P],tblSeverityAnalysis[Priorización Final 2025],0,0)</f>
        <v>No</v>
      </c>
      <c r="AC61">
        <v>0</v>
      </c>
      <c r="AD61">
        <v>0</v>
      </c>
      <c r="AE61">
        <v>0</v>
      </c>
      <c r="AF61">
        <v>0</v>
      </c>
      <c r="AG61">
        <v>0</v>
      </c>
      <c r="AH61">
        <v>0</v>
      </c>
      <c r="AI61">
        <v>0</v>
      </c>
      <c r="AJ61">
        <v>0</v>
      </c>
      <c r="AK61">
        <v>0</v>
      </c>
      <c r="AL61">
        <v>0</v>
      </c>
      <c r="AM61">
        <v>0</v>
      </c>
      <c r="AN61">
        <v>0</v>
      </c>
      <c r="AO61" s="314" t="e">
        <f>Table8[[#This Row],[N° Clústeres con respuesta]]/Table8[[#This Row],[Org Total]]</f>
        <v>#DIV/0!</v>
      </c>
      <c r="AP61" s="313">
        <v>1169</v>
      </c>
      <c r="AQ61" s="313">
        <v>0</v>
      </c>
      <c r="AR61" s="312">
        <f>Table8[[#This Row],[Alcanzados Oct 2025]]/Table8[[#This Row],[Meta 2025]]</f>
        <v>0</v>
      </c>
      <c r="AS61" s="423">
        <v>0</v>
      </c>
      <c r="AT61" s="423">
        <v>0</v>
      </c>
      <c r="AU61" s="423">
        <v>0</v>
      </c>
      <c r="AV61" s="423">
        <v>0</v>
      </c>
      <c r="AW61" s="423">
        <v>0</v>
      </c>
      <c r="AX61" s="423">
        <v>0</v>
      </c>
      <c r="AY61" s="423">
        <v>0</v>
      </c>
      <c r="AZ61" s="423">
        <v>0</v>
      </c>
      <c r="BA61" s="42">
        <v>0</v>
      </c>
    </row>
    <row r="62" spans="1:53">
      <c r="A62" t="s">
        <v>705</v>
      </c>
      <c r="B62" t="s">
        <v>706</v>
      </c>
      <c r="C62" t="s">
        <v>729</v>
      </c>
      <c r="D62" t="s">
        <v>730</v>
      </c>
      <c r="E62" s="8">
        <v>211898</v>
      </c>
      <c r="F62" s="8">
        <v>48863</v>
      </c>
      <c r="G62" s="8">
        <v>10935.196591865748</v>
      </c>
      <c r="H62" s="8">
        <v>77342.77</v>
      </c>
      <c r="I62" s="8">
        <v>22957.155262497428</v>
      </c>
      <c r="J62" s="8">
        <v>50504.319657383283</v>
      </c>
      <c r="K62" s="8">
        <v>127138.79999999999</v>
      </c>
      <c r="L62" s="8">
        <v>16161.382290362651</v>
      </c>
      <c r="M62" s="8">
        <v>17676.511880084148</v>
      </c>
      <c r="N62" s="6" cm="1">
        <f t="array" ref="N62">_xlfn.XLOOKUP(Table8[[#This Row],[Admin2PCODE]:[Admin2PCODE]],tblPiNAnalysis[[Admin2PCODE]:[Admin2PCODE]],tblPiNAnalysis[% SAMV],0,0)</f>
        <v>0.25</v>
      </c>
      <c r="O62" s="6" cm="1">
        <f t="array" ref="O62">_xlfn.XLOOKUP(Table8[[#This Row],[Admin2PCODE]:[Admin2PCODE]],tblPiNAnalysis[[Admin2PCODE]:[Admin2PCODE]],tblPiNAnalysis[% NUT],0,0)</f>
        <v>0.05</v>
      </c>
      <c r="P62" s="6" cm="1">
        <f t="array" ref="P62">_xlfn.XLOOKUP(Table8[[#This Row],[Admin2PCODE]:[Admin2PCODE]],tblPiNAnalysis[[Admin2PCODE]:[Admin2PCODE]],tblPiNAnalysis[% SAL],0,0)</f>
        <v>0.35000000000000003</v>
      </c>
      <c r="Q62" s="6" cm="1">
        <f t="array" ref="Q62">_xlfn.XLOOKUP(Table8[[#This Row],[Admin2PCODE]:[Admin2PCODE]],tblPiNAnalysis[[Admin2PCODE]:[Admin2PCODE]],tblPiNAnalysis[% EDU],0,0)</f>
        <v>0.1</v>
      </c>
      <c r="R62" s="6" cm="1">
        <f t="array" ref="R62">_xlfn.XLOOKUP(Table8[[#This Row],[Admin2PCODE]:[Admin2PCODE]],tblPiNAnalysis[[Admin2PCODE]:[Admin2PCODE]],tblPiNAnalysis[% PRO],0,0)</f>
        <v>0.25</v>
      </c>
      <c r="S62" s="6" cm="1">
        <f t="array" ref="S62">_xlfn.XLOOKUP(Table8[[#This Row],[Admin2PCODE]:[Admin2PCODE]],tblPiNAnalysis[[Admin2PCODE]:[Admin2PCODE]],tblPiNAnalysis[% WASH],0,0)</f>
        <v>0.60000000000000009</v>
      </c>
      <c r="T62" s="6" cm="1">
        <f t="array" ref="T62">_xlfn.XLOOKUP(Table8[[#This Row],[Admin2PCODE]:[Admin2PCODE]],tblPiNAnalysis[[Admin2PCODE]:[Admin2PCODE]],tblPiNAnalysis[% NNA],0,0)</f>
        <v>0.1</v>
      </c>
      <c r="U62" s="6" cm="1">
        <f t="array" ref="U62">_xlfn.XLOOKUP(Table8[[#This Row],[Admin2PCODE]:[Admin2PCODE]],tblPiNAnalysis[[Admin2PCODE]:[Admin2PCODE]],tblPiNAnalysis[% VBG],0,0)</f>
        <v>0.1</v>
      </c>
      <c r="V62" s="8" cm="1">
        <f t="array" ref="V62">_xlfn.XLOOKUP(Table8[[#This Row],[Admin2PCODE]:[Admin2PCODE]],tblPiNAnalysis[[Admin2PCODE]:[Admin2PCODE]],tblPiNAnalysis[PiN preliminar],0,0)</f>
        <v>127138.79999999999</v>
      </c>
      <c r="W62" s="308" cm="1">
        <f t="array" ref="W62">_xlfn.XLOOKUP(Table8[[#This Row],[Admin2PCODE]],tblPiNAnalysis[Admin2PCODE],tblSeverityAnalysis[Severidad media],0,0)</f>
        <v>3</v>
      </c>
      <c r="X62" s="42">
        <f>Table8[[#This Row],[Severidad media]]*6</f>
        <v>18</v>
      </c>
      <c r="Y62" s="6" cm="1">
        <f t="array" ref="Y62">_xlfn.XLOOKUP(Table8[[#This Row],[Admin2PCODE]],tblPiNAnalysis[Admin2PCODE],tblPiNAnalysis[% PiN Sectores más altos],0,0)</f>
        <v>0.6</v>
      </c>
      <c r="Z62" s="42" cm="1">
        <f t="array" ref="Z62">_xlfn.XLOOKUP(Table8[[#This Row],[Admin2PCODE]:[Admin2PCODE]],tblPiNAnalysis[[Admin2PCODE]:[Admin2PCODE]],tblPiNAnalysis[Severidad],0,0)</f>
        <v>4</v>
      </c>
      <c r="AA62">
        <f>_xlfn.XLOOKUP(Table8[[#This Row],[Admin2PCODE]],tblSeverityAnalysis[Admin 2 Código P],tblSeverityAnalysis[Severidad Ttotal 2025],0,0)</f>
        <v>4</v>
      </c>
      <c r="AB62" t="str">
        <f>_xlfn.XLOOKUP(Table8[[#This Row],[Admin2PCODE]],tblSeverityAnalysis[Admin 2 Código P],tblSeverityAnalysis[Priorización Final 2025],0,0)</f>
        <v>Sí</v>
      </c>
      <c r="AC62">
        <v>8</v>
      </c>
      <c r="AD62" t="s">
        <v>993</v>
      </c>
      <c r="AE62">
        <v>19</v>
      </c>
      <c r="AF62">
        <v>0</v>
      </c>
      <c r="AG62">
        <v>5</v>
      </c>
      <c r="AH62">
        <v>1</v>
      </c>
      <c r="AI62">
        <v>6</v>
      </c>
      <c r="AJ62">
        <v>7</v>
      </c>
      <c r="AK62">
        <v>6</v>
      </c>
      <c r="AL62">
        <v>6</v>
      </c>
      <c r="AM62">
        <v>11</v>
      </c>
      <c r="AN62">
        <v>7</v>
      </c>
      <c r="AO62" s="314">
        <f>Table8[[#This Row],[N° Clústeres con respuesta]]/Table8[[#This Row],[Org Total]]</f>
        <v>0.42105263157894735</v>
      </c>
      <c r="AP62" s="313">
        <v>49472</v>
      </c>
      <c r="AQ62" s="313">
        <v>31069</v>
      </c>
      <c r="AR62" s="312">
        <f>Table8[[#This Row],[Alcanzados Oct 2025]]/Table8[[#This Row],[Meta 2025]]</f>
        <v>0.62801180465717987</v>
      </c>
      <c r="AS62" s="423">
        <v>0</v>
      </c>
      <c r="AT62" s="423">
        <v>18194</v>
      </c>
      <c r="AU62" s="423">
        <v>59</v>
      </c>
      <c r="AV62" s="423">
        <v>13780</v>
      </c>
      <c r="AW62" s="423">
        <v>3080</v>
      </c>
      <c r="AX62" s="423">
        <v>1366</v>
      </c>
      <c r="AY62" s="423">
        <v>366</v>
      </c>
      <c r="AZ62" s="423">
        <v>25911</v>
      </c>
      <c r="BA62" s="42">
        <v>16528</v>
      </c>
    </row>
    <row r="63" spans="1:53">
      <c r="A63" t="s">
        <v>705</v>
      </c>
      <c r="B63" t="s">
        <v>706</v>
      </c>
      <c r="C63" t="s">
        <v>734</v>
      </c>
      <c r="D63" t="s">
        <v>735</v>
      </c>
      <c r="E63" s="8">
        <v>67026</v>
      </c>
      <c r="F63" s="8">
        <v>28723</v>
      </c>
      <c r="G63" s="8">
        <v>2943.3221117728585</v>
      </c>
      <c r="H63" s="8">
        <v>25600</v>
      </c>
      <c r="I63" s="8">
        <v>11444.747850492135</v>
      </c>
      <c r="J63" s="8">
        <v>15975.150918629586</v>
      </c>
      <c r="K63" s="8">
        <v>40215.599999999999</v>
      </c>
      <c r="L63" s="8">
        <v>5128.0234448800966</v>
      </c>
      <c r="M63" s="8">
        <v>5591.3028215203549</v>
      </c>
      <c r="N63" s="6" cm="1">
        <f t="array" ref="N63">_xlfn.XLOOKUP(Table8[[#This Row],[Admin2PCODE]:[Admin2PCODE]],tblPiNAnalysis[[Admin2PCODE]:[Admin2PCODE]],tblPiNAnalysis[% SAMV],0,0)</f>
        <v>0.45</v>
      </c>
      <c r="O63" s="6" cm="1">
        <f t="array" ref="O63">_xlfn.XLOOKUP(Table8[[#This Row],[Admin2PCODE]:[Admin2PCODE]],tblPiNAnalysis[[Admin2PCODE]:[Admin2PCODE]],tblPiNAnalysis[% NUT],0,0)</f>
        <v>0.05</v>
      </c>
      <c r="P63" s="6" cm="1">
        <f t="array" ref="P63">_xlfn.XLOOKUP(Table8[[#This Row],[Admin2PCODE]:[Admin2PCODE]],tblPiNAnalysis[[Admin2PCODE]:[Admin2PCODE]],tblPiNAnalysis[% SAL],0,0)</f>
        <v>0.4</v>
      </c>
      <c r="Q63" s="6" cm="1">
        <f t="array" ref="Q63">_xlfn.XLOOKUP(Table8[[#This Row],[Admin2PCODE]:[Admin2PCODE]],tblPiNAnalysis[[Admin2PCODE]:[Admin2PCODE]],tblPiNAnalysis[% EDU],0,0)</f>
        <v>0.15000000000000002</v>
      </c>
      <c r="R63" s="6" cm="1">
        <f t="array" ref="R63">_xlfn.XLOOKUP(Table8[[#This Row],[Admin2PCODE]:[Admin2PCODE]],tblPiNAnalysis[[Admin2PCODE]:[Admin2PCODE]],tblPiNAnalysis[% PRO],0,0)</f>
        <v>0.25</v>
      </c>
      <c r="S63" s="6" cm="1">
        <f t="array" ref="S63">_xlfn.XLOOKUP(Table8[[#This Row],[Admin2PCODE]:[Admin2PCODE]],tblPiNAnalysis[[Admin2PCODE]:[Admin2PCODE]],tblPiNAnalysis[% WASH],0,0)</f>
        <v>0.60000000000000009</v>
      </c>
      <c r="T63" s="6" cm="1">
        <f t="array" ref="T63">_xlfn.XLOOKUP(Table8[[#This Row],[Admin2PCODE]:[Admin2PCODE]],tblPiNAnalysis[[Admin2PCODE]:[Admin2PCODE]],tblPiNAnalysis[% NNA],0,0)</f>
        <v>0.1</v>
      </c>
      <c r="U63" s="6" cm="1">
        <f t="array" ref="U63">_xlfn.XLOOKUP(Table8[[#This Row],[Admin2PCODE]:[Admin2PCODE]],tblPiNAnalysis[[Admin2PCODE]:[Admin2PCODE]],tblPiNAnalysis[% VBG],0,0)</f>
        <v>0.1</v>
      </c>
      <c r="V63" s="8" cm="1">
        <f t="array" ref="V63">_xlfn.XLOOKUP(Table8[[#This Row],[Admin2PCODE]:[Admin2PCODE]],tblPiNAnalysis[[Admin2PCODE]:[Admin2PCODE]],tblPiNAnalysis[PiN preliminar],0,0)</f>
        <v>40215.599999999999</v>
      </c>
      <c r="W63" s="308" cm="1">
        <f t="array" ref="W63">_xlfn.XLOOKUP(Table8[[#This Row],[Admin2PCODE]],tblPiNAnalysis[Admin2PCODE],tblSeverityAnalysis[Severidad media],0,0)</f>
        <v>2.6666666666666665</v>
      </c>
      <c r="X63" s="42">
        <f>Table8[[#This Row],[Severidad media]]*6</f>
        <v>16</v>
      </c>
      <c r="Y63" s="6" cm="1">
        <f t="array" ref="Y63">_xlfn.XLOOKUP(Table8[[#This Row],[Admin2PCODE]],tblPiNAnalysis[Admin2PCODE],tblPiNAnalysis[% PiN Sectores más altos],0,0)</f>
        <v>0.6</v>
      </c>
      <c r="Z63" s="42" cm="1">
        <f t="array" ref="Z63">_xlfn.XLOOKUP(Table8[[#This Row],[Admin2PCODE]:[Admin2PCODE]],tblPiNAnalysis[[Admin2PCODE]:[Admin2PCODE]],tblPiNAnalysis[Severidad],0,0)</f>
        <v>4</v>
      </c>
      <c r="AA63">
        <f>_xlfn.XLOOKUP(Table8[[#This Row],[Admin2PCODE]],tblSeverityAnalysis[Admin 2 Código P],tblSeverityAnalysis[Severidad Ttotal 2025],0,0)</f>
        <v>4</v>
      </c>
      <c r="AB63" t="str">
        <f>_xlfn.XLOOKUP(Table8[[#This Row],[Admin2PCODE]],tblSeverityAnalysis[Admin 2 Código P],tblSeverityAnalysis[Priorización Final 2025],0,0)</f>
        <v>Sí</v>
      </c>
      <c r="AC63">
        <v>9</v>
      </c>
      <c r="AD63" t="s">
        <v>994</v>
      </c>
      <c r="AE63">
        <v>25</v>
      </c>
      <c r="AF63">
        <v>1</v>
      </c>
      <c r="AG63">
        <v>9</v>
      </c>
      <c r="AH63">
        <v>7</v>
      </c>
      <c r="AI63">
        <v>5</v>
      </c>
      <c r="AJ63">
        <v>13</v>
      </c>
      <c r="AK63">
        <v>9</v>
      </c>
      <c r="AL63">
        <v>5</v>
      </c>
      <c r="AM63">
        <v>6</v>
      </c>
      <c r="AN63">
        <v>7</v>
      </c>
      <c r="AO63" s="314">
        <f>Table8[[#This Row],[N° Clústeres con respuesta]]/Table8[[#This Row],[Org Total]]</f>
        <v>0.36</v>
      </c>
      <c r="AP63" s="313">
        <v>15649</v>
      </c>
      <c r="AQ63" s="313">
        <v>60911</v>
      </c>
      <c r="AR63" s="312">
        <f>Table8[[#This Row],[Alcanzados Oct 2025]]/Table8[[#This Row],[Meta 2025]]</f>
        <v>3.892325388203719</v>
      </c>
      <c r="AS63" s="423">
        <v>2</v>
      </c>
      <c r="AT63" s="423">
        <v>34365</v>
      </c>
      <c r="AU63" s="423">
        <v>2839</v>
      </c>
      <c r="AV63" s="423">
        <v>6726</v>
      </c>
      <c r="AW63" s="423">
        <v>6735</v>
      </c>
      <c r="AX63" s="423">
        <v>1867</v>
      </c>
      <c r="AY63" s="423">
        <v>487</v>
      </c>
      <c r="AZ63" s="423">
        <v>49675</v>
      </c>
      <c r="BA63" s="42">
        <v>10264</v>
      </c>
    </row>
    <row r="64" spans="1:53">
      <c r="A64" t="s">
        <v>705</v>
      </c>
      <c r="B64" t="s">
        <v>706</v>
      </c>
      <c r="C64" t="s">
        <v>809</v>
      </c>
      <c r="D64" t="s">
        <v>737</v>
      </c>
      <c r="E64" s="8">
        <v>86923</v>
      </c>
      <c r="F64" s="8">
        <v>27117</v>
      </c>
      <c r="G64" s="8">
        <v>5305.9819661901165</v>
      </c>
      <c r="H64" s="8">
        <v>31726.895</v>
      </c>
      <c r="I64" s="8">
        <v>11214.09236011016</v>
      </c>
      <c r="J64" s="8">
        <v>20717.453574732779</v>
      </c>
      <c r="K64" s="8">
        <v>39115.35</v>
      </c>
      <c r="L64" s="8">
        <v>6650.3025974892225</v>
      </c>
      <c r="M64" s="8">
        <v>7251.108751156472</v>
      </c>
      <c r="N64" s="6" cm="1">
        <f t="array" ref="N64">_xlfn.XLOOKUP(Table8[[#This Row],[Admin2PCODE]:[Admin2PCODE]],tblPiNAnalysis[[Admin2PCODE]:[Admin2PCODE]],tblPiNAnalysis[% SAMV],0,0)</f>
        <v>0.30000000000000004</v>
      </c>
      <c r="O64" s="6" cm="1">
        <f t="array" ref="O64">_xlfn.XLOOKUP(Table8[[#This Row],[Admin2PCODE]:[Admin2PCODE]],tblPiNAnalysis[[Admin2PCODE]:[Admin2PCODE]],tblPiNAnalysis[% NUT],0,0)</f>
        <v>0.05</v>
      </c>
      <c r="P64" s="6" cm="1">
        <f t="array" ref="P64">_xlfn.XLOOKUP(Table8[[#This Row],[Admin2PCODE]:[Admin2PCODE]],tblPiNAnalysis[[Admin2PCODE]:[Admin2PCODE]],tblPiNAnalysis[% SAL],0,0)</f>
        <v>0.35000000000000003</v>
      </c>
      <c r="Q64" s="6" cm="1">
        <f t="array" ref="Q64">_xlfn.XLOOKUP(Table8[[#This Row],[Admin2PCODE]:[Admin2PCODE]],tblPiNAnalysis[[Admin2PCODE]:[Admin2PCODE]],tblPiNAnalysis[% EDU],0,0)</f>
        <v>0.15000000000000002</v>
      </c>
      <c r="R64" s="6" cm="1">
        <f t="array" ref="R64">_xlfn.XLOOKUP(Table8[[#This Row],[Admin2PCODE]:[Admin2PCODE]],tblPiNAnalysis[[Admin2PCODE]:[Admin2PCODE]],tblPiNAnalysis[% PRO],0,0)</f>
        <v>0.25</v>
      </c>
      <c r="S64" s="6" cm="1">
        <f t="array" ref="S64">_xlfn.XLOOKUP(Table8[[#This Row],[Admin2PCODE]:[Admin2PCODE]],tblPiNAnalysis[[Admin2PCODE]:[Admin2PCODE]],tblPiNAnalysis[% WASH],0,0)</f>
        <v>0.45</v>
      </c>
      <c r="T64" s="6" cm="1">
        <f t="array" ref="T64">_xlfn.XLOOKUP(Table8[[#This Row],[Admin2PCODE]:[Admin2PCODE]],tblPiNAnalysis[[Admin2PCODE]:[Admin2PCODE]],tblPiNAnalysis[% NNA],0,0)</f>
        <v>0.1</v>
      </c>
      <c r="U64" s="6" cm="1">
        <f t="array" ref="U64">_xlfn.XLOOKUP(Table8[[#This Row],[Admin2PCODE]:[Admin2PCODE]],tblPiNAnalysis[[Admin2PCODE]:[Admin2PCODE]],tblPiNAnalysis[% VBG],0,0)</f>
        <v>0.1</v>
      </c>
      <c r="V64" s="8" cm="1">
        <f t="array" ref="V64">_xlfn.XLOOKUP(Table8[[#This Row],[Admin2PCODE]:[Admin2PCODE]],tblPiNAnalysis[[Admin2PCODE]:[Admin2PCODE]],tblPiNAnalysis[PiN preliminar],0,0)</f>
        <v>39115.35</v>
      </c>
      <c r="W64" s="308" cm="1">
        <f t="array" ref="W64">_xlfn.XLOOKUP(Table8[[#This Row],[Admin2PCODE]],tblPiNAnalysis[Admin2PCODE],tblSeverityAnalysis[Severidad media],0,0)</f>
        <v>2.8333333333333335</v>
      </c>
      <c r="X64" s="42">
        <f>Table8[[#This Row],[Severidad media]]*6</f>
        <v>17</v>
      </c>
      <c r="Y64" s="6" cm="1">
        <f t="array" ref="Y64">_xlfn.XLOOKUP(Table8[[#This Row],[Admin2PCODE]],tblPiNAnalysis[Admin2PCODE],tblPiNAnalysis[% PiN Sectores más altos],0,0)</f>
        <v>0.44999999999999996</v>
      </c>
      <c r="Z64" s="42" cm="1">
        <f t="array" ref="Z64">_xlfn.XLOOKUP(Table8[[#This Row],[Admin2PCODE]:[Admin2PCODE]],tblPiNAnalysis[[Admin2PCODE]:[Admin2PCODE]],tblPiNAnalysis[Severidad],0,0)</f>
        <v>4</v>
      </c>
      <c r="AA64">
        <f>_xlfn.XLOOKUP(Table8[[#This Row],[Admin2PCODE]],tblSeverityAnalysis[Admin 2 Código P],tblSeverityAnalysis[Severidad Ttotal 2025],0,0)</f>
        <v>4</v>
      </c>
      <c r="AB64" t="str">
        <f>_xlfn.XLOOKUP(Table8[[#This Row],[Admin2PCODE]],tblSeverityAnalysis[Admin 2 Código P],tblSeverityAnalysis[Priorización Final 2025],0,0)</f>
        <v>Sí</v>
      </c>
      <c r="AC64">
        <v>6</v>
      </c>
      <c r="AD64" t="s">
        <v>995</v>
      </c>
      <c r="AE64">
        <v>12</v>
      </c>
      <c r="AF64">
        <v>0</v>
      </c>
      <c r="AG64">
        <v>3</v>
      </c>
      <c r="AH64">
        <v>0</v>
      </c>
      <c r="AI64">
        <v>3</v>
      </c>
      <c r="AJ64">
        <v>4</v>
      </c>
      <c r="AK64">
        <v>4</v>
      </c>
      <c r="AL64">
        <v>0</v>
      </c>
      <c r="AM64">
        <v>6</v>
      </c>
      <c r="AN64">
        <v>2</v>
      </c>
      <c r="AO64" s="314">
        <f>Table8[[#This Row],[N° Clústeres con respuesta]]/Table8[[#This Row],[Org Total]]</f>
        <v>0.5</v>
      </c>
      <c r="AP64" s="313">
        <v>20294</v>
      </c>
      <c r="AQ64" s="313">
        <v>13773</v>
      </c>
      <c r="AR64" s="312">
        <f>Table8[[#This Row],[Alcanzados Oct 2025]]/Table8[[#This Row],[Meta 2025]]</f>
        <v>0.67867349955651912</v>
      </c>
      <c r="AS64" s="423">
        <v>0</v>
      </c>
      <c r="AT64" s="423">
        <v>86</v>
      </c>
      <c r="AU64" s="423">
        <v>0</v>
      </c>
      <c r="AV64" s="423">
        <v>4047</v>
      </c>
      <c r="AW64" s="423">
        <v>2580</v>
      </c>
      <c r="AX64" s="423">
        <v>113</v>
      </c>
      <c r="AY64" s="423">
        <v>0</v>
      </c>
      <c r="AZ64" s="423">
        <v>13714</v>
      </c>
      <c r="BA64" s="42">
        <v>315</v>
      </c>
    </row>
    <row r="65" spans="1:53">
      <c r="A65" t="s">
        <v>276</v>
      </c>
      <c r="B65" t="s">
        <v>455</v>
      </c>
      <c r="C65" t="s">
        <v>483</v>
      </c>
      <c r="D65" t="s">
        <v>484</v>
      </c>
      <c r="E65" s="8">
        <v>22331</v>
      </c>
      <c r="F65" s="8">
        <v>4839</v>
      </c>
      <c r="G65" s="8">
        <v>856.93726003331824</v>
      </c>
      <c r="H65" s="8">
        <v>12600</v>
      </c>
      <c r="I65" s="8">
        <v>2826.2169632002428</v>
      </c>
      <c r="J65" s="8">
        <v>5342.2354631622929</v>
      </c>
      <c r="K65" s="8">
        <v>3014.6849999999999</v>
      </c>
      <c r="L65" s="8">
        <v>1709.5153482119338</v>
      </c>
      <c r="M65" s="8">
        <v>1869.7824121068022</v>
      </c>
      <c r="N65" s="6" cm="1">
        <f t="array" ref="N65">_xlfn.XLOOKUP(Table8[[#This Row],[Admin2PCODE]:[Admin2PCODE]],tblPiNAnalysis[[Admin2PCODE]:[Admin2PCODE]],tblPiNAnalysis[% SAMV],0,0)</f>
        <v>0.2</v>
      </c>
      <c r="O65" s="6" cm="1">
        <f t="array" ref="O65">_xlfn.XLOOKUP(Table8[[#This Row],[Admin2PCODE]:[Admin2PCODE]],tblPiNAnalysis[[Admin2PCODE]:[Admin2PCODE]],tblPiNAnalysis[% NUT],0,0)</f>
        <v>0.05</v>
      </c>
      <c r="P65" s="6" cm="1">
        <f t="array" ref="P65">_xlfn.XLOOKUP(Table8[[#This Row],[Admin2PCODE]:[Admin2PCODE]],tblPiNAnalysis[[Admin2PCODE]:[Admin2PCODE]],tblPiNAnalysis[% SAL],0,0)</f>
        <v>0.55000000000000004</v>
      </c>
      <c r="Q65" s="6" cm="1">
        <f t="array" ref="Q65">_xlfn.XLOOKUP(Table8[[#This Row],[Admin2PCODE]:[Admin2PCODE]],tblPiNAnalysis[[Admin2PCODE]:[Admin2PCODE]],tblPiNAnalysis[% EDU],0,0)</f>
        <v>0.15000000000000002</v>
      </c>
      <c r="R65" s="6" cm="1">
        <f t="array" ref="R65">_xlfn.XLOOKUP(Table8[[#This Row],[Admin2PCODE]:[Admin2PCODE]],tblPiNAnalysis[[Admin2PCODE]:[Admin2PCODE]],tblPiNAnalysis[% PRO],0,0)</f>
        <v>0.25</v>
      </c>
      <c r="S65" s="6" cm="1">
        <f t="array" ref="S65">_xlfn.XLOOKUP(Table8[[#This Row],[Admin2PCODE]:[Admin2PCODE]],tblPiNAnalysis[[Admin2PCODE]:[Admin2PCODE]],tblPiNAnalysis[% WASH],0,0)</f>
        <v>0.15000000000000002</v>
      </c>
      <c r="T65" s="6" cm="1">
        <f t="array" ref="T65">_xlfn.XLOOKUP(Table8[[#This Row],[Admin2PCODE]:[Admin2PCODE]],tblPiNAnalysis[[Admin2PCODE]:[Admin2PCODE]],tblPiNAnalysis[% NNA],0,0)</f>
        <v>0.1</v>
      </c>
      <c r="U65" s="6" cm="1">
        <f t="array" ref="U65">_xlfn.XLOOKUP(Table8[[#This Row],[Admin2PCODE]:[Admin2PCODE]],tblPiNAnalysis[[Admin2PCODE]:[Admin2PCODE]],tblPiNAnalysis[% VBG],0,0)</f>
        <v>0.1</v>
      </c>
      <c r="V65" s="8" cm="1">
        <f t="array" ref="V65">_xlfn.XLOOKUP(Table8[[#This Row],[Admin2PCODE]:[Admin2PCODE]],tblPiNAnalysis[[Admin2PCODE]:[Admin2PCODE]],tblPiNAnalysis[PiN preliminar],0,0)</f>
        <v>12600</v>
      </c>
      <c r="W65" s="308" cm="1">
        <f t="array" ref="W65">_xlfn.XLOOKUP(Table8[[#This Row],[Admin2PCODE]],tblPiNAnalysis[Admin2PCODE],tblSeverityAnalysis[Severidad media],0,0)</f>
        <v>3</v>
      </c>
      <c r="X65" s="42">
        <f>Table8[[#This Row],[Severidad media]]*6</f>
        <v>18</v>
      </c>
      <c r="Y65" s="6" cm="1">
        <f t="array" ref="Y65">_xlfn.XLOOKUP(Table8[[#This Row],[Admin2PCODE]],tblPiNAnalysis[Admin2PCODE],tblPiNAnalysis[% PiN Sectores más altos],0,0)</f>
        <v>0.56423805472213517</v>
      </c>
      <c r="Z65" s="42" cm="1">
        <f t="array" ref="Z65">_xlfn.XLOOKUP(Table8[[#This Row],[Admin2PCODE]:[Admin2PCODE]],tblPiNAnalysis[[Admin2PCODE]:[Admin2PCODE]],tblPiNAnalysis[Severidad],0,0)</f>
        <v>3</v>
      </c>
      <c r="AA65">
        <f>_xlfn.XLOOKUP(Table8[[#This Row],[Admin2PCODE]],tblSeverityAnalysis[Admin 2 Código P],tblSeverityAnalysis[Severidad Ttotal 2025],0,0)</f>
        <v>4</v>
      </c>
      <c r="AB65" t="str">
        <f>_xlfn.XLOOKUP(Table8[[#This Row],[Admin2PCODE]],tblSeverityAnalysis[Admin 2 Código P],tblSeverityAnalysis[Priorización Final 2025],0,0)</f>
        <v>No</v>
      </c>
      <c r="AC65">
        <v>7</v>
      </c>
      <c r="AD65" t="s">
        <v>996</v>
      </c>
      <c r="AE65">
        <v>7</v>
      </c>
      <c r="AF65">
        <v>0</v>
      </c>
      <c r="AG65">
        <v>3</v>
      </c>
      <c r="AH65">
        <v>0</v>
      </c>
      <c r="AI65">
        <v>2</v>
      </c>
      <c r="AJ65">
        <v>5</v>
      </c>
      <c r="AK65">
        <v>1</v>
      </c>
      <c r="AL65">
        <v>2</v>
      </c>
      <c r="AM65">
        <v>3</v>
      </c>
      <c r="AN65">
        <v>2</v>
      </c>
      <c r="AO65" s="314">
        <f>Table8[[#This Row],[N° Clústeres con respuesta]]/Table8[[#This Row],[Org Total]]</f>
        <v>1</v>
      </c>
      <c r="AP65" s="313">
        <v>5212</v>
      </c>
      <c r="AQ65" s="313">
        <v>3961</v>
      </c>
      <c r="AR65" s="312">
        <f>Table8[[#This Row],[Alcanzados Oct 2025]]/Table8[[#This Row],[Meta 2025]]</f>
        <v>0.75997697620874904</v>
      </c>
      <c r="AS65" s="423">
        <v>0</v>
      </c>
      <c r="AT65" s="423">
        <v>2347</v>
      </c>
      <c r="AU65" s="423">
        <v>0</v>
      </c>
      <c r="AV65" s="423">
        <v>1007</v>
      </c>
      <c r="AW65" s="423">
        <v>754</v>
      </c>
      <c r="AX65" s="423">
        <v>0</v>
      </c>
      <c r="AY65" s="423">
        <v>1108</v>
      </c>
      <c r="AZ65" s="423">
        <v>3721</v>
      </c>
      <c r="BA65" s="42">
        <v>1302</v>
      </c>
    </row>
    <row r="66" spans="1:53">
      <c r="A66" t="s">
        <v>491</v>
      </c>
      <c r="B66" t="s">
        <v>492</v>
      </c>
      <c r="C66" t="s">
        <v>509</v>
      </c>
      <c r="D66" t="s">
        <v>510</v>
      </c>
      <c r="E66" s="8">
        <v>24788</v>
      </c>
      <c r="F66" s="8">
        <v>10099</v>
      </c>
      <c r="G66" s="8">
        <v>1264.1302403729683</v>
      </c>
      <c r="H66" s="8">
        <v>9820</v>
      </c>
      <c r="I66" s="8">
        <v>3127.6448794487815</v>
      </c>
      <c r="J66" s="8">
        <v>4949.8284253688062</v>
      </c>
      <c r="K66" s="8">
        <v>0</v>
      </c>
      <c r="L66" s="8">
        <v>1583.945096118018</v>
      </c>
      <c r="M66" s="8">
        <v>1732.4399488790818</v>
      </c>
      <c r="N66" s="6" cm="1">
        <f t="array" ref="N66">_xlfn.XLOOKUP(Table8[[#This Row],[Admin2PCODE]:[Admin2PCODE]],tblPiNAnalysis[[Admin2PCODE]:[Admin2PCODE]],tblPiNAnalysis[% SAMV],0,0)</f>
        <v>0.4</v>
      </c>
      <c r="O66" s="6" cm="1">
        <f t="array" ref="O66">_xlfn.XLOOKUP(Table8[[#This Row],[Admin2PCODE]:[Admin2PCODE]],tblPiNAnalysis[[Admin2PCODE]:[Admin2PCODE]],tblPiNAnalysis[% NUT],0,0)</f>
        <v>0.05</v>
      </c>
      <c r="P66" s="6" cm="1">
        <f t="array" ref="P66">_xlfn.XLOOKUP(Table8[[#This Row],[Admin2PCODE]:[Admin2PCODE]],tblPiNAnalysis[[Admin2PCODE]:[Admin2PCODE]],tblPiNAnalysis[% SAL],0,0)</f>
        <v>0.4</v>
      </c>
      <c r="Q66" s="6" cm="1">
        <f t="array" ref="Q66">_xlfn.XLOOKUP(Table8[[#This Row],[Admin2PCODE]:[Admin2PCODE]],tblPiNAnalysis[[Admin2PCODE]:[Admin2PCODE]],tblPiNAnalysis[% EDU],0,0)</f>
        <v>0.15000000000000002</v>
      </c>
      <c r="R66" s="6" cm="1">
        <f t="array" ref="R66">_xlfn.XLOOKUP(Table8[[#This Row],[Admin2PCODE]:[Admin2PCODE]],tblPiNAnalysis[[Admin2PCODE]:[Admin2PCODE]],tblPiNAnalysis[% PRO],0,0)</f>
        <v>0.2</v>
      </c>
      <c r="S66" s="6" cm="1">
        <f t="array" ref="S66">_xlfn.XLOOKUP(Table8[[#This Row],[Admin2PCODE]:[Admin2PCODE]],tblPiNAnalysis[[Admin2PCODE]:[Admin2PCODE]],tblPiNAnalysis[% WASH],0,0)</f>
        <v>0</v>
      </c>
      <c r="T66" s="6" cm="1">
        <f t="array" ref="T66">_xlfn.XLOOKUP(Table8[[#This Row],[Admin2PCODE]:[Admin2PCODE]],tblPiNAnalysis[[Admin2PCODE]:[Admin2PCODE]],tblPiNAnalysis[% NNA],0,0)</f>
        <v>0.05</v>
      </c>
      <c r="U66" s="6" cm="1">
        <f t="array" ref="U66">_xlfn.XLOOKUP(Table8[[#This Row],[Admin2PCODE]:[Admin2PCODE]],tblPiNAnalysis[[Admin2PCODE]:[Admin2PCODE]],tblPiNAnalysis[% VBG],0,0)</f>
        <v>0.05</v>
      </c>
      <c r="V66" s="8" cm="1">
        <f t="array" ref="V66">_xlfn.XLOOKUP(Table8[[#This Row],[Admin2PCODE]:[Admin2PCODE]],tblPiNAnalysis[[Admin2PCODE]:[Admin2PCODE]],tblPiNAnalysis[PiN preliminar],0,0)</f>
        <v>10099</v>
      </c>
      <c r="W66" s="308" cm="1">
        <f t="array" ref="W66">_xlfn.XLOOKUP(Table8[[#This Row],[Admin2PCODE]],tblPiNAnalysis[Admin2PCODE],tblSeverityAnalysis[Severidad media],0,0)</f>
        <v>2.6666666666666665</v>
      </c>
      <c r="X66" s="42">
        <f>Table8[[#This Row],[Severidad media]]*6</f>
        <v>16</v>
      </c>
      <c r="Y66" s="6" cm="1">
        <f t="array" ref="Y66">_xlfn.XLOOKUP(Table8[[#This Row],[Admin2PCODE]],tblPiNAnalysis[Admin2PCODE],tblPiNAnalysis[% PiN Sectores más altos],0,0)</f>
        <v>0.40741487816685495</v>
      </c>
      <c r="Z66" s="42" cm="1">
        <f t="array" ref="Z66">_xlfn.XLOOKUP(Table8[[#This Row],[Admin2PCODE]:[Admin2PCODE]],tblPiNAnalysis[[Admin2PCODE]:[Admin2PCODE]],tblPiNAnalysis[Severidad],0,0)</f>
        <v>3</v>
      </c>
      <c r="AA66">
        <f>_xlfn.XLOOKUP(Table8[[#This Row],[Admin2PCODE]],tblSeverityAnalysis[Admin 2 Código P],tblSeverityAnalysis[Severidad Ttotal 2025],0,0)</f>
        <v>4</v>
      </c>
      <c r="AB66" t="str">
        <f>_xlfn.XLOOKUP(Table8[[#This Row],[Admin2PCODE]],tblSeverityAnalysis[Admin 2 Código P],tblSeverityAnalysis[Priorización Final 2025],0,0)</f>
        <v>No</v>
      </c>
      <c r="AC66">
        <v>1</v>
      </c>
      <c r="AD66" t="s">
        <v>92</v>
      </c>
      <c r="AE66">
        <v>2</v>
      </c>
      <c r="AF66">
        <v>0</v>
      </c>
      <c r="AG66">
        <v>0</v>
      </c>
      <c r="AH66">
        <v>0</v>
      </c>
      <c r="AI66">
        <v>0</v>
      </c>
      <c r="AJ66">
        <v>0</v>
      </c>
      <c r="AK66">
        <v>0</v>
      </c>
      <c r="AL66">
        <v>0</v>
      </c>
      <c r="AM66">
        <v>0</v>
      </c>
      <c r="AN66">
        <v>2</v>
      </c>
      <c r="AO66" s="314">
        <f>Table8[[#This Row],[N° Clústeres con respuesta]]/Table8[[#This Row],[Org Total]]</f>
        <v>0.5</v>
      </c>
      <c r="AP66" s="313">
        <v>5560</v>
      </c>
      <c r="AQ66" s="313">
        <v>304</v>
      </c>
      <c r="AR66" s="312">
        <f>Table8[[#This Row],[Alcanzados Oct 2025]]/Table8[[#This Row],[Meta 2025]]</f>
        <v>5.4676258992805753E-2</v>
      </c>
      <c r="AS66" s="423">
        <v>0</v>
      </c>
      <c r="AT66" s="423">
        <v>0</v>
      </c>
      <c r="AU66" s="423">
        <v>0</v>
      </c>
      <c r="AV66" s="423">
        <v>0</v>
      </c>
      <c r="AW66" s="423">
        <v>0</v>
      </c>
      <c r="AX66" s="423">
        <v>0</v>
      </c>
      <c r="AY66" s="423">
        <v>0</v>
      </c>
      <c r="AZ66" s="423">
        <v>0</v>
      </c>
      <c r="BA66" s="42">
        <v>304</v>
      </c>
    </row>
    <row r="67" spans="1:53">
      <c r="A67" t="s">
        <v>536</v>
      </c>
      <c r="B67" t="s">
        <v>537</v>
      </c>
      <c r="C67" t="s">
        <v>553</v>
      </c>
      <c r="D67" t="s">
        <v>554</v>
      </c>
      <c r="E67" s="8">
        <v>16550</v>
      </c>
      <c r="F67" s="8">
        <v>7586</v>
      </c>
      <c r="G67" s="8">
        <v>898.4298243468595</v>
      </c>
      <c r="H67" s="8">
        <v>10100</v>
      </c>
      <c r="I67" s="8">
        <v>1075.9238296589212</v>
      </c>
      <c r="J67" s="8">
        <v>1570.1869903278748</v>
      </c>
      <c r="K67" s="8">
        <v>0</v>
      </c>
      <c r="L67" s="8">
        <v>504.03002389524778</v>
      </c>
      <c r="M67" s="8">
        <v>549.56544661475607</v>
      </c>
      <c r="N67" s="6" cm="1">
        <f t="array" ref="N67">_xlfn.XLOOKUP(Table8[[#This Row],[Admin2PCODE]:[Admin2PCODE]],tblPiNAnalysis[[Admin2PCODE]:[Admin2PCODE]],tblPiNAnalysis[% SAMV],0,0)</f>
        <v>0.45</v>
      </c>
      <c r="O67" s="6" cm="1">
        <f t="array" ref="O67">_xlfn.XLOOKUP(Table8[[#This Row],[Admin2PCODE]:[Admin2PCODE]],tblPiNAnalysis[[Admin2PCODE]:[Admin2PCODE]],tblPiNAnalysis[% NUT],0,0)</f>
        <v>0.05</v>
      </c>
      <c r="P67" s="6" cm="1">
        <f t="array" ref="P67">_xlfn.XLOOKUP(Table8[[#This Row],[Admin2PCODE]:[Admin2PCODE]],tblPiNAnalysis[[Admin2PCODE]:[Admin2PCODE]],tblPiNAnalysis[% SAL],0,0)</f>
        <v>0.60000000000000009</v>
      </c>
      <c r="Q67" s="6" cm="1">
        <f t="array" ref="Q67">_xlfn.XLOOKUP(Table8[[#This Row],[Admin2PCODE]:[Admin2PCODE]],tblPiNAnalysis[[Admin2PCODE]:[Admin2PCODE]],tblPiNAnalysis[% EDU],0,0)</f>
        <v>0.05</v>
      </c>
      <c r="R67" s="6" cm="1">
        <f t="array" ref="R67">_xlfn.XLOOKUP(Table8[[#This Row],[Admin2PCODE]:[Admin2PCODE]],tblPiNAnalysis[[Admin2PCODE]:[Admin2PCODE]],tblPiNAnalysis[% PRO],0,0)</f>
        <v>0.1</v>
      </c>
      <c r="S67" s="6" cm="1">
        <f t="array" ref="S67">_xlfn.XLOOKUP(Table8[[#This Row],[Admin2PCODE]:[Admin2PCODE]],tblPiNAnalysis[[Admin2PCODE]:[Admin2PCODE]],tblPiNAnalysis[% WASH],0,0)</f>
        <v>0</v>
      </c>
      <c r="T67" s="6" cm="1">
        <f t="array" ref="T67">_xlfn.XLOOKUP(Table8[[#This Row],[Admin2PCODE]:[Admin2PCODE]],tblPiNAnalysis[[Admin2PCODE]:[Admin2PCODE]],tblPiNAnalysis[% NNA],0,0)</f>
        <v>0.05</v>
      </c>
      <c r="U67" s="6" cm="1">
        <f t="array" ref="U67">_xlfn.XLOOKUP(Table8[[#This Row],[Admin2PCODE]:[Admin2PCODE]],tblPiNAnalysis[[Admin2PCODE]:[Admin2PCODE]],tblPiNAnalysis[% VBG],0,0)</f>
        <v>0.05</v>
      </c>
      <c r="V67" s="8" cm="1">
        <f t="array" ref="V67">_xlfn.XLOOKUP(Table8[[#This Row],[Admin2PCODE]:[Admin2PCODE]],tblPiNAnalysis[[Admin2PCODE]:[Admin2PCODE]],tblPiNAnalysis[PiN preliminar],0,0)</f>
        <v>0</v>
      </c>
      <c r="W67" s="308" cm="1">
        <f t="array" ref="W67">_xlfn.XLOOKUP(Table8[[#This Row],[Admin2PCODE]],tblPiNAnalysis[Admin2PCODE],tblSeverityAnalysis[Severidad media],0,0)</f>
        <v>2.6666666666666665</v>
      </c>
      <c r="X67" s="42">
        <f>Table8[[#This Row],[Severidad media]]*6</f>
        <v>16</v>
      </c>
      <c r="Y67" s="6" cm="1">
        <f t="array" ref="Y67">_xlfn.XLOOKUP(Table8[[#This Row],[Admin2PCODE]],tblPiNAnalysis[Admin2PCODE],tblPiNAnalysis[% PiN Sectores más altos],0,0)</f>
        <v>0.61027190332326287</v>
      </c>
      <c r="Z67" s="42" cm="1">
        <f t="array" ref="Z67">_xlfn.XLOOKUP(Table8[[#This Row],[Admin2PCODE]:[Admin2PCODE]],tblPiNAnalysis[[Admin2PCODE]:[Admin2PCODE]],tblPiNAnalysis[Severidad],0,0)</f>
        <v>2</v>
      </c>
      <c r="AA67">
        <f>_xlfn.XLOOKUP(Table8[[#This Row],[Admin2PCODE]],tblSeverityAnalysis[Admin 2 Código P],tblSeverityAnalysis[Severidad Ttotal 2025],0,0)</f>
        <v>4</v>
      </c>
      <c r="AB67" t="str">
        <f>_xlfn.XLOOKUP(Table8[[#This Row],[Admin2PCODE]],tblSeverityAnalysis[Admin 2 Código P],tblSeverityAnalysis[Priorización Final 2025],0,0)</f>
        <v>No</v>
      </c>
      <c r="AC67">
        <v>3</v>
      </c>
      <c r="AD67" t="s">
        <v>997</v>
      </c>
      <c r="AE67">
        <v>2</v>
      </c>
      <c r="AF67">
        <v>0</v>
      </c>
      <c r="AG67">
        <v>1</v>
      </c>
      <c r="AH67">
        <v>0</v>
      </c>
      <c r="AI67">
        <v>0</v>
      </c>
      <c r="AJ67">
        <v>0</v>
      </c>
      <c r="AK67">
        <v>0</v>
      </c>
      <c r="AL67">
        <v>0</v>
      </c>
      <c r="AM67">
        <v>2</v>
      </c>
      <c r="AN67">
        <v>1</v>
      </c>
      <c r="AO67" s="314">
        <f>Table8[[#This Row],[N° Clústeres con respuesta]]/Table8[[#This Row],[Org Total]]</f>
        <v>1.5</v>
      </c>
      <c r="AP67" s="313">
        <v>3714</v>
      </c>
      <c r="AQ67" s="313">
        <v>856</v>
      </c>
      <c r="AR67" s="312">
        <f>Table8[[#This Row],[Alcanzados Oct 2025]]/Table8[[#This Row],[Meta 2025]]</f>
        <v>0.23047926763597198</v>
      </c>
      <c r="AS67" s="423">
        <v>0</v>
      </c>
      <c r="AT67" s="423">
        <v>610</v>
      </c>
      <c r="AU67" s="423">
        <v>0</v>
      </c>
      <c r="AV67" s="423">
        <v>0</v>
      </c>
      <c r="AW67" s="423">
        <v>0</v>
      </c>
      <c r="AX67" s="423">
        <v>0</v>
      </c>
      <c r="AY67" s="423">
        <v>0</v>
      </c>
      <c r="AZ67" s="423">
        <v>259</v>
      </c>
      <c r="BA67" s="42">
        <v>854</v>
      </c>
    </row>
    <row r="68" spans="1:53">
      <c r="A68" t="s">
        <v>203</v>
      </c>
      <c r="B68" t="s">
        <v>564</v>
      </c>
      <c r="C68" t="s">
        <v>221</v>
      </c>
      <c r="D68" t="s">
        <v>568</v>
      </c>
      <c r="E68" s="8">
        <v>48268</v>
      </c>
      <c r="F68" s="8">
        <v>10773</v>
      </c>
      <c r="G68" s="8">
        <v>5570.5708381610048</v>
      </c>
      <c r="H68" s="8">
        <v>17617.82</v>
      </c>
      <c r="I68" s="8">
        <v>3108.3234911339991</v>
      </c>
      <c r="J68" s="8">
        <v>11554.646427566071</v>
      </c>
      <c r="K68" s="8">
        <v>0</v>
      </c>
      <c r="L68" s="8">
        <v>3697.4868568211432</v>
      </c>
      <c r="M68" s="8">
        <v>4044.1262496481249</v>
      </c>
      <c r="N68" s="6" cm="1">
        <f t="array" ref="N68">_xlfn.XLOOKUP(Table8[[#This Row],[Admin2PCODE]:[Admin2PCODE]],tblPiNAnalysis[[Admin2PCODE]:[Admin2PCODE]],tblPiNAnalysis[% SAMV],0,0)</f>
        <v>0.2</v>
      </c>
      <c r="O68" s="6" cm="1">
        <f t="array" ref="O68">_xlfn.XLOOKUP(Table8[[#This Row],[Admin2PCODE]:[Admin2PCODE]],tblPiNAnalysis[[Admin2PCODE]:[Admin2PCODE]],tblPiNAnalysis[% NUT],0,0)</f>
        <v>0.1</v>
      </c>
      <c r="P68" s="6" cm="1">
        <f t="array" ref="P68">_xlfn.XLOOKUP(Table8[[#This Row],[Admin2PCODE]:[Admin2PCODE]],tblPiNAnalysis[[Admin2PCODE]:[Admin2PCODE]],tblPiNAnalysis[% SAL],0,0)</f>
        <v>0.35000000000000003</v>
      </c>
      <c r="Q68" s="6" cm="1">
        <f t="array" ref="Q68">_xlfn.XLOOKUP(Table8[[#This Row],[Admin2PCODE]:[Admin2PCODE]],tblPiNAnalysis[[Admin2PCODE]:[Admin2PCODE]],tblPiNAnalysis[% EDU],0,0)</f>
        <v>0.05</v>
      </c>
      <c r="R68" s="6" cm="1">
        <f t="array" ref="R68">_xlfn.XLOOKUP(Table8[[#This Row],[Admin2PCODE]:[Admin2PCODE]],tblPiNAnalysis[[Admin2PCODE]:[Admin2PCODE]],tblPiNAnalysis[% PRO],0,0)</f>
        <v>0.25</v>
      </c>
      <c r="S68" s="6" cm="1">
        <f t="array" ref="S68">_xlfn.XLOOKUP(Table8[[#This Row],[Admin2PCODE]:[Admin2PCODE]],tblPiNAnalysis[[Admin2PCODE]:[Admin2PCODE]],tblPiNAnalysis[% WASH],0,0)</f>
        <v>0</v>
      </c>
      <c r="T68" s="6" cm="1">
        <f t="array" ref="T68">_xlfn.XLOOKUP(Table8[[#This Row],[Admin2PCODE]:[Admin2PCODE]],tblPiNAnalysis[[Admin2PCODE]:[Admin2PCODE]],tblPiNAnalysis[% NNA],0,0)</f>
        <v>0.1</v>
      </c>
      <c r="U68" s="6" cm="1">
        <f t="array" ref="U68">_xlfn.XLOOKUP(Table8[[#This Row],[Admin2PCODE]:[Admin2PCODE]],tblPiNAnalysis[[Admin2PCODE]:[Admin2PCODE]],tblPiNAnalysis[% VBG],0,0)</f>
        <v>0.1</v>
      </c>
      <c r="V68" s="8" cm="1">
        <f t="array" ref="V68">_xlfn.XLOOKUP(Table8[[#This Row],[Admin2PCODE]:[Admin2PCODE]],tblPiNAnalysis[[Admin2PCODE]:[Admin2PCODE]],tblPiNAnalysis[PiN preliminar],0,0)</f>
        <v>17617.82</v>
      </c>
      <c r="W68" s="308" cm="1">
        <f t="array" ref="W68">_xlfn.XLOOKUP(Table8[[#This Row],[Admin2PCODE]],tblPiNAnalysis[Admin2PCODE],tblSeverityAnalysis[Severidad media],0,0)</f>
        <v>2.8333333333333335</v>
      </c>
      <c r="X68" s="42">
        <f>Table8[[#This Row],[Severidad media]]*6</f>
        <v>17</v>
      </c>
      <c r="Y68" s="6" cm="1">
        <f t="array" ref="Y68">_xlfn.XLOOKUP(Table8[[#This Row],[Admin2PCODE]],tblPiNAnalysis[Admin2PCODE],tblPiNAnalysis[% PiN Sectores más altos],0,0)</f>
        <v>0.36499999999999999</v>
      </c>
      <c r="Z68" s="42" cm="1">
        <f t="array" ref="Z68">_xlfn.XLOOKUP(Table8[[#This Row],[Admin2PCODE]:[Admin2PCODE]],tblPiNAnalysis[[Admin2PCODE]:[Admin2PCODE]],tblPiNAnalysis[Severidad],0,0)</f>
        <v>3</v>
      </c>
      <c r="AA68">
        <f>_xlfn.XLOOKUP(Table8[[#This Row],[Admin2PCODE]],tblSeverityAnalysis[Admin 2 Código P],tblSeverityAnalysis[Severidad Ttotal 2025],0,0)</f>
        <v>4</v>
      </c>
      <c r="AB68" t="str">
        <f>_xlfn.XLOOKUP(Table8[[#This Row],[Admin2PCODE]],tblSeverityAnalysis[Admin 2 Código P],tblSeverityAnalysis[Priorización Final 2025],0,0)</f>
        <v>No</v>
      </c>
      <c r="AC68">
        <v>7</v>
      </c>
      <c r="AD68" t="s">
        <v>998</v>
      </c>
      <c r="AE68">
        <v>12</v>
      </c>
      <c r="AF68">
        <v>0</v>
      </c>
      <c r="AG68">
        <v>5</v>
      </c>
      <c r="AH68">
        <v>0</v>
      </c>
      <c r="AI68">
        <v>3</v>
      </c>
      <c r="AJ68">
        <v>3</v>
      </c>
      <c r="AK68">
        <v>1</v>
      </c>
      <c r="AL68">
        <v>2</v>
      </c>
      <c r="AM68">
        <v>4</v>
      </c>
      <c r="AN68">
        <v>5</v>
      </c>
      <c r="AO68" s="314">
        <f>Table8[[#This Row],[N° Clústeres con respuesta]]/Table8[[#This Row],[Org Total]]</f>
        <v>0.58333333333333337</v>
      </c>
      <c r="AP68" s="313">
        <v>10366</v>
      </c>
      <c r="AQ68" s="313">
        <v>9330</v>
      </c>
      <c r="AR68" s="312">
        <f>Table8[[#This Row],[Alcanzados Oct 2025]]/Table8[[#This Row],[Meta 2025]]</f>
        <v>0.90005788153579003</v>
      </c>
      <c r="AS68" s="423">
        <v>0</v>
      </c>
      <c r="AT68" s="423">
        <v>38</v>
      </c>
      <c r="AU68" s="423">
        <v>0</v>
      </c>
      <c r="AV68" s="423">
        <v>1416</v>
      </c>
      <c r="AW68" s="423">
        <v>5</v>
      </c>
      <c r="AX68" s="423">
        <v>183</v>
      </c>
      <c r="AY68" s="423">
        <v>16</v>
      </c>
      <c r="AZ68" s="423">
        <v>6549</v>
      </c>
      <c r="BA68" s="42">
        <v>7997</v>
      </c>
    </row>
    <row r="69" spans="1:53">
      <c r="A69" t="s">
        <v>203</v>
      </c>
      <c r="B69" t="s">
        <v>564</v>
      </c>
      <c r="C69" t="s">
        <v>582</v>
      </c>
      <c r="D69" t="s">
        <v>583</v>
      </c>
      <c r="E69" s="8">
        <v>55104</v>
      </c>
      <c r="F69" s="8">
        <v>13011</v>
      </c>
      <c r="G69" s="8">
        <v>2518.6704656282359</v>
      </c>
      <c r="H69" s="8">
        <v>20112.96</v>
      </c>
      <c r="I69" s="8">
        <v>2239.9969085969688</v>
      </c>
      <c r="J69" s="8">
        <v>10992.569900427487</v>
      </c>
      <c r="K69" s="8">
        <v>0</v>
      </c>
      <c r="L69" s="8">
        <v>3517.6223681367956</v>
      </c>
      <c r="M69" s="8">
        <v>3847.39946514962</v>
      </c>
      <c r="N69" s="6" cm="1">
        <f t="array" ref="N69">_xlfn.XLOOKUP(Table8[[#This Row],[Admin2PCODE]:[Admin2PCODE]],tblPiNAnalysis[[Admin2PCODE]:[Admin2PCODE]],tblPiNAnalysis[% SAMV],0,0)</f>
        <v>0.25</v>
      </c>
      <c r="O69" s="6" cm="1">
        <f t="array" ref="O69">_xlfn.XLOOKUP(Table8[[#This Row],[Admin2PCODE]:[Admin2PCODE]],tblPiNAnalysis[[Admin2PCODE]:[Admin2PCODE]],tblPiNAnalysis[% NUT],0,0)</f>
        <v>0.05</v>
      </c>
      <c r="P69" s="6" cm="1">
        <f t="array" ref="P69">_xlfn.XLOOKUP(Table8[[#This Row],[Admin2PCODE]:[Admin2PCODE]],tblPiNAnalysis[[Admin2PCODE]:[Admin2PCODE]],tblPiNAnalysis[% SAL],0,0)</f>
        <v>0.35000000000000003</v>
      </c>
      <c r="Q69" s="6" cm="1">
        <f t="array" ref="Q69">_xlfn.XLOOKUP(Table8[[#This Row],[Admin2PCODE]:[Admin2PCODE]],tblPiNAnalysis[[Admin2PCODE]:[Admin2PCODE]],tblPiNAnalysis[% EDU],0,0)</f>
        <v>0.05</v>
      </c>
      <c r="R69" s="6" cm="1">
        <f t="array" ref="R69">_xlfn.XLOOKUP(Table8[[#This Row],[Admin2PCODE]:[Admin2PCODE]],tblPiNAnalysis[[Admin2PCODE]:[Admin2PCODE]],tblPiNAnalysis[% PRO],0,0)</f>
        <v>0.2</v>
      </c>
      <c r="S69" s="6" cm="1">
        <f t="array" ref="S69">_xlfn.XLOOKUP(Table8[[#This Row],[Admin2PCODE]:[Admin2PCODE]],tblPiNAnalysis[[Admin2PCODE]:[Admin2PCODE]],tblPiNAnalysis[% WASH],0,0)</f>
        <v>0</v>
      </c>
      <c r="T69" s="6" cm="1">
        <f t="array" ref="T69">_xlfn.XLOOKUP(Table8[[#This Row],[Admin2PCODE]:[Admin2PCODE]],tblPiNAnalysis[[Admin2PCODE]:[Admin2PCODE]],tblPiNAnalysis[% NNA],0,0)</f>
        <v>0.05</v>
      </c>
      <c r="U69" s="6" cm="1">
        <f t="array" ref="U69">_xlfn.XLOOKUP(Table8[[#This Row],[Admin2PCODE]:[Admin2PCODE]],tblPiNAnalysis[[Admin2PCODE]:[Admin2PCODE]],tblPiNAnalysis[% VBG],0,0)</f>
        <v>0.05</v>
      </c>
      <c r="V69" s="8" cm="1">
        <f t="array" ref="V69">_xlfn.XLOOKUP(Table8[[#This Row],[Admin2PCODE]:[Admin2PCODE]],tblPiNAnalysis[[Admin2PCODE]:[Admin2PCODE]],tblPiNAnalysis[PiN preliminar],0,0)</f>
        <v>20112.96</v>
      </c>
      <c r="W69" s="308" cm="1">
        <f t="array" ref="W69">_xlfn.XLOOKUP(Table8[[#This Row],[Admin2PCODE]],tblPiNAnalysis[Admin2PCODE],tblSeverityAnalysis[Severidad media],0,0)</f>
        <v>3.3333333333333335</v>
      </c>
      <c r="X69" s="42">
        <f>Table8[[#This Row],[Severidad media]]*6</f>
        <v>20</v>
      </c>
      <c r="Y69" s="6" cm="1">
        <f t="array" ref="Y69">_xlfn.XLOOKUP(Table8[[#This Row],[Admin2PCODE]],tblPiNAnalysis[Admin2PCODE],tblPiNAnalysis[% PiN Sectores más altos],0,0)</f>
        <v>0.36499999999999999</v>
      </c>
      <c r="Z69" s="42" cm="1">
        <f t="array" ref="Z69">_xlfn.XLOOKUP(Table8[[#This Row],[Admin2PCODE]:[Admin2PCODE]],tblPiNAnalysis[[Admin2PCODE]:[Admin2PCODE]],tblPiNAnalysis[Severidad],0,0)</f>
        <v>3</v>
      </c>
      <c r="AA69">
        <f>_xlfn.XLOOKUP(Table8[[#This Row],[Admin2PCODE]],tblSeverityAnalysis[Admin 2 Código P],tblSeverityAnalysis[Severidad Ttotal 2025],0,0)</f>
        <v>4</v>
      </c>
      <c r="AB69" t="str">
        <f>_xlfn.XLOOKUP(Table8[[#This Row],[Admin2PCODE]],tblSeverityAnalysis[Admin 2 Código P],tblSeverityAnalysis[Priorización Final 2025],0,0)</f>
        <v>No</v>
      </c>
      <c r="AC69">
        <v>4</v>
      </c>
      <c r="AD69" t="s">
        <v>999</v>
      </c>
      <c r="AE69">
        <v>5</v>
      </c>
      <c r="AF69">
        <v>0</v>
      </c>
      <c r="AG69">
        <v>0</v>
      </c>
      <c r="AH69">
        <v>1</v>
      </c>
      <c r="AI69">
        <v>0</v>
      </c>
      <c r="AJ69">
        <v>1</v>
      </c>
      <c r="AK69">
        <v>0</v>
      </c>
      <c r="AL69">
        <v>1</v>
      </c>
      <c r="AM69">
        <v>0</v>
      </c>
      <c r="AN69">
        <v>3</v>
      </c>
      <c r="AO69" s="314">
        <f>Table8[[#This Row],[N° Clústeres con respuesta]]/Table8[[#This Row],[Org Total]]</f>
        <v>0.8</v>
      </c>
      <c r="AP69" s="313">
        <v>12866</v>
      </c>
      <c r="AQ69" s="313">
        <v>1738</v>
      </c>
      <c r="AR69" s="312">
        <f>Table8[[#This Row],[Alcanzados Oct 2025]]/Table8[[#This Row],[Meta 2025]]</f>
        <v>0.13508471941551375</v>
      </c>
      <c r="AS69" s="423">
        <v>0</v>
      </c>
      <c r="AT69" s="423">
        <v>0</v>
      </c>
      <c r="AU69" s="423">
        <v>140</v>
      </c>
      <c r="AV69" s="423">
        <v>0</v>
      </c>
      <c r="AW69" s="423">
        <v>9</v>
      </c>
      <c r="AX69" s="423">
        <v>0</v>
      </c>
      <c r="AY69" s="423">
        <v>5</v>
      </c>
      <c r="AZ69" s="423">
        <v>0</v>
      </c>
      <c r="BA69" s="42">
        <v>1738</v>
      </c>
    </row>
    <row r="70" spans="1:53">
      <c r="A70" t="s">
        <v>589</v>
      </c>
      <c r="B70" t="s">
        <v>590</v>
      </c>
      <c r="C70" t="s">
        <v>835</v>
      </c>
      <c r="D70" t="s">
        <v>594</v>
      </c>
      <c r="E70" s="8">
        <v>10284</v>
      </c>
      <c r="F70" s="8">
        <v>3085</v>
      </c>
      <c r="G70" s="8">
        <v>411.79607385815615</v>
      </c>
      <c r="H70" s="8">
        <v>8200</v>
      </c>
      <c r="I70" s="8">
        <v>782.74782937169016</v>
      </c>
      <c r="J70" s="8">
        <v>1235.1609966292108</v>
      </c>
      <c r="K70" s="8">
        <v>0</v>
      </c>
      <c r="L70" s="8">
        <v>395.2515189213475</v>
      </c>
      <c r="M70" s="8">
        <v>432.30634882022372</v>
      </c>
      <c r="N70" s="6" cm="1">
        <f t="array" ref="N70">_xlfn.XLOOKUP(Table8[[#This Row],[Admin2PCODE]:[Admin2PCODE]],tblPiNAnalysis[[Admin2PCODE]:[Admin2PCODE]],tblPiNAnalysis[% SAMV],0,0)</f>
        <v>0.30000000000000004</v>
      </c>
      <c r="O70" s="6" cm="1">
        <f t="array" ref="O70">_xlfn.XLOOKUP(Table8[[#This Row],[Admin2PCODE]:[Admin2PCODE]],tblPiNAnalysis[[Admin2PCODE]:[Admin2PCODE]],tblPiNAnalysis[% NUT],0,0)</f>
        <v>0.05</v>
      </c>
      <c r="P70" s="6" cm="1">
        <f t="array" ref="P70">_xlfn.XLOOKUP(Table8[[#This Row],[Admin2PCODE]:[Admin2PCODE]],tblPiNAnalysis[[Admin2PCODE]:[Admin2PCODE]],tblPiNAnalysis[% SAL],0,0)</f>
        <v>0.8</v>
      </c>
      <c r="Q70" s="6" cm="1">
        <f t="array" ref="Q70">_xlfn.XLOOKUP(Table8[[#This Row],[Admin2PCODE]:[Admin2PCODE]],tblPiNAnalysis[[Admin2PCODE]:[Admin2PCODE]],tblPiNAnalysis[% EDU],0,0)</f>
        <v>0.1</v>
      </c>
      <c r="R70" s="6" cm="1">
        <f t="array" ref="R70">_xlfn.XLOOKUP(Table8[[#This Row],[Admin2PCODE]:[Admin2PCODE]],tblPiNAnalysis[[Admin2PCODE]:[Admin2PCODE]],tblPiNAnalysis[% PRO],0,0)</f>
        <v>0.1</v>
      </c>
      <c r="S70" s="6" cm="1">
        <f t="array" ref="S70">_xlfn.XLOOKUP(Table8[[#This Row],[Admin2PCODE]:[Admin2PCODE]],tblPiNAnalysis[[Admin2PCODE]:[Admin2PCODE]],tblPiNAnalysis[% WASH],0,0)</f>
        <v>0</v>
      </c>
      <c r="T70" s="6" cm="1">
        <f t="array" ref="T70">_xlfn.XLOOKUP(Table8[[#This Row],[Admin2PCODE]:[Admin2PCODE]],tblPiNAnalysis[[Admin2PCODE]:[Admin2PCODE]],tblPiNAnalysis[% NNA],0,0)</f>
        <v>0.05</v>
      </c>
      <c r="U70" s="6" cm="1">
        <f t="array" ref="U70">_xlfn.XLOOKUP(Table8[[#This Row],[Admin2PCODE]:[Admin2PCODE]],tblPiNAnalysis[[Admin2PCODE]:[Admin2PCODE]],tblPiNAnalysis[% VBG],0,0)</f>
        <v>0.05</v>
      </c>
      <c r="V70" s="8" cm="1">
        <f t="array" ref="V70">_xlfn.XLOOKUP(Table8[[#This Row],[Admin2PCODE]:[Admin2PCODE]],tblPiNAnalysis[[Admin2PCODE]:[Admin2PCODE]],tblPiNAnalysis[PiN preliminar],0,0)</f>
        <v>0</v>
      </c>
      <c r="W70" s="308" cm="1">
        <f t="array" ref="W70">_xlfn.XLOOKUP(Table8[[#This Row],[Admin2PCODE]],tblPiNAnalysis[Admin2PCODE],tblSeverityAnalysis[Severidad media],0,0)</f>
        <v>2.3333333333333335</v>
      </c>
      <c r="X70" s="42">
        <f>Table8[[#This Row],[Severidad media]]*6</f>
        <v>14</v>
      </c>
      <c r="Y70" s="6" cm="1">
        <f t="array" ref="Y70">_xlfn.XLOOKUP(Table8[[#This Row],[Admin2PCODE]],tblPiNAnalysis[Admin2PCODE],tblPiNAnalysis[% PiN Sectores más altos],0,0)</f>
        <v>0.79735511474134579</v>
      </c>
      <c r="Z70" s="42" cm="1">
        <f t="array" ref="Z70">_xlfn.XLOOKUP(Table8[[#This Row],[Admin2PCODE]:[Admin2PCODE]],tblPiNAnalysis[[Admin2PCODE]:[Admin2PCODE]],tblPiNAnalysis[Severidad],0,0)</f>
        <v>2</v>
      </c>
      <c r="AA70">
        <f>_xlfn.XLOOKUP(Table8[[#This Row],[Admin2PCODE]],tblSeverityAnalysis[Admin 2 Código P],tblSeverityAnalysis[Severidad Ttotal 2025],0,0)</f>
        <v>4</v>
      </c>
      <c r="AB70" t="str">
        <f>_xlfn.XLOOKUP(Table8[[#This Row],[Admin2PCODE]],tblSeverityAnalysis[Admin 2 Código P],tblSeverityAnalysis[Priorización Final 2025],0,0)</f>
        <v>No</v>
      </c>
      <c r="AC70">
        <v>2</v>
      </c>
      <c r="AD70" t="s">
        <v>1000</v>
      </c>
      <c r="AE70">
        <v>2</v>
      </c>
      <c r="AF70">
        <v>0</v>
      </c>
      <c r="AG70">
        <v>0</v>
      </c>
      <c r="AH70">
        <v>0</v>
      </c>
      <c r="AI70">
        <v>0</v>
      </c>
      <c r="AJ70">
        <v>2</v>
      </c>
      <c r="AK70">
        <v>2</v>
      </c>
      <c r="AL70">
        <v>0</v>
      </c>
      <c r="AM70">
        <v>0</v>
      </c>
      <c r="AN70">
        <v>0</v>
      </c>
      <c r="AO70" s="314">
        <f>Table8[[#This Row],[N° Clústeres con respuesta]]/Table8[[#This Row],[Org Total]]</f>
        <v>1</v>
      </c>
      <c r="AP70" s="313">
        <v>2308</v>
      </c>
      <c r="AQ70" s="313">
        <v>56</v>
      </c>
      <c r="AR70" s="312">
        <f>Table8[[#This Row],[Alcanzados Oct 2025]]/Table8[[#This Row],[Meta 2025]]</f>
        <v>2.4263431542461005E-2</v>
      </c>
      <c r="AS70" s="423">
        <v>0</v>
      </c>
      <c r="AT70" s="423">
        <v>0</v>
      </c>
      <c r="AU70" s="423">
        <v>0</v>
      </c>
      <c r="AV70" s="423">
        <v>0</v>
      </c>
      <c r="AW70" s="423">
        <v>6</v>
      </c>
      <c r="AX70" s="423">
        <v>50</v>
      </c>
      <c r="AY70" s="423">
        <v>0</v>
      </c>
      <c r="AZ70" s="423">
        <v>0</v>
      </c>
      <c r="BA70" s="42">
        <v>0</v>
      </c>
    </row>
    <row r="71" spans="1:53">
      <c r="A71" t="s">
        <v>678</v>
      </c>
      <c r="B71" t="s">
        <v>679</v>
      </c>
      <c r="C71" t="s">
        <v>703</v>
      </c>
      <c r="D71" t="s">
        <v>704</v>
      </c>
      <c r="E71" s="8">
        <v>28466</v>
      </c>
      <c r="F71" s="8">
        <v>4744</v>
      </c>
      <c r="G71" s="8">
        <v>619.609644587086</v>
      </c>
      <c r="H71" s="8">
        <v>10390.09</v>
      </c>
      <c r="I71" s="8">
        <v>1742.9051091990448</v>
      </c>
      <c r="J71" s="8">
        <v>5658.6364528299455</v>
      </c>
      <c r="K71" s="8">
        <v>0</v>
      </c>
      <c r="L71" s="8">
        <v>1810.7636649055826</v>
      </c>
      <c r="M71" s="8">
        <v>1980.5227584904806</v>
      </c>
      <c r="N71" s="6" cm="1">
        <f t="array" ref="N71">_xlfn.XLOOKUP(Table8[[#This Row],[Admin2PCODE]:[Admin2PCODE]],tblPiNAnalysis[[Admin2PCODE]:[Admin2PCODE]],tblPiNAnalysis[% SAMV],0,0)</f>
        <v>0.15000000000000002</v>
      </c>
      <c r="O71" s="6" cm="1">
        <f t="array" ref="O71">_xlfn.XLOOKUP(Table8[[#This Row],[Admin2PCODE]:[Admin2PCODE]],tblPiNAnalysis[[Admin2PCODE]:[Admin2PCODE]],tblPiNAnalysis[% NUT],0,0)</f>
        <v>0</v>
      </c>
      <c r="P71" s="6" cm="1">
        <f t="array" ref="P71">_xlfn.XLOOKUP(Table8[[#This Row],[Admin2PCODE]:[Admin2PCODE]],tblPiNAnalysis[[Admin2PCODE]:[Admin2PCODE]],tblPiNAnalysis[% SAL],0,0)</f>
        <v>0.35000000000000003</v>
      </c>
      <c r="Q71" s="6" cm="1">
        <f t="array" ref="Q71">_xlfn.XLOOKUP(Table8[[#This Row],[Admin2PCODE]:[Admin2PCODE]],tblPiNAnalysis[[Admin2PCODE]:[Admin2PCODE]],tblPiNAnalysis[% EDU],0,0)</f>
        <v>0.05</v>
      </c>
      <c r="R71" s="6" cm="1">
        <f t="array" ref="R71">_xlfn.XLOOKUP(Table8[[#This Row],[Admin2PCODE]:[Admin2PCODE]],tblPiNAnalysis[[Admin2PCODE]:[Admin2PCODE]],tblPiNAnalysis[% PRO],0,0)</f>
        <v>0.2</v>
      </c>
      <c r="S71" s="6" cm="1">
        <f t="array" ref="S71">_xlfn.XLOOKUP(Table8[[#This Row],[Admin2PCODE]:[Admin2PCODE]],tblPiNAnalysis[[Admin2PCODE]:[Admin2PCODE]],tblPiNAnalysis[% WASH],0,0)</f>
        <v>0</v>
      </c>
      <c r="T71" s="6" cm="1">
        <f t="array" ref="T71">_xlfn.XLOOKUP(Table8[[#This Row],[Admin2PCODE]:[Admin2PCODE]],tblPiNAnalysis[[Admin2PCODE]:[Admin2PCODE]],tblPiNAnalysis[% NNA],0,0)</f>
        <v>0.05</v>
      </c>
      <c r="U71" s="6" cm="1">
        <f t="array" ref="U71">_xlfn.XLOOKUP(Table8[[#This Row],[Admin2PCODE]:[Admin2PCODE]],tblPiNAnalysis[[Admin2PCODE]:[Admin2PCODE]],tblPiNAnalysis[% VBG],0,0)</f>
        <v>0.05</v>
      </c>
      <c r="V71" s="8" cm="1">
        <f t="array" ref="V71">_xlfn.XLOOKUP(Table8[[#This Row],[Admin2PCODE]:[Admin2PCODE]],tblPiNAnalysis[[Admin2PCODE]:[Admin2PCODE]],tblPiNAnalysis[PiN preliminar],0,0)</f>
        <v>10390.09</v>
      </c>
      <c r="W71" s="308" cm="1">
        <f t="array" ref="W71">_xlfn.XLOOKUP(Table8[[#This Row],[Admin2PCODE]],tblPiNAnalysis[Admin2PCODE],tblSeverityAnalysis[Severidad media],0,0)</f>
        <v>3.1666666666666665</v>
      </c>
      <c r="X71" s="42">
        <f>Table8[[#This Row],[Severidad media]]*6</f>
        <v>19</v>
      </c>
      <c r="Y71" s="6" cm="1">
        <f t="array" ref="Y71">_xlfn.XLOOKUP(Table8[[#This Row],[Admin2PCODE]],tblPiNAnalysis[Admin2PCODE],tblPiNAnalysis[% PiN Sectores más altos],0,0)</f>
        <v>0.36499999999999999</v>
      </c>
      <c r="Z71" s="42" cm="1">
        <f t="array" ref="Z71">_xlfn.XLOOKUP(Table8[[#This Row],[Admin2PCODE]:[Admin2PCODE]],tblPiNAnalysis[[Admin2PCODE]:[Admin2PCODE]],tblPiNAnalysis[Severidad],0,0)</f>
        <v>3</v>
      </c>
      <c r="AA71">
        <f>_xlfn.XLOOKUP(Table8[[#This Row],[Admin2PCODE]],tblSeverityAnalysis[Admin 2 Código P],tblSeverityAnalysis[Severidad Ttotal 2025],0,0)</f>
        <v>4</v>
      </c>
      <c r="AB71" t="str">
        <f>_xlfn.XLOOKUP(Table8[[#This Row],[Admin2PCODE]],tblSeverityAnalysis[Admin 2 Código P],tblSeverityAnalysis[Priorización Final 2025],0,0)</f>
        <v>No</v>
      </c>
      <c r="AC71">
        <v>1</v>
      </c>
      <c r="AD71" t="s">
        <v>92</v>
      </c>
      <c r="AE71">
        <v>3</v>
      </c>
      <c r="AF71">
        <v>0</v>
      </c>
      <c r="AG71">
        <v>0</v>
      </c>
      <c r="AH71">
        <v>0</v>
      </c>
      <c r="AI71">
        <v>0</v>
      </c>
      <c r="AJ71">
        <v>0</v>
      </c>
      <c r="AK71">
        <v>0</v>
      </c>
      <c r="AL71">
        <v>0</v>
      </c>
      <c r="AM71">
        <v>0</v>
      </c>
      <c r="AN71">
        <v>3</v>
      </c>
      <c r="AO71" s="314">
        <f>Table8[[#This Row],[N° Clústeres con respuesta]]/Table8[[#This Row],[Org Total]]</f>
        <v>0.33333333333333331</v>
      </c>
      <c r="AP71" s="313">
        <v>5072</v>
      </c>
      <c r="AQ71" s="313">
        <v>184</v>
      </c>
      <c r="AR71" s="312">
        <f>Table8[[#This Row],[Alcanzados Oct 2025]]/Table8[[#This Row],[Meta 2025]]</f>
        <v>3.6277602523659309E-2</v>
      </c>
      <c r="AS71" s="423">
        <v>0</v>
      </c>
      <c r="AT71" s="423">
        <v>0</v>
      </c>
      <c r="AU71" s="423">
        <v>0</v>
      </c>
      <c r="AV71" s="423">
        <v>0</v>
      </c>
      <c r="AW71" s="423">
        <v>0</v>
      </c>
      <c r="AX71" s="423">
        <v>0</v>
      </c>
      <c r="AY71" s="423">
        <v>0</v>
      </c>
      <c r="AZ71" s="423">
        <v>0</v>
      </c>
      <c r="BA71" s="42">
        <v>184</v>
      </c>
    </row>
    <row r="72" spans="1:53">
      <c r="A72" t="s">
        <v>705</v>
      </c>
      <c r="B72" t="s">
        <v>706</v>
      </c>
      <c r="C72" t="s">
        <v>707</v>
      </c>
      <c r="D72" t="s">
        <v>708</v>
      </c>
      <c r="E72" s="8">
        <v>12198</v>
      </c>
      <c r="F72" s="8">
        <v>4066</v>
      </c>
      <c r="G72" s="8">
        <v>988.64560982563501</v>
      </c>
      <c r="H72" s="8">
        <v>7500</v>
      </c>
      <c r="I72" s="8">
        <v>2203.3600343207081</v>
      </c>
      <c r="J72" s="8">
        <v>2907.3030004094485</v>
      </c>
      <c r="K72" s="8">
        <v>7318.8</v>
      </c>
      <c r="L72" s="8">
        <v>930.33696013102349</v>
      </c>
      <c r="M72" s="8">
        <v>1017.5560501433068</v>
      </c>
      <c r="N72" s="6" cm="1">
        <f t="array" ref="N72">_xlfn.XLOOKUP(Table8[[#This Row],[Admin2PCODE]:[Admin2PCODE]],tblPiNAnalysis[[Admin2PCODE]:[Admin2PCODE]],tblPiNAnalysis[% SAMV],0,0)</f>
        <v>0.35000000000000003</v>
      </c>
      <c r="O72" s="6" cm="1">
        <f t="array" ref="O72">_xlfn.XLOOKUP(Table8[[#This Row],[Admin2PCODE]:[Admin2PCODE]],tblPiNAnalysis[[Admin2PCODE]:[Admin2PCODE]],tblPiNAnalysis[% NUT],0,0)</f>
        <v>0.1</v>
      </c>
      <c r="P72" s="6" cm="1">
        <f t="array" ref="P72">_xlfn.XLOOKUP(Table8[[#This Row],[Admin2PCODE]:[Admin2PCODE]],tblPiNAnalysis[[Admin2PCODE]:[Admin2PCODE]],tblPiNAnalysis[% SAL],0,0)</f>
        <v>0.60000000000000009</v>
      </c>
      <c r="Q72" s="6" cm="1">
        <f t="array" ref="Q72">_xlfn.XLOOKUP(Table8[[#This Row],[Admin2PCODE]:[Admin2PCODE]],tblPiNAnalysis[[Admin2PCODE]:[Admin2PCODE]],tblPiNAnalysis[% EDU],0,0)</f>
        <v>0.2</v>
      </c>
      <c r="R72" s="6" cm="1">
        <f t="array" ref="R72">_xlfn.XLOOKUP(Table8[[#This Row],[Admin2PCODE]:[Admin2PCODE]],tblPiNAnalysis[[Admin2PCODE]:[Admin2PCODE]],tblPiNAnalysis[% PRO],0,0)</f>
        <v>0.25</v>
      </c>
      <c r="S72" s="6" cm="1">
        <f t="array" ref="S72">_xlfn.XLOOKUP(Table8[[#This Row],[Admin2PCODE]:[Admin2PCODE]],tblPiNAnalysis[[Admin2PCODE]:[Admin2PCODE]],tblPiNAnalysis[% WASH],0,0)</f>
        <v>0.60000000000000009</v>
      </c>
      <c r="T72" s="6" cm="1">
        <f t="array" ref="T72">_xlfn.XLOOKUP(Table8[[#This Row],[Admin2PCODE]:[Admin2PCODE]],tblPiNAnalysis[[Admin2PCODE]:[Admin2PCODE]],tblPiNAnalysis[% NNA],0,0)</f>
        <v>0.1</v>
      </c>
      <c r="U72" s="6" cm="1">
        <f t="array" ref="U72">_xlfn.XLOOKUP(Table8[[#This Row],[Admin2PCODE]:[Admin2PCODE]],tblPiNAnalysis[[Admin2PCODE]:[Admin2PCODE]],tblPiNAnalysis[% VBG],0,0)</f>
        <v>0.1</v>
      </c>
      <c r="V72" s="8" cm="1">
        <f t="array" ref="V72">_xlfn.XLOOKUP(Table8[[#This Row],[Admin2PCODE]:[Admin2PCODE]],tblPiNAnalysis[[Admin2PCODE]:[Admin2PCODE]],tblPiNAnalysis[PiN preliminar],0,0)</f>
        <v>7500</v>
      </c>
      <c r="W72" s="308" cm="1">
        <f t="array" ref="W72">_xlfn.XLOOKUP(Table8[[#This Row],[Admin2PCODE]],tblPiNAnalysis[Admin2PCODE],tblSeverityAnalysis[Severidad media],0,0)</f>
        <v>3</v>
      </c>
      <c r="X72" s="42">
        <f>Table8[[#This Row],[Severidad media]]*6</f>
        <v>18</v>
      </c>
      <c r="Y72" s="6" cm="1">
        <f t="array" ref="Y72">_xlfn.XLOOKUP(Table8[[#This Row],[Admin2PCODE]],tblPiNAnalysis[Admin2PCODE],tblPiNAnalysis[% PiN Sectores más altos],0,0)</f>
        <v>0.61485489424495821</v>
      </c>
      <c r="Z72" s="42" cm="1">
        <f t="array" ref="Z72">_xlfn.XLOOKUP(Table8[[#This Row],[Admin2PCODE]:[Admin2PCODE]],tblPiNAnalysis[[Admin2PCODE]:[Admin2PCODE]],tblPiNAnalysis[Severidad],0,0)</f>
        <v>3</v>
      </c>
      <c r="AA72">
        <f>_xlfn.XLOOKUP(Table8[[#This Row],[Admin2PCODE]],tblSeverityAnalysis[Admin 2 Código P],tblSeverityAnalysis[Severidad Ttotal 2025],0,0)</f>
        <v>4</v>
      </c>
      <c r="AB72" t="str">
        <f>_xlfn.XLOOKUP(Table8[[#This Row],[Admin2PCODE]],tblSeverityAnalysis[Admin 2 Código P],tblSeverityAnalysis[Priorización Final 2025],0,0)</f>
        <v>No</v>
      </c>
      <c r="AC72">
        <v>4</v>
      </c>
      <c r="AD72" t="s">
        <v>1001</v>
      </c>
      <c r="AE72">
        <v>4</v>
      </c>
      <c r="AF72">
        <v>0</v>
      </c>
      <c r="AG72">
        <v>0</v>
      </c>
      <c r="AH72">
        <v>0</v>
      </c>
      <c r="AI72">
        <v>2</v>
      </c>
      <c r="AJ72">
        <v>2</v>
      </c>
      <c r="AK72">
        <v>1</v>
      </c>
      <c r="AL72">
        <v>0</v>
      </c>
      <c r="AM72">
        <v>1</v>
      </c>
      <c r="AN72">
        <v>0</v>
      </c>
      <c r="AO72" s="314">
        <f>Table8[[#This Row],[N° Clústeres con respuesta]]/Table8[[#This Row],[Org Total]]</f>
        <v>1</v>
      </c>
      <c r="AP72" s="313">
        <v>2848</v>
      </c>
      <c r="AQ72" s="313">
        <v>2082</v>
      </c>
      <c r="AR72" s="312">
        <f>Table8[[#This Row],[Alcanzados Oct 2025]]/Table8[[#This Row],[Meta 2025]]</f>
        <v>0.7310393258426966</v>
      </c>
      <c r="AS72" s="423">
        <v>0</v>
      </c>
      <c r="AT72" s="423">
        <v>0</v>
      </c>
      <c r="AU72" s="423">
        <v>0</v>
      </c>
      <c r="AV72" s="423">
        <v>1021</v>
      </c>
      <c r="AW72" s="423">
        <v>239</v>
      </c>
      <c r="AX72" s="423">
        <v>3</v>
      </c>
      <c r="AY72" s="423">
        <v>0</v>
      </c>
      <c r="AZ72" s="423">
        <v>1770</v>
      </c>
      <c r="BA72" s="42">
        <v>0</v>
      </c>
    </row>
    <row r="73" spans="1:53">
      <c r="A73" t="s">
        <v>119</v>
      </c>
      <c r="B73" t="s">
        <v>120</v>
      </c>
      <c r="C73" t="s">
        <v>121</v>
      </c>
      <c r="D73" t="s">
        <v>122</v>
      </c>
      <c r="E73" s="8">
        <v>125402</v>
      </c>
      <c r="F73" s="8">
        <v>28600</v>
      </c>
      <c r="G73" s="8">
        <v>5142.2235047458289</v>
      </c>
      <c r="H73" s="8">
        <v>45771.73</v>
      </c>
      <c r="I73" s="8">
        <v>14539.779756822465</v>
      </c>
      <c r="J73" s="8">
        <v>29930.871562082062</v>
      </c>
      <c r="K73" s="8">
        <v>56430.9</v>
      </c>
      <c r="L73" s="8">
        <v>9607.8097714283431</v>
      </c>
      <c r="M73" s="8">
        <v>10475.805046728723</v>
      </c>
      <c r="N73" s="6" cm="1">
        <f t="array" ref="N73">_xlfn.XLOOKUP(Table8[[#This Row],[Admin2PCODE]:[Admin2PCODE]],tblPiNAnalysis[[Admin2PCODE]:[Admin2PCODE]],tblPiNAnalysis[% SAMV],0,0)</f>
        <v>0.25</v>
      </c>
      <c r="O73" s="6" cm="1">
        <f t="array" ref="O73">_xlfn.XLOOKUP(Table8[[#This Row],[Admin2PCODE]:[Admin2PCODE]],tblPiNAnalysis[[Admin2PCODE]:[Admin2PCODE]],tblPiNAnalysis[% NUT],0,0)</f>
        <v>0.05</v>
      </c>
      <c r="P73" s="6" cm="1">
        <f t="array" ref="P73">_xlfn.XLOOKUP(Table8[[#This Row],[Admin2PCODE]:[Admin2PCODE]],tblPiNAnalysis[[Admin2PCODE]:[Admin2PCODE]],tblPiNAnalysis[% SAL],0,0)</f>
        <v>0.35000000000000003</v>
      </c>
      <c r="Q73" s="6" cm="1">
        <f t="array" ref="Q73">_xlfn.XLOOKUP(Table8[[#This Row],[Admin2PCODE]:[Admin2PCODE]],tblPiNAnalysis[[Admin2PCODE]:[Admin2PCODE]],tblPiNAnalysis[% EDU],0,0)</f>
        <v>0.1</v>
      </c>
      <c r="R73" s="6" cm="1">
        <f t="array" ref="R73">_xlfn.XLOOKUP(Table8[[#This Row],[Admin2PCODE]:[Admin2PCODE]],tblPiNAnalysis[[Admin2PCODE]:[Admin2PCODE]],tblPiNAnalysis[% PRO],0,0)</f>
        <v>0.25</v>
      </c>
      <c r="S73" s="6" cm="1">
        <f t="array" ref="S73">_xlfn.XLOOKUP(Table8[[#This Row],[Admin2PCODE]:[Admin2PCODE]],tblPiNAnalysis[[Admin2PCODE]:[Admin2PCODE]],tblPiNAnalysis[% WASH],0,0)</f>
        <v>0.45</v>
      </c>
      <c r="T73" s="6" cm="1">
        <f t="array" ref="T73">_xlfn.XLOOKUP(Table8[[#This Row],[Admin2PCODE]:[Admin2PCODE]],tblPiNAnalysis[[Admin2PCODE]:[Admin2PCODE]],tblPiNAnalysis[% NNA],0,0)</f>
        <v>0.1</v>
      </c>
      <c r="U73" s="6" cm="1">
        <f t="array" ref="U73">_xlfn.XLOOKUP(Table8[[#This Row],[Admin2PCODE]:[Admin2PCODE]],tblPiNAnalysis[[Admin2PCODE]:[Admin2PCODE]],tblPiNAnalysis[% VBG],0,0)</f>
        <v>0.1</v>
      </c>
      <c r="V73" s="8" cm="1">
        <f t="array" ref="V73">_xlfn.XLOOKUP(Table8[[#This Row],[Admin2PCODE]:[Admin2PCODE]],tblPiNAnalysis[[Admin2PCODE]:[Admin2PCODE]],tblPiNAnalysis[PiN preliminar],0,0)</f>
        <v>56430.9</v>
      </c>
      <c r="W73" s="308" cm="1">
        <f t="array" ref="W73">_xlfn.XLOOKUP(Table8[[#This Row],[Admin2PCODE]],tblPiNAnalysis[Admin2PCODE],tblSeverityAnalysis[Severidad media],0,0)</f>
        <v>3.5</v>
      </c>
      <c r="X73" s="42">
        <f>Table8[[#This Row],[Severidad media]]*6</f>
        <v>21</v>
      </c>
      <c r="Y73" s="6" cm="1">
        <f t="array" ref="Y73">_xlfn.XLOOKUP(Table8[[#This Row],[Admin2PCODE]],tblPiNAnalysis[Admin2PCODE],tblPiNAnalysis[% PiN Sectores más altos],0,0)</f>
        <v>0.45</v>
      </c>
      <c r="Z73" s="42" cm="1">
        <f t="array" ref="Z73">_xlfn.XLOOKUP(Table8[[#This Row],[Admin2PCODE]:[Admin2PCODE]],tblPiNAnalysis[[Admin2PCODE]:[Admin2PCODE]],tblPiNAnalysis[Severidad],0,0)</f>
        <v>3</v>
      </c>
      <c r="AA73">
        <f>_xlfn.XLOOKUP(Table8[[#This Row],[Admin2PCODE]],tblSeverityAnalysis[Admin 2 Código P],tblSeverityAnalysis[Severidad Ttotal 2025],0,0)</f>
        <v>3</v>
      </c>
      <c r="AB73" t="str">
        <f>_xlfn.XLOOKUP(Table8[[#This Row],[Admin2PCODE]],tblSeverityAnalysis[Admin 2 Código P],tblSeverityAnalysis[Priorización Final 2025],0,0)</f>
        <v>No</v>
      </c>
      <c r="AC73">
        <v>5</v>
      </c>
      <c r="AD73" t="s">
        <v>1002</v>
      </c>
      <c r="AE73">
        <v>8</v>
      </c>
      <c r="AF73">
        <v>0</v>
      </c>
      <c r="AG73">
        <v>2</v>
      </c>
      <c r="AH73">
        <v>0</v>
      </c>
      <c r="AI73">
        <v>3</v>
      </c>
      <c r="AJ73">
        <v>6</v>
      </c>
      <c r="AK73">
        <v>0</v>
      </c>
      <c r="AL73">
        <v>1</v>
      </c>
      <c r="AM73">
        <v>0</v>
      </c>
      <c r="AN73">
        <v>4</v>
      </c>
      <c r="AO73" s="314">
        <f>Table8[[#This Row],[N° Clústeres con respuesta]]/Table8[[#This Row],[Org Total]]</f>
        <v>0.625</v>
      </c>
      <c r="AP73" s="313">
        <v>20601</v>
      </c>
      <c r="AQ73" s="313">
        <v>1550</v>
      </c>
      <c r="AR73" s="312">
        <f>Table8[[#This Row],[Alcanzados Oct 2025]]/Table8[[#This Row],[Meta 2025]]</f>
        <v>7.523906606475414E-2</v>
      </c>
      <c r="AS73" s="423">
        <v>0</v>
      </c>
      <c r="AT73" s="423">
        <v>897</v>
      </c>
      <c r="AU73" s="423">
        <v>0</v>
      </c>
      <c r="AV73" s="423">
        <v>475</v>
      </c>
      <c r="AW73" s="423">
        <v>60</v>
      </c>
      <c r="AX73" s="423">
        <v>0</v>
      </c>
      <c r="AY73" s="423">
        <v>0</v>
      </c>
      <c r="AZ73" s="423">
        <v>0</v>
      </c>
      <c r="BA73" s="42">
        <v>1550</v>
      </c>
    </row>
    <row r="74" spans="1:53">
      <c r="A74" t="s">
        <v>119</v>
      </c>
      <c r="B74" t="s">
        <v>120</v>
      </c>
      <c r="C74" t="s">
        <v>123</v>
      </c>
      <c r="D74" t="s">
        <v>124</v>
      </c>
      <c r="E74" s="8">
        <v>29822</v>
      </c>
      <c r="F74" s="8">
        <v>7455</v>
      </c>
      <c r="G74" s="8">
        <v>955.34534042100927</v>
      </c>
      <c r="H74" s="8">
        <v>10885.03</v>
      </c>
      <c r="I74" s="8">
        <v>2842.855119104549</v>
      </c>
      <c r="J74" s="8">
        <v>3558.9482293919218</v>
      </c>
      <c r="K74" s="8">
        <v>17893.2</v>
      </c>
      <c r="L74" s="8">
        <v>1138.863433405415</v>
      </c>
      <c r="M74" s="8">
        <v>1245.6318802871726</v>
      </c>
      <c r="N74" s="6" cm="1">
        <f t="array" ref="N74">_xlfn.XLOOKUP(Table8[[#This Row],[Admin2PCODE]:[Admin2PCODE]],tblPiNAnalysis[[Admin2PCODE]:[Admin2PCODE]],tblPiNAnalysis[% SAMV],0,0)</f>
        <v>0.25</v>
      </c>
      <c r="O74" s="6" cm="1">
        <f t="array" ref="O74">_xlfn.XLOOKUP(Table8[[#This Row],[Admin2PCODE]:[Admin2PCODE]],tblPiNAnalysis[[Admin2PCODE]:[Admin2PCODE]],tblPiNAnalysis[% NUT],0,0)</f>
        <v>0.05</v>
      </c>
      <c r="P74" s="6" cm="1">
        <f t="array" ref="P74">_xlfn.XLOOKUP(Table8[[#This Row],[Admin2PCODE]:[Admin2PCODE]],tblPiNAnalysis[[Admin2PCODE]:[Admin2PCODE]],tblPiNAnalysis[% SAL],0,0)</f>
        <v>0.35000000000000003</v>
      </c>
      <c r="Q74" s="6" cm="1">
        <f t="array" ref="Q74">_xlfn.XLOOKUP(Table8[[#This Row],[Admin2PCODE]:[Admin2PCODE]],tblPiNAnalysis[[Admin2PCODE]:[Admin2PCODE]],tblPiNAnalysis[% EDU],0,0)</f>
        <v>0.1</v>
      </c>
      <c r="R74" s="6" cm="1">
        <f t="array" ref="R74">_xlfn.XLOOKUP(Table8[[#This Row],[Admin2PCODE]:[Admin2PCODE]],tblPiNAnalysis[[Admin2PCODE]:[Admin2PCODE]],tblPiNAnalysis[% PRO],0,0)</f>
        <v>0.1</v>
      </c>
      <c r="S74" s="6" cm="1">
        <f t="array" ref="S74">_xlfn.XLOOKUP(Table8[[#This Row],[Admin2PCODE]:[Admin2PCODE]],tblPiNAnalysis[[Admin2PCODE]:[Admin2PCODE]],tblPiNAnalysis[% WASH],0,0)</f>
        <v>0.60000000000000009</v>
      </c>
      <c r="T74" s="6" cm="1">
        <f t="array" ref="T74">_xlfn.XLOOKUP(Table8[[#This Row],[Admin2PCODE]:[Admin2PCODE]],tblPiNAnalysis[[Admin2PCODE]:[Admin2PCODE]],tblPiNAnalysis[% NNA],0,0)</f>
        <v>0.05</v>
      </c>
      <c r="U74" s="6" cm="1">
        <f t="array" ref="U74">_xlfn.XLOOKUP(Table8[[#This Row],[Admin2PCODE]:[Admin2PCODE]],tblPiNAnalysis[[Admin2PCODE]:[Admin2PCODE]],tblPiNAnalysis[% VBG],0,0)</f>
        <v>0.05</v>
      </c>
      <c r="V74" s="8" cm="1">
        <f t="array" ref="V74">_xlfn.XLOOKUP(Table8[[#This Row],[Admin2PCODE]:[Admin2PCODE]],tblPiNAnalysis[[Admin2PCODE]:[Admin2PCODE]],tblPiNAnalysis[PiN preliminar],0,0)</f>
        <v>17893.2</v>
      </c>
      <c r="W74" s="308" cm="1">
        <f t="array" ref="W74">_xlfn.XLOOKUP(Table8[[#This Row],[Admin2PCODE]],tblPiNAnalysis[Admin2PCODE],tblSeverityAnalysis[Severidad media],0,0)</f>
        <v>2.6666666666666665</v>
      </c>
      <c r="X74" s="42">
        <f>Table8[[#This Row],[Severidad media]]*6</f>
        <v>16</v>
      </c>
      <c r="Y74" s="6" cm="1">
        <f t="array" ref="Y74">_xlfn.XLOOKUP(Table8[[#This Row],[Admin2PCODE]],tblPiNAnalysis[Admin2PCODE],tblPiNAnalysis[% PiN Sectores más altos],0,0)</f>
        <v>0.6</v>
      </c>
      <c r="Z74" s="42" cm="1">
        <f t="array" ref="Z74">_xlfn.XLOOKUP(Table8[[#This Row],[Admin2PCODE]:[Admin2PCODE]],tblPiNAnalysis[[Admin2PCODE]:[Admin2PCODE]],tblPiNAnalysis[Severidad],0,0)</f>
        <v>3</v>
      </c>
      <c r="AA74">
        <f>_xlfn.XLOOKUP(Table8[[#This Row],[Admin2PCODE]],tblSeverityAnalysis[Admin 2 Código P],tblSeverityAnalysis[Severidad Ttotal 2025],0,0)</f>
        <v>3</v>
      </c>
      <c r="AB74" t="str">
        <f>_xlfn.XLOOKUP(Table8[[#This Row],[Admin2PCODE]],tblSeverityAnalysis[Admin 2 Código P],tblSeverityAnalysis[Priorización Final 2025],0,0)</f>
        <v>No</v>
      </c>
      <c r="AC74">
        <v>3</v>
      </c>
      <c r="AD74" t="s">
        <v>1003</v>
      </c>
      <c r="AE74">
        <v>2</v>
      </c>
      <c r="AF74">
        <v>0</v>
      </c>
      <c r="AG74">
        <v>0</v>
      </c>
      <c r="AH74">
        <v>0</v>
      </c>
      <c r="AI74">
        <v>0</v>
      </c>
      <c r="AJ74">
        <v>1</v>
      </c>
      <c r="AK74">
        <v>0</v>
      </c>
      <c r="AL74">
        <v>1</v>
      </c>
      <c r="AM74">
        <v>1</v>
      </c>
      <c r="AN74">
        <v>0</v>
      </c>
      <c r="AO74" s="314">
        <f>Table8[[#This Row],[N° Clústeres con respuesta]]/Table8[[#This Row],[Org Total]]</f>
        <v>1.5</v>
      </c>
      <c r="AP74" s="313">
        <v>6964</v>
      </c>
      <c r="AQ74" s="313">
        <v>7</v>
      </c>
      <c r="AR74" s="312">
        <f>Table8[[#This Row],[Alcanzados Oct 2025]]/Table8[[#This Row],[Meta 2025]]</f>
        <v>1.0051694428489374E-3</v>
      </c>
      <c r="AS74" s="423">
        <v>0</v>
      </c>
      <c r="AT74" s="423">
        <v>0</v>
      </c>
      <c r="AU74" s="423">
        <v>0</v>
      </c>
      <c r="AV74" s="423">
        <v>0</v>
      </c>
      <c r="AW74" s="423">
        <v>6</v>
      </c>
      <c r="AX74" s="423">
        <v>0</v>
      </c>
      <c r="AY74" s="423">
        <v>3</v>
      </c>
      <c r="AZ74" s="423">
        <v>0</v>
      </c>
      <c r="BA74" s="42">
        <v>0</v>
      </c>
    </row>
    <row r="75" spans="1:53">
      <c r="A75" t="s">
        <v>119</v>
      </c>
      <c r="B75" t="s">
        <v>120</v>
      </c>
      <c r="C75" t="s">
        <v>813</v>
      </c>
      <c r="D75" t="s">
        <v>126</v>
      </c>
      <c r="E75" s="8">
        <v>34186</v>
      </c>
      <c r="F75" s="8">
        <v>9398</v>
      </c>
      <c r="G75" s="8">
        <v>1131.4833189646201</v>
      </c>
      <c r="H75" s="8">
        <v>12477.89</v>
      </c>
      <c r="I75" s="8">
        <v>2675.0067699306851</v>
      </c>
      <c r="J75" s="8">
        <v>6799.5777261748708</v>
      </c>
      <c r="K75" s="8">
        <v>20511.599999999999</v>
      </c>
      <c r="L75" s="8">
        <v>2175.8648723759588</v>
      </c>
      <c r="M75" s="8">
        <v>2379.8522041612046</v>
      </c>
      <c r="N75" s="6" cm="1">
        <f t="array" ref="N75">_xlfn.XLOOKUP(Table8[[#This Row],[Admin2PCODE]:[Admin2PCODE]],tblPiNAnalysis[[Admin2PCODE]:[Admin2PCODE]],tblPiNAnalysis[% SAMV],0,0)</f>
        <v>0.25</v>
      </c>
      <c r="O75" s="6" cm="1">
        <f t="array" ref="O75">_xlfn.XLOOKUP(Table8[[#This Row],[Admin2PCODE]:[Admin2PCODE]],tblPiNAnalysis[[Admin2PCODE]:[Admin2PCODE]],tblPiNAnalysis[% NUT],0,0)</f>
        <v>0.05</v>
      </c>
      <c r="P75" s="6" cm="1">
        <f t="array" ref="P75">_xlfn.XLOOKUP(Table8[[#This Row],[Admin2PCODE]:[Admin2PCODE]],tblPiNAnalysis[[Admin2PCODE]:[Admin2PCODE]],tblPiNAnalysis[% SAL],0,0)</f>
        <v>0.35000000000000003</v>
      </c>
      <c r="Q75" s="6" cm="1">
        <f t="array" ref="Q75">_xlfn.XLOOKUP(Table8[[#This Row],[Admin2PCODE]:[Admin2PCODE]],tblPiNAnalysis[[Admin2PCODE]:[Admin2PCODE]],tblPiNAnalysis[% EDU],0,0)</f>
        <v>0.1</v>
      </c>
      <c r="R75" s="6" cm="1">
        <f t="array" ref="R75">_xlfn.XLOOKUP(Table8[[#This Row],[Admin2PCODE]:[Admin2PCODE]],tblPiNAnalysis[[Admin2PCODE]:[Admin2PCODE]],tblPiNAnalysis[% PRO],0,0)</f>
        <v>0.2</v>
      </c>
      <c r="S75" s="6" cm="1">
        <f t="array" ref="S75">_xlfn.XLOOKUP(Table8[[#This Row],[Admin2PCODE]:[Admin2PCODE]],tblPiNAnalysis[[Admin2PCODE]:[Admin2PCODE]],tblPiNAnalysis[% WASH],0,0)</f>
        <v>0.60000000000000009</v>
      </c>
      <c r="T75" s="6" cm="1">
        <f t="array" ref="T75">_xlfn.XLOOKUP(Table8[[#This Row],[Admin2PCODE]:[Admin2PCODE]],tblPiNAnalysis[[Admin2PCODE]:[Admin2PCODE]],tblPiNAnalysis[% NNA],0,0)</f>
        <v>0.05</v>
      </c>
      <c r="U75" s="6" cm="1">
        <f t="array" ref="U75">_xlfn.XLOOKUP(Table8[[#This Row],[Admin2PCODE]:[Admin2PCODE]],tblPiNAnalysis[[Admin2PCODE]:[Admin2PCODE]],tblPiNAnalysis[% VBG],0,0)</f>
        <v>0.05</v>
      </c>
      <c r="V75" s="8" cm="1">
        <f t="array" ref="V75">_xlfn.XLOOKUP(Table8[[#This Row],[Admin2PCODE]:[Admin2PCODE]],tblPiNAnalysis[[Admin2PCODE]:[Admin2PCODE]],tblPiNAnalysis[PiN preliminar],0,0)</f>
        <v>20511.599999999999</v>
      </c>
      <c r="W75" s="308" cm="1">
        <f t="array" ref="W75">_xlfn.XLOOKUP(Table8[[#This Row],[Admin2PCODE]],tblPiNAnalysis[Admin2PCODE],tblSeverityAnalysis[Severidad media],0,0)</f>
        <v>3.3333333333333335</v>
      </c>
      <c r="X75" s="42">
        <f>Table8[[#This Row],[Severidad media]]*6</f>
        <v>20</v>
      </c>
      <c r="Y75" s="6" cm="1">
        <f t="array" ref="Y75">_xlfn.XLOOKUP(Table8[[#This Row],[Admin2PCODE]],tblPiNAnalysis[Admin2PCODE],tblPiNAnalysis[% PiN Sectores más altos],0,0)</f>
        <v>0.6</v>
      </c>
      <c r="Z75" s="42" cm="1">
        <f t="array" ref="Z75">_xlfn.XLOOKUP(Table8[[#This Row],[Admin2PCODE]:[Admin2PCODE]],tblPiNAnalysis[[Admin2PCODE]:[Admin2PCODE]],tblPiNAnalysis[Severidad],0,0)</f>
        <v>3</v>
      </c>
      <c r="AA75">
        <f>_xlfn.XLOOKUP(Table8[[#This Row],[Admin2PCODE]],tblSeverityAnalysis[Admin 2 Código P],tblSeverityAnalysis[Severidad Ttotal 2025],0,0)</f>
        <v>3</v>
      </c>
      <c r="AB75" t="str">
        <f>_xlfn.XLOOKUP(Table8[[#This Row],[Admin2PCODE]],tblSeverityAnalysis[Admin 2 Código P],tblSeverityAnalysis[Priorización Final 2025],0,0)</f>
        <v>No</v>
      </c>
      <c r="AC75">
        <v>4</v>
      </c>
      <c r="AD75" t="s">
        <v>1004</v>
      </c>
      <c r="AE75">
        <v>8</v>
      </c>
      <c r="AF75">
        <v>0</v>
      </c>
      <c r="AG75">
        <v>0</v>
      </c>
      <c r="AH75">
        <v>0</v>
      </c>
      <c r="AI75">
        <v>0</v>
      </c>
      <c r="AJ75">
        <v>3</v>
      </c>
      <c r="AK75">
        <v>0</v>
      </c>
      <c r="AL75">
        <v>2</v>
      </c>
      <c r="AM75">
        <v>1</v>
      </c>
      <c r="AN75">
        <v>2</v>
      </c>
      <c r="AO75" s="314">
        <f>Table8[[#This Row],[N° Clústeres con respuesta]]/Table8[[#This Row],[Org Total]]</f>
        <v>0.5</v>
      </c>
      <c r="AP75" s="313">
        <v>7671</v>
      </c>
      <c r="AQ75" s="313">
        <v>1215</v>
      </c>
      <c r="AR75" s="312">
        <f>Table8[[#This Row],[Alcanzados Oct 2025]]/Table8[[#This Row],[Meta 2025]]</f>
        <v>0.1583887368009386</v>
      </c>
      <c r="AS75" s="423">
        <v>0</v>
      </c>
      <c r="AT75" s="423">
        <v>0</v>
      </c>
      <c r="AU75" s="423">
        <v>0</v>
      </c>
      <c r="AV75" s="423">
        <v>0</v>
      </c>
      <c r="AW75" s="423">
        <v>6</v>
      </c>
      <c r="AX75" s="423">
        <v>0</v>
      </c>
      <c r="AY75" s="423">
        <v>1</v>
      </c>
      <c r="AZ75" s="423">
        <v>152</v>
      </c>
      <c r="BA75" s="42">
        <v>1215</v>
      </c>
    </row>
    <row r="76" spans="1:53">
      <c r="A76" t="s">
        <v>119</v>
      </c>
      <c r="B76" t="s">
        <v>120</v>
      </c>
      <c r="C76" t="s">
        <v>826</v>
      </c>
      <c r="D76" t="s">
        <v>128</v>
      </c>
      <c r="E76" s="8">
        <v>14981</v>
      </c>
      <c r="F76" s="8">
        <v>6492</v>
      </c>
      <c r="G76" s="8">
        <v>501.35654671603083</v>
      </c>
      <c r="H76" s="8">
        <v>5600</v>
      </c>
      <c r="I76" s="8">
        <v>564.32144762904727</v>
      </c>
      <c r="J76" s="8">
        <v>1787.8278929823746</v>
      </c>
      <c r="K76" s="8">
        <v>0</v>
      </c>
      <c r="L76" s="8">
        <v>572.1049257543599</v>
      </c>
      <c r="M76" s="8">
        <v>625.73976254383103</v>
      </c>
      <c r="N76" s="6" cm="1">
        <f t="array" ref="N76">_xlfn.XLOOKUP(Table8[[#This Row],[Admin2PCODE]:[Admin2PCODE]],tblPiNAnalysis[[Admin2PCODE]:[Admin2PCODE]],tblPiNAnalysis[% SAMV],0,0)</f>
        <v>0.45</v>
      </c>
      <c r="O76" s="6" cm="1">
        <f t="array" ref="O76">_xlfn.XLOOKUP(Table8[[#This Row],[Admin2PCODE]:[Admin2PCODE]],tblPiNAnalysis[[Admin2PCODE]:[Admin2PCODE]],tblPiNAnalysis[% NUT],0,0)</f>
        <v>0.05</v>
      </c>
      <c r="P76" s="6" cm="1">
        <f t="array" ref="P76">_xlfn.XLOOKUP(Table8[[#This Row],[Admin2PCODE]:[Admin2PCODE]],tblPiNAnalysis[[Admin2PCODE]:[Admin2PCODE]],tblPiNAnalysis[% SAL],0,0)</f>
        <v>0.35000000000000003</v>
      </c>
      <c r="Q76" s="6" cm="1">
        <f t="array" ref="Q76">_xlfn.XLOOKUP(Table8[[#This Row],[Admin2PCODE]:[Admin2PCODE]],tblPiNAnalysis[[Admin2PCODE]:[Admin2PCODE]],tblPiNAnalysis[% EDU],0,0)</f>
        <v>0.05</v>
      </c>
      <c r="R76" s="6" cm="1">
        <f t="array" ref="R76">_xlfn.XLOOKUP(Table8[[#This Row],[Admin2PCODE]:[Admin2PCODE]],tblPiNAnalysis[[Admin2PCODE]:[Admin2PCODE]],tblPiNAnalysis[% PRO],0,0)</f>
        <v>0.1</v>
      </c>
      <c r="S76" s="6" cm="1">
        <f t="array" ref="S76">_xlfn.XLOOKUP(Table8[[#This Row],[Admin2PCODE]:[Admin2PCODE]],tblPiNAnalysis[[Admin2PCODE]:[Admin2PCODE]],tblPiNAnalysis[% WASH],0,0)</f>
        <v>0</v>
      </c>
      <c r="T76" s="6" cm="1">
        <f t="array" ref="T76">_xlfn.XLOOKUP(Table8[[#This Row],[Admin2PCODE]:[Admin2PCODE]],tblPiNAnalysis[[Admin2PCODE]:[Admin2PCODE]],tblPiNAnalysis[% NNA],0,0)</f>
        <v>0.05</v>
      </c>
      <c r="U76" s="6" cm="1">
        <f t="array" ref="U76">_xlfn.XLOOKUP(Table8[[#This Row],[Admin2PCODE]:[Admin2PCODE]],tblPiNAnalysis[[Admin2PCODE]:[Admin2PCODE]],tblPiNAnalysis[% VBG],0,0)</f>
        <v>0.05</v>
      </c>
      <c r="V76" s="8" cm="1">
        <f t="array" ref="V76">_xlfn.XLOOKUP(Table8[[#This Row],[Admin2PCODE]:[Admin2PCODE]],tblPiNAnalysis[[Admin2PCODE]:[Admin2PCODE]],tblPiNAnalysis[PiN preliminar],0,0)</f>
        <v>0</v>
      </c>
      <c r="W76" s="308" cm="1">
        <f t="array" ref="W76">_xlfn.XLOOKUP(Table8[[#This Row],[Admin2PCODE]],tblPiNAnalysis[Admin2PCODE],tblSeverityAnalysis[Severidad media],0,0)</f>
        <v>2.6666666666666665</v>
      </c>
      <c r="X76" s="42">
        <f>Table8[[#This Row],[Severidad media]]*6</f>
        <v>16</v>
      </c>
      <c r="Y76" s="6" cm="1">
        <f t="array" ref="Y76">_xlfn.XLOOKUP(Table8[[#This Row],[Admin2PCODE]],tblPiNAnalysis[Admin2PCODE],tblPiNAnalysis[% PiN Sectores más altos],0,0)</f>
        <v>0.4333489086175823</v>
      </c>
      <c r="Z76" s="42" cm="1">
        <f t="array" ref="Z76">_xlfn.XLOOKUP(Table8[[#This Row],[Admin2PCODE]:[Admin2PCODE]],tblPiNAnalysis[[Admin2PCODE]:[Admin2PCODE]],tblPiNAnalysis[Severidad],0,0)</f>
        <v>2</v>
      </c>
      <c r="AA76">
        <f>_xlfn.XLOOKUP(Table8[[#This Row],[Admin2PCODE]],tblSeverityAnalysis[Admin 2 Código P],tblSeverityAnalysis[Severidad Ttotal 2025],0,0)</f>
        <v>3</v>
      </c>
      <c r="AB76" t="str">
        <f>_xlfn.XLOOKUP(Table8[[#This Row],[Admin2PCODE]],tblSeverityAnalysis[Admin 2 Código P],tblSeverityAnalysis[Priorización Final 2025],0,0)</f>
        <v>No</v>
      </c>
      <c r="AC76">
        <v>3</v>
      </c>
      <c r="AD76" t="s">
        <v>1005</v>
      </c>
      <c r="AE76">
        <v>4</v>
      </c>
      <c r="AF76">
        <v>0</v>
      </c>
      <c r="AG76">
        <v>0</v>
      </c>
      <c r="AH76">
        <v>0</v>
      </c>
      <c r="AI76">
        <v>0</v>
      </c>
      <c r="AJ76">
        <v>1</v>
      </c>
      <c r="AK76">
        <v>0</v>
      </c>
      <c r="AL76">
        <v>0</v>
      </c>
      <c r="AM76">
        <v>1</v>
      </c>
      <c r="AN76">
        <v>2</v>
      </c>
      <c r="AO76" s="314">
        <f>Table8[[#This Row],[N° Clústeres con respuesta]]/Table8[[#This Row],[Org Total]]</f>
        <v>0.75</v>
      </c>
      <c r="AP76" s="313">
        <v>3499</v>
      </c>
      <c r="AQ76" s="313">
        <v>983</v>
      </c>
      <c r="AR76" s="312">
        <f>Table8[[#This Row],[Alcanzados Oct 2025]]/Table8[[#This Row],[Meta 2025]]</f>
        <v>0.28093741068876821</v>
      </c>
      <c r="AS76" s="423">
        <v>0</v>
      </c>
      <c r="AT76" s="423">
        <v>0</v>
      </c>
      <c r="AU76" s="423">
        <v>0</v>
      </c>
      <c r="AV76" s="423">
        <v>0</v>
      </c>
      <c r="AW76" s="423">
        <v>3</v>
      </c>
      <c r="AX76" s="423">
        <v>0</v>
      </c>
      <c r="AY76" s="423">
        <v>0</v>
      </c>
      <c r="AZ76" s="423">
        <v>3</v>
      </c>
      <c r="BA76" s="42">
        <v>983</v>
      </c>
    </row>
    <row r="77" spans="1:53">
      <c r="A77" t="s">
        <v>119</v>
      </c>
      <c r="B77" t="s">
        <v>120</v>
      </c>
      <c r="C77" t="s">
        <v>806</v>
      </c>
      <c r="D77" t="s">
        <v>130</v>
      </c>
      <c r="E77" s="8">
        <v>44142</v>
      </c>
      <c r="F77" s="8">
        <v>15414</v>
      </c>
      <c r="G77" s="8">
        <v>1292.0006397623515</v>
      </c>
      <c r="H77" s="8">
        <v>16111.83</v>
      </c>
      <c r="I77" s="8">
        <v>3788.8571903945158</v>
      </c>
      <c r="J77" s="8">
        <v>5267.8925874125889</v>
      </c>
      <c r="K77" s="8">
        <v>2979.585</v>
      </c>
      <c r="L77" s="8">
        <v>1685.7256279720286</v>
      </c>
      <c r="M77" s="8">
        <v>1843.7624055944057</v>
      </c>
      <c r="N77" s="6" cm="1">
        <f t="array" ref="N77">_xlfn.XLOOKUP(Table8[[#This Row],[Admin2PCODE]:[Admin2PCODE]],tblPiNAnalysis[[Admin2PCODE]:[Admin2PCODE]],tblPiNAnalysis[% SAMV],0,0)</f>
        <v>0.35000000000000003</v>
      </c>
      <c r="O77" s="6" cm="1">
        <f t="array" ref="O77">_xlfn.XLOOKUP(Table8[[#This Row],[Admin2PCODE]:[Admin2PCODE]],tblPiNAnalysis[[Admin2PCODE]:[Admin2PCODE]],tblPiNAnalysis[% NUT],0,0)</f>
        <v>0.05</v>
      </c>
      <c r="P77" s="6" cm="1">
        <f t="array" ref="P77">_xlfn.XLOOKUP(Table8[[#This Row],[Admin2PCODE]:[Admin2PCODE]],tblPiNAnalysis[[Admin2PCODE]:[Admin2PCODE]],tblPiNAnalysis[% SAL],0,0)</f>
        <v>0.35000000000000003</v>
      </c>
      <c r="Q77" s="6" cm="1">
        <f t="array" ref="Q77">_xlfn.XLOOKUP(Table8[[#This Row],[Admin2PCODE]:[Admin2PCODE]],tblPiNAnalysis[[Admin2PCODE]:[Admin2PCODE]],tblPiNAnalysis[% EDU],0,0)</f>
        <v>0.1</v>
      </c>
      <c r="R77" s="6" cm="1">
        <f t="array" ref="R77">_xlfn.XLOOKUP(Table8[[#This Row],[Admin2PCODE]:[Admin2PCODE]],tblPiNAnalysis[[Admin2PCODE]:[Admin2PCODE]],tblPiNAnalysis[% PRO],0,0)</f>
        <v>0.1</v>
      </c>
      <c r="S77" s="6" cm="1">
        <f t="array" ref="S77">_xlfn.XLOOKUP(Table8[[#This Row],[Admin2PCODE]:[Admin2PCODE]],tblPiNAnalysis[[Admin2PCODE]:[Admin2PCODE]],tblPiNAnalysis[% WASH],0,0)</f>
        <v>0.05</v>
      </c>
      <c r="T77" s="6" cm="1">
        <f t="array" ref="T77">_xlfn.XLOOKUP(Table8[[#This Row],[Admin2PCODE]:[Admin2PCODE]],tblPiNAnalysis[[Admin2PCODE]:[Admin2PCODE]],tblPiNAnalysis[% NNA],0,0)</f>
        <v>0.05</v>
      </c>
      <c r="U77" s="6" cm="1">
        <f t="array" ref="U77">_xlfn.XLOOKUP(Table8[[#This Row],[Admin2PCODE]:[Admin2PCODE]],tblPiNAnalysis[[Admin2PCODE]:[Admin2PCODE]],tblPiNAnalysis[% VBG],0,0)</f>
        <v>0.05</v>
      </c>
      <c r="V77" s="8" cm="1">
        <f t="array" ref="V77">_xlfn.XLOOKUP(Table8[[#This Row],[Admin2PCODE]:[Admin2PCODE]],tblPiNAnalysis[[Admin2PCODE]:[Admin2PCODE]],tblPiNAnalysis[PiN preliminar],0,0)</f>
        <v>16111.83</v>
      </c>
      <c r="W77" s="308" cm="1">
        <f t="array" ref="W77">_xlfn.XLOOKUP(Table8[[#This Row],[Admin2PCODE]],tblPiNAnalysis[Admin2PCODE],tblSeverityAnalysis[Severidad media],0,0)</f>
        <v>3</v>
      </c>
      <c r="X77" s="42">
        <f>Table8[[#This Row],[Severidad media]]*6</f>
        <v>18</v>
      </c>
      <c r="Y77" s="6" cm="1">
        <f t="array" ref="Y77">_xlfn.XLOOKUP(Table8[[#This Row],[Admin2PCODE]],tblPiNAnalysis[Admin2PCODE],tblPiNAnalysis[% PiN Sectores más altos],0,0)</f>
        <v>0.36499999999999999</v>
      </c>
      <c r="Z77" s="42" cm="1">
        <f t="array" ref="Z77">_xlfn.XLOOKUP(Table8[[#This Row],[Admin2PCODE]:[Admin2PCODE]],tblPiNAnalysis[[Admin2PCODE]:[Admin2PCODE]],tblPiNAnalysis[Severidad],0,0)</f>
        <v>3</v>
      </c>
      <c r="AA77">
        <f>_xlfn.XLOOKUP(Table8[[#This Row],[Admin2PCODE]],tblSeverityAnalysis[Admin 2 Código P],tblSeverityAnalysis[Severidad Ttotal 2025],0,0)</f>
        <v>3</v>
      </c>
      <c r="AB77" t="str">
        <f>_xlfn.XLOOKUP(Table8[[#This Row],[Admin2PCODE]],tblSeverityAnalysis[Admin 2 Código P],tblSeverityAnalysis[Priorización Final 2025],0,0)</f>
        <v>No</v>
      </c>
      <c r="AC77">
        <v>1</v>
      </c>
      <c r="AD77" t="s">
        <v>92</v>
      </c>
      <c r="AE77">
        <v>3</v>
      </c>
      <c r="AF77">
        <v>0</v>
      </c>
      <c r="AG77">
        <v>0</v>
      </c>
      <c r="AH77">
        <v>0</v>
      </c>
      <c r="AI77">
        <v>0</v>
      </c>
      <c r="AJ77">
        <v>0</v>
      </c>
      <c r="AK77">
        <v>0</v>
      </c>
      <c r="AL77">
        <v>0</v>
      </c>
      <c r="AM77">
        <v>0</v>
      </c>
      <c r="AN77">
        <v>3</v>
      </c>
      <c r="AO77" s="314">
        <f>Table8[[#This Row],[N° Clústeres con respuesta]]/Table8[[#This Row],[Org Total]]</f>
        <v>0.33333333333333331</v>
      </c>
      <c r="AP77" s="313">
        <v>10307</v>
      </c>
      <c r="AQ77" s="313">
        <v>775</v>
      </c>
      <c r="AR77" s="312">
        <f>Table8[[#This Row],[Alcanzados Oct 2025]]/Table8[[#This Row],[Meta 2025]]</f>
        <v>7.5191617347433778E-2</v>
      </c>
      <c r="AS77" s="423">
        <v>0</v>
      </c>
      <c r="AT77" s="423">
        <v>0</v>
      </c>
      <c r="AU77" s="423">
        <v>0</v>
      </c>
      <c r="AV77" s="423">
        <v>0</v>
      </c>
      <c r="AW77" s="423">
        <v>2</v>
      </c>
      <c r="AX77" s="423">
        <v>0</v>
      </c>
      <c r="AY77" s="423">
        <v>0</v>
      </c>
      <c r="AZ77" s="423">
        <v>0</v>
      </c>
      <c r="BA77" s="42">
        <v>775</v>
      </c>
    </row>
    <row r="78" spans="1:53">
      <c r="A78" t="s">
        <v>119</v>
      </c>
      <c r="B78" t="s">
        <v>120</v>
      </c>
      <c r="C78" t="s">
        <v>131</v>
      </c>
      <c r="D78" t="s">
        <v>132</v>
      </c>
      <c r="E78" s="8">
        <v>31591</v>
      </c>
      <c r="F78" s="8">
        <v>8505</v>
      </c>
      <c r="G78" s="8">
        <v>1047.3853281418537</v>
      </c>
      <c r="H78" s="8">
        <v>11530.715</v>
      </c>
      <c r="I78" s="8">
        <v>2827.5996516653167</v>
      </c>
      <c r="J78" s="8">
        <v>6283.4335677643003</v>
      </c>
      <c r="K78" s="8">
        <v>4264.7849999999999</v>
      </c>
      <c r="L78" s="8">
        <v>2010.6987416845761</v>
      </c>
      <c r="M78" s="8">
        <v>2199.2017487175049</v>
      </c>
      <c r="N78" s="6" cm="1">
        <f t="array" ref="N78">_xlfn.XLOOKUP(Table8[[#This Row],[Admin2PCODE]:[Admin2PCODE]],tblPiNAnalysis[[Admin2PCODE]:[Admin2PCODE]],tblPiNAnalysis[% SAMV],0,0)</f>
        <v>0.25</v>
      </c>
      <c r="O78" s="6" cm="1">
        <f t="array" ref="O78">_xlfn.XLOOKUP(Table8[[#This Row],[Admin2PCODE]:[Admin2PCODE]],tblPiNAnalysis[[Admin2PCODE]:[Admin2PCODE]],tblPiNAnalysis[% NUT],0,0)</f>
        <v>0.05</v>
      </c>
      <c r="P78" s="6" cm="1">
        <f t="array" ref="P78">_xlfn.XLOOKUP(Table8[[#This Row],[Admin2PCODE]:[Admin2PCODE]],tblPiNAnalysis[[Admin2PCODE]:[Admin2PCODE]],tblPiNAnalysis[% SAL],0,0)</f>
        <v>0.35000000000000003</v>
      </c>
      <c r="Q78" s="6" cm="1">
        <f t="array" ref="Q78">_xlfn.XLOOKUP(Table8[[#This Row],[Admin2PCODE]:[Admin2PCODE]],tblPiNAnalysis[[Admin2PCODE]:[Admin2PCODE]],tblPiNAnalysis[% EDU],0,0)</f>
        <v>0.1</v>
      </c>
      <c r="R78" s="6" cm="1">
        <f t="array" ref="R78">_xlfn.XLOOKUP(Table8[[#This Row],[Admin2PCODE]:[Admin2PCODE]],tblPiNAnalysis[[Admin2PCODE]:[Admin2PCODE]],tblPiNAnalysis[% PRO],0,0)</f>
        <v>0.2</v>
      </c>
      <c r="S78" s="6" cm="1">
        <f t="array" ref="S78">_xlfn.XLOOKUP(Table8[[#This Row],[Admin2PCODE]:[Admin2PCODE]],tblPiNAnalysis[[Admin2PCODE]:[Admin2PCODE]],tblPiNAnalysis[% WASH],0,0)</f>
        <v>0.15000000000000002</v>
      </c>
      <c r="T78" s="6" cm="1">
        <f t="array" ref="T78">_xlfn.XLOOKUP(Table8[[#This Row],[Admin2PCODE]:[Admin2PCODE]],tblPiNAnalysis[[Admin2PCODE]:[Admin2PCODE]],tblPiNAnalysis[% NNA],0,0)</f>
        <v>0.05</v>
      </c>
      <c r="U78" s="6" cm="1">
        <f t="array" ref="U78">_xlfn.XLOOKUP(Table8[[#This Row],[Admin2PCODE]:[Admin2PCODE]],tblPiNAnalysis[[Admin2PCODE]:[Admin2PCODE]],tblPiNAnalysis[% VBG],0,0)</f>
        <v>0.05</v>
      </c>
      <c r="V78" s="8" cm="1">
        <f t="array" ref="V78">_xlfn.XLOOKUP(Table8[[#This Row],[Admin2PCODE]:[Admin2PCODE]],tblPiNAnalysis[[Admin2PCODE]:[Admin2PCODE]],tblPiNAnalysis[PiN preliminar],0,0)</f>
        <v>11530.715</v>
      </c>
      <c r="W78" s="308" cm="1">
        <f t="array" ref="W78">_xlfn.XLOOKUP(Table8[[#This Row],[Admin2PCODE]],tblPiNAnalysis[Admin2PCODE],tblSeverityAnalysis[Severidad media],0,0)</f>
        <v>2.6666666666666665</v>
      </c>
      <c r="X78" s="42">
        <f>Table8[[#This Row],[Severidad media]]*6</f>
        <v>16</v>
      </c>
      <c r="Y78" s="6" cm="1">
        <f t="array" ref="Y78">_xlfn.XLOOKUP(Table8[[#This Row],[Admin2PCODE]],tblPiNAnalysis[Admin2PCODE],tblPiNAnalysis[% PiN Sectores más altos],0,0)</f>
        <v>0.36499999999999999</v>
      </c>
      <c r="Z78" s="42" cm="1">
        <f t="array" ref="Z78">_xlfn.XLOOKUP(Table8[[#This Row],[Admin2PCODE]:[Admin2PCODE]],tblPiNAnalysis[[Admin2PCODE]:[Admin2PCODE]],tblPiNAnalysis[Severidad],0,0)</f>
        <v>3</v>
      </c>
      <c r="AA78">
        <f>_xlfn.XLOOKUP(Table8[[#This Row],[Admin2PCODE]],tblSeverityAnalysis[Admin 2 Código P],tblSeverityAnalysis[Severidad Ttotal 2025],0,0)</f>
        <v>3</v>
      </c>
      <c r="AB78" t="str">
        <f>_xlfn.XLOOKUP(Table8[[#This Row],[Admin2PCODE]],tblSeverityAnalysis[Admin 2 Código P],tblSeverityAnalysis[Priorización Final 2025],0,0)</f>
        <v>No</v>
      </c>
      <c r="AC78">
        <v>5</v>
      </c>
      <c r="AD78" t="s">
        <v>1006</v>
      </c>
      <c r="AE78">
        <v>5</v>
      </c>
      <c r="AF78">
        <v>0</v>
      </c>
      <c r="AG78">
        <v>1</v>
      </c>
      <c r="AH78">
        <v>0</v>
      </c>
      <c r="AI78">
        <v>1</v>
      </c>
      <c r="AJ78">
        <v>3</v>
      </c>
      <c r="AK78">
        <v>0</v>
      </c>
      <c r="AL78">
        <v>3</v>
      </c>
      <c r="AM78">
        <v>1</v>
      </c>
      <c r="AN78">
        <v>0</v>
      </c>
      <c r="AO78" s="314">
        <f>Table8[[#This Row],[N° Clústeres con respuesta]]/Table8[[#This Row],[Org Total]]</f>
        <v>1</v>
      </c>
      <c r="AP78" s="313">
        <v>7375</v>
      </c>
      <c r="AQ78" s="313">
        <v>1573</v>
      </c>
      <c r="AR78" s="312">
        <f>Table8[[#This Row],[Alcanzados Oct 2025]]/Table8[[#This Row],[Meta 2025]]</f>
        <v>0.21328813559322035</v>
      </c>
      <c r="AS78" s="423">
        <v>0</v>
      </c>
      <c r="AT78" s="423">
        <v>205</v>
      </c>
      <c r="AU78" s="423">
        <v>0</v>
      </c>
      <c r="AV78" s="423">
        <v>79</v>
      </c>
      <c r="AW78" s="423">
        <v>17</v>
      </c>
      <c r="AX78" s="423">
        <v>0</v>
      </c>
      <c r="AY78" s="423">
        <v>1547</v>
      </c>
      <c r="AZ78" s="423">
        <v>0</v>
      </c>
      <c r="BA78" s="42">
        <v>0</v>
      </c>
    </row>
    <row r="79" spans="1:53">
      <c r="A79" t="s">
        <v>119</v>
      </c>
      <c r="B79" t="s">
        <v>120</v>
      </c>
      <c r="C79" t="s">
        <v>133</v>
      </c>
      <c r="D79" t="s">
        <v>134</v>
      </c>
      <c r="E79" s="8">
        <v>30697</v>
      </c>
      <c r="F79" s="8">
        <v>6806</v>
      </c>
      <c r="G79" s="8">
        <v>993.16323685153839</v>
      </c>
      <c r="H79" s="8">
        <v>11204.405000000001</v>
      </c>
      <c r="I79" s="8">
        <v>2070.5044288934132</v>
      </c>
      <c r="J79" s="8">
        <v>6105.6174299534896</v>
      </c>
      <c r="K79" s="8">
        <v>0</v>
      </c>
      <c r="L79" s="8">
        <v>1953.7975775851169</v>
      </c>
      <c r="M79" s="8">
        <v>2136.9661004837212</v>
      </c>
      <c r="N79" s="6" cm="1">
        <f t="array" ref="N79">_xlfn.XLOOKUP(Table8[[#This Row],[Admin2PCODE]:[Admin2PCODE]],tblPiNAnalysis[[Admin2PCODE]:[Admin2PCODE]],tblPiNAnalysis[% SAMV],0,0)</f>
        <v>0.2</v>
      </c>
      <c r="O79" s="6" cm="1">
        <f t="array" ref="O79">_xlfn.XLOOKUP(Table8[[#This Row],[Admin2PCODE]:[Admin2PCODE]],tblPiNAnalysis[[Admin2PCODE]:[Admin2PCODE]],tblPiNAnalysis[% NUT],0,0)</f>
        <v>0.05</v>
      </c>
      <c r="P79" s="6" cm="1">
        <f t="array" ref="P79">_xlfn.XLOOKUP(Table8[[#This Row],[Admin2PCODE]:[Admin2PCODE]],tblPiNAnalysis[[Admin2PCODE]:[Admin2PCODE]],tblPiNAnalysis[% SAL],0,0)</f>
        <v>0.35000000000000003</v>
      </c>
      <c r="Q79" s="6" cm="1">
        <f t="array" ref="Q79">_xlfn.XLOOKUP(Table8[[#This Row],[Admin2PCODE]:[Admin2PCODE]],tblPiNAnalysis[[Admin2PCODE]:[Admin2PCODE]],tblPiNAnalysis[% EDU],0,0)</f>
        <v>0.05</v>
      </c>
      <c r="R79" s="6" cm="1">
        <f t="array" ref="R79">_xlfn.XLOOKUP(Table8[[#This Row],[Admin2PCODE]:[Admin2PCODE]],tblPiNAnalysis[[Admin2PCODE]:[Admin2PCODE]],tblPiNAnalysis[% PRO],0,0)</f>
        <v>0.2</v>
      </c>
      <c r="S79" s="6" cm="1">
        <f t="array" ref="S79">_xlfn.XLOOKUP(Table8[[#This Row],[Admin2PCODE]:[Admin2PCODE]],tblPiNAnalysis[[Admin2PCODE]:[Admin2PCODE]],tblPiNAnalysis[% WASH],0,0)</f>
        <v>0</v>
      </c>
      <c r="T79" s="6" cm="1">
        <f t="array" ref="T79">_xlfn.XLOOKUP(Table8[[#This Row],[Admin2PCODE]:[Admin2PCODE]],tblPiNAnalysis[[Admin2PCODE]:[Admin2PCODE]],tblPiNAnalysis[% NNA],0,0)</f>
        <v>0.05</v>
      </c>
      <c r="U79" s="6" cm="1">
        <f t="array" ref="U79">_xlfn.XLOOKUP(Table8[[#This Row],[Admin2PCODE]:[Admin2PCODE]],tblPiNAnalysis[[Admin2PCODE]:[Admin2PCODE]],tblPiNAnalysis[% VBG],0,0)</f>
        <v>0.05</v>
      </c>
      <c r="V79" s="8" cm="1">
        <f t="array" ref="V79">_xlfn.XLOOKUP(Table8[[#This Row],[Admin2PCODE]:[Admin2PCODE]],tblPiNAnalysis[[Admin2PCODE]:[Admin2PCODE]],tblPiNAnalysis[PiN preliminar],0,0)</f>
        <v>11204.405000000001</v>
      </c>
      <c r="W79" s="308" cm="1">
        <f t="array" ref="W79">_xlfn.XLOOKUP(Table8[[#This Row],[Admin2PCODE]],tblPiNAnalysis[Admin2PCODE],tblSeverityAnalysis[Severidad media],0,0)</f>
        <v>2.3333333333333335</v>
      </c>
      <c r="X79" s="42">
        <f>Table8[[#This Row],[Severidad media]]*6</f>
        <v>14</v>
      </c>
      <c r="Y79" s="6" cm="1">
        <f t="array" ref="Y79">_xlfn.XLOOKUP(Table8[[#This Row],[Admin2PCODE]],tblPiNAnalysis[Admin2PCODE],tblPiNAnalysis[% PiN Sectores más altos],0,0)</f>
        <v>0.36500000000000005</v>
      </c>
      <c r="Z79" s="42" cm="1">
        <f t="array" ref="Z79">_xlfn.XLOOKUP(Table8[[#This Row],[Admin2PCODE]:[Admin2PCODE]],tblPiNAnalysis[[Admin2PCODE]:[Admin2PCODE]],tblPiNAnalysis[Severidad],0,0)</f>
        <v>3</v>
      </c>
      <c r="AA79">
        <f>_xlfn.XLOOKUP(Table8[[#This Row],[Admin2PCODE]],tblSeverityAnalysis[Admin 2 Código P],tblSeverityAnalysis[Severidad Ttotal 2025],0,0)</f>
        <v>3</v>
      </c>
      <c r="AB79" t="str">
        <f>_xlfn.XLOOKUP(Table8[[#This Row],[Admin2PCODE]],tblSeverityAnalysis[Admin 2 Código P],tblSeverityAnalysis[Priorización Final 2025],0,0)</f>
        <v>No</v>
      </c>
      <c r="AC79">
        <v>4</v>
      </c>
      <c r="AD79" t="s">
        <v>1004</v>
      </c>
      <c r="AE79">
        <v>7</v>
      </c>
      <c r="AF79">
        <v>0</v>
      </c>
      <c r="AG79">
        <v>0</v>
      </c>
      <c r="AH79">
        <v>0</v>
      </c>
      <c r="AI79">
        <v>0</v>
      </c>
      <c r="AJ79">
        <v>3</v>
      </c>
      <c r="AK79">
        <v>0</v>
      </c>
      <c r="AL79">
        <v>1</v>
      </c>
      <c r="AM79">
        <v>1</v>
      </c>
      <c r="AN79">
        <v>3</v>
      </c>
      <c r="AO79" s="314">
        <f>Table8[[#This Row],[N° Clústeres con respuesta]]/Table8[[#This Row],[Org Total]]</f>
        <v>0.5714285714285714</v>
      </c>
      <c r="AP79" s="313">
        <v>7166</v>
      </c>
      <c r="AQ79" s="313">
        <v>3698</v>
      </c>
      <c r="AR79" s="312">
        <f>Table8[[#This Row],[Alcanzados Oct 2025]]/Table8[[#This Row],[Meta 2025]]</f>
        <v>0.51604800446553167</v>
      </c>
      <c r="AS79" s="423">
        <v>0</v>
      </c>
      <c r="AT79" s="423">
        <v>0</v>
      </c>
      <c r="AU79" s="423">
        <v>0</v>
      </c>
      <c r="AV79" s="423">
        <v>0</v>
      </c>
      <c r="AW79" s="423">
        <v>13</v>
      </c>
      <c r="AX79" s="423">
        <v>0</v>
      </c>
      <c r="AY79" s="423">
        <v>3</v>
      </c>
      <c r="AZ79" s="423">
        <v>305</v>
      </c>
      <c r="BA79" s="42">
        <v>3698</v>
      </c>
    </row>
    <row r="80" spans="1:53">
      <c r="A80" t="s">
        <v>119</v>
      </c>
      <c r="B80" t="s">
        <v>120</v>
      </c>
      <c r="C80" t="s">
        <v>135</v>
      </c>
      <c r="D80" t="s">
        <v>136</v>
      </c>
      <c r="E80" s="8">
        <v>250248</v>
      </c>
      <c r="F80" s="8">
        <v>62744</v>
      </c>
      <c r="G80" s="8">
        <v>8020.9941589526334</v>
      </c>
      <c r="H80" s="8">
        <v>91340.52</v>
      </c>
      <c r="I80" s="8">
        <v>24428.471891261637</v>
      </c>
      <c r="J80" s="8">
        <v>59729.037389099947</v>
      </c>
      <c r="K80" s="8">
        <v>0</v>
      </c>
      <c r="L80" s="8">
        <v>19113.291964511984</v>
      </c>
      <c r="M80" s="8">
        <v>20905.163086184981</v>
      </c>
      <c r="N80" s="6" cm="1">
        <f t="array" ref="N80">_xlfn.XLOOKUP(Table8[[#This Row],[Admin2PCODE]:[Admin2PCODE]],tblPiNAnalysis[[Admin2PCODE]:[Admin2PCODE]],tblPiNAnalysis[% SAMV],0,0)</f>
        <v>0.25</v>
      </c>
      <c r="O80" s="6" cm="1">
        <f t="array" ref="O80">_xlfn.XLOOKUP(Table8[[#This Row],[Admin2PCODE]:[Admin2PCODE]],tblPiNAnalysis[[Admin2PCODE]:[Admin2PCODE]],tblPiNAnalysis[% NUT],0,0)</f>
        <v>0.05</v>
      </c>
      <c r="P80" s="6" cm="1">
        <f t="array" ref="P80">_xlfn.XLOOKUP(Table8[[#This Row],[Admin2PCODE]:[Admin2PCODE]],tblPiNAnalysis[[Admin2PCODE]:[Admin2PCODE]],tblPiNAnalysis[% SAL],0,0)</f>
        <v>0.35000000000000003</v>
      </c>
      <c r="Q80" s="6" cm="1">
        <f t="array" ref="Q80">_xlfn.XLOOKUP(Table8[[#This Row],[Admin2PCODE]:[Admin2PCODE]],tblPiNAnalysis[[Admin2PCODE]:[Admin2PCODE]],tblPiNAnalysis[% EDU],0,0)</f>
        <v>0.1</v>
      </c>
      <c r="R80" s="6" cm="1">
        <f t="array" ref="R80">_xlfn.XLOOKUP(Table8[[#This Row],[Admin2PCODE]:[Admin2PCODE]],tblPiNAnalysis[[Admin2PCODE]:[Admin2PCODE]],tblPiNAnalysis[% PRO],0,0)</f>
        <v>0.25</v>
      </c>
      <c r="S80" s="6" cm="1">
        <f t="array" ref="S80">_xlfn.XLOOKUP(Table8[[#This Row],[Admin2PCODE]:[Admin2PCODE]],tblPiNAnalysis[[Admin2PCODE]:[Admin2PCODE]],tblPiNAnalysis[% WASH],0,0)</f>
        <v>0</v>
      </c>
      <c r="T80" s="6" cm="1">
        <f t="array" ref="T80">_xlfn.XLOOKUP(Table8[[#This Row],[Admin2PCODE]:[Admin2PCODE]],tblPiNAnalysis[[Admin2PCODE]:[Admin2PCODE]],tblPiNAnalysis[% NNA],0,0)</f>
        <v>0.1</v>
      </c>
      <c r="U80" s="6" cm="1">
        <f t="array" ref="U80">_xlfn.XLOOKUP(Table8[[#This Row],[Admin2PCODE]:[Admin2PCODE]],tblPiNAnalysis[[Admin2PCODE]:[Admin2PCODE]],tblPiNAnalysis[% VBG],0,0)</f>
        <v>0.1</v>
      </c>
      <c r="V80" s="8" cm="1">
        <f t="array" ref="V80">_xlfn.XLOOKUP(Table8[[#This Row],[Admin2PCODE]:[Admin2PCODE]],tblPiNAnalysis[[Admin2PCODE]:[Admin2PCODE]],tblPiNAnalysis[PiN preliminar],0,0)</f>
        <v>91340.52</v>
      </c>
      <c r="W80" s="308" cm="1">
        <f t="array" ref="W80">_xlfn.XLOOKUP(Table8[[#This Row],[Admin2PCODE]],tblPiNAnalysis[Admin2PCODE],tblSeverityAnalysis[Severidad media],0,0)</f>
        <v>3</v>
      </c>
      <c r="X80" s="42">
        <f>Table8[[#This Row],[Severidad media]]*6</f>
        <v>18</v>
      </c>
      <c r="Y80" s="6" cm="1">
        <f t="array" ref="Y80">_xlfn.XLOOKUP(Table8[[#This Row],[Admin2PCODE]],tblPiNAnalysis[Admin2PCODE],tblPiNAnalysis[% PiN Sectores más altos],0,0)</f>
        <v>0.36499999999999999</v>
      </c>
      <c r="Z80" s="42" cm="1">
        <f t="array" ref="Z80">_xlfn.XLOOKUP(Table8[[#This Row],[Admin2PCODE]:[Admin2PCODE]],tblPiNAnalysis[[Admin2PCODE]:[Admin2PCODE]],tblPiNAnalysis[Severidad],0,0)</f>
        <v>3</v>
      </c>
      <c r="AA80">
        <f>_xlfn.XLOOKUP(Table8[[#This Row],[Admin2PCODE]],tblSeverityAnalysis[Admin 2 Código P],tblSeverityAnalysis[Severidad Ttotal 2025],0,0)</f>
        <v>3</v>
      </c>
      <c r="AB80" t="str">
        <f>_xlfn.XLOOKUP(Table8[[#This Row],[Admin2PCODE]],tblSeverityAnalysis[Admin 2 Código P],tblSeverityAnalysis[Priorización Final 2025],0,0)</f>
        <v>No</v>
      </c>
      <c r="AC80">
        <v>6</v>
      </c>
      <c r="AD80" t="s">
        <v>1007</v>
      </c>
      <c r="AE80">
        <v>14</v>
      </c>
      <c r="AF80">
        <v>0</v>
      </c>
      <c r="AG80">
        <v>3</v>
      </c>
      <c r="AH80">
        <v>0</v>
      </c>
      <c r="AI80">
        <v>4</v>
      </c>
      <c r="AJ80">
        <v>7</v>
      </c>
      <c r="AK80">
        <v>0</v>
      </c>
      <c r="AL80">
        <v>4</v>
      </c>
      <c r="AM80">
        <v>3</v>
      </c>
      <c r="AN80">
        <v>5</v>
      </c>
      <c r="AO80" s="314">
        <f>Table8[[#This Row],[N° Clústeres con respuesta]]/Table8[[#This Row],[Org Total]]</f>
        <v>0.42857142857142855</v>
      </c>
      <c r="AP80" s="313">
        <v>41113</v>
      </c>
      <c r="AQ80" s="313">
        <v>5701</v>
      </c>
      <c r="AR80" s="312">
        <f>Table8[[#This Row],[Alcanzados Oct 2025]]/Table8[[#This Row],[Meta 2025]]</f>
        <v>0.13866660180478194</v>
      </c>
      <c r="AS80" s="423">
        <v>0</v>
      </c>
      <c r="AT80" s="423">
        <v>2045</v>
      </c>
      <c r="AU80" s="423">
        <v>0</v>
      </c>
      <c r="AV80" s="423">
        <v>2154</v>
      </c>
      <c r="AW80" s="423">
        <v>137</v>
      </c>
      <c r="AX80" s="423">
        <v>0</v>
      </c>
      <c r="AY80" s="423">
        <v>4015</v>
      </c>
      <c r="AZ80" s="423">
        <v>124</v>
      </c>
      <c r="BA80" s="42">
        <v>1798</v>
      </c>
    </row>
    <row r="81" spans="1:53">
      <c r="A81" t="s">
        <v>119</v>
      </c>
      <c r="B81" t="s">
        <v>120</v>
      </c>
      <c r="C81" t="s">
        <v>137</v>
      </c>
      <c r="D81" t="s">
        <v>138</v>
      </c>
      <c r="E81" s="8">
        <v>13778</v>
      </c>
      <c r="F81" s="8">
        <v>4082</v>
      </c>
      <c r="G81" s="8">
        <v>641.18154432629694</v>
      </c>
      <c r="H81" s="8">
        <v>11200</v>
      </c>
      <c r="I81" s="8">
        <v>1591.1768315739082</v>
      </c>
      <c r="J81" s="8">
        <v>1644.2622461458618</v>
      </c>
      <c r="K81" s="8">
        <v>6200.1</v>
      </c>
      <c r="L81" s="8">
        <v>526.16391876667569</v>
      </c>
      <c r="M81" s="8">
        <v>575.49178615105154</v>
      </c>
      <c r="N81" s="6" cm="1">
        <f t="array" ref="N81">_xlfn.XLOOKUP(Table8[[#This Row],[Admin2PCODE]:[Admin2PCODE]],tblPiNAnalysis[[Admin2PCODE]:[Admin2PCODE]],tblPiNAnalysis[% SAMV],0,0)</f>
        <v>0.30000000000000004</v>
      </c>
      <c r="O81" s="6" cm="1">
        <f t="array" ref="O81">_xlfn.XLOOKUP(Table8[[#This Row],[Admin2PCODE]:[Admin2PCODE]],tblPiNAnalysis[[Admin2PCODE]:[Admin2PCODE]],tblPiNAnalysis[% NUT],0,0)</f>
        <v>0.05</v>
      </c>
      <c r="P81" s="6" cm="1">
        <f t="array" ref="P81">_xlfn.XLOOKUP(Table8[[#This Row],[Admin2PCODE]:[Admin2PCODE]],tblPiNAnalysis[[Admin2PCODE]:[Admin2PCODE]],tblPiNAnalysis[% SAL],0,0)</f>
        <v>0.8</v>
      </c>
      <c r="Q81" s="6" cm="1">
        <f t="array" ref="Q81">_xlfn.XLOOKUP(Table8[[#This Row],[Admin2PCODE]:[Admin2PCODE]],tblPiNAnalysis[[Admin2PCODE]:[Admin2PCODE]],tblPiNAnalysis[% EDU],0,0)</f>
        <v>0.1</v>
      </c>
      <c r="R81" s="6" cm="1">
        <f t="array" ref="R81">_xlfn.XLOOKUP(Table8[[#This Row],[Admin2PCODE]:[Admin2PCODE]],tblPiNAnalysis[[Admin2PCODE]:[Admin2PCODE]],tblPiNAnalysis[% PRO],0,0)</f>
        <v>0.1</v>
      </c>
      <c r="S81" s="6" cm="1">
        <f t="array" ref="S81">_xlfn.XLOOKUP(Table8[[#This Row],[Admin2PCODE]:[Admin2PCODE]],tblPiNAnalysis[[Admin2PCODE]:[Admin2PCODE]],tblPiNAnalysis[% WASH],0,0)</f>
        <v>0.45</v>
      </c>
      <c r="T81" s="6" cm="1">
        <f t="array" ref="T81">_xlfn.XLOOKUP(Table8[[#This Row],[Admin2PCODE]:[Admin2PCODE]],tblPiNAnalysis[[Admin2PCODE]:[Admin2PCODE]],tblPiNAnalysis[% NNA],0,0)</f>
        <v>0.05</v>
      </c>
      <c r="U81" s="6" cm="1">
        <f t="array" ref="U81">_xlfn.XLOOKUP(Table8[[#This Row],[Admin2PCODE]:[Admin2PCODE]],tblPiNAnalysis[[Admin2PCODE]:[Admin2PCODE]],tblPiNAnalysis[% VBG],0,0)</f>
        <v>0.05</v>
      </c>
      <c r="V81" s="8" cm="1">
        <f t="array" ref="V81">_xlfn.XLOOKUP(Table8[[#This Row],[Admin2PCODE]:[Admin2PCODE]],tblPiNAnalysis[[Admin2PCODE]:[Admin2PCODE]],tblPiNAnalysis[PiN preliminar],0,0)</f>
        <v>11200</v>
      </c>
      <c r="W81" s="308" cm="1">
        <f t="array" ref="W81">_xlfn.XLOOKUP(Table8[[#This Row],[Admin2PCODE]],tblPiNAnalysis[Admin2PCODE],tblSeverityAnalysis[Severidad media],0,0)</f>
        <v>2.3333333333333335</v>
      </c>
      <c r="X81" s="42">
        <f>Table8[[#This Row],[Severidad media]]*6</f>
        <v>14</v>
      </c>
      <c r="Y81" s="6" cm="1">
        <f t="array" ref="Y81">_xlfn.XLOOKUP(Table8[[#This Row],[Admin2PCODE]],tblPiNAnalysis[Admin2PCODE],tblPiNAnalysis[% PiN Sectores más altos],0,0)</f>
        <v>0.81289011467556971</v>
      </c>
      <c r="Z81" s="42" cm="1">
        <f t="array" ref="Z81">_xlfn.XLOOKUP(Table8[[#This Row],[Admin2PCODE]:[Admin2PCODE]],tblPiNAnalysis[[Admin2PCODE]:[Admin2PCODE]],tblPiNAnalysis[Severidad],0,0)</f>
        <v>3</v>
      </c>
      <c r="AA81">
        <f>_xlfn.XLOOKUP(Table8[[#This Row],[Admin2PCODE]],tblSeverityAnalysis[Admin 2 Código P],tblSeverityAnalysis[Severidad Ttotal 2025],0,0)</f>
        <v>3</v>
      </c>
      <c r="AB81" t="str">
        <f>_xlfn.XLOOKUP(Table8[[#This Row],[Admin2PCODE]],tblSeverityAnalysis[Admin 2 Código P],tblSeverityAnalysis[Priorización Final 2025],0,0)</f>
        <v>No</v>
      </c>
      <c r="AC81">
        <v>2</v>
      </c>
      <c r="AD81" t="s">
        <v>957</v>
      </c>
      <c r="AE81">
        <v>3</v>
      </c>
      <c r="AF81">
        <v>0</v>
      </c>
      <c r="AG81">
        <v>0</v>
      </c>
      <c r="AH81">
        <v>0</v>
      </c>
      <c r="AI81">
        <v>0</v>
      </c>
      <c r="AJ81">
        <v>1</v>
      </c>
      <c r="AK81">
        <v>0</v>
      </c>
      <c r="AL81">
        <v>0</v>
      </c>
      <c r="AM81">
        <v>0</v>
      </c>
      <c r="AN81">
        <v>2</v>
      </c>
      <c r="AO81" s="314">
        <f>Table8[[#This Row],[N° Clústeres con respuesta]]/Table8[[#This Row],[Org Total]]</f>
        <v>0.66666666666666663</v>
      </c>
      <c r="AP81" s="313">
        <v>3217</v>
      </c>
      <c r="AQ81" s="313">
        <v>831</v>
      </c>
      <c r="AR81" s="312">
        <f>Table8[[#This Row],[Alcanzados Oct 2025]]/Table8[[#This Row],[Meta 2025]]</f>
        <v>0.25831520049735779</v>
      </c>
      <c r="AS81" s="423">
        <v>0</v>
      </c>
      <c r="AT81" s="423">
        <v>0</v>
      </c>
      <c r="AU81" s="423">
        <v>0</v>
      </c>
      <c r="AV81" s="423">
        <v>0</v>
      </c>
      <c r="AW81" s="423">
        <v>1</v>
      </c>
      <c r="AX81" s="423">
        <v>0</v>
      </c>
      <c r="AY81" s="423">
        <v>0</v>
      </c>
      <c r="AZ81" s="423">
        <v>0</v>
      </c>
      <c r="BA81" s="42">
        <v>831</v>
      </c>
    </row>
    <row r="82" spans="1:53">
      <c r="A82" t="s">
        <v>119</v>
      </c>
      <c r="B82" t="s">
        <v>120</v>
      </c>
      <c r="C82" t="s">
        <v>141</v>
      </c>
      <c r="D82" t="s">
        <v>142</v>
      </c>
      <c r="E82" s="8">
        <v>14766</v>
      </c>
      <c r="F82" s="8">
        <v>4206</v>
      </c>
      <c r="G82" s="8">
        <v>536.02058710119832</v>
      </c>
      <c r="H82" s="8">
        <v>7000</v>
      </c>
      <c r="I82" s="8">
        <v>978.65629612686234</v>
      </c>
      <c r="J82" s="8">
        <v>1762.1698596741035</v>
      </c>
      <c r="K82" s="8">
        <v>0</v>
      </c>
      <c r="L82" s="8">
        <v>565.65652495538723</v>
      </c>
      <c r="M82" s="8">
        <v>616.75945088593619</v>
      </c>
      <c r="N82" s="6" cm="1">
        <f t="array" ref="N82">_xlfn.XLOOKUP(Table8[[#This Row],[Admin2PCODE]:[Admin2PCODE]],tblPiNAnalysis[[Admin2PCODE]:[Admin2PCODE]],tblPiNAnalysis[% SAMV],0,0)</f>
        <v>0.30000000000000004</v>
      </c>
      <c r="O82" s="6" cm="1">
        <f t="array" ref="O82">_xlfn.XLOOKUP(Table8[[#This Row],[Admin2PCODE]:[Admin2PCODE]],tblPiNAnalysis[[Admin2PCODE]:[Admin2PCODE]],tblPiNAnalysis[% NUT],0,0)</f>
        <v>0.05</v>
      </c>
      <c r="P82" s="6" cm="1">
        <f t="array" ref="P82">_xlfn.XLOOKUP(Table8[[#This Row],[Admin2PCODE]:[Admin2PCODE]],tblPiNAnalysis[[Admin2PCODE]:[Admin2PCODE]],tblPiNAnalysis[% SAL],0,0)</f>
        <v>0.45</v>
      </c>
      <c r="Q82" s="6" cm="1">
        <f t="array" ref="Q82">_xlfn.XLOOKUP(Table8[[#This Row],[Admin2PCODE]:[Admin2PCODE]],tblPiNAnalysis[[Admin2PCODE]:[Admin2PCODE]],tblPiNAnalysis[% EDU],0,0)</f>
        <v>0.05</v>
      </c>
      <c r="R82" s="6" cm="1">
        <f t="array" ref="R82">_xlfn.XLOOKUP(Table8[[#This Row],[Admin2PCODE]:[Admin2PCODE]],tblPiNAnalysis[[Admin2PCODE]:[Admin2PCODE]],tblPiNAnalysis[% PRO],0,0)</f>
        <v>0.1</v>
      </c>
      <c r="S82" s="6" cm="1">
        <f t="array" ref="S82">_xlfn.XLOOKUP(Table8[[#This Row],[Admin2PCODE]:[Admin2PCODE]],tblPiNAnalysis[[Admin2PCODE]:[Admin2PCODE]],tblPiNAnalysis[% WASH],0,0)</f>
        <v>0</v>
      </c>
      <c r="T82" s="6" cm="1">
        <f t="array" ref="T82">_xlfn.XLOOKUP(Table8[[#This Row],[Admin2PCODE]:[Admin2PCODE]],tblPiNAnalysis[[Admin2PCODE]:[Admin2PCODE]],tblPiNAnalysis[% NNA],0,0)</f>
        <v>0.05</v>
      </c>
      <c r="U82" s="6" cm="1">
        <f t="array" ref="U82">_xlfn.XLOOKUP(Table8[[#This Row],[Admin2PCODE]:[Admin2PCODE]],tblPiNAnalysis[[Admin2PCODE]:[Admin2PCODE]],tblPiNAnalysis[% VBG],0,0)</f>
        <v>0.05</v>
      </c>
      <c r="V82" s="8" cm="1">
        <f t="array" ref="V82">_xlfn.XLOOKUP(Table8[[#This Row],[Admin2PCODE]:[Admin2PCODE]],tblPiNAnalysis[[Admin2PCODE]:[Admin2PCODE]],tblPiNAnalysis[PiN preliminar],0,0)</f>
        <v>0</v>
      </c>
      <c r="W82" s="308" cm="1">
        <f t="array" ref="W82">_xlfn.XLOOKUP(Table8[[#This Row],[Admin2PCODE]],tblPiNAnalysis[Admin2PCODE],tblSeverityAnalysis[Severidad media],0,0)</f>
        <v>2.5</v>
      </c>
      <c r="X82" s="42">
        <f>Table8[[#This Row],[Severidad media]]*6</f>
        <v>15</v>
      </c>
      <c r="Y82" s="6" cm="1">
        <f t="array" ref="Y82">_xlfn.XLOOKUP(Table8[[#This Row],[Admin2PCODE]],tblPiNAnalysis[Admin2PCODE],tblPiNAnalysis[% PiN Sectores más altos],0,0)</f>
        <v>0.47406203440335909</v>
      </c>
      <c r="Z82" s="42" cm="1">
        <f t="array" ref="Z82">_xlfn.XLOOKUP(Table8[[#This Row],[Admin2PCODE]:[Admin2PCODE]],tblPiNAnalysis[[Admin2PCODE]:[Admin2PCODE]],tblPiNAnalysis[Severidad],0,0)</f>
        <v>2</v>
      </c>
      <c r="AA82">
        <f>_xlfn.XLOOKUP(Table8[[#This Row],[Admin2PCODE]],tblSeverityAnalysis[Admin 2 Código P],tblSeverityAnalysis[Severidad Ttotal 2025],0,0)</f>
        <v>3</v>
      </c>
      <c r="AB82" t="str">
        <f>_xlfn.XLOOKUP(Table8[[#This Row],[Admin2PCODE]],tblSeverityAnalysis[Admin 2 Código P],tblSeverityAnalysis[Priorización Final 2025],0,0)</f>
        <v>No</v>
      </c>
      <c r="AC82">
        <v>2</v>
      </c>
      <c r="AD82" t="s">
        <v>1008</v>
      </c>
      <c r="AE82">
        <v>3</v>
      </c>
      <c r="AF82">
        <v>0</v>
      </c>
      <c r="AG82">
        <v>0</v>
      </c>
      <c r="AH82">
        <v>0</v>
      </c>
      <c r="AI82">
        <v>0</v>
      </c>
      <c r="AJ82">
        <v>0</v>
      </c>
      <c r="AK82">
        <v>0</v>
      </c>
      <c r="AL82">
        <v>0</v>
      </c>
      <c r="AM82">
        <v>1</v>
      </c>
      <c r="AN82">
        <v>2</v>
      </c>
      <c r="AO82" s="314">
        <f>Table8[[#This Row],[N° Clústeres con respuesta]]/Table8[[#This Row],[Org Total]]</f>
        <v>0.66666666666666663</v>
      </c>
      <c r="AP82" s="313">
        <v>3447</v>
      </c>
      <c r="AQ82" s="313">
        <v>918</v>
      </c>
      <c r="AR82" s="312">
        <f>Table8[[#This Row],[Alcanzados Oct 2025]]/Table8[[#This Row],[Meta 2025]]</f>
        <v>0.26631853785900783</v>
      </c>
      <c r="AS82" s="423">
        <v>0</v>
      </c>
      <c r="AT82" s="423">
        <v>0</v>
      </c>
      <c r="AU82" s="423">
        <v>0</v>
      </c>
      <c r="AV82" s="423">
        <v>0</v>
      </c>
      <c r="AW82" s="423">
        <v>0</v>
      </c>
      <c r="AX82" s="423">
        <v>0</v>
      </c>
      <c r="AY82" s="423">
        <v>0</v>
      </c>
      <c r="AZ82" s="423">
        <v>4</v>
      </c>
      <c r="BA82" s="42">
        <v>918</v>
      </c>
    </row>
    <row r="83" spans="1:53">
      <c r="A83" t="s">
        <v>119</v>
      </c>
      <c r="B83" t="s">
        <v>120</v>
      </c>
      <c r="C83" t="s">
        <v>143</v>
      </c>
      <c r="D83" t="s">
        <v>144</v>
      </c>
      <c r="E83" s="8">
        <v>33403</v>
      </c>
      <c r="F83" s="8">
        <v>10784</v>
      </c>
      <c r="G83" s="8">
        <v>1139.1017697671107</v>
      </c>
      <c r="H83" s="8">
        <v>18200</v>
      </c>
      <c r="I83" s="8">
        <v>2576.5539253173292</v>
      </c>
      <c r="J83" s="8">
        <v>3986.3036585868931</v>
      </c>
      <c r="K83" s="8">
        <v>4509.4049999999997</v>
      </c>
      <c r="L83" s="8">
        <v>1275.6171707478059</v>
      </c>
      <c r="M83" s="8">
        <v>1395.2062805054125</v>
      </c>
      <c r="N83" s="6" cm="1">
        <f t="array" ref="N83">_xlfn.XLOOKUP(Table8[[#This Row],[Admin2PCODE]:[Admin2PCODE]],tblPiNAnalysis[[Admin2PCODE]:[Admin2PCODE]],tblPiNAnalysis[% SAMV],0,0)</f>
        <v>0.30000000000000004</v>
      </c>
      <c r="O83" s="6" cm="1">
        <f t="array" ref="O83">_xlfn.XLOOKUP(Table8[[#This Row],[Admin2PCODE]:[Admin2PCODE]],tblPiNAnalysis[[Admin2PCODE]:[Admin2PCODE]],tblPiNAnalysis[% NUT],0,0)</f>
        <v>0.05</v>
      </c>
      <c r="P83" s="6" cm="1">
        <f t="array" ref="P83">_xlfn.XLOOKUP(Table8[[#This Row],[Admin2PCODE]:[Admin2PCODE]],tblPiNAnalysis[[Admin2PCODE]:[Admin2PCODE]],tblPiNAnalysis[% SAL],0,0)</f>
        <v>0.55000000000000004</v>
      </c>
      <c r="Q83" s="6" cm="1">
        <f t="array" ref="Q83">_xlfn.XLOOKUP(Table8[[#This Row],[Admin2PCODE]:[Admin2PCODE]],tblPiNAnalysis[[Admin2PCODE]:[Admin2PCODE]],tblPiNAnalysis[% EDU],0,0)</f>
        <v>0.1</v>
      </c>
      <c r="R83" s="6" cm="1">
        <f t="array" ref="R83">_xlfn.XLOOKUP(Table8[[#This Row],[Admin2PCODE]:[Admin2PCODE]],tblPiNAnalysis[[Admin2PCODE]:[Admin2PCODE]],tblPiNAnalysis[% PRO],0,0)</f>
        <v>0.1</v>
      </c>
      <c r="S83" s="6" cm="1">
        <f t="array" ref="S83">_xlfn.XLOOKUP(Table8[[#This Row],[Admin2PCODE]:[Admin2PCODE]],tblPiNAnalysis[[Admin2PCODE]:[Admin2PCODE]],tblPiNAnalysis[% WASH],0,0)</f>
        <v>0.15000000000000002</v>
      </c>
      <c r="T83" s="6" cm="1">
        <f t="array" ref="T83">_xlfn.XLOOKUP(Table8[[#This Row],[Admin2PCODE]:[Admin2PCODE]],tblPiNAnalysis[[Admin2PCODE]:[Admin2PCODE]],tblPiNAnalysis[% NNA],0,0)</f>
        <v>0.05</v>
      </c>
      <c r="U83" s="6" cm="1">
        <f t="array" ref="U83">_xlfn.XLOOKUP(Table8[[#This Row],[Admin2PCODE]:[Admin2PCODE]],tblPiNAnalysis[[Admin2PCODE]:[Admin2PCODE]],tblPiNAnalysis[% VBG],0,0)</f>
        <v>0.05</v>
      </c>
      <c r="V83" s="8" cm="1">
        <f t="array" ref="V83">_xlfn.XLOOKUP(Table8[[#This Row],[Admin2PCODE]:[Admin2PCODE]],tblPiNAnalysis[[Admin2PCODE]:[Admin2PCODE]],tblPiNAnalysis[PiN preliminar],0,0)</f>
        <v>18200</v>
      </c>
      <c r="W83" s="308" cm="1">
        <f t="array" ref="W83">_xlfn.XLOOKUP(Table8[[#This Row],[Admin2PCODE]],tblPiNAnalysis[Admin2PCODE],tblSeverityAnalysis[Severidad media],0,0)</f>
        <v>2.6666666666666665</v>
      </c>
      <c r="X83" s="42">
        <f>Table8[[#This Row],[Severidad media]]*6</f>
        <v>16</v>
      </c>
      <c r="Y83" s="6" cm="1">
        <f t="array" ref="Y83">_xlfn.XLOOKUP(Table8[[#This Row],[Admin2PCODE]],tblPiNAnalysis[Admin2PCODE],tblPiNAnalysis[% PiN Sectores más altos],0,0)</f>
        <v>0.54486124000838243</v>
      </c>
      <c r="Z83" s="42" cm="1">
        <f t="array" ref="Z83">_xlfn.XLOOKUP(Table8[[#This Row],[Admin2PCODE]:[Admin2PCODE]],tblPiNAnalysis[[Admin2PCODE]:[Admin2PCODE]],tblPiNAnalysis[Severidad],0,0)</f>
        <v>3</v>
      </c>
      <c r="AA83">
        <f>_xlfn.XLOOKUP(Table8[[#This Row],[Admin2PCODE]],tblSeverityAnalysis[Admin 2 Código P],tblSeverityAnalysis[Severidad Ttotal 2025],0,0)</f>
        <v>3</v>
      </c>
      <c r="AB83" t="str">
        <f>_xlfn.XLOOKUP(Table8[[#This Row],[Admin2PCODE]],tblSeverityAnalysis[Admin 2 Código P],tblSeverityAnalysis[Priorización Final 2025],0,0)</f>
        <v>No</v>
      </c>
      <c r="AC83">
        <v>8</v>
      </c>
      <c r="AD83" t="s">
        <v>1009</v>
      </c>
      <c r="AE83">
        <v>8</v>
      </c>
      <c r="AF83">
        <v>0</v>
      </c>
      <c r="AG83">
        <v>3</v>
      </c>
      <c r="AH83">
        <v>1</v>
      </c>
      <c r="AI83">
        <v>3</v>
      </c>
      <c r="AJ83">
        <v>4</v>
      </c>
      <c r="AK83">
        <v>1</v>
      </c>
      <c r="AL83">
        <v>1</v>
      </c>
      <c r="AM83">
        <v>2</v>
      </c>
      <c r="AN83">
        <v>4</v>
      </c>
      <c r="AO83" s="314">
        <f>Table8[[#This Row],[N° Clústeres con respuesta]]/Table8[[#This Row],[Org Total]]</f>
        <v>1</v>
      </c>
      <c r="AP83" s="313">
        <v>7796</v>
      </c>
      <c r="AQ83" s="313">
        <v>2328</v>
      </c>
      <c r="AR83" s="312">
        <f>Table8[[#This Row],[Alcanzados Oct 2025]]/Table8[[#This Row],[Meta 2025]]</f>
        <v>0.2986146741918933</v>
      </c>
      <c r="AS83" s="423">
        <v>0</v>
      </c>
      <c r="AT83" s="423">
        <v>1102</v>
      </c>
      <c r="AU83" s="423">
        <v>83</v>
      </c>
      <c r="AV83" s="423">
        <v>116</v>
      </c>
      <c r="AW83" s="423">
        <v>330</v>
      </c>
      <c r="AX83" s="423">
        <v>59</v>
      </c>
      <c r="AY83" s="423">
        <v>905</v>
      </c>
      <c r="AZ83" s="423">
        <v>1462</v>
      </c>
      <c r="BA83" s="42">
        <v>2022</v>
      </c>
    </row>
    <row r="84" spans="1:53">
      <c r="A84" t="s">
        <v>119</v>
      </c>
      <c r="B84" t="s">
        <v>120</v>
      </c>
      <c r="C84" t="s">
        <v>812</v>
      </c>
      <c r="D84" t="s">
        <v>146</v>
      </c>
      <c r="E84" s="8">
        <v>74776</v>
      </c>
      <c r="F84" s="8">
        <v>20215</v>
      </c>
      <c r="G84" s="8">
        <v>2763.9128509916441</v>
      </c>
      <c r="H84" s="8">
        <v>27293.24</v>
      </c>
      <c r="I84" s="8">
        <v>7478.7139998815883</v>
      </c>
      <c r="J84" s="8">
        <v>14872.90774154485</v>
      </c>
      <c r="K84" s="8">
        <v>10094.76</v>
      </c>
      <c r="L84" s="8">
        <v>4759.330477294352</v>
      </c>
      <c r="M84" s="8">
        <v>5205.5177095406971</v>
      </c>
      <c r="N84" s="6" cm="1">
        <f t="array" ref="N84">_xlfn.XLOOKUP(Table8[[#This Row],[Admin2PCODE]:[Admin2PCODE]],tblPiNAnalysis[[Admin2PCODE]:[Admin2PCODE]],tblPiNAnalysis[% SAMV],0,0)</f>
        <v>0.25</v>
      </c>
      <c r="O84" s="6" cm="1">
        <f t="array" ref="O84">_xlfn.XLOOKUP(Table8[[#This Row],[Admin2PCODE]:[Admin2PCODE]],tblPiNAnalysis[[Admin2PCODE]:[Admin2PCODE]],tblPiNAnalysis[% NUT],0,0)</f>
        <v>0.05</v>
      </c>
      <c r="P84" s="6" cm="1">
        <f t="array" ref="P84">_xlfn.XLOOKUP(Table8[[#This Row],[Admin2PCODE]:[Admin2PCODE]],tblPiNAnalysis[[Admin2PCODE]:[Admin2PCODE]],tblPiNAnalysis[% SAL],0,0)</f>
        <v>0.35000000000000003</v>
      </c>
      <c r="Q84" s="6" cm="1">
        <f t="array" ref="Q84">_xlfn.XLOOKUP(Table8[[#This Row],[Admin2PCODE]:[Admin2PCODE]],tblPiNAnalysis[[Admin2PCODE]:[Admin2PCODE]],tblPiNAnalysis[% EDU],0,0)</f>
        <v>0.1</v>
      </c>
      <c r="R84" s="6" cm="1">
        <f t="array" ref="R84">_xlfn.XLOOKUP(Table8[[#This Row],[Admin2PCODE]:[Admin2PCODE]],tblPiNAnalysis[[Admin2PCODE]:[Admin2PCODE]],tblPiNAnalysis[% PRO],0,0)</f>
        <v>0.2</v>
      </c>
      <c r="S84" s="6" cm="1">
        <f t="array" ref="S84">_xlfn.XLOOKUP(Table8[[#This Row],[Admin2PCODE]:[Admin2PCODE]],tblPiNAnalysis[[Admin2PCODE]:[Admin2PCODE]],tblPiNAnalysis[% WASH],0,0)</f>
        <v>0.15000000000000002</v>
      </c>
      <c r="T84" s="6" cm="1">
        <f t="array" ref="T84">_xlfn.XLOOKUP(Table8[[#This Row],[Admin2PCODE]:[Admin2PCODE]],tblPiNAnalysis[[Admin2PCODE]:[Admin2PCODE]],tblPiNAnalysis[% NNA],0,0)</f>
        <v>0.05</v>
      </c>
      <c r="U84" s="6" cm="1">
        <f t="array" ref="U84">_xlfn.XLOOKUP(Table8[[#This Row],[Admin2PCODE]:[Admin2PCODE]],tblPiNAnalysis[[Admin2PCODE]:[Admin2PCODE]],tblPiNAnalysis[% VBG],0,0)</f>
        <v>0.05</v>
      </c>
      <c r="V84" s="8" cm="1">
        <f t="array" ref="V84">_xlfn.XLOOKUP(Table8[[#This Row],[Admin2PCODE]:[Admin2PCODE]],tblPiNAnalysis[[Admin2PCODE]:[Admin2PCODE]],tblPiNAnalysis[PiN preliminar],0,0)</f>
        <v>27293.24</v>
      </c>
      <c r="W84" s="308" cm="1">
        <f t="array" ref="W84">_xlfn.XLOOKUP(Table8[[#This Row],[Admin2PCODE]],tblPiNAnalysis[Admin2PCODE],tblSeverityAnalysis[Severidad media],0,0)</f>
        <v>2.8333333333333335</v>
      </c>
      <c r="X84" s="42">
        <f>Table8[[#This Row],[Severidad media]]*6</f>
        <v>17</v>
      </c>
      <c r="Y84" s="6" cm="1">
        <f t="array" ref="Y84">_xlfn.XLOOKUP(Table8[[#This Row],[Admin2PCODE]],tblPiNAnalysis[Admin2PCODE],tblPiNAnalysis[% PiN Sectores más altos],0,0)</f>
        <v>0.36500000000000005</v>
      </c>
      <c r="Z84" s="42" cm="1">
        <f t="array" ref="Z84">_xlfn.XLOOKUP(Table8[[#This Row],[Admin2PCODE]:[Admin2PCODE]],tblPiNAnalysis[[Admin2PCODE]:[Admin2PCODE]],tblPiNAnalysis[Severidad],0,0)</f>
        <v>3</v>
      </c>
      <c r="AA84">
        <f>_xlfn.XLOOKUP(Table8[[#This Row],[Admin2PCODE]],tblSeverityAnalysis[Admin 2 Código P],tblSeverityAnalysis[Severidad Ttotal 2025],0,0)</f>
        <v>3</v>
      </c>
      <c r="AB84" t="str">
        <f>_xlfn.XLOOKUP(Table8[[#This Row],[Admin2PCODE]],tblSeverityAnalysis[Admin 2 Código P],tblSeverityAnalysis[Priorización Final 2025],0,0)</f>
        <v>No</v>
      </c>
      <c r="AC84">
        <v>6</v>
      </c>
      <c r="AD84" t="s">
        <v>1010</v>
      </c>
      <c r="AE84">
        <v>9</v>
      </c>
      <c r="AF84">
        <v>0</v>
      </c>
      <c r="AG84">
        <v>3</v>
      </c>
      <c r="AH84">
        <v>0</v>
      </c>
      <c r="AI84">
        <v>3</v>
      </c>
      <c r="AJ84">
        <v>3</v>
      </c>
      <c r="AK84">
        <v>0</v>
      </c>
      <c r="AL84">
        <v>1</v>
      </c>
      <c r="AM84">
        <v>2</v>
      </c>
      <c r="AN84">
        <v>5</v>
      </c>
      <c r="AO84" s="314">
        <f>Table8[[#This Row],[N° Clústeres con respuesta]]/Table8[[#This Row],[Org Total]]</f>
        <v>0.66666666666666663</v>
      </c>
      <c r="AP84" s="313">
        <v>12284</v>
      </c>
      <c r="AQ84" s="313">
        <v>2454</v>
      </c>
      <c r="AR84" s="312">
        <f>Table8[[#This Row],[Alcanzados Oct 2025]]/Table8[[#This Row],[Meta 2025]]</f>
        <v>0.19977206121784435</v>
      </c>
      <c r="AS84" s="423">
        <v>0</v>
      </c>
      <c r="AT84" s="423">
        <v>188</v>
      </c>
      <c r="AU84" s="423">
        <v>0</v>
      </c>
      <c r="AV84" s="423">
        <v>63</v>
      </c>
      <c r="AW84" s="423">
        <v>294</v>
      </c>
      <c r="AX84" s="423">
        <v>0</v>
      </c>
      <c r="AY84" s="423">
        <v>147</v>
      </c>
      <c r="AZ84" s="423">
        <v>221</v>
      </c>
      <c r="BA84" s="42">
        <v>2454</v>
      </c>
    </row>
    <row r="85" spans="1:53">
      <c r="A85" t="s">
        <v>119</v>
      </c>
      <c r="B85" t="s">
        <v>120</v>
      </c>
      <c r="C85" t="s">
        <v>811</v>
      </c>
      <c r="D85" t="s">
        <v>150</v>
      </c>
      <c r="E85" s="8">
        <v>78118</v>
      </c>
      <c r="F85" s="8">
        <v>15460</v>
      </c>
      <c r="G85" s="8">
        <v>2344.6864669370925</v>
      </c>
      <c r="H85" s="8">
        <v>28513.07</v>
      </c>
      <c r="I85" s="8">
        <v>6144.3072028704237</v>
      </c>
      <c r="J85" s="8">
        <v>15537.62981376378</v>
      </c>
      <c r="K85" s="8">
        <v>5272.9649999999992</v>
      </c>
      <c r="L85" s="8">
        <v>4972.0415404044097</v>
      </c>
      <c r="M85" s="8">
        <v>5438.1704348173234</v>
      </c>
      <c r="N85" s="6" cm="1">
        <f t="array" ref="N85">_xlfn.XLOOKUP(Table8[[#This Row],[Admin2PCODE]:[Admin2PCODE]],tblPiNAnalysis[[Admin2PCODE]:[Admin2PCODE]],tblPiNAnalysis[% SAMV],0,0)</f>
        <v>0.2</v>
      </c>
      <c r="O85" s="6" cm="1">
        <f t="array" ref="O85">_xlfn.XLOOKUP(Table8[[#This Row],[Admin2PCODE]:[Admin2PCODE]],tblPiNAnalysis[[Admin2PCODE]:[Admin2PCODE]],tblPiNAnalysis[% NUT],0,0)</f>
        <v>0.05</v>
      </c>
      <c r="P85" s="6" cm="1">
        <f t="array" ref="P85">_xlfn.XLOOKUP(Table8[[#This Row],[Admin2PCODE]:[Admin2PCODE]],tblPiNAnalysis[[Admin2PCODE]:[Admin2PCODE]],tblPiNAnalysis[% SAL],0,0)</f>
        <v>0.35000000000000003</v>
      </c>
      <c r="Q85" s="6" cm="1">
        <f t="array" ref="Q85">_xlfn.XLOOKUP(Table8[[#This Row],[Admin2PCODE]:[Admin2PCODE]],tblPiNAnalysis[[Admin2PCODE]:[Admin2PCODE]],tblPiNAnalysis[% EDU],0,0)</f>
        <v>0.1</v>
      </c>
      <c r="R85" s="6" cm="1">
        <f t="array" ref="R85">_xlfn.XLOOKUP(Table8[[#This Row],[Admin2PCODE]:[Admin2PCODE]],tblPiNAnalysis[[Admin2PCODE]:[Admin2PCODE]],tblPiNAnalysis[% PRO],0,0)</f>
        <v>0.2</v>
      </c>
      <c r="S85" s="6" cm="1">
        <f t="array" ref="S85">_xlfn.XLOOKUP(Table8[[#This Row],[Admin2PCODE]:[Admin2PCODE]],tblPiNAnalysis[[Admin2PCODE]:[Admin2PCODE]],tblPiNAnalysis[% WASH],0,0)</f>
        <v>0.05</v>
      </c>
      <c r="T85" s="6" cm="1">
        <f t="array" ref="T85">_xlfn.XLOOKUP(Table8[[#This Row],[Admin2PCODE]:[Admin2PCODE]],tblPiNAnalysis[[Admin2PCODE]:[Admin2PCODE]],tblPiNAnalysis[% NNA],0,0)</f>
        <v>0.05</v>
      </c>
      <c r="U85" s="6" cm="1">
        <f t="array" ref="U85">_xlfn.XLOOKUP(Table8[[#This Row],[Admin2PCODE]:[Admin2PCODE]],tblPiNAnalysis[[Admin2PCODE]:[Admin2PCODE]],tblPiNAnalysis[% VBG],0,0)</f>
        <v>0.05</v>
      </c>
      <c r="V85" s="8" cm="1">
        <f t="array" ref="V85">_xlfn.XLOOKUP(Table8[[#This Row],[Admin2PCODE]:[Admin2PCODE]],tblPiNAnalysis[[Admin2PCODE]:[Admin2PCODE]],tblPiNAnalysis[PiN preliminar],0,0)</f>
        <v>28513.07</v>
      </c>
      <c r="W85" s="308" cm="1">
        <f t="array" ref="W85">_xlfn.XLOOKUP(Table8[[#This Row],[Admin2PCODE]],tblPiNAnalysis[Admin2PCODE],tblSeverityAnalysis[Severidad media],0,0)</f>
        <v>3.6666666666666665</v>
      </c>
      <c r="X85" s="42">
        <f>Table8[[#This Row],[Severidad media]]*6</f>
        <v>22</v>
      </c>
      <c r="Y85" s="6" cm="1">
        <f t="array" ref="Y85">_xlfn.XLOOKUP(Table8[[#This Row],[Admin2PCODE]],tblPiNAnalysis[Admin2PCODE],tblPiNAnalysis[% PiN Sectores más altos],0,0)</f>
        <v>0.36499999999999999</v>
      </c>
      <c r="Z85" s="42" cm="1">
        <f t="array" ref="Z85">_xlfn.XLOOKUP(Table8[[#This Row],[Admin2PCODE]:[Admin2PCODE]],tblPiNAnalysis[[Admin2PCODE]:[Admin2PCODE]],tblPiNAnalysis[Severidad],0,0)</f>
        <v>3</v>
      </c>
      <c r="AA85">
        <f>_xlfn.XLOOKUP(Table8[[#This Row],[Admin2PCODE]],tblSeverityAnalysis[Admin 2 Código P],tblSeverityAnalysis[Severidad Ttotal 2025],0,0)</f>
        <v>3</v>
      </c>
      <c r="AB85" t="str">
        <f>_xlfn.XLOOKUP(Table8[[#This Row],[Admin2PCODE]],tblSeverityAnalysis[Admin 2 Código P],tblSeverityAnalysis[Priorización Final 2025],0,0)</f>
        <v>No</v>
      </c>
      <c r="AC85">
        <v>3</v>
      </c>
      <c r="AD85" t="s">
        <v>1011</v>
      </c>
      <c r="AE85">
        <v>5</v>
      </c>
      <c r="AF85">
        <v>0</v>
      </c>
      <c r="AG85">
        <v>0</v>
      </c>
      <c r="AH85">
        <v>0</v>
      </c>
      <c r="AI85">
        <v>2</v>
      </c>
      <c r="AJ85">
        <v>1</v>
      </c>
      <c r="AK85">
        <v>0</v>
      </c>
      <c r="AL85">
        <v>0</v>
      </c>
      <c r="AM85">
        <v>0</v>
      </c>
      <c r="AN85">
        <v>2</v>
      </c>
      <c r="AO85" s="314">
        <f>Table8[[#This Row],[N° Clústeres con respuesta]]/Table8[[#This Row],[Org Total]]</f>
        <v>0.6</v>
      </c>
      <c r="AP85" s="313">
        <v>12835</v>
      </c>
      <c r="AQ85" s="313">
        <v>760</v>
      </c>
      <c r="AR85" s="312">
        <f>Table8[[#This Row],[Alcanzados Oct 2025]]/Table8[[#This Row],[Meta 2025]]</f>
        <v>5.921308920919361E-2</v>
      </c>
      <c r="AS85" s="423">
        <v>0</v>
      </c>
      <c r="AT85" s="423">
        <v>0</v>
      </c>
      <c r="AU85" s="423">
        <v>0</v>
      </c>
      <c r="AV85" s="423">
        <v>261</v>
      </c>
      <c r="AW85" s="423">
        <v>95</v>
      </c>
      <c r="AX85" s="423">
        <v>0</v>
      </c>
      <c r="AY85" s="423">
        <v>0</v>
      </c>
      <c r="AZ85" s="423">
        <v>0</v>
      </c>
      <c r="BA85" s="42">
        <v>760</v>
      </c>
    </row>
    <row r="86" spans="1:53">
      <c r="A86" t="s">
        <v>119</v>
      </c>
      <c r="B86" t="s">
        <v>120</v>
      </c>
      <c r="C86" t="s">
        <v>827</v>
      </c>
      <c r="D86" t="s">
        <v>152</v>
      </c>
      <c r="E86" s="8">
        <v>9257</v>
      </c>
      <c r="F86" s="8">
        <v>4011</v>
      </c>
      <c r="G86" s="8">
        <v>333.36352493202162</v>
      </c>
      <c r="H86" s="8">
        <v>3378.8049999999998</v>
      </c>
      <c r="I86" s="8">
        <v>1205.5446487473928</v>
      </c>
      <c r="J86" s="8">
        <v>1104.7275085333315</v>
      </c>
      <c r="K86" s="8">
        <v>0</v>
      </c>
      <c r="L86" s="8">
        <v>353.51280273066607</v>
      </c>
      <c r="M86" s="8">
        <v>386.65462798666601</v>
      </c>
      <c r="N86" s="6" cm="1">
        <f t="array" ref="N86">_xlfn.XLOOKUP(Table8[[#This Row],[Admin2PCODE]:[Admin2PCODE]],tblPiNAnalysis[[Admin2PCODE]:[Admin2PCODE]],tblPiNAnalysis[% SAMV],0,0)</f>
        <v>0.45</v>
      </c>
      <c r="O86" s="6" cm="1">
        <f t="array" ref="O86">_xlfn.XLOOKUP(Table8[[#This Row],[Admin2PCODE]:[Admin2PCODE]],tblPiNAnalysis[[Admin2PCODE]:[Admin2PCODE]],tblPiNAnalysis[% NUT],0,0)</f>
        <v>0.05</v>
      </c>
      <c r="P86" s="6" cm="1">
        <f t="array" ref="P86">_xlfn.XLOOKUP(Table8[[#This Row],[Admin2PCODE]:[Admin2PCODE]],tblPiNAnalysis[[Admin2PCODE]:[Admin2PCODE]],tblPiNAnalysis[% SAL],0,0)</f>
        <v>0.35000000000000003</v>
      </c>
      <c r="Q86" s="6" cm="1">
        <f t="array" ref="Q86">_xlfn.XLOOKUP(Table8[[#This Row],[Admin2PCODE]:[Admin2PCODE]],tblPiNAnalysis[[Admin2PCODE]:[Admin2PCODE]],tblPiNAnalysis[% EDU],0,0)</f>
        <v>0.15000000000000002</v>
      </c>
      <c r="R86" s="6" cm="1">
        <f t="array" ref="R86">_xlfn.XLOOKUP(Table8[[#This Row],[Admin2PCODE]:[Admin2PCODE]],tblPiNAnalysis[[Admin2PCODE]:[Admin2PCODE]],tblPiNAnalysis[% PRO],0,0)</f>
        <v>0.1</v>
      </c>
      <c r="S86" s="6" cm="1">
        <f t="array" ref="S86">_xlfn.XLOOKUP(Table8[[#This Row],[Admin2PCODE]:[Admin2PCODE]],tblPiNAnalysis[[Admin2PCODE]:[Admin2PCODE]],tblPiNAnalysis[% WASH],0,0)</f>
        <v>0</v>
      </c>
      <c r="T86" s="6" cm="1">
        <f t="array" ref="T86">_xlfn.XLOOKUP(Table8[[#This Row],[Admin2PCODE]:[Admin2PCODE]],tblPiNAnalysis[[Admin2PCODE]:[Admin2PCODE]],tblPiNAnalysis[% NNA],0,0)</f>
        <v>0.05</v>
      </c>
      <c r="U86" s="6" cm="1">
        <f t="array" ref="U86">_xlfn.XLOOKUP(Table8[[#This Row],[Admin2PCODE]:[Admin2PCODE]],tblPiNAnalysis[[Admin2PCODE]:[Admin2PCODE]],tblPiNAnalysis[% VBG],0,0)</f>
        <v>0.05</v>
      </c>
      <c r="V86" s="8" cm="1">
        <f t="array" ref="V86">_xlfn.XLOOKUP(Table8[[#This Row],[Admin2PCODE]:[Admin2PCODE]],tblPiNAnalysis[[Admin2PCODE]:[Admin2PCODE]],tblPiNAnalysis[PiN preliminar],0,0)</f>
        <v>0</v>
      </c>
      <c r="W86" s="308" cm="1">
        <f t="array" ref="W86">_xlfn.XLOOKUP(Table8[[#This Row],[Admin2PCODE]],tblPiNAnalysis[Admin2PCODE],tblSeverityAnalysis[Severidad media],0,0)</f>
        <v>2.6666666666666665</v>
      </c>
      <c r="X86" s="42">
        <f>Table8[[#This Row],[Severidad media]]*6</f>
        <v>16</v>
      </c>
      <c r="Y86" s="6" cm="1">
        <f t="array" ref="Y86">_xlfn.XLOOKUP(Table8[[#This Row],[Admin2PCODE]],tblPiNAnalysis[Admin2PCODE],tblPiNAnalysis[% PiN Sectores más altos],0,0)</f>
        <v>0.43329372366857516</v>
      </c>
      <c r="Z86" s="42" cm="1">
        <f t="array" ref="Z86">_xlfn.XLOOKUP(Table8[[#This Row],[Admin2PCODE]:[Admin2PCODE]],tblPiNAnalysis[[Admin2PCODE]:[Admin2PCODE]],tblPiNAnalysis[Severidad],0,0)</f>
        <v>2</v>
      </c>
      <c r="AA86">
        <f>_xlfn.XLOOKUP(Table8[[#This Row],[Admin2PCODE]],tblSeverityAnalysis[Admin 2 Código P],tblSeverityAnalysis[Severidad Ttotal 2025],0,0)</f>
        <v>3</v>
      </c>
      <c r="AB86" t="str">
        <f>_xlfn.XLOOKUP(Table8[[#This Row],[Admin2PCODE]],tblSeverityAnalysis[Admin 2 Código P],tblSeverityAnalysis[Priorización Final 2025],0,0)</f>
        <v>No</v>
      </c>
      <c r="AC86">
        <v>3</v>
      </c>
      <c r="AD86" t="s">
        <v>1012</v>
      </c>
      <c r="AE86">
        <v>4</v>
      </c>
      <c r="AF86">
        <v>0</v>
      </c>
      <c r="AG86">
        <v>0</v>
      </c>
      <c r="AH86">
        <v>0</v>
      </c>
      <c r="AI86">
        <v>0</v>
      </c>
      <c r="AJ86">
        <v>1</v>
      </c>
      <c r="AK86">
        <v>0</v>
      </c>
      <c r="AL86">
        <v>0</v>
      </c>
      <c r="AM86">
        <v>1</v>
      </c>
      <c r="AN86">
        <v>2</v>
      </c>
      <c r="AO86" s="314">
        <f>Table8[[#This Row],[N° Clústeres con respuesta]]/Table8[[#This Row],[Org Total]]</f>
        <v>0.75</v>
      </c>
      <c r="AP86" s="313">
        <v>2075</v>
      </c>
      <c r="AQ86" s="313">
        <v>644</v>
      </c>
      <c r="AR86" s="312">
        <f>Table8[[#This Row],[Alcanzados Oct 2025]]/Table8[[#This Row],[Meta 2025]]</f>
        <v>0.31036144578313252</v>
      </c>
      <c r="AS86" s="423">
        <v>0</v>
      </c>
      <c r="AT86" s="423">
        <v>0</v>
      </c>
      <c r="AU86" s="423">
        <v>0</v>
      </c>
      <c r="AV86" s="423">
        <v>0</v>
      </c>
      <c r="AW86" s="423">
        <v>2</v>
      </c>
      <c r="AX86" s="423">
        <v>0</v>
      </c>
      <c r="AY86" s="423">
        <v>0</v>
      </c>
      <c r="AZ86" s="423">
        <v>349</v>
      </c>
      <c r="BA86" s="42">
        <v>484</v>
      </c>
    </row>
    <row r="87" spans="1:53">
      <c r="A87" t="s">
        <v>119</v>
      </c>
      <c r="B87" t="s">
        <v>120</v>
      </c>
      <c r="C87" t="s">
        <v>153</v>
      </c>
      <c r="D87" t="s">
        <v>154</v>
      </c>
      <c r="E87" s="8">
        <v>9843</v>
      </c>
      <c r="F87" s="8">
        <v>2691</v>
      </c>
      <c r="G87" s="8">
        <v>289.39969787671231</v>
      </c>
      <c r="H87" s="8">
        <v>3592.6950000000002</v>
      </c>
      <c r="I87" s="8">
        <v>1239.8085489569057</v>
      </c>
      <c r="J87" s="8">
        <v>1174.6605667595963</v>
      </c>
      <c r="K87" s="8">
        <v>5905.8</v>
      </c>
      <c r="L87" s="8">
        <v>377.06604192983042</v>
      </c>
      <c r="M87" s="8">
        <v>411.13119836585867</v>
      </c>
      <c r="N87" s="6" cm="1">
        <f t="array" ref="N87">_xlfn.XLOOKUP(Table8[[#This Row],[Admin2PCODE]:[Admin2PCODE]],tblPiNAnalysis[[Admin2PCODE]:[Admin2PCODE]],tblPiNAnalysis[% SAMV],0,0)</f>
        <v>0.25</v>
      </c>
      <c r="O87" s="6" cm="1">
        <f t="array" ref="O87">_xlfn.XLOOKUP(Table8[[#This Row],[Admin2PCODE]:[Admin2PCODE]],tblPiNAnalysis[[Admin2PCODE]:[Admin2PCODE]],tblPiNAnalysis[% NUT],0,0)</f>
        <v>0.05</v>
      </c>
      <c r="P87" s="6" cm="1">
        <f t="array" ref="P87">_xlfn.XLOOKUP(Table8[[#This Row],[Admin2PCODE]:[Admin2PCODE]],tblPiNAnalysis[[Admin2PCODE]:[Admin2PCODE]],tblPiNAnalysis[% SAL],0,0)</f>
        <v>0.35000000000000003</v>
      </c>
      <c r="Q87" s="6" cm="1">
        <f t="array" ref="Q87">_xlfn.XLOOKUP(Table8[[#This Row],[Admin2PCODE]:[Admin2PCODE]],tblPiNAnalysis[[Admin2PCODE]:[Admin2PCODE]],tblPiNAnalysis[% EDU],0,0)</f>
        <v>0.15000000000000002</v>
      </c>
      <c r="R87" s="6" cm="1">
        <f t="array" ref="R87">_xlfn.XLOOKUP(Table8[[#This Row],[Admin2PCODE]:[Admin2PCODE]],tblPiNAnalysis[[Admin2PCODE]:[Admin2PCODE]],tblPiNAnalysis[% PRO],0,0)</f>
        <v>0.1</v>
      </c>
      <c r="S87" s="6" cm="1">
        <f t="array" ref="S87">_xlfn.XLOOKUP(Table8[[#This Row],[Admin2PCODE]:[Admin2PCODE]],tblPiNAnalysis[[Admin2PCODE]:[Admin2PCODE]],tblPiNAnalysis[% WASH],0,0)</f>
        <v>0.60000000000000009</v>
      </c>
      <c r="T87" s="6" cm="1">
        <f t="array" ref="T87">_xlfn.XLOOKUP(Table8[[#This Row],[Admin2PCODE]:[Admin2PCODE]],tblPiNAnalysis[[Admin2PCODE]:[Admin2PCODE]],tblPiNAnalysis[% NNA],0,0)</f>
        <v>0.05</v>
      </c>
      <c r="U87" s="6" cm="1">
        <f t="array" ref="U87">_xlfn.XLOOKUP(Table8[[#This Row],[Admin2PCODE]:[Admin2PCODE]],tblPiNAnalysis[[Admin2PCODE]:[Admin2PCODE]],tblPiNAnalysis[% VBG],0,0)</f>
        <v>0.05</v>
      </c>
      <c r="V87" s="8" cm="1">
        <f t="array" ref="V87">_xlfn.XLOOKUP(Table8[[#This Row],[Admin2PCODE]:[Admin2PCODE]],tblPiNAnalysis[[Admin2PCODE]:[Admin2PCODE]],tblPiNAnalysis[PiN preliminar],0,0)</f>
        <v>5905.8</v>
      </c>
      <c r="W87" s="308" cm="1">
        <f t="array" ref="W87">_xlfn.XLOOKUP(Table8[[#This Row],[Admin2PCODE]],tblPiNAnalysis[Admin2PCODE],tblSeverityAnalysis[Severidad media],0,0)</f>
        <v>2.8333333333333335</v>
      </c>
      <c r="X87" s="42">
        <f>Table8[[#This Row],[Severidad media]]*6</f>
        <v>17</v>
      </c>
      <c r="Y87" s="6" cm="1">
        <f t="array" ref="Y87">_xlfn.XLOOKUP(Table8[[#This Row],[Admin2PCODE]],tblPiNAnalysis[Admin2PCODE],tblPiNAnalysis[% PiN Sectores más altos],0,0)</f>
        <v>0.6</v>
      </c>
      <c r="Z87" s="42" cm="1">
        <f t="array" ref="Z87">_xlfn.XLOOKUP(Table8[[#This Row],[Admin2PCODE]:[Admin2PCODE]],tblPiNAnalysis[[Admin2PCODE]:[Admin2PCODE]],tblPiNAnalysis[Severidad],0,0)</f>
        <v>3</v>
      </c>
      <c r="AA87">
        <f>_xlfn.XLOOKUP(Table8[[#This Row],[Admin2PCODE]],tblSeverityAnalysis[Admin 2 Código P],tblSeverityAnalysis[Severidad Ttotal 2025],0,0)</f>
        <v>3</v>
      </c>
      <c r="AB87" t="str">
        <f>_xlfn.XLOOKUP(Table8[[#This Row],[Admin2PCODE]],tblSeverityAnalysis[Admin 2 Código P],tblSeverityAnalysis[Priorización Final 2025],0,0)</f>
        <v>No</v>
      </c>
      <c r="AC87">
        <v>3</v>
      </c>
      <c r="AD87" t="s">
        <v>969</v>
      </c>
      <c r="AE87">
        <v>3</v>
      </c>
      <c r="AF87">
        <v>0</v>
      </c>
      <c r="AG87">
        <v>0</v>
      </c>
      <c r="AH87">
        <v>0</v>
      </c>
      <c r="AI87">
        <v>0</v>
      </c>
      <c r="AJ87">
        <v>1</v>
      </c>
      <c r="AK87">
        <v>0</v>
      </c>
      <c r="AL87">
        <v>1</v>
      </c>
      <c r="AM87">
        <v>0</v>
      </c>
      <c r="AN87">
        <v>2</v>
      </c>
      <c r="AO87" s="314">
        <f>Table8[[#This Row],[N° Clústeres con respuesta]]/Table8[[#This Row],[Org Total]]</f>
        <v>1</v>
      </c>
      <c r="AP87" s="313">
        <v>2300</v>
      </c>
      <c r="AQ87" s="313">
        <v>408</v>
      </c>
      <c r="AR87" s="312">
        <f>Table8[[#This Row],[Alcanzados Oct 2025]]/Table8[[#This Row],[Meta 2025]]</f>
        <v>0.17739130434782607</v>
      </c>
      <c r="AS87" s="423">
        <v>0</v>
      </c>
      <c r="AT87" s="423">
        <v>0</v>
      </c>
      <c r="AU87" s="423">
        <v>0</v>
      </c>
      <c r="AV87" s="423">
        <v>0</v>
      </c>
      <c r="AW87" s="423">
        <v>3</v>
      </c>
      <c r="AX87" s="423">
        <v>0</v>
      </c>
      <c r="AY87" s="423">
        <v>3</v>
      </c>
      <c r="AZ87" s="423">
        <v>0</v>
      </c>
      <c r="BA87" s="42">
        <v>408</v>
      </c>
    </row>
    <row r="88" spans="1:53">
      <c r="A88" t="s">
        <v>119</v>
      </c>
      <c r="B88" t="s">
        <v>120</v>
      </c>
      <c r="C88" t="s">
        <v>155</v>
      </c>
      <c r="D88" t="s">
        <v>156</v>
      </c>
      <c r="E88" s="8">
        <v>430938</v>
      </c>
      <c r="F88" s="8">
        <v>102118</v>
      </c>
      <c r="G88" s="8">
        <v>15306.587667368825</v>
      </c>
      <c r="H88" s="8">
        <v>157292.37</v>
      </c>
      <c r="I88" s="8">
        <v>47018.271789925355</v>
      </c>
      <c r="J88" s="8">
        <v>102856.01449116059</v>
      </c>
      <c r="K88" s="8">
        <v>258562.8</v>
      </c>
      <c r="L88" s="8">
        <v>32913.924637171389</v>
      </c>
      <c r="M88" s="8">
        <v>35999.605071906204</v>
      </c>
      <c r="N88" s="6" cm="1">
        <f t="array" ref="N88">_xlfn.XLOOKUP(Table8[[#This Row],[Admin2PCODE]:[Admin2PCODE]],tblPiNAnalysis[[Admin2PCODE]:[Admin2PCODE]],tblPiNAnalysis[% SAMV],0,0)</f>
        <v>0.25</v>
      </c>
      <c r="O88" s="6" cm="1">
        <f t="array" ref="O88">_xlfn.XLOOKUP(Table8[[#This Row],[Admin2PCODE]:[Admin2PCODE]],tblPiNAnalysis[[Admin2PCODE]:[Admin2PCODE]],tblPiNAnalysis[% NUT],0,0)</f>
        <v>0.05</v>
      </c>
      <c r="P88" s="6" cm="1">
        <f t="array" ref="P88">_xlfn.XLOOKUP(Table8[[#This Row],[Admin2PCODE]:[Admin2PCODE]],tblPiNAnalysis[[Admin2PCODE]:[Admin2PCODE]],tblPiNAnalysis[% SAL],0,0)</f>
        <v>0.35000000000000003</v>
      </c>
      <c r="Q88" s="6" cm="1">
        <f t="array" ref="Q88">_xlfn.XLOOKUP(Table8[[#This Row],[Admin2PCODE]:[Admin2PCODE]],tblPiNAnalysis[[Admin2PCODE]:[Admin2PCODE]],tblPiNAnalysis[% EDU],0,0)</f>
        <v>0.1</v>
      </c>
      <c r="R88" s="6" cm="1">
        <f t="array" ref="R88">_xlfn.XLOOKUP(Table8[[#This Row],[Admin2PCODE]:[Admin2PCODE]],tblPiNAnalysis[[Admin2PCODE]:[Admin2PCODE]],tblPiNAnalysis[% PRO],0,0)</f>
        <v>0.25</v>
      </c>
      <c r="S88" s="6" cm="1">
        <f t="array" ref="S88">_xlfn.XLOOKUP(Table8[[#This Row],[Admin2PCODE]:[Admin2PCODE]],tblPiNAnalysis[[Admin2PCODE]:[Admin2PCODE]],tblPiNAnalysis[% WASH],0,0)</f>
        <v>0.60000000000000009</v>
      </c>
      <c r="T88" s="6" cm="1">
        <f t="array" ref="T88">_xlfn.XLOOKUP(Table8[[#This Row],[Admin2PCODE]:[Admin2PCODE]],tblPiNAnalysis[[Admin2PCODE]:[Admin2PCODE]],tblPiNAnalysis[% NNA],0,0)</f>
        <v>0.1</v>
      </c>
      <c r="U88" s="6" cm="1">
        <f t="array" ref="U88">_xlfn.XLOOKUP(Table8[[#This Row],[Admin2PCODE]:[Admin2PCODE]],tblPiNAnalysis[[Admin2PCODE]:[Admin2PCODE]],tblPiNAnalysis[% VBG],0,0)</f>
        <v>0.1</v>
      </c>
      <c r="V88" s="8" cm="1">
        <f t="array" ref="V88">_xlfn.XLOOKUP(Table8[[#This Row],[Admin2PCODE]:[Admin2PCODE]],tblPiNAnalysis[[Admin2PCODE]:[Admin2PCODE]],tblPiNAnalysis[PiN preliminar],0,0)</f>
        <v>258562.8</v>
      </c>
      <c r="W88" s="308" cm="1">
        <f t="array" ref="W88">_xlfn.XLOOKUP(Table8[[#This Row],[Admin2PCODE]],tblPiNAnalysis[Admin2PCODE],tblSeverityAnalysis[Severidad media],0,0)</f>
        <v>3.5</v>
      </c>
      <c r="X88" s="42">
        <f>Table8[[#This Row],[Severidad media]]*6</f>
        <v>21</v>
      </c>
      <c r="Y88" s="6" cm="1">
        <f t="array" ref="Y88">_xlfn.XLOOKUP(Table8[[#This Row],[Admin2PCODE]],tblPiNAnalysis[Admin2PCODE],tblPiNAnalysis[% PiN Sectores más altos],0,0)</f>
        <v>0.6</v>
      </c>
      <c r="Z88" s="42" cm="1">
        <f t="array" ref="Z88">_xlfn.XLOOKUP(Table8[[#This Row],[Admin2PCODE]:[Admin2PCODE]],tblPiNAnalysis[[Admin2PCODE]:[Admin2PCODE]],tblPiNAnalysis[Severidad],0,0)</f>
        <v>3</v>
      </c>
      <c r="AA88">
        <f>_xlfn.XLOOKUP(Table8[[#This Row],[Admin2PCODE]],tblSeverityAnalysis[Admin 2 Código P],tblSeverityAnalysis[Severidad Ttotal 2025],0,0)</f>
        <v>3</v>
      </c>
      <c r="AB88" t="str">
        <f>_xlfn.XLOOKUP(Table8[[#This Row],[Admin2PCODE]],tblSeverityAnalysis[Admin 2 Código P],tblSeverityAnalysis[Priorización Final 2025],0,0)</f>
        <v>No</v>
      </c>
      <c r="AC88">
        <v>7</v>
      </c>
      <c r="AD88" t="s">
        <v>1013</v>
      </c>
      <c r="AE88">
        <v>19</v>
      </c>
      <c r="AF88">
        <v>0</v>
      </c>
      <c r="AG88">
        <v>5</v>
      </c>
      <c r="AH88">
        <v>2</v>
      </c>
      <c r="AI88">
        <v>6</v>
      </c>
      <c r="AJ88">
        <v>10</v>
      </c>
      <c r="AK88">
        <v>0</v>
      </c>
      <c r="AL88">
        <v>6</v>
      </c>
      <c r="AM88">
        <v>4</v>
      </c>
      <c r="AN88">
        <v>5</v>
      </c>
      <c r="AO88" s="314">
        <f>Table8[[#This Row],[N° Clústeres con respuesta]]/Table8[[#This Row],[Org Total]]</f>
        <v>0.36842105263157893</v>
      </c>
      <c r="AP88" s="313">
        <v>70797</v>
      </c>
      <c r="AQ88" s="313">
        <v>23863</v>
      </c>
      <c r="AR88" s="312">
        <f>Table8[[#This Row],[Alcanzados Oct 2025]]/Table8[[#This Row],[Meta 2025]]</f>
        <v>0.33706230489992511</v>
      </c>
      <c r="AS88" s="423">
        <v>0</v>
      </c>
      <c r="AT88" s="423">
        <v>6077</v>
      </c>
      <c r="AU88" s="423">
        <v>1006</v>
      </c>
      <c r="AV88" s="423">
        <v>2877</v>
      </c>
      <c r="AW88" s="423">
        <v>120</v>
      </c>
      <c r="AX88" s="423">
        <v>0</v>
      </c>
      <c r="AY88" s="423">
        <v>7422</v>
      </c>
      <c r="AZ88" s="423">
        <v>3627</v>
      </c>
      <c r="BA88" s="42">
        <v>21583</v>
      </c>
    </row>
    <row r="89" spans="1:53">
      <c r="A89" t="s">
        <v>119</v>
      </c>
      <c r="B89" t="s">
        <v>120</v>
      </c>
      <c r="C89" t="s">
        <v>157</v>
      </c>
      <c r="D89" t="s">
        <v>158</v>
      </c>
      <c r="E89" s="8">
        <v>186595</v>
      </c>
      <c r="F89" s="8">
        <v>49834</v>
      </c>
      <c r="G89" s="8">
        <v>6347.9932718436048</v>
      </c>
      <c r="H89" s="8">
        <v>68107.175000000003</v>
      </c>
      <c r="I89" s="8">
        <v>21566.181098022618</v>
      </c>
      <c r="J89" s="8">
        <v>37113.649032223722</v>
      </c>
      <c r="K89" s="8">
        <v>0</v>
      </c>
      <c r="L89" s="8">
        <v>11876.367690311592</v>
      </c>
      <c r="M89" s="8">
        <v>12989.777161278302</v>
      </c>
      <c r="N89" s="6" cm="1">
        <f t="array" ref="N89">_xlfn.XLOOKUP(Table8[[#This Row],[Admin2PCODE]:[Admin2PCODE]],tblPiNAnalysis[[Admin2PCODE]:[Admin2PCODE]],tblPiNAnalysis[% SAMV],0,0)</f>
        <v>0.25</v>
      </c>
      <c r="O89" s="6" cm="1">
        <f t="array" ref="O89">_xlfn.XLOOKUP(Table8[[#This Row],[Admin2PCODE]:[Admin2PCODE]],tblPiNAnalysis[[Admin2PCODE]:[Admin2PCODE]],tblPiNAnalysis[% NUT],0,0)</f>
        <v>0.05</v>
      </c>
      <c r="P89" s="6" cm="1">
        <f t="array" ref="P89">_xlfn.XLOOKUP(Table8[[#This Row],[Admin2PCODE]:[Admin2PCODE]],tblPiNAnalysis[[Admin2PCODE]:[Admin2PCODE]],tblPiNAnalysis[% SAL],0,0)</f>
        <v>0.35000000000000003</v>
      </c>
      <c r="Q89" s="6" cm="1">
        <f t="array" ref="Q89">_xlfn.XLOOKUP(Table8[[#This Row],[Admin2PCODE]:[Admin2PCODE]],tblPiNAnalysis[[Admin2PCODE]:[Admin2PCODE]],tblPiNAnalysis[% EDU],0,0)</f>
        <v>0.1</v>
      </c>
      <c r="R89" s="6" cm="1">
        <f t="array" ref="R89">_xlfn.XLOOKUP(Table8[[#This Row],[Admin2PCODE]:[Admin2PCODE]],tblPiNAnalysis[[Admin2PCODE]:[Admin2PCODE]],tblPiNAnalysis[% PRO],0,0)</f>
        <v>0.2</v>
      </c>
      <c r="S89" s="6" cm="1">
        <f t="array" ref="S89">_xlfn.XLOOKUP(Table8[[#This Row],[Admin2PCODE]:[Admin2PCODE]],tblPiNAnalysis[[Admin2PCODE]:[Admin2PCODE]],tblPiNAnalysis[% WASH],0,0)</f>
        <v>0</v>
      </c>
      <c r="T89" s="6" cm="1">
        <f t="array" ref="T89">_xlfn.XLOOKUP(Table8[[#This Row],[Admin2PCODE]:[Admin2PCODE]],tblPiNAnalysis[[Admin2PCODE]:[Admin2PCODE]],tblPiNAnalysis[% NNA],0,0)</f>
        <v>0.05</v>
      </c>
      <c r="U89" s="6" cm="1">
        <f t="array" ref="U89">_xlfn.XLOOKUP(Table8[[#This Row],[Admin2PCODE]:[Admin2PCODE]],tblPiNAnalysis[[Admin2PCODE]:[Admin2PCODE]],tblPiNAnalysis[% VBG],0,0)</f>
        <v>0.05</v>
      </c>
      <c r="V89" s="8" cm="1">
        <f t="array" ref="V89">_xlfn.XLOOKUP(Table8[[#This Row],[Admin2PCODE]:[Admin2PCODE]],tblPiNAnalysis[[Admin2PCODE]:[Admin2PCODE]],tblPiNAnalysis[PiN preliminar],0,0)</f>
        <v>68107.175000000003</v>
      </c>
      <c r="W89" s="308" cm="1">
        <f t="array" ref="W89">_xlfn.XLOOKUP(Table8[[#This Row],[Admin2PCODE]],tblPiNAnalysis[Admin2PCODE],tblSeverityAnalysis[Severidad media],0,0)</f>
        <v>3.8333333333333335</v>
      </c>
      <c r="X89" s="42">
        <f>Table8[[#This Row],[Severidad media]]*6</f>
        <v>23</v>
      </c>
      <c r="Y89" s="6" cm="1">
        <f t="array" ref="Y89">_xlfn.XLOOKUP(Table8[[#This Row],[Admin2PCODE]],tblPiNAnalysis[Admin2PCODE],tblPiNAnalysis[% PiN Sectores más altos],0,0)</f>
        <v>0.36499999999999999</v>
      </c>
      <c r="Z89" s="42" cm="1">
        <f t="array" ref="Z89">_xlfn.XLOOKUP(Table8[[#This Row],[Admin2PCODE]:[Admin2PCODE]],tblPiNAnalysis[[Admin2PCODE]:[Admin2PCODE]],tblPiNAnalysis[Severidad],0,0)</f>
        <v>3</v>
      </c>
      <c r="AA89">
        <f>_xlfn.XLOOKUP(Table8[[#This Row],[Admin2PCODE]],tblSeverityAnalysis[Admin 2 Código P],tblSeverityAnalysis[Severidad Ttotal 2025],0,0)</f>
        <v>3</v>
      </c>
      <c r="AB89" t="str">
        <f>_xlfn.XLOOKUP(Table8[[#This Row],[Admin2PCODE]],tblSeverityAnalysis[Admin 2 Código P],tblSeverityAnalysis[Priorización Final 2025],0,0)</f>
        <v>No</v>
      </c>
      <c r="AC89">
        <v>6</v>
      </c>
      <c r="AD89" t="s">
        <v>1014</v>
      </c>
      <c r="AE89">
        <v>9</v>
      </c>
      <c r="AF89">
        <v>0</v>
      </c>
      <c r="AG89">
        <v>2</v>
      </c>
      <c r="AH89">
        <v>0</v>
      </c>
      <c r="AI89">
        <v>3</v>
      </c>
      <c r="AJ89">
        <v>5</v>
      </c>
      <c r="AK89">
        <v>0</v>
      </c>
      <c r="AL89">
        <v>1</v>
      </c>
      <c r="AM89">
        <v>2</v>
      </c>
      <c r="AN89">
        <v>4</v>
      </c>
      <c r="AO89" s="314">
        <f>Table8[[#This Row],[N° Clústeres con respuesta]]/Table8[[#This Row],[Org Total]]</f>
        <v>0.66666666666666663</v>
      </c>
      <c r="AP89" s="313">
        <v>30655</v>
      </c>
      <c r="AQ89" s="313">
        <v>3041</v>
      </c>
      <c r="AR89" s="312">
        <f>Table8[[#This Row],[Alcanzados Oct 2025]]/Table8[[#This Row],[Meta 2025]]</f>
        <v>9.9200782906540538E-2</v>
      </c>
      <c r="AS89" s="423">
        <v>0</v>
      </c>
      <c r="AT89" s="423">
        <v>701</v>
      </c>
      <c r="AU89" s="423">
        <v>0</v>
      </c>
      <c r="AV89" s="423">
        <v>2456</v>
      </c>
      <c r="AW89" s="423">
        <v>50</v>
      </c>
      <c r="AX89" s="423">
        <v>0</v>
      </c>
      <c r="AY89" s="423">
        <v>8</v>
      </c>
      <c r="AZ89" s="423">
        <v>474</v>
      </c>
      <c r="BA89" s="42">
        <v>2011</v>
      </c>
    </row>
    <row r="90" spans="1:53">
      <c r="A90" t="s">
        <v>119</v>
      </c>
      <c r="B90" t="s">
        <v>120</v>
      </c>
      <c r="C90" t="s">
        <v>816</v>
      </c>
      <c r="D90" t="s">
        <v>162</v>
      </c>
      <c r="E90" s="8">
        <v>38686</v>
      </c>
      <c r="F90" s="8">
        <v>8691</v>
      </c>
      <c r="G90" s="8">
        <v>1033.4588004943298</v>
      </c>
      <c r="H90" s="8">
        <v>14120.39</v>
      </c>
      <c r="I90" s="8">
        <v>5194.9364259822232</v>
      </c>
      <c r="J90" s="8">
        <v>9233.5504796630576</v>
      </c>
      <c r="K90" s="8">
        <v>0</v>
      </c>
      <c r="L90" s="8">
        <v>2954.7361534921783</v>
      </c>
      <c r="M90" s="8">
        <v>3231.7426678820698</v>
      </c>
      <c r="N90" s="6" cm="1">
        <f t="array" ref="N90">_xlfn.XLOOKUP(Table8[[#This Row],[Admin2PCODE]:[Admin2PCODE]],tblPiNAnalysis[[Admin2PCODE]:[Admin2PCODE]],tblPiNAnalysis[% SAMV],0,0)</f>
        <v>0.2</v>
      </c>
      <c r="O90" s="6" cm="1">
        <f t="array" ref="O90">_xlfn.XLOOKUP(Table8[[#This Row],[Admin2PCODE]:[Admin2PCODE]],tblPiNAnalysis[[Admin2PCODE]:[Admin2PCODE]],tblPiNAnalysis[% NUT],0,0)</f>
        <v>0.05</v>
      </c>
      <c r="P90" s="6" cm="1">
        <f t="array" ref="P90">_xlfn.XLOOKUP(Table8[[#This Row],[Admin2PCODE]:[Admin2PCODE]],tblPiNAnalysis[[Admin2PCODE]:[Admin2PCODE]],tblPiNAnalysis[% SAL],0,0)</f>
        <v>0.35000000000000003</v>
      </c>
      <c r="Q90" s="6" cm="1">
        <f t="array" ref="Q90">_xlfn.XLOOKUP(Table8[[#This Row],[Admin2PCODE]:[Admin2PCODE]],tblPiNAnalysis[[Admin2PCODE]:[Admin2PCODE]],tblPiNAnalysis[% EDU],0,0)</f>
        <v>0.15000000000000002</v>
      </c>
      <c r="R90" s="6" cm="1">
        <f t="array" ref="R90">_xlfn.XLOOKUP(Table8[[#This Row],[Admin2PCODE]:[Admin2PCODE]],tblPiNAnalysis[[Admin2PCODE]:[Admin2PCODE]],tblPiNAnalysis[% PRO],0,0)</f>
        <v>0.25</v>
      </c>
      <c r="S90" s="6" cm="1">
        <f t="array" ref="S90">_xlfn.XLOOKUP(Table8[[#This Row],[Admin2PCODE]:[Admin2PCODE]],tblPiNAnalysis[[Admin2PCODE]:[Admin2PCODE]],tblPiNAnalysis[% WASH],0,0)</f>
        <v>0</v>
      </c>
      <c r="T90" s="6" cm="1">
        <f t="array" ref="T90">_xlfn.XLOOKUP(Table8[[#This Row],[Admin2PCODE]:[Admin2PCODE]],tblPiNAnalysis[[Admin2PCODE]:[Admin2PCODE]],tblPiNAnalysis[% NNA],0,0)</f>
        <v>0.1</v>
      </c>
      <c r="U90" s="6" cm="1">
        <f t="array" ref="U90">_xlfn.XLOOKUP(Table8[[#This Row],[Admin2PCODE]:[Admin2PCODE]],tblPiNAnalysis[[Admin2PCODE]:[Admin2PCODE]],tblPiNAnalysis[% VBG],0,0)</f>
        <v>0.1</v>
      </c>
      <c r="V90" s="8" cm="1">
        <f t="array" ref="V90">_xlfn.XLOOKUP(Table8[[#This Row],[Admin2PCODE]:[Admin2PCODE]],tblPiNAnalysis[[Admin2PCODE]:[Admin2PCODE]],tblPiNAnalysis[PiN preliminar],0,0)</f>
        <v>14120.39</v>
      </c>
      <c r="W90" s="308" cm="1">
        <f t="array" ref="W90">_xlfn.XLOOKUP(Table8[[#This Row],[Admin2PCODE]],tblPiNAnalysis[Admin2PCODE],tblSeverityAnalysis[Severidad media],0,0)</f>
        <v>3.1666666666666665</v>
      </c>
      <c r="X90" s="42">
        <f>Table8[[#This Row],[Severidad media]]*6</f>
        <v>19</v>
      </c>
      <c r="Y90" s="6" cm="1">
        <f t="array" ref="Y90">_xlfn.XLOOKUP(Table8[[#This Row],[Admin2PCODE]],tblPiNAnalysis[Admin2PCODE],tblPiNAnalysis[% PiN Sectores más altos],0,0)</f>
        <v>0.36499999999999999</v>
      </c>
      <c r="Z90" s="42" cm="1">
        <f t="array" ref="Z90">_xlfn.XLOOKUP(Table8[[#This Row],[Admin2PCODE]:[Admin2PCODE]],tblPiNAnalysis[[Admin2PCODE]:[Admin2PCODE]],tblPiNAnalysis[Severidad],0,0)</f>
        <v>3</v>
      </c>
      <c r="AA90">
        <f>_xlfn.XLOOKUP(Table8[[#This Row],[Admin2PCODE]],tblSeverityAnalysis[Admin 2 Código P],tblSeverityAnalysis[Severidad Ttotal 2025],0,0)</f>
        <v>3</v>
      </c>
      <c r="AB90" t="str">
        <f>_xlfn.XLOOKUP(Table8[[#This Row],[Admin2PCODE]],tblSeverityAnalysis[Admin 2 Código P],tblSeverityAnalysis[Priorización Final 2025],0,0)</f>
        <v>No</v>
      </c>
      <c r="AC90">
        <v>1</v>
      </c>
      <c r="AD90" t="s">
        <v>94</v>
      </c>
      <c r="AE90">
        <v>1</v>
      </c>
      <c r="AF90">
        <v>0</v>
      </c>
      <c r="AG90">
        <v>0</v>
      </c>
      <c r="AH90">
        <v>0</v>
      </c>
      <c r="AI90">
        <v>0</v>
      </c>
      <c r="AJ90">
        <v>0</v>
      </c>
      <c r="AK90">
        <v>0</v>
      </c>
      <c r="AL90">
        <v>0</v>
      </c>
      <c r="AM90">
        <v>1</v>
      </c>
      <c r="AN90">
        <v>0</v>
      </c>
      <c r="AO90" s="314">
        <f>Table8[[#This Row],[N° Clústeres con respuesta]]/Table8[[#This Row],[Org Total]]</f>
        <v>1</v>
      </c>
      <c r="AP90" s="313">
        <v>8678</v>
      </c>
      <c r="AQ90" s="313">
        <v>0</v>
      </c>
      <c r="AR90" s="312">
        <f>Table8[[#This Row],[Alcanzados Oct 2025]]/Table8[[#This Row],[Meta 2025]]</f>
        <v>0</v>
      </c>
      <c r="AS90" s="423">
        <v>0</v>
      </c>
      <c r="AT90" s="423">
        <v>0</v>
      </c>
      <c r="AU90" s="423">
        <v>0</v>
      </c>
      <c r="AV90" s="423">
        <v>0</v>
      </c>
      <c r="AW90" s="423">
        <v>0</v>
      </c>
      <c r="AX90" s="423">
        <v>0</v>
      </c>
      <c r="AY90" s="423">
        <v>0</v>
      </c>
      <c r="AZ90" s="423">
        <v>0</v>
      </c>
      <c r="BA90" s="42">
        <v>0</v>
      </c>
    </row>
    <row r="91" spans="1:53">
      <c r="A91" t="s">
        <v>123</v>
      </c>
      <c r="B91" t="s">
        <v>179</v>
      </c>
      <c r="C91" t="s">
        <v>180</v>
      </c>
      <c r="D91" t="s">
        <v>181</v>
      </c>
      <c r="E91" s="8">
        <v>38905</v>
      </c>
      <c r="F91" s="8">
        <v>6484</v>
      </c>
      <c r="G91" s="8">
        <v>1249.4776991208244</v>
      </c>
      <c r="H91" s="8">
        <v>14200.325000000001</v>
      </c>
      <c r="I91" s="8">
        <v>4182.1619709896941</v>
      </c>
      <c r="J91" s="8">
        <v>4656.918103490163</v>
      </c>
      <c r="K91" s="8">
        <v>0</v>
      </c>
      <c r="L91" s="8">
        <v>1490.2137931168522</v>
      </c>
      <c r="M91" s="8">
        <v>1629.9213362215569</v>
      </c>
      <c r="N91" s="6" cm="1">
        <f t="array" ref="N91">_xlfn.XLOOKUP(Table8[[#This Row],[Admin2PCODE]:[Admin2PCODE]],tblPiNAnalysis[[Admin2PCODE]:[Admin2PCODE]],tblPiNAnalysis[% SAMV],0,0)</f>
        <v>0.15000000000000002</v>
      </c>
      <c r="O91" s="6" cm="1">
        <f t="array" ref="O91">_xlfn.XLOOKUP(Table8[[#This Row],[Admin2PCODE]:[Admin2PCODE]],tblPiNAnalysis[[Admin2PCODE]:[Admin2PCODE]],tblPiNAnalysis[% NUT],0,0)</f>
        <v>0.05</v>
      </c>
      <c r="P91" s="6" cm="1">
        <f t="array" ref="P91">_xlfn.XLOOKUP(Table8[[#This Row],[Admin2PCODE]:[Admin2PCODE]],tblPiNAnalysis[[Admin2PCODE]:[Admin2PCODE]],tblPiNAnalysis[% SAL],0,0)</f>
        <v>0.35000000000000003</v>
      </c>
      <c r="Q91" s="6" cm="1">
        <f t="array" ref="Q91">_xlfn.XLOOKUP(Table8[[#This Row],[Admin2PCODE]:[Admin2PCODE]],tblPiNAnalysis[[Admin2PCODE]:[Admin2PCODE]],tblPiNAnalysis[% EDU],0,0)</f>
        <v>0.1</v>
      </c>
      <c r="R91" s="6" cm="1">
        <f t="array" ref="R91">_xlfn.XLOOKUP(Table8[[#This Row],[Admin2PCODE]:[Admin2PCODE]],tblPiNAnalysis[[Admin2PCODE]:[Admin2PCODE]],tblPiNAnalysis[% PRO],0,0)</f>
        <v>0.1</v>
      </c>
      <c r="S91" s="6" cm="1">
        <f t="array" ref="S91">_xlfn.XLOOKUP(Table8[[#This Row],[Admin2PCODE]:[Admin2PCODE]],tblPiNAnalysis[[Admin2PCODE]:[Admin2PCODE]],tblPiNAnalysis[% WASH],0,0)</f>
        <v>0</v>
      </c>
      <c r="T91" s="6" cm="1">
        <f t="array" ref="T91">_xlfn.XLOOKUP(Table8[[#This Row],[Admin2PCODE]:[Admin2PCODE]],tblPiNAnalysis[[Admin2PCODE]:[Admin2PCODE]],tblPiNAnalysis[% NNA],0,0)</f>
        <v>0.05</v>
      </c>
      <c r="U91" s="6" cm="1">
        <f t="array" ref="U91">_xlfn.XLOOKUP(Table8[[#This Row],[Admin2PCODE]:[Admin2PCODE]],tblPiNAnalysis[[Admin2PCODE]:[Admin2PCODE]],tblPiNAnalysis[% VBG],0,0)</f>
        <v>0.05</v>
      </c>
      <c r="V91" s="8" cm="1">
        <f t="array" ref="V91">_xlfn.XLOOKUP(Table8[[#This Row],[Admin2PCODE]:[Admin2PCODE]],tblPiNAnalysis[[Admin2PCODE]:[Admin2PCODE]],tblPiNAnalysis[PiN preliminar],0,0)</f>
        <v>0</v>
      </c>
      <c r="W91" s="308" cm="1">
        <f t="array" ref="W91">_xlfn.XLOOKUP(Table8[[#This Row],[Admin2PCODE]],tblPiNAnalysis[Admin2PCODE],tblSeverityAnalysis[Severidad media],0,0)</f>
        <v>2.8333333333333335</v>
      </c>
      <c r="X91" s="42">
        <f>Table8[[#This Row],[Severidad media]]*6</f>
        <v>17</v>
      </c>
      <c r="Y91" s="6" cm="1">
        <f t="array" ref="Y91">_xlfn.XLOOKUP(Table8[[#This Row],[Admin2PCODE]],tblPiNAnalysis[Admin2PCODE],tblPiNAnalysis[% PiN Sectores más altos],0,0)</f>
        <v>0.36499999999999999</v>
      </c>
      <c r="Z91" s="42" cm="1">
        <f t="array" ref="Z91">_xlfn.XLOOKUP(Table8[[#This Row],[Admin2PCODE]:[Admin2PCODE]],tblPiNAnalysis[[Admin2PCODE]:[Admin2PCODE]],tblPiNAnalysis[Severidad],0,0)</f>
        <v>2</v>
      </c>
      <c r="AA91">
        <f>_xlfn.XLOOKUP(Table8[[#This Row],[Admin2PCODE]],tblSeverityAnalysis[Admin 2 Código P],tblSeverityAnalysis[Severidad Ttotal 2025],0,0)</f>
        <v>3</v>
      </c>
      <c r="AB91" t="str">
        <f>_xlfn.XLOOKUP(Table8[[#This Row],[Admin2PCODE]],tblSeverityAnalysis[Admin 2 Código P],tblSeverityAnalysis[Priorización Final 2025],0,0)</f>
        <v>No</v>
      </c>
      <c r="AC91">
        <v>2</v>
      </c>
      <c r="AD91" t="s">
        <v>1015</v>
      </c>
      <c r="AE91">
        <v>3</v>
      </c>
      <c r="AF91">
        <v>0</v>
      </c>
      <c r="AG91">
        <v>0</v>
      </c>
      <c r="AH91">
        <v>0</v>
      </c>
      <c r="AI91">
        <v>0</v>
      </c>
      <c r="AJ91">
        <v>1</v>
      </c>
      <c r="AK91">
        <v>2</v>
      </c>
      <c r="AL91">
        <v>0</v>
      </c>
      <c r="AM91">
        <v>0</v>
      </c>
      <c r="AN91">
        <v>0</v>
      </c>
      <c r="AO91" s="314">
        <f>Table8[[#This Row],[N° Clústeres con respuesta]]/Table8[[#This Row],[Org Total]]</f>
        <v>0.66666666666666663</v>
      </c>
      <c r="AP91" s="313">
        <v>9083</v>
      </c>
      <c r="AQ91" s="313">
        <v>1</v>
      </c>
      <c r="AR91" s="312">
        <f>Table8[[#This Row],[Alcanzados Oct 2025]]/Table8[[#This Row],[Meta 2025]]</f>
        <v>1.100957833314984E-4</v>
      </c>
      <c r="AS91" s="423">
        <v>0</v>
      </c>
      <c r="AT91" s="423">
        <v>0</v>
      </c>
      <c r="AU91" s="423">
        <v>0</v>
      </c>
      <c r="AV91" s="423">
        <v>0</v>
      </c>
      <c r="AW91" s="423">
        <v>1</v>
      </c>
      <c r="AX91" s="423">
        <v>1</v>
      </c>
      <c r="AY91" s="423">
        <v>0</v>
      </c>
      <c r="AZ91" s="423">
        <v>0</v>
      </c>
      <c r="BA91" s="42">
        <v>0</v>
      </c>
    </row>
    <row r="92" spans="1:53">
      <c r="A92" t="s">
        <v>123</v>
      </c>
      <c r="B92" t="s">
        <v>179</v>
      </c>
      <c r="C92" t="s">
        <v>182</v>
      </c>
      <c r="D92" t="s">
        <v>183</v>
      </c>
      <c r="E92" s="8">
        <v>16999</v>
      </c>
      <c r="F92" s="8">
        <v>3542</v>
      </c>
      <c r="G92" s="8">
        <v>522.29015376917062</v>
      </c>
      <c r="H92" s="8">
        <v>6204.6350000000002</v>
      </c>
      <c r="I92" s="8">
        <v>1568.0794749023617</v>
      </c>
      <c r="J92" s="8">
        <v>2034.7757573892627</v>
      </c>
      <c r="K92" s="8">
        <v>0</v>
      </c>
      <c r="L92" s="8">
        <v>651.12824236456413</v>
      </c>
      <c r="M92" s="8">
        <v>712.17151508624181</v>
      </c>
      <c r="N92" s="6" cm="1">
        <f t="array" ref="N92">_xlfn.XLOOKUP(Table8[[#This Row],[Admin2PCODE]:[Admin2PCODE]],tblPiNAnalysis[[Admin2PCODE]:[Admin2PCODE]],tblPiNAnalysis[% SAMV],0,0)</f>
        <v>0.2</v>
      </c>
      <c r="O92" s="6" cm="1">
        <f t="array" ref="O92">_xlfn.XLOOKUP(Table8[[#This Row],[Admin2PCODE]:[Admin2PCODE]],tblPiNAnalysis[[Admin2PCODE]:[Admin2PCODE]],tblPiNAnalysis[% NUT],0,0)</f>
        <v>0.05</v>
      </c>
      <c r="P92" s="6" cm="1">
        <f t="array" ref="P92">_xlfn.XLOOKUP(Table8[[#This Row],[Admin2PCODE]:[Admin2PCODE]],tblPiNAnalysis[[Admin2PCODE]:[Admin2PCODE]],tblPiNAnalysis[% SAL],0,0)</f>
        <v>0.35000000000000003</v>
      </c>
      <c r="Q92" s="6" cm="1">
        <f t="array" ref="Q92">_xlfn.XLOOKUP(Table8[[#This Row],[Admin2PCODE]:[Admin2PCODE]],tblPiNAnalysis[[Admin2PCODE]:[Admin2PCODE]],tblPiNAnalysis[% EDU],0,0)</f>
        <v>0.1</v>
      </c>
      <c r="R92" s="6" cm="1">
        <f t="array" ref="R92">_xlfn.XLOOKUP(Table8[[#This Row],[Admin2PCODE]:[Admin2PCODE]],tblPiNAnalysis[[Admin2PCODE]:[Admin2PCODE]],tblPiNAnalysis[% PRO],0,0)</f>
        <v>0.1</v>
      </c>
      <c r="S92" s="6" cm="1">
        <f t="array" ref="S92">_xlfn.XLOOKUP(Table8[[#This Row],[Admin2PCODE]:[Admin2PCODE]],tblPiNAnalysis[[Admin2PCODE]:[Admin2PCODE]],tblPiNAnalysis[% WASH],0,0)</f>
        <v>0</v>
      </c>
      <c r="T92" s="6" cm="1">
        <f t="array" ref="T92">_xlfn.XLOOKUP(Table8[[#This Row],[Admin2PCODE]:[Admin2PCODE]],tblPiNAnalysis[[Admin2PCODE]:[Admin2PCODE]],tblPiNAnalysis[% NNA],0,0)</f>
        <v>0.05</v>
      </c>
      <c r="U92" s="6" cm="1">
        <f t="array" ref="U92">_xlfn.XLOOKUP(Table8[[#This Row],[Admin2PCODE]:[Admin2PCODE]],tblPiNAnalysis[[Admin2PCODE]:[Admin2PCODE]],tblPiNAnalysis[% VBG],0,0)</f>
        <v>0.05</v>
      </c>
      <c r="V92" s="8" cm="1">
        <f t="array" ref="V92">_xlfn.XLOOKUP(Table8[[#This Row],[Admin2PCODE]:[Admin2PCODE]],tblPiNAnalysis[[Admin2PCODE]:[Admin2PCODE]],tblPiNAnalysis[PiN preliminar],0,0)</f>
        <v>0</v>
      </c>
      <c r="W92" s="308" cm="1">
        <f t="array" ref="W92">_xlfn.XLOOKUP(Table8[[#This Row],[Admin2PCODE]],tblPiNAnalysis[Admin2PCODE],tblSeverityAnalysis[Severidad media],0,0)</f>
        <v>2.6666666666666665</v>
      </c>
      <c r="X92" s="42">
        <f>Table8[[#This Row],[Severidad media]]*6</f>
        <v>16</v>
      </c>
      <c r="Y92" s="6" cm="1">
        <f t="array" ref="Y92">_xlfn.XLOOKUP(Table8[[#This Row],[Admin2PCODE]],tblPiNAnalysis[Admin2PCODE],tblPiNAnalysis[% PiN Sectores más altos],0,0)</f>
        <v>0.36499999999999999</v>
      </c>
      <c r="Z92" s="42" cm="1">
        <f t="array" ref="Z92">_xlfn.XLOOKUP(Table8[[#This Row],[Admin2PCODE]:[Admin2PCODE]],tblPiNAnalysis[[Admin2PCODE]:[Admin2PCODE]],tblPiNAnalysis[Severidad],0,0)</f>
        <v>2</v>
      </c>
      <c r="AA92">
        <f>_xlfn.XLOOKUP(Table8[[#This Row],[Admin2PCODE]],tblSeverityAnalysis[Admin 2 Código P],tblSeverityAnalysis[Severidad Ttotal 2025],0,0)</f>
        <v>3</v>
      </c>
      <c r="AB92" t="str">
        <f>_xlfn.XLOOKUP(Table8[[#This Row],[Admin2PCODE]],tblSeverityAnalysis[Admin 2 Código P],tblSeverityAnalysis[Priorización Final 2025],0,0)</f>
        <v>No</v>
      </c>
      <c r="AC92">
        <v>0</v>
      </c>
      <c r="AD92">
        <v>0</v>
      </c>
      <c r="AE92">
        <v>0</v>
      </c>
      <c r="AF92">
        <v>0</v>
      </c>
      <c r="AG92">
        <v>0</v>
      </c>
      <c r="AH92">
        <v>0</v>
      </c>
      <c r="AI92">
        <v>0</v>
      </c>
      <c r="AJ92">
        <v>0</v>
      </c>
      <c r="AK92">
        <v>0</v>
      </c>
      <c r="AL92">
        <v>0</v>
      </c>
      <c r="AM92">
        <v>0</v>
      </c>
      <c r="AN92">
        <v>0</v>
      </c>
      <c r="AO92" s="314" t="e">
        <f>Table8[[#This Row],[N° Clústeres con respuesta]]/Table8[[#This Row],[Org Total]]</f>
        <v>#DIV/0!</v>
      </c>
      <c r="AP92" s="313">
        <v>3970</v>
      </c>
      <c r="AQ92" s="313">
        <v>0</v>
      </c>
      <c r="AR92" s="312">
        <f>Table8[[#This Row],[Alcanzados Oct 2025]]/Table8[[#This Row],[Meta 2025]]</f>
        <v>0</v>
      </c>
      <c r="AS92" s="423">
        <v>0</v>
      </c>
      <c r="AT92" s="423">
        <v>0</v>
      </c>
      <c r="AU92" s="423">
        <v>0</v>
      </c>
      <c r="AV92" s="423">
        <v>0</v>
      </c>
      <c r="AW92" s="423">
        <v>0</v>
      </c>
      <c r="AX92" s="423">
        <v>0</v>
      </c>
      <c r="AY92" s="423">
        <v>0</v>
      </c>
      <c r="AZ92" s="423">
        <v>0</v>
      </c>
      <c r="BA92" s="42">
        <v>0</v>
      </c>
    </row>
    <row r="93" spans="1:53">
      <c r="A93" t="s">
        <v>123</v>
      </c>
      <c r="B93" t="s">
        <v>179</v>
      </c>
      <c r="C93" t="s">
        <v>184</v>
      </c>
      <c r="D93" t="s">
        <v>185</v>
      </c>
      <c r="E93" s="8">
        <v>416302</v>
      </c>
      <c r="F93" s="8">
        <v>54084</v>
      </c>
      <c r="G93" s="8">
        <v>16279.187688197813</v>
      </c>
      <c r="H93" s="8">
        <v>151950.23000000001</v>
      </c>
      <c r="I93" s="8">
        <v>52451.343098291385</v>
      </c>
      <c r="J93" s="8">
        <v>83052.063587334997</v>
      </c>
      <c r="K93" s="8">
        <v>0</v>
      </c>
      <c r="L93" s="8">
        <v>26576.6603479472</v>
      </c>
      <c r="M93" s="8">
        <v>29068.222255567242</v>
      </c>
      <c r="N93" s="6" cm="1">
        <f t="array" ref="N93">_xlfn.XLOOKUP(Table8[[#This Row],[Admin2PCODE]:[Admin2PCODE]],tblPiNAnalysis[[Admin2PCODE]:[Admin2PCODE]],tblPiNAnalysis[% SAMV],0,0)</f>
        <v>0.15000000000000002</v>
      </c>
      <c r="O93" s="6" cm="1">
        <f t="array" ref="O93">_xlfn.XLOOKUP(Table8[[#This Row],[Admin2PCODE]:[Admin2PCODE]],tblPiNAnalysis[[Admin2PCODE]:[Admin2PCODE]],tblPiNAnalysis[% NUT],0,0)</f>
        <v>0.05</v>
      </c>
      <c r="P93" s="6" cm="1">
        <f t="array" ref="P93">_xlfn.XLOOKUP(Table8[[#This Row],[Admin2PCODE]:[Admin2PCODE]],tblPiNAnalysis[[Admin2PCODE]:[Admin2PCODE]],tblPiNAnalysis[% SAL],0,0)</f>
        <v>0.35000000000000003</v>
      </c>
      <c r="Q93" s="6" cm="1">
        <f t="array" ref="Q93">_xlfn.XLOOKUP(Table8[[#This Row],[Admin2PCODE]:[Admin2PCODE]],tblPiNAnalysis[[Admin2PCODE]:[Admin2PCODE]],tblPiNAnalysis[% EDU],0,0)</f>
        <v>0.15000000000000002</v>
      </c>
      <c r="R93" s="6" cm="1">
        <f t="array" ref="R93">_xlfn.XLOOKUP(Table8[[#This Row],[Admin2PCODE]:[Admin2PCODE]],tblPiNAnalysis[[Admin2PCODE]:[Admin2PCODE]],tblPiNAnalysis[% PRO],0,0)</f>
        <v>0.2</v>
      </c>
      <c r="S93" s="6" cm="1">
        <f t="array" ref="S93">_xlfn.XLOOKUP(Table8[[#This Row],[Admin2PCODE]:[Admin2PCODE]],tblPiNAnalysis[[Admin2PCODE]:[Admin2PCODE]],tblPiNAnalysis[% WASH],0,0)</f>
        <v>0</v>
      </c>
      <c r="T93" s="6" cm="1">
        <f t="array" ref="T93">_xlfn.XLOOKUP(Table8[[#This Row],[Admin2PCODE]:[Admin2PCODE]],tblPiNAnalysis[[Admin2PCODE]:[Admin2PCODE]],tblPiNAnalysis[% NNA],0,0)</f>
        <v>0.05</v>
      </c>
      <c r="U93" s="6" cm="1">
        <f t="array" ref="U93">_xlfn.XLOOKUP(Table8[[#This Row],[Admin2PCODE]:[Admin2PCODE]],tblPiNAnalysis[[Admin2PCODE]:[Admin2PCODE]],tblPiNAnalysis[% VBG],0,0)</f>
        <v>0.05</v>
      </c>
      <c r="V93" s="8" cm="1">
        <f t="array" ref="V93">_xlfn.XLOOKUP(Table8[[#This Row],[Admin2PCODE]:[Admin2PCODE]],tblPiNAnalysis[[Admin2PCODE]:[Admin2PCODE]],tblPiNAnalysis[PiN preliminar],0,0)</f>
        <v>0</v>
      </c>
      <c r="W93" s="308" cm="1">
        <f t="array" ref="W93">_xlfn.XLOOKUP(Table8[[#This Row],[Admin2PCODE]],tblPiNAnalysis[Admin2PCODE],tblSeverityAnalysis[Severidad media],0,0)</f>
        <v>2.8333333333333335</v>
      </c>
      <c r="X93" s="42">
        <f>Table8[[#This Row],[Severidad media]]*6</f>
        <v>17</v>
      </c>
      <c r="Y93" s="6" cm="1">
        <f t="array" ref="Y93">_xlfn.XLOOKUP(Table8[[#This Row],[Admin2PCODE]],tblPiNAnalysis[Admin2PCODE],tblPiNAnalysis[% PiN Sectores más altos],0,0)</f>
        <v>0.36500000000000005</v>
      </c>
      <c r="Z93" s="42" cm="1">
        <f t="array" ref="Z93">_xlfn.XLOOKUP(Table8[[#This Row],[Admin2PCODE]:[Admin2PCODE]],tblPiNAnalysis[[Admin2PCODE]:[Admin2PCODE]],tblPiNAnalysis[Severidad],0,0)</f>
        <v>2</v>
      </c>
      <c r="AA93">
        <f>_xlfn.XLOOKUP(Table8[[#This Row],[Admin2PCODE]],tblSeverityAnalysis[Admin 2 Código P],tblSeverityAnalysis[Severidad Ttotal 2025],0,0)</f>
        <v>3</v>
      </c>
      <c r="AB93" t="str">
        <f>_xlfn.XLOOKUP(Table8[[#This Row],[Admin2PCODE]],tblSeverityAnalysis[Admin 2 Código P],tblSeverityAnalysis[Priorización Final 2025],0,0)</f>
        <v>No</v>
      </c>
      <c r="AC93">
        <v>7</v>
      </c>
      <c r="AD93" t="s">
        <v>1016</v>
      </c>
      <c r="AE93">
        <v>14</v>
      </c>
      <c r="AF93">
        <v>0</v>
      </c>
      <c r="AG93">
        <v>2</v>
      </c>
      <c r="AH93">
        <v>1</v>
      </c>
      <c r="AI93">
        <v>4</v>
      </c>
      <c r="AJ93">
        <v>4</v>
      </c>
      <c r="AK93">
        <v>3</v>
      </c>
      <c r="AL93">
        <v>2</v>
      </c>
      <c r="AM93">
        <v>5</v>
      </c>
      <c r="AN93">
        <v>0</v>
      </c>
      <c r="AO93" s="314">
        <f>Table8[[#This Row],[N° Clústeres con respuesta]]/Table8[[#This Row],[Org Total]]</f>
        <v>0.5</v>
      </c>
      <c r="AP93" s="313">
        <v>68392</v>
      </c>
      <c r="AQ93" s="313">
        <v>3398</v>
      </c>
      <c r="AR93" s="312">
        <f>Table8[[#This Row],[Alcanzados Oct 2025]]/Table8[[#This Row],[Meta 2025]]</f>
        <v>4.9684173587554101E-2</v>
      </c>
      <c r="AS93" s="423">
        <v>0</v>
      </c>
      <c r="AT93" s="423">
        <v>0</v>
      </c>
      <c r="AU93" s="423">
        <v>2183</v>
      </c>
      <c r="AV93" s="423">
        <v>3280</v>
      </c>
      <c r="AW93" s="423">
        <v>109</v>
      </c>
      <c r="AX93" s="423">
        <v>3</v>
      </c>
      <c r="AY93" s="423">
        <v>155</v>
      </c>
      <c r="AZ93" s="423">
        <v>1792</v>
      </c>
      <c r="BA93" s="42">
        <v>0</v>
      </c>
    </row>
    <row r="94" spans="1:53">
      <c r="A94" t="s">
        <v>123</v>
      </c>
      <c r="B94" t="s">
        <v>179</v>
      </c>
      <c r="C94" t="s">
        <v>817</v>
      </c>
      <c r="D94" t="s">
        <v>187</v>
      </c>
      <c r="E94" s="8">
        <v>33724</v>
      </c>
      <c r="F94" s="8">
        <v>3968</v>
      </c>
      <c r="G94" s="8">
        <v>966.74603809951179</v>
      </c>
      <c r="H94" s="8">
        <v>12309.26</v>
      </c>
      <c r="I94" s="8">
        <v>4566.0120189277332</v>
      </c>
      <c r="J94" s="8">
        <v>6727.9229799983796</v>
      </c>
      <c r="K94" s="8">
        <v>2276.37</v>
      </c>
      <c r="L94" s="8">
        <v>2159.6632765794802</v>
      </c>
      <c r="M94" s="8">
        <v>2354.7730429994326</v>
      </c>
      <c r="N94" s="6" cm="1">
        <f t="array" ref="N94">_xlfn.XLOOKUP(Table8[[#This Row],[Admin2PCODE]:[Admin2PCODE]],tblPiNAnalysis[[Admin2PCODE]:[Admin2PCODE]],tblPiNAnalysis[% SAMV],0,0)</f>
        <v>0.1</v>
      </c>
      <c r="O94" s="6" cm="1">
        <f t="array" ref="O94">_xlfn.XLOOKUP(Table8[[#This Row],[Admin2PCODE]:[Admin2PCODE]],tblPiNAnalysis[[Admin2PCODE]:[Admin2PCODE]],tblPiNAnalysis[% NUT],0,0)</f>
        <v>0.05</v>
      </c>
      <c r="P94" s="6" cm="1">
        <f t="array" ref="P94">_xlfn.XLOOKUP(Table8[[#This Row],[Admin2PCODE]:[Admin2PCODE]],tblPiNAnalysis[[Admin2PCODE]:[Admin2PCODE]],tblPiNAnalysis[% SAL],0,0)</f>
        <v>0.35000000000000003</v>
      </c>
      <c r="Q94" s="6" cm="1">
        <f t="array" ref="Q94">_xlfn.XLOOKUP(Table8[[#This Row],[Admin2PCODE]:[Admin2PCODE]],tblPiNAnalysis[[Admin2PCODE]:[Admin2PCODE]],tblPiNAnalysis[% EDU],0,0)</f>
        <v>0.15000000000000002</v>
      </c>
      <c r="R94" s="6" cm="1">
        <f t="array" ref="R94">_xlfn.XLOOKUP(Table8[[#This Row],[Admin2PCODE]:[Admin2PCODE]],tblPiNAnalysis[[Admin2PCODE]:[Admin2PCODE]],tblPiNAnalysis[% PRO],0,0)</f>
        <v>0.2</v>
      </c>
      <c r="S94" s="6" cm="1">
        <f t="array" ref="S94">_xlfn.XLOOKUP(Table8[[#This Row],[Admin2PCODE]:[Admin2PCODE]],tblPiNAnalysis[[Admin2PCODE]:[Admin2PCODE]],tblPiNAnalysis[% WASH],0,0)</f>
        <v>0.05</v>
      </c>
      <c r="T94" s="6" cm="1">
        <f t="array" ref="T94">_xlfn.XLOOKUP(Table8[[#This Row],[Admin2PCODE]:[Admin2PCODE]],tblPiNAnalysis[[Admin2PCODE]:[Admin2PCODE]],tblPiNAnalysis[% NNA],0,0)</f>
        <v>0.05</v>
      </c>
      <c r="U94" s="6" cm="1">
        <f t="array" ref="U94">_xlfn.XLOOKUP(Table8[[#This Row],[Admin2PCODE]:[Admin2PCODE]],tblPiNAnalysis[[Admin2PCODE]:[Admin2PCODE]],tblPiNAnalysis[% VBG],0,0)</f>
        <v>0.05</v>
      </c>
      <c r="V94" s="8" cm="1">
        <f t="array" ref="V94">_xlfn.XLOOKUP(Table8[[#This Row],[Admin2PCODE]:[Admin2PCODE]],tblPiNAnalysis[[Admin2PCODE]:[Admin2PCODE]],tblPiNAnalysis[PiN preliminar],0,0)</f>
        <v>12309.26</v>
      </c>
      <c r="W94" s="308" cm="1">
        <f t="array" ref="W94">_xlfn.XLOOKUP(Table8[[#This Row],[Admin2PCODE]],tblPiNAnalysis[Admin2PCODE],tblSeverityAnalysis[Severidad media],0,0)</f>
        <v>2.6666666666666665</v>
      </c>
      <c r="X94" s="42">
        <f>Table8[[#This Row],[Severidad media]]*6</f>
        <v>16</v>
      </c>
      <c r="Y94" s="6" cm="1">
        <f t="array" ref="Y94">_xlfn.XLOOKUP(Table8[[#This Row],[Admin2PCODE]],tblPiNAnalysis[Admin2PCODE],tblPiNAnalysis[% PiN Sectores más altos],0,0)</f>
        <v>0.36499999999999999</v>
      </c>
      <c r="Z94" s="42" cm="1">
        <f t="array" ref="Z94">_xlfn.XLOOKUP(Table8[[#This Row],[Admin2PCODE]:[Admin2PCODE]],tblPiNAnalysis[[Admin2PCODE]:[Admin2PCODE]],tblPiNAnalysis[Severidad],0,0)</f>
        <v>3</v>
      </c>
      <c r="AA94">
        <f>_xlfn.XLOOKUP(Table8[[#This Row],[Admin2PCODE]],tblSeverityAnalysis[Admin 2 Código P],tblSeverityAnalysis[Severidad Ttotal 2025],0,0)</f>
        <v>3</v>
      </c>
      <c r="AB94" t="str">
        <f>_xlfn.XLOOKUP(Table8[[#This Row],[Admin2PCODE]],tblSeverityAnalysis[Admin 2 Código P],tblSeverityAnalysis[Priorización Final 2025],0,0)</f>
        <v>No</v>
      </c>
      <c r="AC94">
        <v>3</v>
      </c>
      <c r="AD94" t="s">
        <v>1017</v>
      </c>
      <c r="AE94">
        <v>4</v>
      </c>
      <c r="AF94">
        <v>0</v>
      </c>
      <c r="AG94">
        <v>1</v>
      </c>
      <c r="AH94">
        <v>0</v>
      </c>
      <c r="AI94">
        <v>1</v>
      </c>
      <c r="AJ94">
        <v>2</v>
      </c>
      <c r="AK94">
        <v>0</v>
      </c>
      <c r="AL94">
        <v>0</v>
      </c>
      <c r="AM94">
        <v>2</v>
      </c>
      <c r="AN94">
        <v>0</v>
      </c>
      <c r="AO94" s="314">
        <f>Table8[[#This Row],[N° Clústeres con respuesta]]/Table8[[#This Row],[Org Total]]</f>
        <v>0.75</v>
      </c>
      <c r="AP94" s="313">
        <v>7874</v>
      </c>
      <c r="AQ94" s="313">
        <v>25</v>
      </c>
      <c r="AR94" s="312">
        <f>Table8[[#This Row],[Alcanzados Oct 2025]]/Table8[[#This Row],[Meta 2025]]</f>
        <v>3.1750063500127E-3</v>
      </c>
      <c r="AS94" s="423">
        <v>0</v>
      </c>
      <c r="AT94" s="423">
        <v>16</v>
      </c>
      <c r="AU94" s="423">
        <v>0</v>
      </c>
      <c r="AV94" s="423">
        <v>3</v>
      </c>
      <c r="AW94" s="423">
        <v>3</v>
      </c>
      <c r="AX94" s="423">
        <v>0</v>
      </c>
      <c r="AY94" s="423">
        <v>0</v>
      </c>
      <c r="AZ94" s="423">
        <v>16</v>
      </c>
      <c r="BA94" s="42">
        <v>0</v>
      </c>
    </row>
    <row r="95" spans="1:53">
      <c r="A95" t="s">
        <v>123</v>
      </c>
      <c r="B95" t="s">
        <v>179</v>
      </c>
      <c r="C95" t="s">
        <v>188</v>
      </c>
      <c r="D95" t="s">
        <v>189</v>
      </c>
      <c r="E95" s="8">
        <v>146736</v>
      </c>
      <c r="F95" s="8">
        <v>22545</v>
      </c>
      <c r="G95" s="8">
        <v>4518.0852922033991</v>
      </c>
      <c r="H95" s="8">
        <v>53558.64</v>
      </c>
      <c r="I95" s="8">
        <v>18542.705483909733</v>
      </c>
      <c r="J95" s="8">
        <v>35128.519976030446</v>
      </c>
      <c r="K95" s="8">
        <v>0</v>
      </c>
      <c r="L95" s="8">
        <v>11276.254912305772</v>
      </c>
      <c r="M95" s="8">
        <v>12294.981991610653</v>
      </c>
      <c r="N95" s="6" cm="1">
        <f t="array" ref="N95">_xlfn.XLOOKUP(Table8[[#This Row],[Admin2PCODE]:[Admin2PCODE]],tblPiNAnalysis[[Admin2PCODE]:[Admin2PCODE]],tblPiNAnalysis[% SAMV],0,0)</f>
        <v>0.15000000000000002</v>
      </c>
      <c r="O95" s="6" cm="1">
        <f t="array" ref="O95">_xlfn.XLOOKUP(Table8[[#This Row],[Admin2PCODE]:[Admin2PCODE]],tblPiNAnalysis[[Admin2PCODE]:[Admin2PCODE]],tblPiNAnalysis[% NUT],0,0)</f>
        <v>0.05</v>
      </c>
      <c r="P95" s="6" cm="1">
        <f t="array" ref="P95">_xlfn.XLOOKUP(Table8[[#This Row],[Admin2PCODE]:[Admin2PCODE]],tblPiNAnalysis[[Admin2PCODE]:[Admin2PCODE]],tblPiNAnalysis[% SAL],0,0)</f>
        <v>0.35000000000000003</v>
      </c>
      <c r="Q95" s="6" cm="1">
        <f t="array" ref="Q95">_xlfn.XLOOKUP(Table8[[#This Row],[Admin2PCODE]:[Admin2PCODE]],tblPiNAnalysis[[Admin2PCODE]:[Admin2PCODE]],tblPiNAnalysis[% EDU],0,0)</f>
        <v>0.15000000000000002</v>
      </c>
      <c r="R95" s="6" cm="1">
        <f t="array" ref="R95">_xlfn.XLOOKUP(Table8[[#This Row],[Admin2PCODE]:[Admin2PCODE]],tblPiNAnalysis[[Admin2PCODE]:[Admin2PCODE]],tblPiNAnalysis[% PRO],0,0)</f>
        <v>0.25</v>
      </c>
      <c r="S95" s="6" cm="1">
        <f t="array" ref="S95">_xlfn.XLOOKUP(Table8[[#This Row],[Admin2PCODE]:[Admin2PCODE]],tblPiNAnalysis[[Admin2PCODE]:[Admin2PCODE]],tblPiNAnalysis[% WASH],0,0)</f>
        <v>0</v>
      </c>
      <c r="T95" s="6" cm="1">
        <f t="array" ref="T95">_xlfn.XLOOKUP(Table8[[#This Row],[Admin2PCODE]:[Admin2PCODE]],tblPiNAnalysis[[Admin2PCODE]:[Admin2PCODE]],tblPiNAnalysis[% NNA],0,0)</f>
        <v>0.1</v>
      </c>
      <c r="U95" s="6" cm="1">
        <f t="array" ref="U95">_xlfn.XLOOKUP(Table8[[#This Row],[Admin2PCODE]:[Admin2PCODE]],tblPiNAnalysis[[Admin2PCODE]:[Admin2PCODE]],tblPiNAnalysis[% VBG],0,0)</f>
        <v>0.1</v>
      </c>
      <c r="V95" s="8" cm="1">
        <f t="array" ref="V95">_xlfn.XLOOKUP(Table8[[#This Row],[Admin2PCODE]:[Admin2PCODE]],tblPiNAnalysis[[Admin2PCODE]:[Admin2PCODE]],tblPiNAnalysis[PiN preliminar],0,0)</f>
        <v>0</v>
      </c>
      <c r="W95" s="308" cm="1">
        <f t="array" ref="W95">_xlfn.XLOOKUP(Table8[[#This Row],[Admin2PCODE]],tblPiNAnalysis[Admin2PCODE],tblSeverityAnalysis[Severidad media],0,0)</f>
        <v>3.1666666666666665</v>
      </c>
      <c r="X95" s="42">
        <f>Table8[[#This Row],[Severidad media]]*6</f>
        <v>19</v>
      </c>
      <c r="Y95" s="6" cm="1">
        <f t="array" ref="Y95">_xlfn.XLOOKUP(Table8[[#This Row],[Admin2PCODE]],tblPiNAnalysis[Admin2PCODE],tblPiNAnalysis[% PiN Sectores más altos],0,0)</f>
        <v>0.36499999999999999</v>
      </c>
      <c r="Z95" s="42" cm="1">
        <f t="array" ref="Z95">_xlfn.XLOOKUP(Table8[[#This Row],[Admin2PCODE]:[Admin2PCODE]],tblPiNAnalysis[[Admin2PCODE]:[Admin2PCODE]],tblPiNAnalysis[Severidad],0,0)</f>
        <v>2</v>
      </c>
      <c r="AA95">
        <f>_xlfn.XLOOKUP(Table8[[#This Row],[Admin2PCODE]],tblSeverityAnalysis[Admin 2 Código P],tblSeverityAnalysis[Severidad Ttotal 2025],0,0)</f>
        <v>3</v>
      </c>
      <c r="AB95" t="str">
        <f>_xlfn.XLOOKUP(Table8[[#This Row],[Admin2PCODE]],tblSeverityAnalysis[Admin 2 Código P],tblSeverityAnalysis[Priorización Final 2025],0,0)</f>
        <v>No</v>
      </c>
      <c r="AC95">
        <v>5</v>
      </c>
      <c r="AD95" t="s">
        <v>1018</v>
      </c>
      <c r="AE95">
        <v>8</v>
      </c>
      <c r="AF95">
        <v>0</v>
      </c>
      <c r="AG95">
        <v>0</v>
      </c>
      <c r="AH95">
        <v>1</v>
      </c>
      <c r="AI95">
        <v>0</v>
      </c>
      <c r="AJ95">
        <v>1</v>
      </c>
      <c r="AK95">
        <v>2</v>
      </c>
      <c r="AL95">
        <v>5</v>
      </c>
      <c r="AM95">
        <v>2</v>
      </c>
      <c r="AN95">
        <v>0</v>
      </c>
      <c r="AO95" s="314">
        <f>Table8[[#This Row],[N° Clústeres con respuesta]]/Table8[[#This Row],[Org Total]]</f>
        <v>0.625</v>
      </c>
      <c r="AP95" s="313">
        <v>24108</v>
      </c>
      <c r="AQ95" s="313">
        <v>4434</v>
      </c>
      <c r="AR95" s="312">
        <f>Table8[[#This Row],[Alcanzados Oct 2025]]/Table8[[#This Row],[Meta 2025]]</f>
        <v>0.1839223494275759</v>
      </c>
      <c r="AS95" s="423">
        <v>0</v>
      </c>
      <c r="AT95" s="423">
        <v>0</v>
      </c>
      <c r="AU95" s="423">
        <v>2430</v>
      </c>
      <c r="AV95" s="423">
        <v>0</v>
      </c>
      <c r="AW95" s="423">
        <v>2</v>
      </c>
      <c r="AX95" s="423">
        <v>1</v>
      </c>
      <c r="AY95" s="423">
        <v>7</v>
      </c>
      <c r="AZ95" s="423">
        <v>3649</v>
      </c>
      <c r="BA95" s="42">
        <v>0</v>
      </c>
    </row>
    <row r="96" spans="1:53">
      <c r="A96" t="s">
        <v>123</v>
      </c>
      <c r="B96" t="s">
        <v>179</v>
      </c>
      <c r="C96" t="s">
        <v>190</v>
      </c>
      <c r="D96" t="s">
        <v>191</v>
      </c>
      <c r="E96" s="8">
        <v>49897</v>
      </c>
      <c r="F96" s="8">
        <v>12096</v>
      </c>
      <c r="G96" s="8">
        <v>1580.0448921920083</v>
      </c>
      <c r="H96" s="8">
        <v>18212.404999999999</v>
      </c>
      <c r="I96" s="8">
        <v>7090.1834771293461</v>
      </c>
      <c r="J96" s="8">
        <v>9954.4292768645246</v>
      </c>
      <c r="K96" s="8">
        <v>0</v>
      </c>
      <c r="L96" s="8">
        <v>3195.3717978735122</v>
      </c>
      <c r="M96" s="8">
        <v>3484.0502469025832</v>
      </c>
      <c r="N96" s="6" cm="1">
        <f t="array" ref="N96">_xlfn.XLOOKUP(Table8[[#This Row],[Admin2PCODE]:[Admin2PCODE]],tblPiNAnalysis[[Admin2PCODE]:[Admin2PCODE]],tblPiNAnalysis[% SAMV],0,0)</f>
        <v>0.25</v>
      </c>
      <c r="O96" s="6" cm="1">
        <f t="array" ref="O96">_xlfn.XLOOKUP(Table8[[#This Row],[Admin2PCODE]:[Admin2PCODE]],tblPiNAnalysis[[Admin2PCODE]:[Admin2PCODE]],tblPiNAnalysis[% NUT],0,0)</f>
        <v>0.05</v>
      </c>
      <c r="P96" s="6" cm="1">
        <f t="array" ref="P96">_xlfn.XLOOKUP(Table8[[#This Row],[Admin2PCODE]:[Admin2PCODE]],tblPiNAnalysis[[Admin2PCODE]:[Admin2PCODE]],tblPiNAnalysis[% SAL],0,0)</f>
        <v>0.35000000000000003</v>
      </c>
      <c r="Q96" s="6" cm="1">
        <f t="array" ref="Q96">_xlfn.XLOOKUP(Table8[[#This Row],[Admin2PCODE]:[Admin2PCODE]],tblPiNAnalysis[[Admin2PCODE]:[Admin2PCODE]],tblPiNAnalysis[% EDU],0,0)</f>
        <v>0.15000000000000002</v>
      </c>
      <c r="R96" s="6" cm="1">
        <f t="array" ref="R96">_xlfn.XLOOKUP(Table8[[#This Row],[Admin2PCODE]:[Admin2PCODE]],tblPiNAnalysis[[Admin2PCODE]:[Admin2PCODE]],tblPiNAnalysis[% PRO],0,0)</f>
        <v>0.2</v>
      </c>
      <c r="S96" s="6" cm="1">
        <f t="array" ref="S96">_xlfn.XLOOKUP(Table8[[#This Row],[Admin2PCODE]:[Admin2PCODE]],tblPiNAnalysis[[Admin2PCODE]:[Admin2PCODE]],tblPiNAnalysis[% WASH],0,0)</f>
        <v>0</v>
      </c>
      <c r="T96" s="6" cm="1">
        <f t="array" ref="T96">_xlfn.XLOOKUP(Table8[[#This Row],[Admin2PCODE]:[Admin2PCODE]],tblPiNAnalysis[[Admin2PCODE]:[Admin2PCODE]],tblPiNAnalysis[% NNA],0,0)</f>
        <v>0.05</v>
      </c>
      <c r="U96" s="6" cm="1">
        <f t="array" ref="U96">_xlfn.XLOOKUP(Table8[[#This Row],[Admin2PCODE]:[Admin2PCODE]],tblPiNAnalysis[[Admin2PCODE]:[Admin2PCODE]],tblPiNAnalysis[% VBG],0,0)</f>
        <v>0.05</v>
      </c>
      <c r="V96" s="8" cm="1">
        <f t="array" ref="V96">_xlfn.XLOOKUP(Table8[[#This Row],[Admin2PCODE]:[Admin2PCODE]],tblPiNAnalysis[[Admin2PCODE]:[Admin2PCODE]],tblPiNAnalysis[PiN preliminar],0,0)</f>
        <v>0</v>
      </c>
      <c r="W96" s="308" cm="1">
        <f t="array" ref="W96">_xlfn.XLOOKUP(Table8[[#This Row],[Admin2PCODE]],tblPiNAnalysis[Admin2PCODE],tblSeverityAnalysis[Severidad media],0,0)</f>
        <v>2.6666666666666665</v>
      </c>
      <c r="X96" s="42">
        <f>Table8[[#This Row],[Severidad media]]*6</f>
        <v>16</v>
      </c>
      <c r="Y96" s="6" cm="1">
        <f t="array" ref="Y96">_xlfn.XLOOKUP(Table8[[#This Row],[Admin2PCODE]],tblPiNAnalysis[Admin2PCODE],tblPiNAnalysis[% PiN Sectores más altos],0,0)</f>
        <v>0.36499999999999999</v>
      </c>
      <c r="Z96" s="42" cm="1">
        <f t="array" ref="Z96">_xlfn.XLOOKUP(Table8[[#This Row],[Admin2PCODE]:[Admin2PCODE]],tblPiNAnalysis[[Admin2PCODE]:[Admin2PCODE]],tblPiNAnalysis[Severidad],0,0)</f>
        <v>2</v>
      </c>
      <c r="AA96">
        <f>_xlfn.XLOOKUP(Table8[[#This Row],[Admin2PCODE]],tblSeverityAnalysis[Admin 2 Código P],tblSeverityAnalysis[Severidad Ttotal 2025],0,0)</f>
        <v>3</v>
      </c>
      <c r="AB96" t="str">
        <f>_xlfn.XLOOKUP(Table8[[#This Row],[Admin2PCODE]],tblSeverityAnalysis[Admin 2 Código P],tblSeverityAnalysis[Priorización Final 2025],0,0)</f>
        <v>No</v>
      </c>
      <c r="AC96">
        <v>1</v>
      </c>
      <c r="AD96" t="s">
        <v>95</v>
      </c>
      <c r="AE96">
        <v>2</v>
      </c>
      <c r="AF96">
        <v>0</v>
      </c>
      <c r="AG96">
        <v>0</v>
      </c>
      <c r="AH96">
        <v>2</v>
      </c>
      <c r="AI96">
        <v>0</v>
      </c>
      <c r="AJ96">
        <v>0</v>
      </c>
      <c r="AK96">
        <v>0</v>
      </c>
      <c r="AL96">
        <v>0</v>
      </c>
      <c r="AM96">
        <v>0</v>
      </c>
      <c r="AN96">
        <v>0</v>
      </c>
      <c r="AO96" s="314">
        <f>Table8[[#This Row],[N° Clústeres con respuesta]]/Table8[[#This Row],[Org Total]]</f>
        <v>0.5</v>
      </c>
      <c r="AP96" s="313">
        <v>11651</v>
      </c>
      <c r="AQ96" s="313">
        <v>6784</v>
      </c>
      <c r="AR96" s="312">
        <f>Table8[[#This Row],[Alcanzados Oct 2025]]/Table8[[#This Row],[Meta 2025]]</f>
        <v>0.58226761651360404</v>
      </c>
      <c r="AS96" s="423">
        <v>0</v>
      </c>
      <c r="AT96" s="423">
        <v>0</v>
      </c>
      <c r="AU96" s="423">
        <v>6784</v>
      </c>
      <c r="AV96" s="423">
        <v>0</v>
      </c>
      <c r="AW96" s="423">
        <v>0</v>
      </c>
      <c r="AX96" s="423">
        <v>0</v>
      </c>
      <c r="AY96" s="423">
        <v>0</v>
      </c>
      <c r="AZ96" s="423">
        <v>0</v>
      </c>
      <c r="BA96" s="42">
        <v>0</v>
      </c>
    </row>
    <row r="97" spans="1:53">
      <c r="A97" t="s">
        <v>123</v>
      </c>
      <c r="B97" t="s">
        <v>179</v>
      </c>
      <c r="C97" t="s">
        <v>100</v>
      </c>
      <c r="D97" t="s">
        <v>192</v>
      </c>
      <c r="E97" s="8">
        <v>116940</v>
      </c>
      <c r="F97" s="8">
        <v>3248</v>
      </c>
      <c r="G97" s="8">
        <v>3566.8624968842641</v>
      </c>
      <c r="H97" s="8">
        <v>42683.1</v>
      </c>
      <c r="I97" s="8">
        <v>14318.871194062362</v>
      </c>
      <c r="J97" s="8">
        <v>23329.477917240263</v>
      </c>
      <c r="K97" s="8">
        <v>0</v>
      </c>
      <c r="L97" s="8">
        <v>7488.7624114341252</v>
      </c>
      <c r="M97" s="8">
        <v>8165.3172710340914</v>
      </c>
      <c r="N97" s="6" cm="1">
        <f t="array" ref="N97">_xlfn.XLOOKUP(Table8[[#This Row],[Admin2PCODE]:[Admin2PCODE]],tblPiNAnalysis[[Admin2PCODE]:[Admin2PCODE]],tblPiNAnalysis[% SAMV],0,0)</f>
        <v>0.05</v>
      </c>
      <c r="O97" s="6" cm="1">
        <f t="array" ref="O97">_xlfn.XLOOKUP(Table8[[#This Row],[Admin2PCODE]:[Admin2PCODE]],tblPiNAnalysis[[Admin2PCODE]:[Admin2PCODE]],tblPiNAnalysis[% NUT],0,0)</f>
        <v>0.05</v>
      </c>
      <c r="P97" s="6" cm="1">
        <f t="array" ref="P97">_xlfn.XLOOKUP(Table8[[#This Row],[Admin2PCODE]:[Admin2PCODE]],tblPiNAnalysis[[Admin2PCODE]:[Admin2PCODE]],tblPiNAnalysis[% SAL],0,0)</f>
        <v>0.35000000000000003</v>
      </c>
      <c r="Q97" s="6" cm="1">
        <f t="array" ref="Q97">_xlfn.XLOOKUP(Table8[[#This Row],[Admin2PCODE]:[Admin2PCODE]],tblPiNAnalysis[[Admin2PCODE]:[Admin2PCODE]],tblPiNAnalysis[% EDU],0,0)</f>
        <v>0.1</v>
      </c>
      <c r="R97" s="6" cm="1">
        <f t="array" ref="R97">_xlfn.XLOOKUP(Table8[[#This Row],[Admin2PCODE]:[Admin2PCODE]],tblPiNAnalysis[[Admin2PCODE]:[Admin2PCODE]],tblPiNAnalysis[% PRO],0,0)</f>
        <v>0.2</v>
      </c>
      <c r="S97" s="6" cm="1">
        <f t="array" ref="S97">_xlfn.XLOOKUP(Table8[[#This Row],[Admin2PCODE]:[Admin2PCODE]],tblPiNAnalysis[[Admin2PCODE]:[Admin2PCODE]],tblPiNAnalysis[% WASH],0,0)</f>
        <v>0</v>
      </c>
      <c r="T97" s="6" cm="1">
        <f t="array" ref="T97">_xlfn.XLOOKUP(Table8[[#This Row],[Admin2PCODE]:[Admin2PCODE]],tblPiNAnalysis[[Admin2PCODE]:[Admin2PCODE]],tblPiNAnalysis[% NNA],0,0)</f>
        <v>0.05</v>
      </c>
      <c r="U97" s="6" cm="1">
        <f t="array" ref="U97">_xlfn.XLOOKUP(Table8[[#This Row],[Admin2PCODE]:[Admin2PCODE]],tblPiNAnalysis[[Admin2PCODE]:[Admin2PCODE]],tblPiNAnalysis[% VBG],0,0)</f>
        <v>0.05</v>
      </c>
      <c r="V97" s="8" cm="1">
        <f t="array" ref="V97">_xlfn.XLOOKUP(Table8[[#This Row],[Admin2PCODE]:[Admin2PCODE]],tblPiNAnalysis[[Admin2PCODE]:[Admin2PCODE]],tblPiNAnalysis[PiN preliminar],0,0)</f>
        <v>0</v>
      </c>
      <c r="W97" s="308" cm="1">
        <f t="array" ref="W97">_xlfn.XLOOKUP(Table8[[#This Row],[Admin2PCODE]],tblPiNAnalysis[Admin2PCODE],tblSeverityAnalysis[Severidad media],0,0)</f>
        <v>3.1666666666666665</v>
      </c>
      <c r="X97" s="42">
        <f>Table8[[#This Row],[Severidad media]]*6</f>
        <v>19</v>
      </c>
      <c r="Y97" s="6" cm="1">
        <f t="array" ref="Y97">_xlfn.XLOOKUP(Table8[[#This Row],[Admin2PCODE]],tblPiNAnalysis[Admin2PCODE],tblPiNAnalysis[% PiN Sectores más altos],0,0)</f>
        <v>0.36499999999999999</v>
      </c>
      <c r="Z97" s="42" cm="1">
        <f t="array" ref="Z97">_xlfn.XLOOKUP(Table8[[#This Row],[Admin2PCODE]:[Admin2PCODE]],tblPiNAnalysis[[Admin2PCODE]:[Admin2PCODE]],tblPiNAnalysis[Severidad],0,0)</f>
        <v>2</v>
      </c>
      <c r="AA97">
        <f>_xlfn.XLOOKUP(Table8[[#This Row],[Admin2PCODE]],tblSeverityAnalysis[Admin 2 Código P],tblSeverityAnalysis[Severidad Ttotal 2025],0,0)</f>
        <v>3</v>
      </c>
      <c r="AB97" t="str">
        <f>_xlfn.XLOOKUP(Table8[[#This Row],[Admin2PCODE]],tblSeverityAnalysis[Admin 2 Código P],tblSeverityAnalysis[Priorización Final 2025],0,0)</f>
        <v>No</v>
      </c>
      <c r="AC97">
        <v>5</v>
      </c>
      <c r="AD97" t="s">
        <v>1019</v>
      </c>
      <c r="AE97">
        <v>6</v>
      </c>
      <c r="AF97">
        <v>1</v>
      </c>
      <c r="AG97">
        <v>1</v>
      </c>
      <c r="AH97">
        <v>0</v>
      </c>
      <c r="AI97">
        <v>0</v>
      </c>
      <c r="AJ97">
        <v>3</v>
      </c>
      <c r="AK97">
        <v>0</v>
      </c>
      <c r="AL97">
        <v>1</v>
      </c>
      <c r="AM97">
        <v>2</v>
      </c>
      <c r="AN97">
        <v>1</v>
      </c>
      <c r="AO97" s="314">
        <f>Table8[[#This Row],[N° Clústeres con respuesta]]/Table8[[#This Row],[Org Total]]</f>
        <v>0.83333333333333337</v>
      </c>
      <c r="AP97" s="313">
        <v>19211</v>
      </c>
      <c r="AQ97" s="313">
        <v>71</v>
      </c>
      <c r="AR97" s="312">
        <f>Table8[[#This Row],[Alcanzados Oct 2025]]/Table8[[#This Row],[Meta 2025]]</f>
        <v>3.6957992816615479E-3</v>
      </c>
      <c r="AS97" s="423">
        <v>0</v>
      </c>
      <c r="AT97" s="423">
        <v>51</v>
      </c>
      <c r="AU97" s="423">
        <v>0</v>
      </c>
      <c r="AV97" s="423">
        <v>0</v>
      </c>
      <c r="AW97" s="423">
        <v>19</v>
      </c>
      <c r="AX97" s="423">
        <v>0</v>
      </c>
      <c r="AY97" s="423">
        <v>32</v>
      </c>
      <c r="AZ97" s="423">
        <v>51</v>
      </c>
      <c r="BA97" s="42">
        <v>51</v>
      </c>
    </row>
    <row r="98" spans="1:53">
      <c r="A98" t="s">
        <v>123</v>
      </c>
      <c r="B98" t="s">
        <v>179</v>
      </c>
      <c r="C98" t="s">
        <v>193</v>
      </c>
      <c r="D98" t="s">
        <v>194</v>
      </c>
      <c r="E98" s="8">
        <v>102107</v>
      </c>
      <c r="F98" s="8">
        <v>13537</v>
      </c>
      <c r="G98" s="8">
        <v>2608.6612726427111</v>
      </c>
      <c r="H98" s="8">
        <v>37269.055</v>
      </c>
      <c r="I98" s="8">
        <v>16255.918839023729</v>
      </c>
      <c r="J98" s="8">
        <v>20370.301023564662</v>
      </c>
      <c r="K98" s="8">
        <v>0</v>
      </c>
      <c r="L98" s="8">
        <v>6518.4963275406917</v>
      </c>
      <c r="M98" s="8">
        <v>7129.6053582476316</v>
      </c>
      <c r="N98" s="6" cm="1">
        <f t="array" ref="N98">_xlfn.XLOOKUP(Table8[[#This Row],[Admin2PCODE]:[Admin2PCODE]],tblPiNAnalysis[[Admin2PCODE]:[Admin2PCODE]],tblPiNAnalysis[% SAMV],0,0)</f>
        <v>0.15000000000000002</v>
      </c>
      <c r="O98" s="6" cm="1">
        <f t="array" ref="O98">_xlfn.XLOOKUP(Table8[[#This Row],[Admin2PCODE]:[Admin2PCODE]],tblPiNAnalysis[[Admin2PCODE]:[Admin2PCODE]],tblPiNAnalysis[% NUT],0,0)</f>
        <v>0.05</v>
      </c>
      <c r="P98" s="6" cm="1">
        <f t="array" ref="P98">_xlfn.XLOOKUP(Table8[[#This Row],[Admin2PCODE]:[Admin2PCODE]],tblPiNAnalysis[[Admin2PCODE]:[Admin2PCODE]],tblPiNAnalysis[% SAL],0,0)</f>
        <v>0.35000000000000003</v>
      </c>
      <c r="Q98" s="6" cm="1">
        <f t="array" ref="Q98">_xlfn.XLOOKUP(Table8[[#This Row],[Admin2PCODE]:[Admin2PCODE]],tblPiNAnalysis[[Admin2PCODE]:[Admin2PCODE]],tblPiNAnalysis[% EDU],0,0)</f>
        <v>0.15000000000000002</v>
      </c>
      <c r="R98" s="6" cm="1">
        <f t="array" ref="R98">_xlfn.XLOOKUP(Table8[[#This Row],[Admin2PCODE]:[Admin2PCODE]],tblPiNAnalysis[[Admin2PCODE]:[Admin2PCODE]],tblPiNAnalysis[% PRO],0,0)</f>
        <v>0.2</v>
      </c>
      <c r="S98" s="6" cm="1">
        <f t="array" ref="S98">_xlfn.XLOOKUP(Table8[[#This Row],[Admin2PCODE]:[Admin2PCODE]],tblPiNAnalysis[[Admin2PCODE]:[Admin2PCODE]],tblPiNAnalysis[% WASH],0,0)</f>
        <v>0</v>
      </c>
      <c r="T98" s="6" cm="1">
        <f t="array" ref="T98">_xlfn.XLOOKUP(Table8[[#This Row],[Admin2PCODE]:[Admin2PCODE]],tblPiNAnalysis[[Admin2PCODE]:[Admin2PCODE]],tblPiNAnalysis[% NNA],0,0)</f>
        <v>0.05</v>
      </c>
      <c r="U98" s="6" cm="1">
        <f t="array" ref="U98">_xlfn.XLOOKUP(Table8[[#This Row],[Admin2PCODE]:[Admin2PCODE]],tblPiNAnalysis[[Admin2PCODE]:[Admin2PCODE]],tblPiNAnalysis[% VBG],0,0)</f>
        <v>0.05</v>
      </c>
      <c r="V98" s="8" cm="1">
        <f t="array" ref="V98">_xlfn.XLOOKUP(Table8[[#This Row],[Admin2PCODE]:[Admin2PCODE]],tblPiNAnalysis[[Admin2PCODE]:[Admin2PCODE]],tblPiNAnalysis[PiN preliminar],0,0)</f>
        <v>37269.055</v>
      </c>
      <c r="W98" s="308" cm="1">
        <f t="array" ref="W98">_xlfn.XLOOKUP(Table8[[#This Row],[Admin2PCODE]],tblPiNAnalysis[Admin2PCODE],tblSeverityAnalysis[Severidad media],0,0)</f>
        <v>2.6666666666666665</v>
      </c>
      <c r="X98" s="42">
        <f>Table8[[#This Row],[Severidad media]]*6</f>
        <v>16</v>
      </c>
      <c r="Y98" s="6" cm="1">
        <f t="array" ref="Y98">_xlfn.XLOOKUP(Table8[[#This Row],[Admin2PCODE]],tblPiNAnalysis[Admin2PCODE],tblPiNAnalysis[% PiN Sectores más altos],0,0)</f>
        <v>0.36499999999999999</v>
      </c>
      <c r="Z98" s="42" cm="1">
        <f t="array" ref="Z98">_xlfn.XLOOKUP(Table8[[#This Row],[Admin2PCODE]:[Admin2PCODE]],tblPiNAnalysis[[Admin2PCODE]:[Admin2PCODE]],tblPiNAnalysis[Severidad],0,0)</f>
        <v>3</v>
      </c>
      <c r="AA98">
        <f>_xlfn.XLOOKUP(Table8[[#This Row],[Admin2PCODE]],tblSeverityAnalysis[Admin 2 Código P],tblSeverityAnalysis[Severidad Ttotal 2025],0,0)</f>
        <v>3</v>
      </c>
      <c r="AB98" t="str">
        <f>_xlfn.XLOOKUP(Table8[[#This Row],[Admin2PCODE]],tblSeverityAnalysis[Admin 2 Código P],tblSeverityAnalysis[Priorización Final 2025],0,0)</f>
        <v>No</v>
      </c>
      <c r="AC98">
        <v>2</v>
      </c>
      <c r="AD98" t="s">
        <v>991</v>
      </c>
      <c r="AE98">
        <v>4</v>
      </c>
      <c r="AF98">
        <v>0</v>
      </c>
      <c r="AG98">
        <v>0</v>
      </c>
      <c r="AH98">
        <v>0</v>
      </c>
      <c r="AI98">
        <v>0</v>
      </c>
      <c r="AJ98">
        <v>2</v>
      </c>
      <c r="AK98">
        <v>0</v>
      </c>
      <c r="AL98">
        <v>2</v>
      </c>
      <c r="AM98">
        <v>0</v>
      </c>
      <c r="AN98">
        <v>0</v>
      </c>
      <c r="AO98" s="314">
        <f>Table8[[#This Row],[N° Clústeres con respuesta]]/Table8[[#This Row],[Org Total]]</f>
        <v>0.5</v>
      </c>
      <c r="AP98" s="313">
        <v>16775</v>
      </c>
      <c r="AQ98" s="313">
        <v>6</v>
      </c>
      <c r="AR98" s="312">
        <f>Table8[[#This Row],[Alcanzados Oct 2025]]/Table8[[#This Row],[Meta 2025]]</f>
        <v>3.5767511177347243E-4</v>
      </c>
      <c r="AS98" s="423">
        <v>0</v>
      </c>
      <c r="AT98" s="423">
        <v>0</v>
      </c>
      <c r="AU98" s="423">
        <v>0</v>
      </c>
      <c r="AV98" s="423">
        <v>0</v>
      </c>
      <c r="AW98" s="423">
        <v>6</v>
      </c>
      <c r="AX98" s="423">
        <v>0</v>
      </c>
      <c r="AY98" s="423">
        <v>1</v>
      </c>
      <c r="AZ98" s="423">
        <v>0</v>
      </c>
      <c r="BA98" s="42">
        <v>0</v>
      </c>
    </row>
    <row r="99" spans="1:53">
      <c r="A99" t="s">
        <v>123</v>
      </c>
      <c r="B99" t="s">
        <v>179</v>
      </c>
      <c r="C99" t="s">
        <v>197</v>
      </c>
      <c r="D99" t="s">
        <v>198</v>
      </c>
      <c r="E99" s="8">
        <v>23807</v>
      </c>
      <c r="F99" s="8">
        <v>5411</v>
      </c>
      <c r="G99" s="8">
        <v>562.20911516388162</v>
      </c>
      <c r="H99" s="8">
        <v>8689.5550000000003</v>
      </c>
      <c r="I99" s="8">
        <v>2414.0083062227773</v>
      </c>
      <c r="J99" s="8">
        <v>4749.4858968337521</v>
      </c>
      <c r="K99" s="8">
        <v>14284.199999999999</v>
      </c>
      <c r="L99" s="8">
        <v>1524.5849728836345</v>
      </c>
      <c r="M99" s="8">
        <v>1662.3200638918131</v>
      </c>
      <c r="N99" s="6" cm="1">
        <f t="array" ref="N99">_xlfn.XLOOKUP(Table8[[#This Row],[Admin2PCODE]:[Admin2PCODE]],tblPiNAnalysis[[Admin2PCODE]:[Admin2PCODE]],tblPiNAnalysis[% SAMV],0,0)</f>
        <v>0.25</v>
      </c>
      <c r="O99" s="6" cm="1">
        <f t="array" ref="O99">_xlfn.XLOOKUP(Table8[[#This Row],[Admin2PCODE]:[Admin2PCODE]],tblPiNAnalysis[[Admin2PCODE]:[Admin2PCODE]],tblPiNAnalysis[% NUT],0,0)</f>
        <v>0</v>
      </c>
      <c r="P99" s="6" cm="1">
        <f t="array" ref="P99">_xlfn.XLOOKUP(Table8[[#This Row],[Admin2PCODE]:[Admin2PCODE]],tblPiNAnalysis[[Admin2PCODE]:[Admin2PCODE]],tblPiNAnalysis[% SAL],0,0)</f>
        <v>0.35000000000000003</v>
      </c>
      <c r="Q99" s="6" cm="1">
        <f t="array" ref="Q99">_xlfn.XLOOKUP(Table8[[#This Row],[Admin2PCODE]:[Admin2PCODE]],tblPiNAnalysis[[Admin2PCODE]:[Admin2PCODE]],tblPiNAnalysis[% EDU],0,0)</f>
        <v>0.1</v>
      </c>
      <c r="R99" s="6" cm="1">
        <f t="array" ref="R99">_xlfn.XLOOKUP(Table8[[#This Row],[Admin2PCODE]:[Admin2PCODE]],tblPiNAnalysis[[Admin2PCODE]:[Admin2PCODE]],tblPiNAnalysis[% PRO],0,0)</f>
        <v>0.2</v>
      </c>
      <c r="S99" s="6" cm="1">
        <f t="array" ref="S99">_xlfn.XLOOKUP(Table8[[#This Row],[Admin2PCODE]:[Admin2PCODE]],tblPiNAnalysis[[Admin2PCODE]:[Admin2PCODE]],tblPiNAnalysis[% WASH],0,0)</f>
        <v>0.60000000000000009</v>
      </c>
      <c r="T99" s="6" cm="1">
        <f t="array" ref="T99">_xlfn.XLOOKUP(Table8[[#This Row],[Admin2PCODE]:[Admin2PCODE]],tblPiNAnalysis[[Admin2PCODE]:[Admin2PCODE]],tblPiNAnalysis[% NNA],0,0)</f>
        <v>0.05</v>
      </c>
      <c r="U99" s="6" cm="1">
        <f t="array" ref="U99">_xlfn.XLOOKUP(Table8[[#This Row],[Admin2PCODE]:[Admin2PCODE]],tblPiNAnalysis[[Admin2PCODE]:[Admin2PCODE]],tblPiNAnalysis[% VBG],0,0)</f>
        <v>0.05</v>
      </c>
      <c r="V99" s="8" cm="1">
        <f t="array" ref="V99">_xlfn.XLOOKUP(Table8[[#This Row],[Admin2PCODE]:[Admin2PCODE]],tblPiNAnalysis[[Admin2PCODE]:[Admin2PCODE]],tblPiNAnalysis[PiN preliminar],0,0)</f>
        <v>14284.199999999999</v>
      </c>
      <c r="W99" s="308" cm="1">
        <f t="array" ref="W99">_xlfn.XLOOKUP(Table8[[#This Row],[Admin2PCODE]],tblPiNAnalysis[Admin2PCODE],tblSeverityAnalysis[Severidad media],0,0)</f>
        <v>2.6666666666666665</v>
      </c>
      <c r="X99" s="42">
        <f>Table8[[#This Row],[Severidad media]]*6</f>
        <v>16</v>
      </c>
      <c r="Y99" s="6" cm="1">
        <f t="array" ref="Y99">_xlfn.XLOOKUP(Table8[[#This Row],[Admin2PCODE]],tblPiNAnalysis[Admin2PCODE],tblPiNAnalysis[% PiN Sectores más altos],0,0)</f>
        <v>0.6</v>
      </c>
      <c r="Z99" s="42" cm="1">
        <f t="array" ref="Z99">_xlfn.XLOOKUP(Table8[[#This Row],[Admin2PCODE]:[Admin2PCODE]],tblPiNAnalysis[[Admin2PCODE]:[Admin2PCODE]],tblPiNAnalysis[Severidad],0,0)</f>
        <v>3</v>
      </c>
      <c r="AA99">
        <f>_xlfn.XLOOKUP(Table8[[#This Row],[Admin2PCODE]],tblSeverityAnalysis[Admin 2 Código P],tblSeverityAnalysis[Severidad Ttotal 2025],0,0)</f>
        <v>3</v>
      </c>
      <c r="AB99" t="str">
        <f>_xlfn.XLOOKUP(Table8[[#This Row],[Admin2PCODE]],tblSeverityAnalysis[Admin 2 Código P],tblSeverityAnalysis[Priorización Final 2025],0,0)</f>
        <v>No</v>
      </c>
      <c r="AC99">
        <v>1</v>
      </c>
      <c r="AD99" t="s">
        <v>94</v>
      </c>
      <c r="AE99">
        <v>1</v>
      </c>
      <c r="AF99">
        <v>0</v>
      </c>
      <c r="AG99">
        <v>0</v>
      </c>
      <c r="AH99">
        <v>0</v>
      </c>
      <c r="AI99">
        <v>0</v>
      </c>
      <c r="AJ99">
        <v>0</v>
      </c>
      <c r="AK99">
        <v>0</v>
      </c>
      <c r="AL99">
        <v>0</v>
      </c>
      <c r="AM99">
        <v>1</v>
      </c>
      <c r="AN99">
        <v>0</v>
      </c>
      <c r="AO99" s="314">
        <f>Table8[[#This Row],[N° Clústeres con respuesta]]/Table8[[#This Row],[Org Total]]</f>
        <v>1</v>
      </c>
      <c r="AP99" s="313">
        <v>5558</v>
      </c>
      <c r="AQ99" s="313">
        <v>3</v>
      </c>
      <c r="AR99" s="312">
        <f>Table8[[#This Row],[Alcanzados Oct 2025]]/Table8[[#This Row],[Meta 2025]]</f>
        <v>5.3976250449802089E-4</v>
      </c>
      <c r="AS99" s="423">
        <v>0</v>
      </c>
      <c r="AT99" s="423">
        <v>0</v>
      </c>
      <c r="AU99" s="423">
        <v>0</v>
      </c>
      <c r="AV99" s="423">
        <v>0</v>
      </c>
      <c r="AW99" s="423">
        <v>3</v>
      </c>
      <c r="AX99" s="423">
        <v>0</v>
      </c>
      <c r="AY99" s="423">
        <v>0</v>
      </c>
      <c r="AZ99" s="423">
        <v>0</v>
      </c>
      <c r="BA99" s="42">
        <v>0</v>
      </c>
    </row>
    <row r="100" spans="1:53">
      <c r="A100" t="s">
        <v>123</v>
      </c>
      <c r="B100" t="s">
        <v>179</v>
      </c>
      <c r="C100" t="s">
        <v>199</v>
      </c>
      <c r="D100" t="s">
        <v>200</v>
      </c>
      <c r="E100" s="8">
        <v>215778</v>
      </c>
      <c r="F100" s="8">
        <v>38884</v>
      </c>
      <c r="G100" s="8">
        <v>6392.629447164305</v>
      </c>
      <c r="H100" s="8">
        <v>78758.97</v>
      </c>
      <c r="I100" s="8">
        <v>30250.578094044064</v>
      </c>
      <c r="J100" s="8">
        <v>43047.614896752777</v>
      </c>
      <c r="K100" s="8">
        <v>0</v>
      </c>
      <c r="L100" s="8">
        <v>13775.236766960888</v>
      </c>
      <c r="M100" s="8">
        <v>15066.665213863471</v>
      </c>
      <c r="N100" s="6" cm="1">
        <f t="array" ref="N100">_xlfn.XLOOKUP(Table8[[#This Row],[Admin2PCODE]:[Admin2PCODE]],tblPiNAnalysis[[Admin2PCODE]:[Admin2PCODE]],tblPiNAnalysis[% SAMV],0,0)</f>
        <v>0.2</v>
      </c>
      <c r="O100" s="6" cm="1">
        <f t="array" ref="O100">_xlfn.XLOOKUP(Table8[[#This Row],[Admin2PCODE]:[Admin2PCODE]],tblPiNAnalysis[[Admin2PCODE]:[Admin2PCODE]],tblPiNAnalysis[% NUT],0,0)</f>
        <v>0.05</v>
      </c>
      <c r="P100" s="6" cm="1">
        <f t="array" ref="P100">_xlfn.XLOOKUP(Table8[[#This Row],[Admin2PCODE]:[Admin2PCODE]],tblPiNAnalysis[[Admin2PCODE]:[Admin2PCODE]],tblPiNAnalysis[% SAL],0,0)</f>
        <v>0.35000000000000003</v>
      </c>
      <c r="Q100" s="6" cm="1">
        <f t="array" ref="Q100">_xlfn.XLOOKUP(Table8[[#This Row],[Admin2PCODE]:[Admin2PCODE]],tblPiNAnalysis[[Admin2PCODE]:[Admin2PCODE]],tblPiNAnalysis[% EDU],0,0)</f>
        <v>0.15000000000000002</v>
      </c>
      <c r="R100" s="6" cm="1">
        <f t="array" ref="R100">_xlfn.XLOOKUP(Table8[[#This Row],[Admin2PCODE]:[Admin2PCODE]],tblPiNAnalysis[[Admin2PCODE]:[Admin2PCODE]],tblPiNAnalysis[% PRO],0,0)</f>
        <v>0.2</v>
      </c>
      <c r="S100" s="6" cm="1">
        <f t="array" ref="S100">_xlfn.XLOOKUP(Table8[[#This Row],[Admin2PCODE]:[Admin2PCODE]],tblPiNAnalysis[[Admin2PCODE]:[Admin2PCODE]],tblPiNAnalysis[% WASH],0,0)</f>
        <v>0</v>
      </c>
      <c r="T100" s="6" cm="1">
        <f t="array" ref="T100">_xlfn.XLOOKUP(Table8[[#This Row],[Admin2PCODE]:[Admin2PCODE]],tblPiNAnalysis[[Admin2PCODE]:[Admin2PCODE]],tblPiNAnalysis[% NNA],0,0)</f>
        <v>0.05</v>
      </c>
      <c r="U100" s="6" cm="1">
        <f t="array" ref="U100">_xlfn.XLOOKUP(Table8[[#This Row],[Admin2PCODE]:[Admin2PCODE]],tblPiNAnalysis[[Admin2PCODE]:[Admin2PCODE]],tblPiNAnalysis[% VBG],0,0)</f>
        <v>0.05</v>
      </c>
      <c r="V100" s="8" cm="1">
        <f t="array" ref="V100">_xlfn.XLOOKUP(Table8[[#This Row],[Admin2PCODE]:[Admin2PCODE]],tblPiNAnalysis[[Admin2PCODE]:[Admin2PCODE]],tblPiNAnalysis[PiN preliminar],0,0)</f>
        <v>0</v>
      </c>
      <c r="W100" s="308" cm="1">
        <f t="array" ref="W100">_xlfn.XLOOKUP(Table8[[#This Row],[Admin2PCODE]],tblPiNAnalysis[Admin2PCODE],tblSeverityAnalysis[Severidad media],0,0)</f>
        <v>3</v>
      </c>
      <c r="X100" s="42">
        <f>Table8[[#This Row],[Severidad media]]*6</f>
        <v>18</v>
      </c>
      <c r="Y100" s="6" cm="1">
        <f t="array" ref="Y100">_xlfn.XLOOKUP(Table8[[#This Row],[Admin2PCODE]],tblPiNAnalysis[Admin2PCODE],tblPiNAnalysis[% PiN Sectores más altos],0,0)</f>
        <v>0.36499999999999999</v>
      </c>
      <c r="Z100" s="42" cm="1">
        <f t="array" ref="Z100">_xlfn.XLOOKUP(Table8[[#This Row],[Admin2PCODE]:[Admin2PCODE]],tblPiNAnalysis[[Admin2PCODE]:[Admin2PCODE]],tblPiNAnalysis[Severidad],0,0)</f>
        <v>2</v>
      </c>
      <c r="AA100">
        <f>_xlfn.XLOOKUP(Table8[[#This Row],[Admin2PCODE]],tblSeverityAnalysis[Admin 2 Código P],tblSeverityAnalysis[Severidad Ttotal 2025],0,0)</f>
        <v>3</v>
      </c>
      <c r="AB100" t="str">
        <f>_xlfn.XLOOKUP(Table8[[#This Row],[Admin2PCODE]],tblSeverityAnalysis[Admin 2 Código P],tblSeverityAnalysis[Priorización Final 2025],0,0)</f>
        <v>No</v>
      </c>
      <c r="AC100">
        <v>6</v>
      </c>
      <c r="AD100" t="s">
        <v>1020</v>
      </c>
      <c r="AE100">
        <v>10</v>
      </c>
      <c r="AF100">
        <v>0</v>
      </c>
      <c r="AG100">
        <v>1</v>
      </c>
      <c r="AH100">
        <v>2</v>
      </c>
      <c r="AI100">
        <v>0</v>
      </c>
      <c r="AJ100">
        <v>3</v>
      </c>
      <c r="AK100">
        <v>2</v>
      </c>
      <c r="AL100">
        <v>2</v>
      </c>
      <c r="AM100">
        <v>0</v>
      </c>
      <c r="AN100">
        <v>1</v>
      </c>
      <c r="AO100" s="314">
        <f>Table8[[#This Row],[N° Clústeres con respuesta]]/Table8[[#This Row],[Org Total]]</f>
        <v>0.6</v>
      </c>
      <c r="AP100" s="313">
        <v>35449</v>
      </c>
      <c r="AQ100" s="313">
        <v>765</v>
      </c>
      <c r="AR100" s="312">
        <f>Table8[[#This Row],[Alcanzados Oct 2025]]/Table8[[#This Row],[Meta 2025]]</f>
        <v>2.1580298456938138E-2</v>
      </c>
      <c r="AS100" s="423">
        <v>0</v>
      </c>
      <c r="AT100" s="423">
        <v>19</v>
      </c>
      <c r="AU100" s="423">
        <v>756</v>
      </c>
      <c r="AV100" s="423">
        <v>0</v>
      </c>
      <c r="AW100" s="423">
        <v>29</v>
      </c>
      <c r="AX100" s="423">
        <v>8</v>
      </c>
      <c r="AY100" s="423">
        <v>3</v>
      </c>
      <c r="AZ100" s="423">
        <v>0</v>
      </c>
      <c r="BA100" s="42">
        <v>199</v>
      </c>
    </row>
    <row r="101" spans="1:53">
      <c r="A101" t="s">
        <v>123</v>
      </c>
      <c r="B101" t="s">
        <v>179</v>
      </c>
      <c r="C101" t="s">
        <v>201</v>
      </c>
      <c r="D101" t="s">
        <v>202</v>
      </c>
      <c r="E101" s="8">
        <v>39442</v>
      </c>
      <c r="F101" s="8">
        <v>6228</v>
      </c>
      <c r="G101" s="8">
        <v>1259.4906836444238</v>
      </c>
      <c r="H101" s="8">
        <v>14396.33</v>
      </c>
      <c r="I101" s="8">
        <v>6225.9650139530877</v>
      </c>
      <c r="J101" s="8">
        <v>7868.6614333144407</v>
      </c>
      <c r="K101" s="8">
        <v>2662.335</v>
      </c>
      <c r="L101" s="8">
        <v>2517.971658660621</v>
      </c>
      <c r="M101" s="8">
        <v>2754.0315016600548</v>
      </c>
      <c r="N101" s="6" cm="1">
        <f t="array" ref="N101">_xlfn.XLOOKUP(Table8[[#This Row],[Admin2PCODE]:[Admin2PCODE]],tblPiNAnalysis[[Admin2PCODE]:[Admin2PCODE]],tblPiNAnalysis[% SAMV],0,0)</f>
        <v>0.15000000000000002</v>
      </c>
      <c r="O101" s="6" cm="1">
        <f t="array" ref="O101">_xlfn.XLOOKUP(Table8[[#This Row],[Admin2PCODE]:[Admin2PCODE]],tblPiNAnalysis[[Admin2PCODE]:[Admin2PCODE]],tblPiNAnalysis[% NUT],0,0)</f>
        <v>0.05</v>
      </c>
      <c r="P101" s="6" cm="1">
        <f t="array" ref="P101">_xlfn.XLOOKUP(Table8[[#This Row],[Admin2PCODE]:[Admin2PCODE]],tblPiNAnalysis[[Admin2PCODE]:[Admin2PCODE]],tblPiNAnalysis[% SAL],0,0)</f>
        <v>0.35000000000000003</v>
      </c>
      <c r="Q101" s="6" cm="1">
        <f t="array" ref="Q101">_xlfn.XLOOKUP(Table8[[#This Row],[Admin2PCODE]:[Admin2PCODE]],tblPiNAnalysis[[Admin2PCODE]:[Admin2PCODE]],tblPiNAnalysis[% EDU],0,0)</f>
        <v>0.15000000000000002</v>
      </c>
      <c r="R101" s="6" cm="1">
        <f t="array" ref="R101">_xlfn.XLOOKUP(Table8[[#This Row],[Admin2PCODE]:[Admin2PCODE]],tblPiNAnalysis[[Admin2PCODE]:[Admin2PCODE]],tblPiNAnalysis[% PRO],0,0)</f>
        <v>0.2</v>
      </c>
      <c r="S101" s="6" cm="1">
        <f t="array" ref="S101">_xlfn.XLOOKUP(Table8[[#This Row],[Admin2PCODE]:[Admin2PCODE]],tblPiNAnalysis[[Admin2PCODE]:[Admin2PCODE]],tblPiNAnalysis[% WASH],0,0)</f>
        <v>0.05</v>
      </c>
      <c r="T101" s="6" cm="1">
        <f t="array" ref="T101">_xlfn.XLOOKUP(Table8[[#This Row],[Admin2PCODE]:[Admin2PCODE]],tblPiNAnalysis[[Admin2PCODE]:[Admin2PCODE]],tblPiNAnalysis[% NNA],0,0)</f>
        <v>0.05</v>
      </c>
      <c r="U101" s="6" cm="1">
        <f t="array" ref="U101">_xlfn.XLOOKUP(Table8[[#This Row],[Admin2PCODE]:[Admin2PCODE]],tblPiNAnalysis[[Admin2PCODE]:[Admin2PCODE]],tblPiNAnalysis[% VBG],0,0)</f>
        <v>0.05</v>
      </c>
      <c r="V101" s="8" cm="1">
        <f t="array" ref="V101">_xlfn.XLOOKUP(Table8[[#This Row],[Admin2PCODE]:[Admin2PCODE]],tblPiNAnalysis[[Admin2PCODE]:[Admin2PCODE]],tblPiNAnalysis[PiN preliminar],0,0)</f>
        <v>14396.33</v>
      </c>
      <c r="W101" s="308" cm="1">
        <f t="array" ref="W101">_xlfn.XLOOKUP(Table8[[#This Row],[Admin2PCODE]],tblPiNAnalysis[Admin2PCODE],tblSeverityAnalysis[Severidad media],0,0)</f>
        <v>3</v>
      </c>
      <c r="X101" s="42">
        <f>Table8[[#This Row],[Severidad media]]*6</f>
        <v>18</v>
      </c>
      <c r="Y101" s="6" cm="1">
        <f t="array" ref="Y101">_xlfn.XLOOKUP(Table8[[#This Row],[Admin2PCODE]],tblPiNAnalysis[Admin2PCODE],tblPiNAnalysis[% PiN Sectores más altos],0,0)</f>
        <v>0.36499999999999999</v>
      </c>
      <c r="Z101" s="42" cm="1">
        <f t="array" ref="Z101">_xlfn.XLOOKUP(Table8[[#This Row],[Admin2PCODE]:[Admin2PCODE]],tblPiNAnalysis[[Admin2PCODE]:[Admin2PCODE]],tblPiNAnalysis[Severidad],0,0)</f>
        <v>3</v>
      </c>
      <c r="AA101">
        <f>_xlfn.XLOOKUP(Table8[[#This Row],[Admin2PCODE]],tblSeverityAnalysis[Admin 2 Código P],tblSeverityAnalysis[Severidad Ttotal 2025],0,0)</f>
        <v>3</v>
      </c>
      <c r="AB101" t="str">
        <f>_xlfn.XLOOKUP(Table8[[#This Row],[Admin2PCODE]],tblSeverityAnalysis[Admin 2 Código P],tblSeverityAnalysis[Priorización Final 2025],0,0)</f>
        <v>No</v>
      </c>
      <c r="AC101">
        <v>0</v>
      </c>
      <c r="AD101">
        <v>0</v>
      </c>
      <c r="AE101">
        <v>0</v>
      </c>
      <c r="AF101">
        <v>0</v>
      </c>
      <c r="AG101">
        <v>0</v>
      </c>
      <c r="AH101">
        <v>0</v>
      </c>
      <c r="AI101">
        <v>0</v>
      </c>
      <c r="AJ101">
        <v>0</v>
      </c>
      <c r="AK101">
        <v>0</v>
      </c>
      <c r="AL101">
        <v>0</v>
      </c>
      <c r="AM101">
        <v>0</v>
      </c>
      <c r="AN101">
        <v>0</v>
      </c>
      <c r="AO101" s="314" t="e">
        <f>Table8[[#This Row],[N° Clústeres con respuesta]]/Table8[[#This Row],[Org Total]]</f>
        <v>#DIV/0!</v>
      </c>
      <c r="AP101" s="313">
        <v>8849</v>
      </c>
      <c r="AQ101" s="313">
        <v>0</v>
      </c>
      <c r="AR101" s="312">
        <f>Table8[[#This Row],[Alcanzados Oct 2025]]/Table8[[#This Row],[Meta 2025]]</f>
        <v>0</v>
      </c>
      <c r="AS101" s="423">
        <v>0</v>
      </c>
      <c r="AT101" s="423">
        <v>0</v>
      </c>
      <c r="AU101" s="423">
        <v>0</v>
      </c>
      <c r="AV101" s="423">
        <v>0</v>
      </c>
      <c r="AW101" s="423">
        <v>0</v>
      </c>
      <c r="AX101" s="423">
        <v>0</v>
      </c>
      <c r="AY101" s="423">
        <v>0</v>
      </c>
      <c r="AZ101" s="423">
        <v>0</v>
      </c>
      <c r="BA101" s="42">
        <v>0</v>
      </c>
    </row>
    <row r="102" spans="1:53">
      <c r="A102" t="s">
        <v>123</v>
      </c>
      <c r="B102" t="s">
        <v>179</v>
      </c>
      <c r="C102" t="s">
        <v>203</v>
      </c>
      <c r="D102" t="s">
        <v>204</v>
      </c>
      <c r="E102" s="8">
        <v>117097</v>
      </c>
      <c r="F102" s="8">
        <v>2602</v>
      </c>
      <c r="G102" s="8">
        <v>2820.5739515941978</v>
      </c>
      <c r="H102" s="8">
        <v>42740.404999999999</v>
      </c>
      <c r="I102" s="8">
        <v>13587.822532323293</v>
      </c>
      <c r="J102" s="8">
        <v>23360.799347315569</v>
      </c>
      <c r="K102" s="8">
        <v>0</v>
      </c>
      <c r="L102" s="8">
        <v>7498.8165904882981</v>
      </c>
      <c r="M102" s="8">
        <v>8176.2797715604493</v>
      </c>
      <c r="N102" s="6" cm="1">
        <f t="array" ref="N102">_xlfn.XLOOKUP(Table8[[#This Row],[Admin2PCODE]:[Admin2PCODE]],tblPiNAnalysis[[Admin2PCODE]:[Admin2PCODE]],tblPiNAnalysis[% SAMV],0,0)</f>
        <v>0</v>
      </c>
      <c r="O102" s="6" cm="1">
        <f t="array" ref="O102">_xlfn.XLOOKUP(Table8[[#This Row],[Admin2PCODE]:[Admin2PCODE]],tblPiNAnalysis[[Admin2PCODE]:[Admin2PCODE]],tblPiNAnalysis[% NUT],0,0)</f>
        <v>0</v>
      </c>
      <c r="P102" s="6" cm="1">
        <f t="array" ref="P102">_xlfn.XLOOKUP(Table8[[#This Row],[Admin2PCODE]:[Admin2PCODE]],tblPiNAnalysis[[Admin2PCODE]:[Admin2PCODE]],tblPiNAnalysis[% SAL],0,0)</f>
        <v>0.35000000000000003</v>
      </c>
      <c r="Q102" s="6" cm="1">
        <f t="array" ref="Q102">_xlfn.XLOOKUP(Table8[[#This Row],[Admin2PCODE]:[Admin2PCODE]],tblPiNAnalysis[[Admin2PCODE]:[Admin2PCODE]],tblPiNAnalysis[% EDU],0,0)</f>
        <v>0.1</v>
      </c>
      <c r="R102" s="6" cm="1">
        <f t="array" ref="R102">_xlfn.XLOOKUP(Table8[[#This Row],[Admin2PCODE]:[Admin2PCODE]],tblPiNAnalysis[[Admin2PCODE]:[Admin2PCODE]],tblPiNAnalysis[% PRO],0,0)</f>
        <v>0.2</v>
      </c>
      <c r="S102" s="6" cm="1">
        <f t="array" ref="S102">_xlfn.XLOOKUP(Table8[[#This Row],[Admin2PCODE]:[Admin2PCODE]],tblPiNAnalysis[[Admin2PCODE]:[Admin2PCODE]],tblPiNAnalysis[% WASH],0,0)</f>
        <v>0</v>
      </c>
      <c r="T102" s="6" cm="1">
        <f t="array" ref="T102">_xlfn.XLOOKUP(Table8[[#This Row],[Admin2PCODE]:[Admin2PCODE]],tblPiNAnalysis[[Admin2PCODE]:[Admin2PCODE]],tblPiNAnalysis[% NNA],0,0)</f>
        <v>0.05</v>
      </c>
      <c r="U102" s="6" cm="1">
        <f t="array" ref="U102">_xlfn.XLOOKUP(Table8[[#This Row],[Admin2PCODE]:[Admin2PCODE]],tblPiNAnalysis[[Admin2PCODE]:[Admin2PCODE]],tblPiNAnalysis[% VBG],0,0)</f>
        <v>0.05</v>
      </c>
      <c r="V102" s="8" cm="1">
        <f t="array" ref="V102">_xlfn.XLOOKUP(Table8[[#This Row],[Admin2PCODE]:[Admin2PCODE]],tblPiNAnalysis[[Admin2PCODE]:[Admin2PCODE]],tblPiNAnalysis[PiN preliminar],0,0)</f>
        <v>0</v>
      </c>
      <c r="W102" s="308" cm="1">
        <f t="array" ref="W102">_xlfn.XLOOKUP(Table8[[#This Row],[Admin2PCODE]],tblPiNAnalysis[Admin2PCODE],tblSeverityAnalysis[Severidad media],0,0)</f>
        <v>3.5</v>
      </c>
      <c r="X102" s="42">
        <f>Table8[[#This Row],[Severidad media]]*6</f>
        <v>21</v>
      </c>
      <c r="Y102" s="6" cm="1">
        <f t="array" ref="Y102">_xlfn.XLOOKUP(Table8[[#This Row],[Admin2PCODE]],tblPiNAnalysis[Admin2PCODE],tblPiNAnalysis[% PiN Sectores más altos],0,0)</f>
        <v>0.36499999999999999</v>
      </c>
      <c r="Z102" s="42" cm="1">
        <f t="array" ref="Z102">_xlfn.XLOOKUP(Table8[[#This Row],[Admin2PCODE]:[Admin2PCODE]],tblPiNAnalysis[[Admin2PCODE]:[Admin2PCODE]],tblPiNAnalysis[Severidad],0,0)</f>
        <v>2</v>
      </c>
      <c r="AA102">
        <f>_xlfn.XLOOKUP(Table8[[#This Row],[Admin2PCODE]],tblSeverityAnalysis[Admin 2 Código P],tblSeverityAnalysis[Severidad Ttotal 2025],0,0)</f>
        <v>3</v>
      </c>
      <c r="AB102" t="str">
        <f>_xlfn.XLOOKUP(Table8[[#This Row],[Admin2PCODE]],tblSeverityAnalysis[Admin 2 Código P],tblSeverityAnalysis[Priorización Final 2025],0,0)</f>
        <v>No</v>
      </c>
      <c r="AC102">
        <v>3</v>
      </c>
      <c r="AD102" t="s">
        <v>965</v>
      </c>
      <c r="AE102">
        <v>7</v>
      </c>
      <c r="AF102">
        <v>0</v>
      </c>
      <c r="AG102">
        <v>0</v>
      </c>
      <c r="AH102">
        <v>0</v>
      </c>
      <c r="AI102">
        <v>1</v>
      </c>
      <c r="AJ102">
        <v>3</v>
      </c>
      <c r="AK102">
        <v>0</v>
      </c>
      <c r="AL102">
        <v>2</v>
      </c>
      <c r="AM102">
        <v>1</v>
      </c>
      <c r="AN102">
        <v>0</v>
      </c>
      <c r="AO102" s="314">
        <f>Table8[[#This Row],[N° Clústeres con respuesta]]/Table8[[#This Row],[Org Total]]</f>
        <v>0.42857142857142855</v>
      </c>
      <c r="AP102" s="313">
        <v>19237</v>
      </c>
      <c r="AQ102" s="313">
        <v>6</v>
      </c>
      <c r="AR102" s="312">
        <f>Table8[[#This Row],[Alcanzados Oct 2025]]/Table8[[#This Row],[Meta 2025]]</f>
        <v>3.1189894474190365E-4</v>
      </c>
      <c r="AS102" s="423">
        <v>0</v>
      </c>
      <c r="AT102" s="423">
        <v>0</v>
      </c>
      <c r="AU102" s="423">
        <v>0</v>
      </c>
      <c r="AV102" s="423">
        <v>4</v>
      </c>
      <c r="AW102" s="423">
        <v>4</v>
      </c>
      <c r="AX102" s="423">
        <v>1</v>
      </c>
      <c r="AY102" s="423">
        <v>2</v>
      </c>
      <c r="AZ102" s="423">
        <v>0</v>
      </c>
      <c r="BA102" s="42">
        <v>0</v>
      </c>
    </row>
    <row r="103" spans="1:53">
      <c r="A103" t="s">
        <v>123</v>
      </c>
      <c r="B103" t="s">
        <v>179</v>
      </c>
      <c r="C103" t="s">
        <v>205</v>
      </c>
      <c r="D103" t="s">
        <v>206</v>
      </c>
      <c r="E103" s="8">
        <v>14481</v>
      </c>
      <c r="F103" s="8">
        <v>3017</v>
      </c>
      <c r="G103" s="8">
        <v>408.07836554268766</v>
      </c>
      <c r="H103" s="8">
        <v>6300</v>
      </c>
      <c r="I103" s="8">
        <v>625.55238667151411</v>
      </c>
      <c r="J103" s="8">
        <v>2888.9530504494292</v>
      </c>
      <c r="K103" s="8">
        <v>0</v>
      </c>
      <c r="L103" s="8">
        <v>924.46497614381735</v>
      </c>
      <c r="M103" s="8">
        <v>1011.1335676573002</v>
      </c>
      <c r="N103" s="6" cm="1">
        <f t="array" ref="N103">_xlfn.XLOOKUP(Table8[[#This Row],[Admin2PCODE]:[Admin2PCODE]],tblPiNAnalysis[[Admin2PCODE]:[Admin2PCODE]],tblPiNAnalysis[% SAMV],0,0)</f>
        <v>0.2</v>
      </c>
      <c r="O103" s="6" cm="1">
        <f t="array" ref="O103">_xlfn.XLOOKUP(Table8[[#This Row],[Admin2PCODE]:[Admin2PCODE]],tblPiNAnalysis[[Admin2PCODE]:[Admin2PCODE]],tblPiNAnalysis[% NUT],0,0)</f>
        <v>0.05</v>
      </c>
      <c r="P103" s="6" cm="1">
        <f t="array" ref="P103">_xlfn.XLOOKUP(Table8[[#This Row],[Admin2PCODE]:[Admin2PCODE]],tblPiNAnalysis[[Admin2PCODE]:[Admin2PCODE]],tblPiNAnalysis[% SAL],0,0)</f>
        <v>0.45</v>
      </c>
      <c r="Q103" s="6" cm="1">
        <f t="array" ref="Q103">_xlfn.XLOOKUP(Table8[[#This Row],[Admin2PCODE]:[Admin2PCODE]],tblPiNAnalysis[[Admin2PCODE]:[Admin2PCODE]],tblPiNAnalysis[% EDU],0,0)</f>
        <v>0.05</v>
      </c>
      <c r="R103" s="6" cm="1">
        <f t="array" ref="R103">_xlfn.XLOOKUP(Table8[[#This Row],[Admin2PCODE]:[Admin2PCODE]],tblPiNAnalysis[[Admin2PCODE]:[Admin2PCODE]],tblPiNAnalysis[% PRO],0,0)</f>
        <v>0.2</v>
      </c>
      <c r="S103" s="6" cm="1">
        <f t="array" ref="S103">_xlfn.XLOOKUP(Table8[[#This Row],[Admin2PCODE]:[Admin2PCODE]],tblPiNAnalysis[[Admin2PCODE]:[Admin2PCODE]],tblPiNAnalysis[% WASH],0,0)</f>
        <v>0</v>
      </c>
      <c r="T103" s="6" cm="1">
        <f t="array" ref="T103">_xlfn.XLOOKUP(Table8[[#This Row],[Admin2PCODE]:[Admin2PCODE]],tblPiNAnalysis[[Admin2PCODE]:[Admin2PCODE]],tblPiNAnalysis[% NNA],0,0)</f>
        <v>0.05</v>
      </c>
      <c r="U103" s="6" cm="1">
        <f t="array" ref="U103">_xlfn.XLOOKUP(Table8[[#This Row],[Admin2PCODE]:[Admin2PCODE]],tblPiNAnalysis[[Admin2PCODE]:[Admin2PCODE]],tblPiNAnalysis[% VBG],0,0)</f>
        <v>0.05</v>
      </c>
      <c r="V103" s="8" cm="1">
        <f t="array" ref="V103">_xlfn.XLOOKUP(Table8[[#This Row],[Admin2PCODE]:[Admin2PCODE]],tblPiNAnalysis[[Admin2PCODE]:[Admin2PCODE]],tblPiNAnalysis[PiN preliminar],0,0)</f>
        <v>0</v>
      </c>
      <c r="W103" s="308" cm="1">
        <f t="array" ref="W103">_xlfn.XLOOKUP(Table8[[#This Row],[Admin2PCODE]],tblPiNAnalysis[Admin2PCODE],tblSeverityAnalysis[Severidad media],0,0)</f>
        <v>2.6666666666666665</v>
      </c>
      <c r="X103" s="42">
        <f>Table8[[#This Row],[Severidad media]]*6</f>
        <v>16</v>
      </c>
      <c r="Y103" s="6" cm="1">
        <f t="array" ref="Y103">_xlfn.XLOOKUP(Table8[[#This Row],[Admin2PCODE]],tblPiNAnalysis[Admin2PCODE],tblPiNAnalysis[% PiN Sectores más altos],0,0)</f>
        <v>0.43505282784338101</v>
      </c>
      <c r="Z103" s="42" cm="1">
        <f t="array" ref="Z103">_xlfn.XLOOKUP(Table8[[#This Row],[Admin2PCODE]:[Admin2PCODE]],tblPiNAnalysis[[Admin2PCODE]:[Admin2PCODE]],tblPiNAnalysis[Severidad],0,0)</f>
        <v>1</v>
      </c>
      <c r="AA103">
        <f>_xlfn.XLOOKUP(Table8[[#This Row],[Admin2PCODE]],tblSeverityAnalysis[Admin 2 Código P],tblSeverityAnalysis[Severidad Ttotal 2025],0,0)</f>
        <v>3</v>
      </c>
      <c r="AB103" t="str">
        <f>_xlfn.XLOOKUP(Table8[[#This Row],[Admin2PCODE]],tblSeverityAnalysis[Admin 2 Código P],tblSeverityAnalysis[Priorización Final 2025],0,0)</f>
        <v>No</v>
      </c>
      <c r="AC103">
        <v>1</v>
      </c>
      <c r="AD103" t="s">
        <v>952</v>
      </c>
      <c r="AE103">
        <v>3</v>
      </c>
      <c r="AF103">
        <v>0</v>
      </c>
      <c r="AG103">
        <v>0</v>
      </c>
      <c r="AH103">
        <v>0</v>
      </c>
      <c r="AI103">
        <v>1</v>
      </c>
      <c r="AJ103">
        <v>2</v>
      </c>
      <c r="AK103">
        <v>0</v>
      </c>
      <c r="AL103">
        <v>0</v>
      </c>
      <c r="AM103">
        <v>0</v>
      </c>
      <c r="AN103">
        <v>0</v>
      </c>
      <c r="AO103" s="314">
        <f>Table8[[#This Row],[N° Clústeres con respuesta]]/Table8[[#This Row],[Org Total]]</f>
        <v>0.33333333333333331</v>
      </c>
      <c r="AP103" s="313">
        <v>3249</v>
      </c>
      <c r="AQ103" s="313">
        <v>8</v>
      </c>
      <c r="AR103" s="312">
        <f>Table8[[#This Row],[Alcanzados Oct 2025]]/Table8[[#This Row],[Meta 2025]]</f>
        <v>2.4622960911049553E-3</v>
      </c>
      <c r="AS103" s="423">
        <v>0</v>
      </c>
      <c r="AT103" s="423">
        <v>0</v>
      </c>
      <c r="AU103" s="423">
        <v>0</v>
      </c>
      <c r="AV103" s="423">
        <v>3</v>
      </c>
      <c r="AW103" s="423">
        <v>7</v>
      </c>
      <c r="AX103" s="423">
        <v>0</v>
      </c>
      <c r="AY103" s="423">
        <v>0</v>
      </c>
      <c r="AZ103" s="423">
        <v>0</v>
      </c>
      <c r="BA103" s="42">
        <v>0</v>
      </c>
    </row>
    <row r="104" spans="1:53">
      <c r="A104" t="s">
        <v>123</v>
      </c>
      <c r="B104" t="s">
        <v>179</v>
      </c>
      <c r="C104" t="s">
        <v>207</v>
      </c>
      <c r="D104" t="s">
        <v>208</v>
      </c>
      <c r="E104" s="8">
        <v>21747</v>
      </c>
      <c r="F104" s="8">
        <v>5695</v>
      </c>
      <c r="G104" s="8">
        <v>688.18447739880594</v>
      </c>
      <c r="H104" s="8">
        <v>8400</v>
      </c>
      <c r="I104" s="8">
        <v>1785.1604140213531</v>
      </c>
      <c r="J104" s="8">
        <v>4338.5168143169494</v>
      </c>
      <c r="K104" s="8">
        <v>0</v>
      </c>
      <c r="L104" s="8">
        <v>1392.6638973957408</v>
      </c>
      <c r="M104" s="8">
        <v>1518.4808850109323</v>
      </c>
      <c r="N104" s="6" cm="1">
        <f t="array" ref="N104">_xlfn.XLOOKUP(Table8[[#This Row],[Admin2PCODE]:[Admin2PCODE]],tblPiNAnalysis[[Admin2PCODE]:[Admin2PCODE]],tblPiNAnalysis[% SAMV],0,0)</f>
        <v>0.25</v>
      </c>
      <c r="O104" s="6" cm="1">
        <f t="array" ref="O104">_xlfn.XLOOKUP(Table8[[#This Row],[Admin2PCODE]:[Admin2PCODE]],tblPiNAnalysis[[Admin2PCODE]:[Admin2PCODE]],tblPiNAnalysis[% NUT],0,0)</f>
        <v>0.05</v>
      </c>
      <c r="P104" s="6" cm="1">
        <f t="array" ref="P104">_xlfn.XLOOKUP(Table8[[#This Row],[Admin2PCODE]:[Admin2PCODE]],tblPiNAnalysis[[Admin2PCODE]:[Admin2PCODE]],tblPiNAnalysis[% SAL],0,0)</f>
        <v>0.4</v>
      </c>
      <c r="Q104" s="6" cm="1">
        <f t="array" ref="Q104">_xlfn.XLOOKUP(Table8[[#This Row],[Admin2PCODE]:[Admin2PCODE]],tblPiNAnalysis[[Admin2PCODE]:[Admin2PCODE]],tblPiNAnalysis[% EDU],0,0)</f>
        <v>0.1</v>
      </c>
      <c r="R104" s="6" cm="1">
        <f t="array" ref="R104">_xlfn.XLOOKUP(Table8[[#This Row],[Admin2PCODE]:[Admin2PCODE]],tblPiNAnalysis[[Admin2PCODE]:[Admin2PCODE]],tblPiNAnalysis[% PRO],0,0)</f>
        <v>0.2</v>
      </c>
      <c r="S104" s="6" cm="1">
        <f t="array" ref="S104">_xlfn.XLOOKUP(Table8[[#This Row],[Admin2PCODE]:[Admin2PCODE]],tblPiNAnalysis[[Admin2PCODE]:[Admin2PCODE]],tblPiNAnalysis[% WASH],0,0)</f>
        <v>0</v>
      </c>
      <c r="T104" s="6" cm="1">
        <f t="array" ref="T104">_xlfn.XLOOKUP(Table8[[#This Row],[Admin2PCODE]:[Admin2PCODE]],tblPiNAnalysis[[Admin2PCODE]:[Admin2PCODE]],tblPiNAnalysis[% NNA],0,0)</f>
        <v>0.05</v>
      </c>
      <c r="U104" s="6" cm="1">
        <f t="array" ref="U104">_xlfn.XLOOKUP(Table8[[#This Row],[Admin2PCODE]:[Admin2PCODE]],tblPiNAnalysis[[Admin2PCODE]:[Admin2PCODE]],tblPiNAnalysis[% VBG],0,0)</f>
        <v>0.05</v>
      </c>
      <c r="V104" s="8" cm="1">
        <f t="array" ref="V104">_xlfn.XLOOKUP(Table8[[#This Row],[Admin2PCODE]:[Admin2PCODE]],tblPiNAnalysis[[Admin2PCODE]:[Admin2PCODE]],tblPiNAnalysis[PiN preliminar],0,0)</f>
        <v>8400</v>
      </c>
      <c r="W104" s="308" cm="1">
        <f t="array" ref="W104">_xlfn.XLOOKUP(Table8[[#This Row],[Admin2PCODE]],tblPiNAnalysis[Admin2PCODE],tblSeverityAnalysis[Severidad media],0,0)</f>
        <v>3.1666666666666665</v>
      </c>
      <c r="X104" s="42">
        <f>Table8[[#This Row],[Severidad media]]*6</f>
        <v>19</v>
      </c>
      <c r="Y104" s="6" cm="1">
        <f t="array" ref="Y104">_xlfn.XLOOKUP(Table8[[#This Row],[Admin2PCODE]],tblPiNAnalysis[Admin2PCODE],tblPiNAnalysis[% PiN Sectores más altos],0,0)</f>
        <v>0.38626017381707822</v>
      </c>
      <c r="Z104" s="42" cm="1">
        <f t="array" ref="Z104">_xlfn.XLOOKUP(Table8[[#This Row],[Admin2PCODE]:[Admin2PCODE]],tblPiNAnalysis[[Admin2PCODE]:[Admin2PCODE]],tblPiNAnalysis[Severidad],0,0)</f>
        <v>3</v>
      </c>
      <c r="AA104">
        <f>_xlfn.XLOOKUP(Table8[[#This Row],[Admin2PCODE]],tblSeverityAnalysis[Admin 2 Código P],tblSeverityAnalysis[Severidad Ttotal 2025],0,0)</f>
        <v>3</v>
      </c>
      <c r="AB104" t="str">
        <f>_xlfn.XLOOKUP(Table8[[#This Row],[Admin2PCODE]],tblSeverityAnalysis[Admin 2 Código P],tblSeverityAnalysis[Priorización Final 2025],0,0)</f>
        <v>No</v>
      </c>
      <c r="AC104">
        <v>1</v>
      </c>
      <c r="AD104" t="s">
        <v>94</v>
      </c>
      <c r="AE104">
        <v>1</v>
      </c>
      <c r="AF104">
        <v>0</v>
      </c>
      <c r="AG104">
        <v>0</v>
      </c>
      <c r="AH104">
        <v>0</v>
      </c>
      <c r="AI104">
        <v>0</v>
      </c>
      <c r="AJ104">
        <v>0</v>
      </c>
      <c r="AK104">
        <v>0</v>
      </c>
      <c r="AL104">
        <v>0</v>
      </c>
      <c r="AM104">
        <v>1</v>
      </c>
      <c r="AN104">
        <v>0</v>
      </c>
      <c r="AO104" s="314">
        <f>Table8[[#This Row],[N° Clústeres con respuesta]]/Table8[[#This Row],[Org Total]]</f>
        <v>1</v>
      </c>
      <c r="AP104" s="313">
        <v>4879</v>
      </c>
      <c r="AQ104" s="313">
        <v>0</v>
      </c>
      <c r="AR104" s="312">
        <f>Table8[[#This Row],[Alcanzados Oct 2025]]/Table8[[#This Row],[Meta 2025]]</f>
        <v>0</v>
      </c>
      <c r="AS104" s="423">
        <v>0</v>
      </c>
      <c r="AT104" s="423">
        <v>0</v>
      </c>
      <c r="AU104" s="423">
        <v>0</v>
      </c>
      <c r="AV104" s="423">
        <v>0</v>
      </c>
      <c r="AW104" s="423">
        <v>0</v>
      </c>
      <c r="AX104" s="423">
        <v>0</v>
      </c>
      <c r="AY104" s="423">
        <v>0</v>
      </c>
      <c r="AZ104" s="423">
        <v>0</v>
      </c>
      <c r="BA104" s="42">
        <v>0</v>
      </c>
    </row>
    <row r="105" spans="1:53">
      <c r="A105" t="s">
        <v>123</v>
      </c>
      <c r="B105" t="s">
        <v>179</v>
      </c>
      <c r="C105" t="s">
        <v>209</v>
      </c>
      <c r="D105" t="s">
        <v>210</v>
      </c>
      <c r="E105" s="8">
        <v>148029</v>
      </c>
      <c r="F105" s="8">
        <v>31124</v>
      </c>
      <c r="G105" s="8">
        <v>4506.5957131958357</v>
      </c>
      <c r="H105" s="8">
        <v>54030.584999999999</v>
      </c>
      <c r="I105" s="8">
        <v>18335.03499985169</v>
      </c>
      <c r="J105" s="8">
        <v>29531.719570815454</v>
      </c>
      <c r="K105" s="8">
        <v>0</v>
      </c>
      <c r="L105" s="8">
        <v>9479.6819822317611</v>
      </c>
      <c r="M105" s="8">
        <v>10336.101849785409</v>
      </c>
      <c r="N105" s="6" cm="1">
        <f t="array" ref="N105">_xlfn.XLOOKUP(Table8[[#This Row],[Admin2PCODE]:[Admin2PCODE]],tblPiNAnalysis[[Admin2PCODE]:[Admin2PCODE]],tblPiNAnalysis[% SAMV],0,0)</f>
        <v>0.2</v>
      </c>
      <c r="O105" s="6" cm="1">
        <f t="array" ref="O105">_xlfn.XLOOKUP(Table8[[#This Row],[Admin2PCODE]:[Admin2PCODE]],tblPiNAnalysis[[Admin2PCODE]:[Admin2PCODE]],tblPiNAnalysis[% NUT],0,0)</f>
        <v>0.05</v>
      </c>
      <c r="P105" s="6" cm="1">
        <f t="array" ref="P105">_xlfn.XLOOKUP(Table8[[#This Row],[Admin2PCODE]:[Admin2PCODE]],tblPiNAnalysis[[Admin2PCODE]:[Admin2PCODE]],tblPiNAnalysis[% SAL],0,0)</f>
        <v>0.35000000000000003</v>
      </c>
      <c r="Q105" s="6" cm="1">
        <f t="array" ref="Q105">_xlfn.XLOOKUP(Table8[[#This Row],[Admin2PCODE]:[Admin2PCODE]],tblPiNAnalysis[[Admin2PCODE]:[Admin2PCODE]],tblPiNAnalysis[% EDU],0,0)</f>
        <v>0.1</v>
      </c>
      <c r="R105" s="6" cm="1">
        <f t="array" ref="R105">_xlfn.XLOOKUP(Table8[[#This Row],[Admin2PCODE]:[Admin2PCODE]],tblPiNAnalysis[[Admin2PCODE]:[Admin2PCODE]],tblPiNAnalysis[% PRO],0,0)</f>
        <v>0.2</v>
      </c>
      <c r="S105" s="6" cm="1">
        <f t="array" ref="S105">_xlfn.XLOOKUP(Table8[[#This Row],[Admin2PCODE]:[Admin2PCODE]],tblPiNAnalysis[[Admin2PCODE]:[Admin2PCODE]],tblPiNAnalysis[% WASH],0,0)</f>
        <v>0</v>
      </c>
      <c r="T105" s="6" cm="1">
        <f t="array" ref="T105">_xlfn.XLOOKUP(Table8[[#This Row],[Admin2PCODE]:[Admin2PCODE]],tblPiNAnalysis[[Admin2PCODE]:[Admin2PCODE]],tblPiNAnalysis[% NNA],0,0)</f>
        <v>0.05</v>
      </c>
      <c r="U105" s="6" cm="1">
        <f t="array" ref="U105">_xlfn.XLOOKUP(Table8[[#This Row],[Admin2PCODE]:[Admin2PCODE]],tblPiNAnalysis[[Admin2PCODE]:[Admin2PCODE]],tblPiNAnalysis[% VBG],0,0)</f>
        <v>0.05</v>
      </c>
      <c r="V105" s="8" cm="1">
        <f t="array" ref="V105">_xlfn.XLOOKUP(Table8[[#This Row],[Admin2PCODE]:[Admin2PCODE]],tblPiNAnalysis[[Admin2PCODE]:[Admin2PCODE]],tblPiNAnalysis[PiN preliminar],0,0)</f>
        <v>0</v>
      </c>
      <c r="W105" s="308" cm="1">
        <f t="array" ref="W105">_xlfn.XLOOKUP(Table8[[#This Row],[Admin2PCODE]],tblPiNAnalysis[Admin2PCODE],tblSeverityAnalysis[Severidad media],0,0)</f>
        <v>3.1666666666666665</v>
      </c>
      <c r="X105" s="42">
        <f>Table8[[#This Row],[Severidad media]]*6</f>
        <v>19</v>
      </c>
      <c r="Y105" s="6" cm="1">
        <f t="array" ref="Y105">_xlfn.XLOOKUP(Table8[[#This Row],[Admin2PCODE]],tblPiNAnalysis[Admin2PCODE],tblPiNAnalysis[% PiN Sectores más altos],0,0)</f>
        <v>0.36499999999999999</v>
      </c>
      <c r="Z105" s="42" cm="1">
        <f t="array" ref="Z105">_xlfn.XLOOKUP(Table8[[#This Row],[Admin2PCODE]:[Admin2PCODE]],tblPiNAnalysis[[Admin2PCODE]:[Admin2PCODE]],tblPiNAnalysis[Severidad],0,0)</f>
        <v>2</v>
      </c>
      <c r="AA105">
        <f>_xlfn.XLOOKUP(Table8[[#This Row],[Admin2PCODE]],tblSeverityAnalysis[Admin 2 Código P],tblSeverityAnalysis[Severidad Ttotal 2025],0,0)</f>
        <v>3</v>
      </c>
      <c r="AB105" t="str">
        <f>_xlfn.XLOOKUP(Table8[[#This Row],[Admin2PCODE]],tblSeverityAnalysis[Admin 2 Código P],tblSeverityAnalysis[Priorización Final 2025],0,0)</f>
        <v>No</v>
      </c>
      <c r="AC105">
        <v>4</v>
      </c>
      <c r="AD105" t="s">
        <v>1021</v>
      </c>
      <c r="AE105">
        <v>6</v>
      </c>
      <c r="AF105">
        <v>0</v>
      </c>
      <c r="AG105">
        <v>0</v>
      </c>
      <c r="AH105">
        <v>1</v>
      </c>
      <c r="AI105">
        <v>2</v>
      </c>
      <c r="AJ105">
        <v>0</v>
      </c>
      <c r="AK105">
        <v>2</v>
      </c>
      <c r="AL105">
        <v>0</v>
      </c>
      <c r="AM105">
        <v>1</v>
      </c>
      <c r="AN105">
        <v>0</v>
      </c>
      <c r="AO105" s="314">
        <f>Table8[[#This Row],[N° Clústeres con respuesta]]/Table8[[#This Row],[Org Total]]</f>
        <v>0.66666666666666663</v>
      </c>
      <c r="AP105" s="313">
        <v>24318</v>
      </c>
      <c r="AQ105" s="313">
        <v>775</v>
      </c>
      <c r="AR105" s="312">
        <f>Table8[[#This Row],[Alcanzados Oct 2025]]/Table8[[#This Row],[Meta 2025]]</f>
        <v>3.1869397154371246E-2</v>
      </c>
      <c r="AS105" s="423">
        <v>0</v>
      </c>
      <c r="AT105" s="423">
        <v>0</v>
      </c>
      <c r="AU105" s="423">
        <v>757</v>
      </c>
      <c r="AV105" s="423">
        <v>0</v>
      </c>
      <c r="AW105" s="423">
        <v>0</v>
      </c>
      <c r="AX105" s="423">
        <v>1</v>
      </c>
      <c r="AY105" s="423">
        <v>0</v>
      </c>
      <c r="AZ105" s="423">
        <v>47</v>
      </c>
      <c r="BA105" s="42">
        <v>0</v>
      </c>
    </row>
    <row r="106" spans="1:53">
      <c r="A106" t="s">
        <v>123</v>
      </c>
      <c r="B106" t="s">
        <v>179</v>
      </c>
      <c r="C106" t="s">
        <v>828</v>
      </c>
      <c r="D106" t="s">
        <v>212</v>
      </c>
      <c r="E106" s="8">
        <v>125901</v>
      </c>
      <c r="F106" s="8">
        <v>8775</v>
      </c>
      <c r="G106" s="8">
        <v>3880.6235656391223</v>
      </c>
      <c r="H106" s="8">
        <v>45953.864999999998</v>
      </c>
      <c r="I106" s="8">
        <v>15410.149695459808</v>
      </c>
      <c r="J106" s="8">
        <v>25117.193426188365</v>
      </c>
      <c r="K106" s="8">
        <v>0</v>
      </c>
      <c r="L106" s="8">
        <v>8037.5018963802777</v>
      </c>
      <c r="M106" s="8">
        <v>8791.0176991659282</v>
      </c>
      <c r="N106" s="6" cm="1">
        <f t="array" ref="N106">_xlfn.XLOOKUP(Table8[[#This Row],[Admin2PCODE]:[Admin2PCODE]],tblPiNAnalysis[[Admin2PCODE]:[Admin2PCODE]],tblPiNAnalysis[% SAMV],0,0)</f>
        <v>0.05</v>
      </c>
      <c r="O106" s="6" cm="1">
        <f t="array" ref="O106">_xlfn.XLOOKUP(Table8[[#This Row],[Admin2PCODE]:[Admin2PCODE]],tblPiNAnalysis[[Admin2PCODE]:[Admin2PCODE]],tblPiNAnalysis[% NUT],0,0)</f>
        <v>0.05</v>
      </c>
      <c r="P106" s="6" cm="1">
        <f t="array" ref="P106">_xlfn.XLOOKUP(Table8[[#This Row],[Admin2PCODE]:[Admin2PCODE]],tblPiNAnalysis[[Admin2PCODE]:[Admin2PCODE]],tblPiNAnalysis[% SAL],0,0)</f>
        <v>0.35000000000000003</v>
      </c>
      <c r="Q106" s="6" cm="1">
        <f t="array" ref="Q106">_xlfn.XLOOKUP(Table8[[#This Row],[Admin2PCODE]:[Admin2PCODE]],tblPiNAnalysis[[Admin2PCODE]:[Admin2PCODE]],tblPiNAnalysis[% EDU],0,0)</f>
        <v>0.1</v>
      </c>
      <c r="R106" s="6" cm="1">
        <f t="array" ref="R106">_xlfn.XLOOKUP(Table8[[#This Row],[Admin2PCODE]:[Admin2PCODE]],tblPiNAnalysis[[Admin2PCODE]:[Admin2PCODE]],tblPiNAnalysis[% PRO],0,0)</f>
        <v>0.2</v>
      </c>
      <c r="S106" s="6" cm="1">
        <f t="array" ref="S106">_xlfn.XLOOKUP(Table8[[#This Row],[Admin2PCODE]:[Admin2PCODE]],tblPiNAnalysis[[Admin2PCODE]:[Admin2PCODE]],tblPiNAnalysis[% WASH],0,0)</f>
        <v>0</v>
      </c>
      <c r="T106" s="6" cm="1">
        <f t="array" ref="T106">_xlfn.XLOOKUP(Table8[[#This Row],[Admin2PCODE]:[Admin2PCODE]],tblPiNAnalysis[[Admin2PCODE]:[Admin2PCODE]],tblPiNAnalysis[% NNA],0,0)</f>
        <v>0.05</v>
      </c>
      <c r="U106" s="6" cm="1">
        <f t="array" ref="U106">_xlfn.XLOOKUP(Table8[[#This Row],[Admin2PCODE]:[Admin2PCODE]],tblPiNAnalysis[[Admin2PCODE]:[Admin2PCODE]],tblPiNAnalysis[% VBG],0,0)</f>
        <v>0.05</v>
      </c>
      <c r="V106" s="8" cm="1">
        <f t="array" ref="V106">_xlfn.XLOOKUP(Table8[[#This Row],[Admin2PCODE]:[Admin2PCODE]],tblPiNAnalysis[[Admin2PCODE]:[Admin2PCODE]],tblPiNAnalysis[PiN preliminar],0,0)</f>
        <v>0</v>
      </c>
      <c r="W106" s="308" cm="1">
        <f t="array" ref="W106">_xlfn.XLOOKUP(Table8[[#This Row],[Admin2PCODE]],tblPiNAnalysis[Admin2PCODE],tblSeverityAnalysis[Severidad media],0,0)</f>
        <v>3.6666666666666665</v>
      </c>
      <c r="X106" s="42">
        <f>Table8[[#This Row],[Severidad media]]*6</f>
        <v>22</v>
      </c>
      <c r="Y106" s="6" cm="1">
        <f t="array" ref="Y106">_xlfn.XLOOKUP(Table8[[#This Row],[Admin2PCODE]],tblPiNAnalysis[Admin2PCODE],tblPiNAnalysis[% PiN Sectores más altos],0,0)</f>
        <v>0.36499999999999999</v>
      </c>
      <c r="Z106" s="42" cm="1">
        <f t="array" ref="Z106">_xlfn.XLOOKUP(Table8[[#This Row],[Admin2PCODE]:[Admin2PCODE]],tblPiNAnalysis[[Admin2PCODE]:[Admin2PCODE]],tblPiNAnalysis[Severidad],0,0)</f>
        <v>2</v>
      </c>
      <c r="AA106">
        <f>_xlfn.XLOOKUP(Table8[[#This Row],[Admin2PCODE]],tblSeverityAnalysis[Admin 2 Código P],tblSeverityAnalysis[Severidad Ttotal 2025],0,0)</f>
        <v>3</v>
      </c>
      <c r="AB106" t="str">
        <f>_xlfn.XLOOKUP(Table8[[#This Row],[Admin2PCODE]],tblSeverityAnalysis[Admin 2 Código P],tblSeverityAnalysis[Priorización Final 2025],0,0)</f>
        <v>No</v>
      </c>
      <c r="AC106">
        <v>4</v>
      </c>
      <c r="AD106" t="s">
        <v>1022</v>
      </c>
      <c r="AE106">
        <v>7</v>
      </c>
      <c r="AF106">
        <v>0</v>
      </c>
      <c r="AG106">
        <v>0</v>
      </c>
      <c r="AH106">
        <v>1</v>
      </c>
      <c r="AI106">
        <v>0</v>
      </c>
      <c r="AJ106">
        <v>2</v>
      </c>
      <c r="AK106">
        <v>2</v>
      </c>
      <c r="AL106">
        <v>2</v>
      </c>
      <c r="AM106">
        <v>0</v>
      </c>
      <c r="AN106">
        <v>0</v>
      </c>
      <c r="AO106" s="314">
        <f>Table8[[#This Row],[N° Clústeres con respuesta]]/Table8[[#This Row],[Org Total]]</f>
        <v>0.5714285714285714</v>
      </c>
      <c r="AP106" s="313">
        <v>20684</v>
      </c>
      <c r="AQ106" s="313">
        <v>464</v>
      </c>
      <c r="AR106" s="312">
        <f>Table8[[#This Row],[Alcanzados Oct 2025]]/Table8[[#This Row],[Meta 2025]]</f>
        <v>2.2432798298201509E-2</v>
      </c>
      <c r="AS106" s="423">
        <v>0</v>
      </c>
      <c r="AT106" s="423">
        <v>0</v>
      </c>
      <c r="AU106" s="423">
        <v>462</v>
      </c>
      <c r="AV106" s="423">
        <v>0</v>
      </c>
      <c r="AW106" s="423">
        <v>22</v>
      </c>
      <c r="AX106" s="423">
        <v>2</v>
      </c>
      <c r="AY106" s="423">
        <v>1</v>
      </c>
      <c r="AZ106" s="423">
        <v>0</v>
      </c>
      <c r="BA106" s="42">
        <v>0</v>
      </c>
    </row>
    <row r="107" spans="1:53">
      <c r="A107" t="s">
        <v>123</v>
      </c>
      <c r="B107" t="s">
        <v>179</v>
      </c>
      <c r="C107" t="s">
        <v>825</v>
      </c>
      <c r="D107" t="s">
        <v>214</v>
      </c>
      <c r="E107" s="8">
        <v>13105</v>
      </c>
      <c r="F107" s="8">
        <v>2184</v>
      </c>
      <c r="G107" s="8">
        <v>425.99653851825843</v>
      </c>
      <c r="H107" s="8">
        <v>5200</v>
      </c>
      <c r="I107" s="8">
        <v>1213.8393721090986</v>
      </c>
      <c r="J107" s="8">
        <v>2614.441663292575</v>
      </c>
      <c r="K107" s="8">
        <v>0</v>
      </c>
      <c r="L107" s="8">
        <v>839.23577391691663</v>
      </c>
      <c r="M107" s="8">
        <v>915.05458215240117</v>
      </c>
      <c r="N107" s="6" cm="1">
        <f t="array" ref="N107">_xlfn.XLOOKUP(Table8[[#This Row],[Admin2PCODE]:[Admin2PCODE]],tblPiNAnalysis[[Admin2PCODE]:[Admin2PCODE]],tblPiNAnalysis[% SAMV],0,0)</f>
        <v>0.15000000000000002</v>
      </c>
      <c r="O107" s="6" cm="1">
        <f t="array" ref="O107">_xlfn.XLOOKUP(Table8[[#This Row],[Admin2PCODE]:[Admin2PCODE]],tblPiNAnalysis[[Admin2PCODE]:[Admin2PCODE]],tblPiNAnalysis[% NUT],0,0)</f>
        <v>0.05</v>
      </c>
      <c r="P107" s="6" cm="1">
        <f t="array" ref="P107">_xlfn.XLOOKUP(Table8[[#This Row],[Admin2PCODE]:[Admin2PCODE]],tblPiNAnalysis[[Admin2PCODE]:[Admin2PCODE]],tblPiNAnalysis[% SAL],0,0)</f>
        <v>0.4</v>
      </c>
      <c r="Q107" s="6" cm="1">
        <f t="array" ref="Q107">_xlfn.XLOOKUP(Table8[[#This Row],[Admin2PCODE]:[Admin2PCODE]],tblPiNAnalysis[[Admin2PCODE]:[Admin2PCODE]],tblPiNAnalysis[% EDU],0,0)</f>
        <v>0.1</v>
      </c>
      <c r="R107" s="6" cm="1">
        <f t="array" ref="R107">_xlfn.XLOOKUP(Table8[[#This Row],[Admin2PCODE]:[Admin2PCODE]],tblPiNAnalysis[[Admin2PCODE]:[Admin2PCODE]],tblPiNAnalysis[% PRO],0,0)</f>
        <v>0.2</v>
      </c>
      <c r="S107" s="6" cm="1">
        <f t="array" ref="S107">_xlfn.XLOOKUP(Table8[[#This Row],[Admin2PCODE]:[Admin2PCODE]],tblPiNAnalysis[[Admin2PCODE]:[Admin2PCODE]],tblPiNAnalysis[% WASH],0,0)</f>
        <v>0</v>
      </c>
      <c r="T107" s="6" cm="1">
        <f t="array" ref="T107">_xlfn.XLOOKUP(Table8[[#This Row],[Admin2PCODE]:[Admin2PCODE]],tblPiNAnalysis[[Admin2PCODE]:[Admin2PCODE]],tblPiNAnalysis[% NNA],0,0)</f>
        <v>0.05</v>
      </c>
      <c r="U107" s="6" cm="1">
        <f t="array" ref="U107">_xlfn.XLOOKUP(Table8[[#This Row],[Admin2PCODE]:[Admin2PCODE]],tblPiNAnalysis[[Admin2PCODE]:[Admin2PCODE]],tblPiNAnalysis[% VBG],0,0)</f>
        <v>0.05</v>
      </c>
      <c r="V107" s="8" cm="1">
        <f t="array" ref="V107">_xlfn.XLOOKUP(Table8[[#This Row],[Admin2PCODE]:[Admin2PCODE]],tblPiNAnalysis[[Admin2PCODE]:[Admin2PCODE]],tblPiNAnalysis[PiN preliminar],0,0)</f>
        <v>5200</v>
      </c>
      <c r="W107" s="308" cm="1">
        <f t="array" ref="W107">_xlfn.XLOOKUP(Table8[[#This Row],[Admin2PCODE]],tblPiNAnalysis[Admin2PCODE],tblSeverityAnalysis[Severidad media],0,0)</f>
        <v>2.6666666666666665</v>
      </c>
      <c r="X107" s="42">
        <f>Table8[[#This Row],[Severidad media]]*6</f>
        <v>16</v>
      </c>
      <c r="Y107" s="6" cm="1">
        <f t="array" ref="Y107">_xlfn.XLOOKUP(Table8[[#This Row],[Admin2PCODE]],tblPiNAnalysis[Admin2PCODE],tblPiNAnalysis[% PiN Sectores más altos],0,0)</f>
        <v>0.39679511636779857</v>
      </c>
      <c r="Z107" s="42" cm="1">
        <f t="array" ref="Z107">_xlfn.XLOOKUP(Table8[[#This Row],[Admin2PCODE]:[Admin2PCODE]],tblPiNAnalysis[[Admin2PCODE]:[Admin2PCODE]],tblPiNAnalysis[Severidad],0,0)</f>
        <v>3</v>
      </c>
      <c r="AA107">
        <f>_xlfn.XLOOKUP(Table8[[#This Row],[Admin2PCODE]],tblSeverityAnalysis[Admin 2 Código P],tblSeverityAnalysis[Severidad Ttotal 2025],0,0)</f>
        <v>3</v>
      </c>
      <c r="AB107" t="str">
        <f>_xlfn.XLOOKUP(Table8[[#This Row],[Admin2PCODE]],tblSeverityAnalysis[Admin 2 Código P],tblSeverityAnalysis[Priorización Final 2025],0,0)</f>
        <v>No</v>
      </c>
      <c r="AC107">
        <v>1</v>
      </c>
      <c r="AD107" t="s">
        <v>95</v>
      </c>
      <c r="AE107">
        <v>1</v>
      </c>
      <c r="AF107">
        <v>0</v>
      </c>
      <c r="AG107">
        <v>0</v>
      </c>
      <c r="AH107">
        <v>1</v>
      </c>
      <c r="AI107">
        <v>0</v>
      </c>
      <c r="AJ107">
        <v>0</v>
      </c>
      <c r="AK107">
        <v>0</v>
      </c>
      <c r="AL107">
        <v>0</v>
      </c>
      <c r="AM107">
        <v>0</v>
      </c>
      <c r="AN107">
        <v>0</v>
      </c>
      <c r="AO107" s="314">
        <f>Table8[[#This Row],[N° Clústeres con respuesta]]/Table8[[#This Row],[Org Total]]</f>
        <v>1</v>
      </c>
      <c r="AP107" s="313">
        <v>3060</v>
      </c>
      <c r="AQ107" s="313">
        <v>56</v>
      </c>
      <c r="AR107" s="312">
        <f>Table8[[#This Row],[Alcanzados Oct 2025]]/Table8[[#This Row],[Meta 2025]]</f>
        <v>1.8300653594771243E-2</v>
      </c>
      <c r="AS107" s="423">
        <v>0</v>
      </c>
      <c r="AT107" s="423">
        <v>0</v>
      </c>
      <c r="AU107" s="423">
        <v>56</v>
      </c>
      <c r="AV107" s="423">
        <v>0</v>
      </c>
      <c r="AW107" s="423">
        <v>0</v>
      </c>
      <c r="AX107" s="423">
        <v>0</v>
      </c>
      <c r="AY107" s="423">
        <v>0</v>
      </c>
      <c r="AZ107" s="423">
        <v>0</v>
      </c>
      <c r="BA107" s="42">
        <v>0</v>
      </c>
    </row>
    <row r="108" spans="1:53">
      <c r="A108" t="s">
        <v>215</v>
      </c>
      <c r="B108" t="s">
        <v>216</v>
      </c>
      <c r="C108" t="s">
        <v>217</v>
      </c>
      <c r="D108" t="s">
        <v>218</v>
      </c>
      <c r="E108" s="8">
        <v>42163</v>
      </c>
      <c r="F108" s="8">
        <v>1562</v>
      </c>
      <c r="G108" s="8">
        <v>1812.6728286743305</v>
      </c>
      <c r="H108" s="8">
        <v>21900</v>
      </c>
      <c r="I108" s="8">
        <v>1947.0969898683175</v>
      </c>
      <c r="J108" s="8">
        <v>6055.2513038751149</v>
      </c>
      <c r="K108" s="8">
        <v>0</v>
      </c>
      <c r="L108" s="8">
        <v>1937.6804172400368</v>
      </c>
      <c r="M108" s="8">
        <v>2119.3379563562903</v>
      </c>
      <c r="N108" s="6" cm="1">
        <f t="array" ref="N108">_xlfn.XLOOKUP(Table8[[#This Row],[Admin2PCODE]:[Admin2PCODE]],tblPiNAnalysis[[Admin2PCODE]:[Admin2PCODE]],tblPiNAnalysis[% SAMV],0,0)</f>
        <v>0.05</v>
      </c>
      <c r="O108" s="6" cm="1">
        <f t="array" ref="O108">_xlfn.XLOOKUP(Table8[[#This Row],[Admin2PCODE]:[Admin2PCODE]],tblPiNAnalysis[[Admin2PCODE]:[Admin2PCODE]],tblPiNAnalysis[% NUT],0,0)</f>
        <v>0.05</v>
      </c>
      <c r="P108" s="6" cm="1">
        <f t="array" ref="P108">_xlfn.XLOOKUP(Table8[[#This Row],[Admin2PCODE]:[Admin2PCODE]],tblPiNAnalysis[[Admin2PCODE]:[Admin2PCODE]],tblPiNAnalysis[% SAL],0,0)</f>
        <v>0.5</v>
      </c>
      <c r="Q108" s="6" cm="1">
        <f t="array" ref="Q108">_xlfn.XLOOKUP(Table8[[#This Row],[Admin2PCODE]:[Admin2PCODE]],tblPiNAnalysis[[Admin2PCODE]:[Admin2PCODE]],tblPiNAnalysis[% EDU],0,0)</f>
        <v>0.05</v>
      </c>
      <c r="R108" s="6" cm="1">
        <f t="array" ref="R108">_xlfn.XLOOKUP(Table8[[#This Row],[Admin2PCODE]:[Admin2PCODE]],tblPiNAnalysis[[Admin2PCODE]:[Admin2PCODE]],tblPiNAnalysis[% PRO],0,0)</f>
        <v>0.15000000000000002</v>
      </c>
      <c r="S108" s="6" cm="1">
        <f t="array" ref="S108">_xlfn.XLOOKUP(Table8[[#This Row],[Admin2PCODE]:[Admin2PCODE]],tblPiNAnalysis[[Admin2PCODE]:[Admin2PCODE]],tblPiNAnalysis[% WASH],0,0)</f>
        <v>0</v>
      </c>
      <c r="T108" s="6" cm="1">
        <f t="array" ref="T108">_xlfn.XLOOKUP(Table8[[#This Row],[Admin2PCODE]:[Admin2PCODE]],tblPiNAnalysis[[Admin2PCODE]:[Admin2PCODE]],tblPiNAnalysis[% NNA],0,0)</f>
        <v>0.05</v>
      </c>
      <c r="U108" s="6" cm="1">
        <f t="array" ref="U108">_xlfn.XLOOKUP(Table8[[#This Row],[Admin2PCODE]:[Admin2PCODE]],tblPiNAnalysis[[Admin2PCODE]:[Admin2PCODE]],tblPiNAnalysis[% VBG],0,0)</f>
        <v>0.05</v>
      </c>
      <c r="V108" s="8" cm="1">
        <f t="array" ref="V108">_xlfn.XLOOKUP(Table8[[#This Row],[Admin2PCODE]:[Admin2PCODE]],tblPiNAnalysis[[Admin2PCODE]:[Admin2PCODE]],tblPiNAnalysis[PiN preliminar],0,0)</f>
        <v>0</v>
      </c>
      <c r="W108" s="308" cm="1">
        <f t="array" ref="W108">_xlfn.XLOOKUP(Table8[[#This Row],[Admin2PCODE]],tblPiNAnalysis[Admin2PCODE],tblSeverityAnalysis[Severidad media],0,0)</f>
        <v>2.8333333333333335</v>
      </c>
      <c r="X108" s="42">
        <f>Table8[[#This Row],[Severidad media]]*6</f>
        <v>17</v>
      </c>
      <c r="Y108" s="6" cm="1">
        <f t="array" ref="Y108">_xlfn.XLOOKUP(Table8[[#This Row],[Admin2PCODE]],tblPiNAnalysis[Admin2PCODE],tblPiNAnalysis[% PiN Sectores más altos],0,0)</f>
        <v>0.5194127552593506</v>
      </c>
      <c r="Z108" s="42" cm="1">
        <f t="array" ref="Z108">_xlfn.XLOOKUP(Table8[[#This Row],[Admin2PCODE]:[Admin2PCODE]],tblPiNAnalysis[[Admin2PCODE]:[Admin2PCODE]],tblPiNAnalysis[Severidad],0,0)</f>
        <v>2</v>
      </c>
      <c r="AA108">
        <f>_xlfn.XLOOKUP(Table8[[#This Row],[Admin2PCODE]],tblSeverityAnalysis[Admin 2 Código P],tblSeverityAnalysis[Severidad Ttotal 2025],0,0)</f>
        <v>3</v>
      </c>
      <c r="AB108" t="str">
        <f>_xlfn.XLOOKUP(Table8[[#This Row],[Admin2PCODE]],tblSeverityAnalysis[Admin 2 Código P],tblSeverityAnalysis[Priorización Final 2025],0,0)</f>
        <v>No</v>
      </c>
      <c r="AC108">
        <v>1</v>
      </c>
      <c r="AD108" t="s">
        <v>92</v>
      </c>
      <c r="AE108">
        <v>2</v>
      </c>
      <c r="AF108">
        <v>0</v>
      </c>
      <c r="AG108">
        <v>0</v>
      </c>
      <c r="AH108">
        <v>0</v>
      </c>
      <c r="AI108">
        <v>0</v>
      </c>
      <c r="AJ108">
        <v>0</v>
      </c>
      <c r="AK108">
        <v>0</v>
      </c>
      <c r="AL108">
        <v>0</v>
      </c>
      <c r="AM108">
        <v>0</v>
      </c>
      <c r="AN108">
        <v>2</v>
      </c>
      <c r="AO108" s="314">
        <f>Table8[[#This Row],[N° Clústeres con respuesta]]/Table8[[#This Row],[Org Total]]</f>
        <v>0.5</v>
      </c>
      <c r="AP108" s="313">
        <v>8575</v>
      </c>
      <c r="AQ108" s="313">
        <v>368</v>
      </c>
      <c r="AR108" s="312">
        <f>Table8[[#This Row],[Alcanzados Oct 2025]]/Table8[[#This Row],[Meta 2025]]</f>
        <v>4.2915451895043734E-2</v>
      </c>
      <c r="AS108" s="423">
        <v>0</v>
      </c>
      <c r="AT108" s="423">
        <v>0</v>
      </c>
      <c r="AU108" s="423">
        <v>0</v>
      </c>
      <c r="AV108" s="423">
        <v>0</v>
      </c>
      <c r="AW108" s="423">
        <v>0</v>
      </c>
      <c r="AX108" s="423">
        <v>0</v>
      </c>
      <c r="AY108" s="423">
        <v>0</v>
      </c>
      <c r="AZ108" s="423">
        <v>0</v>
      </c>
      <c r="BA108" s="42">
        <v>368</v>
      </c>
    </row>
    <row r="109" spans="1:53">
      <c r="A109" t="s">
        <v>215</v>
      </c>
      <c r="B109" t="s">
        <v>216</v>
      </c>
      <c r="C109" t="s">
        <v>215</v>
      </c>
      <c r="D109" t="s">
        <v>223</v>
      </c>
      <c r="E109" s="8">
        <v>361844</v>
      </c>
      <c r="F109" s="8">
        <v>60911</v>
      </c>
      <c r="G109" s="8">
        <v>17693.869597495635</v>
      </c>
      <c r="H109" s="8">
        <v>132073.06</v>
      </c>
      <c r="I109" s="8">
        <v>32131.916071263273</v>
      </c>
      <c r="J109" s="8">
        <v>51966.329549590555</v>
      </c>
      <c r="K109" s="8">
        <v>0</v>
      </c>
      <c r="L109" s="8">
        <v>16629.225455868978</v>
      </c>
      <c r="M109" s="8">
        <v>18188.215342356692</v>
      </c>
      <c r="N109" s="6" cm="1">
        <f t="array" ref="N109">_xlfn.XLOOKUP(Table8[[#This Row],[Admin2PCODE]:[Admin2PCODE]],tblPiNAnalysis[[Admin2PCODE]:[Admin2PCODE]],tblPiNAnalysis[% SAMV],0,0)</f>
        <v>0.15000000000000002</v>
      </c>
      <c r="O109" s="6" cm="1">
        <f t="array" ref="O109">_xlfn.XLOOKUP(Table8[[#This Row],[Admin2PCODE]:[Admin2PCODE]],tblPiNAnalysis[[Admin2PCODE]:[Admin2PCODE]],tblPiNAnalysis[% NUT],0,0)</f>
        <v>0.05</v>
      </c>
      <c r="P109" s="6" cm="1">
        <f t="array" ref="P109">_xlfn.XLOOKUP(Table8[[#This Row],[Admin2PCODE]:[Admin2PCODE]],tblPiNAnalysis[[Admin2PCODE]:[Admin2PCODE]],tblPiNAnalysis[% SAL],0,0)</f>
        <v>0.35000000000000003</v>
      </c>
      <c r="Q109" s="6" cm="1">
        <f t="array" ref="Q109">_xlfn.XLOOKUP(Table8[[#This Row],[Admin2PCODE]:[Admin2PCODE]],tblPiNAnalysis[[Admin2PCODE]:[Admin2PCODE]],tblPiNAnalysis[% EDU],0,0)</f>
        <v>0.1</v>
      </c>
      <c r="R109" s="6" cm="1">
        <f t="array" ref="R109">_xlfn.XLOOKUP(Table8[[#This Row],[Admin2PCODE]:[Admin2PCODE]],tblPiNAnalysis[[Admin2PCODE]:[Admin2PCODE]],tblPiNAnalysis[% PRO],0,0)</f>
        <v>0.15000000000000002</v>
      </c>
      <c r="S109" s="6" cm="1">
        <f t="array" ref="S109">_xlfn.XLOOKUP(Table8[[#This Row],[Admin2PCODE]:[Admin2PCODE]],tblPiNAnalysis[[Admin2PCODE]:[Admin2PCODE]],tblPiNAnalysis[% WASH],0,0)</f>
        <v>0</v>
      </c>
      <c r="T109" s="6" cm="1">
        <f t="array" ref="T109">_xlfn.XLOOKUP(Table8[[#This Row],[Admin2PCODE]:[Admin2PCODE]],tblPiNAnalysis[[Admin2PCODE]:[Admin2PCODE]],tblPiNAnalysis[% NNA],0,0)</f>
        <v>0.05</v>
      </c>
      <c r="U109" s="6" cm="1">
        <f t="array" ref="U109">_xlfn.XLOOKUP(Table8[[#This Row],[Admin2PCODE]:[Admin2PCODE]],tblPiNAnalysis[[Admin2PCODE]:[Admin2PCODE]],tblPiNAnalysis[% VBG],0,0)</f>
        <v>0.05</v>
      </c>
      <c r="V109" s="8" cm="1">
        <f t="array" ref="V109">_xlfn.XLOOKUP(Table8[[#This Row],[Admin2PCODE]:[Admin2PCODE]],tblPiNAnalysis[[Admin2PCODE]:[Admin2PCODE]],tblPiNAnalysis[PiN preliminar],0,0)</f>
        <v>132073.06</v>
      </c>
      <c r="W109" s="308" cm="1">
        <f t="array" ref="W109">_xlfn.XLOOKUP(Table8[[#This Row],[Admin2PCODE]],tblPiNAnalysis[Admin2PCODE],tblSeverityAnalysis[Severidad media],0,0)</f>
        <v>3</v>
      </c>
      <c r="X109" s="42">
        <f>Table8[[#This Row],[Severidad media]]*6</f>
        <v>18</v>
      </c>
      <c r="Y109" s="6" cm="1">
        <f t="array" ref="Y109">_xlfn.XLOOKUP(Table8[[#This Row],[Admin2PCODE]],tblPiNAnalysis[Admin2PCODE],tblPiNAnalysis[% PiN Sectores más altos],0,0)</f>
        <v>0.36499999999999999</v>
      </c>
      <c r="Z109" s="42" cm="1">
        <f t="array" ref="Z109">_xlfn.XLOOKUP(Table8[[#This Row],[Admin2PCODE]:[Admin2PCODE]],tblPiNAnalysis[[Admin2PCODE]:[Admin2PCODE]],tblPiNAnalysis[Severidad],0,0)</f>
        <v>3</v>
      </c>
      <c r="AA109">
        <f>_xlfn.XLOOKUP(Table8[[#This Row],[Admin2PCODE]],tblSeverityAnalysis[Admin 2 Código P],tblSeverityAnalysis[Severidad Ttotal 2025],0,0)</f>
        <v>3</v>
      </c>
      <c r="AB109" t="str">
        <f>_xlfn.XLOOKUP(Table8[[#This Row],[Admin2PCODE]],tblSeverityAnalysis[Admin 2 Código P],tblSeverityAnalysis[Priorización Final 2025],0,0)</f>
        <v>No</v>
      </c>
      <c r="AC109">
        <v>7</v>
      </c>
      <c r="AD109" t="s">
        <v>1023</v>
      </c>
      <c r="AE109">
        <v>12</v>
      </c>
      <c r="AF109">
        <v>0</v>
      </c>
      <c r="AG109">
        <v>2</v>
      </c>
      <c r="AH109">
        <v>0</v>
      </c>
      <c r="AI109">
        <v>2</v>
      </c>
      <c r="AJ109">
        <v>5</v>
      </c>
      <c r="AK109">
        <v>3</v>
      </c>
      <c r="AL109">
        <v>2</v>
      </c>
      <c r="AM109">
        <v>4</v>
      </c>
      <c r="AN109">
        <v>2</v>
      </c>
      <c r="AO109" s="314">
        <f>Table8[[#This Row],[N° Clústeres con respuesta]]/Table8[[#This Row],[Org Total]]</f>
        <v>0.58333333333333337</v>
      </c>
      <c r="AP109" s="313">
        <v>59445</v>
      </c>
      <c r="AQ109" s="313">
        <v>24802</v>
      </c>
      <c r="AR109" s="312">
        <f>Table8[[#This Row],[Alcanzados Oct 2025]]/Table8[[#This Row],[Meta 2025]]</f>
        <v>0.41722600723357728</v>
      </c>
      <c r="AS109" s="423">
        <v>0</v>
      </c>
      <c r="AT109" s="423">
        <v>0</v>
      </c>
      <c r="AU109" s="423">
        <v>0</v>
      </c>
      <c r="AV109" s="423">
        <v>2195</v>
      </c>
      <c r="AW109" s="423">
        <v>324</v>
      </c>
      <c r="AX109" s="423">
        <v>7767</v>
      </c>
      <c r="AY109" s="423">
        <v>39</v>
      </c>
      <c r="AZ109" s="423">
        <v>1042</v>
      </c>
      <c r="BA109" s="42">
        <v>22551</v>
      </c>
    </row>
    <row r="110" spans="1:53">
      <c r="A110" t="s">
        <v>215</v>
      </c>
      <c r="B110" t="s">
        <v>216</v>
      </c>
      <c r="C110" t="s">
        <v>227</v>
      </c>
      <c r="D110" t="s">
        <v>228</v>
      </c>
      <c r="E110" s="8">
        <v>54787</v>
      </c>
      <c r="F110" s="8">
        <v>5870</v>
      </c>
      <c r="G110" s="8">
        <v>2350.918913724151</v>
      </c>
      <c r="H110" s="8">
        <v>19997.255000000001</v>
      </c>
      <c r="I110" s="8">
        <v>4358.0776772139025</v>
      </c>
      <c r="J110" s="8">
        <v>9441.9008092993136</v>
      </c>
      <c r="K110" s="8">
        <v>0</v>
      </c>
      <c r="L110" s="8">
        <v>3030.8501597850795</v>
      </c>
      <c r="M110" s="8">
        <v>3304.6652832547597</v>
      </c>
      <c r="N110" s="6" cm="1">
        <f t="array" ref="N110">_xlfn.XLOOKUP(Table8[[#This Row],[Admin2PCODE]:[Admin2PCODE]],tblPiNAnalysis[[Admin2PCODE]:[Admin2PCODE]],tblPiNAnalysis[% SAMV],0,0)</f>
        <v>0.1</v>
      </c>
      <c r="O110" s="6" cm="1">
        <f t="array" ref="O110">_xlfn.XLOOKUP(Table8[[#This Row],[Admin2PCODE]:[Admin2PCODE]],tblPiNAnalysis[[Admin2PCODE]:[Admin2PCODE]],tblPiNAnalysis[% NUT],0,0)</f>
        <v>0.05</v>
      </c>
      <c r="P110" s="6" cm="1">
        <f t="array" ref="P110">_xlfn.XLOOKUP(Table8[[#This Row],[Admin2PCODE]:[Admin2PCODE]],tblPiNAnalysis[[Admin2PCODE]:[Admin2PCODE]],tblPiNAnalysis[% SAL],0,0)</f>
        <v>0.35000000000000003</v>
      </c>
      <c r="Q110" s="6" cm="1">
        <f t="array" ref="Q110">_xlfn.XLOOKUP(Table8[[#This Row],[Admin2PCODE]:[Admin2PCODE]],tblPiNAnalysis[[Admin2PCODE]:[Admin2PCODE]],tblPiNAnalysis[% EDU],0,0)</f>
        <v>0.1</v>
      </c>
      <c r="R110" s="6" cm="1">
        <f t="array" ref="R110">_xlfn.XLOOKUP(Table8[[#This Row],[Admin2PCODE]:[Admin2PCODE]],tblPiNAnalysis[[Admin2PCODE]:[Admin2PCODE]],tblPiNAnalysis[% PRO],0,0)</f>
        <v>0.15000000000000002</v>
      </c>
      <c r="S110" s="6" cm="1">
        <f t="array" ref="S110">_xlfn.XLOOKUP(Table8[[#This Row],[Admin2PCODE]:[Admin2PCODE]],tblPiNAnalysis[[Admin2PCODE]:[Admin2PCODE]],tblPiNAnalysis[% WASH],0,0)</f>
        <v>0</v>
      </c>
      <c r="T110" s="6" cm="1">
        <f t="array" ref="T110">_xlfn.XLOOKUP(Table8[[#This Row],[Admin2PCODE]:[Admin2PCODE]],tblPiNAnalysis[[Admin2PCODE]:[Admin2PCODE]],tblPiNAnalysis[% NNA],0,0)</f>
        <v>0.05</v>
      </c>
      <c r="U110" s="6" cm="1">
        <f t="array" ref="U110">_xlfn.XLOOKUP(Table8[[#This Row],[Admin2PCODE]:[Admin2PCODE]],tblPiNAnalysis[[Admin2PCODE]:[Admin2PCODE]],tblPiNAnalysis[% VBG],0,0)</f>
        <v>0.05</v>
      </c>
      <c r="V110" s="8" cm="1">
        <f t="array" ref="V110">_xlfn.XLOOKUP(Table8[[#This Row],[Admin2PCODE]:[Admin2PCODE]],tblPiNAnalysis[[Admin2PCODE]:[Admin2PCODE]],tblPiNAnalysis[PiN preliminar],0,0)</f>
        <v>0</v>
      </c>
      <c r="W110" s="308" cm="1">
        <f t="array" ref="W110">_xlfn.XLOOKUP(Table8[[#This Row],[Admin2PCODE]],tblPiNAnalysis[Admin2PCODE],tblSeverityAnalysis[Severidad media],0,0)</f>
        <v>2.6666666666666665</v>
      </c>
      <c r="X110" s="42">
        <f>Table8[[#This Row],[Severidad media]]*6</f>
        <v>16</v>
      </c>
      <c r="Y110" s="6" cm="1">
        <f t="array" ref="Y110">_xlfn.XLOOKUP(Table8[[#This Row],[Admin2PCODE]],tblPiNAnalysis[Admin2PCODE],tblPiNAnalysis[% PiN Sectores más altos],0,0)</f>
        <v>0.36499999999999999</v>
      </c>
      <c r="Z110" s="42" cm="1">
        <f t="array" ref="Z110">_xlfn.XLOOKUP(Table8[[#This Row],[Admin2PCODE]:[Admin2PCODE]],tblPiNAnalysis[[Admin2PCODE]:[Admin2PCODE]],tblPiNAnalysis[Severidad],0,0)</f>
        <v>2</v>
      </c>
      <c r="AA110">
        <f>_xlfn.XLOOKUP(Table8[[#This Row],[Admin2PCODE]],tblSeverityAnalysis[Admin 2 Código P],tblSeverityAnalysis[Severidad Ttotal 2025],0,0)</f>
        <v>3</v>
      </c>
      <c r="AB110" t="str">
        <f>_xlfn.XLOOKUP(Table8[[#This Row],[Admin2PCODE]],tblSeverityAnalysis[Admin 2 Código P],tblSeverityAnalysis[Priorización Final 2025],0,0)</f>
        <v>No</v>
      </c>
      <c r="AC110">
        <v>4</v>
      </c>
      <c r="AD110" t="s">
        <v>1024</v>
      </c>
      <c r="AE110">
        <v>5</v>
      </c>
      <c r="AF110">
        <v>2</v>
      </c>
      <c r="AG110">
        <v>0</v>
      </c>
      <c r="AH110">
        <v>1</v>
      </c>
      <c r="AI110">
        <v>0</v>
      </c>
      <c r="AJ110">
        <v>2</v>
      </c>
      <c r="AK110">
        <v>2</v>
      </c>
      <c r="AL110">
        <v>0</v>
      </c>
      <c r="AM110">
        <v>0</v>
      </c>
      <c r="AN110">
        <v>2</v>
      </c>
      <c r="AO110" s="314">
        <f>Table8[[#This Row],[N° Clústeres con respuesta]]/Table8[[#This Row],[Org Total]]</f>
        <v>0.8</v>
      </c>
      <c r="AP110" s="313">
        <v>9001</v>
      </c>
      <c r="AQ110" s="313">
        <v>1640</v>
      </c>
      <c r="AR110" s="312">
        <f>Table8[[#This Row],[Alcanzados Oct 2025]]/Table8[[#This Row],[Meta 2025]]</f>
        <v>0.18220197755804909</v>
      </c>
      <c r="AS110" s="423">
        <v>462</v>
      </c>
      <c r="AT110" s="423">
        <v>0</v>
      </c>
      <c r="AU110" s="423">
        <v>0</v>
      </c>
      <c r="AV110" s="423">
        <v>0</v>
      </c>
      <c r="AW110" s="423">
        <v>5</v>
      </c>
      <c r="AX110" s="423">
        <v>1398</v>
      </c>
      <c r="AY110" s="423">
        <v>0</v>
      </c>
      <c r="AZ110" s="423">
        <v>0</v>
      </c>
      <c r="BA110" s="42">
        <v>604</v>
      </c>
    </row>
    <row r="111" spans="1:53">
      <c r="A111" t="s">
        <v>215</v>
      </c>
      <c r="B111" t="s">
        <v>216</v>
      </c>
      <c r="C111" t="s">
        <v>233</v>
      </c>
      <c r="D111" t="s">
        <v>234</v>
      </c>
      <c r="E111" s="8">
        <v>41032</v>
      </c>
      <c r="F111" s="8">
        <v>5699</v>
      </c>
      <c r="G111" s="8">
        <v>1722.2307831849673</v>
      </c>
      <c r="H111" s="8">
        <v>18900</v>
      </c>
      <c r="I111" s="8">
        <v>1658.9896070815421</v>
      </c>
      <c r="J111" s="8">
        <v>5892.8224154022146</v>
      </c>
      <c r="K111" s="8">
        <v>5539.3200000000006</v>
      </c>
      <c r="L111" s="8">
        <v>1891.5959953441111</v>
      </c>
      <c r="M111" s="8">
        <v>2062.487845390775</v>
      </c>
      <c r="N111" s="6" cm="1">
        <f t="array" ref="N111">_xlfn.XLOOKUP(Table8[[#This Row],[Admin2PCODE]:[Admin2PCODE]],tblPiNAnalysis[[Admin2PCODE]:[Admin2PCODE]],tblPiNAnalysis[% SAMV],0,0)</f>
        <v>0.15000000000000002</v>
      </c>
      <c r="O111" s="6" cm="1">
        <f t="array" ref="O111">_xlfn.XLOOKUP(Table8[[#This Row],[Admin2PCODE]:[Admin2PCODE]],tblPiNAnalysis[[Admin2PCODE]:[Admin2PCODE]],tblPiNAnalysis[% NUT],0,0)</f>
        <v>0.05</v>
      </c>
      <c r="P111" s="6" cm="1">
        <f t="array" ref="P111">_xlfn.XLOOKUP(Table8[[#This Row],[Admin2PCODE]:[Admin2PCODE]],tblPiNAnalysis[[Admin2PCODE]:[Admin2PCODE]],tblPiNAnalysis[% SAL],0,0)</f>
        <v>0.45</v>
      </c>
      <c r="Q111" s="6" cm="1">
        <f t="array" ref="Q111">_xlfn.XLOOKUP(Table8[[#This Row],[Admin2PCODE]:[Admin2PCODE]],tblPiNAnalysis[[Admin2PCODE]:[Admin2PCODE]],tblPiNAnalysis[% EDU],0,0)</f>
        <v>0.05</v>
      </c>
      <c r="R111" s="6" cm="1">
        <f t="array" ref="R111">_xlfn.XLOOKUP(Table8[[#This Row],[Admin2PCODE]:[Admin2PCODE]],tblPiNAnalysis[[Admin2PCODE]:[Admin2PCODE]],tblPiNAnalysis[% PRO],0,0)</f>
        <v>0.15000000000000002</v>
      </c>
      <c r="S111" s="6" cm="1">
        <f t="array" ref="S111">_xlfn.XLOOKUP(Table8[[#This Row],[Admin2PCODE]:[Admin2PCODE]],tblPiNAnalysis[[Admin2PCODE]:[Admin2PCODE]],tblPiNAnalysis[% WASH],0,0)</f>
        <v>0.15000000000000002</v>
      </c>
      <c r="T111" s="6" cm="1">
        <f t="array" ref="T111">_xlfn.XLOOKUP(Table8[[#This Row],[Admin2PCODE]:[Admin2PCODE]],tblPiNAnalysis[[Admin2PCODE]:[Admin2PCODE]],tblPiNAnalysis[% NNA],0,0)</f>
        <v>0.05</v>
      </c>
      <c r="U111" s="6" cm="1">
        <f t="array" ref="U111">_xlfn.XLOOKUP(Table8[[#This Row],[Admin2PCODE]:[Admin2PCODE]],tblPiNAnalysis[[Admin2PCODE]:[Admin2PCODE]],tblPiNAnalysis[% VBG],0,0)</f>
        <v>0.05</v>
      </c>
      <c r="V111" s="8" cm="1">
        <f t="array" ref="V111">_xlfn.XLOOKUP(Table8[[#This Row],[Admin2PCODE]:[Admin2PCODE]],tblPiNAnalysis[[Admin2PCODE]:[Admin2PCODE]],tblPiNAnalysis[PiN preliminar],0,0)</f>
        <v>18900</v>
      </c>
      <c r="W111" s="308" cm="1">
        <f t="array" ref="W111">_xlfn.XLOOKUP(Table8[[#This Row],[Admin2PCODE]],tblPiNAnalysis[Admin2PCODE],tblSeverityAnalysis[Severidad media],0,0)</f>
        <v>3.3333333333333335</v>
      </c>
      <c r="X111" s="42">
        <f>Table8[[#This Row],[Severidad media]]*6</f>
        <v>20</v>
      </c>
      <c r="Y111" s="6" cm="1">
        <f t="array" ref="Y111">_xlfn.XLOOKUP(Table8[[#This Row],[Admin2PCODE]],tblPiNAnalysis[Admin2PCODE],tblPiNAnalysis[% PiN Sectores más altos],0,0)</f>
        <v>0.46061610450380192</v>
      </c>
      <c r="Z111" s="42" cm="1">
        <f t="array" ref="Z111">_xlfn.XLOOKUP(Table8[[#This Row],[Admin2PCODE]:[Admin2PCODE]],tblPiNAnalysis[[Admin2PCODE]:[Admin2PCODE]],tblPiNAnalysis[Severidad],0,0)</f>
        <v>3</v>
      </c>
      <c r="AA111">
        <f>_xlfn.XLOOKUP(Table8[[#This Row],[Admin2PCODE]],tblSeverityAnalysis[Admin 2 Código P],tblSeverityAnalysis[Severidad Ttotal 2025],0,0)</f>
        <v>3</v>
      </c>
      <c r="AB111" t="str">
        <f>_xlfn.XLOOKUP(Table8[[#This Row],[Admin2PCODE]],tblSeverityAnalysis[Admin 2 Código P],tblSeverityAnalysis[Priorización Final 2025],0,0)</f>
        <v>No</v>
      </c>
      <c r="AC111">
        <v>1</v>
      </c>
      <c r="AD111" t="s">
        <v>92</v>
      </c>
      <c r="AE111">
        <v>2</v>
      </c>
      <c r="AF111">
        <v>0</v>
      </c>
      <c r="AG111">
        <v>0</v>
      </c>
      <c r="AH111">
        <v>0</v>
      </c>
      <c r="AI111">
        <v>0</v>
      </c>
      <c r="AJ111">
        <v>0</v>
      </c>
      <c r="AK111">
        <v>0</v>
      </c>
      <c r="AL111">
        <v>0</v>
      </c>
      <c r="AM111">
        <v>0</v>
      </c>
      <c r="AN111">
        <v>2</v>
      </c>
      <c r="AO111" s="314">
        <f>Table8[[#This Row],[N° Clústeres con respuesta]]/Table8[[#This Row],[Org Total]]</f>
        <v>0.5</v>
      </c>
      <c r="AP111" s="313">
        <v>8575</v>
      </c>
      <c r="AQ111" s="313">
        <v>384</v>
      </c>
      <c r="AR111" s="312">
        <f>Table8[[#This Row],[Alcanzados Oct 2025]]/Table8[[#This Row],[Meta 2025]]</f>
        <v>4.4781341107871721E-2</v>
      </c>
      <c r="AS111" s="423">
        <v>0</v>
      </c>
      <c r="AT111" s="423">
        <v>0</v>
      </c>
      <c r="AU111" s="423">
        <v>0</v>
      </c>
      <c r="AV111" s="423">
        <v>0</v>
      </c>
      <c r="AW111" s="423">
        <v>0</v>
      </c>
      <c r="AX111" s="423">
        <v>0</v>
      </c>
      <c r="AY111" s="423">
        <v>0</v>
      </c>
      <c r="AZ111" s="423">
        <v>0</v>
      </c>
      <c r="BA111" s="42">
        <v>384</v>
      </c>
    </row>
    <row r="112" spans="1:53">
      <c r="A112" t="s">
        <v>180</v>
      </c>
      <c r="B112" t="s">
        <v>239</v>
      </c>
      <c r="C112" t="s">
        <v>259</v>
      </c>
      <c r="D112" t="s">
        <v>260</v>
      </c>
      <c r="E112" s="8">
        <v>15835</v>
      </c>
      <c r="F112" s="8">
        <v>13950</v>
      </c>
      <c r="G112" s="8">
        <v>597.86705223600529</v>
      </c>
      <c r="H112" s="8">
        <v>6300</v>
      </c>
      <c r="I112" s="8">
        <v>1818.0582824920004</v>
      </c>
      <c r="J112" s="8">
        <v>3794.2619724172582</v>
      </c>
      <c r="K112" s="8">
        <v>1068.8625</v>
      </c>
      <c r="L112" s="8">
        <v>1214.1638311735226</v>
      </c>
      <c r="M112" s="8">
        <v>1327.9916903460405</v>
      </c>
      <c r="N112" s="6" cm="1">
        <f t="array" ref="N112">_xlfn.XLOOKUP(Table8[[#This Row],[Admin2PCODE]:[Admin2PCODE]],tblPiNAnalysis[[Admin2PCODE]:[Admin2PCODE]],tblPiNAnalysis[% SAMV],0,0)</f>
        <v>0.9</v>
      </c>
      <c r="O112" s="6" cm="1">
        <f t="array" ref="O112">_xlfn.XLOOKUP(Table8[[#This Row],[Admin2PCODE]:[Admin2PCODE]],tblPiNAnalysis[[Admin2PCODE]:[Admin2PCODE]],tblPiNAnalysis[% NUT],0,0)</f>
        <v>0.05</v>
      </c>
      <c r="P112" s="6" cm="1">
        <f t="array" ref="P112">_xlfn.XLOOKUP(Table8[[#This Row],[Admin2PCODE]:[Admin2PCODE]],tblPiNAnalysis[[Admin2PCODE]:[Admin2PCODE]],tblPiNAnalysis[% SAL],0,0)</f>
        <v>0.4</v>
      </c>
      <c r="Q112" s="6" cm="1">
        <f t="array" ref="Q112">_xlfn.XLOOKUP(Table8[[#This Row],[Admin2PCODE]:[Admin2PCODE]],tblPiNAnalysis[[Admin2PCODE]:[Admin2PCODE]],tblPiNAnalysis[% EDU],0,0)</f>
        <v>0.1</v>
      </c>
      <c r="R112" s="6" cm="1">
        <f t="array" ref="R112">_xlfn.XLOOKUP(Table8[[#This Row],[Admin2PCODE]:[Admin2PCODE]],tblPiNAnalysis[[Admin2PCODE]:[Admin2PCODE]],tblPiNAnalysis[% PRO],0,0)</f>
        <v>0.25</v>
      </c>
      <c r="S112" s="6" cm="1">
        <f t="array" ref="S112">_xlfn.XLOOKUP(Table8[[#This Row],[Admin2PCODE]:[Admin2PCODE]],tblPiNAnalysis[[Admin2PCODE]:[Admin2PCODE]],tblPiNAnalysis[% WASH],0,0)</f>
        <v>0.05</v>
      </c>
      <c r="T112" s="6" cm="1">
        <f t="array" ref="T112">_xlfn.XLOOKUP(Table8[[#This Row],[Admin2PCODE]:[Admin2PCODE]],tblPiNAnalysis[[Admin2PCODE]:[Admin2PCODE]],tblPiNAnalysis[% NNA],0,0)</f>
        <v>0.1</v>
      </c>
      <c r="U112" s="6" cm="1">
        <f t="array" ref="U112">_xlfn.XLOOKUP(Table8[[#This Row],[Admin2PCODE]:[Admin2PCODE]],tblPiNAnalysis[[Admin2PCODE]:[Admin2PCODE]],tblPiNAnalysis[% VBG],0,0)</f>
        <v>0.1</v>
      </c>
      <c r="V112" s="8" cm="1">
        <f t="array" ref="V112">_xlfn.XLOOKUP(Table8[[#This Row],[Admin2PCODE]:[Admin2PCODE]],tblPiNAnalysis[[Admin2PCODE]:[Admin2PCODE]],tblPiNAnalysis[PiN preliminar],0,0)</f>
        <v>13950</v>
      </c>
      <c r="W112" s="308" cm="1">
        <f t="array" ref="W112">_xlfn.XLOOKUP(Table8[[#This Row],[Admin2PCODE]],tblPiNAnalysis[Admin2PCODE],tblSeverityAnalysis[Severidad media],0,0)</f>
        <v>3</v>
      </c>
      <c r="X112" s="42">
        <f>Table8[[#This Row],[Severidad media]]*6</f>
        <v>18</v>
      </c>
      <c r="Y112" s="6" cm="1">
        <f t="array" ref="Y112">_xlfn.XLOOKUP(Table8[[#This Row],[Admin2PCODE]],tblPiNAnalysis[Admin2PCODE],tblPiNAnalysis[% PiN Sectores más altos],0,0)</f>
        <v>0.88095989895800442</v>
      </c>
      <c r="Z112" s="42" cm="1">
        <f t="array" ref="Z112">_xlfn.XLOOKUP(Table8[[#This Row],[Admin2PCODE]:[Admin2PCODE]],tblPiNAnalysis[[Admin2PCODE]:[Admin2PCODE]],tblPiNAnalysis[Severidad],0,0)</f>
        <v>3</v>
      </c>
      <c r="AA112">
        <f>_xlfn.XLOOKUP(Table8[[#This Row],[Admin2PCODE]],tblSeverityAnalysis[Admin 2 Código P],tblSeverityAnalysis[Severidad Ttotal 2025],0,0)</f>
        <v>3</v>
      </c>
      <c r="AB112" t="str">
        <f>_xlfn.XLOOKUP(Table8[[#This Row],[Admin2PCODE]],tblSeverityAnalysis[Admin 2 Código P],tblSeverityAnalysis[Priorización Final 2025],0,0)</f>
        <v>No</v>
      </c>
      <c r="AC112">
        <v>4</v>
      </c>
      <c r="AD112" t="s">
        <v>1025</v>
      </c>
      <c r="AE112">
        <v>4</v>
      </c>
      <c r="AF112">
        <v>0</v>
      </c>
      <c r="AG112">
        <v>0</v>
      </c>
      <c r="AH112">
        <v>0</v>
      </c>
      <c r="AI112">
        <v>2</v>
      </c>
      <c r="AJ112">
        <v>3</v>
      </c>
      <c r="AK112">
        <v>0</v>
      </c>
      <c r="AL112">
        <v>3</v>
      </c>
      <c r="AM112">
        <v>1</v>
      </c>
      <c r="AN112">
        <v>0</v>
      </c>
      <c r="AO112" s="314">
        <f>Table8[[#This Row],[N° Clústeres con respuesta]]/Table8[[#This Row],[Org Total]]</f>
        <v>1</v>
      </c>
      <c r="AP112" s="313">
        <v>3698</v>
      </c>
      <c r="AQ112" s="313">
        <v>892</v>
      </c>
      <c r="AR112" s="312">
        <f>Table8[[#This Row],[Alcanzados Oct 2025]]/Table8[[#This Row],[Meta 2025]]</f>
        <v>0.24121146565711196</v>
      </c>
      <c r="AS112" s="423">
        <v>0</v>
      </c>
      <c r="AT112" s="423">
        <v>0</v>
      </c>
      <c r="AU112" s="423">
        <v>0</v>
      </c>
      <c r="AV112" s="423">
        <v>96</v>
      </c>
      <c r="AW112" s="423">
        <v>27</v>
      </c>
      <c r="AX112" s="423">
        <v>0</v>
      </c>
      <c r="AY112" s="423">
        <v>53</v>
      </c>
      <c r="AZ112" s="423">
        <v>883</v>
      </c>
      <c r="BA112" s="42">
        <v>0</v>
      </c>
    </row>
    <row r="113" spans="1:53">
      <c r="A113" t="s">
        <v>261</v>
      </c>
      <c r="B113" t="s">
        <v>262</v>
      </c>
      <c r="C113" t="s">
        <v>263</v>
      </c>
      <c r="D113" t="s">
        <v>264</v>
      </c>
      <c r="E113" s="8">
        <v>49631</v>
      </c>
      <c r="F113" s="8">
        <v>6633</v>
      </c>
      <c r="G113" s="8">
        <v>2740.1407555150554</v>
      </c>
      <c r="H113" s="8">
        <v>18115.314999999999</v>
      </c>
      <c r="I113" s="8">
        <v>6869.3296573939679</v>
      </c>
      <c r="J113" s="8">
        <v>9858.3672104852449</v>
      </c>
      <c r="K113" s="8">
        <v>0</v>
      </c>
      <c r="L113" s="8">
        <v>3164.5358745657636</v>
      </c>
      <c r="M113" s="8">
        <v>3450.4285236698356</v>
      </c>
      <c r="N113" s="6" cm="1">
        <f t="array" ref="N113">_xlfn.XLOOKUP(Table8[[#This Row],[Admin2PCODE]:[Admin2PCODE]],tblPiNAnalysis[[Admin2PCODE]:[Admin2PCODE]],tblPiNAnalysis[% SAMV],0,0)</f>
        <v>0.15000000000000002</v>
      </c>
      <c r="O113" s="6" cm="1">
        <f t="array" ref="O113">_xlfn.XLOOKUP(Table8[[#This Row],[Admin2PCODE]:[Admin2PCODE]],tblPiNAnalysis[[Admin2PCODE]:[Admin2PCODE]],tblPiNAnalysis[% NUT],0,0)</f>
        <v>0.05</v>
      </c>
      <c r="P113" s="6" cm="1">
        <f t="array" ref="P113">_xlfn.XLOOKUP(Table8[[#This Row],[Admin2PCODE]:[Admin2PCODE]],tblPiNAnalysis[[Admin2PCODE]:[Admin2PCODE]],tblPiNAnalysis[% SAL],0,0)</f>
        <v>0.35000000000000003</v>
      </c>
      <c r="Q113" s="6" cm="1">
        <f t="array" ref="Q113">_xlfn.XLOOKUP(Table8[[#This Row],[Admin2PCODE]:[Admin2PCODE]],tblPiNAnalysis[[Admin2PCODE]:[Admin2PCODE]],tblPiNAnalysis[% EDU],0,0)</f>
        <v>0.15000000000000002</v>
      </c>
      <c r="R113" s="6" cm="1">
        <f t="array" ref="R113">_xlfn.XLOOKUP(Table8[[#This Row],[Admin2PCODE]:[Admin2PCODE]],tblPiNAnalysis[[Admin2PCODE]:[Admin2PCODE]],tblPiNAnalysis[% PRO],0,0)</f>
        <v>0.2</v>
      </c>
      <c r="S113" s="6" cm="1">
        <f t="array" ref="S113">_xlfn.XLOOKUP(Table8[[#This Row],[Admin2PCODE]:[Admin2PCODE]],tblPiNAnalysis[[Admin2PCODE]:[Admin2PCODE]],tblPiNAnalysis[% WASH],0,0)</f>
        <v>0</v>
      </c>
      <c r="T113" s="6" cm="1">
        <f t="array" ref="T113">_xlfn.XLOOKUP(Table8[[#This Row],[Admin2PCODE]:[Admin2PCODE]],tblPiNAnalysis[[Admin2PCODE]:[Admin2PCODE]],tblPiNAnalysis[% NNA],0,0)</f>
        <v>0.05</v>
      </c>
      <c r="U113" s="6" cm="1">
        <f t="array" ref="U113">_xlfn.XLOOKUP(Table8[[#This Row],[Admin2PCODE]:[Admin2PCODE]],tblPiNAnalysis[[Admin2PCODE]:[Admin2PCODE]],tblPiNAnalysis[% VBG],0,0)</f>
        <v>0.05</v>
      </c>
      <c r="V113" s="8" cm="1">
        <f t="array" ref="V113">_xlfn.XLOOKUP(Table8[[#This Row],[Admin2PCODE]:[Admin2PCODE]],tblPiNAnalysis[[Admin2PCODE]:[Admin2PCODE]],tblPiNAnalysis[PiN preliminar],0,0)</f>
        <v>0</v>
      </c>
      <c r="W113" s="308" cm="1">
        <f t="array" ref="W113">_xlfn.XLOOKUP(Table8[[#This Row],[Admin2PCODE]],tblPiNAnalysis[Admin2PCODE],tblSeverityAnalysis[Severidad media],0,0)</f>
        <v>2.3333333333333335</v>
      </c>
      <c r="X113" s="42">
        <f>Table8[[#This Row],[Severidad media]]*6</f>
        <v>14</v>
      </c>
      <c r="Y113" s="6" cm="1">
        <f t="array" ref="Y113">_xlfn.XLOOKUP(Table8[[#This Row],[Admin2PCODE]],tblPiNAnalysis[Admin2PCODE],tblPiNAnalysis[% PiN Sectores más altos],0,0)</f>
        <v>0.36499999999999999</v>
      </c>
      <c r="Z113" s="42" cm="1">
        <f t="array" ref="Z113">_xlfn.XLOOKUP(Table8[[#This Row],[Admin2PCODE]:[Admin2PCODE]],tblPiNAnalysis[[Admin2PCODE]:[Admin2PCODE]],tblPiNAnalysis[Severidad],0,0)</f>
        <v>2</v>
      </c>
      <c r="AA113">
        <f>_xlfn.XLOOKUP(Table8[[#This Row],[Admin2PCODE]],tblSeverityAnalysis[Admin 2 Código P],tblSeverityAnalysis[Severidad Ttotal 2025],0,0)</f>
        <v>3</v>
      </c>
      <c r="AB113" t="str">
        <f>_xlfn.XLOOKUP(Table8[[#This Row],[Admin2PCODE]],tblSeverityAnalysis[Admin 2 Código P],tblSeverityAnalysis[Priorización Final 2025],0,0)</f>
        <v>No</v>
      </c>
      <c r="AC113">
        <v>3</v>
      </c>
      <c r="AD113" t="s">
        <v>1026</v>
      </c>
      <c r="AE113">
        <v>4</v>
      </c>
      <c r="AF113">
        <v>0</v>
      </c>
      <c r="AG113">
        <v>1</v>
      </c>
      <c r="AH113">
        <v>0</v>
      </c>
      <c r="AI113">
        <v>0</v>
      </c>
      <c r="AJ113">
        <v>2</v>
      </c>
      <c r="AK113">
        <v>0</v>
      </c>
      <c r="AL113">
        <v>0</v>
      </c>
      <c r="AM113">
        <v>0</v>
      </c>
      <c r="AN113">
        <v>1</v>
      </c>
      <c r="AO113" s="314">
        <f>Table8[[#This Row],[N° Clústeres con respuesta]]/Table8[[#This Row],[Org Total]]</f>
        <v>0.75</v>
      </c>
      <c r="AP113" s="313">
        <v>11135</v>
      </c>
      <c r="AQ113" s="313">
        <v>346</v>
      </c>
      <c r="AR113" s="312">
        <f>Table8[[#This Row],[Alcanzados Oct 2025]]/Table8[[#This Row],[Meta 2025]]</f>
        <v>3.1073192635832959E-2</v>
      </c>
      <c r="AS113" s="423">
        <v>0</v>
      </c>
      <c r="AT113" s="423">
        <v>0</v>
      </c>
      <c r="AU113" s="423">
        <v>0</v>
      </c>
      <c r="AV113" s="423">
        <v>0</v>
      </c>
      <c r="AW113" s="423">
        <v>3</v>
      </c>
      <c r="AX113" s="423">
        <v>0</v>
      </c>
      <c r="AY113" s="423">
        <v>0</v>
      </c>
      <c r="AZ113" s="423">
        <v>0</v>
      </c>
      <c r="BA113" s="42">
        <v>346</v>
      </c>
    </row>
    <row r="114" spans="1:53">
      <c r="A114" t="s">
        <v>261</v>
      </c>
      <c r="B114" t="s">
        <v>262</v>
      </c>
      <c r="C114" t="s">
        <v>265</v>
      </c>
      <c r="D114" t="s">
        <v>266</v>
      </c>
      <c r="E114" s="8">
        <v>153665</v>
      </c>
      <c r="F114" s="8">
        <v>21230</v>
      </c>
      <c r="G114" s="8">
        <v>10679.864389374021</v>
      </c>
      <c r="H114" s="8">
        <v>56087.724999999999</v>
      </c>
      <c r="I114" s="8">
        <v>19383.11853008662</v>
      </c>
      <c r="J114" s="8">
        <v>30522.979536967126</v>
      </c>
      <c r="K114" s="8">
        <v>0</v>
      </c>
      <c r="L114" s="8">
        <v>9797.8764313664469</v>
      </c>
      <c r="M114" s="8">
        <v>10683.042837938494</v>
      </c>
      <c r="N114" s="6" cm="1">
        <f t="array" ref="N114">_xlfn.XLOOKUP(Table8[[#This Row],[Admin2PCODE]:[Admin2PCODE]],tblPiNAnalysis[[Admin2PCODE]:[Admin2PCODE]],tblPiNAnalysis[% SAMV],0,0)</f>
        <v>0.15000000000000002</v>
      </c>
      <c r="O114" s="6" cm="1">
        <f t="array" ref="O114">_xlfn.XLOOKUP(Table8[[#This Row],[Admin2PCODE]:[Admin2PCODE]],tblPiNAnalysis[[Admin2PCODE]:[Admin2PCODE]],tblPiNAnalysis[% NUT],0,0)</f>
        <v>0.05</v>
      </c>
      <c r="P114" s="6" cm="1">
        <f t="array" ref="P114">_xlfn.XLOOKUP(Table8[[#This Row],[Admin2PCODE]:[Admin2PCODE]],tblPiNAnalysis[[Admin2PCODE]:[Admin2PCODE]],tblPiNAnalysis[% SAL],0,0)</f>
        <v>0.35000000000000003</v>
      </c>
      <c r="Q114" s="6" cm="1">
        <f t="array" ref="Q114">_xlfn.XLOOKUP(Table8[[#This Row],[Admin2PCODE]:[Admin2PCODE]],tblPiNAnalysis[[Admin2PCODE]:[Admin2PCODE]],tblPiNAnalysis[% EDU],0,0)</f>
        <v>0.15000000000000002</v>
      </c>
      <c r="R114" s="6" cm="1">
        <f t="array" ref="R114">_xlfn.XLOOKUP(Table8[[#This Row],[Admin2PCODE]:[Admin2PCODE]],tblPiNAnalysis[[Admin2PCODE]:[Admin2PCODE]],tblPiNAnalysis[% PRO],0,0)</f>
        <v>0.2</v>
      </c>
      <c r="S114" s="6" cm="1">
        <f t="array" ref="S114">_xlfn.XLOOKUP(Table8[[#This Row],[Admin2PCODE]:[Admin2PCODE]],tblPiNAnalysis[[Admin2PCODE]:[Admin2PCODE]],tblPiNAnalysis[% WASH],0,0)</f>
        <v>0</v>
      </c>
      <c r="T114" s="6" cm="1">
        <f t="array" ref="T114">_xlfn.XLOOKUP(Table8[[#This Row],[Admin2PCODE]:[Admin2PCODE]],tblPiNAnalysis[[Admin2PCODE]:[Admin2PCODE]],tblPiNAnalysis[% NNA],0,0)</f>
        <v>0.05</v>
      </c>
      <c r="U114" s="6" cm="1">
        <f t="array" ref="U114">_xlfn.XLOOKUP(Table8[[#This Row],[Admin2PCODE]:[Admin2PCODE]],tblPiNAnalysis[[Admin2PCODE]:[Admin2PCODE]],tblPiNAnalysis[% VBG],0,0)</f>
        <v>0.05</v>
      </c>
      <c r="V114" s="8" cm="1">
        <f t="array" ref="V114">_xlfn.XLOOKUP(Table8[[#This Row],[Admin2PCODE]:[Admin2PCODE]],tblPiNAnalysis[[Admin2PCODE]:[Admin2PCODE]],tblPiNAnalysis[PiN preliminar],0,0)</f>
        <v>56087.724999999999</v>
      </c>
      <c r="W114" s="308" cm="1">
        <f t="array" ref="W114">_xlfn.XLOOKUP(Table8[[#This Row],[Admin2PCODE]],tblPiNAnalysis[Admin2PCODE],tblSeverityAnalysis[Severidad media],0,0)</f>
        <v>3.6666666666666665</v>
      </c>
      <c r="X114" s="42">
        <f>Table8[[#This Row],[Severidad media]]*6</f>
        <v>22</v>
      </c>
      <c r="Y114" s="6" cm="1">
        <f t="array" ref="Y114">_xlfn.XLOOKUP(Table8[[#This Row],[Admin2PCODE]],tblPiNAnalysis[Admin2PCODE],tblPiNAnalysis[% PiN Sectores más altos],0,0)</f>
        <v>0.36499999999999999</v>
      </c>
      <c r="Z114" s="42" cm="1">
        <f t="array" ref="Z114">_xlfn.XLOOKUP(Table8[[#This Row],[Admin2PCODE]:[Admin2PCODE]],tblPiNAnalysis[[Admin2PCODE]:[Admin2PCODE]],tblPiNAnalysis[Severidad],0,0)</f>
        <v>3</v>
      </c>
      <c r="AA114">
        <f>_xlfn.XLOOKUP(Table8[[#This Row],[Admin2PCODE]],tblSeverityAnalysis[Admin 2 Código P],tblSeverityAnalysis[Severidad Ttotal 2025],0,0)</f>
        <v>3</v>
      </c>
      <c r="AB114" t="str">
        <f>_xlfn.XLOOKUP(Table8[[#This Row],[Admin2PCODE]],tblSeverityAnalysis[Admin 2 Código P],tblSeverityAnalysis[Priorización Final 2025],0,0)</f>
        <v>No</v>
      </c>
      <c r="AC114">
        <v>2</v>
      </c>
      <c r="AD114" t="s">
        <v>957</v>
      </c>
      <c r="AE114">
        <v>3</v>
      </c>
      <c r="AF114">
        <v>0</v>
      </c>
      <c r="AG114">
        <v>0</v>
      </c>
      <c r="AH114">
        <v>0</v>
      </c>
      <c r="AI114">
        <v>0</v>
      </c>
      <c r="AJ114">
        <v>2</v>
      </c>
      <c r="AK114">
        <v>0</v>
      </c>
      <c r="AL114">
        <v>0</v>
      </c>
      <c r="AM114">
        <v>0</v>
      </c>
      <c r="AN114">
        <v>1</v>
      </c>
      <c r="AO114" s="314">
        <f>Table8[[#This Row],[N° Clústeres con respuesta]]/Table8[[#This Row],[Org Total]]</f>
        <v>0.66666666666666663</v>
      </c>
      <c r="AP114" s="313">
        <v>25245</v>
      </c>
      <c r="AQ114" s="313">
        <v>45</v>
      </c>
      <c r="AR114" s="312">
        <f>Table8[[#This Row],[Alcanzados Oct 2025]]/Table8[[#This Row],[Meta 2025]]</f>
        <v>1.7825311942959001E-3</v>
      </c>
      <c r="AS114" s="423">
        <v>0</v>
      </c>
      <c r="AT114" s="423">
        <v>0</v>
      </c>
      <c r="AU114" s="423">
        <v>0</v>
      </c>
      <c r="AV114" s="423">
        <v>0</v>
      </c>
      <c r="AW114" s="423">
        <v>5</v>
      </c>
      <c r="AX114" s="423">
        <v>0</v>
      </c>
      <c r="AY114" s="423">
        <v>0</v>
      </c>
      <c r="AZ114" s="423">
        <v>0</v>
      </c>
      <c r="BA114" s="42">
        <v>45</v>
      </c>
    </row>
    <row r="115" spans="1:53">
      <c r="A115" t="s">
        <v>261</v>
      </c>
      <c r="B115" t="s">
        <v>262</v>
      </c>
      <c r="C115" t="s">
        <v>267</v>
      </c>
      <c r="D115" t="s">
        <v>268</v>
      </c>
      <c r="E115" s="8">
        <v>106893</v>
      </c>
      <c r="F115" s="8">
        <v>4157</v>
      </c>
      <c r="G115" s="8">
        <v>3921.4168690948582</v>
      </c>
      <c r="H115" s="8">
        <v>39015.945</v>
      </c>
      <c r="I115" s="8">
        <v>17343.303575727121</v>
      </c>
      <c r="J115" s="8">
        <v>25479.00577212789</v>
      </c>
      <c r="K115" s="8">
        <v>0</v>
      </c>
      <c r="L115" s="8">
        <v>8153.2818470809252</v>
      </c>
      <c r="M115" s="8">
        <v>8917.6520202447609</v>
      </c>
      <c r="N115" s="6" cm="1">
        <f t="array" ref="N115">_xlfn.XLOOKUP(Table8[[#This Row],[Admin2PCODE]:[Admin2PCODE]],tblPiNAnalysis[[Admin2PCODE]:[Admin2PCODE]],tblPiNAnalysis[% SAMV],0,0)</f>
        <v>0.05</v>
      </c>
      <c r="O115" s="6" cm="1">
        <f t="array" ref="O115">_xlfn.XLOOKUP(Table8[[#This Row],[Admin2PCODE]:[Admin2PCODE]],tblPiNAnalysis[[Admin2PCODE]:[Admin2PCODE]],tblPiNAnalysis[% NUT],0,0)</f>
        <v>0.05</v>
      </c>
      <c r="P115" s="6" cm="1">
        <f t="array" ref="P115">_xlfn.XLOOKUP(Table8[[#This Row],[Admin2PCODE]:[Admin2PCODE]],tblPiNAnalysis[[Admin2PCODE]:[Admin2PCODE]],tblPiNAnalysis[% SAL],0,0)</f>
        <v>0.35000000000000003</v>
      </c>
      <c r="Q115" s="6" cm="1">
        <f t="array" ref="Q115">_xlfn.XLOOKUP(Table8[[#This Row],[Admin2PCODE]:[Admin2PCODE]],tblPiNAnalysis[[Admin2PCODE]:[Admin2PCODE]],tblPiNAnalysis[% EDU],0,0)</f>
        <v>0.15000000000000002</v>
      </c>
      <c r="R115" s="6" cm="1">
        <f t="array" ref="R115">_xlfn.XLOOKUP(Table8[[#This Row],[Admin2PCODE]:[Admin2PCODE]],tblPiNAnalysis[[Admin2PCODE]:[Admin2PCODE]],tblPiNAnalysis[% PRO],0,0)</f>
        <v>0.25</v>
      </c>
      <c r="S115" s="6" cm="1">
        <f t="array" ref="S115">_xlfn.XLOOKUP(Table8[[#This Row],[Admin2PCODE]:[Admin2PCODE]],tblPiNAnalysis[[Admin2PCODE]:[Admin2PCODE]],tblPiNAnalysis[% WASH],0,0)</f>
        <v>0</v>
      </c>
      <c r="T115" s="6" cm="1">
        <f t="array" ref="T115">_xlfn.XLOOKUP(Table8[[#This Row],[Admin2PCODE]:[Admin2PCODE]],tblPiNAnalysis[[Admin2PCODE]:[Admin2PCODE]],tblPiNAnalysis[% NNA],0,0)</f>
        <v>0.1</v>
      </c>
      <c r="U115" s="6" cm="1">
        <f t="array" ref="U115">_xlfn.XLOOKUP(Table8[[#This Row],[Admin2PCODE]:[Admin2PCODE]],tblPiNAnalysis[[Admin2PCODE]:[Admin2PCODE]],tblPiNAnalysis[% VBG],0,0)</f>
        <v>0.1</v>
      </c>
      <c r="V115" s="8" cm="1">
        <f t="array" ref="V115">_xlfn.XLOOKUP(Table8[[#This Row],[Admin2PCODE]:[Admin2PCODE]],tblPiNAnalysis[[Admin2PCODE]:[Admin2PCODE]],tblPiNAnalysis[PiN preliminar],0,0)</f>
        <v>0</v>
      </c>
      <c r="W115" s="308" cm="1">
        <f t="array" ref="W115">_xlfn.XLOOKUP(Table8[[#This Row],[Admin2PCODE]],tblPiNAnalysis[Admin2PCODE],tblSeverityAnalysis[Severidad media],0,0)</f>
        <v>2.6666666666666665</v>
      </c>
      <c r="X115" s="42">
        <f>Table8[[#This Row],[Severidad media]]*6</f>
        <v>16</v>
      </c>
      <c r="Y115" s="6" cm="1">
        <f t="array" ref="Y115">_xlfn.XLOOKUP(Table8[[#This Row],[Admin2PCODE]],tblPiNAnalysis[Admin2PCODE],tblPiNAnalysis[% PiN Sectores más altos],0,0)</f>
        <v>0.36499999999999999</v>
      </c>
      <c r="Z115" s="42" cm="1">
        <f t="array" ref="Z115">_xlfn.XLOOKUP(Table8[[#This Row],[Admin2PCODE]:[Admin2PCODE]],tblPiNAnalysis[[Admin2PCODE]:[Admin2PCODE]],tblPiNAnalysis[Severidad],0,0)</f>
        <v>2</v>
      </c>
      <c r="AA115">
        <f>_xlfn.XLOOKUP(Table8[[#This Row],[Admin2PCODE]],tblSeverityAnalysis[Admin 2 Código P],tblSeverityAnalysis[Severidad Ttotal 2025],0,0)</f>
        <v>3</v>
      </c>
      <c r="AB115" t="str">
        <f>_xlfn.XLOOKUP(Table8[[#This Row],[Admin2PCODE]],tblSeverityAnalysis[Admin 2 Código P],tblSeverityAnalysis[Priorización Final 2025],0,0)</f>
        <v>No</v>
      </c>
      <c r="AC115">
        <v>2</v>
      </c>
      <c r="AD115" t="s">
        <v>1008</v>
      </c>
      <c r="AE115">
        <v>2</v>
      </c>
      <c r="AF115">
        <v>0</v>
      </c>
      <c r="AG115">
        <v>0</v>
      </c>
      <c r="AH115">
        <v>0</v>
      </c>
      <c r="AI115">
        <v>0</v>
      </c>
      <c r="AJ115">
        <v>0</v>
      </c>
      <c r="AK115">
        <v>0</v>
      </c>
      <c r="AL115">
        <v>0</v>
      </c>
      <c r="AM115">
        <v>1</v>
      </c>
      <c r="AN115">
        <v>1</v>
      </c>
      <c r="AO115" s="314">
        <f>Table8[[#This Row],[N° Clústeres con respuesta]]/Table8[[#This Row],[Org Total]]</f>
        <v>1</v>
      </c>
      <c r="AP115" s="313">
        <v>20224</v>
      </c>
      <c r="AQ115" s="313">
        <v>74</v>
      </c>
      <c r="AR115" s="312">
        <f>Table8[[#This Row],[Alcanzados Oct 2025]]/Table8[[#This Row],[Meta 2025]]</f>
        <v>3.6590189873417721E-3</v>
      </c>
      <c r="AS115" s="423">
        <v>0</v>
      </c>
      <c r="AT115" s="423">
        <v>0</v>
      </c>
      <c r="AU115" s="423">
        <v>0</v>
      </c>
      <c r="AV115" s="423">
        <v>0</v>
      </c>
      <c r="AW115" s="423">
        <v>0</v>
      </c>
      <c r="AX115" s="423">
        <v>0</v>
      </c>
      <c r="AY115" s="423">
        <v>0</v>
      </c>
      <c r="AZ115" s="423">
        <v>0</v>
      </c>
      <c r="BA115" s="42">
        <v>74</v>
      </c>
    </row>
    <row r="116" spans="1:53">
      <c r="A116" t="s">
        <v>261</v>
      </c>
      <c r="B116" t="s">
        <v>262</v>
      </c>
      <c r="C116" t="s">
        <v>269</v>
      </c>
      <c r="D116" t="s">
        <v>270</v>
      </c>
      <c r="E116" s="8">
        <v>180200</v>
      </c>
      <c r="F116" s="8">
        <v>9408</v>
      </c>
      <c r="G116" s="8">
        <v>6357.5386841085128</v>
      </c>
      <c r="H116" s="8">
        <v>65773</v>
      </c>
      <c r="I116" s="8">
        <v>25902.874823037222</v>
      </c>
      <c r="J116" s="8">
        <v>42952.455634489117</v>
      </c>
      <c r="K116" s="8">
        <v>0</v>
      </c>
      <c r="L116" s="8">
        <v>13787.738258671006</v>
      </c>
      <c r="M116" s="8">
        <v>15033.359472071188</v>
      </c>
      <c r="N116" s="6" cm="1">
        <f t="array" ref="N116">_xlfn.XLOOKUP(Table8[[#This Row],[Admin2PCODE]:[Admin2PCODE]],tblPiNAnalysis[[Admin2PCODE]:[Admin2PCODE]],tblPiNAnalysis[% SAMV],0,0)</f>
        <v>0.05</v>
      </c>
      <c r="O116" s="6" cm="1">
        <f t="array" ref="O116">_xlfn.XLOOKUP(Table8[[#This Row],[Admin2PCODE]:[Admin2PCODE]],tblPiNAnalysis[[Admin2PCODE]:[Admin2PCODE]],tblPiNAnalysis[% NUT],0,0)</f>
        <v>0.05</v>
      </c>
      <c r="P116" s="6" cm="1">
        <f t="array" ref="P116">_xlfn.XLOOKUP(Table8[[#This Row],[Admin2PCODE]:[Admin2PCODE]],tblPiNAnalysis[[Admin2PCODE]:[Admin2PCODE]],tblPiNAnalysis[% SAL],0,0)</f>
        <v>0.35000000000000003</v>
      </c>
      <c r="Q116" s="6" cm="1">
        <f t="array" ref="Q116">_xlfn.XLOOKUP(Table8[[#This Row],[Admin2PCODE]:[Admin2PCODE]],tblPiNAnalysis[[Admin2PCODE]:[Admin2PCODE]],tblPiNAnalysis[% EDU],0,0)</f>
        <v>0.15000000000000002</v>
      </c>
      <c r="R116" s="6" cm="1">
        <f t="array" ref="R116">_xlfn.XLOOKUP(Table8[[#This Row],[Admin2PCODE]:[Admin2PCODE]],tblPiNAnalysis[[Admin2PCODE]:[Admin2PCODE]],tblPiNAnalysis[% PRO],0,0)</f>
        <v>0.25</v>
      </c>
      <c r="S116" s="6" cm="1">
        <f t="array" ref="S116">_xlfn.XLOOKUP(Table8[[#This Row],[Admin2PCODE]:[Admin2PCODE]],tblPiNAnalysis[[Admin2PCODE]:[Admin2PCODE]],tblPiNAnalysis[% WASH],0,0)</f>
        <v>0</v>
      </c>
      <c r="T116" s="6" cm="1">
        <f t="array" ref="T116">_xlfn.XLOOKUP(Table8[[#This Row],[Admin2PCODE]:[Admin2PCODE]],tblPiNAnalysis[[Admin2PCODE]:[Admin2PCODE]],tblPiNAnalysis[% NNA],0,0)</f>
        <v>0.1</v>
      </c>
      <c r="U116" s="6" cm="1">
        <f t="array" ref="U116">_xlfn.XLOOKUP(Table8[[#This Row],[Admin2PCODE]:[Admin2PCODE]],tblPiNAnalysis[[Admin2PCODE]:[Admin2PCODE]],tblPiNAnalysis[% VBG],0,0)</f>
        <v>0.1</v>
      </c>
      <c r="V116" s="8" cm="1">
        <f t="array" ref="V116">_xlfn.XLOOKUP(Table8[[#This Row],[Admin2PCODE]:[Admin2PCODE]],tblPiNAnalysis[[Admin2PCODE]:[Admin2PCODE]],tblPiNAnalysis[PiN preliminar],0,0)</f>
        <v>0</v>
      </c>
      <c r="W116" s="308" cm="1">
        <f t="array" ref="W116">_xlfn.XLOOKUP(Table8[[#This Row],[Admin2PCODE]],tblPiNAnalysis[Admin2PCODE],tblSeverityAnalysis[Severidad media],0,0)</f>
        <v>2.8333333333333335</v>
      </c>
      <c r="X116" s="42">
        <f>Table8[[#This Row],[Severidad media]]*6</f>
        <v>17</v>
      </c>
      <c r="Y116" s="6" cm="1">
        <f t="array" ref="Y116">_xlfn.XLOOKUP(Table8[[#This Row],[Admin2PCODE]],tblPiNAnalysis[Admin2PCODE],tblPiNAnalysis[% PiN Sectores más altos],0,0)</f>
        <v>0.36499999999999999</v>
      </c>
      <c r="Z116" s="42" cm="1">
        <f t="array" ref="Z116">_xlfn.XLOOKUP(Table8[[#This Row],[Admin2PCODE]:[Admin2PCODE]],tblPiNAnalysis[[Admin2PCODE]:[Admin2PCODE]],tblPiNAnalysis[Severidad],0,0)</f>
        <v>2</v>
      </c>
      <c r="AA116">
        <f>_xlfn.XLOOKUP(Table8[[#This Row],[Admin2PCODE]],tblSeverityAnalysis[Admin 2 Código P],tblSeverityAnalysis[Severidad Ttotal 2025],0,0)</f>
        <v>3</v>
      </c>
      <c r="AB116" t="str">
        <f>_xlfn.XLOOKUP(Table8[[#This Row],[Admin2PCODE]],tblSeverityAnalysis[Admin 2 Código P],tblSeverityAnalysis[Priorización Final 2025],0,0)</f>
        <v>No</v>
      </c>
      <c r="AC116">
        <v>4</v>
      </c>
      <c r="AD116" t="s">
        <v>1027</v>
      </c>
      <c r="AE116">
        <v>10</v>
      </c>
      <c r="AF116">
        <v>0</v>
      </c>
      <c r="AG116">
        <v>0</v>
      </c>
      <c r="AH116">
        <v>0</v>
      </c>
      <c r="AI116">
        <v>1</v>
      </c>
      <c r="AJ116">
        <v>3</v>
      </c>
      <c r="AK116">
        <v>2</v>
      </c>
      <c r="AL116">
        <v>3</v>
      </c>
      <c r="AM116">
        <v>1</v>
      </c>
      <c r="AN116">
        <v>0</v>
      </c>
      <c r="AO116" s="314">
        <f>Table8[[#This Row],[N° Clústeres con respuesta]]/Table8[[#This Row],[Org Total]]</f>
        <v>0.4</v>
      </c>
      <c r="AP116" s="313">
        <v>29604</v>
      </c>
      <c r="AQ116" s="313">
        <v>191</v>
      </c>
      <c r="AR116" s="312">
        <f>Table8[[#This Row],[Alcanzados Oct 2025]]/Table8[[#This Row],[Meta 2025]]</f>
        <v>6.4518308336711256E-3</v>
      </c>
      <c r="AS116" s="423">
        <v>0</v>
      </c>
      <c r="AT116" s="423">
        <v>0</v>
      </c>
      <c r="AU116" s="423">
        <v>0</v>
      </c>
      <c r="AV116" s="423">
        <v>0</v>
      </c>
      <c r="AW116" s="423">
        <v>118</v>
      </c>
      <c r="AX116" s="423">
        <v>8</v>
      </c>
      <c r="AY116" s="423">
        <v>2</v>
      </c>
      <c r="AZ116" s="423">
        <v>153</v>
      </c>
      <c r="BA116" s="42">
        <v>0</v>
      </c>
    </row>
    <row r="117" spans="1:53">
      <c r="A117" t="s">
        <v>261</v>
      </c>
      <c r="B117" t="s">
        <v>262</v>
      </c>
      <c r="C117" t="s">
        <v>271</v>
      </c>
      <c r="D117" t="s">
        <v>272</v>
      </c>
      <c r="E117" s="8">
        <v>70800</v>
      </c>
      <c r="F117" s="8">
        <v>16276</v>
      </c>
      <c r="G117" s="8">
        <v>2532.9927315847249</v>
      </c>
      <c r="H117" s="8">
        <v>25842</v>
      </c>
      <c r="I117" s="8">
        <v>9444.4968576447445</v>
      </c>
      <c r="J117" s="8">
        <v>14063.234641702875</v>
      </c>
      <c r="K117" s="8">
        <v>9558</v>
      </c>
      <c r="L117" s="8">
        <v>4500.2350853449207</v>
      </c>
      <c r="M117" s="8">
        <v>4922.1321245960062</v>
      </c>
      <c r="N117" s="6" cm="1">
        <f t="array" ref="N117">_xlfn.XLOOKUP(Table8[[#This Row],[Admin2PCODE]:[Admin2PCODE]],tblPiNAnalysis[[Admin2PCODE]:[Admin2PCODE]],tblPiNAnalysis[% SAMV],0,0)</f>
        <v>0.25</v>
      </c>
      <c r="O117" s="6" cm="1">
        <f t="array" ref="O117">_xlfn.XLOOKUP(Table8[[#This Row],[Admin2PCODE]:[Admin2PCODE]],tblPiNAnalysis[[Admin2PCODE]:[Admin2PCODE]],tblPiNAnalysis[% NUT],0,0)</f>
        <v>0.05</v>
      </c>
      <c r="P117" s="6" cm="1">
        <f t="array" ref="P117">_xlfn.XLOOKUP(Table8[[#This Row],[Admin2PCODE]:[Admin2PCODE]],tblPiNAnalysis[[Admin2PCODE]:[Admin2PCODE]],tblPiNAnalysis[% SAL],0,0)</f>
        <v>0.35000000000000003</v>
      </c>
      <c r="Q117" s="6" cm="1">
        <f t="array" ref="Q117">_xlfn.XLOOKUP(Table8[[#This Row],[Admin2PCODE]:[Admin2PCODE]],tblPiNAnalysis[[Admin2PCODE]:[Admin2PCODE]],tblPiNAnalysis[% EDU],0,0)</f>
        <v>0.15000000000000002</v>
      </c>
      <c r="R117" s="6" cm="1">
        <f t="array" ref="R117">_xlfn.XLOOKUP(Table8[[#This Row],[Admin2PCODE]:[Admin2PCODE]],tblPiNAnalysis[[Admin2PCODE]:[Admin2PCODE]],tblPiNAnalysis[% PRO],0,0)</f>
        <v>0.2</v>
      </c>
      <c r="S117" s="6" cm="1">
        <f t="array" ref="S117">_xlfn.XLOOKUP(Table8[[#This Row],[Admin2PCODE]:[Admin2PCODE]],tblPiNAnalysis[[Admin2PCODE]:[Admin2PCODE]],tblPiNAnalysis[% WASH],0,0)</f>
        <v>0.15000000000000002</v>
      </c>
      <c r="T117" s="6" cm="1">
        <f t="array" ref="T117">_xlfn.XLOOKUP(Table8[[#This Row],[Admin2PCODE]:[Admin2PCODE]],tblPiNAnalysis[[Admin2PCODE]:[Admin2PCODE]],tblPiNAnalysis[% NNA],0,0)</f>
        <v>0.05</v>
      </c>
      <c r="U117" s="6" cm="1">
        <f t="array" ref="U117">_xlfn.XLOOKUP(Table8[[#This Row],[Admin2PCODE]:[Admin2PCODE]],tblPiNAnalysis[[Admin2PCODE]:[Admin2PCODE]],tblPiNAnalysis[% VBG],0,0)</f>
        <v>0.05</v>
      </c>
      <c r="V117" s="8" cm="1">
        <f t="array" ref="V117">_xlfn.XLOOKUP(Table8[[#This Row],[Admin2PCODE]:[Admin2PCODE]],tblPiNAnalysis[[Admin2PCODE]:[Admin2PCODE]],tblPiNAnalysis[PiN preliminar],0,0)</f>
        <v>25842</v>
      </c>
      <c r="W117" s="308" cm="1">
        <f t="array" ref="W117">_xlfn.XLOOKUP(Table8[[#This Row],[Admin2PCODE]],tblPiNAnalysis[Admin2PCODE],tblSeverityAnalysis[Severidad media],0,0)</f>
        <v>2.8333333333333335</v>
      </c>
      <c r="X117" s="42">
        <f>Table8[[#This Row],[Severidad media]]*6</f>
        <v>17</v>
      </c>
      <c r="Y117" s="6" cm="1">
        <f t="array" ref="Y117">_xlfn.XLOOKUP(Table8[[#This Row],[Admin2PCODE]],tblPiNAnalysis[Admin2PCODE],tblPiNAnalysis[% PiN Sectores más altos],0,0)</f>
        <v>0.36499999999999999</v>
      </c>
      <c r="Z117" s="42" cm="1">
        <f t="array" ref="Z117">_xlfn.XLOOKUP(Table8[[#This Row],[Admin2PCODE]:[Admin2PCODE]],tblPiNAnalysis[[Admin2PCODE]:[Admin2PCODE]],tblPiNAnalysis[Severidad],0,0)</f>
        <v>3</v>
      </c>
      <c r="AA117">
        <f>_xlfn.XLOOKUP(Table8[[#This Row],[Admin2PCODE]],tblSeverityAnalysis[Admin 2 Código P],tblSeverityAnalysis[Severidad Ttotal 2025],0,0)</f>
        <v>3</v>
      </c>
      <c r="AB117" t="str">
        <f>_xlfn.XLOOKUP(Table8[[#This Row],[Admin2PCODE]],tblSeverityAnalysis[Admin 2 Código P],tblSeverityAnalysis[Priorización Final 2025],0,0)</f>
        <v>No</v>
      </c>
      <c r="AC117">
        <v>2</v>
      </c>
      <c r="AD117" t="s">
        <v>957</v>
      </c>
      <c r="AE117">
        <v>3</v>
      </c>
      <c r="AF117">
        <v>0</v>
      </c>
      <c r="AG117">
        <v>0</v>
      </c>
      <c r="AH117">
        <v>0</v>
      </c>
      <c r="AI117">
        <v>0</v>
      </c>
      <c r="AJ117">
        <v>2</v>
      </c>
      <c r="AK117">
        <v>0</v>
      </c>
      <c r="AL117">
        <v>0</v>
      </c>
      <c r="AM117">
        <v>0</v>
      </c>
      <c r="AN117">
        <v>1</v>
      </c>
      <c r="AO117" s="314">
        <f>Table8[[#This Row],[N° Clústeres con respuesta]]/Table8[[#This Row],[Org Total]]</f>
        <v>0.66666666666666663</v>
      </c>
      <c r="AP117" s="313">
        <v>16529</v>
      </c>
      <c r="AQ117" s="313">
        <v>260</v>
      </c>
      <c r="AR117" s="312">
        <f>Table8[[#This Row],[Alcanzados Oct 2025]]/Table8[[#This Row],[Meta 2025]]</f>
        <v>1.572992921531853E-2</v>
      </c>
      <c r="AS117" s="423">
        <v>0</v>
      </c>
      <c r="AT117" s="423">
        <v>0</v>
      </c>
      <c r="AU117" s="423">
        <v>0</v>
      </c>
      <c r="AV117" s="423">
        <v>0</v>
      </c>
      <c r="AW117" s="423">
        <v>1</v>
      </c>
      <c r="AX117" s="423">
        <v>0</v>
      </c>
      <c r="AY117" s="423">
        <v>0</v>
      </c>
      <c r="AZ117" s="423">
        <v>0</v>
      </c>
      <c r="BA117" s="42">
        <v>260</v>
      </c>
    </row>
    <row r="118" spans="1:53">
      <c r="A118" t="s">
        <v>261</v>
      </c>
      <c r="B118" t="s">
        <v>262</v>
      </c>
      <c r="C118" t="s">
        <v>100</v>
      </c>
      <c r="D118" t="s">
        <v>273</v>
      </c>
      <c r="E118" s="8">
        <v>169912</v>
      </c>
      <c r="F118" s="8">
        <v>16022</v>
      </c>
      <c r="G118" s="8">
        <v>7038.7984495794626</v>
      </c>
      <c r="H118" s="8">
        <v>62017.88</v>
      </c>
      <c r="I118" s="8">
        <v>20993.755731756064</v>
      </c>
      <c r="J118" s="8">
        <v>40500.208888830828</v>
      </c>
      <c r="K118" s="8">
        <v>0</v>
      </c>
      <c r="L118" s="8">
        <v>13000.567053314697</v>
      </c>
      <c r="M118" s="8">
        <v>14175.073111090787</v>
      </c>
      <c r="N118" s="6" cm="1">
        <f t="array" ref="N118">_xlfn.XLOOKUP(Table8[[#This Row],[Admin2PCODE]:[Admin2PCODE]],tblPiNAnalysis[[Admin2PCODE]:[Admin2PCODE]],tblPiNAnalysis[% SAMV],0,0)</f>
        <v>0.1</v>
      </c>
      <c r="O118" s="6" cm="1">
        <f t="array" ref="O118">_xlfn.XLOOKUP(Table8[[#This Row],[Admin2PCODE]:[Admin2PCODE]],tblPiNAnalysis[[Admin2PCODE]:[Admin2PCODE]],tblPiNAnalysis[% NUT],0,0)</f>
        <v>0.05</v>
      </c>
      <c r="P118" s="6" cm="1">
        <f t="array" ref="P118">_xlfn.XLOOKUP(Table8[[#This Row],[Admin2PCODE]:[Admin2PCODE]],tblPiNAnalysis[[Admin2PCODE]:[Admin2PCODE]],tblPiNAnalysis[% SAL],0,0)</f>
        <v>0.35000000000000003</v>
      </c>
      <c r="Q118" s="6" cm="1">
        <f t="array" ref="Q118">_xlfn.XLOOKUP(Table8[[#This Row],[Admin2PCODE]:[Admin2PCODE]],tblPiNAnalysis[[Admin2PCODE]:[Admin2PCODE]],tblPiNAnalysis[% EDU],0,0)</f>
        <v>0.1</v>
      </c>
      <c r="R118" s="6" cm="1">
        <f t="array" ref="R118">_xlfn.XLOOKUP(Table8[[#This Row],[Admin2PCODE]:[Admin2PCODE]],tblPiNAnalysis[[Admin2PCODE]:[Admin2PCODE]],tblPiNAnalysis[% PRO],0,0)</f>
        <v>0.25</v>
      </c>
      <c r="S118" s="6" cm="1">
        <f t="array" ref="S118">_xlfn.XLOOKUP(Table8[[#This Row],[Admin2PCODE]:[Admin2PCODE]],tblPiNAnalysis[[Admin2PCODE]:[Admin2PCODE]],tblPiNAnalysis[% WASH],0,0)</f>
        <v>0</v>
      </c>
      <c r="T118" s="6" cm="1">
        <f t="array" ref="T118">_xlfn.XLOOKUP(Table8[[#This Row],[Admin2PCODE]:[Admin2PCODE]],tblPiNAnalysis[[Admin2PCODE]:[Admin2PCODE]],tblPiNAnalysis[% NNA],0,0)</f>
        <v>0.1</v>
      </c>
      <c r="U118" s="6" cm="1">
        <f t="array" ref="U118">_xlfn.XLOOKUP(Table8[[#This Row],[Admin2PCODE]:[Admin2PCODE]],tblPiNAnalysis[[Admin2PCODE]:[Admin2PCODE]],tblPiNAnalysis[% VBG],0,0)</f>
        <v>0.1</v>
      </c>
      <c r="V118" s="8" cm="1">
        <f t="array" ref="V118">_xlfn.XLOOKUP(Table8[[#This Row],[Admin2PCODE]:[Admin2PCODE]],tblPiNAnalysis[[Admin2PCODE]:[Admin2PCODE]],tblPiNAnalysis[PiN preliminar],0,0)</f>
        <v>0</v>
      </c>
      <c r="W118" s="308" cm="1">
        <f t="array" ref="W118">_xlfn.XLOOKUP(Table8[[#This Row],[Admin2PCODE]],tblPiNAnalysis[Admin2PCODE],tblSeverityAnalysis[Severidad media],0,0)</f>
        <v>3.6666666666666665</v>
      </c>
      <c r="X118" s="42">
        <f>Table8[[#This Row],[Severidad media]]*6</f>
        <v>22</v>
      </c>
      <c r="Y118" s="6" cm="1">
        <f t="array" ref="Y118">_xlfn.XLOOKUP(Table8[[#This Row],[Admin2PCODE]],tblPiNAnalysis[Admin2PCODE],tblPiNAnalysis[% PiN Sectores más altos],0,0)</f>
        <v>0.36499999999999999</v>
      </c>
      <c r="Z118" s="42" cm="1">
        <f t="array" ref="Z118">_xlfn.XLOOKUP(Table8[[#This Row],[Admin2PCODE]:[Admin2PCODE]],tblPiNAnalysis[[Admin2PCODE]:[Admin2PCODE]],tblPiNAnalysis[Severidad],0,0)</f>
        <v>2</v>
      </c>
      <c r="AA118">
        <f>_xlfn.XLOOKUP(Table8[[#This Row],[Admin2PCODE]],tblSeverityAnalysis[Admin 2 Código P],tblSeverityAnalysis[Severidad Ttotal 2025],0,0)</f>
        <v>3</v>
      </c>
      <c r="AB118" t="str">
        <f>_xlfn.XLOOKUP(Table8[[#This Row],[Admin2PCODE]],tblSeverityAnalysis[Admin 2 Código P],tblSeverityAnalysis[Priorización Final 2025],0,0)</f>
        <v>No</v>
      </c>
      <c r="AC118">
        <v>5</v>
      </c>
      <c r="AD118" t="s">
        <v>1028</v>
      </c>
      <c r="AE118">
        <v>6</v>
      </c>
      <c r="AF118">
        <v>0</v>
      </c>
      <c r="AG118">
        <v>0</v>
      </c>
      <c r="AH118">
        <v>1</v>
      </c>
      <c r="AI118">
        <v>0</v>
      </c>
      <c r="AJ118">
        <v>4</v>
      </c>
      <c r="AK118">
        <v>2</v>
      </c>
      <c r="AL118">
        <v>2</v>
      </c>
      <c r="AM118">
        <v>0</v>
      </c>
      <c r="AN118">
        <v>1</v>
      </c>
      <c r="AO118" s="314">
        <f>Table8[[#This Row],[N° Clústeres con respuesta]]/Table8[[#This Row],[Org Total]]</f>
        <v>0.83333333333333337</v>
      </c>
      <c r="AP118" s="313">
        <v>27915</v>
      </c>
      <c r="AQ118" s="313">
        <v>126</v>
      </c>
      <c r="AR118" s="312">
        <f>Table8[[#This Row],[Alcanzados Oct 2025]]/Table8[[#This Row],[Meta 2025]]</f>
        <v>4.513702310585707E-3</v>
      </c>
      <c r="AS118" s="423">
        <v>0</v>
      </c>
      <c r="AT118" s="423">
        <v>0</v>
      </c>
      <c r="AU118" s="423">
        <v>0</v>
      </c>
      <c r="AV118" s="423">
        <v>0</v>
      </c>
      <c r="AW118" s="423">
        <v>20</v>
      </c>
      <c r="AX118" s="423">
        <v>11</v>
      </c>
      <c r="AY118" s="423">
        <v>1</v>
      </c>
      <c r="AZ118" s="423">
        <v>0</v>
      </c>
      <c r="BA118" s="42">
        <v>125</v>
      </c>
    </row>
    <row r="119" spans="1:53">
      <c r="A119" t="s">
        <v>261</v>
      </c>
      <c r="B119" t="s">
        <v>262</v>
      </c>
      <c r="C119" t="s">
        <v>274</v>
      </c>
      <c r="D119" t="s">
        <v>275</v>
      </c>
      <c r="E119" s="8">
        <v>152983</v>
      </c>
      <c r="F119" s="8">
        <v>18724</v>
      </c>
      <c r="G119" s="8">
        <v>10060.005388640791</v>
      </c>
      <c r="H119" s="8">
        <v>55838.794999999998</v>
      </c>
      <c r="I119" s="8">
        <v>23020.03479357472</v>
      </c>
      <c r="J119" s="8">
        <v>36465.013986298829</v>
      </c>
      <c r="K119" s="8">
        <v>68842.350000000006</v>
      </c>
      <c r="L119" s="8">
        <v>11705.269489601924</v>
      </c>
      <c r="M119" s="8">
        <v>12762.754895204589</v>
      </c>
      <c r="N119" s="6" cm="1">
        <f t="array" ref="N119">_xlfn.XLOOKUP(Table8[[#This Row],[Admin2PCODE]:[Admin2PCODE]],tblPiNAnalysis[[Admin2PCODE]:[Admin2PCODE]],tblPiNAnalysis[% SAMV],0,0)</f>
        <v>0.1</v>
      </c>
      <c r="O119" s="6" cm="1">
        <f t="array" ref="O119">_xlfn.XLOOKUP(Table8[[#This Row],[Admin2PCODE]:[Admin2PCODE]],tblPiNAnalysis[[Admin2PCODE]:[Admin2PCODE]],tblPiNAnalysis[% NUT],0,0)</f>
        <v>0.05</v>
      </c>
      <c r="P119" s="6" cm="1">
        <f t="array" ref="P119">_xlfn.XLOOKUP(Table8[[#This Row],[Admin2PCODE]:[Admin2PCODE]],tblPiNAnalysis[[Admin2PCODE]:[Admin2PCODE]],tblPiNAnalysis[% SAL],0,0)</f>
        <v>0.35000000000000003</v>
      </c>
      <c r="Q119" s="6" cm="1">
        <f t="array" ref="Q119">_xlfn.XLOOKUP(Table8[[#This Row],[Admin2PCODE]:[Admin2PCODE]],tblPiNAnalysis[[Admin2PCODE]:[Admin2PCODE]],tblPiNAnalysis[% EDU],0,0)</f>
        <v>0.15000000000000002</v>
      </c>
      <c r="R119" s="6" cm="1">
        <f t="array" ref="R119">_xlfn.XLOOKUP(Table8[[#This Row],[Admin2PCODE]:[Admin2PCODE]],tblPiNAnalysis[[Admin2PCODE]:[Admin2PCODE]],tblPiNAnalysis[% PRO],0,0)</f>
        <v>0.25</v>
      </c>
      <c r="S119" s="6" cm="1">
        <f t="array" ref="S119">_xlfn.XLOOKUP(Table8[[#This Row],[Admin2PCODE]:[Admin2PCODE]],tblPiNAnalysis[[Admin2PCODE]:[Admin2PCODE]],tblPiNAnalysis[% WASH],0,0)</f>
        <v>0.45</v>
      </c>
      <c r="T119" s="6" cm="1">
        <f t="array" ref="T119">_xlfn.XLOOKUP(Table8[[#This Row],[Admin2PCODE]:[Admin2PCODE]],tblPiNAnalysis[[Admin2PCODE]:[Admin2PCODE]],tblPiNAnalysis[% NNA],0,0)</f>
        <v>0.1</v>
      </c>
      <c r="U119" s="6" cm="1">
        <f t="array" ref="U119">_xlfn.XLOOKUP(Table8[[#This Row],[Admin2PCODE]:[Admin2PCODE]],tblPiNAnalysis[[Admin2PCODE]:[Admin2PCODE]],tblPiNAnalysis[% VBG],0,0)</f>
        <v>0.1</v>
      </c>
      <c r="V119" s="8" cm="1">
        <f t="array" ref="V119">_xlfn.XLOOKUP(Table8[[#This Row],[Admin2PCODE]:[Admin2PCODE]],tblPiNAnalysis[[Admin2PCODE]:[Admin2PCODE]],tblPiNAnalysis[PiN preliminar],0,0)</f>
        <v>68842.350000000006</v>
      </c>
      <c r="W119" s="308" cm="1">
        <f t="array" ref="W119">_xlfn.XLOOKUP(Table8[[#This Row],[Admin2PCODE]],tblPiNAnalysis[Admin2PCODE],tblSeverityAnalysis[Severidad media],0,0)</f>
        <v>3.5</v>
      </c>
      <c r="X119" s="42">
        <f>Table8[[#This Row],[Severidad media]]*6</f>
        <v>21</v>
      </c>
      <c r="Y119" s="6" cm="1">
        <f t="array" ref="Y119">_xlfn.XLOOKUP(Table8[[#This Row],[Admin2PCODE]],tblPiNAnalysis[Admin2PCODE],tblPiNAnalysis[% PiN Sectores más altos],0,0)</f>
        <v>0.45</v>
      </c>
      <c r="Z119" s="42" cm="1">
        <f t="array" ref="Z119">_xlfn.XLOOKUP(Table8[[#This Row],[Admin2PCODE]:[Admin2PCODE]],tblPiNAnalysis[[Admin2PCODE]:[Admin2PCODE]],tblPiNAnalysis[Severidad],0,0)</f>
        <v>3</v>
      </c>
      <c r="AA119">
        <f>_xlfn.XLOOKUP(Table8[[#This Row],[Admin2PCODE]],tblSeverityAnalysis[Admin 2 Código P],tblSeverityAnalysis[Severidad Ttotal 2025],0,0)</f>
        <v>3</v>
      </c>
      <c r="AB119" t="str">
        <f>_xlfn.XLOOKUP(Table8[[#This Row],[Admin2PCODE]],tblSeverityAnalysis[Admin 2 Código P],tblSeverityAnalysis[Priorización Final 2025],0,0)</f>
        <v>No</v>
      </c>
      <c r="AC119">
        <v>2</v>
      </c>
      <c r="AD119" t="s">
        <v>1015</v>
      </c>
      <c r="AE119">
        <v>4</v>
      </c>
      <c r="AF119">
        <v>0</v>
      </c>
      <c r="AG119">
        <v>0</v>
      </c>
      <c r="AH119">
        <v>0</v>
      </c>
      <c r="AI119">
        <v>0</v>
      </c>
      <c r="AJ119">
        <v>2</v>
      </c>
      <c r="AK119">
        <v>2</v>
      </c>
      <c r="AL119">
        <v>0</v>
      </c>
      <c r="AM119">
        <v>0</v>
      </c>
      <c r="AN119">
        <v>0</v>
      </c>
      <c r="AO119" s="314">
        <f>Table8[[#This Row],[N° Clústeres con respuesta]]/Table8[[#This Row],[Org Total]]</f>
        <v>0.5</v>
      </c>
      <c r="AP119" s="313">
        <v>35717</v>
      </c>
      <c r="AQ119" s="313">
        <v>21</v>
      </c>
      <c r="AR119" s="312">
        <f>Table8[[#This Row],[Alcanzados Oct 2025]]/Table8[[#This Row],[Meta 2025]]</f>
        <v>5.8795531539602985E-4</v>
      </c>
      <c r="AS119" s="423">
        <v>0</v>
      </c>
      <c r="AT119" s="423">
        <v>0</v>
      </c>
      <c r="AU119" s="423">
        <v>0</v>
      </c>
      <c r="AV119" s="423">
        <v>0</v>
      </c>
      <c r="AW119" s="423">
        <v>21</v>
      </c>
      <c r="AX119" s="423">
        <v>1</v>
      </c>
      <c r="AY119" s="423">
        <v>0</v>
      </c>
      <c r="AZ119" s="423">
        <v>0</v>
      </c>
      <c r="BA119" s="42">
        <v>0</v>
      </c>
    </row>
    <row r="120" spans="1:53">
      <c r="A120" t="s">
        <v>261</v>
      </c>
      <c r="B120" t="s">
        <v>262</v>
      </c>
      <c r="C120" t="s">
        <v>276</v>
      </c>
      <c r="D120" t="s">
        <v>277</v>
      </c>
      <c r="E120" s="8">
        <v>29749</v>
      </c>
      <c r="F120" s="8">
        <v>7272</v>
      </c>
      <c r="G120" s="8">
        <v>1225.5224837356045</v>
      </c>
      <c r="H120" s="8">
        <v>10858.385</v>
      </c>
      <c r="I120" s="8">
        <v>3570.2601250770635</v>
      </c>
      <c r="J120" s="8">
        <v>5909.1407818646749</v>
      </c>
      <c r="K120" s="8">
        <v>0</v>
      </c>
      <c r="L120" s="8">
        <v>1896.8341909785606</v>
      </c>
      <c r="M120" s="8">
        <v>2068.1992736526358</v>
      </c>
      <c r="N120" s="6" cm="1">
        <f t="array" ref="N120">_xlfn.XLOOKUP(Table8[[#This Row],[Admin2PCODE]:[Admin2PCODE]],tblPiNAnalysis[[Admin2PCODE]:[Admin2PCODE]],tblPiNAnalysis[% SAMV],0,0)</f>
        <v>0.25</v>
      </c>
      <c r="O120" s="6" cm="1">
        <f t="array" ref="O120">_xlfn.XLOOKUP(Table8[[#This Row],[Admin2PCODE]:[Admin2PCODE]],tblPiNAnalysis[[Admin2PCODE]:[Admin2PCODE]],tblPiNAnalysis[% NUT],0,0)</f>
        <v>0.05</v>
      </c>
      <c r="P120" s="6" cm="1">
        <f t="array" ref="P120">_xlfn.XLOOKUP(Table8[[#This Row],[Admin2PCODE]:[Admin2PCODE]],tblPiNAnalysis[[Admin2PCODE]:[Admin2PCODE]],tblPiNAnalysis[% SAL],0,0)</f>
        <v>0.35000000000000003</v>
      </c>
      <c r="Q120" s="6" cm="1">
        <f t="array" ref="Q120">_xlfn.XLOOKUP(Table8[[#This Row],[Admin2PCODE]:[Admin2PCODE]],tblPiNAnalysis[[Admin2PCODE]:[Admin2PCODE]],tblPiNAnalysis[% EDU],0,0)</f>
        <v>0.1</v>
      </c>
      <c r="R120" s="6" cm="1">
        <f t="array" ref="R120">_xlfn.XLOOKUP(Table8[[#This Row],[Admin2PCODE]:[Admin2PCODE]],tblPiNAnalysis[[Admin2PCODE]:[Admin2PCODE]],tblPiNAnalysis[% PRO],0,0)</f>
        <v>0.2</v>
      </c>
      <c r="S120" s="6" cm="1">
        <f t="array" ref="S120">_xlfn.XLOOKUP(Table8[[#This Row],[Admin2PCODE]:[Admin2PCODE]],tblPiNAnalysis[[Admin2PCODE]:[Admin2PCODE]],tblPiNAnalysis[% WASH],0,0)</f>
        <v>0</v>
      </c>
      <c r="T120" s="6" cm="1">
        <f t="array" ref="T120">_xlfn.XLOOKUP(Table8[[#This Row],[Admin2PCODE]:[Admin2PCODE]],tblPiNAnalysis[[Admin2PCODE]:[Admin2PCODE]],tblPiNAnalysis[% NNA],0,0)</f>
        <v>0.05</v>
      </c>
      <c r="U120" s="6" cm="1">
        <f t="array" ref="U120">_xlfn.XLOOKUP(Table8[[#This Row],[Admin2PCODE]:[Admin2PCODE]],tblPiNAnalysis[[Admin2PCODE]:[Admin2PCODE]],tblPiNAnalysis[% VBG],0,0)</f>
        <v>0.05</v>
      </c>
      <c r="V120" s="8" cm="1">
        <f t="array" ref="V120">_xlfn.XLOOKUP(Table8[[#This Row],[Admin2PCODE]:[Admin2PCODE]],tblPiNAnalysis[[Admin2PCODE]:[Admin2PCODE]],tblPiNAnalysis[PiN preliminar],0,0)</f>
        <v>0</v>
      </c>
      <c r="W120" s="308" cm="1">
        <f t="array" ref="W120">_xlfn.XLOOKUP(Table8[[#This Row],[Admin2PCODE]],tblPiNAnalysis[Admin2PCODE],tblSeverityAnalysis[Severidad media],0,0)</f>
        <v>2.5</v>
      </c>
      <c r="X120" s="42">
        <f>Table8[[#This Row],[Severidad media]]*6</f>
        <v>15</v>
      </c>
      <c r="Y120" s="6" cm="1">
        <f t="array" ref="Y120">_xlfn.XLOOKUP(Table8[[#This Row],[Admin2PCODE]],tblPiNAnalysis[Admin2PCODE],tblPiNAnalysis[% PiN Sectores más altos],0,0)</f>
        <v>0.36499999999999999</v>
      </c>
      <c r="Z120" s="42" cm="1">
        <f t="array" ref="Z120">_xlfn.XLOOKUP(Table8[[#This Row],[Admin2PCODE]:[Admin2PCODE]],tblPiNAnalysis[[Admin2PCODE]:[Admin2PCODE]],tblPiNAnalysis[Severidad],0,0)</f>
        <v>2</v>
      </c>
      <c r="AA120">
        <f>_xlfn.XLOOKUP(Table8[[#This Row],[Admin2PCODE]],tblSeverityAnalysis[Admin 2 Código P],tblSeverityAnalysis[Severidad Ttotal 2025],0,0)</f>
        <v>3</v>
      </c>
      <c r="AB120" t="str">
        <f>_xlfn.XLOOKUP(Table8[[#This Row],[Admin2PCODE]],tblSeverityAnalysis[Admin 2 Código P],tblSeverityAnalysis[Priorización Final 2025],0,0)</f>
        <v>No</v>
      </c>
      <c r="AC120">
        <v>0</v>
      </c>
      <c r="AD120">
        <v>0</v>
      </c>
      <c r="AE120">
        <v>0</v>
      </c>
      <c r="AF120">
        <v>0</v>
      </c>
      <c r="AG120">
        <v>0</v>
      </c>
      <c r="AH120">
        <v>0</v>
      </c>
      <c r="AI120">
        <v>0</v>
      </c>
      <c r="AJ120">
        <v>0</v>
      </c>
      <c r="AK120">
        <v>0</v>
      </c>
      <c r="AL120">
        <v>0</v>
      </c>
      <c r="AM120">
        <v>0</v>
      </c>
      <c r="AN120">
        <v>0</v>
      </c>
      <c r="AO120" s="314" t="e">
        <f>Table8[[#This Row],[N° Clústeres con respuesta]]/Table8[[#This Row],[Org Total]]</f>
        <v>#DIV/0!</v>
      </c>
      <c r="AP120" s="313">
        <v>6674</v>
      </c>
      <c r="AQ120" s="313">
        <v>0</v>
      </c>
      <c r="AR120" s="312">
        <f>Table8[[#This Row],[Alcanzados Oct 2025]]/Table8[[#This Row],[Meta 2025]]</f>
        <v>0</v>
      </c>
      <c r="AS120" s="423">
        <v>0</v>
      </c>
      <c r="AT120" s="423">
        <v>0</v>
      </c>
      <c r="AU120" s="423">
        <v>0</v>
      </c>
      <c r="AV120" s="423">
        <v>0</v>
      </c>
      <c r="AW120" s="423">
        <v>0</v>
      </c>
      <c r="AX120" s="423">
        <v>0</v>
      </c>
      <c r="AY120" s="423">
        <v>0</v>
      </c>
      <c r="AZ120" s="423">
        <v>0</v>
      </c>
      <c r="BA120" s="42">
        <v>0</v>
      </c>
    </row>
    <row r="121" spans="1:53">
      <c r="A121" t="s">
        <v>261</v>
      </c>
      <c r="B121" t="s">
        <v>262</v>
      </c>
      <c r="C121" t="s">
        <v>278</v>
      </c>
      <c r="D121" t="s">
        <v>279</v>
      </c>
      <c r="E121" s="8">
        <v>25468</v>
      </c>
      <c r="F121" s="8">
        <v>5518</v>
      </c>
      <c r="G121" s="8">
        <v>1062.1235955794591</v>
      </c>
      <c r="H121" s="8">
        <v>9295.82</v>
      </c>
      <c r="I121" s="8">
        <v>3731.5934749367134</v>
      </c>
      <c r="J121" s="8">
        <v>5058.7918058600098</v>
      </c>
      <c r="K121" s="8">
        <v>0</v>
      </c>
      <c r="L121" s="8">
        <v>1618.8133778752031</v>
      </c>
      <c r="M121" s="8">
        <v>1770.577132051003</v>
      </c>
      <c r="N121" s="6" cm="1">
        <f t="array" ref="N121">_xlfn.XLOOKUP(Table8[[#This Row],[Admin2PCODE]:[Admin2PCODE]],tblPiNAnalysis[[Admin2PCODE]:[Admin2PCODE]],tblPiNAnalysis[% SAMV],0,0)</f>
        <v>0.2</v>
      </c>
      <c r="O121" s="6" cm="1">
        <f t="array" ref="O121">_xlfn.XLOOKUP(Table8[[#This Row],[Admin2PCODE]:[Admin2PCODE]],tblPiNAnalysis[[Admin2PCODE]:[Admin2PCODE]],tblPiNAnalysis[% NUT],0,0)</f>
        <v>0.05</v>
      </c>
      <c r="P121" s="6" cm="1">
        <f t="array" ref="P121">_xlfn.XLOOKUP(Table8[[#This Row],[Admin2PCODE]:[Admin2PCODE]],tblPiNAnalysis[[Admin2PCODE]:[Admin2PCODE]],tblPiNAnalysis[% SAL],0,0)</f>
        <v>0.35000000000000003</v>
      </c>
      <c r="Q121" s="6" cm="1">
        <f t="array" ref="Q121">_xlfn.XLOOKUP(Table8[[#This Row],[Admin2PCODE]:[Admin2PCODE]],tblPiNAnalysis[[Admin2PCODE]:[Admin2PCODE]],tblPiNAnalysis[% EDU],0,0)</f>
        <v>0.15000000000000002</v>
      </c>
      <c r="R121" s="6" cm="1">
        <f t="array" ref="R121">_xlfn.XLOOKUP(Table8[[#This Row],[Admin2PCODE]:[Admin2PCODE]],tblPiNAnalysis[[Admin2PCODE]:[Admin2PCODE]],tblPiNAnalysis[% PRO],0,0)</f>
        <v>0.2</v>
      </c>
      <c r="S121" s="6" cm="1">
        <f t="array" ref="S121">_xlfn.XLOOKUP(Table8[[#This Row],[Admin2PCODE]:[Admin2PCODE]],tblPiNAnalysis[[Admin2PCODE]:[Admin2PCODE]],tblPiNAnalysis[% WASH],0,0)</f>
        <v>0</v>
      </c>
      <c r="T121" s="6" cm="1">
        <f t="array" ref="T121">_xlfn.XLOOKUP(Table8[[#This Row],[Admin2PCODE]:[Admin2PCODE]],tblPiNAnalysis[[Admin2PCODE]:[Admin2PCODE]],tblPiNAnalysis[% NNA],0,0)</f>
        <v>0.05</v>
      </c>
      <c r="U121" s="6" cm="1">
        <f t="array" ref="U121">_xlfn.XLOOKUP(Table8[[#This Row],[Admin2PCODE]:[Admin2PCODE]],tblPiNAnalysis[[Admin2PCODE]:[Admin2PCODE]],tblPiNAnalysis[% VBG],0,0)</f>
        <v>0.05</v>
      </c>
      <c r="V121" s="8" cm="1">
        <f t="array" ref="V121">_xlfn.XLOOKUP(Table8[[#This Row],[Admin2PCODE]:[Admin2PCODE]],tblPiNAnalysis[[Admin2PCODE]:[Admin2PCODE]],tblPiNAnalysis[PiN preliminar],0,0)</f>
        <v>0</v>
      </c>
      <c r="W121" s="308" cm="1">
        <f t="array" ref="W121">_xlfn.XLOOKUP(Table8[[#This Row],[Admin2PCODE]],tblPiNAnalysis[Admin2PCODE],tblSeverityAnalysis[Severidad media],0,0)</f>
        <v>2.1666666666666665</v>
      </c>
      <c r="X121" s="42">
        <f>Table8[[#This Row],[Severidad media]]*6</f>
        <v>13</v>
      </c>
      <c r="Y121" s="6" cm="1">
        <f t="array" ref="Y121">_xlfn.XLOOKUP(Table8[[#This Row],[Admin2PCODE]],tblPiNAnalysis[Admin2PCODE],tblPiNAnalysis[% PiN Sectores más altos],0,0)</f>
        <v>0.36499999999999999</v>
      </c>
      <c r="Z121" s="42" cm="1">
        <f t="array" ref="Z121">_xlfn.XLOOKUP(Table8[[#This Row],[Admin2PCODE]:[Admin2PCODE]],tblPiNAnalysis[[Admin2PCODE]:[Admin2PCODE]],tblPiNAnalysis[Severidad],0,0)</f>
        <v>2</v>
      </c>
      <c r="AA121">
        <f>_xlfn.XLOOKUP(Table8[[#This Row],[Admin2PCODE]],tblSeverityAnalysis[Admin 2 Código P],tblSeverityAnalysis[Severidad Ttotal 2025],0,0)</f>
        <v>3</v>
      </c>
      <c r="AB121" t="str">
        <f>_xlfn.XLOOKUP(Table8[[#This Row],[Admin2PCODE]],tblSeverityAnalysis[Admin 2 Código P],tblSeverityAnalysis[Priorización Final 2025],0,0)</f>
        <v>No</v>
      </c>
      <c r="AC121">
        <v>3</v>
      </c>
      <c r="AD121" t="s">
        <v>1029</v>
      </c>
      <c r="AE121">
        <v>4</v>
      </c>
      <c r="AF121">
        <v>0</v>
      </c>
      <c r="AG121">
        <v>0</v>
      </c>
      <c r="AH121">
        <v>1</v>
      </c>
      <c r="AI121">
        <v>0</v>
      </c>
      <c r="AJ121">
        <v>2</v>
      </c>
      <c r="AK121">
        <v>0</v>
      </c>
      <c r="AL121">
        <v>0</v>
      </c>
      <c r="AM121">
        <v>0</v>
      </c>
      <c r="AN121">
        <v>1</v>
      </c>
      <c r="AO121" s="314">
        <f>Table8[[#This Row],[N° Clústeres con respuesta]]/Table8[[#This Row],[Org Total]]</f>
        <v>0.75</v>
      </c>
      <c r="AP121" s="313">
        <v>5947</v>
      </c>
      <c r="AQ121" s="313">
        <v>218</v>
      </c>
      <c r="AR121" s="312">
        <f>Table8[[#This Row],[Alcanzados Oct 2025]]/Table8[[#This Row],[Meta 2025]]</f>
        <v>3.6657138052799729E-2</v>
      </c>
      <c r="AS121" s="423">
        <v>0</v>
      </c>
      <c r="AT121" s="423">
        <v>0</v>
      </c>
      <c r="AU121" s="423">
        <v>218</v>
      </c>
      <c r="AV121" s="423">
        <v>0</v>
      </c>
      <c r="AW121" s="423">
        <v>1</v>
      </c>
      <c r="AX121" s="423">
        <v>0</v>
      </c>
      <c r="AY121" s="423">
        <v>0</v>
      </c>
      <c r="AZ121" s="423">
        <v>0</v>
      </c>
      <c r="BA121" s="42">
        <v>10</v>
      </c>
    </row>
    <row r="122" spans="1:53">
      <c r="A122" t="s">
        <v>261</v>
      </c>
      <c r="B122" t="s">
        <v>262</v>
      </c>
      <c r="C122" t="s">
        <v>280</v>
      </c>
      <c r="D122" t="s">
        <v>281</v>
      </c>
      <c r="E122" s="8">
        <v>160991</v>
      </c>
      <c r="F122" s="8">
        <v>6373</v>
      </c>
      <c r="G122" s="8">
        <v>7704.3234166661578</v>
      </c>
      <c r="H122" s="8">
        <v>58761.714999999997</v>
      </c>
      <c r="I122" s="8">
        <v>27407.382433939973</v>
      </c>
      <c r="J122" s="8">
        <v>38373.800139023515</v>
      </c>
      <c r="K122" s="8">
        <v>0</v>
      </c>
      <c r="L122" s="8">
        <v>12279.616044487524</v>
      </c>
      <c r="M122" s="8">
        <v>13430.830048658228</v>
      </c>
      <c r="N122" s="6" cm="1">
        <f t="array" ref="N122">_xlfn.XLOOKUP(Table8[[#This Row],[Admin2PCODE]:[Admin2PCODE]],tblPiNAnalysis[[Admin2PCODE]:[Admin2PCODE]],tblPiNAnalysis[% SAMV],0,0)</f>
        <v>0.05</v>
      </c>
      <c r="O122" s="6" cm="1">
        <f t="array" ref="O122">_xlfn.XLOOKUP(Table8[[#This Row],[Admin2PCODE]:[Admin2PCODE]],tblPiNAnalysis[[Admin2PCODE]:[Admin2PCODE]],tblPiNAnalysis[% NUT],0,0)</f>
        <v>0.05</v>
      </c>
      <c r="P122" s="6" cm="1">
        <f t="array" ref="P122">_xlfn.XLOOKUP(Table8[[#This Row],[Admin2PCODE]:[Admin2PCODE]],tblPiNAnalysis[[Admin2PCODE]:[Admin2PCODE]],tblPiNAnalysis[% SAL],0,0)</f>
        <v>0.35000000000000003</v>
      </c>
      <c r="Q122" s="6" cm="1">
        <f t="array" ref="Q122">_xlfn.XLOOKUP(Table8[[#This Row],[Admin2PCODE]:[Admin2PCODE]],tblPiNAnalysis[[Admin2PCODE]:[Admin2PCODE]],tblPiNAnalysis[% EDU],0,0)</f>
        <v>0.15000000000000002</v>
      </c>
      <c r="R122" s="6" cm="1">
        <f t="array" ref="R122">_xlfn.XLOOKUP(Table8[[#This Row],[Admin2PCODE]:[Admin2PCODE]],tblPiNAnalysis[[Admin2PCODE]:[Admin2PCODE]],tblPiNAnalysis[% PRO],0,0)</f>
        <v>0.25</v>
      </c>
      <c r="S122" s="6" cm="1">
        <f t="array" ref="S122">_xlfn.XLOOKUP(Table8[[#This Row],[Admin2PCODE]:[Admin2PCODE]],tblPiNAnalysis[[Admin2PCODE]:[Admin2PCODE]],tblPiNAnalysis[% WASH],0,0)</f>
        <v>0</v>
      </c>
      <c r="T122" s="6" cm="1">
        <f t="array" ref="T122">_xlfn.XLOOKUP(Table8[[#This Row],[Admin2PCODE]:[Admin2PCODE]],tblPiNAnalysis[[Admin2PCODE]:[Admin2PCODE]],tblPiNAnalysis[% NNA],0,0)</f>
        <v>0.1</v>
      </c>
      <c r="U122" s="6" cm="1">
        <f t="array" ref="U122">_xlfn.XLOOKUP(Table8[[#This Row],[Admin2PCODE]:[Admin2PCODE]],tblPiNAnalysis[[Admin2PCODE]:[Admin2PCODE]],tblPiNAnalysis[% VBG],0,0)</f>
        <v>0.1</v>
      </c>
      <c r="V122" s="8" cm="1">
        <f t="array" ref="V122">_xlfn.XLOOKUP(Table8[[#This Row],[Admin2PCODE]:[Admin2PCODE]],tblPiNAnalysis[[Admin2PCODE]:[Admin2PCODE]],tblPiNAnalysis[PiN preliminar],0,0)</f>
        <v>0</v>
      </c>
      <c r="W122" s="308" cm="1">
        <f t="array" ref="W122">_xlfn.XLOOKUP(Table8[[#This Row],[Admin2PCODE]],tblPiNAnalysis[Admin2PCODE],tblSeverityAnalysis[Severidad media],0,0)</f>
        <v>3</v>
      </c>
      <c r="X122" s="42">
        <f>Table8[[#This Row],[Severidad media]]*6</f>
        <v>18</v>
      </c>
      <c r="Y122" s="6" cm="1">
        <f t="array" ref="Y122">_xlfn.XLOOKUP(Table8[[#This Row],[Admin2PCODE]],tblPiNAnalysis[Admin2PCODE],tblPiNAnalysis[% PiN Sectores más altos],0,0)</f>
        <v>0.36499999999999999</v>
      </c>
      <c r="Z122" s="42" cm="1">
        <f t="array" ref="Z122">_xlfn.XLOOKUP(Table8[[#This Row],[Admin2PCODE]:[Admin2PCODE]],tblPiNAnalysis[[Admin2PCODE]:[Admin2PCODE]],tblPiNAnalysis[Severidad],0,0)</f>
        <v>2</v>
      </c>
      <c r="AA122">
        <f>_xlfn.XLOOKUP(Table8[[#This Row],[Admin2PCODE]],tblSeverityAnalysis[Admin 2 Código P],tblSeverityAnalysis[Severidad Ttotal 2025],0,0)</f>
        <v>3</v>
      </c>
      <c r="AB122" t="str">
        <f>_xlfn.XLOOKUP(Table8[[#This Row],[Admin2PCODE]],tblSeverityAnalysis[Admin 2 Código P],tblSeverityAnalysis[Priorización Final 2025],0,0)</f>
        <v>No</v>
      </c>
      <c r="AC122">
        <v>7</v>
      </c>
      <c r="AD122" t="s">
        <v>1030</v>
      </c>
      <c r="AE122">
        <v>8</v>
      </c>
      <c r="AF122">
        <v>0</v>
      </c>
      <c r="AG122">
        <v>1</v>
      </c>
      <c r="AH122">
        <v>1</v>
      </c>
      <c r="AI122">
        <v>2</v>
      </c>
      <c r="AJ122">
        <v>2</v>
      </c>
      <c r="AK122">
        <v>0</v>
      </c>
      <c r="AL122">
        <v>2</v>
      </c>
      <c r="AM122">
        <v>1</v>
      </c>
      <c r="AN122">
        <v>1</v>
      </c>
      <c r="AO122" s="314">
        <f>Table8[[#This Row],[N° Clústeres con respuesta]]/Table8[[#This Row],[Org Total]]</f>
        <v>0.875</v>
      </c>
      <c r="AP122" s="313">
        <v>26449</v>
      </c>
      <c r="AQ122" s="313">
        <v>859</v>
      </c>
      <c r="AR122" s="312">
        <f>Table8[[#This Row],[Alcanzados Oct 2025]]/Table8[[#This Row],[Meta 2025]]</f>
        <v>3.2477598396914817E-2</v>
      </c>
      <c r="AS122" s="423">
        <v>0</v>
      </c>
      <c r="AT122" s="423">
        <v>0</v>
      </c>
      <c r="AU122" s="423">
        <v>650</v>
      </c>
      <c r="AV122" s="423">
        <v>616</v>
      </c>
      <c r="AW122" s="423">
        <v>253</v>
      </c>
      <c r="AX122" s="423">
        <v>0</v>
      </c>
      <c r="AY122" s="423">
        <v>1</v>
      </c>
      <c r="AZ122" s="423">
        <v>0</v>
      </c>
      <c r="BA122" s="42">
        <v>168</v>
      </c>
    </row>
    <row r="123" spans="1:53">
      <c r="A123" t="s">
        <v>261</v>
      </c>
      <c r="B123" t="s">
        <v>262</v>
      </c>
      <c r="C123" t="s">
        <v>282</v>
      </c>
      <c r="D123" t="s">
        <v>283</v>
      </c>
      <c r="E123" s="8">
        <v>186622</v>
      </c>
      <c r="F123" s="8">
        <v>16330</v>
      </c>
      <c r="G123" s="8">
        <v>8367.4211679149848</v>
      </c>
      <c r="H123" s="8">
        <v>68117.03</v>
      </c>
      <c r="I123" s="8">
        <v>25367.005990331818</v>
      </c>
      <c r="J123" s="8">
        <v>44483.202971252096</v>
      </c>
      <c r="K123" s="8">
        <v>0</v>
      </c>
      <c r="L123" s="8">
        <v>14234.624950800671</v>
      </c>
      <c r="M123" s="8">
        <v>15569.121039938234</v>
      </c>
      <c r="N123" s="6" cm="1">
        <f t="array" ref="N123">_xlfn.XLOOKUP(Table8[[#This Row],[Admin2PCODE]:[Admin2PCODE]],tblPiNAnalysis[[Admin2PCODE]:[Admin2PCODE]],tblPiNAnalysis[% SAMV],0,0)</f>
        <v>0.1</v>
      </c>
      <c r="O123" s="6" cm="1">
        <f t="array" ref="O123">_xlfn.XLOOKUP(Table8[[#This Row],[Admin2PCODE]:[Admin2PCODE]],tblPiNAnalysis[[Admin2PCODE]:[Admin2PCODE]],tblPiNAnalysis[% NUT],0,0)</f>
        <v>0.05</v>
      </c>
      <c r="P123" s="6" cm="1">
        <f t="array" ref="P123">_xlfn.XLOOKUP(Table8[[#This Row],[Admin2PCODE]:[Admin2PCODE]],tblPiNAnalysis[[Admin2PCODE]:[Admin2PCODE]],tblPiNAnalysis[% SAL],0,0)</f>
        <v>0.35000000000000003</v>
      </c>
      <c r="Q123" s="6" cm="1">
        <f t="array" ref="Q123">_xlfn.XLOOKUP(Table8[[#This Row],[Admin2PCODE]:[Admin2PCODE]],tblPiNAnalysis[[Admin2PCODE]:[Admin2PCODE]],tblPiNAnalysis[% EDU],0,0)</f>
        <v>0.15000000000000002</v>
      </c>
      <c r="R123" s="6" cm="1">
        <f t="array" ref="R123">_xlfn.XLOOKUP(Table8[[#This Row],[Admin2PCODE]:[Admin2PCODE]],tblPiNAnalysis[[Admin2PCODE]:[Admin2PCODE]],tblPiNAnalysis[% PRO],0,0)</f>
        <v>0.25</v>
      </c>
      <c r="S123" s="6" cm="1">
        <f t="array" ref="S123">_xlfn.XLOOKUP(Table8[[#This Row],[Admin2PCODE]:[Admin2PCODE]],tblPiNAnalysis[[Admin2PCODE]:[Admin2PCODE]],tblPiNAnalysis[% WASH],0,0)</f>
        <v>0</v>
      </c>
      <c r="T123" s="6" cm="1">
        <f t="array" ref="T123">_xlfn.XLOOKUP(Table8[[#This Row],[Admin2PCODE]:[Admin2PCODE]],tblPiNAnalysis[[Admin2PCODE]:[Admin2PCODE]],tblPiNAnalysis[% NNA],0,0)</f>
        <v>0.1</v>
      </c>
      <c r="U123" s="6" cm="1">
        <f t="array" ref="U123">_xlfn.XLOOKUP(Table8[[#This Row],[Admin2PCODE]:[Admin2PCODE]],tblPiNAnalysis[[Admin2PCODE]:[Admin2PCODE]],tblPiNAnalysis[% VBG],0,0)</f>
        <v>0.1</v>
      </c>
      <c r="V123" s="8" cm="1">
        <f t="array" ref="V123">_xlfn.XLOOKUP(Table8[[#This Row],[Admin2PCODE]:[Admin2PCODE]],tblPiNAnalysis[[Admin2PCODE]:[Admin2PCODE]],tblPiNAnalysis[PiN preliminar],0,0)</f>
        <v>0</v>
      </c>
      <c r="W123" s="308" cm="1">
        <f t="array" ref="W123">_xlfn.XLOOKUP(Table8[[#This Row],[Admin2PCODE]],tblPiNAnalysis[Admin2PCODE],tblSeverityAnalysis[Severidad media],0,0)</f>
        <v>2</v>
      </c>
      <c r="X123" s="42">
        <f>Table8[[#This Row],[Severidad media]]*6</f>
        <v>12</v>
      </c>
      <c r="Y123" s="6" cm="1">
        <f t="array" ref="Y123">_xlfn.XLOOKUP(Table8[[#This Row],[Admin2PCODE]],tblPiNAnalysis[Admin2PCODE],tblPiNAnalysis[% PiN Sectores más altos],0,0)</f>
        <v>0.36499999999999999</v>
      </c>
      <c r="Z123" s="42" cm="1">
        <f t="array" ref="Z123">_xlfn.XLOOKUP(Table8[[#This Row],[Admin2PCODE]:[Admin2PCODE]],tblPiNAnalysis[[Admin2PCODE]:[Admin2PCODE]],tblPiNAnalysis[Severidad],0,0)</f>
        <v>2</v>
      </c>
      <c r="AA123">
        <f>_xlfn.XLOOKUP(Table8[[#This Row],[Admin2PCODE]],tblSeverityAnalysis[Admin 2 Código P],tblSeverityAnalysis[Severidad Ttotal 2025],0,0)</f>
        <v>3</v>
      </c>
      <c r="AB123" t="str">
        <f>_xlfn.XLOOKUP(Table8[[#This Row],[Admin2PCODE]],tblSeverityAnalysis[Admin 2 Código P],tblSeverityAnalysis[Priorización Final 2025],0,0)</f>
        <v>No</v>
      </c>
      <c r="AC123">
        <v>6</v>
      </c>
      <c r="AD123" t="s">
        <v>1031</v>
      </c>
      <c r="AE123">
        <v>9</v>
      </c>
      <c r="AF123">
        <v>0</v>
      </c>
      <c r="AG123">
        <v>2</v>
      </c>
      <c r="AH123">
        <v>0</v>
      </c>
      <c r="AI123">
        <v>0</v>
      </c>
      <c r="AJ123">
        <v>4</v>
      </c>
      <c r="AK123">
        <v>2</v>
      </c>
      <c r="AL123">
        <v>2</v>
      </c>
      <c r="AM123">
        <v>2</v>
      </c>
      <c r="AN123">
        <v>1</v>
      </c>
      <c r="AO123" s="314">
        <f>Table8[[#This Row],[N° Clústeres con respuesta]]/Table8[[#This Row],[Org Total]]</f>
        <v>0.66666666666666663</v>
      </c>
      <c r="AP123" s="313">
        <v>30658</v>
      </c>
      <c r="AQ123" s="313">
        <v>406</v>
      </c>
      <c r="AR123" s="312">
        <f>Table8[[#This Row],[Alcanzados Oct 2025]]/Table8[[#This Row],[Meta 2025]]</f>
        <v>1.3242872985843826E-2</v>
      </c>
      <c r="AS123" s="423">
        <v>0</v>
      </c>
      <c r="AT123" s="423">
        <v>0</v>
      </c>
      <c r="AU123" s="423">
        <v>0</v>
      </c>
      <c r="AV123" s="423">
        <v>0</v>
      </c>
      <c r="AW123" s="423">
        <v>8</v>
      </c>
      <c r="AX123" s="423">
        <v>5</v>
      </c>
      <c r="AY123" s="423">
        <v>1</v>
      </c>
      <c r="AZ123" s="423">
        <v>13</v>
      </c>
      <c r="BA123" s="42">
        <v>406</v>
      </c>
    </row>
    <row r="124" spans="1:53">
      <c r="A124" t="s">
        <v>261</v>
      </c>
      <c r="B124" t="s">
        <v>262</v>
      </c>
      <c r="C124" t="s">
        <v>284</v>
      </c>
      <c r="D124" t="s">
        <v>285</v>
      </c>
      <c r="E124" s="8">
        <v>95367</v>
      </c>
      <c r="F124" s="8">
        <v>3885</v>
      </c>
      <c r="G124" s="8">
        <v>2979.6105942653098</v>
      </c>
      <c r="H124" s="8">
        <v>34808.955000000002</v>
      </c>
      <c r="I124" s="8">
        <v>14705.995417972239</v>
      </c>
      <c r="J124" s="8">
        <v>22731.669458903019</v>
      </c>
      <c r="K124" s="8">
        <v>0</v>
      </c>
      <c r="L124" s="8">
        <v>7274.1342268489661</v>
      </c>
      <c r="M124" s="8">
        <v>7956.0843106160555</v>
      </c>
      <c r="N124" s="6" cm="1">
        <f t="array" ref="N124">_xlfn.XLOOKUP(Table8[[#This Row],[Admin2PCODE]:[Admin2PCODE]],tblPiNAnalysis[[Admin2PCODE]:[Admin2PCODE]],tblPiNAnalysis[% SAMV],0,0)</f>
        <v>0.05</v>
      </c>
      <c r="O124" s="6" cm="1">
        <f t="array" ref="O124">_xlfn.XLOOKUP(Table8[[#This Row],[Admin2PCODE]:[Admin2PCODE]],tblPiNAnalysis[[Admin2PCODE]:[Admin2PCODE]],tblPiNAnalysis[% NUT],0,0)</f>
        <v>0.05</v>
      </c>
      <c r="P124" s="6" cm="1">
        <f t="array" ref="P124">_xlfn.XLOOKUP(Table8[[#This Row],[Admin2PCODE]:[Admin2PCODE]],tblPiNAnalysis[[Admin2PCODE]:[Admin2PCODE]],tblPiNAnalysis[% SAL],0,0)</f>
        <v>0.35000000000000003</v>
      </c>
      <c r="Q124" s="6" cm="1">
        <f t="array" ref="Q124">_xlfn.XLOOKUP(Table8[[#This Row],[Admin2PCODE]:[Admin2PCODE]],tblPiNAnalysis[[Admin2PCODE]:[Admin2PCODE]],tblPiNAnalysis[% EDU],0,0)</f>
        <v>0.15000000000000002</v>
      </c>
      <c r="R124" s="6" cm="1">
        <f t="array" ref="R124">_xlfn.XLOOKUP(Table8[[#This Row],[Admin2PCODE]:[Admin2PCODE]],tblPiNAnalysis[[Admin2PCODE]:[Admin2PCODE]],tblPiNAnalysis[% PRO],0,0)</f>
        <v>0.25</v>
      </c>
      <c r="S124" s="6" cm="1">
        <f t="array" ref="S124">_xlfn.XLOOKUP(Table8[[#This Row],[Admin2PCODE]:[Admin2PCODE]],tblPiNAnalysis[[Admin2PCODE]:[Admin2PCODE]],tblPiNAnalysis[% WASH],0,0)</f>
        <v>0</v>
      </c>
      <c r="T124" s="6" cm="1">
        <f t="array" ref="T124">_xlfn.XLOOKUP(Table8[[#This Row],[Admin2PCODE]:[Admin2PCODE]],tblPiNAnalysis[[Admin2PCODE]:[Admin2PCODE]],tblPiNAnalysis[% NNA],0,0)</f>
        <v>0.1</v>
      </c>
      <c r="U124" s="6" cm="1">
        <f t="array" ref="U124">_xlfn.XLOOKUP(Table8[[#This Row],[Admin2PCODE]:[Admin2PCODE]],tblPiNAnalysis[[Admin2PCODE]:[Admin2PCODE]],tblPiNAnalysis[% VBG],0,0)</f>
        <v>0.1</v>
      </c>
      <c r="V124" s="8" cm="1">
        <f t="array" ref="V124">_xlfn.XLOOKUP(Table8[[#This Row],[Admin2PCODE]:[Admin2PCODE]],tblPiNAnalysis[[Admin2PCODE]:[Admin2PCODE]],tblPiNAnalysis[PiN preliminar],0,0)</f>
        <v>0</v>
      </c>
      <c r="W124" s="308" cm="1">
        <f t="array" ref="W124">_xlfn.XLOOKUP(Table8[[#This Row],[Admin2PCODE]],tblPiNAnalysis[Admin2PCODE],tblSeverityAnalysis[Severidad media],0,0)</f>
        <v>3.1666666666666665</v>
      </c>
      <c r="X124" s="42">
        <f>Table8[[#This Row],[Severidad media]]*6</f>
        <v>19</v>
      </c>
      <c r="Y124" s="6" cm="1">
        <f t="array" ref="Y124">_xlfn.XLOOKUP(Table8[[#This Row],[Admin2PCODE]],tblPiNAnalysis[Admin2PCODE],tblPiNAnalysis[% PiN Sectores más altos],0,0)</f>
        <v>0.36499999999999999</v>
      </c>
      <c r="Z124" s="42" cm="1">
        <f t="array" ref="Z124">_xlfn.XLOOKUP(Table8[[#This Row],[Admin2PCODE]:[Admin2PCODE]],tblPiNAnalysis[[Admin2PCODE]:[Admin2PCODE]],tblPiNAnalysis[Severidad],0,0)</f>
        <v>2</v>
      </c>
      <c r="AA124">
        <f>_xlfn.XLOOKUP(Table8[[#This Row],[Admin2PCODE]],tblSeverityAnalysis[Admin 2 Código P],tblSeverityAnalysis[Severidad Ttotal 2025],0,0)</f>
        <v>3</v>
      </c>
      <c r="AB124" t="str">
        <f>_xlfn.XLOOKUP(Table8[[#This Row],[Admin2PCODE]],tblSeverityAnalysis[Admin 2 Código P],tblSeverityAnalysis[Priorización Final 2025],0,0)</f>
        <v>No</v>
      </c>
      <c r="AC124">
        <v>3</v>
      </c>
      <c r="AD124" t="s">
        <v>1032</v>
      </c>
      <c r="AE124">
        <v>5</v>
      </c>
      <c r="AF124">
        <v>0</v>
      </c>
      <c r="AG124">
        <v>0</v>
      </c>
      <c r="AH124">
        <v>0</v>
      </c>
      <c r="AI124">
        <v>0</v>
      </c>
      <c r="AJ124">
        <v>2</v>
      </c>
      <c r="AK124">
        <v>2</v>
      </c>
      <c r="AL124">
        <v>1</v>
      </c>
      <c r="AM124">
        <v>0</v>
      </c>
      <c r="AN124">
        <v>0</v>
      </c>
      <c r="AO124" s="314">
        <f>Table8[[#This Row],[N° Clústeres con respuesta]]/Table8[[#This Row],[Org Total]]</f>
        <v>0.6</v>
      </c>
      <c r="AP124" s="313">
        <v>22264</v>
      </c>
      <c r="AQ124" s="313">
        <v>12</v>
      </c>
      <c r="AR124" s="312">
        <f>Table8[[#This Row],[Alcanzados Oct 2025]]/Table8[[#This Row],[Meta 2025]]</f>
        <v>5.3898670499461009E-4</v>
      </c>
      <c r="AS124" s="423">
        <v>0</v>
      </c>
      <c r="AT124" s="423">
        <v>0</v>
      </c>
      <c r="AU124" s="423">
        <v>0</v>
      </c>
      <c r="AV124" s="423">
        <v>0</v>
      </c>
      <c r="AW124" s="423">
        <v>12</v>
      </c>
      <c r="AX124" s="423">
        <v>5</v>
      </c>
      <c r="AY124" s="423">
        <v>0</v>
      </c>
      <c r="AZ124" s="423">
        <v>0</v>
      </c>
      <c r="BA124" s="42">
        <v>0</v>
      </c>
    </row>
    <row r="125" spans="1:53">
      <c r="A125" t="s">
        <v>261</v>
      </c>
      <c r="B125" t="s">
        <v>262</v>
      </c>
      <c r="C125" t="s">
        <v>286</v>
      </c>
      <c r="D125" t="s">
        <v>287</v>
      </c>
      <c r="E125" s="8">
        <v>65575</v>
      </c>
      <c r="F125" s="8">
        <v>4857</v>
      </c>
      <c r="G125" s="8">
        <v>2247.6550118364421</v>
      </c>
      <c r="H125" s="8">
        <v>23934.875</v>
      </c>
      <c r="I125" s="8">
        <v>9984.748005802081</v>
      </c>
      <c r="J125" s="8">
        <v>15630.451044570606</v>
      </c>
      <c r="K125" s="8">
        <v>0</v>
      </c>
      <c r="L125" s="8">
        <v>5017.3747853071645</v>
      </c>
      <c r="M125" s="8">
        <v>5470.6578655997118</v>
      </c>
      <c r="N125" s="6" cm="1">
        <f t="array" ref="N125">_xlfn.XLOOKUP(Table8[[#This Row],[Admin2PCODE]:[Admin2PCODE]],tblPiNAnalysis[[Admin2PCODE]:[Admin2PCODE]],tblPiNAnalysis[% SAMV],0,0)</f>
        <v>0.05</v>
      </c>
      <c r="O125" s="6" cm="1">
        <f t="array" ref="O125">_xlfn.XLOOKUP(Table8[[#This Row],[Admin2PCODE]:[Admin2PCODE]],tblPiNAnalysis[[Admin2PCODE]:[Admin2PCODE]],tblPiNAnalysis[% NUT],0,0)</f>
        <v>0.05</v>
      </c>
      <c r="P125" s="6" cm="1">
        <f t="array" ref="P125">_xlfn.XLOOKUP(Table8[[#This Row],[Admin2PCODE]:[Admin2PCODE]],tblPiNAnalysis[[Admin2PCODE]:[Admin2PCODE]],tblPiNAnalysis[% SAL],0,0)</f>
        <v>0.35000000000000003</v>
      </c>
      <c r="Q125" s="6" cm="1">
        <f t="array" ref="Q125">_xlfn.XLOOKUP(Table8[[#This Row],[Admin2PCODE]:[Admin2PCODE]],tblPiNAnalysis[[Admin2PCODE]:[Admin2PCODE]],tblPiNAnalysis[% EDU],0,0)</f>
        <v>0.15000000000000002</v>
      </c>
      <c r="R125" s="6" cm="1">
        <f t="array" ref="R125">_xlfn.XLOOKUP(Table8[[#This Row],[Admin2PCODE]:[Admin2PCODE]],tblPiNAnalysis[[Admin2PCODE]:[Admin2PCODE]],tblPiNAnalysis[% PRO],0,0)</f>
        <v>0.25</v>
      </c>
      <c r="S125" s="6" cm="1">
        <f t="array" ref="S125">_xlfn.XLOOKUP(Table8[[#This Row],[Admin2PCODE]:[Admin2PCODE]],tblPiNAnalysis[[Admin2PCODE]:[Admin2PCODE]],tblPiNAnalysis[% WASH],0,0)</f>
        <v>0</v>
      </c>
      <c r="T125" s="6" cm="1">
        <f t="array" ref="T125">_xlfn.XLOOKUP(Table8[[#This Row],[Admin2PCODE]:[Admin2PCODE]],tblPiNAnalysis[[Admin2PCODE]:[Admin2PCODE]],tblPiNAnalysis[% NNA],0,0)</f>
        <v>0.1</v>
      </c>
      <c r="U125" s="6" cm="1">
        <f t="array" ref="U125">_xlfn.XLOOKUP(Table8[[#This Row],[Admin2PCODE]:[Admin2PCODE]],tblPiNAnalysis[[Admin2PCODE]:[Admin2PCODE]],tblPiNAnalysis[% VBG],0,0)</f>
        <v>0.1</v>
      </c>
      <c r="V125" s="8" cm="1">
        <f t="array" ref="V125">_xlfn.XLOOKUP(Table8[[#This Row],[Admin2PCODE]:[Admin2PCODE]],tblPiNAnalysis[[Admin2PCODE]:[Admin2PCODE]],tblPiNAnalysis[PiN preliminar],0,0)</f>
        <v>0</v>
      </c>
      <c r="W125" s="308" cm="1">
        <f t="array" ref="W125">_xlfn.XLOOKUP(Table8[[#This Row],[Admin2PCODE]],tblPiNAnalysis[Admin2PCODE],tblSeverityAnalysis[Severidad media],0,0)</f>
        <v>2.6666666666666665</v>
      </c>
      <c r="X125" s="42">
        <f>Table8[[#This Row],[Severidad media]]*6</f>
        <v>16</v>
      </c>
      <c r="Y125" s="6" cm="1">
        <f t="array" ref="Y125">_xlfn.XLOOKUP(Table8[[#This Row],[Admin2PCODE]],tblPiNAnalysis[Admin2PCODE],tblPiNAnalysis[% PiN Sectores más altos],0,0)</f>
        <v>0.36499999999999999</v>
      </c>
      <c r="Z125" s="42" cm="1">
        <f t="array" ref="Z125">_xlfn.XLOOKUP(Table8[[#This Row],[Admin2PCODE]:[Admin2PCODE]],tblPiNAnalysis[[Admin2PCODE]:[Admin2PCODE]],tblPiNAnalysis[Severidad],0,0)</f>
        <v>2</v>
      </c>
      <c r="AA125">
        <f>_xlfn.XLOOKUP(Table8[[#This Row],[Admin2PCODE]],tblSeverityAnalysis[Admin 2 Código P],tblSeverityAnalysis[Severidad Ttotal 2025],0,0)</f>
        <v>3</v>
      </c>
      <c r="AB125" t="str">
        <f>_xlfn.XLOOKUP(Table8[[#This Row],[Admin2PCODE]],tblSeverityAnalysis[Admin 2 Código P],tblSeverityAnalysis[Priorización Final 2025],0,0)</f>
        <v>No</v>
      </c>
      <c r="AC125">
        <v>1</v>
      </c>
      <c r="AD125" t="s">
        <v>1033</v>
      </c>
      <c r="AE125">
        <v>1</v>
      </c>
      <c r="AF125">
        <v>0</v>
      </c>
      <c r="AG125">
        <v>0</v>
      </c>
      <c r="AH125">
        <v>0</v>
      </c>
      <c r="AI125">
        <v>0</v>
      </c>
      <c r="AJ125">
        <v>0</v>
      </c>
      <c r="AK125">
        <v>0</v>
      </c>
      <c r="AL125">
        <v>1</v>
      </c>
      <c r="AM125">
        <v>0</v>
      </c>
      <c r="AN125">
        <v>0</v>
      </c>
      <c r="AO125" s="314">
        <f>Table8[[#This Row],[N° Clústeres con respuesta]]/Table8[[#This Row],[Org Total]]</f>
        <v>1</v>
      </c>
      <c r="AP125" s="313">
        <v>15309</v>
      </c>
      <c r="AQ125" s="313">
        <v>1</v>
      </c>
      <c r="AR125" s="312">
        <f>Table8[[#This Row],[Alcanzados Oct 2025]]/Table8[[#This Row],[Meta 2025]]</f>
        <v>6.5321052975373959E-5</v>
      </c>
      <c r="AS125" s="423">
        <v>0</v>
      </c>
      <c r="AT125" s="423">
        <v>0</v>
      </c>
      <c r="AU125" s="423">
        <v>0</v>
      </c>
      <c r="AV125" s="423">
        <v>0</v>
      </c>
      <c r="AW125" s="423">
        <v>0</v>
      </c>
      <c r="AX125" s="423">
        <v>0</v>
      </c>
      <c r="AY125" s="423">
        <v>1</v>
      </c>
      <c r="AZ125" s="423">
        <v>0</v>
      </c>
      <c r="BA125" s="42">
        <v>0</v>
      </c>
    </row>
    <row r="126" spans="1:53">
      <c r="A126" t="s">
        <v>290</v>
      </c>
      <c r="B126" t="s">
        <v>291</v>
      </c>
      <c r="C126" t="s">
        <v>119</v>
      </c>
      <c r="D126" t="s">
        <v>292</v>
      </c>
      <c r="E126" s="8">
        <v>17417</v>
      </c>
      <c r="F126" s="8">
        <v>1613</v>
      </c>
      <c r="G126" s="8">
        <v>697.61988669560958</v>
      </c>
      <c r="H126" s="8">
        <v>7700</v>
      </c>
      <c r="I126" s="8">
        <v>429.39301219337653</v>
      </c>
      <c r="J126" s="8">
        <v>4481.9202736243888</v>
      </c>
      <c r="K126" s="8">
        <v>0</v>
      </c>
      <c r="L126" s="8">
        <v>1434.2144875598046</v>
      </c>
      <c r="M126" s="8">
        <v>1568.6720957685359</v>
      </c>
      <c r="N126" s="6" cm="1">
        <f t="array" ref="N126">_xlfn.XLOOKUP(Table8[[#This Row],[Admin2PCODE]:[Admin2PCODE]],tblPiNAnalysis[[Admin2PCODE]:[Admin2PCODE]],tblPiNAnalysis[% SAMV],0,0)</f>
        <v>0.1</v>
      </c>
      <c r="O126" s="6" cm="1">
        <f t="array" ref="O126">_xlfn.XLOOKUP(Table8[[#This Row],[Admin2PCODE]:[Admin2PCODE]],tblPiNAnalysis[[Admin2PCODE]:[Admin2PCODE]],tblPiNAnalysis[% NUT],0,0)</f>
        <v>0.05</v>
      </c>
      <c r="P126" s="6" cm="1">
        <f t="array" ref="P126">_xlfn.XLOOKUP(Table8[[#This Row],[Admin2PCODE]:[Admin2PCODE]],tblPiNAnalysis[[Admin2PCODE]:[Admin2PCODE]],tblPiNAnalysis[% SAL],0,0)</f>
        <v>0.45</v>
      </c>
      <c r="Q126" s="6" cm="1">
        <f t="array" ref="Q126">_xlfn.XLOOKUP(Table8[[#This Row],[Admin2PCODE]:[Admin2PCODE]],tblPiNAnalysis[[Admin2PCODE]:[Admin2PCODE]],tblPiNAnalysis[% EDU],0,0)</f>
        <v>0</v>
      </c>
      <c r="R126" s="6" cm="1">
        <f t="array" ref="R126">_xlfn.XLOOKUP(Table8[[#This Row],[Admin2PCODE]:[Admin2PCODE]],tblPiNAnalysis[[Admin2PCODE]:[Admin2PCODE]],tblPiNAnalysis[% PRO],0,0)</f>
        <v>0.25</v>
      </c>
      <c r="S126" s="6" cm="1">
        <f t="array" ref="S126">_xlfn.XLOOKUP(Table8[[#This Row],[Admin2PCODE]:[Admin2PCODE]],tblPiNAnalysis[[Admin2PCODE]:[Admin2PCODE]],tblPiNAnalysis[% WASH],0,0)</f>
        <v>0</v>
      </c>
      <c r="T126" s="6" cm="1">
        <f t="array" ref="T126">_xlfn.XLOOKUP(Table8[[#This Row],[Admin2PCODE]:[Admin2PCODE]],tblPiNAnalysis[[Admin2PCODE]:[Admin2PCODE]],tblPiNAnalysis[% NNA],0,0)</f>
        <v>0.1</v>
      </c>
      <c r="U126" s="6" cm="1">
        <f t="array" ref="U126">_xlfn.XLOOKUP(Table8[[#This Row],[Admin2PCODE]:[Admin2PCODE]],tblPiNAnalysis[[Admin2PCODE]:[Admin2PCODE]],tblPiNAnalysis[% VBG],0,0)</f>
        <v>0.1</v>
      </c>
      <c r="V126" s="8" cm="1">
        <f t="array" ref="V126">_xlfn.XLOOKUP(Table8[[#This Row],[Admin2PCODE]:[Admin2PCODE]],tblPiNAnalysis[[Admin2PCODE]:[Admin2PCODE]],tblPiNAnalysis[PiN preliminar],0,0)</f>
        <v>0</v>
      </c>
      <c r="W126" s="308" cm="1">
        <f t="array" ref="W126">_xlfn.XLOOKUP(Table8[[#This Row],[Admin2PCODE]],tblPiNAnalysis[Admin2PCODE],tblSeverityAnalysis[Severidad media],0,0)</f>
        <v>2.6666666666666665</v>
      </c>
      <c r="X126" s="42">
        <f>Table8[[#This Row],[Severidad media]]*6</f>
        <v>16</v>
      </c>
      <c r="Y126" s="6" cm="1">
        <f t="array" ref="Y126">_xlfn.XLOOKUP(Table8[[#This Row],[Admin2PCODE]],tblPiNAnalysis[Admin2PCODE],tblPiNAnalysis[% PiN Sectores más altos],0,0)</f>
        <v>0.44209680197508183</v>
      </c>
      <c r="Z126" s="42" cm="1">
        <f t="array" ref="Z126">_xlfn.XLOOKUP(Table8[[#This Row],[Admin2PCODE]:[Admin2PCODE]],tblPiNAnalysis[[Admin2PCODE]:[Admin2PCODE]],tblPiNAnalysis[Severidad],0,0)</f>
        <v>2</v>
      </c>
      <c r="AA126">
        <f>_xlfn.XLOOKUP(Table8[[#This Row],[Admin2PCODE]],tblSeverityAnalysis[Admin 2 Código P],tblSeverityAnalysis[Severidad Ttotal 2025],0,0)</f>
        <v>3</v>
      </c>
      <c r="AB126" t="str">
        <f>_xlfn.XLOOKUP(Table8[[#This Row],[Admin2PCODE]],tblSeverityAnalysis[Admin 2 Código P],tblSeverityAnalysis[Priorización Final 2025],0,0)</f>
        <v>No</v>
      </c>
      <c r="AC126">
        <v>1</v>
      </c>
      <c r="AD126" t="s">
        <v>93</v>
      </c>
      <c r="AE126">
        <v>1</v>
      </c>
      <c r="AF126">
        <v>0</v>
      </c>
      <c r="AG126">
        <v>0</v>
      </c>
      <c r="AH126">
        <v>0</v>
      </c>
      <c r="AI126">
        <v>1</v>
      </c>
      <c r="AJ126">
        <v>0</v>
      </c>
      <c r="AK126">
        <v>0</v>
      </c>
      <c r="AL126">
        <v>0</v>
      </c>
      <c r="AM126">
        <v>0</v>
      </c>
      <c r="AN126">
        <v>0</v>
      </c>
      <c r="AO126" s="314">
        <f>Table8[[#This Row],[N° Clústeres con respuesta]]/Table8[[#This Row],[Org Total]]</f>
        <v>1</v>
      </c>
      <c r="AP126" s="313">
        <v>4066</v>
      </c>
      <c r="AQ126" s="313">
        <v>2785</v>
      </c>
      <c r="AR126" s="312">
        <f>Table8[[#This Row],[Alcanzados Oct 2025]]/Table8[[#This Row],[Meta 2025]]</f>
        <v>0.68494835218888339</v>
      </c>
      <c r="AS126" s="423">
        <v>0</v>
      </c>
      <c r="AT126" s="423">
        <v>0</v>
      </c>
      <c r="AU126" s="423">
        <v>0</v>
      </c>
      <c r="AV126" s="423">
        <v>2785</v>
      </c>
      <c r="AW126" s="423">
        <v>0</v>
      </c>
      <c r="AX126" s="423">
        <v>0</v>
      </c>
      <c r="AY126" s="423">
        <v>0</v>
      </c>
      <c r="AZ126" s="423">
        <v>0</v>
      </c>
      <c r="BA126" s="42">
        <v>0</v>
      </c>
    </row>
    <row r="127" spans="1:53">
      <c r="A127" t="s">
        <v>290</v>
      </c>
      <c r="B127" t="s">
        <v>291</v>
      </c>
      <c r="C127" t="s">
        <v>296</v>
      </c>
      <c r="D127" t="s">
        <v>297</v>
      </c>
      <c r="E127" s="8">
        <v>9664</v>
      </c>
      <c r="F127" s="8">
        <v>1611</v>
      </c>
      <c r="G127" s="8">
        <v>264.11224350327905</v>
      </c>
      <c r="H127" s="8">
        <v>6300</v>
      </c>
      <c r="I127" s="8">
        <v>226.56538299061805</v>
      </c>
      <c r="J127" s="8">
        <v>2486.839152799339</v>
      </c>
      <c r="K127" s="8">
        <v>1304.6400000000001</v>
      </c>
      <c r="L127" s="8">
        <v>795.78852889578843</v>
      </c>
      <c r="M127" s="8">
        <v>870.39370347976865</v>
      </c>
      <c r="N127" s="6" cm="1">
        <f t="array" ref="N127">_xlfn.XLOOKUP(Table8[[#This Row],[Admin2PCODE]:[Admin2PCODE]],tblPiNAnalysis[[Admin2PCODE]:[Admin2PCODE]],tblPiNAnalysis[% SAMV],0,0)</f>
        <v>0.15000000000000002</v>
      </c>
      <c r="O127" s="6" cm="1">
        <f t="array" ref="O127">_xlfn.XLOOKUP(Table8[[#This Row],[Admin2PCODE]:[Admin2PCODE]],tblPiNAnalysis[[Admin2PCODE]:[Admin2PCODE]],tblPiNAnalysis[% NUT],0,0)</f>
        <v>0.05</v>
      </c>
      <c r="P127" s="6" cm="1">
        <f t="array" ref="P127">_xlfn.XLOOKUP(Table8[[#This Row],[Admin2PCODE]:[Admin2PCODE]],tblPiNAnalysis[[Admin2PCODE]:[Admin2PCODE]],tblPiNAnalysis[% SAL],0,0)</f>
        <v>0.65</v>
      </c>
      <c r="Q127" s="6" cm="1">
        <f t="array" ref="Q127">_xlfn.XLOOKUP(Table8[[#This Row],[Admin2PCODE]:[Admin2PCODE]],tblPiNAnalysis[[Admin2PCODE]:[Admin2PCODE]],tblPiNAnalysis[% EDU],0,0)</f>
        <v>0</v>
      </c>
      <c r="R127" s="6" cm="1">
        <f t="array" ref="R127">_xlfn.XLOOKUP(Table8[[#This Row],[Admin2PCODE]:[Admin2PCODE]],tblPiNAnalysis[[Admin2PCODE]:[Admin2PCODE]],tblPiNAnalysis[% PRO],0,0)</f>
        <v>0.25</v>
      </c>
      <c r="S127" s="6" cm="1">
        <f t="array" ref="S127">_xlfn.XLOOKUP(Table8[[#This Row],[Admin2PCODE]:[Admin2PCODE]],tblPiNAnalysis[[Admin2PCODE]:[Admin2PCODE]],tblPiNAnalysis[% WASH],0,0)</f>
        <v>0.15000000000000002</v>
      </c>
      <c r="T127" s="6" cm="1">
        <f t="array" ref="T127">_xlfn.XLOOKUP(Table8[[#This Row],[Admin2PCODE]:[Admin2PCODE]],tblPiNAnalysis[[Admin2PCODE]:[Admin2PCODE]],tblPiNAnalysis[% NNA],0,0)</f>
        <v>0.1</v>
      </c>
      <c r="U127" s="6" cm="1">
        <f t="array" ref="U127">_xlfn.XLOOKUP(Table8[[#This Row],[Admin2PCODE]:[Admin2PCODE]],tblPiNAnalysis[[Admin2PCODE]:[Admin2PCODE]],tblPiNAnalysis[% VBG],0,0)</f>
        <v>0.1</v>
      </c>
      <c r="V127" s="8" cm="1">
        <f t="array" ref="V127">_xlfn.XLOOKUP(Table8[[#This Row],[Admin2PCODE]:[Admin2PCODE]],tblPiNAnalysis[[Admin2PCODE]:[Admin2PCODE]],tblPiNAnalysis[PiN preliminar],0,0)</f>
        <v>0</v>
      </c>
      <c r="W127" s="308" cm="1">
        <f t="array" ref="W127">_xlfn.XLOOKUP(Table8[[#This Row],[Admin2PCODE]],tblPiNAnalysis[Admin2PCODE],tblSeverityAnalysis[Severidad media],0,0)</f>
        <v>3.1666666666666665</v>
      </c>
      <c r="X127" s="42">
        <f>Table8[[#This Row],[Severidad media]]*6</f>
        <v>19</v>
      </c>
      <c r="Y127" s="6" cm="1">
        <f t="array" ref="Y127">_xlfn.XLOOKUP(Table8[[#This Row],[Admin2PCODE]],tblPiNAnalysis[Admin2PCODE],tblPiNAnalysis[% PiN Sectores más altos],0,0)</f>
        <v>0.65190397350993379</v>
      </c>
      <c r="Z127" s="42" cm="1">
        <f t="array" ref="Z127">_xlfn.XLOOKUP(Table8[[#This Row],[Admin2PCODE]:[Admin2PCODE]],tblPiNAnalysis[[Admin2PCODE]:[Admin2PCODE]],tblPiNAnalysis[Severidad],0,0)</f>
        <v>2</v>
      </c>
      <c r="AA127">
        <f>_xlfn.XLOOKUP(Table8[[#This Row],[Admin2PCODE]],tblSeverityAnalysis[Admin 2 Código P],tblSeverityAnalysis[Severidad Ttotal 2025],0,0)</f>
        <v>3</v>
      </c>
      <c r="AB127" t="str">
        <f>_xlfn.XLOOKUP(Table8[[#This Row],[Admin2PCODE]],tblSeverityAnalysis[Admin 2 Código P],tblSeverityAnalysis[Priorización Final 2025],0,0)</f>
        <v>No</v>
      </c>
      <c r="AC127">
        <v>0</v>
      </c>
      <c r="AD127">
        <v>0</v>
      </c>
      <c r="AE127">
        <v>0</v>
      </c>
      <c r="AF127">
        <v>0</v>
      </c>
      <c r="AG127">
        <v>0</v>
      </c>
      <c r="AH127">
        <v>0</v>
      </c>
      <c r="AI127">
        <v>0</v>
      </c>
      <c r="AJ127">
        <v>0</v>
      </c>
      <c r="AK127">
        <v>0</v>
      </c>
      <c r="AL127">
        <v>0</v>
      </c>
      <c r="AM127">
        <v>0</v>
      </c>
      <c r="AN127">
        <v>0</v>
      </c>
      <c r="AO127" s="314" t="e">
        <f>Table8[[#This Row],[N° Clústeres con respuesta]]/Table8[[#This Row],[Org Total]]</f>
        <v>#DIV/0!</v>
      </c>
      <c r="AP127" s="313">
        <v>2169</v>
      </c>
      <c r="AQ127" s="313">
        <v>0</v>
      </c>
      <c r="AR127" s="312">
        <f>Table8[[#This Row],[Alcanzados Oct 2025]]/Table8[[#This Row],[Meta 2025]]</f>
        <v>0</v>
      </c>
      <c r="AS127" s="423">
        <v>0</v>
      </c>
      <c r="AT127" s="423">
        <v>0</v>
      </c>
      <c r="AU127" s="423">
        <v>0</v>
      </c>
      <c r="AV127" s="423">
        <v>0</v>
      </c>
      <c r="AW127" s="423">
        <v>0</v>
      </c>
      <c r="AX127" s="423">
        <v>0</v>
      </c>
      <c r="AY127" s="423">
        <v>0</v>
      </c>
      <c r="AZ127" s="423">
        <v>0</v>
      </c>
      <c r="BA127" s="42">
        <v>0</v>
      </c>
    </row>
    <row r="128" spans="1:53">
      <c r="A128" t="s">
        <v>290</v>
      </c>
      <c r="B128" t="s">
        <v>291</v>
      </c>
      <c r="C128" t="s">
        <v>300</v>
      </c>
      <c r="D128" t="s">
        <v>301</v>
      </c>
      <c r="E128" s="8">
        <v>12936</v>
      </c>
      <c r="F128" s="8">
        <v>4312</v>
      </c>
      <c r="G128" s="8">
        <v>314.40830904005691</v>
      </c>
      <c r="H128" s="8">
        <v>7700</v>
      </c>
      <c r="I128" s="8">
        <v>303.65470564064265</v>
      </c>
      <c r="J128" s="8">
        <v>5548.0393350945496</v>
      </c>
      <c r="K128" s="8">
        <v>0</v>
      </c>
      <c r="L128" s="8">
        <v>1780.9206265653504</v>
      </c>
      <c r="M128" s="8">
        <v>1941.8137672830919</v>
      </c>
      <c r="N128" s="6" cm="1">
        <f t="array" ref="N128">_xlfn.XLOOKUP(Table8[[#This Row],[Admin2PCODE]:[Admin2PCODE]],tblPiNAnalysis[[Admin2PCODE]:[Admin2PCODE]],tblPiNAnalysis[% SAMV],0,0)</f>
        <v>0.35000000000000003</v>
      </c>
      <c r="O128" s="6" cm="1">
        <f t="array" ref="O128">_xlfn.XLOOKUP(Table8[[#This Row],[Admin2PCODE]:[Admin2PCODE]],tblPiNAnalysis[[Admin2PCODE]:[Admin2PCODE]],tblPiNAnalysis[% NUT],0,0)</f>
        <v>0</v>
      </c>
      <c r="P128" s="6" cm="1">
        <f t="array" ref="P128">_xlfn.XLOOKUP(Table8[[#This Row],[Admin2PCODE]:[Admin2PCODE]],tblPiNAnalysis[[Admin2PCODE]:[Admin2PCODE]],tblPiNAnalysis[% SAL],0,0)</f>
        <v>0.60000000000000009</v>
      </c>
      <c r="Q128" s="6" cm="1">
        <f t="array" ref="Q128">_xlfn.XLOOKUP(Table8[[#This Row],[Admin2PCODE]:[Admin2PCODE]],tblPiNAnalysis[[Admin2PCODE]:[Admin2PCODE]],tblPiNAnalysis[% EDU],0,0)</f>
        <v>0</v>
      </c>
      <c r="R128" s="6" cm="1">
        <f t="array" ref="R128">_xlfn.XLOOKUP(Table8[[#This Row],[Admin2PCODE]:[Admin2PCODE]],tblPiNAnalysis[[Admin2PCODE]:[Admin2PCODE]],tblPiNAnalysis[% PRO],0,0)</f>
        <v>0.45</v>
      </c>
      <c r="S128" s="6" cm="1">
        <f t="array" ref="S128">_xlfn.XLOOKUP(Table8[[#This Row],[Admin2PCODE]:[Admin2PCODE]],tblPiNAnalysis[[Admin2PCODE]:[Admin2PCODE]],tblPiNAnalysis[% WASH],0,0)</f>
        <v>0</v>
      </c>
      <c r="T128" s="6" cm="1">
        <f t="array" ref="T128">_xlfn.XLOOKUP(Table8[[#This Row],[Admin2PCODE]:[Admin2PCODE]],tblPiNAnalysis[[Admin2PCODE]:[Admin2PCODE]],tblPiNAnalysis[% NNA],0,0)</f>
        <v>0.15000000000000002</v>
      </c>
      <c r="U128" s="6" cm="1">
        <f t="array" ref="U128">_xlfn.XLOOKUP(Table8[[#This Row],[Admin2PCODE]:[Admin2PCODE]],tblPiNAnalysis[[Admin2PCODE]:[Admin2PCODE]],tblPiNAnalysis[% VBG],0,0)</f>
        <v>0.15000000000000002</v>
      </c>
      <c r="V128" s="8" cm="1">
        <f t="array" ref="V128">_xlfn.XLOOKUP(Table8[[#This Row],[Admin2PCODE]:[Admin2PCODE]],tblPiNAnalysis[[Admin2PCODE]:[Admin2PCODE]],tblPiNAnalysis[PiN preliminar],0,0)</f>
        <v>0</v>
      </c>
      <c r="W128" s="308" cm="1">
        <f t="array" ref="W128">_xlfn.XLOOKUP(Table8[[#This Row],[Admin2PCODE]],tblPiNAnalysis[Admin2PCODE],tblSeverityAnalysis[Severidad media],0,0)</f>
        <v>2.6666666666666665</v>
      </c>
      <c r="X128" s="42">
        <f>Table8[[#This Row],[Severidad media]]*6</f>
        <v>16</v>
      </c>
      <c r="Y128" s="6" cm="1">
        <f t="array" ref="Y128">_xlfn.XLOOKUP(Table8[[#This Row],[Admin2PCODE]],tblPiNAnalysis[Admin2PCODE],tblPiNAnalysis[% PiN Sectores más altos],0,0)</f>
        <v>0.59523809523809523</v>
      </c>
      <c r="Z128" s="42" cm="1">
        <f t="array" ref="Z128">_xlfn.XLOOKUP(Table8[[#This Row],[Admin2PCODE]:[Admin2PCODE]],tblPiNAnalysis[[Admin2PCODE]:[Admin2PCODE]],tblPiNAnalysis[Severidad],0,0)</f>
        <v>2</v>
      </c>
      <c r="AA128">
        <f>_xlfn.XLOOKUP(Table8[[#This Row],[Admin2PCODE]],tblSeverityAnalysis[Admin 2 Código P],tblSeverityAnalysis[Severidad Ttotal 2025],0,0)</f>
        <v>3</v>
      </c>
      <c r="AB128" t="str">
        <f>_xlfn.XLOOKUP(Table8[[#This Row],[Admin2PCODE]],tblSeverityAnalysis[Admin 2 Código P],tblSeverityAnalysis[Priorización Final 2025],0,0)</f>
        <v>No</v>
      </c>
      <c r="AC128">
        <v>0</v>
      </c>
      <c r="AD128">
        <v>0</v>
      </c>
      <c r="AE128">
        <v>0</v>
      </c>
      <c r="AF128">
        <v>0</v>
      </c>
      <c r="AG128">
        <v>0</v>
      </c>
      <c r="AH128">
        <v>0</v>
      </c>
      <c r="AI128">
        <v>0</v>
      </c>
      <c r="AJ128">
        <v>0</v>
      </c>
      <c r="AK128">
        <v>0</v>
      </c>
      <c r="AL128">
        <v>0</v>
      </c>
      <c r="AM128">
        <v>0</v>
      </c>
      <c r="AN128">
        <v>0</v>
      </c>
      <c r="AO128" s="314" t="e">
        <f>Table8[[#This Row],[N° Clústeres con respuesta]]/Table8[[#This Row],[Org Total]]</f>
        <v>#DIV/0!</v>
      </c>
      <c r="AP128" s="313">
        <v>2904</v>
      </c>
      <c r="AQ128" s="313">
        <v>0</v>
      </c>
      <c r="AR128" s="312">
        <f>Table8[[#This Row],[Alcanzados Oct 2025]]/Table8[[#This Row],[Meta 2025]]</f>
        <v>0</v>
      </c>
      <c r="AS128" s="423">
        <v>0</v>
      </c>
      <c r="AT128" s="423">
        <v>0</v>
      </c>
      <c r="AU128" s="423">
        <v>0</v>
      </c>
      <c r="AV128" s="423">
        <v>0</v>
      </c>
      <c r="AW128" s="423">
        <v>0</v>
      </c>
      <c r="AX128" s="423">
        <v>0</v>
      </c>
      <c r="AY128" s="423">
        <v>0</v>
      </c>
      <c r="AZ128" s="423">
        <v>0</v>
      </c>
      <c r="BA128" s="42">
        <v>0</v>
      </c>
    </row>
    <row r="129" spans="1:53">
      <c r="A129" t="s">
        <v>290</v>
      </c>
      <c r="B129" t="s">
        <v>291</v>
      </c>
      <c r="C129" t="s">
        <v>175</v>
      </c>
      <c r="D129" t="s">
        <v>302</v>
      </c>
      <c r="E129" s="8">
        <v>18712</v>
      </c>
      <c r="F129" s="8">
        <v>6238</v>
      </c>
      <c r="G129" s="8">
        <v>778.64504700271868</v>
      </c>
      <c r="H129" s="8">
        <v>7700</v>
      </c>
      <c r="I129" s="8">
        <v>871.52670008632879</v>
      </c>
      <c r="J129" s="8">
        <v>8025.2714933742463</v>
      </c>
      <c r="K129" s="8">
        <v>0</v>
      </c>
      <c r="L129" s="8">
        <v>2576.1121493731334</v>
      </c>
      <c r="M129" s="8">
        <v>2808.8450226809864</v>
      </c>
      <c r="N129" s="6" cm="1">
        <f t="array" ref="N129">_xlfn.XLOOKUP(Table8[[#This Row],[Admin2PCODE]:[Admin2PCODE]],tblPiNAnalysis[[Admin2PCODE]:[Admin2PCODE]],tblPiNAnalysis[% SAMV],0,0)</f>
        <v>0.35000000000000003</v>
      </c>
      <c r="O129" s="6" cm="1">
        <f t="array" ref="O129">_xlfn.XLOOKUP(Table8[[#This Row],[Admin2PCODE]:[Admin2PCODE]],tblPiNAnalysis[[Admin2PCODE]:[Admin2PCODE]],tblPiNAnalysis[% NUT],0,0)</f>
        <v>0.05</v>
      </c>
      <c r="P129" s="6" cm="1">
        <f t="array" ref="P129">_xlfn.XLOOKUP(Table8[[#This Row],[Admin2PCODE]:[Admin2PCODE]],tblPiNAnalysis[[Admin2PCODE]:[Admin2PCODE]],tblPiNAnalysis[% SAL],0,0)</f>
        <v>0.4</v>
      </c>
      <c r="Q129" s="6" cm="1">
        <f t="array" ref="Q129">_xlfn.XLOOKUP(Table8[[#This Row],[Admin2PCODE]:[Admin2PCODE]],tblPiNAnalysis[[Admin2PCODE]:[Admin2PCODE]],tblPiNAnalysis[% EDU],0,0)</f>
        <v>0.05</v>
      </c>
      <c r="R129" s="6" cm="1">
        <f t="array" ref="R129">_xlfn.XLOOKUP(Table8[[#This Row],[Admin2PCODE]:[Admin2PCODE]],tblPiNAnalysis[[Admin2PCODE]:[Admin2PCODE]],tblPiNAnalysis[% PRO],0,0)</f>
        <v>0.45</v>
      </c>
      <c r="S129" s="6" cm="1">
        <f t="array" ref="S129">_xlfn.XLOOKUP(Table8[[#This Row],[Admin2PCODE]:[Admin2PCODE]],tblPiNAnalysis[[Admin2PCODE]:[Admin2PCODE]],tblPiNAnalysis[% WASH],0,0)</f>
        <v>0</v>
      </c>
      <c r="T129" s="6" cm="1">
        <f t="array" ref="T129">_xlfn.XLOOKUP(Table8[[#This Row],[Admin2PCODE]:[Admin2PCODE]],tblPiNAnalysis[[Admin2PCODE]:[Admin2PCODE]],tblPiNAnalysis[% NNA],0,0)</f>
        <v>0.15000000000000002</v>
      </c>
      <c r="U129" s="6" cm="1">
        <f t="array" ref="U129">_xlfn.XLOOKUP(Table8[[#This Row],[Admin2PCODE]:[Admin2PCODE]],tblPiNAnalysis[[Admin2PCODE]:[Admin2PCODE]],tblPiNAnalysis[% VBG],0,0)</f>
        <v>0.15000000000000002</v>
      </c>
      <c r="V129" s="8" cm="1">
        <f t="array" ref="V129">_xlfn.XLOOKUP(Table8[[#This Row],[Admin2PCODE]:[Admin2PCODE]],tblPiNAnalysis[[Admin2PCODE]:[Admin2PCODE]],tblPiNAnalysis[PiN preliminar],0,0)</f>
        <v>8025.2714933742463</v>
      </c>
      <c r="W129" s="308" cm="1">
        <f t="array" ref="W129">_xlfn.XLOOKUP(Table8[[#This Row],[Admin2PCODE]],tblPiNAnalysis[Admin2PCODE],tblSeverityAnalysis[Severidad media],0,0)</f>
        <v>3.3333333333333335</v>
      </c>
      <c r="X129" s="42">
        <f>Table8[[#This Row],[Severidad media]]*6</f>
        <v>20</v>
      </c>
      <c r="Y129" s="6" cm="1">
        <f t="array" ref="Y129">_xlfn.XLOOKUP(Table8[[#This Row],[Admin2PCODE]],tblPiNAnalysis[Admin2PCODE],tblPiNAnalysis[% PiN Sectores más altos],0,0)</f>
        <v>0.4288836839126895</v>
      </c>
      <c r="Z129" s="42" cm="1">
        <f t="array" ref="Z129">_xlfn.XLOOKUP(Table8[[#This Row],[Admin2PCODE]:[Admin2PCODE]],tblPiNAnalysis[[Admin2PCODE]:[Admin2PCODE]],tblPiNAnalysis[Severidad],0,0)</f>
        <v>3</v>
      </c>
      <c r="AA129">
        <f>_xlfn.XLOOKUP(Table8[[#This Row],[Admin2PCODE]],tblSeverityAnalysis[Admin 2 Código P],tblSeverityAnalysis[Severidad Ttotal 2025],0,0)</f>
        <v>3</v>
      </c>
      <c r="AB129" t="str">
        <f>_xlfn.XLOOKUP(Table8[[#This Row],[Admin2PCODE]],tblSeverityAnalysis[Admin 2 Código P],tblSeverityAnalysis[Priorización Final 2025],0,0)</f>
        <v>No</v>
      </c>
      <c r="AC129">
        <v>1</v>
      </c>
      <c r="AD129" t="s">
        <v>93</v>
      </c>
      <c r="AE129">
        <v>1</v>
      </c>
      <c r="AF129">
        <v>0</v>
      </c>
      <c r="AG129">
        <v>0</v>
      </c>
      <c r="AH129">
        <v>0</v>
      </c>
      <c r="AI129">
        <v>1</v>
      </c>
      <c r="AJ129">
        <v>0</v>
      </c>
      <c r="AK129">
        <v>0</v>
      </c>
      <c r="AL129">
        <v>0</v>
      </c>
      <c r="AM129">
        <v>0</v>
      </c>
      <c r="AN129">
        <v>0</v>
      </c>
      <c r="AO129" s="314">
        <f>Table8[[#This Row],[N° Clústeres con respuesta]]/Table8[[#This Row],[Org Total]]</f>
        <v>1</v>
      </c>
      <c r="AP129" s="313">
        <v>4368</v>
      </c>
      <c r="AQ129" s="313">
        <v>1924</v>
      </c>
      <c r="AR129" s="312">
        <f>Table8[[#This Row],[Alcanzados Oct 2025]]/Table8[[#This Row],[Meta 2025]]</f>
        <v>0.44047619047619047</v>
      </c>
      <c r="AS129" s="423">
        <v>0</v>
      </c>
      <c r="AT129" s="423">
        <v>0</v>
      </c>
      <c r="AU129" s="423">
        <v>0</v>
      </c>
      <c r="AV129" s="423">
        <v>1924</v>
      </c>
      <c r="AW129" s="423">
        <v>0</v>
      </c>
      <c r="AX129" s="423">
        <v>0</v>
      </c>
      <c r="AY129" s="423">
        <v>0</v>
      </c>
      <c r="AZ129" s="423">
        <v>0</v>
      </c>
      <c r="BA129" s="42">
        <v>0</v>
      </c>
    </row>
    <row r="130" spans="1:53">
      <c r="A130" t="s">
        <v>290</v>
      </c>
      <c r="B130" t="s">
        <v>291</v>
      </c>
      <c r="C130" t="s">
        <v>227</v>
      </c>
      <c r="D130" t="s">
        <v>303</v>
      </c>
      <c r="E130" s="8">
        <v>109167</v>
      </c>
      <c r="F130" s="8">
        <v>31933</v>
      </c>
      <c r="G130" s="8">
        <v>4544.6124012872333</v>
      </c>
      <c r="H130" s="8">
        <v>39845.955000000002</v>
      </c>
      <c r="I130" s="8">
        <v>7246.9228898259717</v>
      </c>
      <c r="J130" s="8">
        <v>46819.945121696583</v>
      </c>
      <c r="K130" s="8">
        <v>0</v>
      </c>
      <c r="L130" s="8">
        <v>14982.382438942906</v>
      </c>
      <c r="M130" s="8">
        <v>16386.980792593804</v>
      </c>
      <c r="N130" s="6" cm="1">
        <f t="array" ref="N130">_xlfn.XLOOKUP(Table8[[#This Row],[Admin2PCODE]:[Admin2PCODE]],tblPiNAnalysis[[Admin2PCODE]:[Admin2PCODE]],tblPiNAnalysis[% SAMV],0,0)</f>
        <v>0.30000000000000004</v>
      </c>
      <c r="O130" s="6" cm="1">
        <f t="array" ref="O130">_xlfn.XLOOKUP(Table8[[#This Row],[Admin2PCODE]:[Admin2PCODE]],tblPiNAnalysis[[Admin2PCODE]:[Admin2PCODE]],tblPiNAnalysis[% NUT],0,0)</f>
        <v>0.05</v>
      </c>
      <c r="P130" s="6" cm="1">
        <f t="array" ref="P130">_xlfn.XLOOKUP(Table8[[#This Row],[Admin2PCODE]:[Admin2PCODE]],tblPiNAnalysis[[Admin2PCODE]:[Admin2PCODE]],tblPiNAnalysis[% SAL],0,0)</f>
        <v>0.35000000000000003</v>
      </c>
      <c r="Q130" s="6" cm="1">
        <f t="array" ref="Q130">_xlfn.XLOOKUP(Table8[[#This Row],[Admin2PCODE]:[Admin2PCODE]],tblPiNAnalysis[[Admin2PCODE]:[Admin2PCODE]],tblPiNAnalysis[% EDU],0,0)</f>
        <v>0.05</v>
      </c>
      <c r="R130" s="6" cm="1">
        <f t="array" ref="R130">_xlfn.XLOOKUP(Table8[[#This Row],[Admin2PCODE]:[Admin2PCODE]],tblPiNAnalysis[[Admin2PCODE]:[Admin2PCODE]],tblPiNAnalysis[% PRO],0,0)</f>
        <v>0.45</v>
      </c>
      <c r="S130" s="6" cm="1">
        <f t="array" ref="S130">_xlfn.XLOOKUP(Table8[[#This Row],[Admin2PCODE]:[Admin2PCODE]],tblPiNAnalysis[[Admin2PCODE]:[Admin2PCODE]],tblPiNAnalysis[% WASH],0,0)</f>
        <v>0</v>
      </c>
      <c r="T130" s="6" cm="1">
        <f t="array" ref="T130">_xlfn.XLOOKUP(Table8[[#This Row],[Admin2PCODE]:[Admin2PCODE]],tblPiNAnalysis[[Admin2PCODE]:[Admin2PCODE]],tblPiNAnalysis[% NNA],0,0)</f>
        <v>0.15000000000000002</v>
      </c>
      <c r="U130" s="6" cm="1">
        <f t="array" ref="U130">_xlfn.XLOOKUP(Table8[[#This Row],[Admin2PCODE]:[Admin2PCODE]],tblPiNAnalysis[[Admin2PCODE]:[Admin2PCODE]],tblPiNAnalysis[% VBG],0,0)</f>
        <v>0.15000000000000002</v>
      </c>
      <c r="V130" s="8" cm="1">
        <f t="array" ref="V130">_xlfn.XLOOKUP(Table8[[#This Row],[Admin2PCODE]:[Admin2PCODE]],tblPiNAnalysis[[Admin2PCODE]:[Admin2PCODE]],tblPiNAnalysis[PiN preliminar],0,0)</f>
        <v>46819.945121696583</v>
      </c>
      <c r="W130" s="308" cm="1">
        <f t="array" ref="W130">_xlfn.XLOOKUP(Table8[[#This Row],[Admin2PCODE]],tblPiNAnalysis[Admin2PCODE],tblSeverityAnalysis[Severidad media],0,0)</f>
        <v>2.5</v>
      </c>
      <c r="X130" s="42">
        <f>Table8[[#This Row],[Severidad media]]*6</f>
        <v>15</v>
      </c>
      <c r="Y130" s="6" cm="1">
        <f t="array" ref="Y130">_xlfn.XLOOKUP(Table8[[#This Row],[Admin2PCODE]],tblPiNAnalysis[Admin2PCODE],tblPiNAnalysis[% PiN Sectores más altos],0,0)</f>
        <v>0.42888368391268955</v>
      </c>
      <c r="Z130" s="42" cm="1">
        <f t="array" ref="Z130">_xlfn.XLOOKUP(Table8[[#This Row],[Admin2PCODE]:[Admin2PCODE]],tblPiNAnalysis[[Admin2PCODE]:[Admin2PCODE]],tblPiNAnalysis[Severidad],0,0)</f>
        <v>3</v>
      </c>
      <c r="AA130">
        <f>_xlfn.XLOOKUP(Table8[[#This Row],[Admin2PCODE]],tblSeverityAnalysis[Admin 2 Código P],tblSeverityAnalysis[Severidad Ttotal 2025],0,0)</f>
        <v>3</v>
      </c>
      <c r="AB130" t="str">
        <f>_xlfn.XLOOKUP(Table8[[#This Row],[Admin2PCODE]],tblSeverityAnalysis[Admin 2 Código P],tblSeverityAnalysis[Priorización Final 2025],0,0)</f>
        <v>No</v>
      </c>
      <c r="AC130">
        <v>5</v>
      </c>
      <c r="AD130" t="s">
        <v>1034</v>
      </c>
      <c r="AE130">
        <v>7</v>
      </c>
      <c r="AF130">
        <v>0</v>
      </c>
      <c r="AG130">
        <v>2</v>
      </c>
      <c r="AH130">
        <v>0</v>
      </c>
      <c r="AI130">
        <v>2</v>
      </c>
      <c r="AJ130">
        <v>2</v>
      </c>
      <c r="AK130">
        <v>0</v>
      </c>
      <c r="AL130">
        <v>2</v>
      </c>
      <c r="AM130">
        <v>4</v>
      </c>
      <c r="AN130">
        <v>0</v>
      </c>
      <c r="AO130" s="314">
        <f>Table8[[#This Row],[N° Clústeres con respuesta]]/Table8[[#This Row],[Org Total]]</f>
        <v>0.7142857142857143</v>
      </c>
      <c r="AP130" s="313">
        <v>17935</v>
      </c>
      <c r="AQ130" s="313">
        <v>10304</v>
      </c>
      <c r="AR130" s="312">
        <f>Table8[[#This Row],[Alcanzados Oct 2025]]/Table8[[#This Row],[Meta 2025]]</f>
        <v>0.57451909673822132</v>
      </c>
      <c r="AS130" s="423">
        <v>0</v>
      </c>
      <c r="AT130" s="423">
        <v>0</v>
      </c>
      <c r="AU130" s="423">
        <v>0</v>
      </c>
      <c r="AV130" s="423">
        <v>10301</v>
      </c>
      <c r="AW130" s="423">
        <v>5</v>
      </c>
      <c r="AX130" s="423">
        <v>0</v>
      </c>
      <c r="AY130" s="423">
        <v>17</v>
      </c>
      <c r="AZ130" s="423">
        <v>1729</v>
      </c>
      <c r="BA130" s="42">
        <v>0</v>
      </c>
    </row>
    <row r="131" spans="1:53">
      <c r="A131" t="s">
        <v>290</v>
      </c>
      <c r="B131" t="s">
        <v>291</v>
      </c>
      <c r="C131" t="s">
        <v>304</v>
      </c>
      <c r="D131" t="s">
        <v>305</v>
      </c>
      <c r="E131" s="8">
        <v>33297</v>
      </c>
      <c r="F131" s="8">
        <v>740</v>
      </c>
      <c r="G131" s="8">
        <v>1054.3717550327922</v>
      </c>
      <c r="H131" s="8">
        <v>12153.405000000001</v>
      </c>
      <c r="I131" s="8">
        <v>1687.606030139551</v>
      </c>
      <c r="J131" s="8">
        <v>8568.3240139444952</v>
      </c>
      <c r="K131" s="8">
        <v>19978.2</v>
      </c>
      <c r="L131" s="8">
        <v>2750.432008476183</v>
      </c>
      <c r="M131" s="8">
        <v>2998.9134048805736</v>
      </c>
      <c r="N131" s="6" cm="1">
        <f t="array" ref="N131">_xlfn.XLOOKUP(Table8[[#This Row],[Admin2PCODE]:[Admin2PCODE]],tblPiNAnalysis[[Admin2PCODE]:[Admin2PCODE]],tblPiNAnalysis[% SAMV],0,0)</f>
        <v>0</v>
      </c>
      <c r="O131" s="6" cm="1">
        <f t="array" ref="O131">_xlfn.XLOOKUP(Table8[[#This Row],[Admin2PCODE]:[Admin2PCODE]],tblPiNAnalysis[[Admin2PCODE]:[Admin2PCODE]],tblPiNAnalysis[% NUT],0,0)</f>
        <v>0.05</v>
      </c>
      <c r="P131" s="6" cm="1">
        <f t="array" ref="P131">_xlfn.XLOOKUP(Table8[[#This Row],[Admin2PCODE]:[Admin2PCODE]],tblPiNAnalysis[[Admin2PCODE]:[Admin2PCODE]],tblPiNAnalysis[% SAL],0,0)</f>
        <v>0.35000000000000003</v>
      </c>
      <c r="Q131" s="6" cm="1">
        <f t="array" ref="Q131">_xlfn.XLOOKUP(Table8[[#This Row],[Admin2PCODE]:[Admin2PCODE]],tblPiNAnalysis[[Admin2PCODE]:[Admin2PCODE]],tblPiNAnalysis[% EDU],0,0)</f>
        <v>0.05</v>
      </c>
      <c r="R131" s="6" cm="1">
        <f t="array" ref="R131">_xlfn.XLOOKUP(Table8[[#This Row],[Admin2PCODE]:[Admin2PCODE]],tblPiNAnalysis[[Admin2PCODE]:[Admin2PCODE]],tblPiNAnalysis[% PRO],0,0)</f>
        <v>0.25</v>
      </c>
      <c r="S131" s="6" cm="1">
        <f t="array" ref="S131">_xlfn.XLOOKUP(Table8[[#This Row],[Admin2PCODE]:[Admin2PCODE]],tblPiNAnalysis[[Admin2PCODE]:[Admin2PCODE]],tblPiNAnalysis[% WASH],0,0)</f>
        <v>0.60000000000000009</v>
      </c>
      <c r="T131" s="6" cm="1">
        <f t="array" ref="T131">_xlfn.XLOOKUP(Table8[[#This Row],[Admin2PCODE]:[Admin2PCODE]],tblPiNAnalysis[[Admin2PCODE]:[Admin2PCODE]],tblPiNAnalysis[% NNA],0,0)</f>
        <v>0.1</v>
      </c>
      <c r="U131" s="6" cm="1">
        <f t="array" ref="U131">_xlfn.XLOOKUP(Table8[[#This Row],[Admin2PCODE]:[Admin2PCODE]],tblPiNAnalysis[[Admin2PCODE]:[Admin2PCODE]],tblPiNAnalysis[% VBG],0,0)</f>
        <v>0.1</v>
      </c>
      <c r="V131" s="8" cm="1">
        <f t="array" ref="V131">_xlfn.XLOOKUP(Table8[[#This Row],[Admin2PCODE]:[Admin2PCODE]],tblPiNAnalysis[[Admin2PCODE]:[Admin2PCODE]],tblPiNAnalysis[PiN preliminar],0,0)</f>
        <v>0</v>
      </c>
      <c r="W131" s="308" cm="1">
        <f t="array" ref="W131">_xlfn.XLOOKUP(Table8[[#This Row],[Admin2PCODE]],tblPiNAnalysis[Admin2PCODE],tblSeverityAnalysis[Severidad media],0,0)</f>
        <v>2.3333333333333335</v>
      </c>
      <c r="X131" s="42">
        <f>Table8[[#This Row],[Severidad media]]*6</f>
        <v>14</v>
      </c>
      <c r="Y131" s="6" cm="1">
        <f t="array" ref="Y131">_xlfn.XLOOKUP(Table8[[#This Row],[Admin2PCODE]],tblPiNAnalysis[Admin2PCODE],tblPiNAnalysis[% PiN Sectores más altos],0,0)</f>
        <v>0.6</v>
      </c>
      <c r="Z131" s="42" cm="1">
        <f t="array" ref="Z131">_xlfn.XLOOKUP(Table8[[#This Row],[Admin2PCODE]:[Admin2PCODE]],tblPiNAnalysis[[Admin2PCODE]:[Admin2PCODE]],tblPiNAnalysis[Severidad],0,0)</f>
        <v>2</v>
      </c>
      <c r="AA131">
        <f>_xlfn.XLOOKUP(Table8[[#This Row],[Admin2PCODE]],tblSeverityAnalysis[Admin 2 Código P],tblSeverityAnalysis[Severidad Ttotal 2025],0,0)</f>
        <v>3</v>
      </c>
      <c r="AB131" t="str">
        <f>_xlfn.XLOOKUP(Table8[[#This Row],[Admin2PCODE]],tblSeverityAnalysis[Admin 2 Código P],tblSeverityAnalysis[Priorización Final 2025],0,0)</f>
        <v>No</v>
      </c>
      <c r="AC131">
        <v>2</v>
      </c>
      <c r="AD131" t="s">
        <v>1035</v>
      </c>
      <c r="AE131">
        <v>2</v>
      </c>
      <c r="AF131">
        <v>0</v>
      </c>
      <c r="AG131">
        <v>0</v>
      </c>
      <c r="AH131">
        <v>0</v>
      </c>
      <c r="AI131">
        <v>1</v>
      </c>
      <c r="AJ131">
        <v>2</v>
      </c>
      <c r="AK131">
        <v>0</v>
      </c>
      <c r="AL131">
        <v>0</v>
      </c>
      <c r="AM131">
        <v>0</v>
      </c>
      <c r="AN131">
        <v>0</v>
      </c>
      <c r="AO131" s="314">
        <f>Table8[[#This Row],[N° Clústeres con respuesta]]/Table8[[#This Row],[Org Total]]</f>
        <v>1</v>
      </c>
      <c r="AP131" s="313">
        <v>7775</v>
      </c>
      <c r="AQ131" s="313">
        <v>3362</v>
      </c>
      <c r="AR131" s="312">
        <f>Table8[[#This Row],[Alcanzados Oct 2025]]/Table8[[#This Row],[Meta 2025]]</f>
        <v>0.43241157556270099</v>
      </c>
      <c r="AS131" s="423">
        <v>0</v>
      </c>
      <c r="AT131" s="423">
        <v>0</v>
      </c>
      <c r="AU131" s="423">
        <v>0</v>
      </c>
      <c r="AV131" s="423">
        <v>3362</v>
      </c>
      <c r="AW131" s="423">
        <v>5</v>
      </c>
      <c r="AX131" s="423">
        <v>0</v>
      </c>
      <c r="AY131" s="423">
        <v>0</v>
      </c>
      <c r="AZ131" s="423">
        <v>0</v>
      </c>
      <c r="BA131" s="42">
        <v>0</v>
      </c>
    </row>
    <row r="132" spans="1:53">
      <c r="A132" t="s">
        <v>316</v>
      </c>
      <c r="B132" t="s">
        <v>317</v>
      </c>
      <c r="C132" t="s">
        <v>318</v>
      </c>
      <c r="D132" t="s">
        <v>319</v>
      </c>
      <c r="E132" s="8">
        <v>19478</v>
      </c>
      <c r="F132" s="8">
        <v>5681</v>
      </c>
      <c r="G132" s="8">
        <v>946.55745059070625</v>
      </c>
      <c r="H132" s="8">
        <v>9100</v>
      </c>
      <c r="I132" s="8">
        <v>1729.9533770724106</v>
      </c>
      <c r="J132" s="8">
        <v>3884.6496349898516</v>
      </c>
      <c r="K132" s="8">
        <v>2629.53</v>
      </c>
      <c r="L132" s="8">
        <v>1243.0878831967525</v>
      </c>
      <c r="M132" s="8">
        <v>1359.6273722464477</v>
      </c>
      <c r="N132" s="6" cm="1">
        <f t="array" ref="N132">_xlfn.XLOOKUP(Table8[[#This Row],[Admin2PCODE]:[Admin2PCODE]],tblPiNAnalysis[[Admin2PCODE]:[Admin2PCODE]],tblPiNAnalysis[% SAMV],0,0)</f>
        <v>0.30000000000000004</v>
      </c>
      <c r="O132" s="6" cm="1">
        <f t="array" ref="O132">_xlfn.XLOOKUP(Table8[[#This Row],[Admin2PCODE]:[Admin2PCODE]],tblPiNAnalysis[[Admin2PCODE]:[Admin2PCODE]],tblPiNAnalysis[% NUT],0,0)</f>
        <v>0.05</v>
      </c>
      <c r="P132" s="6" cm="1">
        <f t="array" ref="P132">_xlfn.XLOOKUP(Table8[[#This Row],[Admin2PCODE]:[Admin2PCODE]],tblPiNAnalysis[[Admin2PCODE]:[Admin2PCODE]],tblPiNAnalysis[% SAL],0,0)</f>
        <v>0.45</v>
      </c>
      <c r="Q132" s="6" cm="1">
        <f t="array" ref="Q132">_xlfn.XLOOKUP(Table8[[#This Row],[Admin2PCODE]:[Admin2PCODE]],tblPiNAnalysis[[Admin2PCODE]:[Admin2PCODE]],tblPiNAnalysis[% EDU],0,0)</f>
        <v>0.1</v>
      </c>
      <c r="R132" s="6" cm="1">
        <f t="array" ref="R132">_xlfn.XLOOKUP(Table8[[#This Row],[Admin2PCODE]:[Admin2PCODE]],tblPiNAnalysis[[Admin2PCODE]:[Admin2PCODE]],tblPiNAnalysis[% PRO],0,0)</f>
        <v>0.2</v>
      </c>
      <c r="S132" s="6" cm="1">
        <f t="array" ref="S132">_xlfn.XLOOKUP(Table8[[#This Row],[Admin2PCODE]:[Admin2PCODE]],tblPiNAnalysis[[Admin2PCODE]:[Admin2PCODE]],tblPiNAnalysis[% WASH],0,0)</f>
        <v>0.15000000000000002</v>
      </c>
      <c r="T132" s="6" cm="1">
        <f t="array" ref="T132">_xlfn.XLOOKUP(Table8[[#This Row],[Admin2PCODE]:[Admin2PCODE]],tblPiNAnalysis[[Admin2PCODE]:[Admin2PCODE]],tblPiNAnalysis[% NNA],0,0)</f>
        <v>0.05</v>
      </c>
      <c r="U132" s="6" cm="1">
        <f t="array" ref="U132">_xlfn.XLOOKUP(Table8[[#This Row],[Admin2PCODE]:[Admin2PCODE]],tblPiNAnalysis[[Admin2PCODE]:[Admin2PCODE]],tblPiNAnalysis[% VBG],0,0)</f>
        <v>0.05</v>
      </c>
      <c r="V132" s="8" cm="1">
        <f t="array" ref="V132">_xlfn.XLOOKUP(Table8[[#This Row],[Admin2PCODE]:[Admin2PCODE]],tblPiNAnalysis[[Admin2PCODE]:[Admin2PCODE]],tblPiNAnalysis[PiN preliminar],0,0)</f>
        <v>9100</v>
      </c>
      <c r="W132" s="308" cm="1">
        <f t="array" ref="W132">_xlfn.XLOOKUP(Table8[[#This Row],[Admin2PCODE]],tblPiNAnalysis[Admin2PCODE],tblSeverityAnalysis[Severidad media],0,0)</f>
        <v>2.5</v>
      </c>
      <c r="X132" s="42">
        <f>Table8[[#This Row],[Severidad media]]*6</f>
        <v>15</v>
      </c>
      <c r="Y132" s="6" cm="1">
        <f t="array" ref="Y132">_xlfn.XLOOKUP(Table8[[#This Row],[Admin2PCODE]],tblPiNAnalysis[Admin2PCODE],tblPiNAnalysis[% PiN Sectores más altos],0,0)</f>
        <v>0.46719375705924632</v>
      </c>
      <c r="Z132" s="42" cm="1">
        <f t="array" ref="Z132">_xlfn.XLOOKUP(Table8[[#This Row],[Admin2PCODE]:[Admin2PCODE]],tblPiNAnalysis[[Admin2PCODE]:[Admin2PCODE]],tblPiNAnalysis[Severidad],0,0)</f>
        <v>3</v>
      </c>
      <c r="AA132">
        <f>_xlfn.XLOOKUP(Table8[[#This Row],[Admin2PCODE]],tblSeverityAnalysis[Admin 2 Código P],tblSeverityAnalysis[Severidad Ttotal 2025],0,0)</f>
        <v>3</v>
      </c>
      <c r="AB132" t="str">
        <f>_xlfn.XLOOKUP(Table8[[#This Row],[Admin2PCODE]],tblSeverityAnalysis[Admin 2 Código P],tblSeverityAnalysis[Priorización Final 2025],0,0)</f>
        <v>No</v>
      </c>
      <c r="AC132">
        <v>3</v>
      </c>
      <c r="AD132" t="s">
        <v>1011</v>
      </c>
      <c r="AE132">
        <v>5</v>
      </c>
      <c r="AF132">
        <v>0</v>
      </c>
      <c r="AG132">
        <v>0</v>
      </c>
      <c r="AH132">
        <v>0</v>
      </c>
      <c r="AI132">
        <v>1</v>
      </c>
      <c r="AJ132">
        <v>1</v>
      </c>
      <c r="AK132">
        <v>0</v>
      </c>
      <c r="AL132">
        <v>0</v>
      </c>
      <c r="AM132">
        <v>0</v>
      </c>
      <c r="AN132">
        <v>3</v>
      </c>
      <c r="AO132" s="314">
        <f>Table8[[#This Row],[N° Clústeres con respuesta]]/Table8[[#This Row],[Org Total]]</f>
        <v>0.6</v>
      </c>
      <c r="AP132" s="313">
        <v>4547</v>
      </c>
      <c r="AQ132" s="313">
        <v>402</v>
      </c>
      <c r="AR132" s="312">
        <f>Table8[[#This Row],[Alcanzados Oct 2025]]/Table8[[#This Row],[Meta 2025]]</f>
        <v>8.8409940620189142E-2</v>
      </c>
      <c r="AS132" s="423">
        <v>0</v>
      </c>
      <c r="AT132" s="423">
        <v>0</v>
      </c>
      <c r="AU132" s="423">
        <v>0</v>
      </c>
      <c r="AV132" s="423">
        <v>371</v>
      </c>
      <c r="AW132" s="423">
        <v>4</v>
      </c>
      <c r="AX132" s="423">
        <v>0</v>
      </c>
      <c r="AY132" s="423">
        <v>0</v>
      </c>
      <c r="AZ132" s="423">
        <v>0</v>
      </c>
      <c r="BA132" s="42">
        <v>148</v>
      </c>
    </row>
    <row r="133" spans="1:53">
      <c r="A133" t="s">
        <v>316</v>
      </c>
      <c r="B133" t="s">
        <v>317</v>
      </c>
      <c r="C133" t="s">
        <v>180</v>
      </c>
      <c r="D133" t="s">
        <v>320</v>
      </c>
      <c r="E133" s="8">
        <v>8733</v>
      </c>
      <c r="F133" s="8">
        <v>1456</v>
      </c>
      <c r="G133" s="8">
        <v>283.34738935940982</v>
      </c>
      <c r="H133" s="8">
        <v>7700</v>
      </c>
      <c r="I133" s="8">
        <v>597.02342153398752</v>
      </c>
      <c r="J133" s="8">
        <v>1741.690382090891</v>
      </c>
      <c r="K133" s="8">
        <v>1178.9549999999999</v>
      </c>
      <c r="L133" s="8">
        <v>557.34092226908513</v>
      </c>
      <c r="M133" s="8">
        <v>609.59163373181184</v>
      </c>
      <c r="N133" s="6" cm="1">
        <f t="array" ref="N133">_xlfn.XLOOKUP(Table8[[#This Row],[Admin2PCODE]:[Admin2PCODE]],tblPiNAnalysis[[Admin2PCODE]:[Admin2PCODE]],tblPiNAnalysis[% SAMV],0,0)</f>
        <v>0.15000000000000002</v>
      </c>
      <c r="O133" s="6" cm="1">
        <f t="array" ref="O133">_xlfn.XLOOKUP(Table8[[#This Row],[Admin2PCODE]:[Admin2PCODE]],tblPiNAnalysis[[Admin2PCODE]:[Admin2PCODE]],tblPiNAnalysis[% NUT],0,0)</f>
        <v>0.05</v>
      </c>
      <c r="P133" s="6" cm="1">
        <f t="array" ref="P133">_xlfn.XLOOKUP(Table8[[#This Row],[Admin2PCODE]:[Admin2PCODE]],tblPiNAnalysis[[Admin2PCODE]:[Admin2PCODE]],tblPiNAnalysis[% SAL],0,0)</f>
        <v>0.9</v>
      </c>
      <c r="Q133" s="6" cm="1">
        <f t="array" ref="Q133">_xlfn.XLOOKUP(Table8[[#This Row],[Admin2PCODE]:[Admin2PCODE]],tblPiNAnalysis[[Admin2PCODE]:[Admin2PCODE]],tblPiNAnalysis[% EDU],0,0)</f>
        <v>0.05</v>
      </c>
      <c r="R133" s="6" cm="1">
        <f t="array" ref="R133">_xlfn.XLOOKUP(Table8[[#This Row],[Admin2PCODE]:[Admin2PCODE]],tblPiNAnalysis[[Admin2PCODE]:[Admin2PCODE]],tblPiNAnalysis[% PRO],0,0)</f>
        <v>0.2</v>
      </c>
      <c r="S133" s="6" cm="1">
        <f t="array" ref="S133">_xlfn.XLOOKUP(Table8[[#This Row],[Admin2PCODE]:[Admin2PCODE]],tblPiNAnalysis[[Admin2PCODE]:[Admin2PCODE]],tblPiNAnalysis[% WASH],0,0)</f>
        <v>0.15000000000000002</v>
      </c>
      <c r="T133" s="6" cm="1">
        <f t="array" ref="T133">_xlfn.XLOOKUP(Table8[[#This Row],[Admin2PCODE]:[Admin2PCODE]],tblPiNAnalysis[[Admin2PCODE]:[Admin2PCODE]],tblPiNAnalysis[% NNA],0,0)</f>
        <v>0.05</v>
      </c>
      <c r="U133" s="6" cm="1">
        <f t="array" ref="U133">_xlfn.XLOOKUP(Table8[[#This Row],[Admin2PCODE]:[Admin2PCODE]],tblPiNAnalysis[[Admin2PCODE]:[Admin2PCODE]],tblPiNAnalysis[% VBG],0,0)</f>
        <v>0.05</v>
      </c>
      <c r="V133" s="8" cm="1">
        <f t="array" ref="V133">_xlfn.XLOOKUP(Table8[[#This Row],[Admin2PCODE]:[Admin2PCODE]],tblPiNAnalysis[[Admin2PCODE]:[Admin2PCODE]],tblPiNAnalysis[PiN preliminar],0,0)</f>
        <v>7700</v>
      </c>
      <c r="W133" s="308" cm="1">
        <f t="array" ref="W133">_xlfn.XLOOKUP(Table8[[#This Row],[Admin2PCODE]],tblPiNAnalysis[Admin2PCODE],tblSeverityAnalysis[Severidad media],0,0)</f>
        <v>2.8333333333333335</v>
      </c>
      <c r="X133" s="42">
        <f>Table8[[#This Row],[Severidad media]]*6</f>
        <v>17</v>
      </c>
      <c r="Y133" s="6" cm="1">
        <f t="array" ref="Y133">_xlfn.XLOOKUP(Table8[[#This Row],[Admin2PCODE]],tblPiNAnalysis[Admin2PCODE],tblPiNAnalysis[% PiN Sectores más altos],0,0)</f>
        <v>0.88171304248253746</v>
      </c>
      <c r="Z133" s="42" cm="1">
        <f t="array" ref="Z133">_xlfn.XLOOKUP(Table8[[#This Row],[Admin2PCODE]:[Admin2PCODE]],tblPiNAnalysis[[Admin2PCODE]:[Admin2PCODE]],tblPiNAnalysis[Severidad],0,0)</f>
        <v>3</v>
      </c>
      <c r="AA133">
        <f>_xlfn.XLOOKUP(Table8[[#This Row],[Admin2PCODE]],tblSeverityAnalysis[Admin 2 Código P],tblSeverityAnalysis[Severidad Ttotal 2025],0,0)</f>
        <v>3</v>
      </c>
      <c r="AB133" t="str">
        <f>_xlfn.XLOOKUP(Table8[[#This Row],[Admin2PCODE]],tblSeverityAnalysis[Admin 2 Código P],tblSeverityAnalysis[Priorización Final 2025],0,0)</f>
        <v>No</v>
      </c>
      <c r="AC133">
        <v>2</v>
      </c>
      <c r="AD133" t="s">
        <v>957</v>
      </c>
      <c r="AE133">
        <v>4</v>
      </c>
      <c r="AF133">
        <v>0</v>
      </c>
      <c r="AG133">
        <v>0</v>
      </c>
      <c r="AH133">
        <v>0</v>
      </c>
      <c r="AI133">
        <v>0</v>
      </c>
      <c r="AJ133">
        <v>2</v>
      </c>
      <c r="AK133">
        <v>0</v>
      </c>
      <c r="AL133">
        <v>0</v>
      </c>
      <c r="AM133">
        <v>0</v>
      </c>
      <c r="AN133">
        <v>2</v>
      </c>
      <c r="AO133" s="314">
        <f>Table8[[#This Row],[N° Clústeres con respuesta]]/Table8[[#This Row],[Org Total]]</f>
        <v>0.5</v>
      </c>
      <c r="AP133" s="313">
        <v>1959</v>
      </c>
      <c r="AQ133" s="313">
        <v>100</v>
      </c>
      <c r="AR133" s="312">
        <f>Table8[[#This Row],[Alcanzados Oct 2025]]/Table8[[#This Row],[Meta 2025]]</f>
        <v>5.1046452271567129E-2</v>
      </c>
      <c r="AS133" s="423">
        <v>0</v>
      </c>
      <c r="AT133" s="423">
        <v>0</v>
      </c>
      <c r="AU133" s="423">
        <v>0</v>
      </c>
      <c r="AV133" s="423">
        <v>0</v>
      </c>
      <c r="AW133" s="423">
        <v>5</v>
      </c>
      <c r="AX133" s="423">
        <v>0</v>
      </c>
      <c r="AY133" s="423">
        <v>0</v>
      </c>
      <c r="AZ133" s="423">
        <v>0</v>
      </c>
      <c r="BA133" s="42">
        <v>100</v>
      </c>
    </row>
    <row r="134" spans="1:53">
      <c r="A134" t="s">
        <v>316</v>
      </c>
      <c r="B134" t="s">
        <v>317</v>
      </c>
      <c r="C134" t="s">
        <v>321</v>
      </c>
      <c r="D134" t="s">
        <v>322</v>
      </c>
      <c r="E134" s="8">
        <v>23419</v>
      </c>
      <c r="F134" s="8">
        <v>5074</v>
      </c>
      <c r="G134" s="8">
        <v>1100.3675741232016</v>
      </c>
      <c r="H134" s="8">
        <v>8547.9349999999995</v>
      </c>
      <c r="I134" s="8">
        <v>2099.4869681318678</v>
      </c>
      <c r="J134" s="8">
        <v>4670.634038496115</v>
      </c>
      <c r="K134" s="8">
        <v>10538.550000000001</v>
      </c>
      <c r="L134" s="8">
        <v>1494.6028923187569</v>
      </c>
      <c r="M134" s="8">
        <v>1634.7219134736401</v>
      </c>
      <c r="N134" s="6" cm="1">
        <f t="array" ref="N134">_xlfn.XLOOKUP(Table8[[#This Row],[Admin2PCODE]:[Admin2PCODE]],tblPiNAnalysis[[Admin2PCODE]:[Admin2PCODE]],tblPiNAnalysis[% SAMV],0,0)</f>
        <v>0.2</v>
      </c>
      <c r="O134" s="6" cm="1">
        <f t="array" ref="O134">_xlfn.XLOOKUP(Table8[[#This Row],[Admin2PCODE]:[Admin2PCODE]],tblPiNAnalysis[[Admin2PCODE]:[Admin2PCODE]],tblPiNAnalysis[% NUT],0,0)</f>
        <v>0.05</v>
      </c>
      <c r="P134" s="6" cm="1">
        <f t="array" ref="P134">_xlfn.XLOOKUP(Table8[[#This Row],[Admin2PCODE]:[Admin2PCODE]],tblPiNAnalysis[[Admin2PCODE]:[Admin2PCODE]],tblPiNAnalysis[% SAL],0,0)</f>
        <v>0.35000000000000003</v>
      </c>
      <c r="Q134" s="6" cm="1">
        <f t="array" ref="Q134">_xlfn.XLOOKUP(Table8[[#This Row],[Admin2PCODE]:[Admin2PCODE]],tblPiNAnalysis[[Admin2PCODE]:[Admin2PCODE]],tblPiNAnalysis[% EDU],0,0)</f>
        <v>0.1</v>
      </c>
      <c r="R134" s="6" cm="1">
        <f t="array" ref="R134">_xlfn.XLOOKUP(Table8[[#This Row],[Admin2PCODE]:[Admin2PCODE]],tblPiNAnalysis[[Admin2PCODE]:[Admin2PCODE]],tblPiNAnalysis[% PRO],0,0)</f>
        <v>0.2</v>
      </c>
      <c r="S134" s="6" cm="1">
        <f t="array" ref="S134">_xlfn.XLOOKUP(Table8[[#This Row],[Admin2PCODE]:[Admin2PCODE]],tblPiNAnalysis[[Admin2PCODE]:[Admin2PCODE]],tblPiNAnalysis[% WASH],0,0)</f>
        <v>0.45</v>
      </c>
      <c r="T134" s="6" cm="1">
        <f t="array" ref="T134">_xlfn.XLOOKUP(Table8[[#This Row],[Admin2PCODE]:[Admin2PCODE]],tblPiNAnalysis[[Admin2PCODE]:[Admin2PCODE]],tblPiNAnalysis[% NNA],0,0)</f>
        <v>0.05</v>
      </c>
      <c r="U134" s="6" cm="1">
        <f t="array" ref="U134">_xlfn.XLOOKUP(Table8[[#This Row],[Admin2PCODE]:[Admin2PCODE]],tblPiNAnalysis[[Admin2PCODE]:[Admin2PCODE]],tblPiNAnalysis[% VBG],0,0)</f>
        <v>0.05</v>
      </c>
      <c r="V134" s="8" cm="1">
        <f t="array" ref="V134">_xlfn.XLOOKUP(Table8[[#This Row],[Admin2PCODE]:[Admin2PCODE]],tblPiNAnalysis[[Admin2PCODE]:[Admin2PCODE]],tblPiNAnalysis[PiN preliminar],0,0)</f>
        <v>10538.550000000001</v>
      </c>
      <c r="W134" s="308" cm="1">
        <f t="array" ref="W134">_xlfn.XLOOKUP(Table8[[#This Row],[Admin2PCODE]],tblPiNAnalysis[Admin2PCODE],tblSeverityAnalysis[Severidad media],0,0)</f>
        <v>2.3333333333333335</v>
      </c>
      <c r="X134" s="42">
        <f>Table8[[#This Row],[Severidad media]]*6</f>
        <v>14</v>
      </c>
      <c r="Y134" s="6" cm="1">
        <f t="array" ref="Y134">_xlfn.XLOOKUP(Table8[[#This Row],[Admin2PCODE]],tblPiNAnalysis[Admin2PCODE],tblPiNAnalysis[% PiN Sectores más altos],0,0)</f>
        <v>0.45000000000000007</v>
      </c>
      <c r="Z134" s="42" cm="1">
        <f t="array" ref="Z134">_xlfn.XLOOKUP(Table8[[#This Row],[Admin2PCODE]:[Admin2PCODE]],tblPiNAnalysis[[Admin2PCODE]:[Admin2PCODE]],tblPiNAnalysis[Severidad],0,0)</f>
        <v>3</v>
      </c>
      <c r="AA134">
        <f>_xlfn.XLOOKUP(Table8[[#This Row],[Admin2PCODE]],tblSeverityAnalysis[Admin 2 Código P],tblSeverityAnalysis[Severidad Ttotal 2025],0,0)</f>
        <v>3</v>
      </c>
      <c r="AB134" t="str">
        <f>_xlfn.XLOOKUP(Table8[[#This Row],[Admin2PCODE]],tblSeverityAnalysis[Admin 2 Código P],tblSeverityAnalysis[Priorización Final 2025],0,0)</f>
        <v>No</v>
      </c>
      <c r="AC134">
        <v>0</v>
      </c>
      <c r="AD134">
        <v>0</v>
      </c>
      <c r="AE134">
        <v>0</v>
      </c>
      <c r="AF134">
        <v>0</v>
      </c>
      <c r="AG134">
        <v>0</v>
      </c>
      <c r="AH134">
        <v>0</v>
      </c>
      <c r="AI134">
        <v>0</v>
      </c>
      <c r="AJ134">
        <v>0</v>
      </c>
      <c r="AK134">
        <v>0</v>
      </c>
      <c r="AL134">
        <v>0</v>
      </c>
      <c r="AM134">
        <v>0</v>
      </c>
      <c r="AN134">
        <v>0</v>
      </c>
      <c r="AO134" s="314" t="e">
        <f>Table8[[#This Row],[N° Clústeres con respuesta]]/Table8[[#This Row],[Org Total]]</f>
        <v>#DIV/0!</v>
      </c>
      <c r="AP134" s="313">
        <v>4555</v>
      </c>
      <c r="AQ134" s="313">
        <v>154</v>
      </c>
      <c r="AR134" s="312">
        <f>Table8[[#This Row],[Alcanzados Oct 2025]]/Table8[[#This Row],[Meta 2025]]</f>
        <v>3.3809001097694844E-2</v>
      </c>
      <c r="AS134" s="423">
        <v>0</v>
      </c>
      <c r="AT134" s="423">
        <v>0</v>
      </c>
      <c r="AU134" s="423">
        <v>0</v>
      </c>
      <c r="AV134" s="423">
        <v>154</v>
      </c>
      <c r="AW134" s="423">
        <v>0</v>
      </c>
      <c r="AX134" s="423">
        <v>0</v>
      </c>
      <c r="AY134" s="423">
        <v>0</v>
      </c>
      <c r="AZ134" s="423">
        <v>0</v>
      </c>
      <c r="BA134" s="42">
        <v>0</v>
      </c>
    </row>
    <row r="135" spans="1:53">
      <c r="A135" t="s">
        <v>316</v>
      </c>
      <c r="B135" t="s">
        <v>317</v>
      </c>
      <c r="C135" t="s">
        <v>323</v>
      </c>
      <c r="D135" t="s">
        <v>324</v>
      </c>
      <c r="E135" s="8">
        <v>11110</v>
      </c>
      <c r="F135" s="8">
        <v>370</v>
      </c>
      <c r="G135" s="8">
        <v>373.09920837778191</v>
      </c>
      <c r="H135" s="8">
        <v>4055.15</v>
      </c>
      <c r="I135" s="8">
        <v>364.77624849130399</v>
      </c>
      <c r="J135" s="8">
        <v>2215.7540530207029</v>
      </c>
      <c r="K135" s="8">
        <v>749.92499999999995</v>
      </c>
      <c r="L135" s="8">
        <v>711.25705101964559</v>
      </c>
      <c r="M135" s="8">
        <v>775.51391855724603</v>
      </c>
      <c r="N135" s="6" cm="1">
        <f t="array" ref="N135">_xlfn.XLOOKUP(Table8[[#This Row],[Admin2PCODE]:[Admin2PCODE]],tblPiNAnalysis[[Admin2PCODE]:[Admin2PCODE]],tblPiNAnalysis[% SAMV],0,0)</f>
        <v>0.05</v>
      </c>
      <c r="O135" s="6" cm="1">
        <f t="array" ref="O135">_xlfn.XLOOKUP(Table8[[#This Row],[Admin2PCODE]:[Admin2PCODE]],tblPiNAnalysis[[Admin2PCODE]:[Admin2PCODE]],tblPiNAnalysis[% NUT],0,0)</f>
        <v>0.05</v>
      </c>
      <c r="P135" s="6" cm="1">
        <f t="array" ref="P135">_xlfn.XLOOKUP(Table8[[#This Row],[Admin2PCODE]:[Admin2PCODE]],tblPiNAnalysis[[Admin2PCODE]:[Admin2PCODE]],tblPiNAnalysis[% SAL],0,0)</f>
        <v>0.35000000000000003</v>
      </c>
      <c r="Q135" s="6" cm="1">
        <f t="array" ref="Q135">_xlfn.XLOOKUP(Table8[[#This Row],[Admin2PCODE]:[Admin2PCODE]],tblPiNAnalysis[[Admin2PCODE]:[Admin2PCODE]],tblPiNAnalysis[% EDU],0,0)</f>
        <v>0.05</v>
      </c>
      <c r="R135" s="6" cm="1">
        <f t="array" ref="R135">_xlfn.XLOOKUP(Table8[[#This Row],[Admin2PCODE]:[Admin2PCODE]],tblPiNAnalysis[[Admin2PCODE]:[Admin2PCODE]],tblPiNAnalysis[% PRO],0,0)</f>
        <v>0.2</v>
      </c>
      <c r="S135" s="6" cm="1">
        <f t="array" ref="S135">_xlfn.XLOOKUP(Table8[[#This Row],[Admin2PCODE]:[Admin2PCODE]],tblPiNAnalysis[[Admin2PCODE]:[Admin2PCODE]],tblPiNAnalysis[% WASH],0,0)</f>
        <v>0.05</v>
      </c>
      <c r="T135" s="6" cm="1">
        <f t="array" ref="T135">_xlfn.XLOOKUP(Table8[[#This Row],[Admin2PCODE]:[Admin2PCODE]],tblPiNAnalysis[[Admin2PCODE]:[Admin2PCODE]],tblPiNAnalysis[% NNA],0,0)</f>
        <v>0.05</v>
      </c>
      <c r="U135" s="6" cm="1">
        <f t="array" ref="U135">_xlfn.XLOOKUP(Table8[[#This Row],[Admin2PCODE]:[Admin2PCODE]],tblPiNAnalysis[[Admin2PCODE]:[Admin2PCODE]],tblPiNAnalysis[% VBG],0,0)</f>
        <v>0.05</v>
      </c>
      <c r="V135" s="8" cm="1">
        <f t="array" ref="V135">_xlfn.XLOOKUP(Table8[[#This Row],[Admin2PCODE]:[Admin2PCODE]],tblPiNAnalysis[[Admin2PCODE]:[Admin2PCODE]],tblPiNAnalysis[PiN preliminar],0,0)</f>
        <v>4055.15</v>
      </c>
      <c r="W135" s="308" cm="1">
        <f t="array" ref="W135">_xlfn.XLOOKUP(Table8[[#This Row],[Admin2PCODE]],tblPiNAnalysis[Admin2PCODE],tblSeverityAnalysis[Severidad media],0,0)</f>
        <v>2.5</v>
      </c>
      <c r="X135" s="42">
        <f>Table8[[#This Row],[Severidad media]]*6</f>
        <v>15</v>
      </c>
      <c r="Y135" s="6" cm="1">
        <f t="array" ref="Y135">_xlfn.XLOOKUP(Table8[[#This Row],[Admin2PCODE]],tblPiNAnalysis[Admin2PCODE],tblPiNAnalysis[% PiN Sectores más altos],0,0)</f>
        <v>0.36499999999999999</v>
      </c>
      <c r="Z135" s="42" cm="1">
        <f t="array" ref="Z135">_xlfn.XLOOKUP(Table8[[#This Row],[Admin2PCODE]:[Admin2PCODE]],tblPiNAnalysis[[Admin2PCODE]:[Admin2PCODE]],tblPiNAnalysis[Severidad],0,0)</f>
        <v>3</v>
      </c>
      <c r="AA135">
        <f>_xlfn.XLOOKUP(Table8[[#This Row],[Admin2PCODE]],tblSeverityAnalysis[Admin 2 Código P],tblSeverityAnalysis[Severidad Ttotal 2025],0,0)</f>
        <v>3</v>
      </c>
      <c r="AB135" t="str">
        <f>_xlfn.XLOOKUP(Table8[[#This Row],[Admin2PCODE]],tblSeverityAnalysis[Admin 2 Código P],tblSeverityAnalysis[Priorización Final 2025],0,0)</f>
        <v>No</v>
      </c>
      <c r="AC135">
        <v>2</v>
      </c>
      <c r="AD135" t="s">
        <v>990</v>
      </c>
      <c r="AE135">
        <v>3</v>
      </c>
      <c r="AF135">
        <v>0</v>
      </c>
      <c r="AG135">
        <v>0</v>
      </c>
      <c r="AH135">
        <v>0</v>
      </c>
      <c r="AI135">
        <v>1</v>
      </c>
      <c r="AJ135">
        <v>0</v>
      </c>
      <c r="AK135">
        <v>0</v>
      </c>
      <c r="AL135">
        <v>0</v>
      </c>
      <c r="AM135">
        <v>0</v>
      </c>
      <c r="AN135">
        <v>2</v>
      </c>
      <c r="AO135" s="314">
        <f>Table8[[#This Row],[N° Clústeres con respuesta]]/Table8[[#This Row],[Org Total]]</f>
        <v>0.66666666666666663</v>
      </c>
      <c r="AP135" s="313">
        <v>2596</v>
      </c>
      <c r="AQ135" s="313">
        <v>444</v>
      </c>
      <c r="AR135" s="312">
        <f>Table8[[#This Row],[Alcanzados Oct 2025]]/Table8[[#This Row],[Meta 2025]]</f>
        <v>0.17103235747303544</v>
      </c>
      <c r="AS135" s="423">
        <v>0</v>
      </c>
      <c r="AT135" s="423">
        <v>0</v>
      </c>
      <c r="AU135" s="423">
        <v>0</v>
      </c>
      <c r="AV135" s="423">
        <v>415</v>
      </c>
      <c r="AW135" s="423">
        <v>0</v>
      </c>
      <c r="AX135" s="423">
        <v>0</v>
      </c>
      <c r="AY135" s="423">
        <v>0</v>
      </c>
      <c r="AZ135" s="423">
        <v>0</v>
      </c>
      <c r="BA135" s="42">
        <v>196</v>
      </c>
    </row>
    <row r="136" spans="1:53">
      <c r="A136" t="s">
        <v>316</v>
      </c>
      <c r="B136" t="s">
        <v>317</v>
      </c>
      <c r="C136" t="s">
        <v>325</v>
      </c>
      <c r="D136" t="s">
        <v>326</v>
      </c>
      <c r="E136" s="8">
        <v>244856</v>
      </c>
      <c r="F136" s="8">
        <v>38160</v>
      </c>
      <c r="G136" s="8">
        <v>8347.3800908109988</v>
      </c>
      <c r="H136" s="8">
        <v>89372.44</v>
      </c>
      <c r="I136" s="8">
        <v>29910.209550073934</v>
      </c>
      <c r="J136" s="8">
        <v>58600.25286118134</v>
      </c>
      <c r="K136" s="8">
        <v>146913.60000000001</v>
      </c>
      <c r="L136" s="8">
        <v>18810.681168439209</v>
      </c>
      <c r="M136" s="8">
        <v>20510.088501413466</v>
      </c>
      <c r="N136" s="6" cm="1">
        <f t="array" ref="N136">_xlfn.XLOOKUP(Table8[[#This Row],[Admin2PCODE]:[Admin2PCODE]],tblPiNAnalysis[[Admin2PCODE]:[Admin2PCODE]],tblPiNAnalysis[% SAMV],0,0)</f>
        <v>0.15000000000000002</v>
      </c>
      <c r="O136" s="6" cm="1">
        <f t="array" ref="O136">_xlfn.XLOOKUP(Table8[[#This Row],[Admin2PCODE]:[Admin2PCODE]],tblPiNAnalysis[[Admin2PCODE]:[Admin2PCODE]],tblPiNAnalysis[% NUT],0,0)</f>
        <v>0.05</v>
      </c>
      <c r="P136" s="6" cm="1">
        <f t="array" ref="P136">_xlfn.XLOOKUP(Table8[[#This Row],[Admin2PCODE]:[Admin2PCODE]],tblPiNAnalysis[[Admin2PCODE]:[Admin2PCODE]],tblPiNAnalysis[% SAL],0,0)</f>
        <v>0.35000000000000003</v>
      </c>
      <c r="Q136" s="6" cm="1">
        <f t="array" ref="Q136">_xlfn.XLOOKUP(Table8[[#This Row],[Admin2PCODE]:[Admin2PCODE]],tblPiNAnalysis[[Admin2PCODE]:[Admin2PCODE]],tblPiNAnalysis[% EDU],0,0)</f>
        <v>0.1</v>
      </c>
      <c r="R136" s="6" cm="1">
        <f t="array" ref="R136">_xlfn.XLOOKUP(Table8[[#This Row],[Admin2PCODE]:[Admin2PCODE]],tblPiNAnalysis[[Admin2PCODE]:[Admin2PCODE]],tblPiNAnalysis[% PRO],0,0)</f>
        <v>0.25</v>
      </c>
      <c r="S136" s="6" cm="1">
        <f t="array" ref="S136">_xlfn.XLOOKUP(Table8[[#This Row],[Admin2PCODE]:[Admin2PCODE]],tblPiNAnalysis[[Admin2PCODE]:[Admin2PCODE]],tblPiNAnalysis[% WASH],0,0)</f>
        <v>0.60000000000000009</v>
      </c>
      <c r="T136" s="6" cm="1">
        <f t="array" ref="T136">_xlfn.XLOOKUP(Table8[[#This Row],[Admin2PCODE]:[Admin2PCODE]],tblPiNAnalysis[[Admin2PCODE]:[Admin2PCODE]],tblPiNAnalysis[% NNA],0,0)</f>
        <v>0.1</v>
      </c>
      <c r="U136" s="6" cm="1">
        <f t="array" ref="U136">_xlfn.XLOOKUP(Table8[[#This Row],[Admin2PCODE]:[Admin2PCODE]],tblPiNAnalysis[[Admin2PCODE]:[Admin2PCODE]],tblPiNAnalysis[% VBG],0,0)</f>
        <v>0.1</v>
      </c>
      <c r="V136" s="8" cm="1">
        <f t="array" ref="V136">_xlfn.XLOOKUP(Table8[[#This Row],[Admin2PCODE]:[Admin2PCODE]],tblPiNAnalysis[[Admin2PCODE]:[Admin2PCODE]],tblPiNAnalysis[PiN preliminar],0,0)</f>
        <v>146913.60000000001</v>
      </c>
      <c r="W136" s="308" cm="1">
        <f t="array" ref="W136">_xlfn.XLOOKUP(Table8[[#This Row],[Admin2PCODE]],tblPiNAnalysis[Admin2PCODE],tblSeverityAnalysis[Severidad media],0,0)</f>
        <v>3</v>
      </c>
      <c r="X136" s="42">
        <f>Table8[[#This Row],[Severidad media]]*6</f>
        <v>18</v>
      </c>
      <c r="Y136" s="6" cm="1">
        <f t="array" ref="Y136">_xlfn.XLOOKUP(Table8[[#This Row],[Admin2PCODE]],tblPiNAnalysis[Admin2PCODE],tblPiNAnalysis[% PiN Sectores más altos],0,0)</f>
        <v>0.6</v>
      </c>
      <c r="Z136" s="42" cm="1">
        <f t="array" ref="Z136">_xlfn.XLOOKUP(Table8[[#This Row],[Admin2PCODE]:[Admin2PCODE]],tblPiNAnalysis[[Admin2PCODE]:[Admin2PCODE]],tblPiNAnalysis[Severidad],0,0)</f>
        <v>3</v>
      </c>
      <c r="AA136">
        <f>_xlfn.XLOOKUP(Table8[[#This Row],[Admin2PCODE]],tblSeverityAnalysis[Admin 2 Código P],tblSeverityAnalysis[Severidad Ttotal 2025],0,0)</f>
        <v>3</v>
      </c>
      <c r="AB136" t="str">
        <f>_xlfn.XLOOKUP(Table8[[#This Row],[Admin2PCODE]],tblSeverityAnalysis[Admin 2 Código P],tblSeverityAnalysis[Priorización Final 2025],0,0)</f>
        <v>No</v>
      </c>
      <c r="AC136">
        <v>5</v>
      </c>
      <c r="AD136" t="s">
        <v>1036</v>
      </c>
      <c r="AE136">
        <v>9</v>
      </c>
      <c r="AF136">
        <v>0</v>
      </c>
      <c r="AG136">
        <v>0</v>
      </c>
      <c r="AH136">
        <v>0</v>
      </c>
      <c r="AI136">
        <v>2</v>
      </c>
      <c r="AJ136">
        <v>3</v>
      </c>
      <c r="AK136">
        <v>3</v>
      </c>
      <c r="AL136">
        <v>1</v>
      </c>
      <c r="AM136">
        <v>0</v>
      </c>
      <c r="AN136">
        <v>3</v>
      </c>
      <c r="AO136" s="314">
        <f>Table8[[#This Row],[N° Clústeres con respuesta]]/Table8[[#This Row],[Org Total]]</f>
        <v>0.55555555555555558</v>
      </c>
      <c r="AP136" s="313">
        <v>57165</v>
      </c>
      <c r="AQ136" s="313">
        <v>985</v>
      </c>
      <c r="AR136" s="312">
        <f>Table8[[#This Row],[Alcanzados Oct 2025]]/Table8[[#This Row],[Meta 2025]]</f>
        <v>1.7230823056065773E-2</v>
      </c>
      <c r="AS136" s="423">
        <v>0</v>
      </c>
      <c r="AT136" s="423">
        <v>0</v>
      </c>
      <c r="AU136" s="423">
        <v>0</v>
      </c>
      <c r="AV136" s="423">
        <v>931</v>
      </c>
      <c r="AW136" s="423">
        <v>262</v>
      </c>
      <c r="AX136" s="423">
        <v>38</v>
      </c>
      <c r="AY136" s="423">
        <v>76</v>
      </c>
      <c r="AZ136" s="423">
        <v>0</v>
      </c>
      <c r="BA136" s="42">
        <v>0</v>
      </c>
    </row>
    <row r="137" spans="1:53">
      <c r="A137" t="s">
        <v>316</v>
      </c>
      <c r="B137" t="s">
        <v>317</v>
      </c>
      <c r="C137" t="s">
        <v>329</v>
      </c>
      <c r="D137" t="s">
        <v>330</v>
      </c>
      <c r="E137" s="8">
        <v>23921</v>
      </c>
      <c r="F137" s="8">
        <v>8353</v>
      </c>
      <c r="G137" s="8">
        <v>1212.5576831221138</v>
      </c>
      <c r="H137" s="8">
        <v>8731.1650000000009</v>
      </c>
      <c r="I137" s="8">
        <v>1269.8432502383553</v>
      </c>
      <c r="J137" s="8">
        <v>4770.75181838958</v>
      </c>
      <c r="K137" s="8">
        <v>0</v>
      </c>
      <c r="L137" s="8">
        <v>1531.4113337030553</v>
      </c>
      <c r="M137" s="8">
        <v>1669.7631364363529</v>
      </c>
      <c r="N137" s="6" cm="1">
        <f t="array" ref="N137">_xlfn.XLOOKUP(Table8[[#This Row],[Admin2PCODE]:[Admin2PCODE]],tblPiNAnalysis[[Admin2PCODE]:[Admin2PCODE]],tblPiNAnalysis[% SAMV],0,0)</f>
        <v>0.35000000000000003</v>
      </c>
      <c r="O137" s="6" cm="1">
        <f t="array" ref="O137">_xlfn.XLOOKUP(Table8[[#This Row],[Admin2PCODE]:[Admin2PCODE]],tblPiNAnalysis[[Admin2PCODE]:[Admin2PCODE]],tblPiNAnalysis[% NUT],0,0)</f>
        <v>0.05</v>
      </c>
      <c r="P137" s="6" cm="1">
        <f t="array" ref="P137">_xlfn.XLOOKUP(Table8[[#This Row],[Admin2PCODE]:[Admin2PCODE]],tblPiNAnalysis[[Admin2PCODE]:[Admin2PCODE]],tblPiNAnalysis[% SAL],0,0)</f>
        <v>0.35000000000000003</v>
      </c>
      <c r="Q137" s="6" cm="1">
        <f t="array" ref="Q137">_xlfn.XLOOKUP(Table8[[#This Row],[Admin2PCODE]:[Admin2PCODE]],tblPiNAnalysis[[Admin2PCODE]:[Admin2PCODE]],tblPiNAnalysis[% EDU],0,0)</f>
        <v>0.05</v>
      </c>
      <c r="R137" s="6" cm="1">
        <f t="array" ref="R137">_xlfn.XLOOKUP(Table8[[#This Row],[Admin2PCODE]:[Admin2PCODE]],tblPiNAnalysis[[Admin2PCODE]:[Admin2PCODE]],tblPiNAnalysis[% PRO],0,0)</f>
        <v>0.2</v>
      </c>
      <c r="S137" s="6" cm="1">
        <f t="array" ref="S137">_xlfn.XLOOKUP(Table8[[#This Row],[Admin2PCODE]:[Admin2PCODE]],tblPiNAnalysis[[Admin2PCODE]:[Admin2PCODE]],tblPiNAnalysis[% WASH],0,0)</f>
        <v>0</v>
      </c>
      <c r="T137" s="6" cm="1">
        <f t="array" ref="T137">_xlfn.XLOOKUP(Table8[[#This Row],[Admin2PCODE]:[Admin2PCODE]],tblPiNAnalysis[[Admin2PCODE]:[Admin2PCODE]],tblPiNAnalysis[% NNA],0,0)</f>
        <v>0.05</v>
      </c>
      <c r="U137" s="6" cm="1">
        <f t="array" ref="U137">_xlfn.XLOOKUP(Table8[[#This Row],[Admin2PCODE]:[Admin2PCODE]],tblPiNAnalysis[[Admin2PCODE]:[Admin2PCODE]],tblPiNAnalysis[% VBG],0,0)</f>
        <v>0.05</v>
      </c>
      <c r="V137" s="8" cm="1">
        <f t="array" ref="V137">_xlfn.XLOOKUP(Table8[[#This Row],[Admin2PCODE]:[Admin2PCODE]],tblPiNAnalysis[[Admin2PCODE]:[Admin2PCODE]],tblPiNAnalysis[PiN preliminar],0,0)</f>
        <v>8731.1650000000009</v>
      </c>
      <c r="W137" s="308" cm="1">
        <f t="array" ref="W137">_xlfn.XLOOKUP(Table8[[#This Row],[Admin2PCODE]],tblPiNAnalysis[Admin2PCODE],tblSeverityAnalysis[Severidad media],0,0)</f>
        <v>2.8333333333333335</v>
      </c>
      <c r="X137" s="42">
        <f>Table8[[#This Row],[Severidad media]]*6</f>
        <v>17</v>
      </c>
      <c r="Y137" s="6" cm="1">
        <f t="array" ref="Y137">_xlfn.XLOOKUP(Table8[[#This Row],[Admin2PCODE]],tblPiNAnalysis[Admin2PCODE],tblPiNAnalysis[% PiN Sectores más altos],0,0)</f>
        <v>0.36500000000000005</v>
      </c>
      <c r="Z137" s="42" cm="1">
        <f t="array" ref="Z137">_xlfn.XLOOKUP(Table8[[#This Row],[Admin2PCODE]:[Admin2PCODE]],tblPiNAnalysis[[Admin2PCODE]:[Admin2PCODE]],tblPiNAnalysis[Severidad],0,0)</f>
        <v>3</v>
      </c>
      <c r="AA137">
        <f>_xlfn.XLOOKUP(Table8[[#This Row],[Admin2PCODE]],tblSeverityAnalysis[Admin 2 Código P],tblSeverityAnalysis[Severidad Ttotal 2025],0,0)</f>
        <v>3</v>
      </c>
      <c r="AB137" t="str">
        <f>_xlfn.XLOOKUP(Table8[[#This Row],[Admin2PCODE]],tblSeverityAnalysis[Admin 2 Código P],tblSeverityAnalysis[Priorización Final 2025],0,0)</f>
        <v>No</v>
      </c>
      <c r="AC137">
        <v>1</v>
      </c>
      <c r="AD137" t="s">
        <v>92</v>
      </c>
      <c r="AE137">
        <v>3</v>
      </c>
      <c r="AF137">
        <v>0</v>
      </c>
      <c r="AG137">
        <v>0</v>
      </c>
      <c r="AH137">
        <v>0</v>
      </c>
      <c r="AI137">
        <v>0</v>
      </c>
      <c r="AJ137">
        <v>0</v>
      </c>
      <c r="AK137">
        <v>0</v>
      </c>
      <c r="AL137">
        <v>0</v>
      </c>
      <c r="AM137">
        <v>0</v>
      </c>
      <c r="AN137">
        <v>3</v>
      </c>
      <c r="AO137" s="314">
        <f>Table8[[#This Row],[N° Clústeres con respuesta]]/Table8[[#This Row],[Org Total]]</f>
        <v>0.33333333333333331</v>
      </c>
      <c r="AP137" s="313">
        <v>5584</v>
      </c>
      <c r="AQ137" s="313">
        <v>396</v>
      </c>
      <c r="AR137" s="312">
        <f>Table8[[#This Row],[Alcanzados Oct 2025]]/Table8[[#This Row],[Meta 2025]]</f>
        <v>7.0916905444126072E-2</v>
      </c>
      <c r="AS137" s="423">
        <v>0</v>
      </c>
      <c r="AT137" s="423">
        <v>0</v>
      </c>
      <c r="AU137" s="423">
        <v>0</v>
      </c>
      <c r="AV137" s="423">
        <v>72</v>
      </c>
      <c r="AW137" s="423">
        <v>0</v>
      </c>
      <c r="AX137" s="423">
        <v>0</v>
      </c>
      <c r="AY137" s="423">
        <v>0</v>
      </c>
      <c r="AZ137" s="423">
        <v>0</v>
      </c>
      <c r="BA137" s="42">
        <v>396</v>
      </c>
    </row>
    <row r="138" spans="1:53">
      <c r="A138" t="s">
        <v>316</v>
      </c>
      <c r="B138" t="s">
        <v>317</v>
      </c>
      <c r="C138" t="s">
        <v>336</v>
      </c>
      <c r="D138" t="s">
        <v>337</v>
      </c>
      <c r="E138" s="8">
        <v>11484</v>
      </c>
      <c r="F138" s="8">
        <v>3063</v>
      </c>
      <c r="G138" s="8">
        <v>424.67871277834007</v>
      </c>
      <c r="H138" s="8">
        <v>4191.66</v>
      </c>
      <c r="I138" s="8">
        <v>881.64855293492519</v>
      </c>
      <c r="J138" s="8">
        <v>2290.3437934194194</v>
      </c>
      <c r="K138" s="8">
        <v>0</v>
      </c>
      <c r="L138" s="8">
        <v>732.91001389421422</v>
      </c>
      <c r="M138" s="8">
        <v>801.62032769679672</v>
      </c>
      <c r="N138" s="6" cm="1">
        <f t="array" ref="N138">_xlfn.XLOOKUP(Table8[[#This Row],[Admin2PCODE]:[Admin2PCODE]],tblPiNAnalysis[[Admin2PCODE]:[Admin2PCODE]],tblPiNAnalysis[% SAMV],0,0)</f>
        <v>0.25</v>
      </c>
      <c r="O138" s="6" cm="1">
        <f t="array" ref="O138">_xlfn.XLOOKUP(Table8[[#This Row],[Admin2PCODE]:[Admin2PCODE]],tblPiNAnalysis[[Admin2PCODE]:[Admin2PCODE]],tblPiNAnalysis[% NUT],0,0)</f>
        <v>0.05</v>
      </c>
      <c r="P138" s="6" cm="1">
        <f t="array" ref="P138">_xlfn.XLOOKUP(Table8[[#This Row],[Admin2PCODE]:[Admin2PCODE]],tblPiNAnalysis[[Admin2PCODE]:[Admin2PCODE]],tblPiNAnalysis[% SAL],0,0)</f>
        <v>0.35000000000000003</v>
      </c>
      <c r="Q138" s="6" cm="1">
        <f t="array" ref="Q138">_xlfn.XLOOKUP(Table8[[#This Row],[Admin2PCODE]:[Admin2PCODE]],tblPiNAnalysis[[Admin2PCODE]:[Admin2PCODE]],tblPiNAnalysis[% EDU],0,0)</f>
        <v>0.1</v>
      </c>
      <c r="R138" s="6" cm="1">
        <f t="array" ref="R138">_xlfn.XLOOKUP(Table8[[#This Row],[Admin2PCODE]:[Admin2PCODE]],tblPiNAnalysis[[Admin2PCODE]:[Admin2PCODE]],tblPiNAnalysis[% PRO],0,0)</f>
        <v>0.2</v>
      </c>
      <c r="S138" s="6" cm="1">
        <f t="array" ref="S138">_xlfn.XLOOKUP(Table8[[#This Row],[Admin2PCODE]:[Admin2PCODE]],tblPiNAnalysis[[Admin2PCODE]:[Admin2PCODE]],tblPiNAnalysis[% WASH],0,0)</f>
        <v>0</v>
      </c>
      <c r="T138" s="6" cm="1">
        <f t="array" ref="T138">_xlfn.XLOOKUP(Table8[[#This Row],[Admin2PCODE]:[Admin2PCODE]],tblPiNAnalysis[[Admin2PCODE]:[Admin2PCODE]],tblPiNAnalysis[% NNA],0,0)</f>
        <v>0.05</v>
      </c>
      <c r="U138" s="6" cm="1">
        <f t="array" ref="U138">_xlfn.XLOOKUP(Table8[[#This Row],[Admin2PCODE]:[Admin2PCODE]],tblPiNAnalysis[[Admin2PCODE]:[Admin2PCODE]],tblPiNAnalysis[% VBG],0,0)</f>
        <v>0.05</v>
      </c>
      <c r="V138" s="8" cm="1">
        <f t="array" ref="V138">_xlfn.XLOOKUP(Table8[[#This Row],[Admin2PCODE]:[Admin2PCODE]],tblPiNAnalysis[[Admin2PCODE]:[Admin2PCODE]],tblPiNAnalysis[PiN preliminar],0,0)</f>
        <v>4191.66</v>
      </c>
      <c r="W138" s="308" cm="1">
        <f t="array" ref="W138">_xlfn.XLOOKUP(Table8[[#This Row],[Admin2PCODE]],tblPiNAnalysis[Admin2PCODE],tblSeverityAnalysis[Severidad media],0,0)</f>
        <v>2.8333333333333335</v>
      </c>
      <c r="X138" s="42">
        <f>Table8[[#This Row],[Severidad media]]*6</f>
        <v>17</v>
      </c>
      <c r="Y138" s="6" cm="1">
        <f t="array" ref="Y138">_xlfn.XLOOKUP(Table8[[#This Row],[Admin2PCODE]],tblPiNAnalysis[Admin2PCODE],tblPiNAnalysis[% PiN Sectores más altos],0,0)</f>
        <v>0.36499999999999999</v>
      </c>
      <c r="Z138" s="42" cm="1">
        <f t="array" ref="Z138">_xlfn.XLOOKUP(Table8[[#This Row],[Admin2PCODE]:[Admin2PCODE]],tblPiNAnalysis[[Admin2PCODE]:[Admin2PCODE]],tblPiNAnalysis[Severidad],0,0)</f>
        <v>3</v>
      </c>
      <c r="AA138">
        <f>_xlfn.XLOOKUP(Table8[[#This Row],[Admin2PCODE]],tblSeverityAnalysis[Admin 2 Código P],tblSeverityAnalysis[Severidad Ttotal 2025],0,0)</f>
        <v>3</v>
      </c>
      <c r="AB138" t="str">
        <f>_xlfn.XLOOKUP(Table8[[#This Row],[Admin2PCODE]],tblSeverityAnalysis[Admin 2 Código P],tblSeverityAnalysis[Priorización Final 2025],0,0)</f>
        <v>No</v>
      </c>
      <c r="AC138">
        <v>1</v>
      </c>
      <c r="AD138" t="s">
        <v>93</v>
      </c>
      <c r="AE138">
        <v>1</v>
      </c>
      <c r="AF138">
        <v>0</v>
      </c>
      <c r="AG138">
        <v>0</v>
      </c>
      <c r="AH138">
        <v>0</v>
      </c>
      <c r="AI138">
        <v>1</v>
      </c>
      <c r="AJ138">
        <v>0</v>
      </c>
      <c r="AK138">
        <v>0</v>
      </c>
      <c r="AL138">
        <v>0</v>
      </c>
      <c r="AM138">
        <v>0</v>
      </c>
      <c r="AN138">
        <v>0</v>
      </c>
      <c r="AO138" s="314">
        <f>Table8[[#This Row],[N° Clústeres con respuesta]]/Table8[[#This Row],[Org Total]]</f>
        <v>1</v>
      </c>
      <c r="AP138" s="313">
        <v>2682</v>
      </c>
      <c r="AQ138" s="313">
        <v>543</v>
      </c>
      <c r="AR138" s="312">
        <f>Table8[[#This Row],[Alcanzados Oct 2025]]/Table8[[#This Row],[Meta 2025]]</f>
        <v>0.20246085011185683</v>
      </c>
      <c r="AS138" s="423">
        <v>0</v>
      </c>
      <c r="AT138" s="423">
        <v>0</v>
      </c>
      <c r="AU138" s="423">
        <v>0</v>
      </c>
      <c r="AV138" s="423">
        <v>543</v>
      </c>
      <c r="AW138" s="423">
        <v>0</v>
      </c>
      <c r="AX138" s="423">
        <v>0</v>
      </c>
      <c r="AY138" s="423">
        <v>0</v>
      </c>
      <c r="AZ138" s="423">
        <v>0</v>
      </c>
      <c r="BA138" s="42">
        <v>0</v>
      </c>
    </row>
    <row r="139" spans="1:53">
      <c r="A139" t="s">
        <v>316</v>
      </c>
      <c r="B139" t="s">
        <v>317</v>
      </c>
      <c r="C139" t="s">
        <v>338</v>
      </c>
      <c r="D139" t="s">
        <v>339</v>
      </c>
      <c r="E139" s="8">
        <v>42517</v>
      </c>
      <c r="F139" s="8">
        <v>3335</v>
      </c>
      <c r="G139" s="8">
        <v>2597.1737913962606</v>
      </c>
      <c r="H139" s="8">
        <v>15518.705</v>
      </c>
      <c r="I139" s="8">
        <v>2855.8989631766344</v>
      </c>
      <c r="J139" s="8">
        <v>8479.497306235935</v>
      </c>
      <c r="K139" s="8">
        <v>25510.2</v>
      </c>
      <c r="L139" s="8">
        <v>2713.4391379954991</v>
      </c>
      <c r="M139" s="8">
        <v>2967.8240571825777</v>
      </c>
      <c r="N139" s="6" cm="1">
        <f t="array" ref="N139">_xlfn.XLOOKUP(Table8[[#This Row],[Admin2PCODE]:[Admin2PCODE]],tblPiNAnalysis[[Admin2PCODE]:[Admin2PCODE]],tblPiNAnalysis[% SAMV],0,0)</f>
        <v>0.1</v>
      </c>
      <c r="O139" s="6" cm="1">
        <f t="array" ref="O139">_xlfn.XLOOKUP(Table8[[#This Row],[Admin2PCODE]:[Admin2PCODE]],tblPiNAnalysis[[Admin2PCODE]:[Admin2PCODE]],tblPiNAnalysis[% NUT],0,0)</f>
        <v>0.05</v>
      </c>
      <c r="P139" s="6" cm="1">
        <f t="array" ref="P139">_xlfn.XLOOKUP(Table8[[#This Row],[Admin2PCODE]:[Admin2PCODE]],tblPiNAnalysis[[Admin2PCODE]:[Admin2PCODE]],tblPiNAnalysis[% SAL],0,0)</f>
        <v>0.35000000000000003</v>
      </c>
      <c r="Q139" s="6" cm="1">
        <f t="array" ref="Q139">_xlfn.XLOOKUP(Table8[[#This Row],[Admin2PCODE]:[Admin2PCODE]],tblPiNAnalysis[[Admin2PCODE]:[Admin2PCODE]],tblPiNAnalysis[% EDU],0,0)</f>
        <v>0.05</v>
      </c>
      <c r="R139" s="6" cm="1">
        <f t="array" ref="R139">_xlfn.XLOOKUP(Table8[[#This Row],[Admin2PCODE]:[Admin2PCODE]],tblPiNAnalysis[[Admin2PCODE]:[Admin2PCODE]],tblPiNAnalysis[% PRO],0,0)</f>
        <v>0.2</v>
      </c>
      <c r="S139" s="6" cm="1">
        <f t="array" ref="S139">_xlfn.XLOOKUP(Table8[[#This Row],[Admin2PCODE]:[Admin2PCODE]],tblPiNAnalysis[[Admin2PCODE]:[Admin2PCODE]],tblPiNAnalysis[% WASH],0,0)</f>
        <v>0.60000000000000009</v>
      </c>
      <c r="T139" s="6" cm="1">
        <f t="array" ref="T139">_xlfn.XLOOKUP(Table8[[#This Row],[Admin2PCODE]:[Admin2PCODE]],tblPiNAnalysis[[Admin2PCODE]:[Admin2PCODE]],tblPiNAnalysis[% NNA],0,0)</f>
        <v>0.05</v>
      </c>
      <c r="U139" s="6" cm="1">
        <f t="array" ref="U139">_xlfn.XLOOKUP(Table8[[#This Row],[Admin2PCODE]:[Admin2PCODE]],tblPiNAnalysis[[Admin2PCODE]:[Admin2PCODE]],tblPiNAnalysis[% VBG],0,0)</f>
        <v>0.05</v>
      </c>
      <c r="V139" s="8" cm="1">
        <f t="array" ref="V139">_xlfn.XLOOKUP(Table8[[#This Row],[Admin2PCODE]:[Admin2PCODE]],tblPiNAnalysis[[Admin2PCODE]:[Admin2PCODE]],tblPiNAnalysis[PiN preliminar],0,0)</f>
        <v>25510.2</v>
      </c>
      <c r="W139" s="308" cm="1">
        <f t="array" ref="W139">_xlfn.XLOOKUP(Table8[[#This Row],[Admin2PCODE]],tblPiNAnalysis[Admin2PCODE],tblSeverityAnalysis[Severidad media],0,0)</f>
        <v>2.8333333333333335</v>
      </c>
      <c r="X139" s="42">
        <f>Table8[[#This Row],[Severidad media]]*6</f>
        <v>17</v>
      </c>
      <c r="Y139" s="6" cm="1">
        <f t="array" ref="Y139">_xlfn.XLOOKUP(Table8[[#This Row],[Admin2PCODE]],tblPiNAnalysis[Admin2PCODE],tblPiNAnalysis[% PiN Sectores más altos],0,0)</f>
        <v>0.6</v>
      </c>
      <c r="Z139" s="42" cm="1">
        <f t="array" ref="Z139">_xlfn.XLOOKUP(Table8[[#This Row],[Admin2PCODE]:[Admin2PCODE]],tblPiNAnalysis[[Admin2PCODE]:[Admin2PCODE]],tblPiNAnalysis[Severidad],0,0)</f>
        <v>3</v>
      </c>
      <c r="AA139">
        <f>_xlfn.XLOOKUP(Table8[[#This Row],[Admin2PCODE]],tblSeverityAnalysis[Admin 2 Código P],tblSeverityAnalysis[Severidad Ttotal 2025],0,0)</f>
        <v>3</v>
      </c>
      <c r="AB139" t="str">
        <f>_xlfn.XLOOKUP(Table8[[#This Row],[Admin2PCODE]],tblSeverityAnalysis[Admin 2 Código P],tblSeverityAnalysis[Priorización Final 2025],0,0)</f>
        <v>No</v>
      </c>
      <c r="AC139">
        <v>3</v>
      </c>
      <c r="AD139" t="s">
        <v>1011</v>
      </c>
      <c r="AE139">
        <v>6</v>
      </c>
      <c r="AF139">
        <v>0</v>
      </c>
      <c r="AG139">
        <v>0</v>
      </c>
      <c r="AH139">
        <v>0</v>
      </c>
      <c r="AI139">
        <v>1</v>
      </c>
      <c r="AJ139">
        <v>3</v>
      </c>
      <c r="AK139">
        <v>0</v>
      </c>
      <c r="AL139">
        <v>0</v>
      </c>
      <c r="AM139">
        <v>0</v>
      </c>
      <c r="AN139">
        <v>3</v>
      </c>
      <c r="AO139" s="314">
        <f>Table8[[#This Row],[N° Clústeres con respuesta]]/Table8[[#This Row],[Org Total]]</f>
        <v>0.5</v>
      </c>
      <c r="AP139" s="313">
        <v>9927</v>
      </c>
      <c r="AQ139" s="313">
        <v>2846</v>
      </c>
      <c r="AR139" s="312">
        <f>Table8[[#This Row],[Alcanzados Oct 2025]]/Table8[[#This Row],[Meta 2025]]</f>
        <v>0.28669285786239551</v>
      </c>
      <c r="AS139" s="423">
        <v>0</v>
      </c>
      <c r="AT139" s="423">
        <v>0</v>
      </c>
      <c r="AU139" s="423">
        <v>0</v>
      </c>
      <c r="AV139" s="423">
        <v>353</v>
      </c>
      <c r="AW139" s="423">
        <v>16</v>
      </c>
      <c r="AX139" s="423">
        <v>0</v>
      </c>
      <c r="AY139" s="423">
        <v>0</v>
      </c>
      <c r="AZ139" s="423">
        <v>0</v>
      </c>
      <c r="BA139" s="42">
        <v>2846</v>
      </c>
    </row>
    <row r="140" spans="1:53">
      <c r="A140" t="s">
        <v>316</v>
      </c>
      <c r="B140" t="s">
        <v>317</v>
      </c>
      <c r="C140" t="s">
        <v>343</v>
      </c>
      <c r="D140" t="s">
        <v>344</v>
      </c>
      <c r="E140" s="8">
        <v>19740</v>
      </c>
      <c r="F140" s="8">
        <v>0</v>
      </c>
      <c r="G140" s="8">
        <v>1509.786920248705</v>
      </c>
      <c r="H140" s="8">
        <v>7205.1</v>
      </c>
      <c r="I140" s="8">
        <v>1104.3965335057878</v>
      </c>
      <c r="J140" s="8">
        <v>3936.9023408306639</v>
      </c>
      <c r="K140" s="8">
        <v>11844</v>
      </c>
      <c r="L140" s="8">
        <v>1259.8087490658124</v>
      </c>
      <c r="M140" s="8">
        <v>1377.9158192907323</v>
      </c>
      <c r="N140" s="6" cm="1">
        <f t="array" ref="N140">_xlfn.XLOOKUP(Table8[[#This Row],[Admin2PCODE]:[Admin2PCODE]],tblPiNAnalysis[[Admin2PCODE]:[Admin2PCODE]],tblPiNAnalysis[% SAMV],0,0)</f>
        <v>0</v>
      </c>
      <c r="O140" s="6" cm="1">
        <f t="array" ref="O140">_xlfn.XLOOKUP(Table8[[#This Row],[Admin2PCODE]:[Admin2PCODE]],tblPiNAnalysis[[Admin2PCODE]:[Admin2PCODE]],tblPiNAnalysis[% NUT],0,0)</f>
        <v>0.1</v>
      </c>
      <c r="P140" s="6" cm="1">
        <f t="array" ref="P140">_xlfn.XLOOKUP(Table8[[#This Row],[Admin2PCODE]:[Admin2PCODE]],tblPiNAnalysis[[Admin2PCODE]:[Admin2PCODE]],tblPiNAnalysis[% SAL],0,0)</f>
        <v>0.35000000000000003</v>
      </c>
      <c r="Q140" s="6" cm="1">
        <f t="array" ref="Q140">_xlfn.XLOOKUP(Table8[[#This Row],[Admin2PCODE]:[Admin2PCODE]],tblPiNAnalysis[[Admin2PCODE]:[Admin2PCODE]],tblPiNAnalysis[% EDU],0,0)</f>
        <v>0.05</v>
      </c>
      <c r="R140" s="6" cm="1">
        <f t="array" ref="R140">_xlfn.XLOOKUP(Table8[[#This Row],[Admin2PCODE]:[Admin2PCODE]],tblPiNAnalysis[[Admin2PCODE]:[Admin2PCODE]],tblPiNAnalysis[% PRO],0,0)</f>
        <v>0.2</v>
      </c>
      <c r="S140" s="6" cm="1">
        <f t="array" ref="S140">_xlfn.XLOOKUP(Table8[[#This Row],[Admin2PCODE]:[Admin2PCODE]],tblPiNAnalysis[[Admin2PCODE]:[Admin2PCODE]],tblPiNAnalysis[% WASH],0,0)</f>
        <v>0.60000000000000009</v>
      </c>
      <c r="T140" s="6" cm="1">
        <f t="array" ref="T140">_xlfn.XLOOKUP(Table8[[#This Row],[Admin2PCODE]:[Admin2PCODE]],tblPiNAnalysis[[Admin2PCODE]:[Admin2PCODE]],tblPiNAnalysis[% NNA],0,0)</f>
        <v>0.05</v>
      </c>
      <c r="U140" s="6" cm="1">
        <f t="array" ref="U140">_xlfn.XLOOKUP(Table8[[#This Row],[Admin2PCODE]:[Admin2PCODE]],tblPiNAnalysis[[Admin2PCODE]:[Admin2PCODE]],tblPiNAnalysis[% VBG],0,0)</f>
        <v>0.05</v>
      </c>
      <c r="V140" s="8" cm="1">
        <f t="array" ref="V140">_xlfn.XLOOKUP(Table8[[#This Row],[Admin2PCODE]:[Admin2PCODE]],tblPiNAnalysis[[Admin2PCODE]:[Admin2PCODE]],tblPiNAnalysis[PiN preliminar],0,0)</f>
        <v>11844</v>
      </c>
      <c r="W140" s="308" cm="1">
        <f t="array" ref="W140">_xlfn.XLOOKUP(Table8[[#This Row],[Admin2PCODE]],tblPiNAnalysis[Admin2PCODE],tblSeverityAnalysis[Severidad media],0,0)</f>
        <v>2.6666666666666665</v>
      </c>
      <c r="X140" s="42">
        <f>Table8[[#This Row],[Severidad media]]*6</f>
        <v>16</v>
      </c>
      <c r="Y140" s="6" cm="1">
        <f t="array" ref="Y140">_xlfn.XLOOKUP(Table8[[#This Row],[Admin2PCODE]],tblPiNAnalysis[Admin2PCODE],tblPiNAnalysis[% PiN Sectores más altos],0,0)</f>
        <v>0.6</v>
      </c>
      <c r="Z140" s="42" cm="1">
        <f t="array" ref="Z140">_xlfn.XLOOKUP(Table8[[#This Row],[Admin2PCODE]:[Admin2PCODE]],tblPiNAnalysis[[Admin2PCODE]:[Admin2PCODE]],tblPiNAnalysis[Severidad],0,0)</f>
        <v>3</v>
      </c>
      <c r="AA140">
        <f>_xlfn.XLOOKUP(Table8[[#This Row],[Admin2PCODE]],tblSeverityAnalysis[Admin 2 Código P],tblSeverityAnalysis[Severidad Ttotal 2025],0,0)</f>
        <v>3</v>
      </c>
      <c r="AB140" t="str">
        <f>_xlfn.XLOOKUP(Table8[[#This Row],[Admin2PCODE]],tblSeverityAnalysis[Admin 2 Código P],tblSeverityAnalysis[Priorización Final 2025],0,0)</f>
        <v>No</v>
      </c>
      <c r="AC140">
        <v>4</v>
      </c>
      <c r="AD140" t="s">
        <v>1037</v>
      </c>
      <c r="AE140">
        <v>7</v>
      </c>
      <c r="AF140">
        <v>0</v>
      </c>
      <c r="AG140">
        <v>0</v>
      </c>
      <c r="AH140">
        <v>0</v>
      </c>
      <c r="AI140">
        <v>1</v>
      </c>
      <c r="AJ140">
        <v>0</v>
      </c>
      <c r="AK140">
        <v>2</v>
      </c>
      <c r="AL140">
        <v>1</v>
      </c>
      <c r="AM140">
        <v>0</v>
      </c>
      <c r="AN140">
        <v>3</v>
      </c>
      <c r="AO140" s="314">
        <f>Table8[[#This Row],[N° Clústeres con respuesta]]/Table8[[#This Row],[Org Total]]</f>
        <v>0.5714285714285714</v>
      </c>
      <c r="AP140" s="313">
        <v>4608</v>
      </c>
      <c r="AQ140" s="313">
        <v>472</v>
      </c>
      <c r="AR140" s="312">
        <f>Table8[[#This Row],[Alcanzados Oct 2025]]/Table8[[#This Row],[Meta 2025]]</f>
        <v>0.10243055555555555</v>
      </c>
      <c r="AS140" s="423">
        <v>0</v>
      </c>
      <c r="AT140" s="423">
        <v>0</v>
      </c>
      <c r="AU140" s="423">
        <v>0</v>
      </c>
      <c r="AV140" s="423">
        <v>295</v>
      </c>
      <c r="AW140" s="423">
        <v>0</v>
      </c>
      <c r="AX140" s="423">
        <v>1</v>
      </c>
      <c r="AY140" s="423">
        <v>3</v>
      </c>
      <c r="AZ140" s="423">
        <v>0</v>
      </c>
      <c r="BA140" s="42">
        <v>464</v>
      </c>
    </row>
    <row r="141" spans="1:53">
      <c r="A141" t="s">
        <v>316</v>
      </c>
      <c r="B141" t="s">
        <v>317</v>
      </c>
      <c r="C141" t="s">
        <v>345</v>
      </c>
      <c r="D141" t="s">
        <v>346</v>
      </c>
      <c r="E141" s="8">
        <v>7236</v>
      </c>
      <c r="F141" s="8">
        <v>1025</v>
      </c>
      <c r="G141" s="8">
        <v>257.8809837219161</v>
      </c>
      <c r="H141" s="8">
        <v>2800</v>
      </c>
      <c r="I141" s="8">
        <v>966.93994402349165</v>
      </c>
      <c r="J141" s="8">
        <v>1443.131982687471</v>
      </c>
      <c r="K141" s="8">
        <v>0</v>
      </c>
      <c r="L141" s="8">
        <v>463.24536644267823</v>
      </c>
      <c r="M141" s="8">
        <v>505.09619394061485</v>
      </c>
      <c r="N141" s="6" cm="1">
        <f t="array" ref="N141">_xlfn.XLOOKUP(Table8[[#This Row],[Admin2PCODE]:[Admin2PCODE]],tblPiNAnalysis[[Admin2PCODE]:[Admin2PCODE]],tblPiNAnalysis[% SAMV],0,0)</f>
        <v>0.15000000000000002</v>
      </c>
      <c r="O141" s="6" cm="1">
        <f t="array" ref="O141">_xlfn.XLOOKUP(Table8[[#This Row],[Admin2PCODE]:[Admin2PCODE]],tblPiNAnalysis[[Admin2PCODE]:[Admin2PCODE]],tblPiNAnalysis[% NUT],0,0)</f>
        <v>0.05</v>
      </c>
      <c r="P141" s="6" cm="1">
        <f t="array" ref="P141">_xlfn.XLOOKUP(Table8[[#This Row],[Admin2PCODE]:[Admin2PCODE]],tblPiNAnalysis[[Admin2PCODE]:[Admin2PCODE]],tblPiNAnalysis[% SAL],0,0)</f>
        <v>0.4</v>
      </c>
      <c r="Q141" s="6" cm="1">
        <f t="array" ref="Q141">_xlfn.XLOOKUP(Table8[[#This Row],[Admin2PCODE]:[Admin2PCODE]],tblPiNAnalysis[[Admin2PCODE]:[Admin2PCODE]],tblPiNAnalysis[% EDU],0,0)</f>
        <v>0.15000000000000002</v>
      </c>
      <c r="R141" s="6" cm="1">
        <f t="array" ref="R141">_xlfn.XLOOKUP(Table8[[#This Row],[Admin2PCODE]:[Admin2PCODE]],tblPiNAnalysis[[Admin2PCODE]:[Admin2PCODE]],tblPiNAnalysis[% PRO],0,0)</f>
        <v>0.2</v>
      </c>
      <c r="S141" s="6" cm="1">
        <f t="array" ref="S141">_xlfn.XLOOKUP(Table8[[#This Row],[Admin2PCODE]:[Admin2PCODE]],tblPiNAnalysis[[Admin2PCODE]:[Admin2PCODE]],tblPiNAnalysis[% WASH],0,0)</f>
        <v>0</v>
      </c>
      <c r="T141" s="6" cm="1">
        <f t="array" ref="T141">_xlfn.XLOOKUP(Table8[[#This Row],[Admin2PCODE]:[Admin2PCODE]],tblPiNAnalysis[[Admin2PCODE]:[Admin2PCODE]],tblPiNAnalysis[% NNA],0,0)</f>
        <v>0.05</v>
      </c>
      <c r="U141" s="6" cm="1">
        <f t="array" ref="U141">_xlfn.XLOOKUP(Table8[[#This Row],[Admin2PCODE]:[Admin2PCODE]],tblPiNAnalysis[[Admin2PCODE]:[Admin2PCODE]],tblPiNAnalysis[% VBG],0,0)</f>
        <v>0.05</v>
      </c>
      <c r="V141" s="8" cm="1">
        <f t="array" ref="V141">_xlfn.XLOOKUP(Table8[[#This Row],[Admin2PCODE]:[Admin2PCODE]],tblPiNAnalysis[[Admin2PCODE]:[Admin2PCODE]],tblPiNAnalysis[PiN preliminar],0,0)</f>
        <v>2800</v>
      </c>
      <c r="W141" s="308" cm="1">
        <f t="array" ref="W141">_xlfn.XLOOKUP(Table8[[#This Row],[Admin2PCODE]],tblPiNAnalysis[Admin2PCODE],tblSeverityAnalysis[Severidad media],0,0)</f>
        <v>2.8333333333333335</v>
      </c>
      <c r="X141" s="42">
        <f>Table8[[#This Row],[Severidad media]]*6</f>
        <v>17</v>
      </c>
      <c r="Y141" s="6" cm="1">
        <f t="array" ref="Y141">_xlfn.XLOOKUP(Table8[[#This Row],[Admin2PCODE]],tblPiNAnalysis[Admin2PCODE],tblPiNAnalysis[% PiN Sectores más altos],0,0)</f>
        <v>0.38695411829740189</v>
      </c>
      <c r="Z141" s="42" cm="1">
        <f t="array" ref="Z141">_xlfn.XLOOKUP(Table8[[#This Row],[Admin2PCODE]:[Admin2PCODE]],tblPiNAnalysis[[Admin2PCODE]:[Admin2PCODE]],tblPiNAnalysis[Severidad],0,0)</f>
        <v>3</v>
      </c>
      <c r="AA141">
        <f>_xlfn.XLOOKUP(Table8[[#This Row],[Admin2PCODE]],tblSeverityAnalysis[Admin 2 Código P],tblSeverityAnalysis[Severidad Ttotal 2025],0,0)</f>
        <v>3</v>
      </c>
      <c r="AB141" t="str">
        <f>_xlfn.XLOOKUP(Table8[[#This Row],[Admin2PCODE]],tblSeverityAnalysis[Admin 2 Código P],tblSeverityAnalysis[Priorización Final 2025],0,0)</f>
        <v>No</v>
      </c>
      <c r="AC141">
        <v>1</v>
      </c>
      <c r="AD141" t="s">
        <v>92</v>
      </c>
      <c r="AE141">
        <v>2</v>
      </c>
      <c r="AF141">
        <v>0</v>
      </c>
      <c r="AG141">
        <v>0</v>
      </c>
      <c r="AH141">
        <v>0</v>
      </c>
      <c r="AI141">
        <v>0</v>
      </c>
      <c r="AJ141">
        <v>0</v>
      </c>
      <c r="AK141">
        <v>0</v>
      </c>
      <c r="AL141">
        <v>0</v>
      </c>
      <c r="AM141">
        <v>0</v>
      </c>
      <c r="AN141">
        <v>2</v>
      </c>
      <c r="AO141" s="314">
        <f>Table8[[#This Row],[N° Clústeres con respuesta]]/Table8[[#This Row],[Org Total]]</f>
        <v>0.5</v>
      </c>
      <c r="AP141" s="313">
        <v>1689</v>
      </c>
      <c r="AQ141" s="313">
        <v>382</v>
      </c>
      <c r="AR141" s="312">
        <f>Table8[[#This Row],[Alcanzados Oct 2025]]/Table8[[#This Row],[Meta 2025]]</f>
        <v>0.22616933096506808</v>
      </c>
      <c r="AS141" s="423">
        <v>0</v>
      </c>
      <c r="AT141" s="423">
        <v>0</v>
      </c>
      <c r="AU141" s="423">
        <v>0</v>
      </c>
      <c r="AV141" s="423">
        <v>0</v>
      </c>
      <c r="AW141" s="423">
        <v>0</v>
      </c>
      <c r="AX141" s="423">
        <v>0</v>
      </c>
      <c r="AY141" s="423">
        <v>0</v>
      </c>
      <c r="AZ141" s="423">
        <v>0</v>
      </c>
      <c r="BA141" s="42">
        <v>382</v>
      </c>
    </row>
    <row r="142" spans="1:53">
      <c r="A142" t="s">
        <v>316</v>
      </c>
      <c r="B142" t="s">
        <v>317</v>
      </c>
      <c r="C142" t="s">
        <v>347</v>
      </c>
      <c r="D142" t="s">
        <v>348</v>
      </c>
      <c r="E142" s="8">
        <v>14026</v>
      </c>
      <c r="F142" s="8">
        <v>2727</v>
      </c>
      <c r="G142" s="8">
        <v>540.28139075847002</v>
      </c>
      <c r="H142" s="8">
        <v>7700</v>
      </c>
      <c r="I142" s="8">
        <v>867.92845520858828</v>
      </c>
      <c r="J142" s="8">
        <v>2797.31470276043</v>
      </c>
      <c r="K142" s="8">
        <v>1893.5099999999998</v>
      </c>
      <c r="L142" s="8">
        <v>895.14070488333755</v>
      </c>
      <c r="M142" s="8">
        <v>979.06014596615046</v>
      </c>
      <c r="N142" s="6" cm="1">
        <f t="array" ref="N142">_xlfn.XLOOKUP(Table8[[#This Row],[Admin2PCODE]:[Admin2PCODE]],tblPiNAnalysis[[Admin2PCODE]:[Admin2PCODE]],tblPiNAnalysis[% SAMV],0,0)</f>
        <v>0.2</v>
      </c>
      <c r="O142" s="6" cm="1">
        <f t="array" ref="O142">_xlfn.XLOOKUP(Table8[[#This Row],[Admin2PCODE]:[Admin2PCODE]],tblPiNAnalysis[[Admin2PCODE]:[Admin2PCODE]],tblPiNAnalysis[% NUT],0,0)</f>
        <v>0.05</v>
      </c>
      <c r="P142" s="6" cm="1">
        <f t="array" ref="P142">_xlfn.XLOOKUP(Table8[[#This Row],[Admin2PCODE]:[Admin2PCODE]],tblPiNAnalysis[[Admin2PCODE]:[Admin2PCODE]],tblPiNAnalysis[% SAL],0,0)</f>
        <v>0.55000000000000004</v>
      </c>
      <c r="Q142" s="6" cm="1">
        <f t="array" ref="Q142">_xlfn.XLOOKUP(Table8[[#This Row],[Admin2PCODE]:[Admin2PCODE]],tblPiNAnalysis[[Admin2PCODE]:[Admin2PCODE]],tblPiNAnalysis[% EDU],0,0)</f>
        <v>0.05</v>
      </c>
      <c r="R142" s="6" cm="1">
        <f t="array" ref="R142">_xlfn.XLOOKUP(Table8[[#This Row],[Admin2PCODE]:[Admin2PCODE]],tblPiNAnalysis[[Admin2PCODE]:[Admin2PCODE]],tblPiNAnalysis[% PRO],0,0)</f>
        <v>0.2</v>
      </c>
      <c r="S142" s="6" cm="1">
        <f t="array" ref="S142">_xlfn.XLOOKUP(Table8[[#This Row],[Admin2PCODE]:[Admin2PCODE]],tblPiNAnalysis[[Admin2PCODE]:[Admin2PCODE]],tblPiNAnalysis[% WASH],0,0)</f>
        <v>0.15000000000000002</v>
      </c>
      <c r="T142" s="6" cm="1">
        <f t="array" ref="T142">_xlfn.XLOOKUP(Table8[[#This Row],[Admin2PCODE]:[Admin2PCODE]],tblPiNAnalysis[[Admin2PCODE]:[Admin2PCODE]],tblPiNAnalysis[% NNA],0,0)</f>
        <v>0.05</v>
      </c>
      <c r="U142" s="6" cm="1">
        <f t="array" ref="U142">_xlfn.XLOOKUP(Table8[[#This Row],[Admin2PCODE]:[Admin2PCODE]],tblPiNAnalysis[[Admin2PCODE]:[Admin2PCODE]],tblPiNAnalysis[% VBG],0,0)</f>
        <v>0.05</v>
      </c>
      <c r="V142" s="8" cm="1">
        <f t="array" ref="V142">_xlfn.XLOOKUP(Table8[[#This Row],[Admin2PCODE]:[Admin2PCODE]],tblPiNAnalysis[[Admin2PCODE]:[Admin2PCODE]],tblPiNAnalysis[PiN preliminar],0,0)</f>
        <v>7700</v>
      </c>
      <c r="W142" s="308" cm="1">
        <f t="array" ref="W142">_xlfn.XLOOKUP(Table8[[#This Row],[Admin2PCODE]],tblPiNAnalysis[Admin2PCODE],tblSeverityAnalysis[Severidad media],0,0)</f>
        <v>2.8333333333333335</v>
      </c>
      <c r="X142" s="42">
        <f>Table8[[#This Row],[Severidad media]]*6</f>
        <v>17</v>
      </c>
      <c r="Y142" s="6" cm="1">
        <f t="array" ref="Y142">_xlfn.XLOOKUP(Table8[[#This Row],[Admin2PCODE]],tblPiNAnalysis[Admin2PCODE],tblPiNAnalysis[% PiN Sectores más altos],0,0)</f>
        <v>0.54898046485099106</v>
      </c>
      <c r="Z142" s="42" cm="1">
        <f t="array" ref="Z142">_xlfn.XLOOKUP(Table8[[#This Row],[Admin2PCODE]:[Admin2PCODE]],tblPiNAnalysis[[Admin2PCODE]:[Admin2PCODE]],tblPiNAnalysis[Severidad],0,0)</f>
        <v>3</v>
      </c>
      <c r="AA142">
        <f>_xlfn.XLOOKUP(Table8[[#This Row],[Admin2PCODE]],tblSeverityAnalysis[Admin 2 Código P],tblSeverityAnalysis[Severidad Ttotal 2025],0,0)</f>
        <v>3</v>
      </c>
      <c r="AB142" t="str">
        <f>_xlfn.XLOOKUP(Table8[[#This Row],[Admin2PCODE]],tblSeverityAnalysis[Admin 2 Código P],tblSeverityAnalysis[Priorización Final 2025],0,0)</f>
        <v>No</v>
      </c>
      <c r="AC142">
        <v>2</v>
      </c>
      <c r="AD142" t="s">
        <v>990</v>
      </c>
      <c r="AE142">
        <v>3</v>
      </c>
      <c r="AF142">
        <v>0</v>
      </c>
      <c r="AG142">
        <v>0</v>
      </c>
      <c r="AH142">
        <v>0</v>
      </c>
      <c r="AI142">
        <v>1</v>
      </c>
      <c r="AJ142">
        <v>0</v>
      </c>
      <c r="AK142">
        <v>0</v>
      </c>
      <c r="AL142">
        <v>0</v>
      </c>
      <c r="AM142">
        <v>0</v>
      </c>
      <c r="AN142">
        <v>2</v>
      </c>
      <c r="AO142" s="314">
        <f>Table8[[#This Row],[N° Clústeres con respuesta]]/Table8[[#This Row],[Org Total]]</f>
        <v>0.66666666666666663</v>
      </c>
      <c r="AP142" s="313">
        <v>3149</v>
      </c>
      <c r="AQ142" s="313">
        <v>794</v>
      </c>
      <c r="AR142" s="312">
        <f>Table8[[#This Row],[Alcanzados Oct 2025]]/Table8[[#This Row],[Meta 2025]]</f>
        <v>0.25214353763099395</v>
      </c>
      <c r="AS142" s="423">
        <v>0</v>
      </c>
      <c r="AT142" s="423">
        <v>0</v>
      </c>
      <c r="AU142" s="423">
        <v>0</v>
      </c>
      <c r="AV142" s="423">
        <v>702</v>
      </c>
      <c r="AW142" s="423">
        <v>0</v>
      </c>
      <c r="AX142" s="423">
        <v>0</v>
      </c>
      <c r="AY142" s="423">
        <v>0</v>
      </c>
      <c r="AZ142" s="423">
        <v>0</v>
      </c>
      <c r="BA142" s="42">
        <v>424</v>
      </c>
    </row>
    <row r="143" spans="1:53">
      <c r="A143" t="s">
        <v>316</v>
      </c>
      <c r="B143" t="s">
        <v>317</v>
      </c>
      <c r="C143" t="s">
        <v>352</v>
      </c>
      <c r="D143" t="s">
        <v>353</v>
      </c>
      <c r="E143" s="8">
        <v>32925</v>
      </c>
      <c r="F143" s="8">
        <v>4116</v>
      </c>
      <c r="G143" s="8">
        <v>1218.0103305609914</v>
      </c>
      <c r="H143" s="8">
        <v>12017.625</v>
      </c>
      <c r="I143" s="8">
        <v>6168.3385142026182</v>
      </c>
      <c r="J143" s="8">
        <v>6566.489846598256</v>
      </c>
      <c r="K143" s="8">
        <v>0</v>
      </c>
      <c r="L143" s="8">
        <v>2101.2767509114419</v>
      </c>
      <c r="M143" s="8">
        <v>2298.2714463093894</v>
      </c>
      <c r="N143" s="6" cm="1">
        <f t="array" ref="N143">_xlfn.XLOOKUP(Table8[[#This Row],[Admin2PCODE]:[Admin2PCODE]],tblPiNAnalysis[[Admin2PCODE]:[Admin2PCODE]],tblPiNAnalysis[% SAMV],0,0)</f>
        <v>0.15000000000000002</v>
      </c>
      <c r="O143" s="6" cm="1">
        <f t="array" ref="O143">_xlfn.XLOOKUP(Table8[[#This Row],[Admin2PCODE]:[Admin2PCODE]],tblPiNAnalysis[[Admin2PCODE]:[Admin2PCODE]],tblPiNAnalysis[% NUT],0,0)</f>
        <v>0.05</v>
      </c>
      <c r="P143" s="6" cm="1">
        <f t="array" ref="P143">_xlfn.XLOOKUP(Table8[[#This Row],[Admin2PCODE]:[Admin2PCODE]],tblPiNAnalysis[[Admin2PCODE]:[Admin2PCODE]],tblPiNAnalysis[% SAL],0,0)</f>
        <v>0.35000000000000003</v>
      </c>
      <c r="Q143" s="6" cm="1">
        <f t="array" ref="Q143">_xlfn.XLOOKUP(Table8[[#This Row],[Admin2PCODE]:[Admin2PCODE]],tblPiNAnalysis[[Admin2PCODE]:[Admin2PCODE]],tblPiNAnalysis[% EDU],0,0)</f>
        <v>0.2</v>
      </c>
      <c r="R143" s="6" cm="1">
        <f t="array" ref="R143">_xlfn.XLOOKUP(Table8[[#This Row],[Admin2PCODE]:[Admin2PCODE]],tblPiNAnalysis[[Admin2PCODE]:[Admin2PCODE]],tblPiNAnalysis[% PRO],0,0)</f>
        <v>0.2</v>
      </c>
      <c r="S143" s="6" cm="1">
        <f t="array" ref="S143">_xlfn.XLOOKUP(Table8[[#This Row],[Admin2PCODE]:[Admin2PCODE]],tblPiNAnalysis[[Admin2PCODE]:[Admin2PCODE]],tblPiNAnalysis[% WASH],0,0)</f>
        <v>0</v>
      </c>
      <c r="T143" s="6" cm="1">
        <f t="array" ref="T143">_xlfn.XLOOKUP(Table8[[#This Row],[Admin2PCODE]:[Admin2PCODE]],tblPiNAnalysis[[Admin2PCODE]:[Admin2PCODE]],tblPiNAnalysis[% NNA],0,0)</f>
        <v>0.05</v>
      </c>
      <c r="U143" s="6" cm="1">
        <f t="array" ref="U143">_xlfn.XLOOKUP(Table8[[#This Row],[Admin2PCODE]:[Admin2PCODE]],tblPiNAnalysis[[Admin2PCODE]:[Admin2PCODE]],tblPiNAnalysis[% VBG],0,0)</f>
        <v>0.05</v>
      </c>
      <c r="V143" s="8" cm="1">
        <f t="array" ref="V143">_xlfn.XLOOKUP(Table8[[#This Row],[Admin2PCODE]:[Admin2PCODE]],tblPiNAnalysis[[Admin2PCODE]:[Admin2PCODE]],tblPiNAnalysis[PiN preliminar],0,0)</f>
        <v>12017.625</v>
      </c>
      <c r="W143" s="308" cm="1">
        <f t="array" ref="W143">_xlfn.XLOOKUP(Table8[[#This Row],[Admin2PCODE]],tblPiNAnalysis[Admin2PCODE],tblSeverityAnalysis[Severidad media],0,0)</f>
        <v>2.8333333333333335</v>
      </c>
      <c r="X143" s="42">
        <f>Table8[[#This Row],[Severidad media]]*6</f>
        <v>17</v>
      </c>
      <c r="Y143" s="6" cm="1">
        <f t="array" ref="Y143">_xlfn.XLOOKUP(Table8[[#This Row],[Admin2PCODE]],tblPiNAnalysis[Admin2PCODE],tblPiNAnalysis[% PiN Sectores más altos],0,0)</f>
        <v>0.36499999999999999</v>
      </c>
      <c r="Z143" s="42" cm="1">
        <f t="array" ref="Z143">_xlfn.XLOOKUP(Table8[[#This Row],[Admin2PCODE]:[Admin2PCODE]],tblPiNAnalysis[[Admin2PCODE]:[Admin2PCODE]],tblPiNAnalysis[Severidad],0,0)</f>
        <v>3</v>
      </c>
      <c r="AA143">
        <f>_xlfn.XLOOKUP(Table8[[#This Row],[Admin2PCODE]],tblSeverityAnalysis[Admin 2 Código P],tblSeverityAnalysis[Severidad Ttotal 2025],0,0)</f>
        <v>3</v>
      </c>
      <c r="AB143" t="str">
        <f>_xlfn.XLOOKUP(Table8[[#This Row],[Admin2PCODE]],tblSeverityAnalysis[Admin 2 Código P],tblSeverityAnalysis[Priorización Final 2025],0,0)</f>
        <v>No</v>
      </c>
      <c r="AC143">
        <v>2</v>
      </c>
      <c r="AD143" t="s">
        <v>990</v>
      </c>
      <c r="AE143">
        <v>3</v>
      </c>
      <c r="AF143">
        <v>0</v>
      </c>
      <c r="AG143">
        <v>0</v>
      </c>
      <c r="AH143">
        <v>0</v>
      </c>
      <c r="AI143">
        <v>1</v>
      </c>
      <c r="AJ143">
        <v>0</v>
      </c>
      <c r="AK143">
        <v>0</v>
      </c>
      <c r="AL143">
        <v>0</v>
      </c>
      <c r="AM143">
        <v>0</v>
      </c>
      <c r="AN143">
        <v>2</v>
      </c>
      <c r="AO143" s="314">
        <f>Table8[[#This Row],[N° Clústeres con respuesta]]/Table8[[#This Row],[Org Total]]</f>
        <v>0.66666666666666663</v>
      </c>
      <c r="AP143" s="313">
        <v>6263</v>
      </c>
      <c r="AQ143" s="313">
        <v>360</v>
      </c>
      <c r="AR143" s="312">
        <f>Table8[[#This Row],[Alcanzados Oct 2025]]/Table8[[#This Row],[Meta 2025]]</f>
        <v>5.748044068337857E-2</v>
      </c>
      <c r="AS143" s="423">
        <v>0</v>
      </c>
      <c r="AT143" s="423">
        <v>0</v>
      </c>
      <c r="AU143" s="423">
        <v>0</v>
      </c>
      <c r="AV143" s="423">
        <v>161</v>
      </c>
      <c r="AW143" s="423">
        <v>0</v>
      </c>
      <c r="AX143" s="423">
        <v>0</v>
      </c>
      <c r="AY143" s="423">
        <v>1</v>
      </c>
      <c r="AZ143" s="423">
        <v>0</v>
      </c>
      <c r="BA143" s="42">
        <v>360</v>
      </c>
    </row>
    <row r="144" spans="1:53">
      <c r="A144" t="s">
        <v>316</v>
      </c>
      <c r="B144" t="s">
        <v>317</v>
      </c>
      <c r="C144" t="s">
        <v>203</v>
      </c>
      <c r="D144" t="s">
        <v>354</v>
      </c>
      <c r="E144" s="8">
        <v>5909</v>
      </c>
      <c r="F144" s="8">
        <v>1314</v>
      </c>
      <c r="G144" s="8">
        <v>210.86923722366373</v>
      </c>
      <c r="H144" s="8">
        <v>2800</v>
      </c>
      <c r="I144" s="8">
        <v>359.99597372483004</v>
      </c>
      <c r="J144" s="8">
        <v>1414.1736128856162</v>
      </c>
      <c r="K144" s="8">
        <v>3545.4</v>
      </c>
      <c r="L144" s="8">
        <v>452.53555612339721</v>
      </c>
      <c r="M144" s="8">
        <v>494.96076450996566</v>
      </c>
      <c r="N144" s="6" cm="1">
        <f t="array" ref="N144">_xlfn.XLOOKUP(Table8[[#This Row],[Admin2PCODE]:[Admin2PCODE]],tblPiNAnalysis[[Admin2PCODE]:[Admin2PCODE]],tblPiNAnalysis[% SAMV],0,0)</f>
        <v>0.2</v>
      </c>
      <c r="O144" s="6" cm="1">
        <f t="array" ref="O144">_xlfn.XLOOKUP(Table8[[#This Row],[Admin2PCODE]:[Admin2PCODE]],tblPiNAnalysis[[Admin2PCODE]:[Admin2PCODE]],tblPiNAnalysis[% NUT],0,0)</f>
        <v>0.05</v>
      </c>
      <c r="P144" s="6" cm="1">
        <f t="array" ref="P144">_xlfn.XLOOKUP(Table8[[#This Row],[Admin2PCODE]:[Admin2PCODE]],tblPiNAnalysis[[Admin2PCODE]:[Admin2PCODE]],tblPiNAnalysis[% SAL],0,0)</f>
        <v>0.45</v>
      </c>
      <c r="Q144" s="6" cm="1">
        <f t="array" ref="Q144">_xlfn.XLOOKUP(Table8[[#This Row],[Admin2PCODE]:[Admin2PCODE]],tblPiNAnalysis[[Admin2PCODE]:[Admin2PCODE]],tblPiNAnalysis[% EDU],0,0)</f>
        <v>0.05</v>
      </c>
      <c r="R144" s="6" cm="1">
        <f t="array" ref="R144">_xlfn.XLOOKUP(Table8[[#This Row],[Admin2PCODE]:[Admin2PCODE]],tblPiNAnalysis[[Admin2PCODE]:[Admin2PCODE]],tblPiNAnalysis[% PRO],0,0)</f>
        <v>0.25</v>
      </c>
      <c r="S144" s="6" cm="1">
        <f t="array" ref="S144">_xlfn.XLOOKUP(Table8[[#This Row],[Admin2PCODE]:[Admin2PCODE]],tblPiNAnalysis[[Admin2PCODE]:[Admin2PCODE]],tblPiNAnalysis[% WASH],0,0)</f>
        <v>0.60000000000000009</v>
      </c>
      <c r="T144" s="6" cm="1">
        <f t="array" ref="T144">_xlfn.XLOOKUP(Table8[[#This Row],[Admin2PCODE]:[Admin2PCODE]],tblPiNAnalysis[[Admin2PCODE]:[Admin2PCODE]],tblPiNAnalysis[% NNA],0,0)</f>
        <v>0.1</v>
      </c>
      <c r="U144" s="6" cm="1">
        <f t="array" ref="U144">_xlfn.XLOOKUP(Table8[[#This Row],[Admin2PCODE]:[Admin2PCODE]],tblPiNAnalysis[[Admin2PCODE]:[Admin2PCODE]],tblPiNAnalysis[% VBG],0,0)</f>
        <v>0.1</v>
      </c>
      <c r="V144" s="8" cm="1">
        <f t="array" ref="V144">_xlfn.XLOOKUP(Table8[[#This Row],[Admin2PCODE]:[Admin2PCODE]],tblPiNAnalysis[[Admin2PCODE]:[Admin2PCODE]],tblPiNAnalysis[PiN preliminar],0,0)</f>
        <v>3545.4</v>
      </c>
      <c r="W144" s="308" cm="1">
        <f t="array" ref="W144">_xlfn.XLOOKUP(Table8[[#This Row],[Admin2PCODE]],tblPiNAnalysis[Admin2PCODE],tblSeverityAnalysis[Severidad media],0,0)</f>
        <v>2.6666666666666665</v>
      </c>
      <c r="X144" s="42">
        <f>Table8[[#This Row],[Severidad media]]*6</f>
        <v>16</v>
      </c>
      <c r="Y144" s="6" cm="1">
        <f t="array" ref="Y144">_xlfn.XLOOKUP(Table8[[#This Row],[Admin2PCODE]],tblPiNAnalysis[Admin2PCODE],tblPiNAnalysis[% PiN Sectores más altos],0,0)</f>
        <v>0.6</v>
      </c>
      <c r="Z144" s="42" cm="1">
        <f t="array" ref="Z144">_xlfn.XLOOKUP(Table8[[#This Row],[Admin2PCODE]:[Admin2PCODE]],tblPiNAnalysis[[Admin2PCODE]:[Admin2PCODE]],tblPiNAnalysis[Severidad],0,0)</f>
        <v>3</v>
      </c>
      <c r="AA144">
        <f>_xlfn.XLOOKUP(Table8[[#This Row],[Admin2PCODE]],tblSeverityAnalysis[Admin 2 Código P],tblSeverityAnalysis[Severidad Ttotal 2025],0,0)</f>
        <v>3</v>
      </c>
      <c r="AB144" t="str">
        <f>_xlfn.XLOOKUP(Table8[[#This Row],[Admin2PCODE]],tblSeverityAnalysis[Admin 2 Código P],tblSeverityAnalysis[Priorización Final 2025],0,0)</f>
        <v>No</v>
      </c>
      <c r="AC144">
        <v>2</v>
      </c>
      <c r="AD144" t="s">
        <v>990</v>
      </c>
      <c r="AE144">
        <v>3</v>
      </c>
      <c r="AF144">
        <v>0</v>
      </c>
      <c r="AG144">
        <v>0</v>
      </c>
      <c r="AH144">
        <v>0</v>
      </c>
      <c r="AI144">
        <v>1</v>
      </c>
      <c r="AJ144">
        <v>0</v>
      </c>
      <c r="AK144">
        <v>0</v>
      </c>
      <c r="AL144">
        <v>0</v>
      </c>
      <c r="AM144">
        <v>0</v>
      </c>
      <c r="AN144">
        <v>2</v>
      </c>
      <c r="AO144" s="314">
        <f>Table8[[#This Row],[N° Clústeres con respuesta]]/Table8[[#This Row],[Org Total]]</f>
        <v>0.66666666666666663</v>
      </c>
      <c r="AP144" s="313">
        <v>1380</v>
      </c>
      <c r="AQ144" s="313">
        <v>822</v>
      </c>
      <c r="AR144" s="312">
        <f>Table8[[#This Row],[Alcanzados Oct 2025]]/Table8[[#This Row],[Meta 2025]]</f>
        <v>0.59565217391304348</v>
      </c>
      <c r="AS144" s="423">
        <v>0</v>
      </c>
      <c r="AT144" s="423">
        <v>0</v>
      </c>
      <c r="AU144" s="423">
        <v>0</v>
      </c>
      <c r="AV144" s="423">
        <v>106</v>
      </c>
      <c r="AW144" s="423">
        <v>0</v>
      </c>
      <c r="AX144" s="423">
        <v>0</v>
      </c>
      <c r="AY144" s="423">
        <v>0</v>
      </c>
      <c r="AZ144" s="423">
        <v>0</v>
      </c>
      <c r="BA144" s="42">
        <v>822</v>
      </c>
    </row>
    <row r="145" spans="1:53">
      <c r="A145" t="s">
        <v>316</v>
      </c>
      <c r="B145" t="s">
        <v>317</v>
      </c>
      <c r="C145" t="s">
        <v>355</v>
      </c>
      <c r="D145" t="s">
        <v>356</v>
      </c>
      <c r="E145" s="8">
        <v>5646</v>
      </c>
      <c r="F145" s="8">
        <v>1255</v>
      </c>
      <c r="G145" s="8">
        <v>180.5503454248958</v>
      </c>
      <c r="H145" s="8">
        <v>2060.79</v>
      </c>
      <c r="I145" s="8">
        <v>235.61749526304493</v>
      </c>
      <c r="J145" s="8">
        <v>1126.0258670886487</v>
      </c>
      <c r="K145" s="8">
        <v>3387.6</v>
      </c>
      <c r="L145" s="8">
        <v>361.45430333545625</v>
      </c>
      <c r="M145" s="8">
        <v>394.10905348102699</v>
      </c>
      <c r="N145" s="6" cm="1">
        <f t="array" ref="N145">_xlfn.XLOOKUP(Table8[[#This Row],[Admin2PCODE]:[Admin2PCODE]],tblPiNAnalysis[[Admin2PCODE]:[Admin2PCODE]],tblPiNAnalysis[% SAMV],0,0)</f>
        <v>0.2</v>
      </c>
      <c r="O145" s="6" cm="1">
        <f t="array" ref="O145">_xlfn.XLOOKUP(Table8[[#This Row],[Admin2PCODE]:[Admin2PCODE]],tblPiNAnalysis[[Admin2PCODE]:[Admin2PCODE]],tblPiNAnalysis[% NUT],0,0)</f>
        <v>0.05</v>
      </c>
      <c r="P145" s="6" cm="1">
        <f t="array" ref="P145">_xlfn.XLOOKUP(Table8[[#This Row],[Admin2PCODE]:[Admin2PCODE]],tblPiNAnalysis[[Admin2PCODE]:[Admin2PCODE]],tblPiNAnalysis[% SAL],0,0)</f>
        <v>0.35000000000000003</v>
      </c>
      <c r="Q145" s="6" cm="1">
        <f t="array" ref="Q145">_xlfn.XLOOKUP(Table8[[#This Row],[Admin2PCODE]:[Admin2PCODE]],tblPiNAnalysis[[Admin2PCODE]:[Admin2PCODE]],tblPiNAnalysis[% EDU],0,0)</f>
        <v>0.05</v>
      </c>
      <c r="R145" s="6" cm="1">
        <f t="array" ref="R145">_xlfn.XLOOKUP(Table8[[#This Row],[Admin2PCODE]:[Admin2PCODE]],tblPiNAnalysis[[Admin2PCODE]:[Admin2PCODE]],tblPiNAnalysis[% PRO],0,0)</f>
        <v>0.2</v>
      </c>
      <c r="S145" s="6" cm="1">
        <f t="array" ref="S145">_xlfn.XLOOKUP(Table8[[#This Row],[Admin2PCODE]:[Admin2PCODE]],tblPiNAnalysis[[Admin2PCODE]:[Admin2PCODE]],tblPiNAnalysis[% WASH],0,0)</f>
        <v>0.60000000000000009</v>
      </c>
      <c r="T145" s="6" cm="1">
        <f t="array" ref="T145">_xlfn.XLOOKUP(Table8[[#This Row],[Admin2PCODE]:[Admin2PCODE]],tblPiNAnalysis[[Admin2PCODE]:[Admin2PCODE]],tblPiNAnalysis[% NNA],0,0)</f>
        <v>0.05</v>
      </c>
      <c r="U145" s="6" cm="1">
        <f t="array" ref="U145">_xlfn.XLOOKUP(Table8[[#This Row],[Admin2PCODE]:[Admin2PCODE]],tblPiNAnalysis[[Admin2PCODE]:[Admin2PCODE]],tblPiNAnalysis[% VBG],0,0)</f>
        <v>0.05</v>
      </c>
      <c r="V145" s="8" cm="1">
        <f t="array" ref="V145">_xlfn.XLOOKUP(Table8[[#This Row],[Admin2PCODE]:[Admin2PCODE]],tblPiNAnalysis[[Admin2PCODE]:[Admin2PCODE]],tblPiNAnalysis[PiN preliminar],0,0)</f>
        <v>3387.6</v>
      </c>
      <c r="W145" s="308" cm="1">
        <f t="array" ref="W145">_xlfn.XLOOKUP(Table8[[#This Row],[Admin2PCODE]],tblPiNAnalysis[Admin2PCODE],tblSeverityAnalysis[Severidad media],0,0)</f>
        <v>2.3333333333333335</v>
      </c>
      <c r="X145" s="42">
        <f>Table8[[#This Row],[Severidad media]]*6</f>
        <v>14</v>
      </c>
      <c r="Y145" s="6" cm="1">
        <f t="array" ref="Y145">_xlfn.XLOOKUP(Table8[[#This Row],[Admin2PCODE]],tblPiNAnalysis[Admin2PCODE],tblPiNAnalysis[% PiN Sectores más altos],0,0)</f>
        <v>0.6</v>
      </c>
      <c r="Z145" s="42" cm="1">
        <f t="array" ref="Z145">_xlfn.XLOOKUP(Table8[[#This Row],[Admin2PCODE]:[Admin2PCODE]],tblPiNAnalysis[[Admin2PCODE]:[Admin2PCODE]],tblPiNAnalysis[Severidad],0,0)</f>
        <v>3</v>
      </c>
      <c r="AA145">
        <f>_xlfn.XLOOKUP(Table8[[#This Row],[Admin2PCODE]],tblSeverityAnalysis[Admin 2 Código P],tblSeverityAnalysis[Severidad Ttotal 2025],0,0)</f>
        <v>3</v>
      </c>
      <c r="AB145" t="str">
        <f>_xlfn.XLOOKUP(Table8[[#This Row],[Admin2PCODE]],tblSeverityAnalysis[Admin 2 Código P],tblSeverityAnalysis[Priorización Final 2025],0,0)</f>
        <v>No</v>
      </c>
      <c r="AC145">
        <v>1</v>
      </c>
      <c r="AD145" t="s">
        <v>92</v>
      </c>
      <c r="AE145">
        <v>2</v>
      </c>
      <c r="AF145">
        <v>0</v>
      </c>
      <c r="AG145">
        <v>0</v>
      </c>
      <c r="AH145">
        <v>0</v>
      </c>
      <c r="AI145">
        <v>0</v>
      </c>
      <c r="AJ145">
        <v>0</v>
      </c>
      <c r="AK145">
        <v>0</v>
      </c>
      <c r="AL145">
        <v>0</v>
      </c>
      <c r="AM145">
        <v>0</v>
      </c>
      <c r="AN145">
        <v>2</v>
      </c>
      <c r="AO145" s="314">
        <f>Table8[[#This Row],[N° Clústeres con respuesta]]/Table8[[#This Row],[Org Total]]</f>
        <v>0.5</v>
      </c>
      <c r="AP145" s="313">
        <v>1318</v>
      </c>
      <c r="AQ145" s="313">
        <v>982</v>
      </c>
      <c r="AR145" s="312">
        <f>Table8[[#This Row],[Alcanzados Oct 2025]]/Table8[[#This Row],[Meta 2025]]</f>
        <v>0.74506828528072833</v>
      </c>
      <c r="AS145" s="423">
        <v>0</v>
      </c>
      <c r="AT145" s="423">
        <v>0</v>
      </c>
      <c r="AU145" s="423">
        <v>0</v>
      </c>
      <c r="AV145" s="423">
        <v>0</v>
      </c>
      <c r="AW145" s="423">
        <v>0</v>
      </c>
      <c r="AX145" s="423">
        <v>0</v>
      </c>
      <c r="AY145" s="423">
        <v>0</v>
      </c>
      <c r="AZ145" s="423">
        <v>0</v>
      </c>
      <c r="BA145" s="42">
        <v>982</v>
      </c>
    </row>
    <row r="146" spans="1:53">
      <c r="A146" t="s">
        <v>316</v>
      </c>
      <c r="B146" t="s">
        <v>317</v>
      </c>
      <c r="C146" t="s">
        <v>359</v>
      </c>
      <c r="D146" t="s">
        <v>360</v>
      </c>
      <c r="E146" s="8">
        <v>8543</v>
      </c>
      <c r="F146" s="8">
        <v>1384</v>
      </c>
      <c r="G146" s="8">
        <v>301.29848694933526</v>
      </c>
      <c r="H146" s="8">
        <v>7000</v>
      </c>
      <c r="I146" s="8">
        <v>996.43837198321842</v>
      </c>
      <c r="J146" s="8">
        <v>1703.7971984658748</v>
      </c>
      <c r="K146" s="8">
        <v>1153.3049999999998</v>
      </c>
      <c r="L146" s="8">
        <v>546.91890070754584</v>
      </c>
      <c r="M146" s="8">
        <v>596.32901946305617</v>
      </c>
      <c r="N146" s="6" cm="1">
        <f t="array" ref="N146">_xlfn.XLOOKUP(Table8[[#This Row],[Admin2PCODE]:[Admin2PCODE]],tblPiNAnalysis[[Admin2PCODE]:[Admin2PCODE]],tblPiNAnalysis[% SAMV],0,0)</f>
        <v>0.15000000000000002</v>
      </c>
      <c r="O146" s="6" cm="1">
        <f t="array" ref="O146">_xlfn.XLOOKUP(Table8[[#This Row],[Admin2PCODE]:[Admin2PCODE]],tblPiNAnalysis[[Admin2PCODE]:[Admin2PCODE]],tblPiNAnalysis[% NUT],0,0)</f>
        <v>0.05</v>
      </c>
      <c r="P146" s="6" cm="1">
        <f t="array" ref="P146">_xlfn.XLOOKUP(Table8[[#This Row],[Admin2PCODE]:[Admin2PCODE]],tblPiNAnalysis[[Admin2PCODE]:[Admin2PCODE]],tblPiNAnalysis[% SAL],0,0)</f>
        <v>0.8</v>
      </c>
      <c r="Q146" s="6" cm="1">
        <f t="array" ref="Q146">_xlfn.XLOOKUP(Table8[[#This Row],[Admin2PCODE]:[Admin2PCODE]],tblPiNAnalysis[[Admin2PCODE]:[Admin2PCODE]],tblPiNAnalysis[% EDU],0,0)</f>
        <v>0.1</v>
      </c>
      <c r="R146" s="6" cm="1">
        <f t="array" ref="R146">_xlfn.XLOOKUP(Table8[[#This Row],[Admin2PCODE]:[Admin2PCODE]],tblPiNAnalysis[[Admin2PCODE]:[Admin2PCODE]],tblPiNAnalysis[% PRO],0,0)</f>
        <v>0.2</v>
      </c>
      <c r="S146" s="6" cm="1">
        <f t="array" ref="S146">_xlfn.XLOOKUP(Table8[[#This Row],[Admin2PCODE]:[Admin2PCODE]],tblPiNAnalysis[[Admin2PCODE]:[Admin2PCODE]],tblPiNAnalysis[% WASH],0,0)</f>
        <v>0.15000000000000002</v>
      </c>
      <c r="T146" s="6" cm="1">
        <f t="array" ref="T146">_xlfn.XLOOKUP(Table8[[#This Row],[Admin2PCODE]:[Admin2PCODE]],tblPiNAnalysis[[Admin2PCODE]:[Admin2PCODE]],tblPiNAnalysis[% NNA],0,0)</f>
        <v>0.05</v>
      </c>
      <c r="U146" s="6" cm="1">
        <f t="array" ref="U146">_xlfn.XLOOKUP(Table8[[#This Row],[Admin2PCODE]:[Admin2PCODE]],tblPiNAnalysis[[Admin2PCODE]:[Admin2PCODE]],tblPiNAnalysis[% VBG],0,0)</f>
        <v>0.05</v>
      </c>
      <c r="V146" s="8" cm="1">
        <f t="array" ref="V146">_xlfn.XLOOKUP(Table8[[#This Row],[Admin2PCODE]:[Admin2PCODE]],tblPiNAnalysis[[Admin2PCODE]:[Admin2PCODE]],tblPiNAnalysis[PiN preliminar],0,0)</f>
        <v>7000</v>
      </c>
      <c r="W146" s="308" cm="1">
        <f t="array" ref="W146">_xlfn.XLOOKUP(Table8[[#This Row],[Admin2PCODE]],tblPiNAnalysis[Admin2PCODE],tblSeverityAnalysis[Severidad media],0,0)</f>
        <v>3</v>
      </c>
      <c r="X146" s="42">
        <f>Table8[[#This Row],[Severidad media]]*6</f>
        <v>18</v>
      </c>
      <c r="Y146" s="6" cm="1">
        <f t="array" ref="Y146">_xlfn.XLOOKUP(Table8[[#This Row],[Admin2PCODE]],tblPiNAnalysis[Admin2PCODE],tblPiNAnalysis[% PiN Sectores más altos],0,0)</f>
        <v>0.81938429123258805</v>
      </c>
      <c r="Z146" s="42" cm="1">
        <f t="array" ref="Z146">_xlfn.XLOOKUP(Table8[[#This Row],[Admin2PCODE]:[Admin2PCODE]],tblPiNAnalysis[[Admin2PCODE]:[Admin2PCODE]],tblPiNAnalysis[Severidad],0,0)</f>
        <v>3</v>
      </c>
      <c r="AA146">
        <f>_xlfn.XLOOKUP(Table8[[#This Row],[Admin2PCODE]],tblSeverityAnalysis[Admin 2 Código P],tblSeverityAnalysis[Severidad Ttotal 2025],0,0)</f>
        <v>3</v>
      </c>
      <c r="AB146" t="str">
        <f>_xlfn.XLOOKUP(Table8[[#This Row],[Admin2PCODE]],tblSeverityAnalysis[Admin 2 Código P],tblSeverityAnalysis[Priorización Final 2025],0,0)</f>
        <v>No</v>
      </c>
      <c r="AC146">
        <v>1</v>
      </c>
      <c r="AD146" t="s">
        <v>92</v>
      </c>
      <c r="AE146">
        <v>3</v>
      </c>
      <c r="AF146">
        <v>0</v>
      </c>
      <c r="AG146">
        <v>0</v>
      </c>
      <c r="AH146">
        <v>0</v>
      </c>
      <c r="AI146">
        <v>0</v>
      </c>
      <c r="AJ146">
        <v>0</v>
      </c>
      <c r="AK146">
        <v>0</v>
      </c>
      <c r="AL146">
        <v>0</v>
      </c>
      <c r="AM146">
        <v>0</v>
      </c>
      <c r="AN146">
        <v>3</v>
      </c>
      <c r="AO146" s="314">
        <f>Table8[[#This Row],[N° Clústeres con respuesta]]/Table8[[#This Row],[Org Total]]</f>
        <v>0.33333333333333331</v>
      </c>
      <c r="AP146" s="313">
        <v>1993</v>
      </c>
      <c r="AQ146" s="313">
        <v>965</v>
      </c>
      <c r="AR146" s="312">
        <f>Table8[[#This Row],[Alcanzados Oct 2025]]/Table8[[#This Row],[Meta 2025]]</f>
        <v>0.48419468138484695</v>
      </c>
      <c r="AS146" s="423">
        <v>0</v>
      </c>
      <c r="AT146" s="423">
        <v>0</v>
      </c>
      <c r="AU146" s="423">
        <v>0</v>
      </c>
      <c r="AV146" s="423">
        <v>0</v>
      </c>
      <c r="AW146" s="423">
        <v>0</v>
      </c>
      <c r="AX146" s="423">
        <v>0</v>
      </c>
      <c r="AY146" s="423">
        <v>0</v>
      </c>
      <c r="AZ146" s="423">
        <v>0</v>
      </c>
      <c r="BA146" s="42">
        <v>965</v>
      </c>
    </row>
    <row r="147" spans="1:53">
      <c r="A147" t="s">
        <v>316</v>
      </c>
      <c r="B147" t="s">
        <v>317</v>
      </c>
      <c r="C147" t="s">
        <v>209</v>
      </c>
      <c r="D147" t="s">
        <v>361</v>
      </c>
      <c r="E147" s="8">
        <v>33967</v>
      </c>
      <c r="F147" s="8">
        <v>3019</v>
      </c>
      <c r="G147" s="8">
        <v>806.86685380035101</v>
      </c>
      <c r="H147" s="8">
        <v>12397.955</v>
      </c>
      <c r="I147" s="8">
        <v>3734.0644683244968</v>
      </c>
      <c r="J147" s="8">
        <v>8129.1648517322274</v>
      </c>
      <c r="K147" s="8">
        <v>2292.7725</v>
      </c>
      <c r="L147" s="8">
        <v>2609.4619174060449</v>
      </c>
      <c r="M147" s="8">
        <v>2845.2076981062792</v>
      </c>
      <c r="N147" s="6" cm="1">
        <f t="array" ref="N147">_xlfn.XLOOKUP(Table8[[#This Row],[Admin2PCODE]:[Admin2PCODE]],tblPiNAnalysis[[Admin2PCODE]:[Admin2PCODE]],tblPiNAnalysis[% SAMV],0,0)</f>
        <v>0.1</v>
      </c>
      <c r="O147" s="6" cm="1">
        <f t="array" ref="O147">_xlfn.XLOOKUP(Table8[[#This Row],[Admin2PCODE]:[Admin2PCODE]],tblPiNAnalysis[[Admin2PCODE]:[Admin2PCODE]],tblPiNAnalysis[% NUT],0,0)</f>
        <v>0</v>
      </c>
      <c r="P147" s="6" cm="1">
        <f t="array" ref="P147">_xlfn.XLOOKUP(Table8[[#This Row],[Admin2PCODE]:[Admin2PCODE]],tblPiNAnalysis[[Admin2PCODE]:[Admin2PCODE]],tblPiNAnalysis[% SAL],0,0)</f>
        <v>0.35000000000000003</v>
      </c>
      <c r="Q147" s="6" cm="1">
        <f t="array" ref="Q147">_xlfn.XLOOKUP(Table8[[#This Row],[Admin2PCODE]:[Admin2PCODE]],tblPiNAnalysis[[Admin2PCODE]:[Admin2PCODE]],tblPiNAnalysis[% EDU],0,0)</f>
        <v>0.1</v>
      </c>
      <c r="R147" s="6" cm="1">
        <f t="array" ref="R147">_xlfn.XLOOKUP(Table8[[#This Row],[Admin2PCODE]:[Admin2PCODE]],tblPiNAnalysis[[Admin2PCODE]:[Admin2PCODE]],tblPiNAnalysis[% PRO],0,0)</f>
        <v>0.25</v>
      </c>
      <c r="S147" s="6" cm="1">
        <f t="array" ref="S147">_xlfn.XLOOKUP(Table8[[#This Row],[Admin2PCODE]:[Admin2PCODE]],tblPiNAnalysis[[Admin2PCODE]:[Admin2PCODE]],tblPiNAnalysis[% WASH],0,0)</f>
        <v>0.05</v>
      </c>
      <c r="T147" s="6" cm="1">
        <f t="array" ref="T147">_xlfn.XLOOKUP(Table8[[#This Row],[Admin2PCODE]:[Admin2PCODE]],tblPiNAnalysis[[Admin2PCODE]:[Admin2PCODE]],tblPiNAnalysis[% NNA],0,0)</f>
        <v>0.1</v>
      </c>
      <c r="U147" s="6" cm="1">
        <f t="array" ref="U147">_xlfn.XLOOKUP(Table8[[#This Row],[Admin2PCODE]:[Admin2PCODE]],tblPiNAnalysis[[Admin2PCODE]:[Admin2PCODE]],tblPiNAnalysis[% VBG],0,0)</f>
        <v>0.1</v>
      </c>
      <c r="V147" s="8" cm="1">
        <f t="array" ref="V147">_xlfn.XLOOKUP(Table8[[#This Row],[Admin2PCODE]:[Admin2PCODE]],tblPiNAnalysis[[Admin2PCODE]:[Admin2PCODE]],tblPiNAnalysis[PiN preliminar],0,0)</f>
        <v>12397.955</v>
      </c>
      <c r="W147" s="308" cm="1">
        <f t="array" ref="W147">_xlfn.XLOOKUP(Table8[[#This Row],[Admin2PCODE]],tblPiNAnalysis[Admin2PCODE],tblSeverityAnalysis[Severidad media],0,0)</f>
        <v>2.5</v>
      </c>
      <c r="X147" s="42">
        <f>Table8[[#This Row],[Severidad media]]*6</f>
        <v>15</v>
      </c>
      <c r="Y147" s="6" cm="1">
        <f t="array" ref="Y147">_xlfn.XLOOKUP(Table8[[#This Row],[Admin2PCODE]],tblPiNAnalysis[Admin2PCODE],tblPiNAnalysis[% PiN Sectores más altos],0,0)</f>
        <v>0.36499999999999999</v>
      </c>
      <c r="Z147" s="42" cm="1">
        <f t="array" ref="Z147">_xlfn.XLOOKUP(Table8[[#This Row],[Admin2PCODE]:[Admin2PCODE]],tblPiNAnalysis[[Admin2PCODE]:[Admin2PCODE]],tblPiNAnalysis[Severidad],0,0)</f>
        <v>3</v>
      </c>
      <c r="AA147">
        <f>_xlfn.XLOOKUP(Table8[[#This Row],[Admin2PCODE]],tblSeverityAnalysis[Admin 2 Código P],tblSeverityAnalysis[Severidad Ttotal 2025],0,0)</f>
        <v>3</v>
      </c>
      <c r="AB147" t="str">
        <f>_xlfn.XLOOKUP(Table8[[#This Row],[Admin2PCODE]],tblSeverityAnalysis[Admin 2 Código P],tblSeverityAnalysis[Priorización Final 2025],0,0)</f>
        <v>No</v>
      </c>
      <c r="AC147">
        <v>6</v>
      </c>
      <c r="AD147" t="s">
        <v>1038</v>
      </c>
      <c r="AE147">
        <v>7</v>
      </c>
      <c r="AF147">
        <v>0</v>
      </c>
      <c r="AG147">
        <v>1</v>
      </c>
      <c r="AH147">
        <v>0</v>
      </c>
      <c r="AI147">
        <v>1</v>
      </c>
      <c r="AJ147">
        <v>4</v>
      </c>
      <c r="AK147">
        <v>1</v>
      </c>
      <c r="AL147">
        <v>2</v>
      </c>
      <c r="AM147">
        <v>0</v>
      </c>
      <c r="AN147">
        <v>4</v>
      </c>
      <c r="AO147" s="314">
        <f>Table8[[#This Row],[N° Clústeres con respuesta]]/Table8[[#This Row],[Org Total]]</f>
        <v>0.8571428571428571</v>
      </c>
      <c r="AP147" s="313">
        <v>6263</v>
      </c>
      <c r="AQ147" s="313">
        <v>2957</v>
      </c>
      <c r="AR147" s="312">
        <f>Table8[[#This Row],[Alcanzados Oct 2025]]/Table8[[#This Row],[Meta 2025]]</f>
        <v>0.47213795305764011</v>
      </c>
      <c r="AS147" s="423">
        <v>0</v>
      </c>
      <c r="AT147" s="423">
        <v>0</v>
      </c>
      <c r="AU147" s="423">
        <v>0</v>
      </c>
      <c r="AV147" s="423">
        <v>3</v>
      </c>
      <c r="AW147" s="423">
        <v>69</v>
      </c>
      <c r="AX147" s="423">
        <v>8</v>
      </c>
      <c r="AY147" s="423">
        <v>229</v>
      </c>
      <c r="AZ147" s="423">
        <v>0</v>
      </c>
      <c r="BA147" s="42">
        <v>2933</v>
      </c>
    </row>
    <row r="148" spans="1:53">
      <c r="A148" t="s">
        <v>362</v>
      </c>
      <c r="B148" t="s">
        <v>363</v>
      </c>
      <c r="C148" t="s">
        <v>364</v>
      </c>
      <c r="D148" t="s">
        <v>365</v>
      </c>
      <c r="E148" s="8">
        <v>24937</v>
      </c>
      <c r="F148" s="8">
        <v>8312</v>
      </c>
      <c r="G148" s="8">
        <v>1375.8079489869829</v>
      </c>
      <c r="H148" s="8">
        <v>9900</v>
      </c>
      <c r="I148" s="8">
        <v>1825.0416204597836</v>
      </c>
      <c r="J148" s="8">
        <v>4622.189804478041</v>
      </c>
      <c r="K148" s="8">
        <v>0</v>
      </c>
      <c r="L148" s="8">
        <v>1483.7229272374511</v>
      </c>
      <c r="M148" s="8">
        <v>1617.7664315673142</v>
      </c>
      <c r="N148" s="6" cm="1">
        <f t="array" ref="N148">_xlfn.XLOOKUP(Table8[[#This Row],[Admin2PCODE]:[Admin2PCODE]],tblPiNAnalysis[[Admin2PCODE]:[Admin2PCODE]],tblPiNAnalysis[% SAMV],0,0)</f>
        <v>0.35000000000000003</v>
      </c>
      <c r="O148" s="6" cm="1">
        <f t="array" ref="O148">_xlfn.XLOOKUP(Table8[[#This Row],[Admin2PCODE]:[Admin2PCODE]],tblPiNAnalysis[[Admin2PCODE]:[Admin2PCODE]],tblPiNAnalysis[% NUT],0,0)</f>
        <v>0.05</v>
      </c>
      <c r="P148" s="6" cm="1">
        <f t="array" ref="P148">_xlfn.XLOOKUP(Table8[[#This Row],[Admin2PCODE]:[Admin2PCODE]],tblPiNAnalysis[[Admin2PCODE]:[Admin2PCODE]],tblPiNAnalysis[% SAL],0,0)</f>
        <v>0.4</v>
      </c>
      <c r="Q148" s="6" cm="1">
        <f t="array" ref="Q148">_xlfn.XLOOKUP(Table8[[#This Row],[Admin2PCODE]:[Admin2PCODE]],tblPiNAnalysis[[Admin2PCODE]:[Admin2PCODE]],tblPiNAnalysis[% EDU],0,0)</f>
        <v>0.05</v>
      </c>
      <c r="R148" s="6" cm="1">
        <f t="array" ref="R148">_xlfn.XLOOKUP(Table8[[#This Row],[Admin2PCODE]:[Admin2PCODE]],tblPiNAnalysis[[Admin2PCODE]:[Admin2PCODE]],tblPiNAnalysis[% PRO],0,0)</f>
        <v>0.2</v>
      </c>
      <c r="S148" s="6" cm="1">
        <f t="array" ref="S148">_xlfn.XLOOKUP(Table8[[#This Row],[Admin2PCODE]:[Admin2PCODE]],tblPiNAnalysis[[Admin2PCODE]:[Admin2PCODE]],tblPiNAnalysis[% WASH],0,0)</f>
        <v>0</v>
      </c>
      <c r="T148" s="6" cm="1">
        <f t="array" ref="T148">_xlfn.XLOOKUP(Table8[[#This Row],[Admin2PCODE]:[Admin2PCODE]],tblPiNAnalysis[[Admin2PCODE]:[Admin2PCODE]],tblPiNAnalysis[% NNA],0,0)</f>
        <v>0.05</v>
      </c>
      <c r="U148" s="6" cm="1">
        <f t="array" ref="U148">_xlfn.XLOOKUP(Table8[[#This Row],[Admin2PCODE]:[Admin2PCODE]],tblPiNAnalysis[[Admin2PCODE]:[Admin2PCODE]],tblPiNAnalysis[% VBG],0,0)</f>
        <v>0.05</v>
      </c>
      <c r="V148" s="8" cm="1">
        <f t="array" ref="V148">_xlfn.XLOOKUP(Table8[[#This Row],[Admin2PCODE]:[Admin2PCODE]],tblPiNAnalysis[[Admin2PCODE]:[Admin2PCODE]],tblPiNAnalysis[PiN preliminar],0,0)</f>
        <v>9900</v>
      </c>
      <c r="W148" s="308" cm="1">
        <f t="array" ref="W148">_xlfn.XLOOKUP(Table8[[#This Row],[Admin2PCODE]],tblPiNAnalysis[Admin2PCODE],tblSeverityAnalysis[Severidad media],0,0)</f>
        <v>2.5</v>
      </c>
      <c r="X148" s="42">
        <f>Table8[[#This Row],[Severidad media]]*6</f>
        <v>15</v>
      </c>
      <c r="Y148" s="6" cm="1">
        <f t="array" ref="Y148">_xlfn.XLOOKUP(Table8[[#This Row],[Admin2PCODE]],tblPiNAnalysis[Admin2PCODE],tblPiNAnalysis[% PiN Sectores más altos],0,0)</f>
        <v>0.39700044111160121</v>
      </c>
      <c r="Z148" s="42" cm="1">
        <f t="array" ref="Z148">_xlfn.XLOOKUP(Table8[[#This Row],[Admin2PCODE]:[Admin2PCODE]],tblPiNAnalysis[[Admin2PCODE]:[Admin2PCODE]],tblPiNAnalysis[Severidad],0,0)</f>
        <v>3</v>
      </c>
      <c r="AA148">
        <f>_xlfn.XLOOKUP(Table8[[#This Row],[Admin2PCODE]],tblSeverityAnalysis[Admin 2 Código P],tblSeverityAnalysis[Severidad Ttotal 2025],0,0)</f>
        <v>3</v>
      </c>
      <c r="AB148" t="str">
        <f>_xlfn.XLOOKUP(Table8[[#This Row],[Admin2PCODE]],tblSeverityAnalysis[Admin 2 Código P],tblSeverityAnalysis[Priorización Final 2025],0,0)</f>
        <v>No</v>
      </c>
      <c r="AC148">
        <v>3</v>
      </c>
      <c r="AD148" t="s">
        <v>1039</v>
      </c>
      <c r="AE148">
        <v>2</v>
      </c>
      <c r="AF148">
        <v>0</v>
      </c>
      <c r="AG148">
        <v>1</v>
      </c>
      <c r="AH148">
        <v>1</v>
      </c>
      <c r="AI148">
        <v>0</v>
      </c>
      <c r="AJ148">
        <v>0</v>
      </c>
      <c r="AK148">
        <v>0</v>
      </c>
      <c r="AL148">
        <v>0</v>
      </c>
      <c r="AM148">
        <v>0</v>
      </c>
      <c r="AN148">
        <v>1</v>
      </c>
      <c r="AO148" s="314">
        <f>Table8[[#This Row],[N° Clústeres con respuesta]]/Table8[[#This Row],[Org Total]]</f>
        <v>1.5</v>
      </c>
      <c r="AP148" s="313">
        <v>5823</v>
      </c>
      <c r="AQ148" s="313">
        <v>465</v>
      </c>
      <c r="AR148" s="312">
        <f>Table8[[#This Row],[Alcanzados Oct 2025]]/Table8[[#This Row],[Meta 2025]]</f>
        <v>7.9855744461617723E-2</v>
      </c>
      <c r="AS148" s="423">
        <v>0</v>
      </c>
      <c r="AT148" s="423">
        <v>465</v>
      </c>
      <c r="AU148" s="423">
        <v>0</v>
      </c>
      <c r="AV148" s="423">
        <v>0</v>
      </c>
      <c r="AW148" s="423">
        <v>0</v>
      </c>
      <c r="AX148" s="423">
        <v>0</v>
      </c>
      <c r="AY148" s="423">
        <v>0</v>
      </c>
      <c r="AZ148" s="423">
        <v>0</v>
      </c>
      <c r="BA148" s="42">
        <v>465</v>
      </c>
    </row>
    <row r="149" spans="1:53">
      <c r="A149" t="s">
        <v>362</v>
      </c>
      <c r="B149" t="s">
        <v>363</v>
      </c>
      <c r="C149" t="s">
        <v>366</v>
      </c>
      <c r="D149" t="s">
        <v>367</v>
      </c>
      <c r="E149" s="8">
        <v>13263</v>
      </c>
      <c r="F149" s="8">
        <v>5053</v>
      </c>
      <c r="G149" s="8">
        <v>678.01838861406759</v>
      </c>
      <c r="H149" s="8">
        <v>6300</v>
      </c>
      <c r="I149" s="8">
        <v>976.78145024549997</v>
      </c>
      <c r="J149" s="8">
        <v>2458.3592002563364</v>
      </c>
      <c r="K149" s="8">
        <v>7957.7999999999993</v>
      </c>
      <c r="L149" s="8">
        <v>786.67494408202765</v>
      </c>
      <c r="M149" s="8">
        <v>860.42572008971774</v>
      </c>
      <c r="N149" s="6" cm="1">
        <f t="array" ref="N149">_xlfn.XLOOKUP(Table8[[#This Row],[Admin2PCODE]:[Admin2PCODE]],tblPiNAnalysis[[Admin2PCODE]:[Admin2PCODE]],tblPiNAnalysis[% SAMV],0,0)</f>
        <v>0.4</v>
      </c>
      <c r="O149" s="6" cm="1">
        <f t="array" ref="O149">_xlfn.XLOOKUP(Table8[[#This Row],[Admin2PCODE]:[Admin2PCODE]],tblPiNAnalysis[[Admin2PCODE]:[Admin2PCODE]],tblPiNAnalysis[% NUT],0,0)</f>
        <v>0.05</v>
      </c>
      <c r="P149" s="6" cm="1">
        <f t="array" ref="P149">_xlfn.XLOOKUP(Table8[[#This Row],[Admin2PCODE]:[Admin2PCODE]],tblPiNAnalysis[[Admin2PCODE]:[Admin2PCODE]],tblPiNAnalysis[% SAL],0,0)</f>
        <v>0.5</v>
      </c>
      <c r="Q149" s="6" cm="1">
        <f t="array" ref="Q149">_xlfn.XLOOKUP(Table8[[#This Row],[Admin2PCODE]:[Admin2PCODE]],tblPiNAnalysis[[Admin2PCODE]:[Admin2PCODE]],tblPiNAnalysis[% EDU],0,0)</f>
        <v>0.05</v>
      </c>
      <c r="R149" s="6" cm="1">
        <f t="array" ref="R149">_xlfn.XLOOKUP(Table8[[#This Row],[Admin2PCODE]:[Admin2PCODE]],tblPiNAnalysis[[Admin2PCODE]:[Admin2PCODE]],tblPiNAnalysis[% PRO],0,0)</f>
        <v>0.2</v>
      </c>
      <c r="S149" s="6" cm="1">
        <f t="array" ref="S149">_xlfn.XLOOKUP(Table8[[#This Row],[Admin2PCODE]:[Admin2PCODE]],tblPiNAnalysis[[Admin2PCODE]:[Admin2PCODE]],tblPiNAnalysis[% WASH],0,0)</f>
        <v>0.60000000000000009</v>
      </c>
      <c r="T149" s="6" cm="1">
        <f t="array" ref="T149">_xlfn.XLOOKUP(Table8[[#This Row],[Admin2PCODE]:[Admin2PCODE]],tblPiNAnalysis[[Admin2PCODE]:[Admin2PCODE]],tblPiNAnalysis[% NNA],0,0)</f>
        <v>0.05</v>
      </c>
      <c r="U149" s="6" cm="1">
        <f t="array" ref="U149">_xlfn.XLOOKUP(Table8[[#This Row],[Admin2PCODE]:[Admin2PCODE]],tblPiNAnalysis[[Admin2PCODE]:[Admin2PCODE]],tblPiNAnalysis[% VBG],0,0)</f>
        <v>0.05</v>
      </c>
      <c r="V149" s="8" cm="1">
        <f t="array" ref="V149">_xlfn.XLOOKUP(Table8[[#This Row],[Admin2PCODE]:[Admin2PCODE]],tblPiNAnalysis[[Admin2PCODE]:[Admin2PCODE]],tblPiNAnalysis[PiN preliminar],0,0)</f>
        <v>7957.7999999999993</v>
      </c>
      <c r="W149" s="308" cm="1">
        <f t="array" ref="W149">_xlfn.XLOOKUP(Table8[[#This Row],[Admin2PCODE]],tblPiNAnalysis[Admin2PCODE],tblSeverityAnalysis[Severidad media],0,0)</f>
        <v>2.5</v>
      </c>
      <c r="X149" s="42">
        <f>Table8[[#This Row],[Severidad media]]*6</f>
        <v>15</v>
      </c>
      <c r="Y149" s="6" cm="1">
        <f t="array" ref="Y149">_xlfn.XLOOKUP(Table8[[#This Row],[Admin2PCODE]],tblPiNAnalysis[Admin2PCODE],tblPiNAnalysis[% PiN Sectores más altos],0,0)</f>
        <v>0.6</v>
      </c>
      <c r="Z149" s="42" cm="1">
        <f t="array" ref="Z149">_xlfn.XLOOKUP(Table8[[#This Row],[Admin2PCODE]:[Admin2PCODE]],tblPiNAnalysis[[Admin2PCODE]:[Admin2PCODE]],tblPiNAnalysis[Severidad],0,0)</f>
        <v>3</v>
      </c>
      <c r="AA149">
        <f>_xlfn.XLOOKUP(Table8[[#This Row],[Admin2PCODE]],tblSeverityAnalysis[Admin 2 Código P],tblSeverityAnalysis[Severidad Ttotal 2025],0,0)</f>
        <v>3</v>
      </c>
      <c r="AB149" t="str">
        <f>_xlfn.XLOOKUP(Table8[[#This Row],[Admin2PCODE]],tblSeverityAnalysis[Admin 2 Código P],tblSeverityAnalysis[Priorización Final 2025],0,0)</f>
        <v>No</v>
      </c>
      <c r="AC149">
        <v>0</v>
      </c>
      <c r="AD149">
        <v>0</v>
      </c>
      <c r="AE149">
        <v>0</v>
      </c>
      <c r="AF149">
        <v>0</v>
      </c>
      <c r="AG149">
        <v>0</v>
      </c>
      <c r="AH149">
        <v>0</v>
      </c>
      <c r="AI149">
        <v>0</v>
      </c>
      <c r="AJ149">
        <v>0</v>
      </c>
      <c r="AK149">
        <v>0</v>
      </c>
      <c r="AL149">
        <v>0</v>
      </c>
      <c r="AM149">
        <v>0</v>
      </c>
      <c r="AN149">
        <v>0</v>
      </c>
      <c r="AO149" s="314" t="e">
        <f>Table8[[#This Row],[N° Clústeres con respuesta]]/Table8[[#This Row],[Org Total]]</f>
        <v>#DIV/0!</v>
      </c>
      <c r="AP149" s="313">
        <v>2975</v>
      </c>
      <c r="AQ149" s="313">
        <v>0</v>
      </c>
      <c r="AR149" s="312">
        <f>Table8[[#This Row],[Alcanzados Oct 2025]]/Table8[[#This Row],[Meta 2025]]</f>
        <v>0</v>
      </c>
      <c r="AS149" s="423">
        <v>0</v>
      </c>
      <c r="AT149" s="423">
        <v>0</v>
      </c>
      <c r="AU149" s="423">
        <v>0</v>
      </c>
      <c r="AV149" s="423">
        <v>0</v>
      </c>
      <c r="AW149" s="423">
        <v>0</v>
      </c>
      <c r="AX149" s="423">
        <v>0</v>
      </c>
      <c r="AY149" s="423">
        <v>0</v>
      </c>
      <c r="AZ149" s="423">
        <v>0</v>
      </c>
      <c r="BA149" s="42">
        <v>0</v>
      </c>
    </row>
    <row r="150" spans="1:53">
      <c r="A150" t="s">
        <v>362</v>
      </c>
      <c r="B150" t="s">
        <v>363</v>
      </c>
      <c r="C150" t="s">
        <v>372</v>
      </c>
      <c r="D150" t="s">
        <v>373</v>
      </c>
      <c r="E150" s="8">
        <v>123622</v>
      </c>
      <c r="F150" s="8">
        <v>21943</v>
      </c>
      <c r="G150" s="8">
        <v>6207.3295043550697</v>
      </c>
      <c r="H150" s="8">
        <v>45122.03</v>
      </c>
      <c r="I150" s="8">
        <v>14355.36541941502</v>
      </c>
      <c r="J150" s="8">
        <v>13748.350194711096</v>
      </c>
      <c r="K150" s="8">
        <v>16688.97</v>
      </c>
      <c r="L150" s="8">
        <v>4399.4720623075509</v>
      </c>
      <c r="M150" s="8">
        <v>4811.9225681488833</v>
      </c>
      <c r="N150" s="6" cm="1">
        <f t="array" ref="N150">_xlfn.XLOOKUP(Table8[[#This Row],[Admin2PCODE]:[Admin2PCODE]],tblPiNAnalysis[[Admin2PCODE]:[Admin2PCODE]],tblPiNAnalysis[% SAMV],0,0)</f>
        <v>0.2</v>
      </c>
      <c r="O150" s="6" cm="1">
        <f t="array" ref="O150">_xlfn.XLOOKUP(Table8[[#This Row],[Admin2PCODE]:[Admin2PCODE]],tblPiNAnalysis[[Admin2PCODE]:[Admin2PCODE]],tblPiNAnalysis[% NUT],0,0)</f>
        <v>0.05</v>
      </c>
      <c r="P150" s="6" cm="1">
        <f t="array" ref="P150">_xlfn.XLOOKUP(Table8[[#This Row],[Admin2PCODE]:[Admin2PCODE]],tblPiNAnalysis[[Admin2PCODE]:[Admin2PCODE]],tblPiNAnalysis[% SAL],0,0)</f>
        <v>0.35000000000000003</v>
      </c>
      <c r="Q150" s="6" cm="1">
        <f t="array" ref="Q150">_xlfn.XLOOKUP(Table8[[#This Row],[Admin2PCODE]:[Admin2PCODE]],tblPiNAnalysis[[Admin2PCODE]:[Admin2PCODE]],tblPiNAnalysis[% EDU],0,0)</f>
        <v>0.1</v>
      </c>
      <c r="R150" s="6" cm="1">
        <f t="array" ref="R150">_xlfn.XLOOKUP(Table8[[#This Row],[Admin2PCODE]:[Admin2PCODE]],tblPiNAnalysis[[Admin2PCODE]:[Admin2PCODE]],tblPiNAnalysis[% PRO],0,0)</f>
        <v>0.1</v>
      </c>
      <c r="S150" s="6" cm="1">
        <f t="array" ref="S150">_xlfn.XLOOKUP(Table8[[#This Row],[Admin2PCODE]:[Admin2PCODE]],tblPiNAnalysis[[Admin2PCODE]:[Admin2PCODE]],tblPiNAnalysis[% WASH],0,0)</f>
        <v>0.15000000000000002</v>
      </c>
      <c r="T150" s="6" cm="1">
        <f t="array" ref="T150">_xlfn.XLOOKUP(Table8[[#This Row],[Admin2PCODE]:[Admin2PCODE]],tblPiNAnalysis[[Admin2PCODE]:[Admin2PCODE]],tblPiNAnalysis[% NNA],0,0)</f>
        <v>0.05</v>
      </c>
      <c r="U150" s="6" cm="1">
        <f t="array" ref="U150">_xlfn.XLOOKUP(Table8[[#This Row],[Admin2PCODE]:[Admin2PCODE]],tblPiNAnalysis[[Admin2PCODE]:[Admin2PCODE]],tblPiNAnalysis[% VBG],0,0)</f>
        <v>0.05</v>
      </c>
      <c r="V150" s="8" cm="1">
        <f t="array" ref="V150">_xlfn.XLOOKUP(Table8[[#This Row],[Admin2PCODE]:[Admin2PCODE]],tblPiNAnalysis[[Admin2PCODE]:[Admin2PCODE]],tblPiNAnalysis[PiN preliminar],0,0)</f>
        <v>45122.03</v>
      </c>
      <c r="W150" s="308" cm="1">
        <f t="array" ref="W150">_xlfn.XLOOKUP(Table8[[#This Row],[Admin2PCODE]],tblPiNAnalysis[Admin2PCODE],tblSeverityAnalysis[Severidad media],0,0)</f>
        <v>2.6666666666666665</v>
      </c>
      <c r="X150" s="42">
        <f>Table8[[#This Row],[Severidad media]]*6</f>
        <v>16</v>
      </c>
      <c r="Y150" s="6" cm="1">
        <f t="array" ref="Y150">_xlfn.XLOOKUP(Table8[[#This Row],[Admin2PCODE]],tblPiNAnalysis[Admin2PCODE],tblPiNAnalysis[% PiN Sectores más altos],0,0)</f>
        <v>0.36499999999999999</v>
      </c>
      <c r="Z150" s="42" cm="1">
        <f t="array" ref="Z150">_xlfn.XLOOKUP(Table8[[#This Row],[Admin2PCODE]:[Admin2PCODE]],tblPiNAnalysis[[Admin2PCODE]:[Admin2PCODE]],tblPiNAnalysis[Severidad],0,0)</f>
        <v>3</v>
      </c>
      <c r="AA150">
        <f>_xlfn.XLOOKUP(Table8[[#This Row],[Admin2PCODE]],tblSeverityAnalysis[Admin 2 Código P],tblSeverityAnalysis[Severidad Ttotal 2025],0,0)</f>
        <v>3</v>
      </c>
      <c r="AB150" t="str">
        <f>_xlfn.XLOOKUP(Table8[[#This Row],[Admin2PCODE]],tblSeverityAnalysis[Admin 2 Código P],tblSeverityAnalysis[Priorización Final 2025],0,0)</f>
        <v>No</v>
      </c>
      <c r="AC150">
        <v>3</v>
      </c>
      <c r="AD150" t="s">
        <v>1040</v>
      </c>
      <c r="AE150">
        <v>5</v>
      </c>
      <c r="AF150">
        <v>0</v>
      </c>
      <c r="AG150">
        <v>0</v>
      </c>
      <c r="AH150">
        <v>1</v>
      </c>
      <c r="AI150">
        <v>0</v>
      </c>
      <c r="AJ150">
        <v>2</v>
      </c>
      <c r="AK150">
        <v>0</v>
      </c>
      <c r="AL150">
        <v>0</v>
      </c>
      <c r="AM150">
        <v>1</v>
      </c>
      <c r="AN150">
        <v>1</v>
      </c>
      <c r="AO150" s="314">
        <f>Table8[[#This Row],[N° Clústeres con respuesta]]/Table8[[#This Row],[Org Total]]</f>
        <v>0.6</v>
      </c>
      <c r="AP150" s="313">
        <v>20309</v>
      </c>
      <c r="AQ150" s="313">
        <v>1180</v>
      </c>
      <c r="AR150" s="312">
        <f>Table8[[#This Row],[Alcanzados Oct 2025]]/Table8[[#This Row],[Meta 2025]]</f>
        <v>5.8102319168841399E-2</v>
      </c>
      <c r="AS150" s="423">
        <v>0</v>
      </c>
      <c r="AT150" s="423">
        <v>0</v>
      </c>
      <c r="AU150" s="423">
        <v>150</v>
      </c>
      <c r="AV150" s="423">
        <v>0</v>
      </c>
      <c r="AW150" s="423">
        <v>5</v>
      </c>
      <c r="AX150" s="423">
        <v>0</v>
      </c>
      <c r="AY150" s="423">
        <v>0</v>
      </c>
      <c r="AZ150" s="423">
        <v>35</v>
      </c>
      <c r="BA150" s="42">
        <v>1180</v>
      </c>
    </row>
    <row r="151" spans="1:53">
      <c r="A151" t="s">
        <v>362</v>
      </c>
      <c r="B151" t="s">
        <v>363</v>
      </c>
      <c r="C151" t="s">
        <v>374</v>
      </c>
      <c r="D151" t="s">
        <v>375</v>
      </c>
      <c r="E151" s="8">
        <v>33770</v>
      </c>
      <c r="F151" s="8">
        <v>11256</v>
      </c>
      <c r="G151" s="8">
        <v>1890.2845536139289</v>
      </c>
      <c r="H151" s="8">
        <v>12326.05</v>
      </c>
      <c r="I151" s="8">
        <v>3419.9121158152179</v>
      </c>
      <c r="J151" s="8">
        <v>7511.3132949700503</v>
      </c>
      <c r="K151" s="8">
        <v>0</v>
      </c>
      <c r="L151" s="8">
        <v>2403.620254390416</v>
      </c>
      <c r="M151" s="8">
        <v>2628.9596532395171</v>
      </c>
      <c r="N151" s="6" cm="1">
        <f t="array" ref="N151">_xlfn.XLOOKUP(Table8[[#This Row],[Admin2PCODE]:[Admin2PCODE]],tblPiNAnalysis[[Admin2PCODE]:[Admin2PCODE]],tblPiNAnalysis[% SAMV],0,0)</f>
        <v>0.35000000000000003</v>
      </c>
      <c r="O151" s="6" cm="1">
        <f t="array" ref="O151">_xlfn.XLOOKUP(Table8[[#This Row],[Admin2PCODE]:[Admin2PCODE]],tblPiNAnalysis[[Admin2PCODE]:[Admin2PCODE]],tblPiNAnalysis[% NUT],0,0)</f>
        <v>0.05</v>
      </c>
      <c r="P151" s="6" cm="1">
        <f t="array" ref="P151">_xlfn.XLOOKUP(Table8[[#This Row],[Admin2PCODE]:[Admin2PCODE]],tblPiNAnalysis[[Admin2PCODE]:[Admin2PCODE]],tblPiNAnalysis[% SAL],0,0)</f>
        <v>0.35000000000000003</v>
      </c>
      <c r="Q151" s="6" cm="1">
        <f t="array" ref="Q151">_xlfn.XLOOKUP(Table8[[#This Row],[Admin2PCODE]:[Admin2PCODE]],tblPiNAnalysis[[Admin2PCODE]:[Admin2PCODE]],tblPiNAnalysis[% EDU],0,0)</f>
        <v>0.1</v>
      </c>
      <c r="R151" s="6" cm="1">
        <f t="array" ref="R151">_xlfn.XLOOKUP(Table8[[#This Row],[Admin2PCODE]:[Admin2PCODE]],tblPiNAnalysis[[Admin2PCODE]:[Admin2PCODE]],tblPiNAnalysis[% PRO],0,0)</f>
        <v>0.2</v>
      </c>
      <c r="S151" s="6" cm="1">
        <f t="array" ref="S151">_xlfn.XLOOKUP(Table8[[#This Row],[Admin2PCODE]:[Admin2PCODE]],tblPiNAnalysis[[Admin2PCODE]:[Admin2PCODE]],tblPiNAnalysis[% WASH],0,0)</f>
        <v>0</v>
      </c>
      <c r="T151" s="6" cm="1">
        <f t="array" ref="T151">_xlfn.XLOOKUP(Table8[[#This Row],[Admin2PCODE]:[Admin2PCODE]],tblPiNAnalysis[[Admin2PCODE]:[Admin2PCODE]],tblPiNAnalysis[% NNA],0,0)</f>
        <v>0.05</v>
      </c>
      <c r="U151" s="6" cm="1">
        <f t="array" ref="U151">_xlfn.XLOOKUP(Table8[[#This Row],[Admin2PCODE]:[Admin2PCODE]],tblPiNAnalysis[[Admin2PCODE]:[Admin2PCODE]],tblPiNAnalysis[% VBG],0,0)</f>
        <v>0.1</v>
      </c>
      <c r="V151" s="8" cm="1">
        <f t="array" ref="V151">_xlfn.XLOOKUP(Table8[[#This Row],[Admin2PCODE]:[Admin2PCODE]],tblPiNAnalysis[[Admin2PCODE]:[Admin2PCODE]],tblPiNAnalysis[PiN preliminar],0,0)</f>
        <v>12326.05</v>
      </c>
      <c r="W151" s="308" cm="1">
        <f t="array" ref="W151">_xlfn.XLOOKUP(Table8[[#This Row],[Admin2PCODE]],tblPiNAnalysis[Admin2PCODE],tblSeverityAnalysis[Severidad media],0,0)</f>
        <v>2.6666666666666665</v>
      </c>
      <c r="X151" s="42">
        <f>Table8[[#This Row],[Severidad media]]*6</f>
        <v>16</v>
      </c>
      <c r="Y151" s="6" cm="1">
        <f t="array" ref="Y151">_xlfn.XLOOKUP(Table8[[#This Row],[Admin2PCODE]],tblPiNAnalysis[Admin2PCODE],tblPiNAnalysis[% PiN Sectores más altos],0,0)</f>
        <v>0.36499999999999999</v>
      </c>
      <c r="Z151" s="42" cm="1">
        <f t="array" ref="Z151">_xlfn.XLOOKUP(Table8[[#This Row],[Admin2PCODE]:[Admin2PCODE]],tblPiNAnalysis[[Admin2PCODE]:[Admin2PCODE]],tblPiNAnalysis[Severidad],0,0)</f>
        <v>3</v>
      </c>
      <c r="AA151">
        <f>_xlfn.XLOOKUP(Table8[[#This Row],[Admin2PCODE]],tblSeverityAnalysis[Admin 2 Código P],tblSeverityAnalysis[Severidad Ttotal 2025],0,0)</f>
        <v>3</v>
      </c>
      <c r="AB151" t="str">
        <f>_xlfn.XLOOKUP(Table8[[#This Row],[Admin2PCODE]],tblSeverityAnalysis[Admin 2 Código P],tblSeverityAnalysis[Priorización Final 2025],0,0)</f>
        <v>No</v>
      </c>
      <c r="AC151">
        <v>0</v>
      </c>
      <c r="AD151">
        <v>0</v>
      </c>
      <c r="AE151">
        <v>0</v>
      </c>
      <c r="AF151">
        <v>0</v>
      </c>
      <c r="AG151">
        <v>0</v>
      </c>
      <c r="AH151">
        <v>0</v>
      </c>
      <c r="AI151">
        <v>0</v>
      </c>
      <c r="AJ151">
        <v>0</v>
      </c>
      <c r="AK151">
        <v>0</v>
      </c>
      <c r="AL151">
        <v>0</v>
      </c>
      <c r="AM151">
        <v>0</v>
      </c>
      <c r="AN151">
        <v>0</v>
      </c>
      <c r="AO151" s="314" t="e">
        <f>Table8[[#This Row],[N° Clústeres con respuesta]]/Table8[[#This Row],[Org Total]]</f>
        <v>#DIV/0!</v>
      </c>
      <c r="AP151" s="313">
        <v>7884</v>
      </c>
      <c r="AQ151" s="313">
        <v>0</v>
      </c>
      <c r="AR151" s="312">
        <f>Table8[[#This Row],[Alcanzados Oct 2025]]/Table8[[#This Row],[Meta 2025]]</f>
        <v>0</v>
      </c>
      <c r="AS151" s="423">
        <v>0</v>
      </c>
      <c r="AT151" s="423">
        <v>0</v>
      </c>
      <c r="AU151" s="423">
        <v>0</v>
      </c>
      <c r="AV151" s="423">
        <v>0</v>
      </c>
      <c r="AW151" s="423">
        <v>0</v>
      </c>
      <c r="AX151" s="423">
        <v>0</v>
      </c>
      <c r="AY151" s="423">
        <v>0</v>
      </c>
      <c r="AZ151" s="423">
        <v>0</v>
      </c>
      <c r="BA151" s="42">
        <v>0</v>
      </c>
    </row>
    <row r="152" spans="1:53">
      <c r="A152" t="s">
        <v>362</v>
      </c>
      <c r="B152" t="s">
        <v>363</v>
      </c>
      <c r="C152" t="s">
        <v>376</v>
      </c>
      <c r="D152" t="s">
        <v>377</v>
      </c>
      <c r="E152" s="8">
        <v>28291</v>
      </c>
      <c r="F152" s="8">
        <v>5022</v>
      </c>
      <c r="G152" s="8">
        <v>1437.5561402678572</v>
      </c>
      <c r="H152" s="8">
        <v>10326.215</v>
      </c>
      <c r="I152" s="8">
        <v>2807.2836822234208</v>
      </c>
      <c r="J152" s="8">
        <v>3146.3216527686955</v>
      </c>
      <c r="K152" s="8">
        <v>0</v>
      </c>
      <c r="L152" s="8">
        <v>1006.8229288859826</v>
      </c>
      <c r="M152" s="8">
        <v>1101.2125784690434</v>
      </c>
      <c r="N152" s="6" cm="1">
        <f t="array" ref="N152">_xlfn.XLOOKUP(Table8[[#This Row],[Admin2PCODE]:[Admin2PCODE]],tblPiNAnalysis[[Admin2PCODE]:[Admin2PCODE]],tblPiNAnalysis[% SAMV],0,0)</f>
        <v>0.2</v>
      </c>
      <c r="O152" s="6" cm="1">
        <f t="array" ref="O152">_xlfn.XLOOKUP(Table8[[#This Row],[Admin2PCODE]:[Admin2PCODE]],tblPiNAnalysis[[Admin2PCODE]:[Admin2PCODE]],tblPiNAnalysis[% NUT],0,0)</f>
        <v>0.05</v>
      </c>
      <c r="P152" s="6" cm="1">
        <f t="array" ref="P152">_xlfn.XLOOKUP(Table8[[#This Row],[Admin2PCODE]:[Admin2PCODE]],tblPiNAnalysis[[Admin2PCODE]:[Admin2PCODE]],tblPiNAnalysis[% SAL],0,0)</f>
        <v>0.35000000000000003</v>
      </c>
      <c r="Q152" s="6" cm="1">
        <f t="array" ref="Q152">_xlfn.XLOOKUP(Table8[[#This Row],[Admin2PCODE]:[Admin2PCODE]],tblPiNAnalysis[[Admin2PCODE]:[Admin2PCODE]],tblPiNAnalysis[% EDU],0,0)</f>
        <v>0.1</v>
      </c>
      <c r="R152" s="6" cm="1">
        <f t="array" ref="R152">_xlfn.XLOOKUP(Table8[[#This Row],[Admin2PCODE]:[Admin2PCODE]],tblPiNAnalysis[[Admin2PCODE]:[Admin2PCODE]],tblPiNAnalysis[% PRO],0,0)</f>
        <v>0.1</v>
      </c>
      <c r="S152" s="6" cm="1">
        <f t="array" ref="S152">_xlfn.XLOOKUP(Table8[[#This Row],[Admin2PCODE]:[Admin2PCODE]],tblPiNAnalysis[[Admin2PCODE]:[Admin2PCODE]],tblPiNAnalysis[% WASH],0,0)</f>
        <v>0</v>
      </c>
      <c r="T152" s="6" cm="1">
        <f t="array" ref="T152">_xlfn.XLOOKUP(Table8[[#This Row],[Admin2PCODE]:[Admin2PCODE]],tblPiNAnalysis[[Admin2PCODE]:[Admin2PCODE]],tblPiNAnalysis[% NNA],0,0)</f>
        <v>0.05</v>
      </c>
      <c r="U152" s="6" cm="1">
        <f t="array" ref="U152">_xlfn.XLOOKUP(Table8[[#This Row],[Admin2PCODE]:[Admin2PCODE]],tblPiNAnalysis[[Admin2PCODE]:[Admin2PCODE]],tblPiNAnalysis[% VBG],0,0)</f>
        <v>0.05</v>
      </c>
      <c r="V152" s="8" cm="1">
        <f t="array" ref="V152">_xlfn.XLOOKUP(Table8[[#This Row],[Admin2PCODE]:[Admin2PCODE]],tblPiNAnalysis[[Admin2PCODE]:[Admin2PCODE]],tblPiNAnalysis[PiN preliminar],0,0)</f>
        <v>0</v>
      </c>
      <c r="W152" s="308" cm="1">
        <f t="array" ref="W152">_xlfn.XLOOKUP(Table8[[#This Row],[Admin2PCODE]],tblPiNAnalysis[Admin2PCODE],tblSeverityAnalysis[Severidad media],0,0)</f>
        <v>2.3333333333333335</v>
      </c>
      <c r="X152" s="42">
        <f>Table8[[#This Row],[Severidad media]]*6</f>
        <v>14</v>
      </c>
      <c r="Y152" s="6" cm="1">
        <f t="array" ref="Y152">_xlfn.XLOOKUP(Table8[[#This Row],[Admin2PCODE]],tblPiNAnalysis[Admin2PCODE],tblPiNAnalysis[% PiN Sectores más altos],0,0)</f>
        <v>0.36499999999999999</v>
      </c>
      <c r="Z152" s="42" cm="1">
        <f t="array" ref="Z152">_xlfn.XLOOKUP(Table8[[#This Row],[Admin2PCODE]:[Admin2PCODE]],tblPiNAnalysis[[Admin2PCODE]:[Admin2PCODE]],tblPiNAnalysis[Severidad],0,0)</f>
        <v>2</v>
      </c>
      <c r="AA152">
        <f>_xlfn.XLOOKUP(Table8[[#This Row],[Admin2PCODE]],tblSeverityAnalysis[Admin 2 Código P],tblSeverityAnalysis[Severidad Ttotal 2025],0,0)</f>
        <v>3</v>
      </c>
      <c r="AB152" t="str">
        <f>_xlfn.XLOOKUP(Table8[[#This Row],[Admin2PCODE]],tblSeverityAnalysis[Admin 2 Código P],tblSeverityAnalysis[Priorización Final 2025],0,0)</f>
        <v>No</v>
      </c>
      <c r="AC152">
        <v>1</v>
      </c>
      <c r="AD152" t="s">
        <v>1033</v>
      </c>
      <c r="AE152">
        <v>1</v>
      </c>
      <c r="AF152">
        <v>0</v>
      </c>
      <c r="AG152">
        <v>0</v>
      </c>
      <c r="AH152">
        <v>0</v>
      </c>
      <c r="AI152">
        <v>0</v>
      </c>
      <c r="AJ152">
        <v>0</v>
      </c>
      <c r="AK152">
        <v>0</v>
      </c>
      <c r="AL152">
        <v>1</v>
      </c>
      <c r="AM152">
        <v>0</v>
      </c>
      <c r="AN152">
        <v>0</v>
      </c>
      <c r="AO152" s="314">
        <f>Table8[[#This Row],[N° Clústeres con respuesta]]/Table8[[#This Row],[Org Total]]</f>
        <v>1</v>
      </c>
      <c r="AP152" s="313">
        <v>6312</v>
      </c>
      <c r="AQ152" s="313">
        <v>2</v>
      </c>
      <c r="AR152" s="312">
        <f>Table8[[#This Row],[Alcanzados Oct 2025]]/Table8[[#This Row],[Meta 2025]]</f>
        <v>3.1685678073510771E-4</v>
      </c>
      <c r="AS152" s="423">
        <v>0</v>
      </c>
      <c r="AT152" s="423">
        <v>0</v>
      </c>
      <c r="AU152" s="423">
        <v>0</v>
      </c>
      <c r="AV152" s="423">
        <v>0</v>
      </c>
      <c r="AW152" s="423">
        <v>0</v>
      </c>
      <c r="AX152" s="423">
        <v>0</v>
      </c>
      <c r="AY152" s="423">
        <v>2</v>
      </c>
      <c r="AZ152" s="423">
        <v>0</v>
      </c>
      <c r="BA152" s="42">
        <v>0</v>
      </c>
    </row>
    <row r="153" spans="1:53">
      <c r="A153" t="s">
        <v>362</v>
      </c>
      <c r="B153" t="s">
        <v>363</v>
      </c>
      <c r="C153" t="s">
        <v>806</v>
      </c>
      <c r="D153" t="s">
        <v>378</v>
      </c>
      <c r="E153" s="8">
        <v>145194</v>
      </c>
      <c r="F153" s="8">
        <v>28513</v>
      </c>
      <c r="G153" s="8">
        <v>5638.6621941758949</v>
      </c>
      <c r="H153" s="8">
        <v>52995.81</v>
      </c>
      <c r="I153" s="8">
        <v>14944.294423882566</v>
      </c>
      <c r="J153" s="8">
        <v>32294.865932777066</v>
      </c>
      <c r="K153" s="8">
        <v>0</v>
      </c>
      <c r="L153" s="8">
        <v>10366.651964421439</v>
      </c>
      <c r="M153" s="8">
        <v>11303.203076471973</v>
      </c>
      <c r="N153" s="6" cm="1">
        <f t="array" ref="N153">_xlfn.XLOOKUP(Table8[[#This Row],[Admin2PCODE]:[Admin2PCODE]],tblPiNAnalysis[[Admin2PCODE]:[Admin2PCODE]],tblPiNAnalysis[% SAMV],0,0)</f>
        <v>0.2</v>
      </c>
      <c r="O153" s="6" cm="1">
        <f t="array" ref="O153">_xlfn.XLOOKUP(Table8[[#This Row],[Admin2PCODE]:[Admin2PCODE]],tblPiNAnalysis[[Admin2PCODE]:[Admin2PCODE]],tblPiNAnalysis[% NUT],0,0)</f>
        <v>0.05</v>
      </c>
      <c r="P153" s="6" cm="1">
        <f t="array" ref="P153">_xlfn.XLOOKUP(Table8[[#This Row],[Admin2PCODE]:[Admin2PCODE]],tblPiNAnalysis[[Admin2PCODE]:[Admin2PCODE]],tblPiNAnalysis[% SAL],0,0)</f>
        <v>0.35000000000000003</v>
      </c>
      <c r="Q153" s="6" cm="1">
        <f t="array" ref="Q153">_xlfn.XLOOKUP(Table8[[#This Row],[Admin2PCODE]:[Admin2PCODE]],tblPiNAnalysis[[Admin2PCODE]:[Admin2PCODE]],tblPiNAnalysis[% EDU],0,0)</f>
        <v>0.1</v>
      </c>
      <c r="R153" s="6" cm="1">
        <f t="array" ref="R153">_xlfn.XLOOKUP(Table8[[#This Row],[Admin2PCODE]:[Admin2PCODE]],tblPiNAnalysis[[Admin2PCODE]:[Admin2PCODE]],tblPiNAnalysis[% PRO],0,0)</f>
        <v>0.2</v>
      </c>
      <c r="S153" s="6" cm="1">
        <f t="array" ref="S153">_xlfn.XLOOKUP(Table8[[#This Row],[Admin2PCODE]:[Admin2PCODE]],tblPiNAnalysis[[Admin2PCODE]:[Admin2PCODE]],tblPiNAnalysis[% WASH],0,0)</f>
        <v>0</v>
      </c>
      <c r="T153" s="6" cm="1">
        <f t="array" ref="T153">_xlfn.XLOOKUP(Table8[[#This Row],[Admin2PCODE]:[Admin2PCODE]],tblPiNAnalysis[[Admin2PCODE]:[Admin2PCODE]],tblPiNAnalysis[% NNA],0,0)</f>
        <v>0.05</v>
      </c>
      <c r="U153" s="6" cm="1">
        <f t="array" ref="U153">_xlfn.XLOOKUP(Table8[[#This Row],[Admin2PCODE]:[Admin2PCODE]],tblPiNAnalysis[[Admin2PCODE]:[Admin2PCODE]],tblPiNAnalysis[% VBG],0,0)</f>
        <v>0.1</v>
      </c>
      <c r="V153" s="8" cm="1">
        <f t="array" ref="V153">_xlfn.XLOOKUP(Table8[[#This Row],[Admin2PCODE]:[Admin2PCODE]],tblPiNAnalysis[[Admin2PCODE]:[Admin2PCODE]],tblPiNAnalysis[PiN preliminar],0,0)</f>
        <v>52995.81</v>
      </c>
      <c r="W153" s="308" cm="1">
        <f t="array" ref="W153">_xlfn.XLOOKUP(Table8[[#This Row],[Admin2PCODE]],tblPiNAnalysis[Admin2PCODE],tblSeverityAnalysis[Severidad media],0,0)</f>
        <v>3.3333333333333335</v>
      </c>
      <c r="X153" s="42">
        <f>Table8[[#This Row],[Severidad media]]*6</f>
        <v>20</v>
      </c>
      <c r="Y153" s="6" cm="1">
        <f t="array" ref="Y153">_xlfn.XLOOKUP(Table8[[#This Row],[Admin2PCODE]],tblPiNAnalysis[Admin2PCODE],tblPiNAnalysis[% PiN Sectores más altos],0,0)</f>
        <v>0.36499999999999999</v>
      </c>
      <c r="Z153" s="42" cm="1">
        <f t="array" ref="Z153">_xlfn.XLOOKUP(Table8[[#This Row],[Admin2PCODE]:[Admin2PCODE]],tblPiNAnalysis[[Admin2PCODE]:[Admin2PCODE]],tblPiNAnalysis[Severidad],0,0)</f>
        <v>3</v>
      </c>
      <c r="AA153">
        <f>_xlfn.XLOOKUP(Table8[[#This Row],[Admin2PCODE]],tblSeverityAnalysis[Admin 2 Código P],tblSeverityAnalysis[Severidad Ttotal 2025],0,0)</f>
        <v>3</v>
      </c>
      <c r="AB153" t="str">
        <f>_xlfn.XLOOKUP(Table8[[#This Row],[Admin2PCODE]],tblSeverityAnalysis[Admin 2 Código P],tblSeverityAnalysis[Priorización Final 2025],0,0)</f>
        <v>No</v>
      </c>
      <c r="AC153">
        <v>4</v>
      </c>
      <c r="AD153" t="s">
        <v>1041</v>
      </c>
      <c r="AE153">
        <v>4</v>
      </c>
      <c r="AF153">
        <v>0</v>
      </c>
      <c r="AG153">
        <v>2</v>
      </c>
      <c r="AH153">
        <v>0</v>
      </c>
      <c r="AI153">
        <v>2</v>
      </c>
      <c r="AJ153">
        <v>2</v>
      </c>
      <c r="AK153">
        <v>0</v>
      </c>
      <c r="AL153">
        <v>0</v>
      </c>
      <c r="AM153">
        <v>3</v>
      </c>
      <c r="AN153">
        <v>0</v>
      </c>
      <c r="AO153" s="314">
        <f>Table8[[#This Row],[N° Clústeres con respuesta]]/Table8[[#This Row],[Org Total]]</f>
        <v>1</v>
      </c>
      <c r="AP153" s="313">
        <v>23853</v>
      </c>
      <c r="AQ153" s="313">
        <v>2873</v>
      </c>
      <c r="AR153" s="312">
        <f>Table8[[#This Row],[Alcanzados Oct 2025]]/Table8[[#This Row],[Meta 2025]]</f>
        <v>0.12044606548442544</v>
      </c>
      <c r="AS153" s="423">
        <v>0</v>
      </c>
      <c r="AT153" s="423">
        <v>0</v>
      </c>
      <c r="AU153" s="423">
        <v>0</v>
      </c>
      <c r="AV153" s="423">
        <v>2867</v>
      </c>
      <c r="AW153" s="423">
        <v>158</v>
      </c>
      <c r="AX153" s="423">
        <v>0</v>
      </c>
      <c r="AY153" s="423">
        <v>0</v>
      </c>
      <c r="AZ153" s="423">
        <v>125</v>
      </c>
      <c r="BA153" s="42">
        <v>0</v>
      </c>
    </row>
    <row r="154" spans="1:53">
      <c r="A154" t="s">
        <v>362</v>
      </c>
      <c r="B154" t="s">
        <v>363</v>
      </c>
      <c r="C154" t="s">
        <v>379</v>
      </c>
      <c r="D154" t="s">
        <v>380</v>
      </c>
      <c r="E154" s="8">
        <v>76246</v>
      </c>
      <c r="F154" s="8">
        <v>13534</v>
      </c>
      <c r="G154" s="8">
        <v>3862.6008584669858</v>
      </c>
      <c r="H154" s="8">
        <v>27829.79</v>
      </c>
      <c r="I154" s="8">
        <v>9043.2888174120781</v>
      </c>
      <c r="J154" s="8">
        <v>16959.064065391955</v>
      </c>
      <c r="K154" s="8">
        <v>10293.210000000001</v>
      </c>
      <c r="L154" s="8">
        <v>5443.8595649908175</v>
      </c>
      <c r="M154" s="8">
        <v>5935.6724228871835</v>
      </c>
      <c r="N154" s="6" cm="1">
        <f t="array" ref="N154">_xlfn.XLOOKUP(Table8[[#This Row],[Admin2PCODE]:[Admin2PCODE]],tblPiNAnalysis[[Admin2PCODE]:[Admin2PCODE]],tblPiNAnalysis[% SAMV],0,0)</f>
        <v>0.2</v>
      </c>
      <c r="O154" s="6" cm="1">
        <f t="array" ref="O154">_xlfn.XLOOKUP(Table8[[#This Row],[Admin2PCODE]:[Admin2PCODE]],tblPiNAnalysis[[Admin2PCODE]:[Admin2PCODE]],tblPiNAnalysis[% NUT],0,0)</f>
        <v>0.05</v>
      </c>
      <c r="P154" s="6" cm="1">
        <f t="array" ref="P154">_xlfn.XLOOKUP(Table8[[#This Row],[Admin2PCODE]:[Admin2PCODE]],tblPiNAnalysis[[Admin2PCODE]:[Admin2PCODE]],tblPiNAnalysis[% SAL],0,0)</f>
        <v>0.35000000000000003</v>
      </c>
      <c r="Q154" s="6" cm="1">
        <f t="array" ref="Q154">_xlfn.XLOOKUP(Table8[[#This Row],[Admin2PCODE]:[Admin2PCODE]],tblPiNAnalysis[[Admin2PCODE]:[Admin2PCODE]],tblPiNAnalysis[% EDU],0,0)</f>
        <v>0.1</v>
      </c>
      <c r="R154" s="6" cm="1">
        <f t="array" ref="R154">_xlfn.XLOOKUP(Table8[[#This Row],[Admin2PCODE]:[Admin2PCODE]],tblPiNAnalysis[[Admin2PCODE]:[Admin2PCODE]],tblPiNAnalysis[% PRO],0,0)</f>
        <v>0.2</v>
      </c>
      <c r="S154" s="6" cm="1">
        <f t="array" ref="S154">_xlfn.XLOOKUP(Table8[[#This Row],[Admin2PCODE]:[Admin2PCODE]],tblPiNAnalysis[[Admin2PCODE]:[Admin2PCODE]],tblPiNAnalysis[% WASH],0,0)</f>
        <v>0.15000000000000002</v>
      </c>
      <c r="T154" s="6" cm="1">
        <f t="array" ref="T154">_xlfn.XLOOKUP(Table8[[#This Row],[Admin2PCODE]:[Admin2PCODE]],tblPiNAnalysis[[Admin2PCODE]:[Admin2PCODE]],tblPiNAnalysis[% NNA],0,0)</f>
        <v>0.05</v>
      </c>
      <c r="U154" s="6" cm="1">
        <f t="array" ref="U154">_xlfn.XLOOKUP(Table8[[#This Row],[Admin2PCODE]:[Admin2PCODE]],tblPiNAnalysis[[Admin2PCODE]:[Admin2PCODE]],tblPiNAnalysis[% VBG],0,0)</f>
        <v>0.1</v>
      </c>
      <c r="V154" s="8" cm="1">
        <f t="array" ref="V154">_xlfn.XLOOKUP(Table8[[#This Row],[Admin2PCODE]:[Admin2PCODE]],tblPiNAnalysis[[Admin2PCODE]:[Admin2PCODE]],tblPiNAnalysis[PiN preliminar],0,0)</f>
        <v>27829.79</v>
      </c>
      <c r="W154" s="308" cm="1">
        <f t="array" ref="W154">_xlfn.XLOOKUP(Table8[[#This Row],[Admin2PCODE]],tblPiNAnalysis[Admin2PCODE],tblSeverityAnalysis[Severidad media],0,0)</f>
        <v>2.6666666666666665</v>
      </c>
      <c r="X154" s="42">
        <f>Table8[[#This Row],[Severidad media]]*6</f>
        <v>16</v>
      </c>
      <c r="Y154" s="6" cm="1">
        <f t="array" ref="Y154">_xlfn.XLOOKUP(Table8[[#This Row],[Admin2PCODE]],tblPiNAnalysis[Admin2PCODE],tblPiNAnalysis[% PiN Sectores más altos],0,0)</f>
        <v>0.36499999999999999</v>
      </c>
      <c r="Z154" s="42" cm="1">
        <f t="array" ref="Z154">_xlfn.XLOOKUP(Table8[[#This Row],[Admin2PCODE]:[Admin2PCODE]],tblPiNAnalysis[[Admin2PCODE]:[Admin2PCODE]],tblPiNAnalysis[Severidad],0,0)</f>
        <v>3</v>
      </c>
      <c r="AA154">
        <f>_xlfn.XLOOKUP(Table8[[#This Row],[Admin2PCODE]],tblSeverityAnalysis[Admin 2 Código P],tblSeverityAnalysis[Severidad Ttotal 2025],0,0)</f>
        <v>3</v>
      </c>
      <c r="AB154" t="str">
        <f>_xlfn.XLOOKUP(Table8[[#This Row],[Admin2PCODE]],tblSeverityAnalysis[Admin 2 Código P],tblSeverityAnalysis[Priorización Final 2025],0,0)</f>
        <v>No</v>
      </c>
      <c r="AC154">
        <v>3</v>
      </c>
      <c r="AD154" t="s">
        <v>965</v>
      </c>
      <c r="AE154">
        <v>4</v>
      </c>
      <c r="AF154">
        <v>0</v>
      </c>
      <c r="AG154">
        <v>0</v>
      </c>
      <c r="AH154">
        <v>0</v>
      </c>
      <c r="AI154">
        <v>0</v>
      </c>
      <c r="AJ154">
        <v>2</v>
      </c>
      <c r="AK154">
        <v>0</v>
      </c>
      <c r="AL154">
        <v>1</v>
      </c>
      <c r="AM154">
        <v>1</v>
      </c>
      <c r="AN154">
        <v>0</v>
      </c>
      <c r="AO154" s="314">
        <f>Table8[[#This Row],[N° Clústeres con respuesta]]/Table8[[#This Row],[Org Total]]</f>
        <v>0.75</v>
      </c>
      <c r="AP154" s="313">
        <v>12526</v>
      </c>
      <c r="AQ154" s="313">
        <v>6</v>
      </c>
      <c r="AR154" s="312">
        <f>Table8[[#This Row],[Alcanzados Oct 2025]]/Table8[[#This Row],[Meta 2025]]</f>
        <v>4.7900367236148808E-4</v>
      </c>
      <c r="AS154" s="423">
        <v>0</v>
      </c>
      <c r="AT154" s="423">
        <v>0</v>
      </c>
      <c r="AU154" s="423">
        <v>0</v>
      </c>
      <c r="AV154" s="423">
        <v>0</v>
      </c>
      <c r="AW154" s="423">
        <v>2</v>
      </c>
      <c r="AX154" s="423">
        <v>0</v>
      </c>
      <c r="AY154" s="423">
        <v>5</v>
      </c>
      <c r="AZ154" s="423">
        <v>0</v>
      </c>
      <c r="BA154" s="42">
        <v>0</v>
      </c>
    </row>
    <row r="155" spans="1:53">
      <c r="A155" t="s">
        <v>362</v>
      </c>
      <c r="B155" t="s">
        <v>363</v>
      </c>
      <c r="C155" t="s">
        <v>381</v>
      </c>
      <c r="D155" t="s">
        <v>382</v>
      </c>
      <c r="E155" s="8">
        <v>24281</v>
      </c>
      <c r="F155" s="8">
        <v>0</v>
      </c>
      <c r="G155" s="8">
        <v>1261.2460013428754</v>
      </c>
      <c r="H155" s="8">
        <v>8862.5650000000005</v>
      </c>
      <c r="I155" s="8">
        <v>2579.0220908425704</v>
      </c>
      <c r="J155" s="8">
        <v>4500.597130470037</v>
      </c>
      <c r="K155" s="8">
        <v>0</v>
      </c>
      <c r="L155" s="8">
        <v>1444.6916788808819</v>
      </c>
      <c r="M155" s="8">
        <v>1575.2089956645129</v>
      </c>
      <c r="N155" s="6" cm="1">
        <f t="array" ref="N155">_xlfn.XLOOKUP(Table8[[#This Row],[Admin2PCODE]:[Admin2PCODE]],tblPiNAnalysis[[Admin2PCODE]:[Admin2PCODE]],tblPiNAnalysis[% SAMV],0,0)</f>
        <v>0</v>
      </c>
      <c r="O155" s="6" cm="1">
        <f t="array" ref="O155">_xlfn.XLOOKUP(Table8[[#This Row],[Admin2PCODE]:[Admin2PCODE]],tblPiNAnalysis[[Admin2PCODE]:[Admin2PCODE]],tblPiNAnalysis[% NUT],0,0)</f>
        <v>0.05</v>
      </c>
      <c r="P155" s="6" cm="1">
        <f t="array" ref="P155">_xlfn.XLOOKUP(Table8[[#This Row],[Admin2PCODE]:[Admin2PCODE]],tblPiNAnalysis[[Admin2PCODE]:[Admin2PCODE]],tblPiNAnalysis[% SAL],0,0)</f>
        <v>0.35000000000000003</v>
      </c>
      <c r="Q155" s="6" cm="1">
        <f t="array" ref="Q155">_xlfn.XLOOKUP(Table8[[#This Row],[Admin2PCODE]:[Admin2PCODE]],tblPiNAnalysis[[Admin2PCODE]:[Admin2PCODE]],tblPiNAnalysis[% EDU],0,0)</f>
        <v>0.1</v>
      </c>
      <c r="R155" s="6" cm="1">
        <f t="array" ref="R155">_xlfn.XLOOKUP(Table8[[#This Row],[Admin2PCODE]:[Admin2PCODE]],tblPiNAnalysis[[Admin2PCODE]:[Admin2PCODE]],tblPiNAnalysis[% PRO],0,0)</f>
        <v>0.2</v>
      </c>
      <c r="S155" s="6" cm="1">
        <f t="array" ref="S155">_xlfn.XLOOKUP(Table8[[#This Row],[Admin2PCODE]:[Admin2PCODE]],tblPiNAnalysis[[Admin2PCODE]:[Admin2PCODE]],tblPiNAnalysis[% WASH],0,0)</f>
        <v>0</v>
      </c>
      <c r="T155" s="6" cm="1">
        <f t="array" ref="T155">_xlfn.XLOOKUP(Table8[[#This Row],[Admin2PCODE]:[Admin2PCODE]],tblPiNAnalysis[[Admin2PCODE]:[Admin2PCODE]],tblPiNAnalysis[% NNA],0,0)</f>
        <v>0.05</v>
      </c>
      <c r="U155" s="6" cm="1">
        <f t="array" ref="U155">_xlfn.XLOOKUP(Table8[[#This Row],[Admin2PCODE]:[Admin2PCODE]],tblPiNAnalysis[[Admin2PCODE]:[Admin2PCODE]],tblPiNAnalysis[% VBG],0,0)</f>
        <v>0.05</v>
      </c>
      <c r="V155" s="8" cm="1">
        <f t="array" ref="V155">_xlfn.XLOOKUP(Table8[[#This Row],[Admin2PCODE]:[Admin2PCODE]],tblPiNAnalysis[[Admin2PCODE]:[Admin2PCODE]],tblPiNAnalysis[PiN preliminar],0,0)</f>
        <v>8862.5650000000005</v>
      </c>
      <c r="W155" s="308" cm="1">
        <f t="array" ref="W155">_xlfn.XLOOKUP(Table8[[#This Row],[Admin2PCODE]],tblPiNAnalysis[Admin2PCODE],tblSeverityAnalysis[Severidad media],0,0)</f>
        <v>3</v>
      </c>
      <c r="X155" s="42">
        <f>Table8[[#This Row],[Severidad media]]*6</f>
        <v>18</v>
      </c>
      <c r="Y155" s="6" cm="1">
        <f t="array" ref="Y155">_xlfn.XLOOKUP(Table8[[#This Row],[Admin2PCODE]],tblPiNAnalysis[Admin2PCODE],tblPiNAnalysis[% PiN Sectores más altos],0,0)</f>
        <v>0.36500000000000005</v>
      </c>
      <c r="Z155" s="42" cm="1">
        <f t="array" ref="Z155">_xlfn.XLOOKUP(Table8[[#This Row],[Admin2PCODE]:[Admin2PCODE]],tblPiNAnalysis[[Admin2PCODE]:[Admin2PCODE]],tblPiNAnalysis[Severidad],0,0)</f>
        <v>3</v>
      </c>
      <c r="AA155">
        <f>_xlfn.XLOOKUP(Table8[[#This Row],[Admin2PCODE]],tblSeverityAnalysis[Admin 2 Código P],tblSeverityAnalysis[Severidad Ttotal 2025],0,0)</f>
        <v>3</v>
      </c>
      <c r="AB155" t="str">
        <f>_xlfn.XLOOKUP(Table8[[#This Row],[Admin2PCODE]],tblSeverityAnalysis[Admin 2 Código P],tblSeverityAnalysis[Priorización Final 2025],0,0)</f>
        <v>No</v>
      </c>
      <c r="AC155">
        <v>1</v>
      </c>
      <c r="AD155" t="s">
        <v>1033</v>
      </c>
      <c r="AE155">
        <v>1</v>
      </c>
      <c r="AF155">
        <v>0</v>
      </c>
      <c r="AG155">
        <v>0</v>
      </c>
      <c r="AH155">
        <v>0</v>
      </c>
      <c r="AI155">
        <v>0</v>
      </c>
      <c r="AJ155">
        <v>0</v>
      </c>
      <c r="AK155">
        <v>0</v>
      </c>
      <c r="AL155">
        <v>1</v>
      </c>
      <c r="AM155">
        <v>0</v>
      </c>
      <c r="AN155">
        <v>0</v>
      </c>
      <c r="AO155" s="314">
        <f>Table8[[#This Row],[N° Clústeres con respuesta]]/Table8[[#This Row],[Org Total]]</f>
        <v>1</v>
      </c>
      <c r="AP155" s="313">
        <v>5450</v>
      </c>
      <c r="AQ155" s="313">
        <v>3</v>
      </c>
      <c r="AR155" s="312">
        <f>Table8[[#This Row],[Alcanzados Oct 2025]]/Table8[[#This Row],[Meta 2025]]</f>
        <v>5.5045871559633033E-4</v>
      </c>
      <c r="AS155" s="423">
        <v>0</v>
      </c>
      <c r="AT155" s="423">
        <v>0</v>
      </c>
      <c r="AU155" s="423">
        <v>0</v>
      </c>
      <c r="AV155" s="423">
        <v>0</v>
      </c>
      <c r="AW155" s="423">
        <v>0</v>
      </c>
      <c r="AX155" s="423">
        <v>0</v>
      </c>
      <c r="AY155" s="423">
        <v>3</v>
      </c>
      <c r="AZ155" s="423">
        <v>0</v>
      </c>
      <c r="BA155" s="42">
        <v>0</v>
      </c>
    </row>
    <row r="156" spans="1:53">
      <c r="A156" t="s">
        <v>362</v>
      </c>
      <c r="B156" t="s">
        <v>363</v>
      </c>
      <c r="C156" t="s">
        <v>188</v>
      </c>
      <c r="D156" t="s">
        <v>384</v>
      </c>
      <c r="E156" s="8">
        <v>39282</v>
      </c>
      <c r="F156" s="8">
        <v>6973</v>
      </c>
      <c r="G156" s="8">
        <v>2565.9408945649348</v>
      </c>
      <c r="H156" s="8">
        <v>14337.93</v>
      </c>
      <c r="I156" s="8">
        <v>3248.3825137372783</v>
      </c>
      <c r="J156" s="8">
        <v>4368.6616649839143</v>
      </c>
      <c r="K156" s="8">
        <v>17676.900000000001</v>
      </c>
      <c r="L156" s="8">
        <v>1397.9717327948524</v>
      </c>
      <c r="M156" s="8">
        <v>1529.0315827443701</v>
      </c>
      <c r="N156" s="6" cm="1">
        <f t="array" ref="N156">_xlfn.XLOOKUP(Table8[[#This Row],[Admin2PCODE]:[Admin2PCODE]],tblPiNAnalysis[[Admin2PCODE]:[Admin2PCODE]],tblPiNAnalysis[% SAMV],0,0)</f>
        <v>0.2</v>
      </c>
      <c r="O156" s="6" cm="1">
        <f t="array" ref="O156">_xlfn.XLOOKUP(Table8[[#This Row],[Admin2PCODE]:[Admin2PCODE]],tblPiNAnalysis[[Admin2PCODE]:[Admin2PCODE]],tblPiNAnalysis[% NUT],0,0)</f>
        <v>0.05</v>
      </c>
      <c r="P156" s="6" cm="1">
        <f t="array" ref="P156">_xlfn.XLOOKUP(Table8[[#This Row],[Admin2PCODE]:[Admin2PCODE]],tblPiNAnalysis[[Admin2PCODE]:[Admin2PCODE]],tblPiNAnalysis[% SAL],0,0)</f>
        <v>0.35000000000000003</v>
      </c>
      <c r="Q156" s="6" cm="1">
        <f t="array" ref="Q156">_xlfn.XLOOKUP(Table8[[#This Row],[Admin2PCODE]:[Admin2PCODE]],tblPiNAnalysis[[Admin2PCODE]:[Admin2PCODE]],tblPiNAnalysis[% EDU],0,0)</f>
        <v>0.1</v>
      </c>
      <c r="R156" s="6" cm="1">
        <f t="array" ref="R156">_xlfn.XLOOKUP(Table8[[#This Row],[Admin2PCODE]:[Admin2PCODE]],tblPiNAnalysis[[Admin2PCODE]:[Admin2PCODE]],tblPiNAnalysis[% PRO],0,0)</f>
        <v>0.1</v>
      </c>
      <c r="S156" s="6" cm="1">
        <f t="array" ref="S156">_xlfn.XLOOKUP(Table8[[#This Row],[Admin2PCODE]:[Admin2PCODE]],tblPiNAnalysis[[Admin2PCODE]:[Admin2PCODE]],tblPiNAnalysis[% WASH],0,0)</f>
        <v>0.45</v>
      </c>
      <c r="T156" s="6" cm="1">
        <f t="array" ref="T156">_xlfn.XLOOKUP(Table8[[#This Row],[Admin2PCODE]:[Admin2PCODE]],tblPiNAnalysis[[Admin2PCODE]:[Admin2PCODE]],tblPiNAnalysis[% NNA],0,0)</f>
        <v>0.05</v>
      </c>
      <c r="U156" s="6" cm="1">
        <f t="array" ref="U156">_xlfn.XLOOKUP(Table8[[#This Row],[Admin2PCODE]:[Admin2PCODE]],tblPiNAnalysis[[Admin2PCODE]:[Admin2PCODE]],tblPiNAnalysis[% VBG],0,0)</f>
        <v>0.05</v>
      </c>
      <c r="V156" s="8" cm="1">
        <f t="array" ref="V156">_xlfn.XLOOKUP(Table8[[#This Row],[Admin2PCODE]:[Admin2PCODE]],tblPiNAnalysis[[Admin2PCODE]:[Admin2PCODE]],tblPiNAnalysis[PiN preliminar],0,0)</f>
        <v>17676.900000000001</v>
      </c>
      <c r="W156" s="308" cm="1">
        <f t="array" ref="W156">_xlfn.XLOOKUP(Table8[[#This Row],[Admin2PCODE]],tblPiNAnalysis[Admin2PCODE],tblSeverityAnalysis[Severidad media],0,0)</f>
        <v>2.6666666666666665</v>
      </c>
      <c r="X156" s="42">
        <f>Table8[[#This Row],[Severidad media]]*6</f>
        <v>16</v>
      </c>
      <c r="Y156" s="6" cm="1">
        <f t="array" ref="Y156">_xlfn.XLOOKUP(Table8[[#This Row],[Admin2PCODE]],tblPiNAnalysis[Admin2PCODE],tblPiNAnalysis[% PiN Sectores más altos],0,0)</f>
        <v>0.45</v>
      </c>
      <c r="Z156" s="42" cm="1">
        <f t="array" ref="Z156">_xlfn.XLOOKUP(Table8[[#This Row],[Admin2PCODE]:[Admin2PCODE]],tblPiNAnalysis[[Admin2PCODE]:[Admin2PCODE]],tblPiNAnalysis[Severidad],0,0)</f>
        <v>3</v>
      </c>
      <c r="AA156">
        <f>_xlfn.XLOOKUP(Table8[[#This Row],[Admin2PCODE]],tblSeverityAnalysis[Admin 2 Código P],tblSeverityAnalysis[Severidad Ttotal 2025],0,0)</f>
        <v>3</v>
      </c>
      <c r="AB156" t="str">
        <f>_xlfn.XLOOKUP(Table8[[#This Row],[Admin2PCODE]],tblSeverityAnalysis[Admin 2 Código P],tblSeverityAnalysis[Priorización Final 2025],0,0)</f>
        <v>No</v>
      </c>
      <c r="AC156">
        <v>3</v>
      </c>
      <c r="AD156" t="s">
        <v>1042</v>
      </c>
      <c r="AE156">
        <v>2</v>
      </c>
      <c r="AF156">
        <v>0</v>
      </c>
      <c r="AG156">
        <v>0</v>
      </c>
      <c r="AH156">
        <v>0</v>
      </c>
      <c r="AI156">
        <v>1</v>
      </c>
      <c r="AJ156">
        <v>1</v>
      </c>
      <c r="AK156">
        <v>0</v>
      </c>
      <c r="AL156">
        <v>1</v>
      </c>
      <c r="AM156">
        <v>0</v>
      </c>
      <c r="AN156">
        <v>0</v>
      </c>
      <c r="AO156" s="314">
        <f>Table8[[#This Row],[N° Clústeres con respuesta]]/Table8[[#This Row],[Org Total]]</f>
        <v>1.5</v>
      </c>
      <c r="AP156" s="313">
        <v>6452</v>
      </c>
      <c r="AQ156" s="313">
        <v>1178</v>
      </c>
      <c r="AR156" s="312">
        <f>Table8[[#This Row],[Alcanzados Oct 2025]]/Table8[[#This Row],[Meta 2025]]</f>
        <v>0.18257904525728455</v>
      </c>
      <c r="AS156" s="423">
        <v>0</v>
      </c>
      <c r="AT156" s="423">
        <v>0</v>
      </c>
      <c r="AU156" s="423">
        <v>0</v>
      </c>
      <c r="AV156" s="423">
        <v>1178</v>
      </c>
      <c r="AW156" s="423">
        <v>1</v>
      </c>
      <c r="AX156" s="423">
        <v>0</v>
      </c>
      <c r="AY156" s="423">
        <v>1</v>
      </c>
      <c r="AZ156" s="423">
        <v>0</v>
      </c>
      <c r="BA156" s="42">
        <v>0</v>
      </c>
    </row>
    <row r="157" spans="1:53">
      <c r="A157" t="s">
        <v>362</v>
      </c>
      <c r="B157" t="s">
        <v>363</v>
      </c>
      <c r="C157" t="s">
        <v>385</v>
      </c>
      <c r="D157" t="s">
        <v>386</v>
      </c>
      <c r="E157" s="8">
        <v>129028</v>
      </c>
      <c r="F157" s="8">
        <v>0</v>
      </c>
      <c r="G157" s="8">
        <v>4996.6350896594977</v>
      </c>
      <c r="H157" s="8">
        <v>47095.22</v>
      </c>
      <c r="I157" s="8">
        <v>15897.48084798592</v>
      </c>
      <c r="J157" s="8">
        <v>28699.133308362321</v>
      </c>
      <c r="K157" s="8">
        <v>17418.78</v>
      </c>
      <c r="L157" s="8">
        <v>9183.7226586759425</v>
      </c>
      <c r="M157" s="8">
        <v>10044.696657926812</v>
      </c>
      <c r="N157" s="6" cm="1">
        <f t="array" ref="N157">_xlfn.XLOOKUP(Table8[[#This Row],[Admin2PCODE]:[Admin2PCODE]],tblPiNAnalysis[[Admin2PCODE]:[Admin2PCODE]],tblPiNAnalysis[% SAMV],0,0)</f>
        <v>0</v>
      </c>
      <c r="O157" s="6" cm="1">
        <f t="array" ref="O157">_xlfn.XLOOKUP(Table8[[#This Row],[Admin2PCODE]:[Admin2PCODE]],tblPiNAnalysis[[Admin2PCODE]:[Admin2PCODE]],tblPiNAnalysis[% NUT],0,0)</f>
        <v>0.05</v>
      </c>
      <c r="P157" s="6" cm="1">
        <f t="array" ref="P157">_xlfn.XLOOKUP(Table8[[#This Row],[Admin2PCODE]:[Admin2PCODE]],tblPiNAnalysis[[Admin2PCODE]:[Admin2PCODE]],tblPiNAnalysis[% SAL],0,0)</f>
        <v>0.35000000000000003</v>
      </c>
      <c r="Q157" s="6" cm="1">
        <f t="array" ref="Q157">_xlfn.XLOOKUP(Table8[[#This Row],[Admin2PCODE]:[Admin2PCODE]],tblPiNAnalysis[[Admin2PCODE]:[Admin2PCODE]],tblPiNAnalysis[% EDU],0,0)</f>
        <v>0.1</v>
      </c>
      <c r="R157" s="6" cm="1">
        <f t="array" ref="R157">_xlfn.XLOOKUP(Table8[[#This Row],[Admin2PCODE]:[Admin2PCODE]],tblPiNAnalysis[[Admin2PCODE]:[Admin2PCODE]],tblPiNAnalysis[% PRO],0,0)</f>
        <v>0.2</v>
      </c>
      <c r="S157" s="6" cm="1">
        <f t="array" ref="S157">_xlfn.XLOOKUP(Table8[[#This Row],[Admin2PCODE]:[Admin2PCODE]],tblPiNAnalysis[[Admin2PCODE]:[Admin2PCODE]],tblPiNAnalysis[% WASH],0,0)</f>
        <v>0.15000000000000002</v>
      </c>
      <c r="T157" s="6" cm="1">
        <f t="array" ref="T157">_xlfn.XLOOKUP(Table8[[#This Row],[Admin2PCODE]:[Admin2PCODE]],tblPiNAnalysis[[Admin2PCODE]:[Admin2PCODE]],tblPiNAnalysis[% NNA],0,0)</f>
        <v>0.05</v>
      </c>
      <c r="U157" s="6" cm="1">
        <f t="array" ref="U157">_xlfn.XLOOKUP(Table8[[#This Row],[Admin2PCODE]:[Admin2PCODE]],tblPiNAnalysis[[Admin2PCODE]:[Admin2PCODE]],tblPiNAnalysis[% VBG],0,0)</f>
        <v>0.1</v>
      </c>
      <c r="V157" s="8" cm="1">
        <f t="array" ref="V157">_xlfn.XLOOKUP(Table8[[#This Row],[Admin2PCODE]:[Admin2PCODE]],tblPiNAnalysis[[Admin2PCODE]:[Admin2PCODE]],tblPiNAnalysis[PiN preliminar],0,0)</f>
        <v>47095.22</v>
      </c>
      <c r="W157" s="308" cm="1">
        <f t="array" ref="W157">_xlfn.XLOOKUP(Table8[[#This Row],[Admin2PCODE]],tblPiNAnalysis[Admin2PCODE],tblSeverityAnalysis[Severidad media],0,0)</f>
        <v>2.3333333333333335</v>
      </c>
      <c r="X157" s="42">
        <f>Table8[[#This Row],[Severidad media]]*6</f>
        <v>14</v>
      </c>
      <c r="Y157" s="6" cm="1">
        <f t="array" ref="Y157">_xlfn.XLOOKUP(Table8[[#This Row],[Admin2PCODE]],tblPiNAnalysis[Admin2PCODE],tblPiNAnalysis[% PiN Sectores más altos],0,0)</f>
        <v>0.36499999999999999</v>
      </c>
      <c r="Z157" s="42" cm="1">
        <f t="array" ref="Z157">_xlfn.XLOOKUP(Table8[[#This Row],[Admin2PCODE]:[Admin2PCODE]],tblPiNAnalysis[[Admin2PCODE]:[Admin2PCODE]],tblPiNAnalysis[Severidad],0,0)</f>
        <v>3</v>
      </c>
      <c r="AA157">
        <f>_xlfn.XLOOKUP(Table8[[#This Row],[Admin2PCODE]],tblSeverityAnalysis[Admin 2 Código P],tblSeverityAnalysis[Severidad Ttotal 2025],0,0)</f>
        <v>3</v>
      </c>
      <c r="AB157" t="str">
        <f>_xlfn.XLOOKUP(Table8[[#This Row],[Admin2PCODE]],tblSeverityAnalysis[Admin 2 Código P],tblSeverityAnalysis[Priorización Final 2025],0,0)</f>
        <v>No</v>
      </c>
      <c r="AC157">
        <v>5</v>
      </c>
      <c r="AD157" t="s">
        <v>1043</v>
      </c>
      <c r="AE157">
        <v>9</v>
      </c>
      <c r="AF157">
        <v>0</v>
      </c>
      <c r="AG157">
        <v>0</v>
      </c>
      <c r="AH157">
        <v>0</v>
      </c>
      <c r="AI157">
        <v>1</v>
      </c>
      <c r="AJ157">
        <v>3</v>
      </c>
      <c r="AK157">
        <v>0</v>
      </c>
      <c r="AL157">
        <v>3</v>
      </c>
      <c r="AM157">
        <v>3</v>
      </c>
      <c r="AN157">
        <v>1</v>
      </c>
      <c r="AO157" s="314">
        <f>Table8[[#This Row],[N° Clústeres con respuesta]]/Table8[[#This Row],[Org Total]]</f>
        <v>0.55555555555555558</v>
      </c>
      <c r="AP157" s="313">
        <v>21198</v>
      </c>
      <c r="AQ157" s="313">
        <v>884</v>
      </c>
      <c r="AR157" s="312">
        <f>Table8[[#This Row],[Alcanzados Oct 2025]]/Table8[[#This Row],[Meta 2025]]</f>
        <v>4.1702047362958766E-2</v>
      </c>
      <c r="AS157" s="423">
        <v>0</v>
      </c>
      <c r="AT157" s="423">
        <v>0</v>
      </c>
      <c r="AU157" s="423">
        <v>0</v>
      </c>
      <c r="AV157" s="423">
        <v>666</v>
      </c>
      <c r="AW157" s="423">
        <v>7</v>
      </c>
      <c r="AX157" s="423">
        <v>0</v>
      </c>
      <c r="AY157" s="423">
        <v>22</v>
      </c>
      <c r="AZ157" s="423">
        <v>270</v>
      </c>
      <c r="BA157" s="42">
        <v>156</v>
      </c>
    </row>
    <row r="158" spans="1:53">
      <c r="A158" t="s">
        <v>362</v>
      </c>
      <c r="B158" t="s">
        <v>363</v>
      </c>
      <c r="C158" t="s">
        <v>823</v>
      </c>
      <c r="D158" t="s">
        <v>390</v>
      </c>
      <c r="E158" s="8">
        <v>13464</v>
      </c>
      <c r="F158" s="8">
        <v>2390</v>
      </c>
      <c r="G158" s="8">
        <v>729.7478730795533</v>
      </c>
      <c r="H158" s="8">
        <v>5600</v>
      </c>
      <c r="I158" s="8">
        <v>1238.2303048707349</v>
      </c>
      <c r="J158" s="8">
        <v>1497.3692952839319</v>
      </c>
      <c r="K158" s="8">
        <v>0</v>
      </c>
      <c r="L158" s="8">
        <v>479.15817449085819</v>
      </c>
      <c r="M158" s="8">
        <v>524.07925334937613</v>
      </c>
      <c r="N158" s="6" cm="1">
        <f t="array" ref="N158">_xlfn.XLOOKUP(Table8[[#This Row],[Admin2PCODE]:[Admin2PCODE]],tblPiNAnalysis[[Admin2PCODE]:[Admin2PCODE]],tblPiNAnalysis[% SAMV],0,0)</f>
        <v>0.2</v>
      </c>
      <c r="O158" s="6" cm="1">
        <f t="array" ref="O158">_xlfn.XLOOKUP(Table8[[#This Row],[Admin2PCODE]:[Admin2PCODE]],tblPiNAnalysis[[Admin2PCODE]:[Admin2PCODE]],tblPiNAnalysis[% NUT],0,0)</f>
        <v>0.05</v>
      </c>
      <c r="P158" s="6" cm="1">
        <f t="array" ref="P158">_xlfn.XLOOKUP(Table8[[#This Row],[Admin2PCODE]:[Admin2PCODE]],tblPiNAnalysis[[Admin2PCODE]:[Admin2PCODE]],tblPiNAnalysis[% SAL],0,0)</f>
        <v>0.4</v>
      </c>
      <c r="Q158" s="6" cm="1">
        <f t="array" ref="Q158">_xlfn.XLOOKUP(Table8[[#This Row],[Admin2PCODE]:[Admin2PCODE]],tblPiNAnalysis[[Admin2PCODE]:[Admin2PCODE]],tblPiNAnalysis[% EDU],0,0)</f>
        <v>0.1</v>
      </c>
      <c r="R158" s="6" cm="1">
        <f t="array" ref="R158">_xlfn.XLOOKUP(Table8[[#This Row],[Admin2PCODE]:[Admin2PCODE]],tblPiNAnalysis[[Admin2PCODE]:[Admin2PCODE]],tblPiNAnalysis[% PRO],0,0)</f>
        <v>0.1</v>
      </c>
      <c r="S158" s="6" cm="1">
        <f t="array" ref="S158">_xlfn.XLOOKUP(Table8[[#This Row],[Admin2PCODE]:[Admin2PCODE]],tblPiNAnalysis[[Admin2PCODE]:[Admin2PCODE]],tblPiNAnalysis[% WASH],0,0)</f>
        <v>0</v>
      </c>
      <c r="T158" s="6" cm="1">
        <f t="array" ref="T158">_xlfn.XLOOKUP(Table8[[#This Row],[Admin2PCODE]:[Admin2PCODE]],tblPiNAnalysis[[Admin2PCODE]:[Admin2PCODE]],tblPiNAnalysis[% NNA],0,0)</f>
        <v>0.05</v>
      </c>
      <c r="U158" s="6" cm="1">
        <f t="array" ref="U158">_xlfn.XLOOKUP(Table8[[#This Row],[Admin2PCODE]:[Admin2PCODE]],tblPiNAnalysis[[Admin2PCODE]:[Admin2PCODE]],tblPiNAnalysis[% VBG],0,0)</f>
        <v>0.05</v>
      </c>
      <c r="V158" s="8" cm="1">
        <f t="array" ref="V158">_xlfn.XLOOKUP(Table8[[#This Row],[Admin2PCODE]:[Admin2PCODE]],tblPiNAnalysis[[Admin2PCODE]:[Admin2PCODE]],tblPiNAnalysis[PiN preliminar],0,0)</f>
        <v>5600</v>
      </c>
      <c r="W158" s="308" cm="1">
        <f t="array" ref="W158">_xlfn.XLOOKUP(Table8[[#This Row],[Admin2PCODE]],tblPiNAnalysis[Admin2PCODE],tblSeverityAnalysis[Severidad media],0,0)</f>
        <v>2.6666666666666665</v>
      </c>
      <c r="X158" s="42">
        <f>Table8[[#This Row],[Severidad media]]*6</f>
        <v>16</v>
      </c>
      <c r="Y158" s="6" cm="1">
        <f t="array" ref="Y158">_xlfn.XLOOKUP(Table8[[#This Row],[Admin2PCODE]],tblPiNAnalysis[Admin2PCODE],tblPiNAnalysis[% PiN Sectores más altos],0,0)</f>
        <v>0.41592394533571003</v>
      </c>
      <c r="Z158" s="42" cm="1">
        <f t="array" ref="Z158">_xlfn.XLOOKUP(Table8[[#This Row],[Admin2PCODE]:[Admin2PCODE]],tblPiNAnalysis[[Admin2PCODE]:[Admin2PCODE]],tblPiNAnalysis[Severidad],0,0)</f>
        <v>3</v>
      </c>
      <c r="AA158">
        <f>_xlfn.XLOOKUP(Table8[[#This Row],[Admin2PCODE]],tblSeverityAnalysis[Admin 2 Código P],tblSeverityAnalysis[Severidad Ttotal 2025],0,0)</f>
        <v>3</v>
      </c>
      <c r="AB158" t="str">
        <f>_xlfn.XLOOKUP(Table8[[#This Row],[Admin2PCODE]],tblSeverityAnalysis[Admin 2 Código P],tblSeverityAnalysis[Priorización Final 2025],0,0)</f>
        <v>No</v>
      </c>
      <c r="AC158">
        <v>1</v>
      </c>
      <c r="AD158" t="s">
        <v>952</v>
      </c>
      <c r="AE158">
        <v>1</v>
      </c>
      <c r="AF158">
        <v>0</v>
      </c>
      <c r="AG158">
        <v>0</v>
      </c>
      <c r="AH158">
        <v>0</v>
      </c>
      <c r="AI158">
        <v>0</v>
      </c>
      <c r="AJ158">
        <v>1</v>
      </c>
      <c r="AK158">
        <v>0</v>
      </c>
      <c r="AL158">
        <v>0</v>
      </c>
      <c r="AM158">
        <v>0</v>
      </c>
      <c r="AN158">
        <v>0</v>
      </c>
      <c r="AO158" s="314">
        <f>Table8[[#This Row],[N° Clústeres con respuesta]]/Table8[[#This Row],[Org Total]]</f>
        <v>1</v>
      </c>
      <c r="AP158" s="313">
        <v>3142</v>
      </c>
      <c r="AQ158" s="313">
        <v>1</v>
      </c>
      <c r="AR158" s="312">
        <f>Table8[[#This Row],[Alcanzados Oct 2025]]/Table8[[#This Row],[Meta 2025]]</f>
        <v>3.1826861871419476E-4</v>
      </c>
      <c r="AS158" s="423">
        <v>0</v>
      </c>
      <c r="AT158" s="423">
        <v>0</v>
      </c>
      <c r="AU158" s="423">
        <v>0</v>
      </c>
      <c r="AV158" s="423">
        <v>0</v>
      </c>
      <c r="AW158" s="423">
        <v>1</v>
      </c>
      <c r="AX158" s="423">
        <v>0</v>
      </c>
      <c r="AY158" s="423">
        <v>0</v>
      </c>
      <c r="AZ158" s="423">
        <v>0</v>
      </c>
      <c r="BA158" s="42">
        <v>0</v>
      </c>
    </row>
    <row r="159" spans="1:53">
      <c r="A159" t="s">
        <v>362</v>
      </c>
      <c r="B159" t="s">
        <v>363</v>
      </c>
      <c r="C159" t="s">
        <v>391</v>
      </c>
      <c r="D159" t="s">
        <v>392</v>
      </c>
      <c r="E159" s="8">
        <v>63426</v>
      </c>
      <c r="F159" s="8">
        <v>11258</v>
      </c>
      <c r="G159" s="8">
        <v>3592.7632025827461</v>
      </c>
      <c r="H159" s="8">
        <v>23150.49</v>
      </c>
      <c r="I159" s="8">
        <v>6657.7792676099816</v>
      </c>
      <c r="J159" s="8">
        <v>14107.567576155474</v>
      </c>
      <c r="K159" s="8">
        <v>28541.7</v>
      </c>
      <c r="L159" s="8">
        <v>4514.421624369752</v>
      </c>
      <c r="M159" s="8">
        <v>4937.6486516544155</v>
      </c>
      <c r="N159" s="6" cm="1">
        <f t="array" ref="N159">_xlfn.XLOOKUP(Table8[[#This Row],[Admin2PCODE]:[Admin2PCODE]],tblPiNAnalysis[[Admin2PCODE]:[Admin2PCODE]],tblPiNAnalysis[% SAMV],0,0)</f>
        <v>0.2</v>
      </c>
      <c r="O159" s="6" cm="1">
        <f t="array" ref="O159">_xlfn.XLOOKUP(Table8[[#This Row],[Admin2PCODE]:[Admin2PCODE]],tblPiNAnalysis[[Admin2PCODE]:[Admin2PCODE]],tblPiNAnalysis[% NUT],0,0)</f>
        <v>0.05</v>
      </c>
      <c r="P159" s="6" cm="1">
        <f t="array" ref="P159">_xlfn.XLOOKUP(Table8[[#This Row],[Admin2PCODE]:[Admin2PCODE]],tblPiNAnalysis[[Admin2PCODE]:[Admin2PCODE]],tblPiNAnalysis[% SAL],0,0)</f>
        <v>0.35000000000000003</v>
      </c>
      <c r="Q159" s="6" cm="1">
        <f t="array" ref="Q159">_xlfn.XLOOKUP(Table8[[#This Row],[Admin2PCODE]:[Admin2PCODE]],tblPiNAnalysis[[Admin2PCODE]:[Admin2PCODE]],tblPiNAnalysis[% EDU],0,0)</f>
        <v>0.1</v>
      </c>
      <c r="R159" s="6" cm="1">
        <f t="array" ref="R159">_xlfn.XLOOKUP(Table8[[#This Row],[Admin2PCODE]:[Admin2PCODE]],tblPiNAnalysis[[Admin2PCODE]:[Admin2PCODE]],tblPiNAnalysis[% PRO],0,0)</f>
        <v>0.2</v>
      </c>
      <c r="S159" s="6" cm="1">
        <f t="array" ref="S159">_xlfn.XLOOKUP(Table8[[#This Row],[Admin2PCODE]:[Admin2PCODE]],tblPiNAnalysis[[Admin2PCODE]:[Admin2PCODE]],tblPiNAnalysis[% WASH],0,0)</f>
        <v>0.45</v>
      </c>
      <c r="T159" s="6" cm="1">
        <f t="array" ref="T159">_xlfn.XLOOKUP(Table8[[#This Row],[Admin2PCODE]:[Admin2PCODE]],tblPiNAnalysis[[Admin2PCODE]:[Admin2PCODE]],tblPiNAnalysis[% NNA],0,0)</f>
        <v>0.05</v>
      </c>
      <c r="U159" s="6" cm="1">
        <f t="array" ref="U159">_xlfn.XLOOKUP(Table8[[#This Row],[Admin2PCODE]:[Admin2PCODE]],tblPiNAnalysis[[Admin2PCODE]:[Admin2PCODE]],tblPiNAnalysis[% VBG],0,0)</f>
        <v>0.1</v>
      </c>
      <c r="V159" s="8" cm="1">
        <f t="array" ref="V159">_xlfn.XLOOKUP(Table8[[#This Row],[Admin2PCODE]:[Admin2PCODE]],tblPiNAnalysis[[Admin2PCODE]:[Admin2PCODE]],tblPiNAnalysis[PiN preliminar],0,0)</f>
        <v>28541.7</v>
      </c>
      <c r="W159" s="308" cm="1">
        <f t="array" ref="W159">_xlfn.XLOOKUP(Table8[[#This Row],[Admin2PCODE]],tblPiNAnalysis[Admin2PCODE],tblSeverityAnalysis[Severidad media],0,0)</f>
        <v>3.6666666666666665</v>
      </c>
      <c r="X159" s="42">
        <f>Table8[[#This Row],[Severidad media]]*6</f>
        <v>22</v>
      </c>
      <c r="Y159" s="6" cm="1">
        <f t="array" ref="Y159">_xlfn.XLOOKUP(Table8[[#This Row],[Admin2PCODE]],tblPiNAnalysis[Admin2PCODE],tblPiNAnalysis[% PiN Sectores más altos],0,0)</f>
        <v>0.45</v>
      </c>
      <c r="Z159" s="42" cm="1">
        <f t="array" ref="Z159">_xlfn.XLOOKUP(Table8[[#This Row],[Admin2PCODE]:[Admin2PCODE]],tblPiNAnalysis[[Admin2PCODE]:[Admin2PCODE]],tblPiNAnalysis[Severidad],0,0)</f>
        <v>3</v>
      </c>
      <c r="AA159">
        <f>_xlfn.XLOOKUP(Table8[[#This Row],[Admin2PCODE]],tblSeverityAnalysis[Admin 2 Código P],tblSeverityAnalysis[Severidad Ttotal 2025],0,0)</f>
        <v>3</v>
      </c>
      <c r="AB159" t="str">
        <f>_xlfn.XLOOKUP(Table8[[#This Row],[Admin2PCODE]],tblSeverityAnalysis[Admin 2 Código P],tblSeverityAnalysis[Priorización Final 2025],0,0)</f>
        <v>No</v>
      </c>
      <c r="AC159">
        <v>2</v>
      </c>
      <c r="AD159" t="s">
        <v>990</v>
      </c>
      <c r="AE159">
        <v>1</v>
      </c>
      <c r="AF159">
        <v>0</v>
      </c>
      <c r="AG159">
        <v>0</v>
      </c>
      <c r="AH159">
        <v>0</v>
      </c>
      <c r="AI159">
        <v>1</v>
      </c>
      <c r="AJ159">
        <v>0</v>
      </c>
      <c r="AK159">
        <v>0</v>
      </c>
      <c r="AL159">
        <v>0</v>
      </c>
      <c r="AM159">
        <v>0</v>
      </c>
      <c r="AN159">
        <v>1</v>
      </c>
      <c r="AO159" s="314">
        <f>Table8[[#This Row],[N° Clústeres con respuesta]]/Table8[[#This Row],[Org Total]]</f>
        <v>2</v>
      </c>
      <c r="AP159" s="313">
        <v>10420</v>
      </c>
      <c r="AQ159" s="313">
        <v>100</v>
      </c>
      <c r="AR159" s="312">
        <f>Table8[[#This Row],[Alcanzados Oct 2025]]/Table8[[#This Row],[Meta 2025]]</f>
        <v>9.5969289827255271E-3</v>
      </c>
      <c r="AS159" s="423">
        <v>0</v>
      </c>
      <c r="AT159" s="423">
        <v>0</v>
      </c>
      <c r="AU159" s="423">
        <v>0</v>
      </c>
      <c r="AV159" s="423">
        <v>0</v>
      </c>
      <c r="AW159" s="423">
        <v>0</v>
      </c>
      <c r="AX159" s="423">
        <v>0</v>
      </c>
      <c r="AY159" s="423">
        <v>0</v>
      </c>
      <c r="AZ159" s="423">
        <v>0</v>
      </c>
      <c r="BA159" s="42">
        <v>100</v>
      </c>
    </row>
    <row r="160" spans="1:53">
      <c r="A160" t="s">
        <v>393</v>
      </c>
      <c r="B160" t="s">
        <v>394</v>
      </c>
      <c r="C160" t="s">
        <v>237</v>
      </c>
      <c r="D160" t="s">
        <v>395</v>
      </c>
      <c r="E160" s="8">
        <v>48313</v>
      </c>
      <c r="F160" s="8">
        <v>5510</v>
      </c>
      <c r="G160" s="8">
        <v>2015.750991920838</v>
      </c>
      <c r="H160" s="8">
        <v>17634.244999999999</v>
      </c>
      <c r="I160" s="8">
        <v>7159.9278576803681</v>
      </c>
      <c r="J160" s="8">
        <v>9594.9363090728602</v>
      </c>
      <c r="K160" s="8">
        <v>6522.2550000000001</v>
      </c>
      <c r="L160" s="8">
        <v>3070.3796189033155</v>
      </c>
      <c r="M160" s="8">
        <v>3358.2277081755014</v>
      </c>
      <c r="N160" s="6" cm="1">
        <f t="array" ref="N160">_xlfn.XLOOKUP(Table8[[#This Row],[Admin2PCODE]:[Admin2PCODE]],tblPiNAnalysis[[Admin2PCODE]:[Admin2PCODE]],tblPiNAnalysis[% SAMV],0,0)</f>
        <v>0.1</v>
      </c>
      <c r="O160" s="6" cm="1">
        <f t="array" ref="O160">_xlfn.XLOOKUP(Table8[[#This Row],[Admin2PCODE]:[Admin2PCODE]],tblPiNAnalysis[[Admin2PCODE]:[Admin2PCODE]],tblPiNAnalysis[% NUT],0,0)</f>
        <v>0.05</v>
      </c>
      <c r="P160" s="6" cm="1">
        <f t="array" ref="P160">_xlfn.XLOOKUP(Table8[[#This Row],[Admin2PCODE]:[Admin2PCODE]],tblPiNAnalysis[[Admin2PCODE]:[Admin2PCODE]],tblPiNAnalysis[% SAL],0,0)</f>
        <v>0.35000000000000003</v>
      </c>
      <c r="Q160" s="6" cm="1">
        <f t="array" ref="Q160">_xlfn.XLOOKUP(Table8[[#This Row],[Admin2PCODE]:[Admin2PCODE]],tblPiNAnalysis[[Admin2PCODE]:[Admin2PCODE]],tblPiNAnalysis[% EDU],0,0)</f>
        <v>0.15000000000000002</v>
      </c>
      <c r="R160" s="6" cm="1">
        <f t="array" ref="R160">_xlfn.XLOOKUP(Table8[[#This Row],[Admin2PCODE]:[Admin2PCODE]],tblPiNAnalysis[[Admin2PCODE]:[Admin2PCODE]],tblPiNAnalysis[% PRO],0,0)</f>
        <v>0.2</v>
      </c>
      <c r="S160" s="6" cm="1">
        <f t="array" ref="S160">_xlfn.XLOOKUP(Table8[[#This Row],[Admin2PCODE]:[Admin2PCODE]],tblPiNAnalysis[[Admin2PCODE]:[Admin2PCODE]],tblPiNAnalysis[% WASH],0,0)</f>
        <v>0.15000000000000002</v>
      </c>
      <c r="T160" s="6" cm="1">
        <f t="array" ref="T160">_xlfn.XLOOKUP(Table8[[#This Row],[Admin2PCODE]:[Admin2PCODE]],tblPiNAnalysis[[Admin2PCODE]:[Admin2PCODE]],tblPiNAnalysis[% NNA],0,0)</f>
        <v>0.05</v>
      </c>
      <c r="U160" s="6" cm="1">
        <f t="array" ref="U160">_xlfn.XLOOKUP(Table8[[#This Row],[Admin2PCODE]:[Admin2PCODE]],tblPiNAnalysis[[Admin2PCODE]:[Admin2PCODE]],tblPiNAnalysis[% VBG],0,0)</f>
        <v>0.05</v>
      </c>
      <c r="V160" s="8" cm="1">
        <f t="array" ref="V160">_xlfn.XLOOKUP(Table8[[#This Row],[Admin2PCODE]:[Admin2PCODE]],tblPiNAnalysis[[Admin2PCODE]:[Admin2PCODE]],tblPiNAnalysis[PiN preliminar],0,0)</f>
        <v>17634.244999999999</v>
      </c>
      <c r="W160" s="308" cm="1">
        <f t="array" ref="W160">_xlfn.XLOOKUP(Table8[[#This Row],[Admin2PCODE]],tblPiNAnalysis[Admin2PCODE],tblSeverityAnalysis[Severidad media],0,0)</f>
        <v>3.3333333333333335</v>
      </c>
      <c r="X160" s="42">
        <f>Table8[[#This Row],[Severidad media]]*6</f>
        <v>20</v>
      </c>
      <c r="Y160" s="6" cm="1">
        <f t="array" ref="Y160">_xlfn.XLOOKUP(Table8[[#This Row],[Admin2PCODE]],tblPiNAnalysis[Admin2PCODE],tblPiNAnalysis[% PiN Sectores más altos],0,0)</f>
        <v>0.36499999999999999</v>
      </c>
      <c r="Z160" s="42" cm="1">
        <f t="array" ref="Z160">_xlfn.XLOOKUP(Table8[[#This Row],[Admin2PCODE]:[Admin2PCODE]],tblPiNAnalysis[[Admin2PCODE]:[Admin2PCODE]],tblPiNAnalysis[Severidad],0,0)</f>
        <v>3</v>
      </c>
      <c r="AA160">
        <f>_xlfn.XLOOKUP(Table8[[#This Row],[Admin2PCODE]],tblSeverityAnalysis[Admin 2 Código P],tblSeverityAnalysis[Severidad Ttotal 2025],0,0)</f>
        <v>3</v>
      </c>
      <c r="AB160" t="str">
        <f>_xlfn.XLOOKUP(Table8[[#This Row],[Admin2PCODE]],tblSeverityAnalysis[Admin 2 Código P],tblSeverityAnalysis[Priorización Final 2025],0,0)</f>
        <v>No</v>
      </c>
      <c r="AC160">
        <v>3</v>
      </c>
      <c r="AD160" t="s">
        <v>1003</v>
      </c>
      <c r="AE160">
        <v>5</v>
      </c>
      <c r="AF160">
        <v>0</v>
      </c>
      <c r="AG160">
        <v>0</v>
      </c>
      <c r="AH160">
        <v>0</v>
      </c>
      <c r="AI160">
        <v>0</v>
      </c>
      <c r="AJ160">
        <v>2</v>
      </c>
      <c r="AK160">
        <v>0</v>
      </c>
      <c r="AL160">
        <v>2</v>
      </c>
      <c r="AM160">
        <v>1</v>
      </c>
      <c r="AN160">
        <v>0</v>
      </c>
      <c r="AO160" s="314">
        <f>Table8[[#This Row],[N° Clústeres con respuesta]]/Table8[[#This Row],[Org Total]]</f>
        <v>0.6</v>
      </c>
      <c r="AP160" s="313">
        <v>11280</v>
      </c>
      <c r="AQ160" s="313">
        <v>15</v>
      </c>
      <c r="AR160" s="312">
        <f>Table8[[#This Row],[Alcanzados Oct 2025]]/Table8[[#This Row],[Meta 2025]]</f>
        <v>1.3297872340425532E-3</v>
      </c>
      <c r="AS160" s="423">
        <v>0</v>
      </c>
      <c r="AT160" s="423">
        <v>0</v>
      </c>
      <c r="AU160" s="423">
        <v>0</v>
      </c>
      <c r="AV160" s="423">
        <v>0</v>
      </c>
      <c r="AW160" s="423">
        <v>1</v>
      </c>
      <c r="AX160" s="423">
        <v>0</v>
      </c>
      <c r="AY160" s="423">
        <v>1</v>
      </c>
      <c r="AZ160" s="423">
        <v>15</v>
      </c>
      <c r="BA160" s="42">
        <v>0</v>
      </c>
    </row>
    <row r="161" spans="1:53">
      <c r="A161" t="s">
        <v>393</v>
      </c>
      <c r="B161" t="s">
        <v>394</v>
      </c>
      <c r="C161" t="s">
        <v>396</v>
      </c>
      <c r="D161" t="s">
        <v>397</v>
      </c>
      <c r="E161" s="8">
        <v>51079</v>
      </c>
      <c r="F161" s="8">
        <v>3870</v>
      </c>
      <c r="G161" s="8">
        <v>1663.6718543774771</v>
      </c>
      <c r="H161" s="8">
        <v>18643.834999999999</v>
      </c>
      <c r="I161" s="8">
        <v>4302.0118652724377</v>
      </c>
      <c r="J161" s="8">
        <v>10144.26244967467</v>
      </c>
      <c r="K161" s="8">
        <v>0</v>
      </c>
      <c r="L161" s="8">
        <v>3246.1639838958945</v>
      </c>
      <c r="M161" s="8">
        <v>3550.4918573861346</v>
      </c>
      <c r="N161" s="6" cm="1">
        <f t="array" ref="N161">_xlfn.XLOOKUP(Table8[[#This Row],[Admin2PCODE]:[Admin2PCODE]],tblPiNAnalysis[[Admin2PCODE]:[Admin2PCODE]],tblPiNAnalysis[% SAMV],0,0)</f>
        <v>0.1</v>
      </c>
      <c r="O161" s="6" cm="1">
        <f t="array" ref="O161">_xlfn.XLOOKUP(Table8[[#This Row],[Admin2PCODE]:[Admin2PCODE]],tblPiNAnalysis[[Admin2PCODE]:[Admin2PCODE]],tblPiNAnalysis[% NUT],0,0)</f>
        <v>0.05</v>
      </c>
      <c r="P161" s="6" cm="1">
        <f t="array" ref="P161">_xlfn.XLOOKUP(Table8[[#This Row],[Admin2PCODE]:[Admin2PCODE]],tblPiNAnalysis[[Admin2PCODE]:[Admin2PCODE]],tblPiNAnalysis[% SAL],0,0)</f>
        <v>0.35000000000000003</v>
      </c>
      <c r="Q161" s="6" cm="1">
        <f t="array" ref="Q161">_xlfn.XLOOKUP(Table8[[#This Row],[Admin2PCODE]:[Admin2PCODE]],tblPiNAnalysis[[Admin2PCODE]:[Admin2PCODE]],tblPiNAnalysis[% EDU],0,0)</f>
        <v>0.1</v>
      </c>
      <c r="R161" s="6" cm="1">
        <f t="array" ref="R161">_xlfn.XLOOKUP(Table8[[#This Row],[Admin2PCODE]:[Admin2PCODE]],tblPiNAnalysis[[Admin2PCODE]:[Admin2PCODE]],tblPiNAnalysis[% PRO],0,0)</f>
        <v>0.2</v>
      </c>
      <c r="S161" s="6" cm="1">
        <f t="array" ref="S161">_xlfn.XLOOKUP(Table8[[#This Row],[Admin2PCODE]:[Admin2PCODE]],tblPiNAnalysis[[Admin2PCODE]:[Admin2PCODE]],tblPiNAnalysis[% WASH],0,0)</f>
        <v>0</v>
      </c>
      <c r="T161" s="6" cm="1">
        <f t="array" ref="T161">_xlfn.XLOOKUP(Table8[[#This Row],[Admin2PCODE]:[Admin2PCODE]],tblPiNAnalysis[[Admin2PCODE]:[Admin2PCODE]],tblPiNAnalysis[% NNA],0,0)</f>
        <v>0.05</v>
      </c>
      <c r="U161" s="6" cm="1">
        <f t="array" ref="U161">_xlfn.XLOOKUP(Table8[[#This Row],[Admin2PCODE]:[Admin2PCODE]],tblPiNAnalysis[[Admin2PCODE]:[Admin2PCODE]],tblPiNAnalysis[% VBG],0,0)</f>
        <v>0.05</v>
      </c>
      <c r="V161" s="8" cm="1">
        <f t="array" ref="V161">_xlfn.XLOOKUP(Table8[[#This Row],[Admin2PCODE]:[Admin2PCODE]],tblPiNAnalysis[[Admin2PCODE]:[Admin2PCODE]],tblPiNAnalysis[PiN preliminar],0,0)</f>
        <v>18643.834999999999</v>
      </c>
      <c r="W161" s="308" cm="1">
        <f t="array" ref="W161">_xlfn.XLOOKUP(Table8[[#This Row],[Admin2PCODE]],tblPiNAnalysis[Admin2PCODE],tblSeverityAnalysis[Severidad media],0,0)</f>
        <v>3.1666666666666665</v>
      </c>
      <c r="X161" s="42">
        <f>Table8[[#This Row],[Severidad media]]*6</f>
        <v>19</v>
      </c>
      <c r="Y161" s="6" cm="1">
        <f t="array" ref="Y161">_xlfn.XLOOKUP(Table8[[#This Row],[Admin2PCODE]],tblPiNAnalysis[Admin2PCODE],tblPiNAnalysis[% PiN Sectores más altos],0,0)</f>
        <v>0.36499999999999999</v>
      </c>
      <c r="Z161" s="42" cm="1">
        <f t="array" ref="Z161">_xlfn.XLOOKUP(Table8[[#This Row],[Admin2PCODE]:[Admin2PCODE]],tblPiNAnalysis[[Admin2PCODE]:[Admin2PCODE]],tblPiNAnalysis[Severidad],0,0)</f>
        <v>3</v>
      </c>
      <c r="AA161">
        <f>_xlfn.XLOOKUP(Table8[[#This Row],[Admin2PCODE]],tblSeverityAnalysis[Admin 2 Código P],tblSeverityAnalysis[Severidad Ttotal 2025],0,0)</f>
        <v>3</v>
      </c>
      <c r="AB161" t="str">
        <f>_xlfn.XLOOKUP(Table8[[#This Row],[Admin2PCODE]],tblSeverityAnalysis[Admin 2 Código P],tblSeverityAnalysis[Priorización Final 2025],0,0)</f>
        <v>No</v>
      </c>
      <c r="AC161">
        <v>6</v>
      </c>
      <c r="AD161" t="s">
        <v>1044</v>
      </c>
      <c r="AE161">
        <v>6</v>
      </c>
      <c r="AF161">
        <v>0</v>
      </c>
      <c r="AG161">
        <v>1</v>
      </c>
      <c r="AH161">
        <v>0</v>
      </c>
      <c r="AI161">
        <v>2</v>
      </c>
      <c r="AJ161">
        <v>2</v>
      </c>
      <c r="AK161">
        <v>0</v>
      </c>
      <c r="AL161">
        <v>2</v>
      </c>
      <c r="AM161">
        <v>1</v>
      </c>
      <c r="AN161">
        <v>2</v>
      </c>
      <c r="AO161" s="314">
        <f>Table8[[#This Row],[N° Clústeres con respuesta]]/Table8[[#This Row],[Org Total]]</f>
        <v>1</v>
      </c>
      <c r="AP161" s="313">
        <v>11460</v>
      </c>
      <c r="AQ161" s="313">
        <v>2230</v>
      </c>
      <c r="AR161" s="312">
        <f>Table8[[#This Row],[Alcanzados Oct 2025]]/Table8[[#This Row],[Meta 2025]]</f>
        <v>0.19458987783595114</v>
      </c>
      <c r="AS161" s="423">
        <v>0</v>
      </c>
      <c r="AT161" s="423">
        <v>1971</v>
      </c>
      <c r="AU161" s="423">
        <v>0</v>
      </c>
      <c r="AV161" s="423">
        <v>210</v>
      </c>
      <c r="AW161" s="423">
        <v>1144</v>
      </c>
      <c r="AX161" s="423">
        <v>0</v>
      </c>
      <c r="AY161" s="423">
        <v>180</v>
      </c>
      <c r="AZ161" s="423">
        <v>17</v>
      </c>
      <c r="BA161" s="42">
        <v>2199</v>
      </c>
    </row>
    <row r="162" spans="1:53">
      <c r="A162" t="s">
        <v>393</v>
      </c>
      <c r="B162" t="s">
        <v>394</v>
      </c>
      <c r="C162" t="s">
        <v>398</v>
      </c>
      <c r="D162" t="s">
        <v>399</v>
      </c>
      <c r="E162" s="8">
        <v>1018728</v>
      </c>
      <c r="F162" s="8">
        <v>92924</v>
      </c>
      <c r="G162" s="8">
        <v>43618.730557566108</v>
      </c>
      <c r="H162" s="8">
        <v>371835.72</v>
      </c>
      <c r="I162" s="8">
        <v>106430.13227180515</v>
      </c>
      <c r="J162" s="8">
        <v>202318.84329826702</v>
      </c>
      <c r="K162" s="8">
        <v>0</v>
      </c>
      <c r="L162" s="8">
        <v>64944.348698743721</v>
      </c>
      <c r="M162" s="8">
        <v>70811.59515439345</v>
      </c>
      <c r="N162" s="6" cm="1">
        <f t="array" ref="N162">_xlfn.XLOOKUP(Table8[[#This Row],[Admin2PCODE]:[Admin2PCODE]],tblPiNAnalysis[[Admin2PCODE]:[Admin2PCODE]],tblPiNAnalysis[% SAMV],0,0)</f>
        <v>0.1</v>
      </c>
      <c r="O162" s="6" cm="1">
        <f t="array" ref="O162">_xlfn.XLOOKUP(Table8[[#This Row],[Admin2PCODE]:[Admin2PCODE]],tblPiNAnalysis[[Admin2PCODE]:[Admin2PCODE]],tblPiNAnalysis[% NUT],0,0)</f>
        <v>0.05</v>
      </c>
      <c r="P162" s="6" cm="1">
        <f t="array" ref="P162">_xlfn.XLOOKUP(Table8[[#This Row],[Admin2PCODE]:[Admin2PCODE]],tblPiNAnalysis[[Admin2PCODE]:[Admin2PCODE]],tblPiNAnalysis[% SAL],0,0)</f>
        <v>0.35000000000000003</v>
      </c>
      <c r="Q162" s="6" cm="1">
        <f t="array" ref="Q162">_xlfn.XLOOKUP(Table8[[#This Row],[Admin2PCODE]:[Admin2PCODE]],tblPiNAnalysis[[Admin2PCODE]:[Admin2PCODE]],tblPiNAnalysis[% EDU],0,0)</f>
        <v>0.1</v>
      </c>
      <c r="R162" s="6" cm="1">
        <f t="array" ref="R162">_xlfn.XLOOKUP(Table8[[#This Row],[Admin2PCODE]:[Admin2PCODE]],tblPiNAnalysis[[Admin2PCODE]:[Admin2PCODE]],tblPiNAnalysis[% PRO],0,0)</f>
        <v>0.2</v>
      </c>
      <c r="S162" s="6" cm="1">
        <f t="array" ref="S162">_xlfn.XLOOKUP(Table8[[#This Row],[Admin2PCODE]:[Admin2PCODE]],tblPiNAnalysis[[Admin2PCODE]:[Admin2PCODE]],tblPiNAnalysis[% WASH],0,0)</f>
        <v>0</v>
      </c>
      <c r="T162" s="6" cm="1">
        <f t="array" ref="T162">_xlfn.XLOOKUP(Table8[[#This Row],[Admin2PCODE]:[Admin2PCODE]],tblPiNAnalysis[[Admin2PCODE]:[Admin2PCODE]],tblPiNAnalysis[% NNA],0,0)</f>
        <v>0.05</v>
      </c>
      <c r="U162" s="6" cm="1">
        <f t="array" ref="U162">_xlfn.XLOOKUP(Table8[[#This Row],[Admin2PCODE]:[Admin2PCODE]],tblPiNAnalysis[[Admin2PCODE]:[Admin2PCODE]],tblPiNAnalysis[% VBG],0,0)</f>
        <v>0.05</v>
      </c>
      <c r="V162" s="8" cm="1">
        <f t="array" ref="V162">_xlfn.XLOOKUP(Table8[[#This Row],[Admin2PCODE]:[Admin2PCODE]],tblPiNAnalysis[[Admin2PCODE]:[Admin2PCODE]],tblPiNAnalysis[PiN preliminar],0,0)</f>
        <v>371835.72</v>
      </c>
      <c r="W162" s="308" cm="1">
        <f t="array" ref="W162">_xlfn.XLOOKUP(Table8[[#This Row],[Admin2PCODE]],tblPiNAnalysis[Admin2PCODE],tblSeverityAnalysis[Severidad media],0,0)</f>
        <v>3.1666666666666665</v>
      </c>
      <c r="X162" s="42">
        <f>Table8[[#This Row],[Severidad media]]*6</f>
        <v>19</v>
      </c>
      <c r="Y162" s="6" cm="1">
        <f t="array" ref="Y162">_xlfn.XLOOKUP(Table8[[#This Row],[Admin2PCODE]],tblPiNAnalysis[Admin2PCODE],tblPiNAnalysis[% PiN Sectores más altos],0,0)</f>
        <v>0.36499999999999999</v>
      </c>
      <c r="Z162" s="42" cm="1">
        <f t="array" ref="Z162">_xlfn.XLOOKUP(Table8[[#This Row],[Admin2PCODE]:[Admin2PCODE]],tblPiNAnalysis[[Admin2PCODE]:[Admin2PCODE]],tblPiNAnalysis[Severidad],0,0)</f>
        <v>3</v>
      </c>
      <c r="AA162">
        <f>_xlfn.XLOOKUP(Table8[[#This Row],[Admin2PCODE]],tblSeverityAnalysis[Admin 2 Código P],tblSeverityAnalysis[Severidad Ttotal 2025],0,0)</f>
        <v>3</v>
      </c>
      <c r="AB162" t="str">
        <f>_xlfn.XLOOKUP(Table8[[#This Row],[Admin2PCODE]],tblSeverityAnalysis[Admin 2 Código P],tblSeverityAnalysis[Priorización Final 2025],0,0)</f>
        <v>No</v>
      </c>
      <c r="AC162">
        <v>6</v>
      </c>
      <c r="AD162" t="s">
        <v>1045</v>
      </c>
      <c r="AE162">
        <v>23</v>
      </c>
      <c r="AF162">
        <v>0</v>
      </c>
      <c r="AG162">
        <v>4</v>
      </c>
      <c r="AH162">
        <v>0</v>
      </c>
      <c r="AI162">
        <v>6</v>
      </c>
      <c r="AJ162">
        <v>8</v>
      </c>
      <c r="AK162">
        <v>0</v>
      </c>
      <c r="AL162">
        <v>7</v>
      </c>
      <c r="AM162">
        <v>12</v>
      </c>
      <c r="AN162">
        <v>1</v>
      </c>
      <c r="AO162" s="314">
        <f>Table8[[#This Row],[N° Clústeres con respuesta]]/Table8[[#This Row],[Org Total]]</f>
        <v>0.2608695652173913</v>
      </c>
      <c r="AP162" s="313">
        <v>167363</v>
      </c>
      <c r="AQ162" s="313">
        <v>16926</v>
      </c>
      <c r="AR162" s="312">
        <f>Table8[[#This Row],[Alcanzados Oct 2025]]/Table8[[#This Row],[Meta 2025]]</f>
        <v>0.10113346438579614</v>
      </c>
      <c r="AS162" s="423">
        <v>0</v>
      </c>
      <c r="AT162" s="423">
        <v>2275</v>
      </c>
      <c r="AU162" s="423">
        <v>0</v>
      </c>
      <c r="AV162" s="423">
        <v>6147</v>
      </c>
      <c r="AW162" s="423">
        <v>460</v>
      </c>
      <c r="AX162" s="423">
        <v>0</v>
      </c>
      <c r="AY162" s="423">
        <v>14968</v>
      </c>
      <c r="AZ162" s="423">
        <v>8409</v>
      </c>
      <c r="BA162" s="42">
        <v>466</v>
      </c>
    </row>
    <row r="163" spans="1:53">
      <c r="A163" t="s">
        <v>393</v>
      </c>
      <c r="B163" t="s">
        <v>394</v>
      </c>
      <c r="C163" t="s">
        <v>400</v>
      </c>
      <c r="D163" t="s">
        <v>401</v>
      </c>
      <c r="E163" s="8">
        <v>103280</v>
      </c>
      <c r="F163" s="8">
        <v>36625</v>
      </c>
      <c r="G163" s="8">
        <v>5174.8080732378194</v>
      </c>
      <c r="H163" s="8">
        <v>37697.199999999997</v>
      </c>
      <c r="I163" s="8">
        <v>7697.8646659721835</v>
      </c>
      <c r="J163" s="8">
        <v>24613.624208831036</v>
      </c>
      <c r="K163" s="8">
        <v>0</v>
      </c>
      <c r="L163" s="8">
        <v>7900.9733710347627</v>
      </c>
      <c r="M163" s="8">
        <v>8614.7684730908622</v>
      </c>
      <c r="N163" s="6" cm="1">
        <f t="array" ref="N163">_xlfn.XLOOKUP(Table8[[#This Row],[Admin2PCODE]:[Admin2PCODE]],tblPiNAnalysis[[Admin2PCODE]:[Admin2PCODE]],tblPiNAnalysis[% SAMV],0,0)</f>
        <v>0.35000000000000003</v>
      </c>
      <c r="O163" s="6" cm="1">
        <f t="array" ref="O163">_xlfn.XLOOKUP(Table8[[#This Row],[Admin2PCODE]:[Admin2PCODE]],tblPiNAnalysis[[Admin2PCODE]:[Admin2PCODE]],tblPiNAnalysis[% NUT],0,0)</f>
        <v>0.05</v>
      </c>
      <c r="P163" s="6" cm="1">
        <f t="array" ref="P163">_xlfn.XLOOKUP(Table8[[#This Row],[Admin2PCODE]:[Admin2PCODE]],tblPiNAnalysis[[Admin2PCODE]:[Admin2PCODE]],tblPiNAnalysis[% SAL],0,0)</f>
        <v>0.35000000000000003</v>
      </c>
      <c r="Q163" s="6" cm="1">
        <f t="array" ref="Q163">_xlfn.XLOOKUP(Table8[[#This Row],[Admin2PCODE]:[Admin2PCODE]],tblPiNAnalysis[[Admin2PCODE]:[Admin2PCODE]],tblPiNAnalysis[% EDU],0,0)</f>
        <v>0.05</v>
      </c>
      <c r="R163" s="6" cm="1">
        <f t="array" ref="R163">_xlfn.XLOOKUP(Table8[[#This Row],[Admin2PCODE]:[Admin2PCODE]],tblPiNAnalysis[[Admin2PCODE]:[Admin2PCODE]],tblPiNAnalysis[% PRO],0,0)</f>
        <v>0.25</v>
      </c>
      <c r="S163" s="6" cm="1">
        <f t="array" ref="S163">_xlfn.XLOOKUP(Table8[[#This Row],[Admin2PCODE]:[Admin2PCODE]],tblPiNAnalysis[[Admin2PCODE]:[Admin2PCODE]],tblPiNAnalysis[% WASH],0,0)</f>
        <v>0</v>
      </c>
      <c r="T163" s="6" cm="1">
        <f t="array" ref="T163">_xlfn.XLOOKUP(Table8[[#This Row],[Admin2PCODE]:[Admin2PCODE]],tblPiNAnalysis[[Admin2PCODE]:[Admin2PCODE]],tblPiNAnalysis[% NNA],0,0)</f>
        <v>0.1</v>
      </c>
      <c r="U163" s="6" cm="1">
        <f t="array" ref="U163">_xlfn.XLOOKUP(Table8[[#This Row],[Admin2PCODE]:[Admin2PCODE]],tblPiNAnalysis[[Admin2PCODE]:[Admin2PCODE]],tblPiNAnalysis[% VBG],0,0)</f>
        <v>0.1</v>
      </c>
      <c r="V163" s="8" cm="1">
        <f t="array" ref="V163">_xlfn.XLOOKUP(Table8[[#This Row],[Admin2PCODE]:[Admin2PCODE]],tblPiNAnalysis[[Admin2PCODE]:[Admin2PCODE]],tblPiNAnalysis[PiN preliminar],0,0)</f>
        <v>37697.199999999997</v>
      </c>
      <c r="W163" s="308" cm="1">
        <f t="array" ref="W163">_xlfn.XLOOKUP(Table8[[#This Row],[Admin2PCODE]],tblPiNAnalysis[Admin2PCODE],tblSeverityAnalysis[Severidad media],0,0)</f>
        <v>2.5</v>
      </c>
      <c r="X163" s="42">
        <f>Table8[[#This Row],[Severidad media]]*6</f>
        <v>15</v>
      </c>
      <c r="Y163" s="6" cm="1">
        <f t="array" ref="Y163">_xlfn.XLOOKUP(Table8[[#This Row],[Admin2PCODE]],tblPiNAnalysis[Admin2PCODE],tblPiNAnalysis[% PiN Sectores más altos],0,0)</f>
        <v>0.36499999999999999</v>
      </c>
      <c r="Z163" s="42" cm="1">
        <f t="array" ref="Z163">_xlfn.XLOOKUP(Table8[[#This Row],[Admin2PCODE]:[Admin2PCODE]],tblPiNAnalysis[[Admin2PCODE]:[Admin2PCODE]],tblPiNAnalysis[Severidad],0,0)</f>
        <v>3</v>
      </c>
      <c r="AA163">
        <f>_xlfn.XLOOKUP(Table8[[#This Row],[Admin2PCODE]],tblSeverityAnalysis[Admin 2 Código P],tblSeverityAnalysis[Severidad Ttotal 2025],0,0)</f>
        <v>3</v>
      </c>
      <c r="AB163" t="str">
        <f>_xlfn.XLOOKUP(Table8[[#This Row],[Admin2PCODE]],tblSeverityAnalysis[Admin 2 Código P],tblSeverityAnalysis[Priorización Final 2025],0,0)</f>
        <v>No</v>
      </c>
      <c r="AC163">
        <v>1</v>
      </c>
      <c r="AD163" t="s">
        <v>94</v>
      </c>
      <c r="AE163">
        <v>1</v>
      </c>
      <c r="AF163">
        <v>0</v>
      </c>
      <c r="AG163">
        <v>0</v>
      </c>
      <c r="AH163">
        <v>0</v>
      </c>
      <c r="AI163">
        <v>0</v>
      </c>
      <c r="AJ163">
        <v>0</v>
      </c>
      <c r="AK163">
        <v>0</v>
      </c>
      <c r="AL163">
        <v>0</v>
      </c>
      <c r="AM163">
        <v>1</v>
      </c>
      <c r="AN163">
        <v>0</v>
      </c>
      <c r="AO163" s="314">
        <f>Table8[[#This Row],[N° Clústeres con respuesta]]/Table8[[#This Row],[Org Total]]</f>
        <v>1</v>
      </c>
      <c r="AP163" s="313">
        <v>24112</v>
      </c>
      <c r="AQ163" s="313">
        <v>51</v>
      </c>
      <c r="AR163" s="312">
        <f>Table8[[#This Row],[Alcanzados Oct 2025]]/Table8[[#This Row],[Meta 2025]]</f>
        <v>2.1151293961512939E-3</v>
      </c>
      <c r="AS163" s="423">
        <v>0</v>
      </c>
      <c r="AT163" s="423">
        <v>0</v>
      </c>
      <c r="AU163" s="423">
        <v>0</v>
      </c>
      <c r="AV163" s="423">
        <v>0</v>
      </c>
      <c r="AW163" s="423">
        <v>0</v>
      </c>
      <c r="AX163" s="423">
        <v>0</v>
      </c>
      <c r="AY163" s="423">
        <v>0</v>
      </c>
      <c r="AZ163" s="423">
        <v>51</v>
      </c>
      <c r="BA163" s="42">
        <v>0</v>
      </c>
    </row>
    <row r="164" spans="1:53">
      <c r="A164" t="s">
        <v>393</v>
      </c>
      <c r="B164" t="s">
        <v>394</v>
      </c>
      <c r="C164" t="s">
        <v>402</v>
      </c>
      <c r="D164" t="s">
        <v>403</v>
      </c>
      <c r="E164" s="8">
        <v>126675</v>
      </c>
      <c r="F164" s="8">
        <v>16538</v>
      </c>
      <c r="G164" s="8">
        <v>4123.4214478426702</v>
      </c>
      <c r="H164" s="8">
        <v>46236.375</v>
      </c>
      <c r="I164" s="8">
        <v>8754.3366301038095</v>
      </c>
      <c r="J164" s="8">
        <v>30189.105796414318</v>
      </c>
      <c r="K164" s="8">
        <v>8550.5625</v>
      </c>
      <c r="L164" s="8">
        <v>9690.7029606489959</v>
      </c>
      <c r="M164" s="8">
        <v>10566.187028745009</v>
      </c>
      <c r="N164" s="6" cm="1">
        <f t="array" ref="N164">_xlfn.XLOOKUP(Table8[[#This Row],[Admin2PCODE]:[Admin2PCODE]],tblPiNAnalysis[[Admin2PCODE]:[Admin2PCODE]],tblPiNAnalysis[% SAMV],0,0)</f>
        <v>0.15000000000000002</v>
      </c>
      <c r="O164" s="6" cm="1">
        <f t="array" ref="O164">_xlfn.XLOOKUP(Table8[[#This Row],[Admin2PCODE]:[Admin2PCODE]],tblPiNAnalysis[[Admin2PCODE]:[Admin2PCODE]],tblPiNAnalysis[% NUT],0,0)</f>
        <v>0.05</v>
      </c>
      <c r="P164" s="6" cm="1">
        <f t="array" ref="P164">_xlfn.XLOOKUP(Table8[[#This Row],[Admin2PCODE]:[Admin2PCODE]],tblPiNAnalysis[[Admin2PCODE]:[Admin2PCODE]],tblPiNAnalysis[% SAL],0,0)</f>
        <v>0.35000000000000003</v>
      </c>
      <c r="Q164" s="6" cm="1">
        <f t="array" ref="Q164">_xlfn.XLOOKUP(Table8[[#This Row],[Admin2PCODE]:[Admin2PCODE]],tblPiNAnalysis[[Admin2PCODE]:[Admin2PCODE]],tblPiNAnalysis[% EDU],0,0)</f>
        <v>0.05</v>
      </c>
      <c r="R164" s="6" cm="1">
        <f t="array" ref="R164">_xlfn.XLOOKUP(Table8[[#This Row],[Admin2PCODE]:[Admin2PCODE]],tblPiNAnalysis[[Admin2PCODE]:[Admin2PCODE]],tblPiNAnalysis[% PRO],0,0)</f>
        <v>0.25</v>
      </c>
      <c r="S164" s="6" cm="1">
        <f t="array" ref="S164">_xlfn.XLOOKUP(Table8[[#This Row],[Admin2PCODE]:[Admin2PCODE]],tblPiNAnalysis[[Admin2PCODE]:[Admin2PCODE]],tblPiNAnalysis[% WASH],0,0)</f>
        <v>0.05</v>
      </c>
      <c r="T164" s="6" cm="1">
        <f t="array" ref="T164">_xlfn.XLOOKUP(Table8[[#This Row],[Admin2PCODE]:[Admin2PCODE]],tblPiNAnalysis[[Admin2PCODE]:[Admin2PCODE]],tblPiNAnalysis[% NNA],0,0)</f>
        <v>0.1</v>
      </c>
      <c r="U164" s="6" cm="1">
        <f t="array" ref="U164">_xlfn.XLOOKUP(Table8[[#This Row],[Admin2PCODE]:[Admin2PCODE]],tblPiNAnalysis[[Admin2PCODE]:[Admin2PCODE]],tblPiNAnalysis[% VBG],0,0)</f>
        <v>0.1</v>
      </c>
      <c r="V164" s="8" cm="1">
        <f t="array" ref="V164">_xlfn.XLOOKUP(Table8[[#This Row],[Admin2PCODE]:[Admin2PCODE]],tblPiNAnalysis[[Admin2PCODE]:[Admin2PCODE]],tblPiNAnalysis[PiN preliminar],0,0)</f>
        <v>46236.375</v>
      </c>
      <c r="W164" s="308" cm="1">
        <f t="array" ref="W164">_xlfn.XLOOKUP(Table8[[#This Row],[Admin2PCODE]],tblPiNAnalysis[Admin2PCODE],tblSeverityAnalysis[Severidad media],0,0)</f>
        <v>2.5</v>
      </c>
      <c r="X164" s="42">
        <f>Table8[[#This Row],[Severidad media]]*6</f>
        <v>15</v>
      </c>
      <c r="Y164" s="6" cm="1">
        <f t="array" ref="Y164">_xlfn.XLOOKUP(Table8[[#This Row],[Admin2PCODE]],tblPiNAnalysis[Admin2PCODE],tblPiNAnalysis[% PiN Sectores más altos],0,0)</f>
        <v>0.36499999999999999</v>
      </c>
      <c r="Z164" s="42" cm="1">
        <f t="array" ref="Z164">_xlfn.XLOOKUP(Table8[[#This Row],[Admin2PCODE]:[Admin2PCODE]],tblPiNAnalysis[[Admin2PCODE]:[Admin2PCODE]],tblPiNAnalysis[Severidad],0,0)</f>
        <v>3</v>
      </c>
      <c r="AA164">
        <f>_xlfn.XLOOKUP(Table8[[#This Row],[Admin2PCODE]],tblSeverityAnalysis[Admin 2 Código P],tblSeverityAnalysis[Severidad Ttotal 2025],0,0)</f>
        <v>3</v>
      </c>
      <c r="AB164" t="str">
        <f>_xlfn.XLOOKUP(Table8[[#This Row],[Admin2PCODE]],tblSeverityAnalysis[Admin 2 Código P],tblSeverityAnalysis[Priorización Final 2025],0,0)</f>
        <v>No</v>
      </c>
      <c r="AC164">
        <v>3</v>
      </c>
      <c r="AD164" t="s">
        <v>1046</v>
      </c>
      <c r="AE164">
        <v>7</v>
      </c>
      <c r="AF164">
        <v>0</v>
      </c>
      <c r="AG164">
        <v>0</v>
      </c>
      <c r="AH164">
        <v>0</v>
      </c>
      <c r="AI164">
        <v>0</v>
      </c>
      <c r="AJ164">
        <v>2</v>
      </c>
      <c r="AK164">
        <v>0</v>
      </c>
      <c r="AL164">
        <v>3</v>
      </c>
      <c r="AM164">
        <v>2</v>
      </c>
      <c r="AN164">
        <v>0</v>
      </c>
      <c r="AO164" s="314">
        <f>Table8[[#This Row],[N° Clústeres con respuesta]]/Table8[[#This Row],[Org Total]]</f>
        <v>0.42857142857142855</v>
      </c>
      <c r="AP164" s="313">
        <v>29576</v>
      </c>
      <c r="AQ164" s="313">
        <v>57</v>
      </c>
      <c r="AR164" s="312">
        <f>Table8[[#This Row],[Alcanzados Oct 2025]]/Table8[[#This Row],[Meta 2025]]</f>
        <v>1.927238301325399E-3</v>
      </c>
      <c r="AS164" s="423">
        <v>0</v>
      </c>
      <c r="AT164" s="423">
        <v>0</v>
      </c>
      <c r="AU164" s="423">
        <v>0</v>
      </c>
      <c r="AV164" s="423">
        <v>0</v>
      </c>
      <c r="AW164" s="423">
        <v>8</v>
      </c>
      <c r="AX164" s="423">
        <v>0</v>
      </c>
      <c r="AY164" s="423">
        <v>53</v>
      </c>
      <c r="AZ164" s="423">
        <v>19</v>
      </c>
      <c r="BA164" s="42">
        <v>0</v>
      </c>
    </row>
    <row r="165" spans="1:53">
      <c r="A165" t="s">
        <v>393</v>
      </c>
      <c r="B165" t="s">
        <v>394</v>
      </c>
      <c r="C165" t="s">
        <v>404</v>
      </c>
      <c r="D165" t="s">
        <v>405</v>
      </c>
      <c r="E165" s="8">
        <v>178035</v>
      </c>
      <c r="F165" s="8">
        <v>44156</v>
      </c>
      <c r="G165" s="8">
        <v>5023.1804908069553</v>
      </c>
      <c r="H165" s="8">
        <v>64982.775000000001</v>
      </c>
      <c r="I165" s="8">
        <v>26944.260546227328</v>
      </c>
      <c r="J165" s="8">
        <v>21214.594239055157</v>
      </c>
      <c r="K165" s="8">
        <v>0</v>
      </c>
      <c r="L165" s="8">
        <v>6788.6701564976502</v>
      </c>
      <c r="M165" s="8">
        <v>7425.1079836693043</v>
      </c>
      <c r="N165" s="6" cm="1">
        <f t="array" ref="N165">_xlfn.XLOOKUP(Table8[[#This Row],[Admin2PCODE]:[Admin2PCODE]],tblPiNAnalysis[[Admin2PCODE]:[Admin2PCODE]],tblPiNAnalysis[% SAMV],0,0)</f>
        <v>0.25</v>
      </c>
      <c r="O165" s="6" cm="1">
        <f t="array" ref="O165">_xlfn.XLOOKUP(Table8[[#This Row],[Admin2PCODE]:[Admin2PCODE]],tblPiNAnalysis[[Admin2PCODE]:[Admin2PCODE]],tblPiNAnalysis[% NUT],0,0)</f>
        <v>0.05</v>
      </c>
      <c r="P165" s="6" cm="1">
        <f t="array" ref="P165">_xlfn.XLOOKUP(Table8[[#This Row],[Admin2PCODE]:[Admin2PCODE]],tblPiNAnalysis[[Admin2PCODE]:[Admin2PCODE]],tblPiNAnalysis[% SAL],0,0)</f>
        <v>0.35000000000000003</v>
      </c>
      <c r="Q165" s="6" cm="1">
        <f t="array" ref="Q165">_xlfn.XLOOKUP(Table8[[#This Row],[Admin2PCODE]:[Admin2PCODE]],tblPiNAnalysis[[Admin2PCODE]:[Admin2PCODE]],tblPiNAnalysis[% EDU],0,0)</f>
        <v>0.15000000000000002</v>
      </c>
      <c r="R165" s="6" cm="1">
        <f t="array" ref="R165">_xlfn.XLOOKUP(Table8[[#This Row],[Admin2PCODE]:[Admin2PCODE]],tblPiNAnalysis[[Admin2PCODE]:[Admin2PCODE]],tblPiNAnalysis[% PRO],0,0)</f>
        <v>0.1</v>
      </c>
      <c r="S165" s="6" cm="1">
        <f t="array" ref="S165">_xlfn.XLOOKUP(Table8[[#This Row],[Admin2PCODE]:[Admin2PCODE]],tblPiNAnalysis[[Admin2PCODE]:[Admin2PCODE]],tblPiNAnalysis[% WASH],0,0)</f>
        <v>0</v>
      </c>
      <c r="T165" s="6" cm="1">
        <f t="array" ref="T165">_xlfn.XLOOKUP(Table8[[#This Row],[Admin2PCODE]:[Admin2PCODE]],tblPiNAnalysis[[Admin2PCODE]:[Admin2PCODE]],tblPiNAnalysis[% NNA],0,0)</f>
        <v>0.05</v>
      </c>
      <c r="U165" s="6" cm="1">
        <f t="array" ref="U165">_xlfn.XLOOKUP(Table8[[#This Row],[Admin2PCODE]:[Admin2PCODE]],tblPiNAnalysis[[Admin2PCODE]:[Admin2PCODE]],tblPiNAnalysis[% VBG],0,0)</f>
        <v>0.05</v>
      </c>
      <c r="V165" s="8" cm="1">
        <f t="array" ref="V165">_xlfn.XLOOKUP(Table8[[#This Row],[Admin2PCODE]:[Admin2PCODE]],tblPiNAnalysis[[Admin2PCODE]:[Admin2PCODE]],tblPiNAnalysis[PiN preliminar],0,0)</f>
        <v>0</v>
      </c>
      <c r="W165" s="308" cm="1">
        <f t="array" ref="W165">_xlfn.XLOOKUP(Table8[[#This Row],[Admin2PCODE]],tblPiNAnalysis[Admin2PCODE],tblSeverityAnalysis[Severidad media],0,0)</f>
        <v>3.5</v>
      </c>
      <c r="X165" s="42">
        <f>Table8[[#This Row],[Severidad media]]*6</f>
        <v>21</v>
      </c>
      <c r="Y165" s="6" cm="1">
        <f t="array" ref="Y165">_xlfn.XLOOKUP(Table8[[#This Row],[Admin2PCODE]],tblPiNAnalysis[Admin2PCODE],tblPiNAnalysis[% PiN Sectores más altos],0,0)</f>
        <v>0.36499999999999999</v>
      </c>
      <c r="Z165" s="42" cm="1">
        <f t="array" ref="Z165">_xlfn.XLOOKUP(Table8[[#This Row],[Admin2PCODE]:[Admin2PCODE]],tblPiNAnalysis[[Admin2PCODE]:[Admin2PCODE]],tblPiNAnalysis[Severidad],0,0)</f>
        <v>2</v>
      </c>
      <c r="AA165">
        <f>_xlfn.XLOOKUP(Table8[[#This Row],[Admin2PCODE]],tblSeverityAnalysis[Admin 2 Código P],tblSeverityAnalysis[Severidad Ttotal 2025],0,0)</f>
        <v>3</v>
      </c>
      <c r="AB165" t="str">
        <f>_xlfn.XLOOKUP(Table8[[#This Row],[Admin2PCODE]],tblSeverityAnalysis[Admin 2 Código P],tblSeverityAnalysis[Priorización Final 2025],0,0)</f>
        <v>No</v>
      </c>
      <c r="AC165">
        <v>5</v>
      </c>
      <c r="AD165" t="s">
        <v>1006</v>
      </c>
      <c r="AE165">
        <v>7</v>
      </c>
      <c r="AF165">
        <v>0</v>
      </c>
      <c r="AG165">
        <v>1</v>
      </c>
      <c r="AH165">
        <v>0</v>
      </c>
      <c r="AI165">
        <v>1</v>
      </c>
      <c r="AJ165">
        <v>5</v>
      </c>
      <c r="AK165">
        <v>0</v>
      </c>
      <c r="AL165">
        <v>4</v>
      </c>
      <c r="AM165">
        <v>2</v>
      </c>
      <c r="AN165">
        <v>0</v>
      </c>
      <c r="AO165" s="314">
        <f>Table8[[#This Row],[N° Clústeres con respuesta]]/Table8[[#This Row],[Org Total]]</f>
        <v>0.7142857142857143</v>
      </c>
      <c r="AP165" s="313">
        <v>41565</v>
      </c>
      <c r="AQ165" s="313">
        <v>5095</v>
      </c>
      <c r="AR165" s="312">
        <f>Table8[[#This Row],[Alcanzados Oct 2025]]/Table8[[#This Row],[Meta 2025]]</f>
        <v>0.122579092986888</v>
      </c>
      <c r="AS165" s="423">
        <v>0</v>
      </c>
      <c r="AT165" s="423">
        <v>753</v>
      </c>
      <c r="AU165" s="423">
        <v>0</v>
      </c>
      <c r="AV165" s="423">
        <v>1974</v>
      </c>
      <c r="AW165" s="423">
        <v>45</v>
      </c>
      <c r="AX165" s="423">
        <v>0</v>
      </c>
      <c r="AY165" s="423">
        <v>3548</v>
      </c>
      <c r="AZ165" s="423">
        <v>1413</v>
      </c>
      <c r="BA165" s="42">
        <v>0</v>
      </c>
    </row>
    <row r="166" spans="1:53">
      <c r="A166" t="s">
        <v>393</v>
      </c>
      <c r="B166" t="s">
        <v>394</v>
      </c>
      <c r="C166" t="s">
        <v>830</v>
      </c>
      <c r="D166" t="s">
        <v>407</v>
      </c>
      <c r="E166" s="8">
        <v>36605</v>
      </c>
      <c r="F166" s="8">
        <v>3589</v>
      </c>
      <c r="G166" s="8">
        <v>1189.1478528783309</v>
      </c>
      <c r="H166" s="8">
        <v>14200</v>
      </c>
      <c r="I166" s="8">
        <v>2387.1514870308474</v>
      </c>
      <c r="J166" s="8">
        <v>7269.7336864531699</v>
      </c>
      <c r="K166" s="8">
        <v>0</v>
      </c>
      <c r="L166" s="8">
        <v>2333.5845133514676</v>
      </c>
      <c r="M166" s="8">
        <v>2544.4067902586098</v>
      </c>
      <c r="N166" s="6" cm="1">
        <f t="array" ref="N166">_xlfn.XLOOKUP(Table8[[#This Row],[Admin2PCODE]:[Admin2PCODE]],tblPiNAnalysis[[Admin2PCODE]:[Admin2PCODE]],tblPiNAnalysis[% SAMV],0,0)</f>
        <v>0.1</v>
      </c>
      <c r="O166" s="6" cm="1">
        <f t="array" ref="O166">_xlfn.XLOOKUP(Table8[[#This Row],[Admin2PCODE]:[Admin2PCODE]],tblPiNAnalysis[[Admin2PCODE]:[Admin2PCODE]],tblPiNAnalysis[% NUT],0,0)</f>
        <v>0.05</v>
      </c>
      <c r="P166" s="6" cm="1">
        <f t="array" ref="P166">_xlfn.XLOOKUP(Table8[[#This Row],[Admin2PCODE]:[Admin2PCODE]],tblPiNAnalysis[[Admin2PCODE]:[Admin2PCODE]],tblPiNAnalysis[% SAL],0,0)</f>
        <v>0.4</v>
      </c>
      <c r="Q166" s="6" cm="1">
        <f t="array" ref="Q166">_xlfn.XLOOKUP(Table8[[#This Row],[Admin2PCODE]:[Admin2PCODE]],tblPiNAnalysis[[Admin2PCODE]:[Admin2PCODE]],tblPiNAnalysis[% EDU],0,0)</f>
        <v>0.05</v>
      </c>
      <c r="R166" s="6" cm="1">
        <f t="array" ref="R166">_xlfn.XLOOKUP(Table8[[#This Row],[Admin2PCODE]:[Admin2PCODE]],tblPiNAnalysis[[Admin2PCODE]:[Admin2PCODE]],tblPiNAnalysis[% PRO],0,0)</f>
        <v>0.2</v>
      </c>
      <c r="S166" s="6" cm="1">
        <f t="array" ref="S166">_xlfn.XLOOKUP(Table8[[#This Row],[Admin2PCODE]:[Admin2PCODE]],tblPiNAnalysis[[Admin2PCODE]:[Admin2PCODE]],tblPiNAnalysis[% WASH],0,0)</f>
        <v>0</v>
      </c>
      <c r="T166" s="6" cm="1">
        <f t="array" ref="T166">_xlfn.XLOOKUP(Table8[[#This Row],[Admin2PCODE]:[Admin2PCODE]],tblPiNAnalysis[[Admin2PCODE]:[Admin2PCODE]],tblPiNAnalysis[% NNA],0,0)</f>
        <v>0.05</v>
      </c>
      <c r="U166" s="6" cm="1">
        <f t="array" ref="U166">_xlfn.XLOOKUP(Table8[[#This Row],[Admin2PCODE]:[Admin2PCODE]],tblPiNAnalysis[[Admin2PCODE]:[Admin2PCODE]],tblPiNAnalysis[% VBG],0,0)</f>
        <v>0.05</v>
      </c>
      <c r="V166" s="8" cm="1">
        <f t="array" ref="V166">_xlfn.XLOOKUP(Table8[[#This Row],[Admin2PCODE]:[Admin2PCODE]],tblPiNAnalysis[[Admin2PCODE]:[Admin2PCODE]],tblPiNAnalysis[PiN preliminar],0,0)</f>
        <v>0</v>
      </c>
      <c r="W166" s="308" cm="1">
        <f t="array" ref="W166">_xlfn.XLOOKUP(Table8[[#This Row],[Admin2PCODE]],tblPiNAnalysis[Admin2PCODE],tblSeverityAnalysis[Severidad media],0,0)</f>
        <v>2.6666666666666665</v>
      </c>
      <c r="X166" s="42">
        <f>Table8[[#This Row],[Severidad media]]*6</f>
        <v>16</v>
      </c>
      <c r="Y166" s="6" cm="1">
        <f t="array" ref="Y166">_xlfn.XLOOKUP(Table8[[#This Row],[Admin2PCODE]],tblPiNAnalysis[Admin2PCODE],tblPiNAnalysis[% PiN Sectores más altos],0,0)</f>
        <v>0.38792514683786367</v>
      </c>
      <c r="Z166" s="42" cm="1">
        <f t="array" ref="Z166">_xlfn.XLOOKUP(Table8[[#This Row],[Admin2PCODE]:[Admin2PCODE]],tblPiNAnalysis[[Admin2PCODE]:[Admin2PCODE]],tblPiNAnalysis[Severidad],0,0)</f>
        <v>2</v>
      </c>
      <c r="AA166">
        <f>_xlfn.XLOOKUP(Table8[[#This Row],[Admin2PCODE]],tblSeverityAnalysis[Admin 2 Código P],tblSeverityAnalysis[Severidad Ttotal 2025],0,0)</f>
        <v>3</v>
      </c>
      <c r="AB166" t="str">
        <f>_xlfn.XLOOKUP(Table8[[#This Row],[Admin2PCODE]],tblSeverityAnalysis[Admin 2 Código P],tblSeverityAnalysis[Priorización Final 2025],0,0)</f>
        <v>No</v>
      </c>
      <c r="AC166">
        <v>1</v>
      </c>
      <c r="AD166" t="s">
        <v>94</v>
      </c>
      <c r="AE166">
        <v>1</v>
      </c>
      <c r="AF166">
        <v>0</v>
      </c>
      <c r="AG166">
        <v>0</v>
      </c>
      <c r="AH166">
        <v>0</v>
      </c>
      <c r="AI166">
        <v>0</v>
      </c>
      <c r="AJ166">
        <v>0</v>
      </c>
      <c r="AK166">
        <v>0</v>
      </c>
      <c r="AL166">
        <v>0</v>
      </c>
      <c r="AM166">
        <v>1</v>
      </c>
      <c r="AN166">
        <v>0</v>
      </c>
      <c r="AO166" s="314">
        <f>Table8[[#This Row],[N° Clústeres con respuesta]]/Table8[[#This Row],[Org Total]]</f>
        <v>1</v>
      </c>
      <c r="AP166" s="313">
        <v>8213</v>
      </c>
      <c r="AQ166" s="313">
        <v>4</v>
      </c>
      <c r="AR166" s="312">
        <f>Table8[[#This Row],[Alcanzados Oct 2025]]/Table8[[#This Row],[Meta 2025]]</f>
        <v>4.8703275295263604E-4</v>
      </c>
      <c r="AS166" s="423">
        <v>0</v>
      </c>
      <c r="AT166" s="423">
        <v>0</v>
      </c>
      <c r="AU166" s="423">
        <v>0</v>
      </c>
      <c r="AV166" s="423">
        <v>0</v>
      </c>
      <c r="AW166" s="423">
        <v>0</v>
      </c>
      <c r="AX166" s="423">
        <v>0</v>
      </c>
      <c r="AY166" s="423">
        <v>0</v>
      </c>
      <c r="AZ166" s="423">
        <v>4</v>
      </c>
      <c r="BA166" s="42">
        <v>0</v>
      </c>
    </row>
    <row r="167" spans="1:53">
      <c r="A167" t="s">
        <v>393</v>
      </c>
      <c r="B167" t="s">
        <v>394</v>
      </c>
      <c r="C167" t="s">
        <v>408</v>
      </c>
      <c r="D167" t="s">
        <v>409</v>
      </c>
      <c r="E167" s="8">
        <v>189462</v>
      </c>
      <c r="F167" s="8">
        <v>54312</v>
      </c>
      <c r="G167" s="8">
        <v>5970.6197077205234</v>
      </c>
      <c r="H167" s="8">
        <v>69153.63</v>
      </c>
      <c r="I167" s="8">
        <v>15525.041553659696</v>
      </c>
      <c r="J167" s="8">
        <v>22576.231941583777</v>
      </c>
      <c r="K167" s="8">
        <v>12788.685000000001</v>
      </c>
      <c r="L167" s="8">
        <v>7224.3942213068094</v>
      </c>
      <c r="M167" s="8">
        <v>7901.6811795543217</v>
      </c>
      <c r="N167" s="6" cm="1">
        <f t="array" ref="N167">_xlfn.XLOOKUP(Table8[[#This Row],[Admin2PCODE]:[Admin2PCODE]],tblPiNAnalysis[[Admin2PCODE]:[Admin2PCODE]],tblPiNAnalysis[% SAMV],0,0)</f>
        <v>0.30000000000000004</v>
      </c>
      <c r="O167" s="6" cm="1">
        <f t="array" ref="O167">_xlfn.XLOOKUP(Table8[[#This Row],[Admin2PCODE]:[Admin2PCODE]],tblPiNAnalysis[[Admin2PCODE]:[Admin2PCODE]],tblPiNAnalysis[% NUT],0,0)</f>
        <v>0.05</v>
      </c>
      <c r="P167" s="6" cm="1">
        <f t="array" ref="P167">_xlfn.XLOOKUP(Table8[[#This Row],[Admin2PCODE]:[Admin2PCODE]],tblPiNAnalysis[[Admin2PCODE]:[Admin2PCODE]],tblPiNAnalysis[% SAL],0,0)</f>
        <v>0.35000000000000003</v>
      </c>
      <c r="Q167" s="6" cm="1">
        <f t="array" ref="Q167">_xlfn.XLOOKUP(Table8[[#This Row],[Admin2PCODE]:[Admin2PCODE]],tblPiNAnalysis[[Admin2PCODE]:[Admin2PCODE]],tblPiNAnalysis[% EDU],0,0)</f>
        <v>0.1</v>
      </c>
      <c r="R167" s="6" cm="1">
        <f t="array" ref="R167">_xlfn.XLOOKUP(Table8[[#This Row],[Admin2PCODE]:[Admin2PCODE]],tblPiNAnalysis[[Admin2PCODE]:[Admin2PCODE]],tblPiNAnalysis[% PRO],0,0)</f>
        <v>0.1</v>
      </c>
      <c r="S167" s="6" cm="1">
        <f t="array" ref="S167">_xlfn.XLOOKUP(Table8[[#This Row],[Admin2PCODE]:[Admin2PCODE]],tblPiNAnalysis[[Admin2PCODE]:[Admin2PCODE]],tblPiNAnalysis[% WASH],0,0)</f>
        <v>0.05</v>
      </c>
      <c r="T167" s="6" cm="1">
        <f t="array" ref="T167">_xlfn.XLOOKUP(Table8[[#This Row],[Admin2PCODE]:[Admin2PCODE]],tblPiNAnalysis[[Admin2PCODE]:[Admin2PCODE]],tblPiNAnalysis[% NNA],0,0)</f>
        <v>0.05</v>
      </c>
      <c r="U167" s="6" cm="1">
        <f t="array" ref="U167">_xlfn.XLOOKUP(Table8[[#This Row],[Admin2PCODE]:[Admin2PCODE]],tblPiNAnalysis[[Admin2PCODE]:[Admin2PCODE]],tblPiNAnalysis[% VBG],0,0)</f>
        <v>0.05</v>
      </c>
      <c r="V167" s="8" cm="1">
        <f t="array" ref="V167">_xlfn.XLOOKUP(Table8[[#This Row],[Admin2PCODE]:[Admin2PCODE]],tblPiNAnalysis[[Admin2PCODE]:[Admin2PCODE]],tblPiNAnalysis[PiN preliminar],0,0)</f>
        <v>69153.63</v>
      </c>
      <c r="W167" s="308" cm="1">
        <f t="array" ref="W167">_xlfn.XLOOKUP(Table8[[#This Row],[Admin2PCODE]],tblPiNAnalysis[Admin2PCODE],tblSeverityAnalysis[Severidad media],0,0)</f>
        <v>2.8333333333333335</v>
      </c>
      <c r="X167" s="42">
        <f>Table8[[#This Row],[Severidad media]]*6</f>
        <v>17</v>
      </c>
      <c r="Y167" s="6" cm="1">
        <f t="array" ref="Y167">_xlfn.XLOOKUP(Table8[[#This Row],[Admin2PCODE]],tblPiNAnalysis[Admin2PCODE],tblPiNAnalysis[% PiN Sectores más altos],0,0)</f>
        <v>0.36500000000000005</v>
      </c>
      <c r="Z167" s="42" cm="1">
        <f t="array" ref="Z167">_xlfn.XLOOKUP(Table8[[#This Row],[Admin2PCODE]:[Admin2PCODE]],tblPiNAnalysis[[Admin2PCODE]:[Admin2PCODE]],tblPiNAnalysis[Severidad],0,0)</f>
        <v>3</v>
      </c>
      <c r="AA167">
        <f>_xlfn.XLOOKUP(Table8[[#This Row],[Admin2PCODE]],tblSeverityAnalysis[Admin 2 Código P],tblSeverityAnalysis[Severidad Ttotal 2025],0,0)</f>
        <v>3</v>
      </c>
      <c r="AB167" t="str">
        <f>_xlfn.XLOOKUP(Table8[[#This Row],[Admin2PCODE]],tblSeverityAnalysis[Admin 2 Código P],tblSeverityAnalysis[Priorización Final 2025],0,0)</f>
        <v>No</v>
      </c>
      <c r="AC167">
        <v>6</v>
      </c>
      <c r="AD167" t="s">
        <v>1047</v>
      </c>
      <c r="AE167">
        <v>9</v>
      </c>
      <c r="AF167">
        <v>0</v>
      </c>
      <c r="AG167">
        <v>1</v>
      </c>
      <c r="AH167">
        <v>1</v>
      </c>
      <c r="AI167">
        <v>2</v>
      </c>
      <c r="AJ167">
        <v>5</v>
      </c>
      <c r="AK167">
        <v>0</v>
      </c>
      <c r="AL167">
        <v>2</v>
      </c>
      <c r="AM167">
        <v>2</v>
      </c>
      <c r="AN167">
        <v>0</v>
      </c>
      <c r="AO167" s="314">
        <f>Table8[[#This Row],[N° Clústeres con respuesta]]/Table8[[#This Row],[Org Total]]</f>
        <v>0.66666666666666663</v>
      </c>
      <c r="AP167" s="313">
        <v>34219</v>
      </c>
      <c r="AQ167" s="313">
        <v>3384</v>
      </c>
      <c r="AR167" s="312">
        <f>Table8[[#This Row],[Alcanzados Oct 2025]]/Table8[[#This Row],[Meta 2025]]</f>
        <v>9.8892428183173092E-2</v>
      </c>
      <c r="AS167" s="423">
        <v>0</v>
      </c>
      <c r="AT167" s="423">
        <v>2904</v>
      </c>
      <c r="AU167" s="423">
        <v>652</v>
      </c>
      <c r="AV167" s="423">
        <v>292</v>
      </c>
      <c r="AW167" s="423">
        <v>126</v>
      </c>
      <c r="AX167" s="423">
        <v>0</v>
      </c>
      <c r="AY167" s="423">
        <v>1300</v>
      </c>
      <c r="AZ167" s="423">
        <v>15</v>
      </c>
      <c r="BA167" s="42">
        <v>0</v>
      </c>
    </row>
    <row r="168" spans="1:53">
      <c r="A168" t="s">
        <v>411</v>
      </c>
      <c r="B168" t="s">
        <v>412</v>
      </c>
      <c r="C168" t="s">
        <v>413</v>
      </c>
      <c r="D168" t="s">
        <v>414</v>
      </c>
      <c r="E168" s="8">
        <v>135683</v>
      </c>
      <c r="F168" s="8">
        <v>32790</v>
      </c>
      <c r="G168" s="8">
        <v>5774.6494437724832</v>
      </c>
      <c r="H168" s="8">
        <v>49524.294999999998</v>
      </c>
      <c r="I168" s="8">
        <v>15747.790952202507</v>
      </c>
      <c r="J168" s="8">
        <v>22696.049440500428</v>
      </c>
      <c r="K168" s="8">
        <v>18317.204999999998</v>
      </c>
      <c r="L168" s="8">
        <v>7262.7358209601371</v>
      </c>
      <c r="M168" s="8">
        <v>7943.617304175149</v>
      </c>
      <c r="N168" s="6" cm="1">
        <f t="array" ref="N168">_xlfn.XLOOKUP(Table8[[#This Row],[Admin2PCODE]:[Admin2PCODE]],tblPiNAnalysis[[Admin2PCODE]:[Admin2PCODE]],tblPiNAnalysis[% SAMV],0,0)</f>
        <v>0.25</v>
      </c>
      <c r="O168" s="6" cm="1">
        <f t="array" ref="O168">_xlfn.XLOOKUP(Table8[[#This Row],[Admin2PCODE]:[Admin2PCODE]],tblPiNAnalysis[[Admin2PCODE]:[Admin2PCODE]],tblPiNAnalysis[% NUT],0,0)</f>
        <v>0.05</v>
      </c>
      <c r="P168" s="6" cm="1">
        <f t="array" ref="P168">_xlfn.XLOOKUP(Table8[[#This Row],[Admin2PCODE]:[Admin2PCODE]],tblPiNAnalysis[[Admin2PCODE]:[Admin2PCODE]],tblPiNAnalysis[% SAL],0,0)</f>
        <v>0.35000000000000003</v>
      </c>
      <c r="Q168" s="6" cm="1">
        <f t="array" ref="Q168">_xlfn.XLOOKUP(Table8[[#This Row],[Admin2PCODE]:[Admin2PCODE]],tblPiNAnalysis[[Admin2PCODE]:[Admin2PCODE]],tblPiNAnalysis[% EDU],0,0)</f>
        <v>0.1</v>
      </c>
      <c r="R168" s="6" cm="1">
        <f t="array" ref="R168">_xlfn.XLOOKUP(Table8[[#This Row],[Admin2PCODE]:[Admin2PCODE]],tblPiNAnalysis[[Admin2PCODE]:[Admin2PCODE]],tblPiNAnalysis[% PRO],0,0)</f>
        <v>0.15000000000000002</v>
      </c>
      <c r="S168" s="6" cm="1">
        <f t="array" ref="S168">_xlfn.XLOOKUP(Table8[[#This Row],[Admin2PCODE]:[Admin2PCODE]],tblPiNAnalysis[[Admin2PCODE]:[Admin2PCODE]],tblPiNAnalysis[% WASH],0,0)</f>
        <v>0.15000000000000002</v>
      </c>
      <c r="T168" s="6" cm="1">
        <f t="array" ref="T168">_xlfn.XLOOKUP(Table8[[#This Row],[Admin2PCODE]:[Admin2PCODE]],tblPiNAnalysis[[Admin2PCODE]:[Admin2PCODE]],tblPiNAnalysis[% NNA],0,0)</f>
        <v>0.05</v>
      </c>
      <c r="U168" s="6" cm="1">
        <f t="array" ref="U168">_xlfn.XLOOKUP(Table8[[#This Row],[Admin2PCODE]:[Admin2PCODE]],tblPiNAnalysis[[Admin2PCODE]:[Admin2PCODE]],tblPiNAnalysis[% VBG],0,0)</f>
        <v>0.05</v>
      </c>
      <c r="V168" s="8" cm="1">
        <f t="array" ref="V168">_xlfn.XLOOKUP(Table8[[#This Row],[Admin2PCODE]:[Admin2PCODE]],tblPiNAnalysis[[Admin2PCODE]:[Admin2PCODE]],tblPiNAnalysis[PiN preliminar],0,0)</f>
        <v>49524.294999999998</v>
      </c>
      <c r="W168" s="308" cm="1">
        <f t="array" ref="W168">_xlfn.XLOOKUP(Table8[[#This Row],[Admin2PCODE]],tblPiNAnalysis[Admin2PCODE],tblSeverityAnalysis[Severidad media],0,0)</f>
        <v>2.5</v>
      </c>
      <c r="X168" s="42">
        <f>Table8[[#This Row],[Severidad media]]*6</f>
        <v>15</v>
      </c>
      <c r="Y168" s="6" cm="1">
        <f t="array" ref="Y168">_xlfn.XLOOKUP(Table8[[#This Row],[Admin2PCODE]],tblPiNAnalysis[Admin2PCODE],tblPiNAnalysis[% PiN Sectores más altos],0,0)</f>
        <v>0.36499999999999999</v>
      </c>
      <c r="Z168" s="42" cm="1">
        <f t="array" ref="Z168">_xlfn.XLOOKUP(Table8[[#This Row],[Admin2PCODE]:[Admin2PCODE]],tblPiNAnalysis[[Admin2PCODE]:[Admin2PCODE]],tblPiNAnalysis[Severidad],0,0)</f>
        <v>3</v>
      </c>
      <c r="AA168">
        <f>_xlfn.XLOOKUP(Table8[[#This Row],[Admin2PCODE]],tblSeverityAnalysis[Admin 2 Código P],tblSeverityAnalysis[Severidad Ttotal 2025],0,0)</f>
        <v>3</v>
      </c>
      <c r="AB168" t="str">
        <f>_xlfn.XLOOKUP(Table8[[#This Row],[Admin2PCODE]],tblSeverityAnalysis[Admin 2 Código P],tblSeverityAnalysis[Priorización Final 2025],0,0)</f>
        <v>No</v>
      </c>
      <c r="AC168">
        <v>5</v>
      </c>
      <c r="AD168" t="s">
        <v>1048</v>
      </c>
      <c r="AE168">
        <v>6</v>
      </c>
      <c r="AF168">
        <v>1</v>
      </c>
      <c r="AG168">
        <v>0</v>
      </c>
      <c r="AH168">
        <v>0</v>
      </c>
      <c r="AI168">
        <v>2</v>
      </c>
      <c r="AJ168">
        <v>1</v>
      </c>
      <c r="AK168">
        <v>2</v>
      </c>
      <c r="AL168">
        <v>1</v>
      </c>
      <c r="AM168">
        <v>0</v>
      </c>
      <c r="AN168">
        <v>0</v>
      </c>
      <c r="AO168" s="314">
        <f>Table8[[#This Row],[N° Clústeres con respuesta]]/Table8[[#This Row],[Org Total]]</f>
        <v>0.83333333333333337</v>
      </c>
      <c r="AP168" s="313">
        <v>22290</v>
      </c>
      <c r="AQ168" s="313">
        <v>1642</v>
      </c>
      <c r="AR168" s="312">
        <f>Table8[[#This Row],[Alcanzados Oct 2025]]/Table8[[#This Row],[Meta 2025]]</f>
        <v>7.3665320771646475E-2</v>
      </c>
      <c r="AS168" s="423">
        <v>0</v>
      </c>
      <c r="AT168" s="423">
        <v>0</v>
      </c>
      <c r="AU168" s="423">
        <v>0</v>
      </c>
      <c r="AV168" s="423">
        <v>1640</v>
      </c>
      <c r="AW168" s="423">
        <v>206</v>
      </c>
      <c r="AX168" s="423">
        <v>18</v>
      </c>
      <c r="AY168" s="423">
        <v>1</v>
      </c>
      <c r="AZ168" s="423">
        <v>0</v>
      </c>
      <c r="BA168" s="42">
        <v>0</v>
      </c>
    </row>
    <row r="169" spans="1:53">
      <c r="A169" t="s">
        <v>411</v>
      </c>
      <c r="B169" t="s">
        <v>412</v>
      </c>
      <c r="C169" t="s">
        <v>415</v>
      </c>
      <c r="D169" t="s">
        <v>416</v>
      </c>
      <c r="E169" s="8">
        <v>14555</v>
      </c>
      <c r="F169" s="8">
        <v>4245</v>
      </c>
      <c r="G169" s="8">
        <v>469.55532719131901</v>
      </c>
      <c r="H169" s="8">
        <v>6300</v>
      </c>
      <c r="I169" s="8">
        <v>1424.1678098333255</v>
      </c>
      <c r="J169" s="8">
        <v>1460.7916965566078</v>
      </c>
      <c r="K169" s="8">
        <v>0</v>
      </c>
      <c r="L169" s="8">
        <v>468.91413459467111</v>
      </c>
      <c r="M169" s="8">
        <v>511.27709379481269</v>
      </c>
      <c r="N169" s="6" cm="1">
        <f t="array" ref="N169">_xlfn.XLOOKUP(Table8[[#This Row],[Admin2PCODE]:[Admin2PCODE]],tblPiNAnalysis[[Admin2PCODE]:[Admin2PCODE]],tblPiNAnalysis[% SAMV],0,0)</f>
        <v>0.30000000000000004</v>
      </c>
      <c r="O169" s="6" cm="1">
        <f t="array" ref="O169">_xlfn.XLOOKUP(Table8[[#This Row],[Admin2PCODE]:[Admin2PCODE]],tblPiNAnalysis[[Admin2PCODE]:[Admin2PCODE]],tblPiNAnalysis[% NUT],0,0)</f>
        <v>0.05</v>
      </c>
      <c r="P169" s="6" cm="1">
        <f t="array" ref="P169">_xlfn.XLOOKUP(Table8[[#This Row],[Admin2PCODE]:[Admin2PCODE]],tblPiNAnalysis[[Admin2PCODE]:[Admin2PCODE]],tblPiNAnalysis[% SAL],0,0)</f>
        <v>0.45</v>
      </c>
      <c r="Q169" s="6" cm="1">
        <f t="array" ref="Q169">_xlfn.XLOOKUP(Table8[[#This Row],[Admin2PCODE]:[Admin2PCODE]],tblPiNAnalysis[[Admin2PCODE]:[Admin2PCODE]],tblPiNAnalysis[% EDU],0,0)</f>
        <v>0.1</v>
      </c>
      <c r="R169" s="6" cm="1">
        <f t="array" ref="R169">_xlfn.XLOOKUP(Table8[[#This Row],[Admin2PCODE]:[Admin2PCODE]],tblPiNAnalysis[[Admin2PCODE]:[Admin2PCODE]],tblPiNAnalysis[% PRO],0,0)</f>
        <v>0.1</v>
      </c>
      <c r="S169" s="6" cm="1">
        <f t="array" ref="S169">_xlfn.XLOOKUP(Table8[[#This Row],[Admin2PCODE]:[Admin2PCODE]],tblPiNAnalysis[[Admin2PCODE]:[Admin2PCODE]],tblPiNAnalysis[% WASH],0,0)</f>
        <v>0</v>
      </c>
      <c r="T169" s="6" cm="1">
        <f t="array" ref="T169">_xlfn.XLOOKUP(Table8[[#This Row],[Admin2PCODE]:[Admin2PCODE]],tblPiNAnalysis[[Admin2PCODE]:[Admin2PCODE]],tblPiNAnalysis[% NNA],0,0)</f>
        <v>0.05</v>
      </c>
      <c r="U169" s="6" cm="1">
        <f t="array" ref="U169">_xlfn.XLOOKUP(Table8[[#This Row],[Admin2PCODE]:[Admin2PCODE]],tblPiNAnalysis[[Admin2PCODE]:[Admin2PCODE]],tblPiNAnalysis[% VBG],0,0)</f>
        <v>0.05</v>
      </c>
      <c r="V169" s="8" cm="1">
        <f t="array" ref="V169">_xlfn.XLOOKUP(Table8[[#This Row],[Admin2PCODE]:[Admin2PCODE]],tblPiNAnalysis[[Admin2PCODE]:[Admin2PCODE]],tblPiNAnalysis[PiN preliminar],0,0)</f>
        <v>0</v>
      </c>
      <c r="W169" s="308" cm="1">
        <f t="array" ref="W169">_xlfn.XLOOKUP(Table8[[#This Row],[Admin2PCODE]],tblPiNAnalysis[Admin2PCODE],tblSeverityAnalysis[Severidad media],0,0)</f>
        <v>2.5</v>
      </c>
      <c r="X169" s="42">
        <f>Table8[[#This Row],[Severidad media]]*6</f>
        <v>15</v>
      </c>
      <c r="Y169" s="6" cm="1">
        <f t="array" ref="Y169">_xlfn.XLOOKUP(Table8[[#This Row],[Admin2PCODE]],tblPiNAnalysis[Admin2PCODE],tblPiNAnalysis[% PiN Sectores más altos],0,0)</f>
        <v>0.43284094812779111</v>
      </c>
      <c r="Z169" s="42" cm="1">
        <f t="array" ref="Z169">_xlfn.XLOOKUP(Table8[[#This Row],[Admin2PCODE]:[Admin2PCODE]],tblPiNAnalysis[[Admin2PCODE]:[Admin2PCODE]],tblPiNAnalysis[Severidad],0,0)</f>
        <v>2</v>
      </c>
      <c r="AA169">
        <f>_xlfn.XLOOKUP(Table8[[#This Row],[Admin2PCODE]],tblSeverityAnalysis[Admin 2 Código P],tblSeverityAnalysis[Severidad Ttotal 2025],0,0)</f>
        <v>3</v>
      </c>
      <c r="AB169" t="str">
        <f>_xlfn.XLOOKUP(Table8[[#This Row],[Admin2PCODE]],tblSeverityAnalysis[Admin 2 Código P],tblSeverityAnalysis[Priorización Final 2025],0,0)</f>
        <v>No</v>
      </c>
      <c r="AC169">
        <v>1</v>
      </c>
      <c r="AD169" t="s">
        <v>952</v>
      </c>
      <c r="AE169">
        <v>1</v>
      </c>
      <c r="AF169">
        <v>0</v>
      </c>
      <c r="AG169">
        <v>0</v>
      </c>
      <c r="AH169">
        <v>0</v>
      </c>
      <c r="AI169">
        <v>0</v>
      </c>
      <c r="AJ169">
        <v>1</v>
      </c>
      <c r="AK169">
        <v>0</v>
      </c>
      <c r="AL169">
        <v>0</v>
      </c>
      <c r="AM169">
        <v>0</v>
      </c>
      <c r="AN169">
        <v>0</v>
      </c>
      <c r="AO169" s="314">
        <f>Table8[[#This Row],[N° Clústeres con respuesta]]/Table8[[#This Row],[Org Total]]</f>
        <v>1</v>
      </c>
      <c r="AP169" s="313">
        <v>3399</v>
      </c>
      <c r="AQ169" s="313">
        <v>0</v>
      </c>
      <c r="AR169" s="312">
        <f>Table8[[#This Row],[Alcanzados Oct 2025]]/Table8[[#This Row],[Meta 2025]]</f>
        <v>0</v>
      </c>
      <c r="AS169" s="423">
        <v>0</v>
      </c>
      <c r="AT169" s="423">
        <v>0</v>
      </c>
      <c r="AU169" s="423">
        <v>0</v>
      </c>
      <c r="AV169" s="423">
        <v>0</v>
      </c>
      <c r="AW169" s="423">
        <v>0</v>
      </c>
      <c r="AX169" s="423">
        <v>0</v>
      </c>
      <c r="AY169" s="423">
        <v>0</v>
      </c>
      <c r="AZ169" s="423">
        <v>0</v>
      </c>
      <c r="BA169" s="42">
        <v>0</v>
      </c>
    </row>
    <row r="170" spans="1:53">
      <c r="A170" t="s">
        <v>411</v>
      </c>
      <c r="B170" t="s">
        <v>412</v>
      </c>
      <c r="C170" t="s">
        <v>419</v>
      </c>
      <c r="D170" t="s">
        <v>420</v>
      </c>
      <c r="E170" s="8">
        <v>4335</v>
      </c>
      <c r="F170" s="8">
        <v>733</v>
      </c>
      <c r="G170" s="8">
        <v>189.82809688826026</v>
      </c>
      <c r="H170" s="8">
        <v>3500</v>
      </c>
      <c r="I170" s="8">
        <v>445.31725736203504</v>
      </c>
      <c r="J170" s="8">
        <v>435.07605665220876</v>
      </c>
      <c r="K170" s="8">
        <v>0</v>
      </c>
      <c r="L170" s="8">
        <v>139.659414185359</v>
      </c>
      <c r="M170" s="8">
        <v>152.27661982827306</v>
      </c>
      <c r="N170" s="6" cm="1">
        <f t="array" ref="N170">_xlfn.XLOOKUP(Table8[[#This Row],[Admin2PCODE]:[Admin2PCODE]],tblPiNAnalysis[[Admin2PCODE]:[Admin2PCODE]],tblPiNAnalysis[% SAMV],0,0)</f>
        <v>0.15000000000000002</v>
      </c>
      <c r="O170" s="6" cm="1">
        <f t="array" ref="O170">_xlfn.XLOOKUP(Table8[[#This Row],[Admin2PCODE]:[Admin2PCODE]],tblPiNAnalysis[[Admin2PCODE]:[Admin2PCODE]],tblPiNAnalysis[% NUT],0,0)</f>
        <v>0.05</v>
      </c>
      <c r="P170" s="6" cm="1">
        <f t="array" ref="P170">_xlfn.XLOOKUP(Table8[[#This Row],[Admin2PCODE]:[Admin2PCODE]],tblPiNAnalysis[[Admin2PCODE]:[Admin2PCODE]],tblPiNAnalysis[% SAL],0,0)</f>
        <v>0.8</v>
      </c>
      <c r="Q170" s="6" cm="1">
        <f t="array" ref="Q170">_xlfn.XLOOKUP(Table8[[#This Row],[Admin2PCODE]:[Admin2PCODE]],tblPiNAnalysis[[Admin2PCODE]:[Admin2PCODE]],tblPiNAnalysis[% EDU],0,0)</f>
        <v>0.1</v>
      </c>
      <c r="R170" s="6" cm="1">
        <f t="array" ref="R170">_xlfn.XLOOKUP(Table8[[#This Row],[Admin2PCODE]:[Admin2PCODE]],tblPiNAnalysis[[Admin2PCODE]:[Admin2PCODE]],tblPiNAnalysis[% PRO],0,0)</f>
        <v>0.1</v>
      </c>
      <c r="S170" s="6" cm="1">
        <f t="array" ref="S170">_xlfn.XLOOKUP(Table8[[#This Row],[Admin2PCODE]:[Admin2PCODE]],tblPiNAnalysis[[Admin2PCODE]:[Admin2PCODE]],tblPiNAnalysis[% WASH],0,0)</f>
        <v>0</v>
      </c>
      <c r="T170" s="6" cm="1">
        <f t="array" ref="T170">_xlfn.XLOOKUP(Table8[[#This Row],[Admin2PCODE]:[Admin2PCODE]],tblPiNAnalysis[[Admin2PCODE]:[Admin2PCODE]],tblPiNAnalysis[% NNA],0,0)</f>
        <v>0.05</v>
      </c>
      <c r="U170" s="6" cm="1">
        <f t="array" ref="U170">_xlfn.XLOOKUP(Table8[[#This Row],[Admin2PCODE]:[Admin2PCODE]],tblPiNAnalysis[[Admin2PCODE]:[Admin2PCODE]],tblPiNAnalysis[% VBG],0,0)</f>
        <v>0.05</v>
      </c>
      <c r="V170" s="8" cm="1">
        <f t="array" ref="V170">_xlfn.XLOOKUP(Table8[[#This Row],[Admin2PCODE]:[Admin2PCODE]],tblPiNAnalysis[[Admin2PCODE]:[Admin2PCODE]],tblPiNAnalysis[PiN preliminar],0,0)</f>
        <v>0</v>
      </c>
      <c r="W170" s="308" cm="1">
        <f t="array" ref="W170">_xlfn.XLOOKUP(Table8[[#This Row],[Admin2PCODE]],tblPiNAnalysis[Admin2PCODE],tblSeverityAnalysis[Severidad media],0,0)</f>
        <v>2.6666666666666665</v>
      </c>
      <c r="X170" s="42">
        <f>Table8[[#This Row],[Severidad media]]*6</f>
        <v>16</v>
      </c>
      <c r="Y170" s="6" cm="1">
        <f t="array" ref="Y170">_xlfn.XLOOKUP(Table8[[#This Row],[Admin2PCODE]],tblPiNAnalysis[Admin2PCODE],tblPiNAnalysis[% PiN Sectores más altos],0,0)</f>
        <v>0.8073817762399077</v>
      </c>
      <c r="Z170" s="42" cm="1">
        <f t="array" ref="Z170">_xlfn.XLOOKUP(Table8[[#This Row],[Admin2PCODE]:[Admin2PCODE]],tblPiNAnalysis[[Admin2PCODE]:[Admin2PCODE]],tblPiNAnalysis[Severidad],0,0)</f>
        <v>2</v>
      </c>
      <c r="AA170">
        <f>_xlfn.XLOOKUP(Table8[[#This Row],[Admin2PCODE]],tblSeverityAnalysis[Admin 2 Código P],tblSeverityAnalysis[Severidad Ttotal 2025],0,0)</f>
        <v>3</v>
      </c>
      <c r="AB170" t="str">
        <f>_xlfn.XLOOKUP(Table8[[#This Row],[Admin2PCODE]],tblSeverityAnalysis[Admin 2 Código P],tblSeverityAnalysis[Priorización Final 2025],0,0)</f>
        <v>No</v>
      </c>
      <c r="AC170">
        <v>0</v>
      </c>
      <c r="AD170">
        <v>0</v>
      </c>
      <c r="AE170">
        <v>0</v>
      </c>
      <c r="AF170">
        <v>0</v>
      </c>
      <c r="AG170">
        <v>0</v>
      </c>
      <c r="AH170">
        <v>0</v>
      </c>
      <c r="AI170">
        <v>0</v>
      </c>
      <c r="AJ170">
        <v>0</v>
      </c>
      <c r="AK170">
        <v>0</v>
      </c>
      <c r="AL170">
        <v>0</v>
      </c>
      <c r="AM170">
        <v>0</v>
      </c>
      <c r="AN170">
        <v>0</v>
      </c>
      <c r="AO170" s="314" t="e">
        <f>Table8[[#This Row],[N° Clústeres con respuesta]]/Table8[[#This Row],[Org Total]]</f>
        <v>#DIV/0!</v>
      </c>
      <c r="AP170" s="313">
        <v>1013</v>
      </c>
      <c r="AQ170" s="313">
        <v>0</v>
      </c>
      <c r="AR170" s="312">
        <f>Table8[[#This Row],[Alcanzados Oct 2025]]/Table8[[#This Row],[Meta 2025]]</f>
        <v>0</v>
      </c>
      <c r="AS170" s="423">
        <v>0</v>
      </c>
      <c r="AT170" s="423">
        <v>0</v>
      </c>
      <c r="AU170" s="423">
        <v>0</v>
      </c>
      <c r="AV170" s="423">
        <v>0</v>
      </c>
      <c r="AW170" s="423">
        <v>0</v>
      </c>
      <c r="AX170" s="423">
        <v>0</v>
      </c>
      <c r="AY170" s="423">
        <v>0</v>
      </c>
      <c r="AZ170" s="423">
        <v>0</v>
      </c>
      <c r="BA170" s="42">
        <v>0</v>
      </c>
    </row>
    <row r="171" spans="1:53">
      <c r="A171" t="s">
        <v>411</v>
      </c>
      <c r="B171" t="s">
        <v>412</v>
      </c>
      <c r="C171" t="s">
        <v>425</v>
      </c>
      <c r="D171" t="s">
        <v>426</v>
      </c>
      <c r="E171" s="8">
        <v>28255</v>
      </c>
      <c r="F171" s="8">
        <v>4775</v>
      </c>
      <c r="G171" s="8">
        <v>945.87224101947027</v>
      </c>
      <c r="H171" s="8">
        <v>15789.714285714284</v>
      </c>
      <c r="I171" s="8">
        <v>1981.1064038764769</v>
      </c>
      <c r="J171" s="8">
        <v>2835.772544569355</v>
      </c>
      <c r="K171" s="8">
        <v>0</v>
      </c>
      <c r="L171" s="8">
        <v>907.4472142621936</v>
      </c>
      <c r="M171" s="8">
        <v>992.52039059927426</v>
      </c>
      <c r="N171" s="6" cm="1">
        <f t="array" ref="N171">_xlfn.XLOOKUP(Table8[[#This Row],[Admin2PCODE]:[Admin2PCODE]],tblPiNAnalysis[[Admin2PCODE]:[Admin2PCODE]],tblPiNAnalysis[% SAMV],0,0)</f>
        <v>0.15000000000000002</v>
      </c>
      <c r="O171" s="6" cm="1">
        <f t="array" ref="O171">_xlfn.XLOOKUP(Table8[[#This Row],[Admin2PCODE]:[Admin2PCODE]],tblPiNAnalysis[[Admin2PCODE]:[Admin2PCODE]],tblPiNAnalysis[% NUT],0,0)</f>
        <v>0.05</v>
      </c>
      <c r="P171" s="6" cm="1">
        <f t="array" ref="P171">_xlfn.XLOOKUP(Table8[[#This Row],[Admin2PCODE]:[Admin2PCODE]],tblPiNAnalysis[[Admin2PCODE]:[Admin2PCODE]],tblPiNAnalysis[% SAL],0,0)</f>
        <v>0.55000000000000004</v>
      </c>
      <c r="Q171" s="6" cm="1">
        <f t="array" ref="Q171">_xlfn.XLOOKUP(Table8[[#This Row],[Admin2PCODE]:[Admin2PCODE]],tblPiNAnalysis[[Admin2PCODE]:[Admin2PCODE]],tblPiNAnalysis[% EDU],0,0)</f>
        <v>0.05</v>
      </c>
      <c r="R171" s="6" cm="1">
        <f t="array" ref="R171">_xlfn.XLOOKUP(Table8[[#This Row],[Admin2PCODE]:[Admin2PCODE]],tblPiNAnalysis[[Admin2PCODE]:[Admin2PCODE]],tblPiNAnalysis[% PRO],0,0)</f>
        <v>0.1</v>
      </c>
      <c r="S171" s="6" cm="1">
        <f t="array" ref="S171">_xlfn.XLOOKUP(Table8[[#This Row],[Admin2PCODE]:[Admin2PCODE]],tblPiNAnalysis[[Admin2PCODE]:[Admin2PCODE]],tblPiNAnalysis[% WASH],0,0)</f>
        <v>0</v>
      </c>
      <c r="T171" s="6" cm="1">
        <f t="array" ref="T171">_xlfn.XLOOKUP(Table8[[#This Row],[Admin2PCODE]:[Admin2PCODE]],tblPiNAnalysis[[Admin2PCODE]:[Admin2PCODE]],tblPiNAnalysis[% NNA],0,0)</f>
        <v>0.05</v>
      </c>
      <c r="U171" s="6" cm="1">
        <f t="array" ref="U171">_xlfn.XLOOKUP(Table8[[#This Row],[Admin2PCODE]:[Admin2PCODE]],tblPiNAnalysis[[Admin2PCODE]:[Admin2PCODE]],tblPiNAnalysis[% VBG],0,0)</f>
        <v>0.05</v>
      </c>
      <c r="V171" s="8" cm="1">
        <f t="array" ref="V171">_xlfn.XLOOKUP(Table8[[#This Row],[Admin2PCODE]:[Admin2PCODE]],tblPiNAnalysis[[Admin2PCODE]:[Admin2PCODE]],tblPiNAnalysis[PiN preliminar],0,0)</f>
        <v>0</v>
      </c>
      <c r="W171" s="308" cm="1">
        <f t="array" ref="W171">_xlfn.XLOOKUP(Table8[[#This Row],[Admin2PCODE]],tblPiNAnalysis[Admin2PCODE],tblSeverityAnalysis[Severidad media],0,0)</f>
        <v>1.8333333333333333</v>
      </c>
      <c r="X171" s="42">
        <f>Table8[[#This Row],[Severidad media]]*6</f>
        <v>11</v>
      </c>
      <c r="Y171" s="6" cm="1">
        <f t="array" ref="Y171">_xlfn.XLOOKUP(Table8[[#This Row],[Admin2PCODE]],tblPiNAnalysis[Admin2PCODE],tblPiNAnalysis[% PiN Sectores más altos],0,0)</f>
        <v>0.55882903152412966</v>
      </c>
      <c r="Z171" s="42" cm="1">
        <f t="array" ref="Z171">_xlfn.XLOOKUP(Table8[[#This Row],[Admin2PCODE]:[Admin2PCODE]],tblPiNAnalysis[[Admin2PCODE]:[Admin2PCODE]],tblPiNAnalysis[Severidad],0,0)</f>
        <v>2</v>
      </c>
      <c r="AA171">
        <f>_xlfn.XLOOKUP(Table8[[#This Row],[Admin2PCODE]],tblSeverityAnalysis[Admin 2 Código P],tblSeverityAnalysis[Severidad Ttotal 2025],0,0)</f>
        <v>3</v>
      </c>
      <c r="AB171" t="str">
        <f>_xlfn.XLOOKUP(Table8[[#This Row],[Admin2PCODE]],tblSeverityAnalysis[Admin 2 Código P],tblSeverityAnalysis[Priorización Final 2025],0,0)</f>
        <v>No</v>
      </c>
      <c r="AC171">
        <v>1</v>
      </c>
      <c r="AD171" t="s">
        <v>94</v>
      </c>
      <c r="AE171">
        <v>1</v>
      </c>
      <c r="AF171">
        <v>0</v>
      </c>
      <c r="AG171">
        <v>0</v>
      </c>
      <c r="AH171">
        <v>0</v>
      </c>
      <c r="AI171">
        <v>0</v>
      </c>
      <c r="AJ171">
        <v>0</v>
      </c>
      <c r="AK171">
        <v>0</v>
      </c>
      <c r="AL171">
        <v>0</v>
      </c>
      <c r="AM171">
        <v>1</v>
      </c>
      <c r="AN171">
        <v>0</v>
      </c>
      <c r="AO171" s="314">
        <f>Table8[[#This Row],[N° Clústeres con respuesta]]/Table8[[#This Row],[Org Total]]</f>
        <v>1</v>
      </c>
      <c r="AP171" s="313">
        <v>6254</v>
      </c>
      <c r="AQ171" s="313">
        <v>24</v>
      </c>
      <c r="AR171" s="312">
        <f>Table8[[#This Row],[Alcanzados Oct 2025]]/Table8[[#This Row],[Meta 2025]]</f>
        <v>3.8375439718580109E-3</v>
      </c>
      <c r="AS171" s="423">
        <v>0</v>
      </c>
      <c r="AT171" s="423">
        <v>0</v>
      </c>
      <c r="AU171" s="423">
        <v>0</v>
      </c>
      <c r="AV171" s="423">
        <v>0</v>
      </c>
      <c r="AW171" s="423">
        <v>0</v>
      </c>
      <c r="AX171" s="423">
        <v>0</v>
      </c>
      <c r="AY171" s="423">
        <v>0</v>
      </c>
      <c r="AZ171" s="423">
        <v>24</v>
      </c>
      <c r="BA171" s="42">
        <v>0</v>
      </c>
    </row>
    <row r="172" spans="1:53">
      <c r="A172" t="s">
        <v>411</v>
      </c>
      <c r="B172" t="s">
        <v>412</v>
      </c>
      <c r="C172" t="s">
        <v>427</v>
      </c>
      <c r="D172" t="s">
        <v>428</v>
      </c>
      <c r="E172" s="8">
        <v>9655</v>
      </c>
      <c r="F172" s="8">
        <v>0</v>
      </c>
      <c r="G172" s="8">
        <v>318.523220257388</v>
      </c>
      <c r="H172" s="8">
        <v>3524.0749999999998</v>
      </c>
      <c r="I172" s="8">
        <v>889.06114501106993</v>
      </c>
      <c r="J172" s="8">
        <v>969.01022536956725</v>
      </c>
      <c r="K172" s="8">
        <v>0</v>
      </c>
      <c r="L172" s="8">
        <v>311.05228234363108</v>
      </c>
      <c r="M172" s="8">
        <v>339.15357887934852</v>
      </c>
      <c r="N172" s="6" cm="1">
        <f t="array" ref="N172">_xlfn.XLOOKUP(Table8[[#This Row],[Admin2PCODE]:[Admin2PCODE]],tblPiNAnalysis[[Admin2PCODE]:[Admin2PCODE]],tblPiNAnalysis[% SAMV],0,0)</f>
        <v>0</v>
      </c>
      <c r="O172" s="6" cm="1">
        <f t="array" ref="O172">_xlfn.XLOOKUP(Table8[[#This Row],[Admin2PCODE]:[Admin2PCODE]],tblPiNAnalysis[[Admin2PCODE]:[Admin2PCODE]],tblPiNAnalysis[% NUT],0,0)</f>
        <v>0.05</v>
      </c>
      <c r="P172" s="6" cm="1">
        <f t="array" ref="P172">_xlfn.XLOOKUP(Table8[[#This Row],[Admin2PCODE]:[Admin2PCODE]],tblPiNAnalysis[[Admin2PCODE]:[Admin2PCODE]],tblPiNAnalysis[% SAL],0,0)</f>
        <v>0.35000000000000003</v>
      </c>
      <c r="Q172" s="6" cm="1">
        <f t="array" ref="Q172">_xlfn.XLOOKUP(Table8[[#This Row],[Admin2PCODE]:[Admin2PCODE]],tblPiNAnalysis[[Admin2PCODE]:[Admin2PCODE]],tblPiNAnalysis[% EDU],0,0)</f>
        <v>0.1</v>
      </c>
      <c r="R172" s="6" cm="1">
        <f t="array" ref="R172">_xlfn.XLOOKUP(Table8[[#This Row],[Admin2PCODE]:[Admin2PCODE]],tblPiNAnalysis[[Admin2PCODE]:[Admin2PCODE]],tblPiNAnalysis[% PRO],0,0)</f>
        <v>0.1</v>
      </c>
      <c r="S172" s="6" cm="1">
        <f t="array" ref="S172">_xlfn.XLOOKUP(Table8[[#This Row],[Admin2PCODE]:[Admin2PCODE]],tblPiNAnalysis[[Admin2PCODE]:[Admin2PCODE]],tblPiNAnalysis[% WASH],0,0)</f>
        <v>0</v>
      </c>
      <c r="T172" s="6" cm="1">
        <f t="array" ref="T172">_xlfn.XLOOKUP(Table8[[#This Row],[Admin2PCODE]:[Admin2PCODE]],tblPiNAnalysis[[Admin2PCODE]:[Admin2PCODE]],tblPiNAnalysis[% NNA],0,0)</f>
        <v>0.05</v>
      </c>
      <c r="U172" s="6" cm="1">
        <f t="array" ref="U172">_xlfn.XLOOKUP(Table8[[#This Row],[Admin2PCODE]:[Admin2PCODE]],tblPiNAnalysis[[Admin2PCODE]:[Admin2PCODE]],tblPiNAnalysis[% VBG],0,0)</f>
        <v>0.05</v>
      </c>
      <c r="V172" s="8" cm="1">
        <f t="array" ref="V172">_xlfn.XLOOKUP(Table8[[#This Row],[Admin2PCODE]:[Admin2PCODE]],tblPiNAnalysis[[Admin2PCODE]:[Admin2PCODE]],tblPiNAnalysis[PiN preliminar],0,0)</f>
        <v>0</v>
      </c>
      <c r="W172" s="308" cm="1">
        <f t="array" ref="W172">_xlfn.XLOOKUP(Table8[[#This Row],[Admin2PCODE]],tblPiNAnalysis[Admin2PCODE],tblSeverityAnalysis[Severidad media],0,0)</f>
        <v>3</v>
      </c>
      <c r="X172" s="42">
        <f>Table8[[#This Row],[Severidad media]]*6</f>
        <v>18</v>
      </c>
      <c r="Y172" s="6" cm="1">
        <f t="array" ref="Y172">_xlfn.XLOOKUP(Table8[[#This Row],[Admin2PCODE]],tblPiNAnalysis[Admin2PCODE],tblPiNAnalysis[% PiN Sectores más altos],0,0)</f>
        <v>0.36499999999999999</v>
      </c>
      <c r="Z172" s="42" cm="1">
        <f t="array" ref="Z172">_xlfn.XLOOKUP(Table8[[#This Row],[Admin2PCODE]:[Admin2PCODE]],tblPiNAnalysis[[Admin2PCODE]:[Admin2PCODE]],tblPiNAnalysis[Severidad],0,0)</f>
        <v>2</v>
      </c>
      <c r="AA172">
        <f>_xlfn.XLOOKUP(Table8[[#This Row],[Admin2PCODE]],tblSeverityAnalysis[Admin 2 Código P],tblSeverityAnalysis[Severidad Ttotal 2025],0,0)</f>
        <v>3</v>
      </c>
      <c r="AB172" t="str">
        <f>_xlfn.XLOOKUP(Table8[[#This Row],[Admin2PCODE]],tblSeverityAnalysis[Admin 2 Código P],tblSeverityAnalysis[Priorización Final 2025],0,0)</f>
        <v>No</v>
      </c>
      <c r="AC172">
        <v>1</v>
      </c>
      <c r="AD172" t="s">
        <v>97</v>
      </c>
      <c r="AE172">
        <v>1</v>
      </c>
      <c r="AF172">
        <v>0</v>
      </c>
      <c r="AG172">
        <v>1</v>
      </c>
      <c r="AH172">
        <v>0</v>
      </c>
      <c r="AI172">
        <v>0</v>
      </c>
      <c r="AJ172">
        <v>0</v>
      </c>
      <c r="AK172">
        <v>0</v>
      </c>
      <c r="AL172">
        <v>0</v>
      </c>
      <c r="AM172">
        <v>0</v>
      </c>
      <c r="AN172">
        <v>0</v>
      </c>
      <c r="AO172" s="314">
        <f>Table8[[#This Row],[N° Clústeres con respuesta]]/Table8[[#This Row],[Org Total]]</f>
        <v>1</v>
      </c>
      <c r="AP172" s="313">
        <v>2254</v>
      </c>
      <c r="AQ172" s="313">
        <v>510</v>
      </c>
      <c r="AR172" s="312">
        <f>Table8[[#This Row],[Alcanzados Oct 2025]]/Table8[[#This Row],[Meta 2025]]</f>
        <v>0.22626441881100265</v>
      </c>
      <c r="AS172" s="423">
        <v>0</v>
      </c>
      <c r="AT172" s="423">
        <v>510</v>
      </c>
      <c r="AU172" s="423">
        <v>0</v>
      </c>
      <c r="AV172" s="423">
        <v>0</v>
      </c>
      <c r="AW172" s="423">
        <v>0</v>
      </c>
      <c r="AX172" s="423">
        <v>0</v>
      </c>
      <c r="AY172" s="423">
        <v>0</v>
      </c>
      <c r="AZ172" s="423">
        <v>0</v>
      </c>
      <c r="BA172" s="42">
        <v>0</v>
      </c>
    </row>
    <row r="173" spans="1:53">
      <c r="A173" t="s">
        <v>411</v>
      </c>
      <c r="B173" t="s">
        <v>412</v>
      </c>
      <c r="C173" t="s">
        <v>429</v>
      </c>
      <c r="D173" t="s">
        <v>430</v>
      </c>
      <c r="E173" s="8">
        <v>9262</v>
      </c>
      <c r="F173" s="8">
        <v>1158</v>
      </c>
      <c r="G173" s="8">
        <v>305.16899987864076</v>
      </c>
      <c r="H173" s="8">
        <v>4900</v>
      </c>
      <c r="I173" s="8">
        <v>868.78559646071756</v>
      </c>
      <c r="J173" s="8">
        <v>929.56734410905574</v>
      </c>
      <c r="K173" s="8">
        <v>0</v>
      </c>
      <c r="L173" s="8">
        <v>297.46155011489782</v>
      </c>
      <c r="M173" s="8">
        <v>325.34857043816947</v>
      </c>
      <c r="N173" s="6" cm="1">
        <f t="array" ref="N173">_xlfn.XLOOKUP(Table8[[#This Row],[Admin2PCODE]:[Admin2PCODE]],tblPiNAnalysis[[Admin2PCODE]:[Admin2PCODE]],tblPiNAnalysis[% SAMV],0,0)</f>
        <v>0.15000000000000002</v>
      </c>
      <c r="O173" s="6" cm="1">
        <f t="array" ref="O173">_xlfn.XLOOKUP(Table8[[#This Row],[Admin2PCODE]:[Admin2PCODE]],tblPiNAnalysis[[Admin2PCODE]:[Admin2PCODE]],tblPiNAnalysis[% NUT],0,0)</f>
        <v>0.05</v>
      </c>
      <c r="P173" s="6" cm="1">
        <f t="array" ref="P173">_xlfn.XLOOKUP(Table8[[#This Row],[Admin2PCODE]:[Admin2PCODE]],tblPiNAnalysis[[Admin2PCODE]:[Admin2PCODE]],tblPiNAnalysis[% SAL],0,0)</f>
        <v>0.55000000000000004</v>
      </c>
      <c r="Q173" s="6" cm="1">
        <f t="array" ref="Q173">_xlfn.XLOOKUP(Table8[[#This Row],[Admin2PCODE]:[Admin2PCODE]],tblPiNAnalysis[[Admin2PCODE]:[Admin2PCODE]],tblPiNAnalysis[% EDU],0,0)</f>
        <v>0.1</v>
      </c>
      <c r="R173" s="6" cm="1">
        <f t="array" ref="R173">_xlfn.XLOOKUP(Table8[[#This Row],[Admin2PCODE]:[Admin2PCODE]],tblPiNAnalysis[[Admin2PCODE]:[Admin2PCODE]],tblPiNAnalysis[% PRO],0,0)</f>
        <v>0.1</v>
      </c>
      <c r="S173" s="6" cm="1">
        <f t="array" ref="S173">_xlfn.XLOOKUP(Table8[[#This Row],[Admin2PCODE]:[Admin2PCODE]],tblPiNAnalysis[[Admin2PCODE]:[Admin2PCODE]],tblPiNAnalysis[% WASH],0,0)</f>
        <v>0</v>
      </c>
      <c r="T173" s="6" cm="1">
        <f t="array" ref="T173">_xlfn.XLOOKUP(Table8[[#This Row],[Admin2PCODE]:[Admin2PCODE]],tblPiNAnalysis[[Admin2PCODE]:[Admin2PCODE]],tblPiNAnalysis[% NNA],0,0)</f>
        <v>0.05</v>
      </c>
      <c r="U173" s="6" cm="1">
        <f t="array" ref="U173">_xlfn.XLOOKUP(Table8[[#This Row],[Admin2PCODE]:[Admin2PCODE]],tblPiNAnalysis[[Admin2PCODE]:[Admin2PCODE]],tblPiNAnalysis[% VBG],0,0)</f>
        <v>0.05</v>
      </c>
      <c r="V173" s="8" cm="1">
        <f t="array" ref="V173">_xlfn.XLOOKUP(Table8[[#This Row],[Admin2PCODE]:[Admin2PCODE]],tblPiNAnalysis[[Admin2PCODE]:[Admin2PCODE]],tblPiNAnalysis[PiN preliminar],0,0)</f>
        <v>0</v>
      </c>
      <c r="W173" s="308" cm="1">
        <f t="array" ref="W173">_xlfn.XLOOKUP(Table8[[#This Row],[Admin2PCODE]],tblPiNAnalysis[Admin2PCODE],tblSeverityAnalysis[Severidad media],0,0)</f>
        <v>2.1666666666666665</v>
      </c>
      <c r="X173" s="42">
        <f>Table8[[#This Row],[Severidad media]]*6</f>
        <v>13</v>
      </c>
      <c r="Y173" s="6" cm="1">
        <f t="array" ref="Y173">_xlfn.XLOOKUP(Table8[[#This Row],[Admin2PCODE]],tblPiNAnalysis[Admin2PCODE],tblPiNAnalysis[% PiN Sectores más altos],0,0)</f>
        <v>0.52904340315266685</v>
      </c>
      <c r="Z173" s="42" cm="1">
        <f t="array" ref="Z173">_xlfn.XLOOKUP(Table8[[#This Row],[Admin2PCODE]:[Admin2PCODE]],tblPiNAnalysis[[Admin2PCODE]:[Admin2PCODE]],tblPiNAnalysis[Severidad],0,0)</f>
        <v>2</v>
      </c>
      <c r="AA173">
        <f>_xlfn.XLOOKUP(Table8[[#This Row],[Admin2PCODE]],tblSeverityAnalysis[Admin 2 Código P],tblSeverityAnalysis[Severidad Ttotal 2025],0,0)</f>
        <v>3</v>
      </c>
      <c r="AB173" t="str">
        <f>_xlfn.XLOOKUP(Table8[[#This Row],[Admin2PCODE]],tblSeverityAnalysis[Admin 2 Código P],tblSeverityAnalysis[Priorización Final 2025],0,0)</f>
        <v>No</v>
      </c>
      <c r="AC173">
        <v>0</v>
      </c>
      <c r="AD173">
        <v>0</v>
      </c>
      <c r="AE173">
        <v>0</v>
      </c>
      <c r="AF173">
        <v>0</v>
      </c>
      <c r="AG173">
        <v>0</v>
      </c>
      <c r="AH173">
        <v>0</v>
      </c>
      <c r="AI173">
        <v>0</v>
      </c>
      <c r="AJ173">
        <v>0</v>
      </c>
      <c r="AK173">
        <v>0</v>
      </c>
      <c r="AL173">
        <v>0</v>
      </c>
      <c r="AM173">
        <v>0</v>
      </c>
      <c r="AN173">
        <v>0</v>
      </c>
      <c r="AO173" s="314" t="e">
        <f>Table8[[#This Row],[N° Clústeres con respuesta]]/Table8[[#This Row],[Org Total]]</f>
        <v>#DIV/0!</v>
      </c>
      <c r="AP173" s="313">
        <v>2164</v>
      </c>
      <c r="AQ173" s="313">
        <v>0</v>
      </c>
      <c r="AR173" s="312">
        <f>Table8[[#This Row],[Alcanzados Oct 2025]]/Table8[[#This Row],[Meta 2025]]</f>
        <v>0</v>
      </c>
      <c r="AS173" s="423">
        <v>0</v>
      </c>
      <c r="AT173" s="423">
        <v>0</v>
      </c>
      <c r="AU173" s="423">
        <v>0</v>
      </c>
      <c r="AV173" s="423">
        <v>0</v>
      </c>
      <c r="AW173" s="423">
        <v>0</v>
      </c>
      <c r="AX173" s="423">
        <v>0</v>
      </c>
      <c r="AY173" s="423">
        <v>0</v>
      </c>
      <c r="AZ173" s="423">
        <v>0</v>
      </c>
      <c r="BA173" s="42">
        <v>0</v>
      </c>
    </row>
    <row r="174" spans="1:53">
      <c r="A174" t="s">
        <v>411</v>
      </c>
      <c r="B174" t="s">
        <v>412</v>
      </c>
      <c r="C174" t="s">
        <v>431</v>
      </c>
      <c r="D174" t="s">
        <v>432</v>
      </c>
      <c r="E174" s="8">
        <v>14996</v>
      </c>
      <c r="F174" s="8">
        <v>2534</v>
      </c>
      <c r="G174" s="8">
        <v>522.72420593754259</v>
      </c>
      <c r="H174" s="8">
        <v>5473.54</v>
      </c>
      <c r="I174" s="8">
        <v>1002.8945037551084</v>
      </c>
      <c r="J174" s="8">
        <v>1505.0520289634417</v>
      </c>
      <c r="K174" s="8">
        <v>0</v>
      </c>
      <c r="L174" s="8">
        <v>481.61664926830133</v>
      </c>
      <c r="M174" s="8">
        <v>526.76821013720451</v>
      </c>
      <c r="N174" s="6" cm="1">
        <f t="array" ref="N174">_xlfn.XLOOKUP(Table8[[#This Row],[Admin2PCODE]:[Admin2PCODE]],tblPiNAnalysis[[Admin2PCODE]:[Admin2PCODE]],tblPiNAnalysis[% SAMV],0,0)</f>
        <v>0.15000000000000002</v>
      </c>
      <c r="O174" s="6" cm="1">
        <f t="array" ref="O174">_xlfn.XLOOKUP(Table8[[#This Row],[Admin2PCODE]:[Admin2PCODE]],tblPiNAnalysis[[Admin2PCODE]:[Admin2PCODE]],tblPiNAnalysis[% NUT],0,0)</f>
        <v>0.05</v>
      </c>
      <c r="P174" s="6" cm="1">
        <f t="array" ref="P174">_xlfn.XLOOKUP(Table8[[#This Row],[Admin2PCODE]:[Admin2PCODE]],tblPiNAnalysis[[Admin2PCODE]:[Admin2PCODE]],tblPiNAnalysis[% SAL],0,0)</f>
        <v>0.35000000000000003</v>
      </c>
      <c r="Q174" s="6" cm="1">
        <f t="array" ref="Q174">_xlfn.XLOOKUP(Table8[[#This Row],[Admin2PCODE]:[Admin2PCODE]],tblPiNAnalysis[[Admin2PCODE]:[Admin2PCODE]],tblPiNAnalysis[% EDU],0,0)</f>
        <v>0.05</v>
      </c>
      <c r="R174" s="6" cm="1">
        <f t="array" ref="R174">_xlfn.XLOOKUP(Table8[[#This Row],[Admin2PCODE]:[Admin2PCODE]],tblPiNAnalysis[[Admin2PCODE]:[Admin2PCODE]],tblPiNAnalysis[% PRO],0,0)</f>
        <v>0.1</v>
      </c>
      <c r="S174" s="6" cm="1">
        <f t="array" ref="S174">_xlfn.XLOOKUP(Table8[[#This Row],[Admin2PCODE]:[Admin2PCODE]],tblPiNAnalysis[[Admin2PCODE]:[Admin2PCODE]],tblPiNAnalysis[% WASH],0,0)</f>
        <v>0</v>
      </c>
      <c r="T174" s="6" cm="1">
        <f t="array" ref="T174">_xlfn.XLOOKUP(Table8[[#This Row],[Admin2PCODE]:[Admin2PCODE]],tblPiNAnalysis[[Admin2PCODE]:[Admin2PCODE]],tblPiNAnalysis[% NNA],0,0)</f>
        <v>0.05</v>
      </c>
      <c r="U174" s="6" cm="1">
        <f t="array" ref="U174">_xlfn.XLOOKUP(Table8[[#This Row],[Admin2PCODE]:[Admin2PCODE]],tblPiNAnalysis[[Admin2PCODE]:[Admin2PCODE]],tblPiNAnalysis[% VBG],0,0)</f>
        <v>0.05</v>
      </c>
      <c r="V174" s="8" cm="1">
        <f t="array" ref="V174">_xlfn.XLOOKUP(Table8[[#This Row],[Admin2PCODE]:[Admin2PCODE]],tblPiNAnalysis[[Admin2PCODE]:[Admin2PCODE]],tblPiNAnalysis[PiN preliminar],0,0)</f>
        <v>0</v>
      </c>
      <c r="W174" s="308" cm="1">
        <f t="array" ref="W174">_xlfn.XLOOKUP(Table8[[#This Row],[Admin2PCODE]],tblPiNAnalysis[Admin2PCODE],tblSeverityAnalysis[Severidad media],0,0)</f>
        <v>2.3333333333333335</v>
      </c>
      <c r="X174" s="42">
        <f>Table8[[#This Row],[Severidad media]]*6</f>
        <v>14</v>
      </c>
      <c r="Y174" s="6" cm="1">
        <f t="array" ref="Y174">_xlfn.XLOOKUP(Table8[[#This Row],[Admin2PCODE]],tblPiNAnalysis[Admin2PCODE],tblPiNAnalysis[% PiN Sectores más altos],0,0)</f>
        <v>0.36499999999999999</v>
      </c>
      <c r="Z174" s="42" cm="1">
        <f t="array" ref="Z174">_xlfn.XLOOKUP(Table8[[#This Row],[Admin2PCODE]:[Admin2PCODE]],tblPiNAnalysis[[Admin2PCODE]:[Admin2PCODE]],tblPiNAnalysis[Severidad],0,0)</f>
        <v>2</v>
      </c>
      <c r="AA174">
        <f>_xlfn.XLOOKUP(Table8[[#This Row],[Admin2PCODE]],tblSeverityAnalysis[Admin 2 Código P],tblSeverityAnalysis[Severidad Ttotal 2025],0,0)</f>
        <v>3</v>
      </c>
      <c r="AB174" t="str">
        <f>_xlfn.XLOOKUP(Table8[[#This Row],[Admin2PCODE]],tblSeverityAnalysis[Admin 2 Código P],tblSeverityAnalysis[Priorización Final 2025],0,0)</f>
        <v>No</v>
      </c>
      <c r="AC174">
        <v>1</v>
      </c>
      <c r="AD174" t="s">
        <v>952</v>
      </c>
      <c r="AE174">
        <v>2</v>
      </c>
      <c r="AF174">
        <v>0</v>
      </c>
      <c r="AG174">
        <v>0</v>
      </c>
      <c r="AH174">
        <v>0</v>
      </c>
      <c r="AI174">
        <v>0</v>
      </c>
      <c r="AJ174">
        <v>2</v>
      </c>
      <c r="AK174">
        <v>0</v>
      </c>
      <c r="AL174">
        <v>0</v>
      </c>
      <c r="AM174">
        <v>0</v>
      </c>
      <c r="AN174">
        <v>0</v>
      </c>
      <c r="AO174" s="314">
        <f>Table8[[#This Row],[N° Clústeres con respuesta]]/Table8[[#This Row],[Org Total]]</f>
        <v>0.5</v>
      </c>
      <c r="AP174" s="313">
        <v>3501</v>
      </c>
      <c r="AQ174" s="313">
        <v>4</v>
      </c>
      <c r="AR174" s="312">
        <f>Table8[[#This Row],[Alcanzados Oct 2025]]/Table8[[#This Row],[Meta 2025]]</f>
        <v>1.1425307055127106E-3</v>
      </c>
      <c r="AS174" s="423">
        <v>0</v>
      </c>
      <c r="AT174" s="423">
        <v>0</v>
      </c>
      <c r="AU174" s="423">
        <v>0</v>
      </c>
      <c r="AV174" s="423">
        <v>0</v>
      </c>
      <c r="AW174" s="423">
        <v>4</v>
      </c>
      <c r="AX174" s="423">
        <v>0</v>
      </c>
      <c r="AY174" s="423">
        <v>0</v>
      </c>
      <c r="AZ174" s="423">
        <v>0</v>
      </c>
      <c r="BA174" s="42">
        <v>0</v>
      </c>
    </row>
    <row r="175" spans="1:53">
      <c r="A175" t="s">
        <v>411</v>
      </c>
      <c r="B175" t="s">
        <v>412</v>
      </c>
      <c r="C175" t="s">
        <v>276</v>
      </c>
      <c r="D175" t="s">
        <v>436</v>
      </c>
      <c r="E175" s="8">
        <v>22370</v>
      </c>
      <c r="F175" s="8">
        <v>746</v>
      </c>
      <c r="G175" s="8">
        <v>693.6631542500686</v>
      </c>
      <c r="H175" s="8">
        <v>8165.05</v>
      </c>
      <c r="I175" s="8">
        <v>1868.6308938031632</v>
      </c>
      <c r="J175" s="8">
        <v>2245.1329613171638</v>
      </c>
      <c r="K175" s="8">
        <v>0</v>
      </c>
      <c r="L175" s="8">
        <v>718.44254762149239</v>
      </c>
      <c r="M175" s="8">
        <v>785.79653646100724</v>
      </c>
      <c r="N175" s="6" cm="1">
        <f t="array" ref="N175">_xlfn.XLOOKUP(Table8[[#This Row],[Admin2PCODE]:[Admin2PCODE]],tblPiNAnalysis[[Admin2PCODE]:[Admin2PCODE]],tblPiNAnalysis[% SAMV],0,0)</f>
        <v>0.05</v>
      </c>
      <c r="O175" s="6" cm="1">
        <f t="array" ref="O175">_xlfn.XLOOKUP(Table8[[#This Row],[Admin2PCODE]:[Admin2PCODE]],tblPiNAnalysis[[Admin2PCODE]:[Admin2PCODE]],tblPiNAnalysis[% NUT],0,0)</f>
        <v>0.05</v>
      </c>
      <c r="P175" s="6" cm="1">
        <f t="array" ref="P175">_xlfn.XLOOKUP(Table8[[#This Row],[Admin2PCODE]:[Admin2PCODE]],tblPiNAnalysis[[Admin2PCODE]:[Admin2PCODE]],tblPiNAnalysis[% SAL],0,0)</f>
        <v>0.35000000000000003</v>
      </c>
      <c r="Q175" s="6" cm="1">
        <f t="array" ref="Q175">_xlfn.XLOOKUP(Table8[[#This Row],[Admin2PCODE]:[Admin2PCODE]],tblPiNAnalysis[[Admin2PCODE]:[Admin2PCODE]],tblPiNAnalysis[% EDU],0,0)</f>
        <v>0.1</v>
      </c>
      <c r="R175" s="6" cm="1">
        <f t="array" ref="R175">_xlfn.XLOOKUP(Table8[[#This Row],[Admin2PCODE]:[Admin2PCODE]],tblPiNAnalysis[[Admin2PCODE]:[Admin2PCODE]],tblPiNAnalysis[% PRO],0,0)</f>
        <v>0.1</v>
      </c>
      <c r="S175" s="6" cm="1">
        <f t="array" ref="S175">_xlfn.XLOOKUP(Table8[[#This Row],[Admin2PCODE]:[Admin2PCODE]],tblPiNAnalysis[[Admin2PCODE]:[Admin2PCODE]],tblPiNAnalysis[% WASH],0,0)</f>
        <v>0</v>
      </c>
      <c r="T175" s="6" cm="1">
        <f t="array" ref="T175">_xlfn.XLOOKUP(Table8[[#This Row],[Admin2PCODE]:[Admin2PCODE]],tblPiNAnalysis[[Admin2PCODE]:[Admin2PCODE]],tblPiNAnalysis[% NNA],0,0)</f>
        <v>0.05</v>
      </c>
      <c r="U175" s="6" cm="1">
        <f t="array" ref="U175">_xlfn.XLOOKUP(Table8[[#This Row],[Admin2PCODE]:[Admin2PCODE]],tblPiNAnalysis[[Admin2PCODE]:[Admin2PCODE]],tblPiNAnalysis[% VBG],0,0)</f>
        <v>0.05</v>
      </c>
      <c r="V175" s="8" cm="1">
        <f t="array" ref="V175">_xlfn.XLOOKUP(Table8[[#This Row],[Admin2PCODE]:[Admin2PCODE]],tblPiNAnalysis[[Admin2PCODE]:[Admin2PCODE]],tblPiNAnalysis[PiN preliminar],0,0)</f>
        <v>0</v>
      </c>
      <c r="W175" s="308" cm="1">
        <f t="array" ref="W175">_xlfn.XLOOKUP(Table8[[#This Row],[Admin2PCODE]],tblPiNAnalysis[Admin2PCODE],tblSeverityAnalysis[Severidad media],0,0)</f>
        <v>2.5</v>
      </c>
      <c r="X175" s="42">
        <f>Table8[[#This Row],[Severidad media]]*6</f>
        <v>15</v>
      </c>
      <c r="Y175" s="6" cm="1">
        <f t="array" ref="Y175">_xlfn.XLOOKUP(Table8[[#This Row],[Admin2PCODE]],tblPiNAnalysis[Admin2PCODE],tblPiNAnalysis[% PiN Sectores más altos],0,0)</f>
        <v>0.36499999999999999</v>
      </c>
      <c r="Z175" s="42" cm="1">
        <f t="array" ref="Z175">_xlfn.XLOOKUP(Table8[[#This Row],[Admin2PCODE]:[Admin2PCODE]],tblPiNAnalysis[[Admin2PCODE]:[Admin2PCODE]],tblPiNAnalysis[Severidad],0,0)</f>
        <v>2</v>
      </c>
      <c r="AA175">
        <f>_xlfn.XLOOKUP(Table8[[#This Row],[Admin2PCODE]],tblSeverityAnalysis[Admin 2 Código P],tblSeverityAnalysis[Severidad Ttotal 2025],0,0)</f>
        <v>3</v>
      </c>
      <c r="AB175" t="str">
        <f>_xlfn.XLOOKUP(Table8[[#This Row],[Admin2PCODE]],tblSeverityAnalysis[Admin 2 Código P],tblSeverityAnalysis[Priorización Final 2025],0,0)</f>
        <v>No</v>
      </c>
      <c r="AC175">
        <v>5</v>
      </c>
      <c r="AD175" t="s">
        <v>1049</v>
      </c>
      <c r="AE175">
        <v>4</v>
      </c>
      <c r="AF175">
        <v>0</v>
      </c>
      <c r="AG175">
        <v>1</v>
      </c>
      <c r="AH175">
        <v>0</v>
      </c>
      <c r="AI175">
        <v>1</v>
      </c>
      <c r="AJ175">
        <v>4</v>
      </c>
      <c r="AK175">
        <v>0</v>
      </c>
      <c r="AL175">
        <v>1</v>
      </c>
      <c r="AM175">
        <v>0</v>
      </c>
      <c r="AN175">
        <v>1</v>
      </c>
      <c r="AO175" s="314">
        <f>Table8[[#This Row],[N° Clústeres con respuesta]]/Table8[[#This Row],[Org Total]]</f>
        <v>1.25</v>
      </c>
      <c r="AP175" s="313">
        <v>5224</v>
      </c>
      <c r="AQ175" s="313">
        <v>52</v>
      </c>
      <c r="AR175" s="312">
        <f>Table8[[#This Row],[Alcanzados Oct 2025]]/Table8[[#This Row],[Meta 2025]]</f>
        <v>9.954058192955589E-3</v>
      </c>
      <c r="AS175" s="423">
        <v>0</v>
      </c>
      <c r="AT175" s="423">
        <v>0</v>
      </c>
      <c r="AU175" s="423">
        <v>0</v>
      </c>
      <c r="AV175" s="423">
        <v>0</v>
      </c>
      <c r="AW175" s="423">
        <v>34</v>
      </c>
      <c r="AX175" s="423">
        <v>0</v>
      </c>
      <c r="AY175" s="423">
        <v>27</v>
      </c>
      <c r="AZ175" s="423">
        <v>0</v>
      </c>
      <c r="BA175" s="42">
        <v>0</v>
      </c>
    </row>
    <row r="176" spans="1:53">
      <c r="A176" t="s">
        <v>411</v>
      </c>
      <c r="B176" t="s">
        <v>412</v>
      </c>
      <c r="C176" t="s">
        <v>831</v>
      </c>
      <c r="D176" t="s">
        <v>438</v>
      </c>
      <c r="E176" s="8">
        <v>25338</v>
      </c>
      <c r="F176" s="8">
        <v>7679</v>
      </c>
      <c r="G176" s="8">
        <v>857.33692726325989</v>
      </c>
      <c r="H176" s="8">
        <v>9248.3700000000008</v>
      </c>
      <c r="I176" s="8">
        <v>1349.8584867288907</v>
      </c>
      <c r="J176" s="8">
        <v>2543.0120238647428</v>
      </c>
      <c r="K176" s="8">
        <v>0</v>
      </c>
      <c r="L176" s="8">
        <v>813.76384763671763</v>
      </c>
      <c r="M176" s="8">
        <v>890.05420835265988</v>
      </c>
      <c r="N176" s="6" cm="1">
        <f t="array" ref="N176">_xlfn.XLOOKUP(Table8[[#This Row],[Admin2PCODE]:[Admin2PCODE]],tblPiNAnalysis[[Admin2PCODE]:[Admin2PCODE]],tblPiNAnalysis[% SAMV],0,0)</f>
        <v>0.30000000000000004</v>
      </c>
      <c r="O176" s="6" cm="1">
        <f t="array" ref="O176">_xlfn.XLOOKUP(Table8[[#This Row],[Admin2PCODE]:[Admin2PCODE]],tblPiNAnalysis[[Admin2PCODE]:[Admin2PCODE]],tblPiNAnalysis[% NUT],0,0)</f>
        <v>0.05</v>
      </c>
      <c r="P176" s="6" cm="1">
        <f t="array" ref="P176">_xlfn.XLOOKUP(Table8[[#This Row],[Admin2PCODE]:[Admin2PCODE]],tblPiNAnalysis[[Admin2PCODE]:[Admin2PCODE]],tblPiNAnalysis[% SAL],0,0)</f>
        <v>0.35000000000000003</v>
      </c>
      <c r="Q176" s="6" cm="1">
        <f t="array" ref="Q176">_xlfn.XLOOKUP(Table8[[#This Row],[Admin2PCODE]:[Admin2PCODE]],tblPiNAnalysis[[Admin2PCODE]:[Admin2PCODE]],tblPiNAnalysis[% EDU],0,0)</f>
        <v>0.05</v>
      </c>
      <c r="R176" s="6" cm="1">
        <f t="array" ref="R176">_xlfn.XLOOKUP(Table8[[#This Row],[Admin2PCODE]:[Admin2PCODE]],tblPiNAnalysis[[Admin2PCODE]:[Admin2PCODE]],tblPiNAnalysis[% PRO],0,0)</f>
        <v>0.1</v>
      </c>
      <c r="S176" s="6" cm="1">
        <f t="array" ref="S176">_xlfn.XLOOKUP(Table8[[#This Row],[Admin2PCODE]:[Admin2PCODE]],tblPiNAnalysis[[Admin2PCODE]:[Admin2PCODE]],tblPiNAnalysis[% WASH],0,0)</f>
        <v>0</v>
      </c>
      <c r="T176" s="6" cm="1">
        <f t="array" ref="T176">_xlfn.XLOOKUP(Table8[[#This Row],[Admin2PCODE]:[Admin2PCODE]],tblPiNAnalysis[[Admin2PCODE]:[Admin2PCODE]],tblPiNAnalysis[% NNA],0,0)</f>
        <v>0.05</v>
      </c>
      <c r="U176" s="6" cm="1">
        <f t="array" ref="U176">_xlfn.XLOOKUP(Table8[[#This Row],[Admin2PCODE]:[Admin2PCODE]],tblPiNAnalysis[[Admin2PCODE]:[Admin2PCODE]],tblPiNAnalysis[% VBG],0,0)</f>
        <v>0.05</v>
      </c>
      <c r="V176" s="8" cm="1">
        <f t="array" ref="V176">_xlfn.XLOOKUP(Table8[[#This Row],[Admin2PCODE]:[Admin2PCODE]],tblPiNAnalysis[[Admin2PCODE]:[Admin2PCODE]],tblPiNAnalysis[PiN preliminar],0,0)</f>
        <v>0</v>
      </c>
      <c r="W176" s="308" cm="1">
        <f t="array" ref="W176">_xlfn.XLOOKUP(Table8[[#This Row],[Admin2PCODE]],tblPiNAnalysis[Admin2PCODE],tblSeverityAnalysis[Severidad media],0,0)</f>
        <v>2.5</v>
      </c>
      <c r="X176" s="42">
        <f>Table8[[#This Row],[Severidad media]]*6</f>
        <v>15</v>
      </c>
      <c r="Y176" s="6" cm="1">
        <f t="array" ref="Y176">_xlfn.XLOOKUP(Table8[[#This Row],[Admin2PCODE]],tblPiNAnalysis[Admin2PCODE],tblPiNAnalysis[% PiN Sectores más altos],0,0)</f>
        <v>0.36500000000000005</v>
      </c>
      <c r="Z176" s="42" cm="1">
        <f t="array" ref="Z176">_xlfn.XLOOKUP(Table8[[#This Row],[Admin2PCODE]:[Admin2PCODE]],tblPiNAnalysis[[Admin2PCODE]:[Admin2PCODE]],tblPiNAnalysis[Severidad],0,0)</f>
        <v>2</v>
      </c>
      <c r="AA176">
        <f>_xlfn.XLOOKUP(Table8[[#This Row],[Admin2PCODE]],tblSeverityAnalysis[Admin 2 Código P],tblSeverityAnalysis[Severidad Ttotal 2025],0,0)</f>
        <v>3</v>
      </c>
      <c r="AB176" t="str">
        <f>_xlfn.XLOOKUP(Table8[[#This Row],[Admin2PCODE]],tblSeverityAnalysis[Admin 2 Código P],tblSeverityAnalysis[Priorización Final 2025],0,0)</f>
        <v>No</v>
      </c>
      <c r="AC176">
        <v>2</v>
      </c>
      <c r="AD176" t="s">
        <v>1015</v>
      </c>
      <c r="AE176">
        <v>5</v>
      </c>
      <c r="AF176">
        <v>0</v>
      </c>
      <c r="AG176">
        <v>0</v>
      </c>
      <c r="AH176">
        <v>0</v>
      </c>
      <c r="AI176">
        <v>0</v>
      </c>
      <c r="AJ176">
        <v>5</v>
      </c>
      <c r="AK176">
        <v>2</v>
      </c>
      <c r="AL176">
        <v>0</v>
      </c>
      <c r="AM176">
        <v>0</v>
      </c>
      <c r="AN176">
        <v>0</v>
      </c>
      <c r="AO176" s="314">
        <f>Table8[[#This Row],[N° Clústeres con respuesta]]/Table8[[#This Row],[Org Total]]</f>
        <v>0.4</v>
      </c>
      <c r="AP176" s="313">
        <v>5914</v>
      </c>
      <c r="AQ176" s="313">
        <v>26</v>
      </c>
      <c r="AR176" s="312">
        <f>Table8[[#This Row],[Alcanzados Oct 2025]]/Table8[[#This Row],[Meta 2025]]</f>
        <v>4.39634764964491E-3</v>
      </c>
      <c r="AS176" s="423">
        <v>0</v>
      </c>
      <c r="AT176" s="423">
        <v>0</v>
      </c>
      <c r="AU176" s="423">
        <v>0</v>
      </c>
      <c r="AV176" s="423">
        <v>0</v>
      </c>
      <c r="AW176" s="423">
        <v>11</v>
      </c>
      <c r="AX176" s="423">
        <v>19</v>
      </c>
      <c r="AY176" s="423">
        <v>0</v>
      </c>
      <c r="AZ176" s="423">
        <v>0</v>
      </c>
      <c r="BA176" s="42">
        <v>0</v>
      </c>
    </row>
    <row r="177" spans="1:53">
      <c r="A177" t="s">
        <v>411</v>
      </c>
      <c r="B177" t="s">
        <v>412</v>
      </c>
      <c r="C177" t="s">
        <v>439</v>
      </c>
      <c r="D177" t="s">
        <v>440</v>
      </c>
      <c r="E177" s="8">
        <v>3259</v>
      </c>
      <c r="F177" s="8">
        <v>551</v>
      </c>
      <c r="G177" s="8">
        <v>101.06160878920954</v>
      </c>
      <c r="H177" s="8">
        <v>2550.4</v>
      </c>
      <c r="I177" s="8">
        <v>349.47561915041911</v>
      </c>
      <c r="J177" s="8">
        <v>327.0848601221565</v>
      </c>
      <c r="K177" s="8">
        <v>0</v>
      </c>
      <c r="L177" s="8">
        <v>104.99424009921225</v>
      </c>
      <c r="M177" s="8">
        <v>114.47970104275477</v>
      </c>
      <c r="N177" s="6" cm="1">
        <f t="array" ref="N177">_xlfn.XLOOKUP(Table8[[#This Row],[Admin2PCODE]:[Admin2PCODE]],tblPiNAnalysis[[Admin2PCODE]:[Admin2PCODE]],tblPiNAnalysis[% SAMV],0,0)</f>
        <v>0.15000000000000002</v>
      </c>
      <c r="O177" s="6" cm="1">
        <f t="array" ref="O177">_xlfn.XLOOKUP(Table8[[#This Row],[Admin2PCODE]:[Admin2PCODE]],tblPiNAnalysis[[Admin2PCODE]:[Admin2PCODE]],tblPiNAnalysis[% NUT],0,0)</f>
        <v>0.05</v>
      </c>
      <c r="P177" s="6" cm="1">
        <f t="array" ref="P177">_xlfn.XLOOKUP(Table8[[#This Row],[Admin2PCODE]:[Admin2PCODE]],tblPiNAnalysis[[Admin2PCODE]:[Admin2PCODE]],tblPiNAnalysis[% SAL],0,0)</f>
        <v>0.8</v>
      </c>
      <c r="Q177" s="6" cm="1">
        <f t="array" ref="Q177">_xlfn.XLOOKUP(Table8[[#This Row],[Admin2PCODE]:[Admin2PCODE]],tblPiNAnalysis[[Admin2PCODE]:[Admin2PCODE]],tblPiNAnalysis[% EDU],0,0)</f>
        <v>0.1</v>
      </c>
      <c r="R177" s="6" cm="1">
        <f t="array" ref="R177">_xlfn.XLOOKUP(Table8[[#This Row],[Admin2PCODE]:[Admin2PCODE]],tblPiNAnalysis[[Admin2PCODE]:[Admin2PCODE]],tblPiNAnalysis[% PRO],0,0)</f>
        <v>0.1</v>
      </c>
      <c r="S177" s="6" cm="1">
        <f t="array" ref="S177">_xlfn.XLOOKUP(Table8[[#This Row],[Admin2PCODE]:[Admin2PCODE]],tblPiNAnalysis[[Admin2PCODE]:[Admin2PCODE]],tblPiNAnalysis[% WASH],0,0)</f>
        <v>0</v>
      </c>
      <c r="T177" s="6" cm="1">
        <f t="array" ref="T177">_xlfn.XLOOKUP(Table8[[#This Row],[Admin2PCODE]:[Admin2PCODE]],tblPiNAnalysis[[Admin2PCODE]:[Admin2PCODE]],tblPiNAnalysis[% NNA],0,0)</f>
        <v>0.05</v>
      </c>
      <c r="U177" s="6" cm="1">
        <f t="array" ref="U177">_xlfn.XLOOKUP(Table8[[#This Row],[Admin2PCODE]:[Admin2PCODE]],tblPiNAnalysis[[Admin2PCODE]:[Admin2PCODE]],tblPiNAnalysis[% VBG],0,0)</f>
        <v>0.05</v>
      </c>
      <c r="V177" s="8" cm="1">
        <f t="array" ref="V177">_xlfn.XLOOKUP(Table8[[#This Row],[Admin2PCODE]:[Admin2PCODE]],tblPiNAnalysis[[Admin2PCODE]:[Admin2PCODE]],tblPiNAnalysis[PiN preliminar],0,0)</f>
        <v>0</v>
      </c>
      <c r="W177" s="308" cm="1">
        <f t="array" ref="W177">_xlfn.XLOOKUP(Table8[[#This Row],[Admin2PCODE]],tblPiNAnalysis[Admin2PCODE],tblSeverityAnalysis[Severidad media],0,0)</f>
        <v>2</v>
      </c>
      <c r="X177" s="42">
        <f>Table8[[#This Row],[Severidad media]]*6</f>
        <v>12</v>
      </c>
      <c r="Y177" s="6" cm="1">
        <f t="array" ref="Y177">_xlfn.XLOOKUP(Table8[[#This Row],[Admin2PCODE]],tblPiNAnalysis[Admin2PCODE],tblPiNAnalysis[% PiN Sectores más altos],0,0)</f>
        <v>0.78257134090211722</v>
      </c>
      <c r="Z177" s="42" cm="1">
        <f t="array" ref="Z177">_xlfn.XLOOKUP(Table8[[#This Row],[Admin2PCODE]:[Admin2PCODE]],tblPiNAnalysis[[Admin2PCODE]:[Admin2PCODE]],tblPiNAnalysis[Severidad],0,0)</f>
        <v>2</v>
      </c>
      <c r="AA177">
        <f>_xlfn.XLOOKUP(Table8[[#This Row],[Admin2PCODE]],tblSeverityAnalysis[Admin 2 Código P],tblSeverityAnalysis[Severidad Ttotal 2025],0,0)</f>
        <v>3</v>
      </c>
      <c r="AB177" t="str">
        <f>_xlfn.XLOOKUP(Table8[[#This Row],[Admin2PCODE]],tblSeverityAnalysis[Admin 2 Código P],tblSeverityAnalysis[Priorización Final 2025],0,0)</f>
        <v>No</v>
      </c>
      <c r="AC177">
        <v>0</v>
      </c>
      <c r="AD177">
        <v>0</v>
      </c>
      <c r="AE177">
        <v>0</v>
      </c>
      <c r="AF177">
        <v>0</v>
      </c>
      <c r="AG177">
        <v>0</v>
      </c>
      <c r="AH177">
        <v>0</v>
      </c>
      <c r="AI177">
        <v>0</v>
      </c>
      <c r="AJ177">
        <v>0</v>
      </c>
      <c r="AK177">
        <v>0</v>
      </c>
      <c r="AL177">
        <v>0</v>
      </c>
      <c r="AM177">
        <v>0</v>
      </c>
      <c r="AN177">
        <v>0</v>
      </c>
      <c r="AO177" s="314" t="e">
        <f>Table8[[#This Row],[N° Clústeres con respuesta]]/Table8[[#This Row],[Org Total]]</f>
        <v>#DIV/0!</v>
      </c>
      <c r="AP177" s="313">
        <v>731</v>
      </c>
      <c r="AQ177" s="313">
        <v>0</v>
      </c>
      <c r="AR177" s="312">
        <f>Table8[[#This Row],[Alcanzados Oct 2025]]/Table8[[#This Row],[Meta 2025]]</f>
        <v>0</v>
      </c>
      <c r="AS177" s="423">
        <v>0</v>
      </c>
      <c r="AT177" s="423">
        <v>0</v>
      </c>
      <c r="AU177" s="423">
        <v>0</v>
      </c>
      <c r="AV177" s="423">
        <v>0</v>
      </c>
      <c r="AW177" s="423">
        <v>0</v>
      </c>
      <c r="AX177" s="423">
        <v>0</v>
      </c>
      <c r="AY177" s="423">
        <v>0</v>
      </c>
      <c r="AZ177" s="423">
        <v>0</v>
      </c>
      <c r="BA177" s="42">
        <v>0</v>
      </c>
    </row>
    <row r="178" spans="1:53">
      <c r="A178" t="s">
        <v>411</v>
      </c>
      <c r="B178" t="s">
        <v>412</v>
      </c>
      <c r="C178" t="s">
        <v>441</v>
      </c>
      <c r="D178" t="s">
        <v>442</v>
      </c>
      <c r="E178" s="8">
        <v>10959</v>
      </c>
      <c r="F178" s="8">
        <v>731</v>
      </c>
      <c r="G178" s="8">
        <v>361.92584057595525</v>
      </c>
      <c r="H178" s="8">
        <v>4900</v>
      </c>
      <c r="I178" s="8">
        <v>568.89259314690139</v>
      </c>
      <c r="J178" s="8">
        <v>1099.884314844649</v>
      </c>
      <c r="K178" s="8">
        <v>0</v>
      </c>
      <c r="L178" s="8">
        <v>351.96298075028767</v>
      </c>
      <c r="M178" s="8">
        <v>384.9595101956271</v>
      </c>
      <c r="N178" s="6" cm="1">
        <f t="array" ref="N178">_xlfn.XLOOKUP(Table8[[#This Row],[Admin2PCODE]:[Admin2PCODE]],tblPiNAnalysis[[Admin2PCODE]:[Admin2PCODE]],tblPiNAnalysis[% SAMV],0,0)</f>
        <v>0.05</v>
      </c>
      <c r="O178" s="6" cm="1">
        <f t="array" ref="O178">_xlfn.XLOOKUP(Table8[[#This Row],[Admin2PCODE]:[Admin2PCODE]],tblPiNAnalysis[[Admin2PCODE]:[Admin2PCODE]],tblPiNAnalysis[% NUT],0,0)</f>
        <v>0.05</v>
      </c>
      <c r="P178" s="6" cm="1">
        <f t="array" ref="P178">_xlfn.XLOOKUP(Table8[[#This Row],[Admin2PCODE]:[Admin2PCODE]],tblPiNAnalysis[[Admin2PCODE]:[Admin2PCODE]],tblPiNAnalysis[% SAL],0,0)</f>
        <v>0.45</v>
      </c>
      <c r="Q178" s="6" cm="1">
        <f t="array" ref="Q178">_xlfn.XLOOKUP(Table8[[#This Row],[Admin2PCODE]:[Admin2PCODE]],tblPiNAnalysis[[Admin2PCODE]:[Admin2PCODE]],tblPiNAnalysis[% EDU],0,0)</f>
        <v>0.05</v>
      </c>
      <c r="R178" s="6" cm="1">
        <f t="array" ref="R178">_xlfn.XLOOKUP(Table8[[#This Row],[Admin2PCODE]:[Admin2PCODE]],tblPiNAnalysis[[Admin2PCODE]:[Admin2PCODE]],tblPiNAnalysis[% PRO],0,0)</f>
        <v>0.1</v>
      </c>
      <c r="S178" s="6" cm="1">
        <f t="array" ref="S178">_xlfn.XLOOKUP(Table8[[#This Row],[Admin2PCODE]:[Admin2PCODE]],tblPiNAnalysis[[Admin2PCODE]:[Admin2PCODE]],tblPiNAnalysis[% WASH],0,0)</f>
        <v>0</v>
      </c>
      <c r="T178" s="6" cm="1">
        <f t="array" ref="T178">_xlfn.XLOOKUP(Table8[[#This Row],[Admin2PCODE]:[Admin2PCODE]],tblPiNAnalysis[[Admin2PCODE]:[Admin2PCODE]],tblPiNAnalysis[% NNA],0,0)</f>
        <v>0.05</v>
      </c>
      <c r="U178" s="6" cm="1">
        <f t="array" ref="U178">_xlfn.XLOOKUP(Table8[[#This Row],[Admin2PCODE]:[Admin2PCODE]],tblPiNAnalysis[[Admin2PCODE]:[Admin2PCODE]],tblPiNAnalysis[% VBG],0,0)</f>
        <v>0.05</v>
      </c>
      <c r="V178" s="8" cm="1">
        <f t="array" ref="V178">_xlfn.XLOOKUP(Table8[[#This Row],[Admin2PCODE]:[Admin2PCODE]],tblPiNAnalysis[[Admin2PCODE]:[Admin2PCODE]],tblPiNAnalysis[PiN preliminar],0,0)</f>
        <v>0</v>
      </c>
      <c r="W178" s="308" cm="1">
        <f t="array" ref="W178">_xlfn.XLOOKUP(Table8[[#This Row],[Admin2PCODE]],tblPiNAnalysis[Admin2PCODE],tblSeverityAnalysis[Severidad media],0,0)</f>
        <v>2.6666666666666665</v>
      </c>
      <c r="X178" s="42">
        <f>Table8[[#This Row],[Severidad media]]*6</f>
        <v>16</v>
      </c>
      <c r="Y178" s="6" cm="1">
        <f t="array" ref="Y178">_xlfn.XLOOKUP(Table8[[#This Row],[Admin2PCODE]],tblPiNAnalysis[Admin2PCODE],tblPiNAnalysis[% PiN Sectores más altos],0,0)</f>
        <v>0.4471210876904827</v>
      </c>
      <c r="Z178" s="42" cm="1">
        <f t="array" ref="Z178">_xlfn.XLOOKUP(Table8[[#This Row],[Admin2PCODE]:[Admin2PCODE]],tblPiNAnalysis[[Admin2PCODE]:[Admin2PCODE]],tblPiNAnalysis[Severidad],0,0)</f>
        <v>2</v>
      </c>
      <c r="AA178">
        <f>_xlfn.XLOOKUP(Table8[[#This Row],[Admin2PCODE]],tblSeverityAnalysis[Admin 2 Código P],tblSeverityAnalysis[Severidad Ttotal 2025],0,0)</f>
        <v>3</v>
      </c>
      <c r="AB178" t="str">
        <f>_xlfn.XLOOKUP(Table8[[#This Row],[Admin2PCODE]],tblSeverityAnalysis[Admin 2 Código P],tblSeverityAnalysis[Priorización Final 2025],0,0)</f>
        <v>No</v>
      </c>
      <c r="AC178">
        <v>0</v>
      </c>
      <c r="AD178">
        <v>0</v>
      </c>
      <c r="AE178">
        <v>0</v>
      </c>
      <c r="AF178">
        <v>0</v>
      </c>
      <c r="AG178">
        <v>0</v>
      </c>
      <c r="AH178">
        <v>0</v>
      </c>
      <c r="AI178">
        <v>0</v>
      </c>
      <c r="AJ178">
        <v>0</v>
      </c>
      <c r="AK178">
        <v>0</v>
      </c>
      <c r="AL178">
        <v>0</v>
      </c>
      <c r="AM178">
        <v>0</v>
      </c>
      <c r="AN178">
        <v>0</v>
      </c>
      <c r="AO178" s="314" t="e">
        <f>Table8[[#This Row],[N° Clústeres con respuesta]]/Table8[[#This Row],[Org Total]]</f>
        <v>#DIV/0!</v>
      </c>
      <c r="AP178" s="313">
        <v>2562</v>
      </c>
      <c r="AQ178" s="313">
        <v>0</v>
      </c>
      <c r="AR178" s="312">
        <f>Table8[[#This Row],[Alcanzados Oct 2025]]/Table8[[#This Row],[Meta 2025]]</f>
        <v>0</v>
      </c>
      <c r="AS178" s="423">
        <v>0</v>
      </c>
      <c r="AT178" s="423">
        <v>0</v>
      </c>
      <c r="AU178" s="423">
        <v>0</v>
      </c>
      <c r="AV178" s="423">
        <v>0</v>
      </c>
      <c r="AW178" s="423">
        <v>0</v>
      </c>
      <c r="AX178" s="423">
        <v>0</v>
      </c>
      <c r="AY178" s="423">
        <v>0</v>
      </c>
      <c r="AZ178" s="423">
        <v>0</v>
      </c>
      <c r="BA178" s="42">
        <v>0</v>
      </c>
    </row>
    <row r="179" spans="1:53">
      <c r="A179" t="s">
        <v>411</v>
      </c>
      <c r="B179" t="s">
        <v>412</v>
      </c>
      <c r="C179" t="s">
        <v>443</v>
      </c>
      <c r="D179" t="s">
        <v>444</v>
      </c>
      <c r="E179" s="8">
        <v>19441</v>
      </c>
      <c r="F179" s="8">
        <v>1215</v>
      </c>
      <c r="G179" s="8">
        <v>618.26089629892681</v>
      </c>
      <c r="H179" s="8">
        <v>14000</v>
      </c>
      <c r="I179" s="8">
        <v>1588.824253037423</v>
      </c>
      <c r="J179" s="8">
        <v>3251.9467963766192</v>
      </c>
      <c r="K179" s="8">
        <v>1312.2675000000002</v>
      </c>
      <c r="L179" s="8">
        <v>1040.6229748405181</v>
      </c>
      <c r="M179" s="8">
        <v>1138.1813787318165</v>
      </c>
      <c r="N179" s="6" cm="1">
        <f t="array" ref="N179">_xlfn.XLOOKUP(Table8[[#This Row],[Admin2PCODE]:[Admin2PCODE]],tblPiNAnalysis[[Admin2PCODE]:[Admin2PCODE]],tblPiNAnalysis[% SAMV],0,0)</f>
        <v>0.05</v>
      </c>
      <c r="O179" s="6" cm="1">
        <f t="array" ref="O179">_xlfn.XLOOKUP(Table8[[#This Row],[Admin2PCODE]:[Admin2PCODE]],tblPiNAnalysis[[Admin2PCODE]:[Admin2PCODE]],tblPiNAnalysis[% NUT],0,0)</f>
        <v>0.05</v>
      </c>
      <c r="P179" s="6" cm="1">
        <f t="array" ref="P179">_xlfn.XLOOKUP(Table8[[#This Row],[Admin2PCODE]:[Admin2PCODE]],tblPiNAnalysis[[Admin2PCODE]:[Admin2PCODE]],tblPiNAnalysis[% SAL],0,0)</f>
        <v>0.70000000000000007</v>
      </c>
      <c r="Q179" s="6" cm="1">
        <f t="array" ref="Q179">_xlfn.XLOOKUP(Table8[[#This Row],[Admin2PCODE]:[Admin2PCODE]],tblPiNAnalysis[[Admin2PCODE]:[Admin2PCODE]],tblPiNAnalysis[% EDU],0,0)</f>
        <v>0.1</v>
      </c>
      <c r="R179" s="6" cm="1">
        <f t="array" ref="R179">_xlfn.XLOOKUP(Table8[[#This Row],[Admin2PCODE]:[Admin2PCODE]],tblPiNAnalysis[[Admin2PCODE]:[Admin2PCODE]],tblPiNAnalysis[% PRO],0,0)</f>
        <v>0.15000000000000002</v>
      </c>
      <c r="S179" s="6" cm="1">
        <f t="array" ref="S179">_xlfn.XLOOKUP(Table8[[#This Row],[Admin2PCODE]:[Admin2PCODE]],tblPiNAnalysis[[Admin2PCODE]:[Admin2PCODE]],tblPiNAnalysis[% WASH],0,0)</f>
        <v>0.05</v>
      </c>
      <c r="T179" s="6" cm="1">
        <f t="array" ref="T179">_xlfn.XLOOKUP(Table8[[#This Row],[Admin2PCODE]:[Admin2PCODE]],tblPiNAnalysis[[Admin2PCODE]:[Admin2PCODE]],tblPiNAnalysis[% NNA],0,0)</f>
        <v>0.05</v>
      </c>
      <c r="U179" s="6" cm="1">
        <f t="array" ref="U179">_xlfn.XLOOKUP(Table8[[#This Row],[Admin2PCODE]:[Admin2PCODE]],tblPiNAnalysis[[Admin2PCODE]:[Admin2PCODE]],tblPiNAnalysis[% VBG],0,0)</f>
        <v>0.05</v>
      </c>
      <c r="V179" s="8" cm="1">
        <f t="array" ref="V179">_xlfn.XLOOKUP(Table8[[#This Row],[Admin2PCODE]:[Admin2PCODE]],tblPiNAnalysis[[Admin2PCODE]:[Admin2PCODE]],tblPiNAnalysis[PiN preliminar],0,0)</f>
        <v>14000</v>
      </c>
      <c r="W179" s="308" cm="1">
        <f t="array" ref="W179">_xlfn.XLOOKUP(Table8[[#This Row],[Admin2PCODE]],tblPiNAnalysis[Admin2PCODE],tblSeverityAnalysis[Severidad media],0,0)</f>
        <v>3</v>
      </c>
      <c r="X179" s="42">
        <f>Table8[[#This Row],[Severidad media]]*6</f>
        <v>18</v>
      </c>
      <c r="Y179" s="6" cm="1">
        <f t="array" ref="Y179">_xlfn.XLOOKUP(Table8[[#This Row],[Admin2PCODE]],tblPiNAnalysis[Admin2PCODE],tblPiNAnalysis[% PiN Sectores más altos],0,0)</f>
        <v>0.72012756545445189</v>
      </c>
      <c r="Z179" s="42" cm="1">
        <f t="array" ref="Z179">_xlfn.XLOOKUP(Table8[[#This Row],[Admin2PCODE]:[Admin2PCODE]],tblPiNAnalysis[[Admin2PCODE]:[Admin2PCODE]],tblPiNAnalysis[Severidad],0,0)</f>
        <v>3</v>
      </c>
      <c r="AA179">
        <f>_xlfn.XLOOKUP(Table8[[#This Row],[Admin2PCODE]],tblSeverityAnalysis[Admin 2 Código P],tblSeverityAnalysis[Severidad Ttotal 2025],0,0)</f>
        <v>3</v>
      </c>
      <c r="AB179" t="str">
        <f>_xlfn.XLOOKUP(Table8[[#This Row],[Admin2PCODE]],tblSeverityAnalysis[Admin 2 Código P],tblSeverityAnalysis[Priorización Final 2025],0,0)</f>
        <v>No</v>
      </c>
      <c r="AC179">
        <v>5</v>
      </c>
      <c r="AD179" t="s">
        <v>1050</v>
      </c>
      <c r="AE179">
        <v>5</v>
      </c>
      <c r="AF179">
        <v>0</v>
      </c>
      <c r="AG179">
        <v>2</v>
      </c>
      <c r="AH179">
        <v>0</v>
      </c>
      <c r="AI179">
        <v>1</v>
      </c>
      <c r="AJ179">
        <v>2</v>
      </c>
      <c r="AK179">
        <v>0</v>
      </c>
      <c r="AL179">
        <v>1</v>
      </c>
      <c r="AM179">
        <v>0</v>
      </c>
      <c r="AN179">
        <v>1</v>
      </c>
      <c r="AO179" s="314">
        <f>Table8[[#This Row],[N° Clústeres con respuesta]]/Table8[[#This Row],[Org Total]]</f>
        <v>1</v>
      </c>
      <c r="AP179" s="313">
        <v>4538</v>
      </c>
      <c r="AQ179" s="313">
        <v>728</v>
      </c>
      <c r="AR179" s="312">
        <f>Table8[[#This Row],[Alcanzados Oct 2025]]/Table8[[#This Row],[Meta 2025]]</f>
        <v>0.16042309387395329</v>
      </c>
      <c r="AS179" s="423">
        <v>0</v>
      </c>
      <c r="AT179" s="423">
        <v>620</v>
      </c>
      <c r="AU179" s="423">
        <v>76</v>
      </c>
      <c r="AV179" s="423">
        <v>0</v>
      </c>
      <c r="AW179" s="423">
        <v>449</v>
      </c>
      <c r="AX179" s="423">
        <v>0</v>
      </c>
      <c r="AY179" s="423">
        <v>42</v>
      </c>
      <c r="AZ179" s="423">
        <v>0</v>
      </c>
      <c r="BA179" s="42">
        <v>310</v>
      </c>
    </row>
    <row r="180" spans="1:53">
      <c r="A180" t="s">
        <v>411</v>
      </c>
      <c r="B180" t="s">
        <v>412</v>
      </c>
      <c r="C180" t="s">
        <v>445</v>
      </c>
      <c r="D180" t="s">
        <v>446</v>
      </c>
      <c r="E180" s="8">
        <v>20581</v>
      </c>
      <c r="F180" s="8">
        <v>5038</v>
      </c>
      <c r="G180" s="8">
        <v>601.39446715371628</v>
      </c>
      <c r="H180" s="8">
        <v>7512.0649999999996</v>
      </c>
      <c r="I180" s="8">
        <v>2287.1514982759304</v>
      </c>
      <c r="J180" s="8">
        <v>3442.6375709185327</v>
      </c>
      <c r="K180" s="8">
        <v>1389.2175</v>
      </c>
      <c r="L180" s="8">
        <v>1105.0866602648489</v>
      </c>
      <c r="M180" s="8">
        <v>1204.9231498214863</v>
      </c>
      <c r="N180" s="6" cm="1">
        <f t="array" ref="N180">_xlfn.XLOOKUP(Table8[[#This Row],[Admin2PCODE]:[Admin2PCODE]],tblPiNAnalysis[[Admin2PCODE]:[Admin2PCODE]],tblPiNAnalysis[% SAMV],0,0)</f>
        <v>0.25</v>
      </c>
      <c r="O180" s="6" cm="1">
        <f t="array" ref="O180">_xlfn.XLOOKUP(Table8[[#This Row],[Admin2PCODE]:[Admin2PCODE]],tblPiNAnalysis[[Admin2PCODE]:[Admin2PCODE]],tblPiNAnalysis[% NUT],0,0)</f>
        <v>0.05</v>
      </c>
      <c r="P180" s="6" cm="1">
        <f t="array" ref="P180">_xlfn.XLOOKUP(Table8[[#This Row],[Admin2PCODE]:[Admin2PCODE]],tblPiNAnalysis[[Admin2PCODE]:[Admin2PCODE]],tblPiNAnalysis[% SAL],0,0)</f>
        <v>0.35000000000000003</v>
      </c>
      <c r="Q180" s="6" cm="1">
        <f t="array" ref="Q180">_xlfn.XLOOKUP(Table8[[#This Row],[Admin2PCODE]:[Admin2PCODE]],tblPiNAnalysis[[Admin2PCODE]:[Admin2PCODE]],tblPiNAnalysis[% EDU],0,0)</f>
        <v>0.1</v>
      </c>
      <c r="R180" s="6" cm="1">
        <f t="array" ref="R180">_xlfn.XLOOKUP(Table8[[#This Row],[Admin2PCODE]:[Admin2PCODE]],tblPiNAnalysis[[Admin2PCODE]:[Admin2PCODE]],tblPiNAnalysis[% PRO],0,0)</f>
        <v>0.15000000000000002</v>
      </c>
      <c r="S180" s="6" cm="1">
        <f t="array" ref="S180">_xlfn.XLOOKUP(Table8[[#This Row],[Admin2PCODE]:[Admin2PCODE]],tblPiNAnalysis[[Admin2PCODE]:[Admin2PCODE]],tblPiNAnalysis[% WASH],0,0)</f>
        <v>0.05</v>
      </c>
      <c r="T180" s="6" cm="1">
        <f t="array" ref="T180">_xlfn.XLOOKUP(Table8[[#This Row],[Admin2PCODE]:[Admin2PCODE]],tblPiNAnalysis[[Admin2PCODE]:[Admin2PCODE]],tblPiNAnalysis[% NNA],0,0)</f>
        <v>0.05</v>
      </c>
      <c r="U180" s="6" cm="1">
        <f t="array" ref="U180">_xlfn.XLOOKUP(Table8[[#This Row],[Admin2PCODE]:[Admin2PCODE]],tblPiNAnalysis[[Admin2PCODE]:[Admin2PCODE]],tblPiNAnalysis[% VBG],0,0)</f>
        <v>0.05</v>
      </c>
      <c r="V180" s="8" cm="1">
        <f t="array" ref="V180">_xlfn.XLOOKUP(Table8[[#This Row],[Admin2PCODE]:[Admin2PCODE]],tblPiNAnalysis[[Admin2PCODE]:[Admin2PCODE]],tblPiNAnalysis[PiN preliminar],0,0)</f>
        <v>7512.0649999999996</v>
      </c>
      <c r="W180" s="308" cm="1">
        <f t="array" ref="W180">_xlfn.XLOOKUP(Table8[[#This Row],[Admin2PCODE]],tblPiNAnalysis[Admin2PCODE],tblSeverityAnalysis[Severidad media],0,0)</f>
        <v>3</v>
      </c>
      <c r="X180" s="42">
        <f>Table8[[#This Row],[Severidad media]]*6</f>
        <v>18</v>
      </c>
      <c r="Y180" s="6" cm="1">
        <f t="array" ref="Y180">_xlfn.XLOOKUP(Table8[[#This Row],[Admin2PCODE]],tblPiNAnalysis[Admin2PCODE],tblPiNAnalysis[% PiN Sectores más altos],0,0)</f>
        <v>0.36499999999999999</v>
      </c>
      <c r="Z180" s="42" cm="1">
        <f t="array" ref="Z180">_xlfn.XLOOKUP(Table8[[#This Row],[Admin2PCODE]:[Admin2PCODE]],tblPiNAnalysis[[Admin2PCODE]:[Admin2PCODE]],tblPiNAnalysis[Severidad],0,0)</f>
        <v>3</v>
      </c>
      <c r="AA180">
        <f>_xlfn.XLOOKUP(Table8[[#This Row],[Admin2PCODE]],tblSeverityAnalysis[Admin 2 Código P],tblSeverityAnalysis[Severidad Ttotal 2025],0,0)</f>
        <v>3</v>
      </c>
      <c r="AB180" t="str">
        <f>_xlfn.XLOOKUP(Table8[[#This Row],[Admin2PCODE]],tblSeverityAnalysis[Admin 2 Código P],tblSeverityAnalysis[Priorización Final 2025],0,0)</f>
        <v>No</v>
      </c>
      <c r="AC180">
        <v>1</v>
      </c>
      <c r="AD180" t="s">
        <v>93</v>
      </c>
      <c r="AE180">
        <v>1</v>
      </c>
      <c r="AF180">
        <v>0</v>
      </c>
      <c r="AG180">
        <v>0</v>
      </c>
      <c r="AH180">
        <v>0</v>
      </c>
      <c r="AI180">
        <v>1</v>
      </c>
      <c r="AJ180">
        <v>0</v>
      </c>
      <c r="AK180">
        <v>0</v>
      </c>
      <c r="AL180">
        <v>0</v>
      </c>
      <c r="AM180">
        <v>0</v>
      </c>
      <c r="AN180">
        <v>0</v>
      </c>
      <c r="AO180" s="314">
        <f>Table8[[#This Row],[N° Clústeres con respuesta]]/Table8[[#This Row],[Org Total]]</f>
        <v>1</v>
      </c>
      <c r="AP180" s="313">
        <v>4548</v>
      </c>
      <c r="AQ180" s="313">
        <v>0</v>
      </c>
      <c r="AR180" s="312">
        <f>Table8[[#This Row],[Alcanzados Oct 2025]]/Table8[[#This Row],[Meta 2025]]</f>
        <v>0</v>
      </c>
      <c r="AS180" s="423">
        <v>0</v>
      </c>
      <c r="AT180" s="423">
        <v>0</v>
      </c>
      <c r="AU180" s="423">
        <v>0</v>
      </c>
      <c r="AV180" s="423">
        <v>0</v>
      </c>
      <c r="AW180" s="423">
        <v>0</v>
      </c>
      <c r="AX180" s="423">
        <v>0</v>
      </c>
      <c r="AY180" s="423">
        <v>0</v>
      </c>
      <c r="AZ180" s="423">
        <v>0</v>
      </c>
      <c r="BA180" s="42">
        <v>0</v>
      </c>
    </row>
    <row r="181" spans="1:53">
      <c r="A181" t="s">
        <v>411</v>
      </c>
      <c r="B181" t="s">
        <v>412</v>
      </c>
      <c r="C181" t="s">
        <v>203</v>
      </c>
      <c r="D181" t="s">
        <v>449</v>
      </c>
      <c r="E181" s="8">
        <v>57096</v>
      </c>
      <c r="F181" s="8">
        <v>4964</v>
      </c>
      <c r="G181" s="8">
        <v>1808.2568163481376</v>
      </c>
      <c r="H181" s="8">
        <v>20840.04</v>
      </c>
      <c r="I181" s="8">
        <v>6752.5322016719847</v>
      </c>
      <c r="J181" s="8">
        <v>9550.5968975834294</v>
      </c>
      <c r="K181" s="8">
        <v>0</v>
      </c>
      <c r="L181" s="8">
        <v>3056.1910072266974</v>
      </c>
      <c r="M181" s="8">
        <v>3342.7089141542001</v>
      </c>
      <c r="N181" s="6" cm="1">
        <f t="array" ref="N181">_xlfn.XLOOKUP(Table8[[#This Row],[Admin2PCODE]:[Admin2PCODE]],tblPiNAnalysis[[Admin2PCODE]:[Admin2PCODE]],tblPiNAnalysis[% SAMV],0,0)</f>
        <v>0.1</v>
      </c>
      <c r="O181" s="6" cm="1">
        <f t="array" ref="O181">_xlfn.XLOOKUP(Table8[[#This Row],[Admin2PCODE]:[Admin2PCODE]],tblPiNAnalysis[[Admin2PCODE]:[Admin2PCODE]],tblPiNAnalysis[% NUT],0,0)</f>
        <v>0.05</v>
      </c>
      <c r="P181" s="6" cm="1">
        <f t="array" ref="P181">_xlfn.XLOOKUP(Table8[[#This Row],[Admin2PCODE]:[Admin2PCODE]],tblPiNAnalysis[[Admin2PCODE]:[Admin2PCODE]],tblPiNAnalysis[% SAL],0,0)</f>
        <v>0.35000000000000003</v>
      </c>
      <c r="Q181" s="6" cm="1">
        <f t="array" ref="Q181">_xlfn.XLOOKUP(Table8[[#This Row],[Admin2PCODE]:[Admin2PCODE]],tblPiNAnalysis[[Admin2PCODE]:[Admin2PCODE]],tblPiNAnalysis[% EDU],0,0)</f>
        <v>0.1</v>
      </c>
      <c r="R181" s="6" cm="1">
        <f t="array" ref="R181">_xlfn.XLOOKUP(Table8[[#This Row],[Admin2PCODE]:[Admin2PCODE]],tblPiNAnalysis[[Admin2PCODE]:[Admin2PCODE]],tblPiNAnalysis[% PRO],0,0)</f>
        <v>0.15000000000000002</v>
      </c>
      <c r="S181" s="6" cm="1">
        <f t="array" ref="S181">_xlfn.XLOOKUP(Table8[[#This Row],[Admin2PCODE]:[Admin2PCODE]],tblPiNAnalysis[[Admin2PCODE]:[Admin2PCODE]],tblPiNAnalysis[% WASH],0,0)</f>
        <v>0</v>
      </c>
      <c r="T181" s="6" cm="1">
        <f t="array" ref="T181">_xlfn.XLOOKUP(Table8[[#This Row],[Admin2PCODE]:[Admin2PCODE]],tblPiNAnalysis[[Admin2PCODE]:[Admin2PCODE]],tblPiNAnalysis[% NNA],0,0)</f>
        <v>0.05</v>
      </c>
      <c r="U181" s="6" cm="1">
        <f t="array" ref="U181">_xlfn.XLOOKUP(Table8[[#This Row],[Admin2PCODE]:[Admin2PCODE]],tblPiNAnalysis[[Admin2PCODE]:[Admin2PCODE]],tblPiNAnalysis[% VBG],0,0)</f>
        <v>0.05</v>
      </c>
      <c r="V181" s="8" cm="1">
        <f t="array" ref="V181">_xlfn.XLOOKUP(Table8[[#This Row],[Admin2PCODE]:[Admin2PCODE]],tblPiNAnalysis[[Admin2PCODE]:[Admin2PCODE]],tblPiNAnalysis[PiN preliminar],0,0)</f>
        <v>20840.04</v>
      </c>
      <c r="W181" s="308" cm="1">
        <f t="array" ref="W181">_xlfn.XLOOKUP(Table8[[#This Row],[Admin2PCODE]],tblPiNAnalysis[Admin2PCODE],tblSeverityAnalysis[Severidad media],0,0)</f>
        <v>4</v>
      </c>
      <c r="X181" s="42">
        <f>Table8[[#This Row],[Severidad media]]*6</f>
        <v>24</v>
      </c>
      <c r="Y181" s="6" cm="1">
        <f t="array" ref="Y181">_xlfn.XLOOKUP(Table8[[#This Row],[Admin2PCODE]],tblPiNAnalysis[Admin2PCODE],tblPiNAnalysis[% PiN Sectores más altos],0,0)</f>
        <v>0.36499999999999999</v>
      </c>
      <c r="Z181" s="42" cm="1">
        <f t="array" ref="Z181">_xlfn.XLOOKUP(Table8[[#This Row],[Admin2PCODE]:[Admin2PCODE]],tblPiNAnalysis[[Admin2PCODE]:[Admin2PCODE]],tblPiNAnalysis[Severidad],0,0)</f>
        <v>3</v>
      </c>
      <c r="AA181">
        <f>_xlfn.XLOOKUP(Table8[[#This Row],[Admin2PCODE]],tblSeverityAnalysis[Admin 2 Código P],tblSeverityAnalysis[Severidad Ttotal 2025],0,0)</f>
        <v>3</v>
      </c>
      <c r="AB181" t="str">
        <f>_xlfn.XLOOKUP(Table8[[#This Row],[Admin2PCODE]],tblSeverityAnalysis[Admin 2 Código P],tblSeverityAnalysis[Priorización Final 2025],0,0)</f>
        <v>No</v>
      </c>
      <c r="AC181">
        <v>2</v>
      </c>
      <c r="AD181" t="s">
        <v>1051</v>
      </c>
      <c r="AE181">
        <v>5</v>
      </c>
      <c r="AF181">
        <v>0</v>
      </c>
      <c r="AG181">
        <v>0</v>
      </c>
      <c r="AH181">
        <v>0</v>
      </c>
      <c r="AI181">
        <v>0</v>
      </c>
      <c r="AJ181">
        <v>3</v>
      </c>
      <c r="AK181">
        <v>0</v>
      </c>
      <c r="AL181">
        <v>0</v>
      </c>
      <c r="AM181">
        <v>2</v>
      </c>
      <c r="AN181">
        <v>0</v>
      </c>
      <c r="AO181" s="314">
        <f>Table8[[#This Row],[N° Clústeres con respuesta]]/Table8[[#This Row],[Org Total]]</f>
        <v>0.4</v>
      </c>
      <c r="AP181" s="313">
        <v>9381</v>
      </c>
      <c r="AQ181" s="313">
        <v>77</v>
      </c>
      <c r="AR181" s="312">
        <f>Table8[[#This Row],[Alcanzados Oct 2025]]/Table8[[#This Row],[Meta 2025]]</f>
        <v>8.208080162029634E-3</v>
      </c>
      <c r="AS181" s="423">
        <v>0</v>
      </c>
      <c r="AT181" s="423">
        <v>0</v>
      </c>
      <c r="AU181" s="423">
        <v>0</v>
      </c>
      <c r="AV181" s="423">
        <v>0</v>
      </c>
      <c r="AW181" s="423">
        <v>3</v>
      </c>
      <c r="AX181" s="423">
        <v>0</v>
      </c>
      <c r="AY181" s="423">
        <v>0</v>
      </c>
      <c r="AZ181" s="423">
        <v>76</v>
      </c>
      <c r="BA181" s="42">
        <v>0</v>
      </c>
    </row>
    <row r="182" spans="1:53">
      <c r="A182" t="s">
        <v>411</v>
      </c>
      <c r="B182" t="s">
        <v>412</v>
      </c>
      <c r="C182" t="s">
        <v>205</v>
      </c>
      <c r="D182" t="s">
        <v>450</v>
      </c>
      <c r="E182" s="8">
        <v>39330</v>
      </c>
      <c r="F182" s="8">
        <v>11018</v>
      </c>
      <c r="G182" s="8">
        <v>1286.4335878708293</v>
      </c>
      <c r="H182" s="8">
        <v>14355.45</v>
      </c>
      <c r="I182" s="8">
        <v>4434.8305882454169</v>
      </c>
      <c r="J182" s="8">
        <v>6578.8317216960249</v>
      </c>
      <c r="K182" s="8">
        <v>0</v>
      </c>
      <c r="L182" s="8">
        <v>2105.2261509427281</v>
      </c>
      <c r="M182" s="8">
        <v>2302.5911025936089</v>
      </c>
      <c r="N182" s="6" cm="1">
        <f t="array" ref="N182">_xlfn.XLOOKUP(Table8[[#This Row],[Admin2PCODE]:[Admin2PCODE]],tblPiNAnalysis[[Admin2PCODE]:[Admin2PCODE]],tblPiNAnalysis[% SAMV],0,0)</f>
        <v>0.30000000000000004</v>
      </c>
      <c r="O182" s="6" cm="1">
        <f t="array" ref="O182">_xlfn.XLOOKUP(Table8[[#This Row],[Admin2PCODE]:[Admin2PCODE]],tblPiNAnalysis[[Admin2PCODE]:[Admin2PCODE]],tblPiNAnalysis[% NUT],0,0)</f>
        <v>0.05</v>
      </c>
      <c r="P182" s="6" cm="1">
        <f t="array" ref="P182">_xlfn.XLOOKUP(Table8[[#This Row],[Admin2PCODE]:[Admin2PCODE]],tblPiNAnalysis[[Admin2PCODE]:[Admin2PCODE]],tblPiNAnalysis[% SAL],0,0)</f>
        <v>0.35000000000000003</v>
      </c>
      <c r="Q182" s="6" cm="1">
        <f t="array" ref="Q182">_xlfn.XLOOKUP(Table8[[#This Row],[Admin2PCODE]:[Admin2PCODE]],tblPiNAnalysis[[Admin2PCODE]:[Admin2PCODE]],tblPiNAnalysis[% EDU],0,0)</f>
        <v>0.1</v>
      </c>
      <c r="R182" s="6" cm="1">
        <f t="array" ref="R182">_xlfn.XLOOKUP(Table8[[#This Row],[Admin2PCODE]:[Admin2PCODE]],tblPiNAnalysis[[Admin2PCODE]:[Admin2PCODE]],tblPiNAnalysis[% PRO],0,0)</f>
        <v>0.15000000000000002</v>
      </c>
      <c r="S182" s="6" cm="1">
        <f t="array" ref="S182">_xlfn.XLOOKUP(Table8[[#This Row],[Admin2PCODE]:[Admin2PCODE]],tblPiNAnalysis[[Admin2PCODE]:[Admin2PCODE]],tblPiNAnalysis[% WASH],0,0)</f>
        <v>0</v>
      </c>
      <c r="T182" s="6" cm="1">
        <f t="array" ref="T182">_xlfn.XLOOKUP(Table8[[#This Row],[Admin2PCODE]:[Admin2PCODE]],tblPiNAnalysis[[Admin2PCODE]:[Admin2PCODE]],tblPiNAnalysis[% NNA],0,0)</f>
        <v>0.05</v>
      </c>
      <c r="U182" s="6" cm="1">
        <f t="array" ref="U182">_xlfn.XLOOKUP(Table8[[#This Row],[Admin2PCODE]:[Admin2PCODE]],tblPiNAnalysis[[Admin2PCODE]:[Admin2PCODE]],tblPiNAnalysis[% VBG],0,0)</f>
        <v>0.05</v>
      </c>
      <c r="V182" s="8" cm="1">
        <f t="array" ref="V182">_xlfn.XLOOKUP(Table8[[#This Row],[Admin2PCODE]:[Admin2PCODE]],tblPiNAnalysis[[Admin2PCODE]:[Admin2PCODE]],tblPiNAnalysis[PiN preliminar],0,0)</f>
        <v>14355.45</v>
      </c>
      <c r="W182" s="308" cm="1">
        <f t="array" ref="W182">_xlfn.XLOOKUP(Table8[[#This Row],[Admin2PCODE]],tblPiNAnalysis[Admin2PCODE],tblSeverityAnalysis[Severidad media],0,0)</f>
        <v>3.1666666666666665</v>
      </c>
      <c r="X182" s="42">
        <f>Table8[[#This Row],[Severidad media]]*6</f>
        <v>19</v>
      </c>
      <c r="Y182" s="6" cm="1">
        <f t="array" ref="Y182">_xlfn.XLOOKUP(Table8[[#This Row],[Admin2PCODE]],tblPiNAnalysis[Admin2PCODE],tblPiNAnalysis[% PiN Sectores más altos],0,0)</f>
        <v>0.36499999999999999</v>
      </c>
      <c r="Z182" s="42" cm="1">
        <f t="array" ref="Z182">_xlfn.XLOOKUP(Table8[[#This Row],[Admin2PCODE]:[Admin2PCODE]],tblPiNAnalysis[[Admin2PCODE]:[Admin2PCODE]],tblPiNAnalysis[Severidad],0,0)</f>
        <v>3</v>
      </c>
      <c r="AA182">
        <f>_xlfn.XLOOKUP(Table8[[#This Row],[Admin2PCODE]],tblSeverityAnalysis[Admin 2 Código P],tblSeverityAnalysis[Severidad Ttotal 2025],0,0)</f>
        <v>3</v>
      </c>
      <c r="AB182" t="str">
        <f>_xlfn.XLOOKUP(Table8[[#This Row],[Admin2PCODE]],tblSeverityAnalysis[Admin 2 Código P],tblSeverityAnalysis[Priorización Final 2025],0,0)</f>
        <v>No</v>
      </c>
      <c r="AC182">
        <v>3</v>
      </c>
      <c r="AD182" t="s">
        <v>1012</v>
      </c>
      <c r="AE182">
        <v>4</v>
      </c>
      <c r="AF182">
        <v>0</v>
      </c>
      <c r="AG182">
        <v>0</v>
      </c>
      <c r="AH182">
        <v>0</v>
      </c>
      <c r="AI182">
        <v>0</v>
      </c>
      <c r="AJ182">
        <v>2</v>
      </c>
      <c r="AK182">
        <v>0</v>
      </c>
      <c r="AL182">
        <v>0</v>
      </c>
      <c r="AM182">
        <v>1</v>
      </c>
      <c r="AN182">
        <v>1</v>
      </c>
      <c r="AO182" s="314">
        <f>Table8[[#This Row],[N° Clústeres con respuesta]]/Table8[[#This Row],[Org Total]]</f>
        <v>0.75</v>
      </c>
      <c r="AP182" s="313">
        <v>6460</v>
      </c>
      <c r="AQ182" s="313">
        <v>64</v>
      </c>
      <c r="AR182" s="312">
        <f>Table8[[#This Row],[Alcanzados Oct 2025]]/Table8[[#This Row],[Meta 2025]]</f>
        <v>9.9071207430340563E-3</v>
      </c>
      <c r="AS182" s="423">
        <v>0</v>
      </c>
      <c r="AT182" s="423">
        <v>0</v>
      </c>
      <c r="AU182" s="423">
        <v>0</v>
      </c>
      <c r="AV182" s="423">
        <v>0</v>
      </c>
      <c r="AW182" s="423">
        <v>8</v>
      </c>
      <c r="AX182" s="423">
        <v>0</v>
      </c>
      <c r="AY182" s="423">
        <v>0</v>
      </c>
      <c r="AZ182" s="423">
        <v>0</v>
      </c>
      <c r="BA182" s="42">
        <v>62</v>
      </c>
    </row>
    <row r="183" spans="1:53">
      <c r="A183" t="s">
        <v>411</v>
      </c>
      <c r="B183" t="s">
        <v>412</v>
      </c>
      <c r="C183" t="s">
        <v>451</v>
      </c>
      <c r="D183" t="s">
        <v>452</v>
      </c>
      <c r="E183" s="8">
        <v>34796</v>
      </c>
      <c r="F183" s="8">
        <v>5881</v>
      </c>
      <c r="G183" s="8">
        <v>1184.7913139759037</v>
      </c>
      <c r="H183" s="8">
        <v>13300</v>
      </c>
      <c r="I183" s="8">
        <v>2484.0380892054091</v>
      </c>
      <c r="J183" s="8">
        <v>3492.2506268212801</v>
      </c>
      <c r="K183" s="8">
        <v>2348.73</v>
      </c>
      <c r="L183" s="8">
        <v>1121.0124512096309</v>
      </c>
      <c r="M183" s="8">
        <v>1222.2877193874479</v>
      </c>
      <c r="N183" s="6" cm="1">
        <f t="array" ref="N183">_xlfn.XLOOKUP(Table8[[#This Row],[Admin2PCODE]:[Admin2PCODE]],tblPiNAnalysis[[Admin2PCODE]:[Admin2PCODE]],tblPiNAnalysis[% SAMV],0,0)</f>
        <v>0.15000000000000002</v>
      </c>
      <c r="O183" s="6" cm="1">
        <f t="array" ref="O183">_xlfn.XLOOKUP(Table8[[#This Row],[Admin2PCODE]:[Admin2PCODE]],tblPiNAnalysis[[Admin2PCODE]:[Admin2PCODE]],tblPiNAnalysis[% NUT],0,0)</f>
        <v>0.05</v>
      </c>
      <c r="P183" s="6" cm="1">
        <f t="array" ref="P183">_xlfn.XLOOKUP(Table8[[#This Row],[Admin2PCODE]:[Admin2PCODE]],tblPiNAnalysis[[Admin2PCODE]:[Admin2PCODE]],tblPiNAnalysis[% SAL],0,0)</f>
        <v>0.4</v>
      </c>
      <c r="Q183" s="6" cm="1">
        <f t="array" ref="Q183">_xlfn.XLOOKUP(Table8[[#This Row],[Admin2PCODE]:[Admin2PCODE]],tblPiNAnalysis[[Admin2PCODE]:[Admin2PCODE]],tblPiNAnalysis[% EDU],0,0)</f>
        <v>0.05</v>
      </c>
      <c r="R183" s="6" cm="1">
        <f t="array" ref="R183">_xlfn.XLOOKUP(Table8[[#This Row],[Admin2PCODE]:[Admin2PCODE]],tblPiNAnalysis[[Admin2PCODE]:[Admin2PCODE]],tblPiNAnalysis[% PRO],0,0)</f>
        <v>0.1</v>
      </c>
      <c r="S183" s="6" cm="1">
        <f t="array" ref="S183">_xlfn.XLOOKUP(Table8[[#This Row],[Admin2PCODE]:[Admin2PCODE]],tblPiNAnalysis[[Admin2PCODE]:[Admin2PCODE]],tblPiNAnalysis[% WASH],0,0)</f>
        <v>0.05</v>
      </c>
      <c r="T183" s="6" cm="1">
        <f t="array" ref="T183">_xlfn.XLOOKUP(Table8[[#This Row],[Admin2PCODE]:[Admin2PCODE]],tblPiNAnalysis[[Admin2PCODE]:[Admin2PCODE]],tblPiNAnalysis[% NNA],0,0)</f>
        <v>0.05</v>
      </c>
      <c r="U183" s="6" cm="1">
        <f t="array" ref="U183">_xlfn.XLOOKUP(Table8[[#This Row],[Admin2PCODE]:[Admin2PCODE]],tblPiNAnalysis[[Admin2PCODE]:[Admin2PCODE]],tblPiNAnalysis[% VBG],0,0)</f>
        <v>0.05</v>
      </c>
      <c r="V183" s="8" cm="1">
        <f t="array" ref="V183">_xlfn.XLOOKUP(Table8[[#This Row],[Admin2PCODE]:[Admin2PCODE]],tblPiNAnalysis[[Admin2PCODE]:[Admin2PCODE]],tblPiNAnalysis[PiN preliminar],0,0)</f>
        <v>13300</v>
      </c>
      <c r="W183" s="308" cm="1">
        <f t="array" ref="W183">_xlfn.XLOOKUP(Table8[[#This Row],[Admin2PCODE]],tblPiNAnalysis[Admin2PCODE],tblSeverityAnalysis[Severidad media],0,0)</f>
        <v>2.8333333333333335</v>
      </c>
      <c r="X183" s="42">
        <f>Table8[[#This Row],[Severidad media]]*6</f>
        <v>17</v>
      </c>
      <c r="Y183" s="6" cm="1">
        <f t="array" ref="Y183">_xlfn.XLOOKUP(Table8[[#This Row],[Admin2PCODE]],tblPiNAnalysis[Admin2PCODE],tblPiNAnalysis[% PiN Sectores más altos],0,0)</f>
        <v>0.38222784228072193</v>
      </c>
      <c r="Z183" s="42" cm="1">
        <f t="array" ref="Z183">_xlfn.XLOOKUP(Table8[[#This Row],[Admin2PCODE]:[Admin2PCODE]],tblPiNAnalysis[[Admin2PCODE]:[Admin2PCODE]],tblPiNAnalysis[Severidad],0,0)</f>
        <v>3</v>
      </c>
      <c r="AA183">
        <f>_xlfn.XLOOKUP(Table8[[#This Row],[Admin2PCODE]],tblSeverityAnalysis[Admin 2 Código P],tblSeverityAnalysis[Severidad Ttotal 2025],0,0)</f>
        <v>3</v>
      </c>
      <c r="AB183" t="str">
        <f>_xlfn.XLOOKUP(Table8[[#This Row],[Admin2PCODE]],tblSeverityAnalysis[Admin 2 Código P],tblSeverityAnalysis[Priorización Final 2025],0,0)</f>
        <v>No</v>
      </c>
      <c r="AC183">
        <v>1</v>
      </c>
      <c r="AD183" t="s">
        <v>952</v>
      </c>
      <c r="AE183">
        <v>1</v>
      </c>
      <c r="AF183">
        <v>0</v>
      </c>
      <c r="AG183">
        <v>0</v>
      </c>
      <c r="AH183">
        <v>0</v>
      </c>
      <c r="AI183">
        <v>0</v>
      </c>
      <c r="AJ183">
        <v>1</v>
      </c>
      <c r="AK183">
        <v>0</v>
      </c>
      <c r="AL183">
        <v>0</v>
      </c>
      <c r="AM183">
        <v>0</v>
      </c>
      <c r="AN183">
        <v>0</v>
      </c>
      <c r="AO183" s="314">
        <f>Table8[[#This Row],[N° Clústeres con respuesta]]/Table8[[#This Row],[Org Total]]</f>
        <v>1</v>
      </c>
      <c r="AP183" s="313">
        <v>6254</v>
      </c>
      <c r="AQ183" s="313">
        <v>0</v>
      </c>
      <c r="AR183" s="312">
        <f>Table8[[#This Row],[Alcanzados Oct 2025]]/Table8[[#This Row],[Meta 2025]]</f>
        <v>0</v>
      </c>
      <c r="AS183" s="423">
        <v>0</v>
      </c>
      <c r="AT183" s="423">
        <v>0</v>
      </c>
      <c r="AU183" s="423">
        <v>0</v>
      </c>
      <c r="AV183" s="423">
        <v>0</v>
      </c>
      <c r="AW183" s="423">
        <v>0</v>
      </c>
      <c r="AX183" s="423">
        <v>0</v>
      </c>
      <c r="AY183" s="423">
        <v>0</v>
      </c>
      <c r="AZ183" s="423">
        <v>0</v>
      </c>
      <c r="BA183" s="42">
        <v>0</v>
      </c>
    </row>
    <row r="184" spans="1:53">
      <c r="A184" t="s">
        <v>411</v>
      </c>
      <c r="B184" t="s">
        <v>412</v>
      </c>
      <c r="C184" t="s">
        <v>453</v>
      </c>
      <c r="D184" t="s">
        <v>454</v>
      </c>
      <c r="E184" s="8">
        <v>11413</v>
      </c>
      <c r="F184" s="8">
        <v>3804</v>
      </c>
      <c r="G184" s="8">
        <v>360.08565603655256</v>
      </c>
      <c r="H184" s="8">
        <v>4165.7449999999999</v>
      </c>
      <c r="I184" s="8">
        <v>1296.6873932481874</v>
      </c>
      <c r="J184" s="8">
        <v>1145.4493736036115</v>
      </c>
      <c r="K184" s="8">
        <v>770.37750000000005</v>
      </c>
      <c r="L184" s="8">
        <v>366.54379955315574</v>
      </c>
      <c r="M184" s="8">
        <v>400.90728076126402</v>
      </c>
      <c r="N184" s="6" cm="1">
        <f t="array" ref="N184">_xlfn.XLOOKUP(Table8[[#This Row],[Admin2PCODE]:[Admin2PCODE]],tblPiNAnalysis[[Admin2PCODE]:[Admin2PCODE]],tblPiNAnalysis[% SAMV],0,0)</f>
        <v>0.35000000000000003</v>
      </c>
      <c r="O184" s="6" cm="1">
        <f t="array" ref="O184">_xlfn.XLOOKUP(Table8[[#This Row],[Admin2PCODE]:[Admin2PCODE]],tblPiNAnalysis[[Admin2PCODE]:[Admin2PCODE]],tblPiNAnalysis[% NUT],0,0)</f>
        <v>0.05</v>
      </c>
      <c r="P184" s="6" cm="1">
        <f t="array" ref="P184">_xlfn.XLOOKUP(Table8[[#This Row],[Admin2PCODE]:[Admin2PCODE]],tblPiNAnalysis[[Admin2PCODE]:[Admin2PCODE]],tblPiNAnalysis[% SAL],0,0)</f>
        <v>0.35000000000000003</v>
      </c>
      <c r="Q184" s="6" cm="1">
        <f t="array" ref="Q184">_xlfn.XLOOKUP(Table8[[#This Row],[Admin2PCODE]:[Admin2PCODE]],tblPiNAnalysis[[Admin2PCODE]:[Admin2PCODE]],tblPiNAnalysis[% EDU],0,0)</f>
        <v>0.1</v>
      </c>
      <c r="R184" s="6" cm="1">
        <f t="array" ref="R184">_xlfn.XLOOKUP(Table8[[#This Row],[Admin2PCODE]:[Admin2PCODE]],tblPiNAnalysis[[Admin2PCODE]:[Admin2PCODE]],tblPiNAnalysis[% PRO],0,0)</f>
        <v>0.1</v>
      </c>
      <c r="S184" s="6" cm="1">
        <f t="array" ref="S184">_xlfn.XLOOKUP(Table8[[#This Row],[Admin2PCODE]:[Admin2PCODE]],tblPiNAnalysis[[Admin2PCODE]:[Admin2PCODE]],tblPiNAnalysis[% WASH],0,0)</f>
        <v>0.05</v>
      </c>
      <c r="T184" s="6" cm="1">
        <f t="array" ref="T184">_xlfn.XLOOKUP(Table8[[#This Row],[Admin2PCODE]:[Admin2PCODE]],tblPiNAnalysis[[Admin2PCODE]:[Admin2PCODE]],tblPiNAnalysis[% NNA],0,0)</f>
        <v>0.05</v>
      </c>
      <c r="U184" s="6" cm="1">
        <f t="array" ref="U184">_xlfn.XLOOKUP(Table8[[#This Row],[Admin2PCODE]:[Admin2PCODE]],tblPiNAnalysis[[Admin2PCODE]:[Admin2PCODE]],tblPiNAnalysis[% VBG],0,0)</f>
        <v>0.05</v>
      </c>
      <c r="V184" s="8" cm="1">
        <f t="array" ref="V184">_xlfn.XLOOKUP(Table8[[#This Row],[Admin2PCODE]:[Admin2PCODE]],tblPiNAnalysis[[Admin2PCODE]:[Admin2PCODE]],tblPiNAnalysis[PiN preliminar],0,0)</f>
        <v>4165.7449999999999</v>
      </c>
      <c r="W184" s="308" cm="1">
        <f t="array" ref="W184">_xlfn.XLOOKUP(Table8[[#This Row],[Admin2PCODE]],tblPiNAnalysis[Admin2PCODE],tblSeverityAnalysis[Severidad media],0,0)</f>
        <v>2.6666666666666665</v>
      </c>
      <c r="X184" s="42">
        <f>Table8[[#This Row],[Severidad media]]*6</f>
        <v>16</v>
      </c>
      <c r="Y184" s="6" cm="1">
        <f t="array" ref="Y184">_xlfn.XLOOKUP(Table8[[#This Row],[Admin2PCODE]],tblPiNAnalysis[Admin2PCODE],tblPiNAnalysis[% PiN Sectores más altos],0,0)</f>
        <v>0.36499999999999999</v>
      </c>
      <c r="Z184" s="42" cm="1">
        <f t="array" ref="Z184">_xlfn.XLOOKUP(Table8[[#This Row],[Admin2PCODE]:[Admin2PCODE]],tblPiNAnalysis[[Admin2PCODE]:[Admin2PCODE]],tblPiNAnalysis[Severidad],0,0)</f>
        <v>3</v>
      </c>
      <c r="AA184">
        <f>_xlfn.XLOOKUP(Table8[[#This Row],[Admin2PCODE]],tblSeverityAnalysis[Admin 2 Código P],tblSeverityAnalysis[Severidad Ttotal 2025],0,0)</f>
        <v>3</v>
      </c>
      <c r="AB184" t="str">
        <f>_xlfn.XLOOKUP(Table8[[#This Row],[Admin2PCODE]],tblSeverityAnalysis[Admin 2 Código P],tblSeverityAnalysis[Priorización Final 2025],0,0)</f>
        <v>No</v>
      </c>
      <c r="AC184">
        <v>4</v>
      </c>
      <c r="AD184" t="s">
        <v>1052</v>
      </c>
      <c r="AE184">
        <v>2</v>
      </c>
      <c r="AF184">
        <v>1</v>
      </c>
      <c r="AG184">
        <v>1</v>
      </c>
      <c r="AH184">
        <v>0</v>
      </c>
      <c r="AI184">
        <v>1</v>
      </c>
      <c r="AJ184">
        <v>0</v>
      </c>
      <c r="AK184">
        <v>0</v>
      </c>
      <c r="AL184">
        <v>0</v>
      </c>
      <c r="AM184">
        <v>0</v>
      </c>
      <c r="AN184">
        <v>1</v>
      </c>
      <c r="AO184" s="314">
        <f>Table8[[#This Row],[N° Clústeres con respuesta]]/Table8[[#This Row],[Org Total]]</f>
        <v>2</v>
      </c>
      <c r="AP184" s="313">
        <v>2560</v>
      </c>
      <c r="AQ184" s="313">
        <v>3606</v>
      </c>
      <c r="AR184" s="312">
        <f>Table8[[#This Row],[Alcanzados Oct 2025]]/Table8[[#This Row],[Meta 2025]]</f>
        <v>1.4085937500000001</v>
      </c>
      <c r="AS184" s="423">
        <v>1</v>
      </c>
      <c r="AT184" s="423">
        <v>0</v>
      </c>
      <c r="AU184" s="423">
        <v>0</v>
      </c>
      <c r="AV184" s="423">
        <v>0</v>
      </c>
      <c r="AW184" s="423">
        <v>0</v>
      </c>
      <c r="AX184" s="423">
        <v>0</v>
      </c>
      <c r="AY184" s="423">
        <v>0</v>
      </c>
      <c r="AZ184" s="423">
        <v>0</v>
      </c>
      <c r="BA184" s="42">
        <v>3606</v>
      </c>
    </row>
    <row r="185" spans="1:53">
      <c r="A185" t="s">
        <v>276</v>
      </c>
      <c r="B185" t="s">
        <v>455</v>
      </c>
      <c r="C185" t="s">
        <v>415</v>
      </c>
      <c r="D185" t="s">
        <v>458</v>
      </c>
      <c r="E185" s="8">
        <v>21447</v>
      </c>
      <c r="F185" s="8">
        <v>4874</v>
      </c>
      <c r="G185" s="8">
        <v>1001.1743397731281</v>
      </c>
      <c r="H185" s="8">
        <v>10500</v>
      </c>
      <c r="I185" s="8">
        <v>801.64078710332751</v>
      </c>
      <c r="J185" s="8">
        <v>4275.6304381965929</v>
      </c>
      <c r="K185" s="8">
        <v>2895.3449999999998</v>
      </c>
      <c r="L185" s="8">
        <v>1368.2017402229098</v>
      </c>
      <c r="M185" s="8">
        <v>1496.4706533688075</v>
      </c>
      <c r="N185" s="6" cm="1">
        <f t="array" ref="N185">_xlfn.XLOOKUP(Table8[[#This Row],[Admin2PCODE]:[Admin2PCODE]],tblPiNAnalysis[[Admin2PCODE]:[Admin2PCODE]],tblPiNAnalysis[% SAMV],0,0)</f>
        <v>0.25</v>
      </c>
      <c r="O185" s="6" cm="1">
        <f t="array" ref="O185">_xlfn.XLOOKUP(Table8[[#This Row],[Admin2PCODE]:[Admin2PCODE]],tblPiNAnalysis[[Admin2PCODE]:[Admin2PCODE]],tblPiNAnalysis[% NUT],0,0)</f>
        <v>0.05</v>
      </c>
      <c r="P185" s="6" cm="1">
        <f t="array" ref="P185">_xlfn.XLOOKUP(Table8[[#This Row],[Admin2PCODE]:[Admin2PCODE]],tblPiNAnalysis[[Admin2PCODE]:[Admin2PCODE]],tblPiNAnalysis[% SAL],0,0)</f>
        <v>0.5</v>
      </c>
      <c r="Q185" s="6" cm="1">
        <f t="array" ref="Q185">_xlfn.XLOOKUP(Table8[[#This Row],[Admin2PCODE]:[Admin2PCODE]],tblPiNAnalysis[[Admin2PCODE]:[Admin2PCODE]],tblPiNAnalysis[% EDU],0,0)</f>
        <v>0.05</v>
      </c>
      <c r="R185" s="6" cm="1">
        <f t="array" ref="R185">_xlfn.XLOOKUP(Table8[[#This Row],[Admin2PCODE]:[Admin2PCODE]],tblPiNAnalysis[[Admin2PCODE]:[Admin2PCODE]],tblPiNAnalysis[% PRO],0,0)</f>
        <v>0.2</v>
      </c>
      <c r="S185" s="6" cm="1">
        <f t="array" ref="S185">_xlfn.XLOOKUP(Table8[[#This Row],[Admin2PCODE]:[Admin2PCODE]],tblPiNAnalysis[[Admin2PCODE]:[Admin2PCODE]],tblPiNAnalysis[% WASH],0,0)</f>
        <v>0.15000000000000002</v>
      </c>
      <c r="T185" s="6" cm="1">
        <f t="array" ref="T185">_xlfn.XLOOKUP(Table8[[#This Row],[Admin2PCODE]:[Admin2PCODE]],tblPiNAnalysis[[Admin2PCODE]:[Admin2PCODE]],tblPiNAnalysis[% NNA],0,0)</f>
        <v>0.05</v>
      </c>
      <c r="U185" s="6" cm="1">
        <f t="array" ref="U185">_xlfn.XLOOKUP(Table8[[#This Row],[Admin2PCODE]:[Admin2PCODE]],tblPiNAnalysis[[Admin2PCODE]:[Admin2PCODE]],tblPiNAnalysis[% VBG],0,0)</f>
        <v>0.05</v>
      </c>
      <c r="V185" s="8" cm="1">
        <f t="array" ref="V185">_xlfn.XLOOKUP(Table8[[#This Row],[Admin2PCODE]:[Admin2PCODE]],tblPiNAnalysis[[Admin2PCODE]:[Admin2PCODE]],tblPiNAnalysis[PiN preliminar],0,0)</f>
        <v>10500</v>
      </c>
      <c r="W185" s="308" cm="1">
        <f t="array" ref="W185">_xlfn.XLOOKUP(Table8[[#This Row],[Admin2PCODE]],tblPiNAnalysis[Admin2PCODE],tblSeverityAnalysis[Severidad media],0,0)</f>
        <v>2.3333333333333335</v>
      </c>
      <c r="X185" s="42">
        <f>Table8[[#This Row],[Severidad media]]*6</f>
        <v>14</v>
      </c>
      <c r="Y185" s="6" cm="1">
        <f t="array" ref="Y185">_xlfn.XLOOKUP(Table8[[#This Row],[Admin2PCODE]],tblPiNAnalysis[Admin2PCODE],tblPiNAnalysis[% PiN Sectores más altos],0,0)</f>
        <v>0.48957896209260038</v>
      </c>
      <c r="Z185" s="42" cm="1">
        <f t="array" ref="Z185">_xlfn.XLOOKUP(Table8[[#This Row],[Admin2PCODE]:[Admin2PCODE]],tblPiNAnalysis[[Admin2PCODE]:[Admin2PCODE]],tblPiNAnalysis[Severidad],0,0)</f>
        <v>3</v>
      </c>
      <c r="AA185">
        <f>_xlfn.XLOOKUP(Table8[[#This Row],[Admin2PCODE]],tblSeverityAnalysis[Admin 2 Código P],tblSeverityAnalysis[Severidad Ttotal 2025],0,0)</f>
        <v>3</v>
      </c>
      <c r="AB185" t="str">
        <f>_xlfn.XLOOKUP(Table8[[#This Row],[Admin2PCODE]],tblSeverityAnalysis[Admin 2 Código P],tblSeverityAnalysis[Priorización Final 2025],0,0)</f>
        <v>No</v>
      </c>
      <c r="AC185">
        <v>2</v>
      </c>
      <c r="AD185" t="s">
        <v>1053</v>
      </c>
      <c r="AE185">
        <v>4</v>
      </c>
      <c r="AF185">
        <v>0</v>
      </c>
      <c r="AG185">
        <v>0</v>
      </c>
      <c r="AH185">
        <v>0</v>
      </c>
      <c r="AI185">
        <v>0</v>
      </c>
      <c r="AJ185">
        <v>3</v>
      </c>
      <c r="AK185">
        <v>0</v>
      </c>
      <c r="AL185">
        <v>0</v>
      </c>
      <c r="AM185">
        <v>1</v>
      </c>
      <c r="AN185">
        <v>0</v>
      </c>
      <c r="AO185" s="314">
        <f>Table8[[#This Row],[N° Clústeres con respuesta]]/Table8[[#This Row],[Org Total]]</f>
        <v>0.5</v>
      </c>
      <c r="AP185" s="313">
        <v>5009</v>
      </c>
      <c r="AQ185" s="313">
        <v>3</v>
      </c>
      <c r="AR185" s="312">
        <f>Table8[[#This Row],[Alcanzados Oct 2025]]/Table8[[#This Row],[Meta 2025]]</f>
        <v>5.9892194050708723E-4</v>
      </c>
      <c r="AS185" s="423">
        <v>0</v>
      </c>
      <c r="AT185" s="423">
        <v>0</v>
      </c>
      <c r="AU185" s="423">
        <v>0</v>
      </c>
      <c r="AV185" s="423">
        <v>0</v>
      </c>
      <c r="AW185" s="423">
        <v>3</v>
      </c>
      <c r="AX185" s="423">
        <v>0</v>
      </c>
      <c r="AY185" s="423">
        <v>0</v>
      </c>
      <c r="AZ185" s="423">
        <v>0</v>
      </c>
      <c r="BA185" s="42">
        <v>0</v>
      </c>
    </row>
    <row r="186" spans="1:53">
      <c r="A186" t="s">
        <v>276</v>
      </c>
      <c r="B186" t="s">
        <v>455</v>
      </c>
      <c r="C186" t="s">
        <v>459</v>
      </c>
      <c r="D186" t="s">
        <v>460</v>
      </c>
      <c r="E186" s="8">
        <v>246194</v>
      </c>
      <c r="F186" s="8">
        <v>4924</v>
      </c>
      <c r="G186" s="8">
        <v>7633.7607358854439</v>
      </c>
      <c r="H186" s="8">
        <v>92919.5</v>
      </c>
      <c r="I186" s="8">
        <v>36531.301399839474</v>
      </c>
      <c r="J186" s="8">
        <v>49080.736704498151</v>
      </c>
      <c r="K186" s="8">
        <v>16618.095000000001</v>
      </c>
      <c r="L186" s="8">
        <v>15705.83574543941</v>
      </c>
      <c r="M186" s="8">
        <v>17178.25784657435</v>
      </c>
      <c r="N186" s="6" cm="1">
        <f t="array" ref="N186">_xlfn.XLOOKUP(Table8[[#This Row],[Admin2PCODE]:[Admin2PCODE]],tblPiNAnalysis[[Admin2PCODE]:[Admin2PCODE]],tblPiNAnalysis[% SAMV],0,0)</f>
        <v>0</v>
      </c>
      <c r="O186" s="6" cm="1">
        <f t="array" ref="O186">_xlfn.XLOOKUP(Table8[[#This Row],[Admin2PCODE]:[Admin2PCODE]],tblPiNAnalysis[[Admin2PCODE]:[Admin2PCODE]],tblPiNAnalysis[% NUT],0,0)</f>
        <v>0.05</v>
      </c>
      <c r="P186" s="6" cm="1">
        <f t="array" ref="P186">_xlfn.XLOOKUP(Table8[[#This Row],[Admin2PCODE]:[Admin2PCODE]],tblPiNAnalysis[[Admin2PCODE]:[Admin2PCODE]],tblPiNAnalysis[% SAL],0,0)</f>
        <v>0.4</v>
      </c>
      <c r="Q186" s="6" cm="1">
        <f t="array" ref="Q186">_xlfn.XLOOKUP(Table8[[#This Row],[Admin2PCODE]:[Admin2PCODE]],tblPiNAnalysis[[Admin2PCODE]:[Admin2PCODE]],tblPiNAnalysis[% EDU],0,0)</f>
        <v>0.15000000000000002</v>
      </c>
      <c r="R186" s="6" cm="1">
        <f t="array" ref="R186">_xlfn.XLOOKUP(Table8[[#This Row],[Admin2PCODE]:[Admin2PCODE]],tblPiNAnalysis[[Admin2PCODE]:[Admin2PCODE]],tblPiNAnalysis[% PRO],0,0)</f>
        <v>0.2</v>
      </c>
      <c r="S186" s="6" cm="1">
        <f t="array" ref="S186">_xlfn.XLOOKUP(Table8[[#This Row],[Admin2PCODE]:[Admin2PCODE]],tblPiNAnalysis[[Admin2PCODE]:[Admin2PCODE]],tblPiNAnalysis[% WASH],0,0)</f>
        <v>0.05</v>
      </c>
      <c r="T186" s="6" cm="1">
        <f t="array" ref="T186">_xlfn.XLOOKUP(Table8[[#This Row],[Admin2PCODE]:[Admin2PCODE]],tblPiNAnalysis[[Admin2PCODE]:[Admin2PCODE]],tblPiNAnalysis[% NNA],0,0)</f>
        <v>0.05</v>
      </c>
      <c r="U186" s="6" cm="1">
        <f t="array" ref="U186">_xlfn.XLOOKUP(Table8[[#This Row],[Admin2PCODE]:[Admin2PCODE]],tblPiNAnalysis[[Admin2PCODE]:[Admin2PCODE]],tblPiNAnalysis[% VBG],0,0)</f>
        <v>0.05</v>
      </c>
      <c r="V186" s="8" cm="1">
        <f t="array" ref="V186">_xlfn.XLOOKUP(Table8[[#This Row],[Admin2PCODE]:[Admin2PCODE]],tblPiNAnalysis[[Admin2PCODE]:[Admin2PCODE]],tblPiNAnalysis[PiN preliminar],0,0)</f>
        <v>92919.5</v>
      </c>
      <c r="W186" s="308" cm="1">
        <f t="array" ref="W186">_xlfn.XLOOKUP(Table8[[#This Row],[Admin2PCODE]],tblPiNAnalysis[Admin2PCODE],tblSeverityAnalysis[Severidad media],0,0)</f>
        <v>2.6666666666666665</v>
      </c>
      <c r="X186" s="42">
        <f>Table8[[#This Row],[Severidad media]]*6</f>
        <v>16</v>
      </c>
      <c r="Y186" s="6" cm="1">
        <f t="array" ref="Y186">_xlfn.XLOOKUP(Table8[[#This Row],[Admin2PCODE]],tblPiNAnalysis[Admin2PCODE],tblPiNAnalysis[% PiN Sectores más altos],0,0)</f>
        <v>0.37742390147607169</v>
      </c>
      <c r="Z186" s="42" cm="1">
        <f t="array" ref="Z186">_xlfn.XLOOKUP(Table8[[#This Row],[Admin2PCODE]:[Admin2PCODE]],tblPiNAnalysis[[Admin2PCODE]:[Admin2PCODE]],tblPiNAnalysis[Severidad],0,0)</f>
        <v>3</v>
      </c>
      <c r="AA186">
        <f>_xlfn.XLOOKUP(Table8[[#This Row],[Admin2PCODE]],tblSeverityAnalysis[Admin 2 Código P],tblSeverityAnalysis[Severidad Ttotal 2025],0,0)</f>
        <v>3</v>
      </c>
      <c r="AB186" t="str">
        <f>_xlfn.XLOOKUP(Table8[[#This Row],[Admin2PCODE]],tblSeverityAnalysis[Admin 2 Código P],tblSeverityAnalysis[Priorización Final 2025],0,0)</f>
        <v>No</v>
      </c>
      <c r="AC186">
        <v>7</v>
      </c>
      <c r="AD186" t="s">
        <v>1054</v>
      </c>
      <c r="AE186">
        <v>20</v>
      </c>
      <c r="AF186">
        <v>0</v>
      </c>
      <c r="AG186">
        <v>4</v>
      </c>
      <c r="AH186">
        <v>4</v>
      </c>
      <c r="AI186">
        <v>3</v>
      </c>
      <c r="AJ186">
        <v>7</v>
      </c>
      <c r="AK186">
        <v>3</v>
      </c>
      <c r="AL186">
        <v>6</v>
      </c>
      <c r="AM186">
        <v>3</v>
      </c>
      <c r="AN186">
        <v>0</v>
      </c>
      <c r="AO186" s="314">
        <f>Table8[[#This Row],[N° Clústeres con respuesta]]/Table8[[#This Row],[Org Total]]</f>
        <v>0.35</v>
      </c>
      <c r="AP186" s="313">
        <v>40446</v>
      </c>
      <c r="AQ186" s="313">
        <v>7597</v>
      </c>
      <c r="AR186" s="312">
        <f>Table8[[#This Row],[Alcanzados Oct 2025]]/Table8[[#This Row],[Meta 2025]]</f>
        <v>0.18783068783068782</v>
      </c>
      <c r="AS186" s="423">
        <v>0</v>
      </c>
      <c r="AT186" s="423">
        <v>1806</v>
      </c>
      <c r="AU186" s="423">
        <v>2241</v>
      </c>
      <c r="AV186" s="423">
        <v>2155</v>
      </c>
      <c r="AW186" s="423">
        <v>1173</v>
      </c>
      <c r="AX186" s="423">
        <v>40</v>
      </c>
      <c r="AY186" s="423">
        <v>5942</v>
      </c>
      <c r="AZ186" s="423">
        <v>247</v>
      </c>
      <c r="BA186" s="42">
        <v>0</v>
      </c>
    </row>
    <row r="187" spans="1:53">
      <c r="A187" t="s">
        <v>276</v>
      </c>
      <c r="B187" t="s">
        <v>455</v>
      </c>
      <c r="C187" t="s">
        <v>463</v>
      </c>
      <c r="D187" t="s">
        <v>464</v>
      </c>
      <c r="E187" s="8">
        <v>28135</v>
      </c>
      <c r="F187" s="8">
        <v>5158</v>
      </c>
      <c r="G187" s="8">
        <v>1432.7110070311301</v>
      </c>
      <c r="H187" s="8">
        <v>11900</v>
      </c>
      <c r="I187" s="8">
        <v>1771.5963990566322</v>
      </c>
      <c r="J187" s="8">
        <v>6730.7238706762373</v>
      </c>
      <c r="K187" s="8">
        <v>12660.75</v>
      </c>
      <c r="L187" s="8">
        <v>2153.831638616396</v>
      </c>
      <c r="M187" s="8">
        <v>2355.7533547366834</v>
      </c>
      <c r="N187" s="6" cm="1">
        <f t="array" ref="N187">_xlfn.XLOOKUP(Table8[[#This Row],[Admin2PCODE]:[Admin2PCODE]],tblPiNAnalysis[[Admin2PCODE]:[Admin2PCODE]],tblPiNAnalysis[% SAMV],0,0)</f>
        <v>0.2</v>
      </c>
      <c r="O187" s="6" cm="1">
        <f t="array" ref="O187">_xlfn.XLOOKUP(Table8[[#This Row],[Admin2PCODE]:[Admin2PCODE]],tblPiNAnalysis[[Admin2PCODE]:[Admin2PCODE]],tblPiNAnalysis[% NUT],0,0)</f>
        <v>0.05</v>
      </c>
      <c r="P187" s="6" cm="1">
        <f t="array" ref="P187">_xlfn.XLOOKUP(Table8[[#This Row],[Admin2PCODE]:[Admin2PCODE]],tblPiNAnalysis[[Admin2PCODE]:[Admin2PCODE]],tblPiNAnalysis[% SAL],0,0)</f>
        <v>0.4</v>
      </c>
      <c r="Q187" s="6" cm="1">
        <f t="array" ref="Q187">_xlfn.XLOOKUP(Table8[[#This Row],[Admin2PCODE]:[Admin2PCODE]],tblPiNAnalysis[[Admin2PCODE]:[Admin2PCODE]],tblPiNAnalysis[% EDU],0,0)</f>
        <v>0.05</v>
      </c>
      <c r="R187" s="6" cm="1">
        <f t="array" ref="R187">_xlfn.XLOOKUP(Table8[[#This Row],[Admin2PCODE]:[Admin2PCODE]],tblPiNAnalysis[[Admin2PCODE]:[Admin2PCODE]],tblPiNAnalysis[% PRO],0,0)</f>
        <v>0.25</v>
      </c>
      <c r="S187" s="6" cm="1">
        <f t="array" ref="S187">_xlfn.XLOOKUP(Table8[[#This Row],[Admin2PCODE]:[Admin2PCODE]],tblPiNAnalysis[[Admin2PCODE]:[Admin2PCODE]],tblPiNAnalysis[% WASH],0,0)</f>
        <v>0.45</v>
      </c>
      <c r="T187" s="6" cm="1">
        <f t="array" ref="T187">_xlfn.XLOOKUP(Table8[[#This Row],[Admin2PCODE]:[Admin2PCODE]],tblPiNAnalysis[[Admin2PCODE]:[Admin2PCODE]],tblPiNAnalysis[% NNA],0,0)</f>
        <v>0.1</v>
      </c>
      <c r="U187" s="6" cm="1">
        <f t="array" ref="U187">_xlfn.XLOOKUP(Table8[[#This Row],[Admin2PCODE]:[Admin2PCODE]],tblPiNAnalysis[[Admin2PCODE]:[Admin2PCODE]],tblPiNAnalysis[% VBG],0,0)</f>
        <v>0.1</v>
      </c>
      <c r="V187" s="8" cm="1">
        <f t="array" ref="V187">_xlfn.XLOOKUP(Table8[[#This Row],[Admin2PCODE]:[Admin2PCODE]],tblPiNAnalysis[[Admin2PCODE]:[Admin2PCODE]],tblPiNAnalysis[PiN preliminar],0,0)</f>
        <v>12660.75</v>
      </c>
      <c r="W187" s="308" cm="1">
        <f t="array" ref="W187">_xlfn.XLOOKUP(Table8[[#This Row],[Admin2PCODE]],tblPiNAnalysis[Admin2PCODE],tblSeverityAnalysis[Severidad media],0,0)</f>
        <v>2.6666666666666665</v>
      </c>
      <c r="X187" s="42">
        <f>Table8[[#This Row],[Severidad media]]*6</f>
        <v>16</v>
      </c>
      <c r="Y187" s="6" cm="1">
        <f t="array" ref="Y187">_xlfn.XLOOKUP(Table8[[#This Row],[Admin2PCODE]],tblPiNAnalysis[Admin2PCODE],tblPiNAnalysis[% PiN Sectores más altos],0,0)</f>
        <v>0.45</v>
      </c>
      <c r="Z187" s="42" cm="1">
        <f t="array" ref="Z187">_xlfn.XLOOKUP(Table8[[#This Row],[Admin2PCODE]:[Admin2PCODE]],tblPiNAnalysis[[Admin2PCODE]:[Admin2PCODE]],tblPiNAnalysis[Severidad],0,0)</f>
        <v>3</v>
      </c>
      <c r="AA187">
        <f>_xlfn.XLOOKUP(Table8[[#This Row],[Admin2PCODE]],tblSeverityAnalysis[Admin 2 Código P],tblSeverityAnalysis[Severidad Ttotal 2025],0,0)</f>
        <v>3</v>
      </c>
      <c r="AB187" t="str">
        <f>_xlfn.XLOOKUP(Table8[[#This Row],[Admin2PCODE]],tblSeverityAnalysis[Admin 2 Código P],tblSeverityAnalysis[Priorización Final 2025],0,0)</f>
        <v>No</v>
      </c>
      <c r="AC187">
        <v>6</v>
      </c>
      <c r="AD187" t="s">
        <v>1055</v>
      </c>
      <c r="AE187">
        <v>10</v>
      </c>
      <c r="AF187">
        <v>2</v>
      </c>
      <c r="AG187">
        <v>0</v>
      </c>
      <c r="AH187">
        <v>1</v>
      </c>
      <c r="AI187">
        <v>1</v>
      </c>
      <c r="AJ187">
        <v>5</v>
      </c>
      <c r="AK187">
        <v>2</v>
      </c>
      <c r="AL187">
        <v>2</v>
      </c>
      <c r="AM187">
        <v>3</v>
      </c>
      <c r="AN187">
        <v>0</v>
      </c>
      <c r="AO187" s="314">
        <f>Table8[[#This Row],[N° Clústeres con respuesta]]/Table8[[#This Row],[Org Total]]</f>
        <v>0.6</v>
      </c>
      <c r="AP187" s="313">
        <v>6569</v>
      </c>
      <c r="AQ187" s="313">
        <v>2666</v>
      </c>
      <c r="AR187" s="312">
        <f>Table8[[#This Row],[Alcanzados Oct 2025]]/Table8[[#This Row],[Meta 2025]]</f>
        <v>0.4058456386055716</v>
      </c>
      <c r="AS187" s="423">
        <v>22</v>
      </c>
      <c r="AT187" s="423">
        <v>0</v>
      </c>
      <c r="AU187" s="423">
        <v>75</v>
      </c>
      <c r="AV187" s="423">
        <v>108</v>
      </c>
      <c r="AW187" s="423">
        <v>7</v>
      </c>
      <c r="AX187" s="423">
        <v>92</v>
      </c>
      <c r="AY187" s="423">
        <v>2535</v>
      </c>
      <c r="AZ187" s="423">
        <v>778</v>
      </c>
      <c r="BA187" s="42">
        <v>0</v>
      </c>
    </row>
    <row r="188" spans="1:53">
      <c r="A188" t="s">
        <v>276</v>
      </c>
      <c r="B188" t="s">
        <v>455</v>
      </c>
      <c r="C188" t="s">
        <v>465</v>
      </c>
      <c r="D188" t="s">
        <v>466</v>
      </c>
      <c r="E188" s="8">
        <v>52877</v>
      </c>
      <c r="F188" s="8">
        <v>2005</v>
      </c>
      <c r="G188" s="8">
        <v>1528.0685771064743</v>
      </c>
      <c r="H188" s="8">
        <v>19300.105</v>
      </c>
      <c r="I188" s="8">
        <v>6999.6638382914334</v>
      </c>
      <c r="J188" s="8">
        <v>12649.74182014386</v>
      </c>
      <c r="K188" s="8">
        <v>3569.1975000000002</v>
      </c>
      <c r="L188" s="8">
        <v>4060.5671242661788</v>
      </c>
      <c r="M188" s="8">
        <v>4427.4096370503503</v>
      </c>
      <c r="N188" s="6" cm="1">
        <f t="array" ref="N188">_xlfn.XLOOKUP(Table8[[#This Row],[Admin2PCODE]:[Admin2PCODE]],tblPiNAnalysis[[Admin2PCODE]:[Admin2PCODE]],tblPiNAnalysis[% SAMV],0,0)</f>
        <v>0.05</v>
      </c>
      <c r="O188" s="6" cm="1">
        <f t="array" ref="O188">_xlfn.XLOOKUP(Table8[[#This Row],[Admin2PCODE]:[Admin2PCODE]],tblPiNAnalysis[[Admin2PCODE]:[Admin2PCODE]],tblPiNAnalysis[% NUT],0,0)</f>
        <v>0.05</v>
      </c>
      <c r="P188" s="6" cm="1">
        <f t="array" ref="P188">_xlfn.XLOOKUP(Table8[[#This Row],[Admin2PCODE]:[Admin2PCODE]],tblPiNAnalysis[[Admin2PCODE]:[Admin2PCODE]],tblPiNAnalysis[% SAL],0,0)</f>
        <v>0.35000000000000003</v>
      </c>
      <c r="Q188" s="6" cm="1">
        <f t="array" ref="Q188">_xlfn.XLOOKUP(Table8[[#This Row],[Admin2PCODE]:[Admin2PCODE]],tblPiNAnalysis[[Admin2PCODE]:[Admin2PCODE]],tblPiNAnalysis[% EDU],0,0)</f>
        <v>0.15000000000000002</v>
      </c>
      <c r="R188" s="6" cm="1">
        <f t="array" ref="R188">_xlfn.XLOOKUP(Table8[[#This Row],[Admin2PCODE]:[Admin2PCODE]],tblPiNAnalysis[[Admin2PCODE]:[Admin2PCODE]],tblPiNAnalysis[% PRO],0,0)</f>
        <v>0.25</v>
      </c>
      <c r="S188" s="6" cm="1">
        <f t="array" ref="S188">_xlfn.XLOOKUP(Table8[[#This Row],[Admin2PCODE]:[Admin2PCODE]],tblPiNAnalysis[[Admin2PCODE]:[Admin2PCODE]],tblPiNAnalysis[% WASH],0,0)</f>
        <v>0.05</v>
      </c>
      <c r="T188" s="6" cm="1">
        <f t="array" ref="T188">_xlfn.XLOOKUP(Table8[[#This Row],[Admin2PCODE]:[Admin2PCODE]],tblPiNAnalysis[[Admin2PCODE]:[Admin2PCODE]],tblPiNAnalysis[% NNA],0,0)</f>
        <v>0.1</v>
      </c>
      <c r="U188" s="6" cm="1">
        <f t="array" ref="U188">_xlfn.XLOOKUP(Table8[[#This Row],[Admin2PCODE]:[Admin2PCODE]],tblPiNAnalysis[[Admin2PCODE]:[Admin2PCODE]],tblPiNAnalysis[% VBG],0,0)</f>
        <v>0.1</v>
      </c>
      <c r="V188" s="8" cm="1">
        <f t="array" ref="V188">_xlfn.XLOOKUP(Table8[[#This Row],[Admin2PCODE]:[Admin2PCODE]],tblPiNAnalysis[[Admin2PCODE]:[Admin2PCODE]],tblPiNAnalysis[PiN preliminar],0,0)</f>
        <v>19300.105</v>
      </c>
      <c r="W188" s="308" cm="1">
        <f t="array" ref="W188">_xlfn.XLOOKUP(Table8[[#This Row],[Admin2PCODE]],tblPiNAnalysis[Admin2PCODE],tblSeverityAnalysis[Severidad media],0,0)</f>
        <v>3.3333333333333335</v>
      </c>
      <c r="X188" s="42">
        <f>Table8[[#This Row],[Severidad media]]*6</f>
        <v>20</v>
      </c>
      <c r="Y188" s="6" cm="1">
        <f t="array" ref="Y188">_xlfn.XLOOKUP(Table8[[#This Row],[Admin2PCODE]],tblPiNAnalysis[Admin2PCODE],tblPiNAnalysis[% PiN Sectores más altos],0,0)</f>
        <v>0.36499999999999999</v>
      </c>
      <c r="Z188" s="42" cm="1">
        <f t="array" ref="Z188">_xlfn.XLOOKUP(Table8[[#This Row],[Admin2PCODE]:[Admin2PCODE]],tblPiNAnalysis[[Admin2PCODE]:[Admin2PCODE]],tblPiNAnalysis[Severidad],0,0)</f>
        <v>3</v>
      </c>
      <c r="AA188">
        <f>_xlfn.XLOOKUP(Table8[[#This Row],[Admin2PCODE]],tblSeverityAnalysis[Admin 2 Código P],tblSeverityAnalysis[Severidad Ttotal 2025],0,0)</f>
        <v>3</v>
      </c>
      <c r="AB188" t="str">
        <f>_xlfn.XLOOKUP(Table8[[#This Row],[Admin2PCODE]],tblSeverityAnalysis[Admin 2 Código P],tblSeverityAnalysis[Priorización Final 2025],0,0)</f>
        <v>No</v>
      </c>
      <c r="AC188">
        <v>5</v>
      </c>
      <c r="AD188" t="s">
        <v>1056</v>
      </c>
      <c r="AE188">
        <v>8</v>
      </c>
      <c r="AF188">
        <v>0</v>
      </c>
      <c r="AG188">
        <v>0</v>
      </c>
      <c r="AH188">
        <v>0</v>
      </c>
      <c r="AI188">
        <v>1</v>
      </c>
      <c r="AJ188">
        <v>3</v>
      </c>
      <c r="AK188">
        <v>0</v>
      </c>
      <c r="AL188">
        <v>1</v>
      </c>
      <c r="AM188">
        <v>3</v>
      </c>
      <c r="AN188">
        <v>1</v>
      </c>
      <c r="AO188" s="314">
        <f>Table8[[#This Row],[N° Clústeres con respuesta]]/Table8[[#This Row],[Org Total]]</f>
        <v>0.625</v>
      </c>
      <c r="AP188" s="313">
        <v>12346</v>
      </c>
      <c r="AQ188" s="313">
        <v>679</v>
      </c>
      <c r="AR188" s="312">
        <f>Table8[[#This Row],[Alcanzados Oct 2025]]/Table8[[#This Row],[Meta 2025]]</f>
        <v>5.4997570063178354E-2</v>
      </c>
      <c r="AS188" s="423">
        <v>0</v>
      </c>
      <c r="AT188" s="423">
        <v>0</v>
      </c>
      <c r="AU188" s="423">
        <v>0</v>
      </c>
      <c r="AV188" s="423">
        <v>102</v>
      </c>
      <c r="AW188" s="423">
        <v>51</v>
      </c>
      <c r="AX188" s="423">
        <v>0</v>
      </c>
      <c r="AY188" s="423">
        <v>18</v>
      </c>
      <c r="AZ188" s="423">
        <v>679</v>
      </c>
      <c r="BA188" s="42">
        <v>355</v>
      </c>
    </row>
    <row r="189" spans="1:53">
      <c r="A189" t="s">
        <v>276</v>
      </c>
      <c r="B189" t="s">
        <v>455</v>
      </c>
      <c r="C189" t="s">
        <v>467</v>
      </c>
      <c r="D189" t="s">
        <v>468</v>
      </c>
      <c r="E189" s="8">
        <v>62597</v>
      </c>
      <c r="F189" s="8">
        <v>5738</v>
      </c>
      <c r="G189" s="8">
        <v>1793.4293125195629</v>
      </c>
      <c r="H189" s="8">
        <v>22847.904999999999</v>
      </c>
      <c r="I189" s="8">
        <v>4359.3628028084731</v>
      </c>
      <c r="J189" s="8">
        <v>12479.21101038803</v>
      </c>
      <c r="K189" s="8">
        <v>0</v>
      </c>
      <c r="L189" s="8">
        <v>3993.3475233241697</v>
      </c>
      <c r="M189" s="8">
        <v>4367.7238536358091</v>
      </c>
      <c r="N189" s="6" cm="1">
        <f t="array" ref="N189">_xlfn.XLOOKUP(Table8[[#This Row],[Admin2PCODE]:[Admin2PCODE]],tblPiNAnalysis[[Admin2PCODE]:[Admin2PCODE]],tblPiNAnalysis[% SAMV],0,0)</f>
        <v>0.1</v>
      </c>
      <c r="O189" s="6" cm="1">
        <f t="array" ref="O189">_xlfn.XLOOKUP(Table8[[#This Row],[Admin2PCODE]:[Admin2PCODE]],tblPiNAnalysis[[Admin2PCODE]:[Admin2PCODE]],tblPiNAnalysis[% NUT],0,0)</f>
        <v>0.05</v>
      </c>
      <c r="P189" s="6" cm="1">
        <f t="array" ref="P189">_xlfn.XLOOKUP(Table8[[#This Row],[Admin2PCODE]:[Admin2PCODE]],tblPiNAnalysis[[Admin2PCODE]:[Admin2PCODE]],tblPiNAnalysis[% SAL],0,0)</f>
        <v>0.35000000000000003</v>
      </c>
      <c r="Q189" s="6" cm="1">
        <f t="array" ref="Q189">_xlfn.XLOOKUP(Table8[[#This Row],[Admin2PCODE]:[Admin2PCODE]],tblPiNAnalysis[[Admin2PCODE]:[Admin2PCODE]],tblPiNAnalysis[% EDU],0,0)</f>
        <v>0.05</v>
      </c>
      <c r="R189" s="6" cm="1">
        <f t="array" ref="R189">_xlfn.XLOOKUP(Table8[[#This Row],[Admin2PCODE]:[Admin2PCODE]],tblPiNAnalysis[[Admin2PCODE]:[Admin2PCODE]],tblPiNAnalysis[% PRO],0,0)</f>
        <v>0.2</v>
      </c>
      <c r="S189" s="6" cm="1">
        <f t="array" ref="S189">_xlfn.XLOOKUP(Table8[[#This Row],[Admin2PCODE]:[Admin2PCODE]],tblPiNAnalysis[[Admin2PCODE]:[Admin2PCODE]],tblPiNAnalysis[% WASH],0,0)</f>
        <v>0</v>
      </c>
      <c r="T189" s="6" cm="1">
        <f t="array" ref="T189">_xlfn.XLOOKUP(Table8[[#This Row],[Admin2PCODE]:[Admin2PCODE]],tblPiNAnalysis[[Admin2PCODE]:[Admin2PCODE]],tblPiNAnalysis[% NNA],0,0)</f>
        <v>0.05</v>
      </c>
      <c r="U189" s="6" cm="1">
        <f t="array" ref="U189">_xlfn.XLOOKUP(Table8[[#This Row],[Admin2PCODE]:[Admin2PCODE]],tblPiNAnalysis[[Admin2PCODE]:[Admin2PCODE]],tblPiNAnalysis[% VBG],0,0)</f>
        <v>0.05</v>
      </c>
      <c r="V189" s="8" cm="1">
        <f t="array" ref="V189">_xlfn.XLOOKUP(Table8[[#This Row],[Admin2PCODE]:[Admin2PCODE]],tblPiNAnalysis[[Admin2PCODE]:[Admin2PCODE]],tblPiNAnalysis[PiN preliminar],0,0)</f>
        <v>22847.904999999999</v>
      </c>
      <c r="W189" s="308" cm="1">
        <f t="array" ref="W189">_xlfn.XLOOKUP(Table8[[#This Row],[Admin2PCODE]],tblPiNAnalysis[Admin2PCODE],tblSeverityAnalysis[Severidad media],0,0)</f>
        <v>2.6666666666666665</v>
      </c>
      <c r="X189" s="42">
        <f>Table8[[#This Row],[Severidad media]]*6</f>
        <v>16</v>
      </c>
      <c r="Y189" s="6" cm="1">
        <f t="array" ref="Y189">_xlfn.XLOOKUP(Table8[[#This Row],[Admin2PCODE]],tblPiNAnalysis[Admin2PCODE],tblPiNAnalysis[% PiN Sectores más altos],0,0)</f>
        <v>0.36499999999999999</v>
      </c>
      <c r="Z189" s="42" cm="1">
        <f t="array" ref="Z189">_xlfn.XLOOKUP(Table8[[#This Row],[Admin2PCODE]:[Admin2PCODE]],tblPiNAnalysis[[Admin2PCODE]:[Admin2PCODE]],tblPiNAnalysis[Severidad],0,0)</f>
        <v>3</v>
      </c>
      <c r="AA189">
        <f>_xlfn.XLOOKUP(Table8[[#This Row],[Admin2PCODE]],tblSeverityAnalysis[Admin 2 Código P],tblSeverityAnalysis[Severidad Ttotal 2025],0,0)</f>
        <v>3</v>
      </c>
      <c r="AB189" t="str">
        <f>_xlfn.XLOOKUP(Table8[[#This Row],[Admin2PCODE]],tblSeverityAnalysis[Admin 2 Código P],tblSeverityAnalysis[Priorización Final 2025],0,0)</f>
        <v>No</v>
      </c>
      <c r="AC189">
        <v>7</v>
      </c>
      <c r="AD189" t="s">
        <v>1057</v>
      </c>
      <c r="AE189">
        <v>18</v>
      </c>
      <c r="AF189">
        <v>0</v>
      </c>
      <c r="AG189">
        <v>1</v>
      </c>
      <c r="AH189">
        <v>2</v>
      </c>
      <c r="AI189">
        <v>3</v>
      </c>
      <c r="AJ189">
        <v>10</v>
      </c>
      <c r="AK189">
        <v>3</v>
      </c>
      <c r="AL189">
        <v>7</v>
      </c>
      <c r="AM189">
        <v>4</v>
      </c>
      <c r="AN189">
        <v>0</v>
      </c>
      <c r="AO189" s="314">
        <f>Table8[[#This Row],[N° Clústeres con respuesta]]/Table8[[#This Row],[Org Total]]</f>
        <v>0.3888888888888889</v>
      </c>
      <c r="AP189" s="313">
        <v>14614</v>
      </c>
      <c r="AQ189" s="313">
        <v>6428</v>
      </c>
      <c r="AR189" s="312">
        <f>Table8[[#This Row],[Alcanzados Oct 2025]]/Table8[[#This Row],[Meta 2025]]</f>
        <v>0.43985219652388119</v>
      </c>
      <c r="AS189" s="423">
        <v>0</v>
      </c>
      <c r="AT189" s="423">
        <v>686</v>
      </c>
      <c r="AU189" s="423">
        <v>1372</v>
      </c>
      <c r="AV189" s="423">
        <v>473</v>
      </c>
      <c r="AW189" s="423">
        <v>1449</v>
      </c>
      <c r="AX189" s="423">
        <v>407</v>
      </c>
      <c r="AY189" s="423">
        <v>5364</v>
      </c>
      <c r="AZ189" s="423">
        <v>243</v>
      </c>
      <c r="BA189" s="42">
        <v>0</v>
      </c>
    </row>
    <row r="190" spans="1:53">
      <c r="A190" t="s">
        <v>276</v>
      </c>
      <c r="B190" t="s">
        <v>455</v>
      </c>
      <c r="C190" t="s">
        <v>469</v>
      </c>
      <c r="D190" t="s">
        <v>470</v>
      </c>
      <c r="E190" s="8">
        <v>120553</v>
      </c>
      <c r="F190" s="8">
        <v>11592</v>
      </c>
      <c r="G190" s="8">
        <v>3999.3011938744403</v>
      </c>
      <c r="H190" s="8">
        <v>44001.845000000001</v>
      </c>
      <c r="I190" s="8">
        <v>10037.878729624295</v>
      </c>
      <c r="J190" s="8">
        <v>28839.842003967755</v>
      </c>
      <c r="K190" s="8">
        <v>0</v>
      </c>
      <c r="L190" s="8">
        <v>9257.5892832736499</v>
      </c>
      <c r="M190" s="8">
        <v>10093.944701388713</v>
      </c>
      <c r="N190" s="6" cm="1">
        <f t="array" ref="N190">_xlfn.XLOOKUP(Table8[[#This Row],[Admin2PCODE]:[Admin2PCODE]],tblPiNAnalysis[[Admin2PCODE]:[Admin2PCODE]],tblPiNAnalysis[% SAMV],0,0)</f>
        <v>0.1</v>
      </c>
      <c r="O190" s="6" cm="1">
        <f t="array" ref="O190">_xlfn.XLOOKUP(Table8[[#This Row],[Admin2PCODE]:[Admin2PCODE]],tblPiNAnalysis[[Admin2PCODE]:[Admin2PCODE]],tblPiNAnalysis[% NUT],0,0)</f>
        <v>0.05</v>
      </c>
      <c r="P190" s="6" cm="1">
        <f t="array" ref="P190">_xlfn.XLOOKUP(Table8[[#This Row],[Admin2PCODE]:[Admin2PCODE]],tblPiNAnalysis[[Admin2PCODE]:[Admin2PCODE]],tblPiNAnalysis[% SAL],0,0)</f>
        <v>0.35000000000000003</v>
      </c>
      <c r="Q190" s="6" cm="1">
        <f t="array" ref="Q190">_xlfn.XLOOKUP(Table8[[#This Row],[Admin2PCODE]:[Admin2PCODE]],tblPiNAnalysis[[Admin2PCODE]:[Admin2PCODE]],tblPiNAnalysis[% EDU],0,0)</f>
        <v>0.1</v>
      </c>
      <c r="R190" s="6" cm="1">
        <f t="array" ref="R190">_xlfn.XLOOKUP(Table8[[#This Row],[Admin2PCODE]:[Admin2PCODE]],tblPiNAnalysis[[Admin2PCODE]:[Admin2PCODE]],tblPiNAnalysis[% PRO],0,0)</f>
        <v>0.25</v>
      </c>
      <c r="S190" s="6" cm="1">
        <f t="array" ref="S190">_xlfn.XLOOKUP(Table8[[#This Row],[Admin2PCODE]:[Admin2PCODE]],tblPiNAnalysis[[Admin2PCODE]:[Admin2PCODE]],tblPiNAnalysis[% WASH],0,0)</f>
        <v>0</v>
      </c>
      <c r="T190" s="6" cm="1">
        <f t="array" ref="T190">_xlfn.XLOOKUP(Table8[[#This Row],[Admin2PCODE]:[Admin2PCODE]],tblPiNAnalysis[[Admin2PCODE]:[Admin2PCODE]],tblPiNAnalysis[% NNA],0,0)</f>
        <v>0.1</v>
      </c>
      <c r="U190" s="6" cm="1">
        <f t="array" ref="U190">_xlfn.XLOOKUP(Table8[[#This Row],[Admin2PCODE]:[Admin2PCODE]],tblPiNAnalysis[[Admin2PCODE]:[Admin2PCODE]],tblPiNAnalysis[% VBG],0,0)</f>
        <v>0.1</v>
      </c>
      <c r="V190" s="8" cm="1">
        <f t="array" ref="V190">_xlfn.XLOOKUP(Table8[[#This Row],[Admin2PCODE]:[Admin2PCODE]],tblPiNAnalysis[[Admin2PCODE]:[Admin2PCODE]],tblPiNAnalysis[PiN preliminar],0,0)</f>
        <v>44001.845000000001</v>
      </c>
      <c r="W190" s="308" cm="1">
        <f t="array" ref="W190">_xlfn.XLOOKUP(Table8[[#This Row],[Admin2PCODE]],tblPiNAnalysis[Admin2PCODE],tblSeverityAnalysis[Severidad media],0,0)</f>
        <v>2.3333333333333335</v>
      </c>
      <c r="X190" s="42">
        <f>Table8[[#This Row],[Severidad media]]*6</f>
        <v>14</v>
      </c>
      <c r="Y190" s="6" cm="1">
        <f t="array" ref="Y190">_xlfn.XLOOKUP(Table8[[#This Row],[Admin2PCODE]],tblPiNAnalysis[Admin2PCODE],tblPiNAnalysis[% PiN Sectores más altos],0,0)</f>
        <v>0.36499999999999999</v>
      </c>
      <c r="Z190" s="42" cm="1">
        <f t="array" ref="Z190">_xlfn.XLOOKUP(Table8[[#This Row],[Admin2PCODE]:[Admin2PCODE]],tblPiNAnalysis[[Admin2PCODE]:[Admin2PCODE]],tblPiNAnalysis[Severidad],0,0)</f>
        <v>3</v>
      </c>
      <c r="AA190">
        <f>_xlfn.XLOOKUP(Table8[[#This Row],[Admin2PCODE]],tblSeverityAnalysis[Admin 2 Código P],tblSeverityAnalysis[Severidad Ttotal 2025],0,0)</f>
        <v>3</v>
      </c>
      <c r="AB190" t="str">
        <f>_xlfn.XLOOKUP(Table8[[#This Row],[Admin2PCODE]],tblSeverityAnalysis[Admin 2 Código P],tblSeverityAnalysis[Priorización Final 2025],0,0)</f>
        <v>No</v>
      </c>
      <c r="AC190">
        <v>8</v>
      </c>
      <c r="AD190" t="s">
        <v>1058</v>
      </c>
      <c r="AE190">
        <v>18</v>
      </c>
      <c r="AF190">
        <v>0</v>
      </c>
      <c r="AG190">
        <v>4</v>
      </c>
      <c r="AH190">
        <v>2</v>
      </c>
      <c r="AI190">
        <v>4</v>
      </c>
      <c r="AJ190">
        <v>5</v>
      </c>
      <c r="AK190">
        <v>3</v>
      </c>
      <c r="AL190">
        <v>5</v>
      </c>
      <c r="AM190">
        <v>4</v>
      </c>
      <c r="AN190">
        <v>2</v>
      </c>
      <c r="AO190" s="314">
        <f>Table8[[#This Row],[N° Clústeres con respuesta]]/Table8[[#This Row],[Org Total]]</f>
        <v>0.44444444444444442</v>
      </c>
      <c r="AP190" s="313">
        <v>28145</v>
      </c>
      <c r="AQ190" s="313">
        <v>2972</v>
      </c>
      <c r="AR190" s="312">
        <f>Table8[[#This Row],[Alcanzados Oct 2025]]/Table8[[#This Row],[Meta 2025]]</f>
        <v>0.10559602060756795</v>
      </c>
      <c r="AS190" s="423">
        <v>0</v>
      </c>
      <c r="AT190" s="423">
        <v>2763</v>
      </c>
      <c r="AU190" s="423">
        <v>12</v>
      </c>
      <c r="AV190" s="423">
        <v>108</v>
      </c>
      <c r="AW190" s="423">
        <v>1560</v>
      </c>
      <c r="AX190" s="423">
        <v>4</v>
      </c>
      <c r="AY190" s="423">
        <v>273</v>
      </c>
      <c r="AZ190" s="423">
        <v>885</v>
      </c>
      <c r="BA190" s="42">
        <v>884</v>
      </c>
    </row>
    <row r="191" spans="1:53">
      <c r="A191" t="s">
        <v>276</v>
      </c>
      <c r="B191" t="s">
        <v>455</v>
      </c>
      <c r="C191" t="s">
        <v>471</v>
      </c>
      <c r="D191" t="s">
        <v>472</v>
      </c>
      <c r="E191" s="8">
        <v>59467</v>
      </c>
      <c r="F191" s="8">
        <v>17179</v>
      </c>
      <c r="G191" s="8">
        <v>1827.1077707490199</v>
      </c>
      <c r="H191" s="8">
        <v>21705.455000000002</v>
      </c>
      <c r="I191" s="8">
        <v>10280.43031349696</v>
      </c>
      <c r="J191" s="8">
        <v>11855.220556172742</v>
      </c>
      <c r="K191" s="8">
        <v>4014.0225</v>
      </c>
      <c r="L191" s="8">
        <v>3793.6705779752774</v>
      </c>
      <c r="M191" s="8">
        <v>4149.32719466046</v>
      </c>
      <c r="N191" s="6" cm="1">
        <f t="array" ref="N191">_xlfn.XLOOKUP(Table8[[#This Row],[Admin2PCODE]:[Admin2PCODE]],tblPiNAnalysis[[Admin2PCODE]:[Admin2PCODE]],tblPiNAnalysis[% SAMV],0,0)</f>
        <v>0.30000000000000004</v>
      </c>
      <c r="O191" s="6" cm="1">
        <f t="array" ref="O191">_xlfn.XLOOKUP(Table8[[#This Row],[Admin2PCODE]:[Admin2PCODE]],tblPiNAnalysis[[Admin2PCODE]:[Admin2PCODE]],tblPiNAnalysis[% NUT],0,0)</f>
        <v>0.05</v>
      </c>
      <c r="P191" s="6" cm="1">
        <f t="array" ref="P191">_xlfn.XLOOKUP(Table8[[#This Row],[Admin2PCODE]:[Admin2PCODE]],tblPiNAnalysis[[Admin2PCODE]:[Admin2PCODE]],tblPiNAnalysis[% SAL],0,0)</f>
        <v>0.35000000000000003</v>
      </c>
      <c r="Q191" s="6" cm="1">
        <f t="array" ref="Q191">_xlfn.XLOOKUP(Table8[[#This Row],[Admin2PCODE]:[Admin2PCODE]],tblPiNAnalysis[[Admin2PCODE]:[Admin2PCODE]],tblPiNAnalysis[% EDU],0,0)</f>
        <v>0.15000000000000002</v>
      </c>
      <c r="R191" s="6" cm="1">
        <f t="array" ref="R191">_xlfn.XLOOKUP(Table8[[#This Row],[Admin2PCODE]:[Admin2PCODE]],tblPiNAnalysis[[Admin2PCODE]:[Admin2PCODE]],tblPiNAnalysis[% PRO],0,0)</f>
        <v>0.2</v>
      </c>
      <c r="S191" s="6" cm="1">
        <f t="array" ref="S191">_xlfn.XLOOKUP(Table8[[#This Row],[Admin2PCODE]:[Admin2PCODE]],tblPiNAnalysis[[Admin2PCODE]:[Admin2PCODE]],tblPiNAnalysis[% WASH],0,0)</f>
        <v>0.05</v>
      </c>
      <c r="T191" s="6" cm="1">
        <f t="array" ref="T191">_xlfn.XLOOKUP(Table8[[#This Row],[Admin2PCODE]:[Admin2PCODE]],tblPiNAnalysis[[Admin2PCODE]:[Admin2PCODE]],tblPiNAnalysis[% NNA],0,0)</f>
        <v>0.05</v>
      </c>
      <c r="U191" s="6" cm="1">
        <f t="array" ref="U191">_xlfn.XLOOKUP(Table8[[#This Row],[Admin2PCODE]:[Admin2PCODE]],tblPiNAnalysis[[Admin2PCODE]:[Admin2PCODE]],tblPiNAnalysis[% VBG],0,0)</f>
        <v>0.05</v>
      </c>
      <c r="V191" s="8" cm="1">
        <f t="array" ref="V191">_xlfn.XLOOKUP(Table8[[#This Row],[Admin2PCODE]:[Admin2PCODE]],tblPiNAnalysis[[Admin2PCODE]:[Admin2PCODE]],tblPiNAnalysis[PiN preliminar],0,0)</f>
        <v>21705.455000000002</v>
      </c>
      <c r="W191" s="308" cm="1">
        <f t="array" ref="W191">_xlfn.XLOOKUP(Table8[[#This Row],[Admin2PCODE]],tblPiNAnalysis[Admin2PCODE],tblSeverityAnalysis[Severidad media],0,0)</f>
        <v>2.6666666666666665</v>
      </c>
      <c r="X191" s="42">
        <f>Table8[[#This Row],[Severidad media]]*6</f>
        <v>16</v>
      </c>
      <c r="Y191" s="6" cm="1">
        <f t="array" ref="Y191">_xlfn.XLOOKUP(Table8[[#This Row],[Admin2PCODE]],tblPiNAnalysis[Admin2PCODE],tblPiNAnalysis[% PiN Sectores más altos],0,0)</f>
        <v>0.36500000000000005</v>
      </c>
      <c r="Z191" s="42" cm="1">
        <f t="array" ref="Z191">_xlfn.XLOOKUP(Table8[[#This Row],[Admin2PCODE]:[Admin2PCODE]],tblPiNAnalysis[[Admin2PCODE]:[Admin2PCODE]],tblPiNAnalysis[Severidad],0,0)</f>
        <v>3</v>
      </c>
      <c r="AA191">
        <f>_xlfn.XLOOKUP(Table8[[#This Row],[Admin2PCODE]],tblSeverityAnalysis[Admin 2 Código P],tblSeverityAnalysis[Severidad Ttotal 2025],0,0)</f>
        <v>3</v>
      </c>
      <c r="AB191" t="str">
        <f>_xlfn.XLOOKUP(Table8[[#This Row],[Admin2PCODE]],tblSeverityAnalysis[Admin 2 Código P],tblSeverityAnalysis[Priorización Final 2025],0,0)</f>
        <v>No</v>
      </c>
      <c r="AC191">
        <v>6</v>
      </c>
      <c r="AD191" t="s">
        <v>1059</v>
      </c>
      <c r="AE191">
        <v>11</v>
      </c>
      <c r="AF191">
        <v>0</v>
      </c>
      <c r="AG191">
        <v>2</v>
      </c>
      <c r="AH191">
        <v>1</v>
      </c>
      <c r="AI191">
        <v>2</v>
      </c>
      <c r="AJ191">
        <v>7</v>
      </c>
      <c r="AK191">
        <v>0</v>
      </c>
      <c r="AL191">
        <v>3</v>
      </c>
      <c r="AM191">
        <v>3</v>
      </c>
      <c r="AN191">
        <v>0</v>
      </c>
      <c r="AO191" s="314">
        <f>Table8[[#This Row],[N° Clústeres con respuesta]]/Table8[[#This Row],[Org Total]]</f>
        <v>0.54545454545454541</v>
      </c>
      <c r="AP191" s="313">
        <v>13884</v>
      </c>
      <c r="AQ191" s="313">
        <v>3444</v>
      </c>
      <c r="AR191" s="312">
        <f>Table8[[#This Row],[Alcanzados Oct 2025]]/Table8[[#This Row],[Meta 2025]]</f>
        <v>0.24805531547104581</v>
      </c>
      <c r="AS191" s="423">
        <v>0</v>
      </c>
      <c r="AT191" s="423">
        <v>7</v>
      </c>
      <c r="AU191" s="423">
        <v>1248</v>
      </c>
      <c r="AV191" s="423">
        <v>642</v>
      </c>
      <c r="AW191" s="423">
        <v>84</v>
      </c>
      <c r="AX191" s="423">
        <v>1</v>
      </c>
      <c r="AY191" s="423">
        <v>2490</v>
      </c>
      <c r="AZ191" s="423">
        <v>140</v>
      </c>
      <c r="BA191" s="42">
        <v>0</v>
      </c>
    </row>
    <row r="192" spans="1:53">
      <c r="A192" t="s">
        <v>276</v>
      </c>
      <c r="B192" t="s">
        <v>455</v>
      </c>
      <c r="C192" t="s">
        <v>804</v>
      </c>
      <c r="D192" t="s">
        <v>474</v>
      </c>
      <c r="E192" s="8">
        <v>257935</v>
      </c>
      <c r="F192" s="8">
        <v>35886</v>
      </c>
      <c r="G192" s="8">
        <v>10643.490049850534</v>
      </c>
      <c r="H192" s="8">
        <v>94146.274999999994</v>
      </c>
      <c r="I192" s="8">
        <v>33543.140159372037</v>
      </c>
      <c r="J192" s="8">
        <v>61705.678392851456</v>
      </c>
      <c r="K192" s="8">
        <v>154761</v>
      </c>
      <c r="L192" s="8">
        <v>19745.817085712464</v>
      </c>
      <c r="M192" s="8">
        <v>21596.987437498006</v>
      </c>
      <c r="N192" s="6" cm="1">
        <f t="array" ref="N192">_xlfn.XLOOKUP(Table8[[#This Row],[Admin2PCODE]:[Admin2PCODE]],tblPiNAnalysis[[Admin2PCODE]:[Admin2PCODE]],tblPiNAnalysis[% SAMV],0,0)</f>
        <v>0.15000000000000002</v>
      </c>
      <c r="O192" s="6" cm="1">
        <f t="array" ref="O192">_xlfn.XLOOKUP(Table8[[#This Row],[Admin2PCODE]:[Admin2PCODE]],tblPiNAnalysis[[Admin2PCODE]:[Admin2PCODE]],tblPiNAnalysis[% NUT],0,0)</f>
        <v>0.05</v>
      </c>
      <c r="P192" s="6" cm="1">
        <f t="array" ref="P192">_xlfn.XLOOKUP(Table8[[#This Row],[Admin2PCODE]:[Admin2PCODE]],tblPiNAnalysis[[Admin2PCODE]:[Admin2PCODE]],tblPiNAnalysis[% SAL],0,0)</f>
        <v>0.35000000000000003</v>
      </c>
      <c r="Q192" s="6" cm="1">
        <f t="array" ref="Q192">_xlfn.XLOOKUP(Table8[[#This Row],[Admin2PCODE]:[Admin2PCODE]],tblPiNAnalysis[[Admin2PCODE]:[Admin2PCODE]],tblPiNAnalysis[% EDU],0,0)</f>
        <v>0.15000000000000002</v>
      </c>
      <c r="R192" s="6" cm="1">
        <f t="array" ref="R192">_xlfn.XLOOKUP(Table8[[#This Row],[Admin2PCODE]:[Admin2PCODE]],tblPiNAnalysis[[Admin2PCODE]:[Admin2PCODE]],tblPiNAnalysis[% PRO],0,0)</f>
        <v>0.25</v>
      </c>
      <c r="S192" s="6" cm="1">
        <f t="array" ref="S192">_xlfn.XLOOKUP(Table8[[#This Row],[Admin2PCODE]:[Admin2PCODE]],tblPiNAnalysis[[Admin2PCODE]:[Admin2PCODE]],tblPiNAnalysis[% WASH],0,0)</f>
        <v>0.60000000000000009</v>
      </c>
      <c r="T192" s="6" cm="1">
        <f t="array" ref="T192">_xlfn.XLOOKUP(Table8[[#This Row],[Admin2PCODE]:[Admin2PCODE]],tblPiNAnalysis[[Admin2PCODE]:[Admin2PCODE]],tblPiNAnalysis[% NNA],0,0)</f>
        <v>0.1</v>
      </c>
      <c r="U192" s="6" cm="1">
        <f t="array" ref="U192">_xlfn.XLOOKUP(Table8[[#This Row],[Admin2PCODE]:[Admin2PCODE]],tblPiNAnalysis[[Admin2PCODE]:[Admin2PCODE]],tblPiNAnalysis[% VBG],0,0)</f>
        <v>0.1</v>
      </c>
      <c r="V192" s="8" cm="1">
        <f t="array" ref="V192">_xlfn.XLOOKUP(Table8[[#This Row],[Admin2PCODE]:[Admin2PCODE]],tblPiNAnalysis[[Admin2PCODE]:[Admin2PCODE]],tblPiNAnalysis[PiN preliminar],0,0)</f>
        <v>154761</v>
      </c>
      <c r="W192" s="308" cm="1">
        <f t="array" ref="W192">_xlfn.XLOOKUP(Table8[[#This Row],[Admin2PCODE]],tblPiNAnalysis[Admin2PCODE],tblSeverityAnalysis[Severidad media],0,0)</f>
        <v>2.6666666666666665</v>
      </c>
      <c r="X192" s="42">
        <f>Table8[[#This Row],[Severidad media]]*6</f>
        <v>16</v>
      </c>
      <c r="Y192" s="6" cm="1">
        <f t="array" ref="Y192">_xlfn.XLOOKUP(Table8[[#This Row],[Admin2PCODE]],tblPiNAnalysis[Admin2PCODE],tblPiNAnalysis[% PiN Sectores más altos],0,0)</f>
        <v>0.6</v>
      </c>
      <c r="Z192" s="42" cm="1">
        <f t="array" ref="Z192">_xlfn.XLOOKUP(Table8[[#This Row],[Admin2PCODE]:[Admin2PCODE]],tblPiNAnalysis[[Admin2PCODE]:[Admin2PCODE]],tblPiNAnalysis[Severidad],0,0)</f>
        <v>3</v>
      </c>
      <c r="AA192">
        <f>_xlfn.XLOOKUP(Table8[[#This Row],[Admin2PCODE]],tblSeverityAnalysis[Admin 2 Código P],tblSeverityAnalysis[Severidad Ttotal 2025],0,0)</f>
        <v>3</v>
      </c>
      <c r="AB192" t="str">
        <f>_xlfn.XLOOKUP(Table8[[#This Row],[Admin2PCODE]],tblSeverityAnalysis[Admin 2 Código P],tblSeverityAnalysis[Priorización Final 2025],0,0)</f>
        <v>No</v>
      </c>
      <c r="AC192">
        <v>7</v>
      </c>
      <c r="AD192" t="s">
        <v>1060</v>
      </c>
      <c r="AE192">
        <v>16</v>
      </c>
      <c r="AF192">
        <v>0</v>
      </c>
      <c r="AG192">
        <v>3</v>
      </c>
      <c r="AH192">
        <v>0</v>
      </c>
      <c r="AI192">
        <v>5</v>
      </c>
      <c r="AJ192">
        <v>7</v>
      </c>
      <c r="AK192">
        <v>2</v>
      </c>
      <c r="AL192">
        <v>3</v>
      </c>
      <c r="AM192">
        <v>6</v>
      </c>
      <c r="AN192">
        <v>1</v>
      </c>
      <c r="AO192" s="314">
        <f>Table8[[#This Row],[N° Clústeres con respuesta]]/Table8[[#This Row],[Org Total]]</f>
        <v>0.4375</v>
      </c>
      <c r="AP192" s="313">
        <v>42376</v>
      </c>
      <c r="AQ192" s="313">
        <v>10782</v>
      </c>
      <c r="AR192" s="312">
        <f>Table8[[#This Row],[Alcanzados Oct 2025]]/Table8[[#This Row],[Meta 2025]]</f>
        <v>0.25443647347555221</v>
      </c>
      <c r="AS192" s="423">
        <v>0</v>
      </c>
      <c r="AT192" s="423">
        <v>5851</v>
      </c>
      <c r="AU192" s="423">
        <v>0</v>
      </c>
      <c r="AV192" s="423">
        <v>2192</v>
      </c>
      <c r="AW192" s="423">
        <v>249</v>
      </c>
      <c r="AX192" s="423">
        <v>35</v>
      </c>
      <c r="AY192" s="423">
        <v>5</v>
      </c>
      <c r="AZ192" s="423">
        <v>10580</v>
      </c>
      <c r="BA192" s="42">
        <v>215</v>
      </c>
    </row>
    <row r="193" spans="1:53">
      <c r="A193" t="s">
        <v>276</v>
      </c>
      <c r="B193" t="s">
        <v>455</v>
      </c>
      <c r="C193" t="s">
        <v>133</v>
      </c>
      <c r="D193" t="s">
        <v>475</v>
      </c>
      <c r="E193" s="8">
        <v>141913</v>
      </c>
      <c r="F193" s="8">
        <v>19075</v>
      </c>
      <c r="G193" s="8">
        <v>7370.8181050802659</v>
      </c>
      <c r="H193" s="8">
        <v>51798.245000000003</v>
      </c>
      <c r="I193" s="8">
        <v>13051.285569376869</v>
      </c>
      <c r="J193" s="8">
        <v>33949.78555746498</v>
      </c>
      <c r="K193" s="8">
        <v>19158.254999999997</v>
      </c>
      <c r="L193" s="8">
        <v>10863.931378388796</v>
      </c>
      <c r="M193" s="8">
        <v>11882.424945112743</v>
      </c>
      <c r="N193" s="6" cm="1">
        <f t="array" ref="N193">_xlfn.XLOOKUP(Table8[[#This Row],[Admin2PCODE]:[Admin2PCODE]],tblPiNAnalysis[[Admin2PCODE]:[Admin2PCODE]],tblPiNAnalysis[% SAMV],0,0)</f>
        <v>0.15000000000000002</v>
      </c>
      <c r="O193" s="6" cm="1">
        <f t="array" ref="O193">_xlfn.XLOOKUP(Table8[[#This Row],[Admin2PCODE]:[Admin2PCODE]],tblPiNAnalysis[[Admin2PCODE]:[Admin2PCODE]],tblPiNAnalysis[% NUT],0,0)</f>
        <v>0.05</v>
      </c>
      <c r="P193" s="6" cm="1">
        <f t="array" ref="P193">_xlfn.XLOOKUP(Table8[[#This Row],[Admin2PCODE]:[Admin2PCODE]],tblPiNAnalysis[[Admin2PCODE]:[Admin2PCODE]],tblPiNAnalysis[% SAL],0,0)</f>
        <v>0.35000000000000003</v>
      </c>
      <c r="Q193" s="6" cm="1">
        <f t="array" ref="Q193">_xlfn.XLOOKUP(Table8[[#This Row],[Admin2PCODE]:[Admin2PCODE]],tblPiNAnalysis[[Admin2PCODE]:[Admin2PCODE]],tblPiNAnalysis[% EDU],0,0)</f>
        <v>0.1</v>
      </c>
      <c r="R193" s="6" cm="1">
        <f t="array" ref="R193">_xlfn.XLOOKUP(Table8[[#This Row],[Admin2PCODE]:[Admin2PCODE]],tblPiNAnalysis[[Admin2PCODE]:[Admin2PCODE]],tblPiNAnalysis[% PRO],0,0)</f>
        <v>0.25</v>
      </c>
      <c r="S193" s="6" cm="1">
        <f t="array" ref="S193">_xlfn.XLOOKUP(Table8[[#This Row],[Admin2PCODE]:[Admin2PCODE]],tblPiNAnalysis[[Admin2PCODE]:[Admin2PCODE]],tblPiNAnalysis[% WASH],0,0)</f>
        <v>0.15000000000000002</v>
      </c>
      <c r="T193" s="6" cm="1">
        <f t="array" ref="T193">_xlfn.XLOOKUP(Table8[[#This Row],[Admin2PCODE]:[Admin2PCODE]],tblPiNAnalysis[[Admin2PCODE]:[Admin2PCODE]],tblPiNAnalysis[% NNA],0,0)</f>
        <v>0.1</v>
      </c>
      <c r="U193" s="6" cm="1">
        <f t="array" ref="U193">_xlfn.XLOOKUP(Table8[[#This Row],[Admin2PCODE]:[Admin2PCODE]],tblPiNAnalysis[[Admin2PCODE]:[Admin2PCODE]],tblPiNAnalysis[% VBG],0,0)</f>
        <v>0.1</v>
      </c>
      <c r="V193" s="8" cm="1">
        <f t="array" ref="V193">_xlfn.XLOOKUP(Table8[[#This Row],[Admin2PCODE]:[Admin2PCODE]],tblPiNAnalysis[[Admin2PCODE]:[Admin2PCODE]],tblPiNAnalysis[PiN preliminar],0,0)</f>
        <v>51798.245000000003</v>
      </c>
      <c r="W193" s="308" cm="1">
        <f t="array" ref="W193">_xlfn.XLOOKUP(Table8[[#This Row],[Admin2PCODE]],tblPiNAnalysis[Admin2PCODE],tblSeverityAnalysis[Severidad media],0,0)</f>
        <v>2.1666666666666665</v>
      </c>
      <c r="X193" s="42">
        <f>Table8[[#This Row],[Severidad media]]*6</f>
        <v>13</v>
      </c>
      <c r="Y193" s="6" cm="1">
        <f t="array" ref="Y193">_xlfn.XLOOKUP(Table8[[#This Row],[Admin2PCODE]],tblPiNAnalysis[Admin2PCODE],tblPiNAnalysis[% PiN Sectores más altos],0,0)</f>
        <v>0.36499999999999999</v>
      </c>
      <c r="Z193" s="42" cm="1">
        <f t="array" ref="Z193">_xlfn.XLOOKUP(Table8[[#This Row],[Admin2PCODE]:[Admin2PCODE]],tblPiNAnalysis[[Admin2PCODE]:[Admin2PCODE]],tblPiNAnalysis[Severidad],0,0)</f>
        <v>3</v>
      </c>
      <c r="AA193">
        <f>_xlfn.XLOOKUP(Table8[[#This Row],[Admin2PCODE]],tblSeverityAnalysis[Admin 2 Código P],tblSeverityAnalysis[Severidad Ttotal 2025],0,0)</f>
        <v>3</v>
      </c>
      <c r="AB193" t="str">
        <f>_xlfn.XLOOKUP(Table8[[#This Row],[Admin2PCODE]],tblSeverityAnalysis[Admin 2 Código P],tblSeverityAnalysis[Priorización Final 2025],0,0)</f>
        <v>No</v>
      </c>
      <c r="AC193">
        <v>8</v>
      </c>
      <c r="AD193" t="s">
        <v>1061</v>
      </c>
      <c r="AE193">
        <v>16</v>
      </c>
      <c r="AF193">
        <v>0</v>
      </c>
      <c r="AG193">
        <v>4</v>
      </c>
      <c r="AH193">
        <v>3</v>
      </c>
      <c r="AI193">
        <v>4</v>
      </c>
      <c r="AJ193">
        <v>8</v>
      </c>
      <c r="AK193">
        <v>2</v>
      </c>
      <c r="AL193">
        <v>2</v>
      </c>
      <c r="AM193">
        <v>4</v>
      </c>
      <c r="AN193">
        <v>1</v>
      </c>
      <c r="AO193" s="314">
        <f>Table8[[#This Row],[N° Clústeres con respuesta]]/Table8[[#This Row],[Org Total]]</f>
        <v>0.5</v>
      </c>
      <c r="AP193" s="313">
        <v>23313</v>
      </c>
      <c r="AQ193" s="313">
        <v>4198</v>
      </c>
      <c r="AR193" s="312">
        <f>Table8[[#This Row],[Alcanzados Oct 2025]]/Table8[[#This Row],[Meta 2025]]</f>
        <v>0.18007120490713335</v>
      </c>
      <c r="AS193" s="423">
        <v>0</v>
      </c>
      <c r="AT193" s="423">
        <v>1855</v>
      </c>
      <c r="AU193" s="423">
        <v>3001</v>
      </c>
      <c r="AV193" s="423">
        <v>3111</v>
      </c>
      <c r="AW193" s="423">
        <v>3910</v>
      </c>
      <c r="AX193" s="423">
        <v>2</v>
      </c>
      <c r="AY193" s="423">
        <v>580</v>
      </c>
      <c r="AZ193" s="423">
        <v>1651</v>
      </c>
      <c r="BA193" s="42">
        <v>228</v>
      </c>
    </row>
    <row r="194" spans="1:53">
      <c r="A194" t="s">
        <v>276</v>
      </c>
      <c r="B194" t="s">
        <v>455</v>
      </c>
      <c r="C194" t="s">
        <v>478</v>
      </c>
      <c r="D194" t="s">
        <v>479</v>
      </c>
      <c r="E194" s="8">
        <v>69787</v>
      </c>
      <c r="F194" s="8">
        <v>684</v>
      </c>
      <c r="G194" s="8">
        <v>1624.1428270476888</v>
      </c>
      <c r="H194" s="8">
        <v>25472.255000000001</v>
      </c>
      <c r="I194" s="8">
        <v>12153.83749973066</v>
      </c>
      <c r="J194" s="8">
        <v>13912.59483332986</v>
      </c>
      <c r="K194" s="8">
        <v>0</v>
      </c>
      <c r="L194" s="8">
        <v>4452.030346665555</v>
      </c>
      <c r="M194" s="8">
        <v>4869.4081916654504</v>
      </c>
      <c r="N194" s="6" cm="1">
        <f t="array" ref="N194">_xlfn.XLOOKUP(Table8[[#This Row],[Admin2PCODE]:[Admin2PCODE]],tblPiNAnalysis[[Admin2PCODE]:[Admin2PCODE]],tblPiNAnalysis[% SAMV],0,0)</f>
        <v>0</v>
      </c>
      <c r="O194" s="6" cm="1">
        <f t="array" ref="O194">_xlfn.XLOOKUP(Table8[[#This Row],[Admin2PCODE]:[Admin2PCODE]],tblPiNAnalysis[[Admin2PCODE]:[Admin2PCODE]],tblPiNAnalysis[% NUT],0,0)</f>
        <v>0</v>
      </c>
      <c r="P194" s="6" cm="1">
        <f t="array" ref="P194">_xlfn.XLOOKUP(Table8[[#This Row],[Admin2PCODE]:[Admin2PCODE]],tblPiNAnalysis[[Admin2PCODE]:[Admin2PCODE]],tblPiNAnalysis[% SAL],0,0)</f>
        <v>0.35000000000000003</v>
      </c>
      <c r="Q194" s="6" cm="1">
        <f t="array" ref="Q194">_xlfn.XLOOKUP(Table8[[#This Row],[Admin2PCODE]:[Admin2PCODE]],tblPiNAnalysis[[Admin2PCODE]:[Admin2PCODE]],tblPiNAnalysis[% EDU],0,0)</f>
        <v>0.15000000000000002</v>
      </c>
      <c r="R194" s="6" cm="1">
        <f t="array" ref="R194">_xlfn.XLOOKUP(Table8[[#This Row],[Admin2PCODE]:[Admin2PCODE]],tblPiNAnalysis[[Admin2PCODE]:[Admin2PCODE]],tblPiNAnalysis[% PRO],0,0)</f>
        <v>0.2</v>
      </c>
      <c r="S194" s="6" cm="1">
        <f t="array" ref="S194">_xlfn.XLOOKUP(Table8[[#This Row],[Admin2PCODE]:[Admin2PCODE]],tblPiNAnalysis[[Admin2PCODE]:[Admin2PCODE]],tblPiNAnalysis[% WASH],0,0)</f>
        <v>0</v>
      </c>
      <c r="T194" s="6" cm="1">
        <f t="array" ref="T194">_xlfn.XLOOKUP(Table8[[#This Row],[Admin2PCODE]:[Admin2PCODE]],tblPiNAnalysis[[Admin2PCODE]:[Admin2PCODE]],tblPiNAnalysis[% NNA],0,0)</f>
        <v>0.05</v>
      </c>
      <c r="U194" s="6" cm="1">
        <f t="array" ref="U194">_xlfn.XLOOKUP(Table8[[#This Row],[Admin2PCODE]:[Admin2PCODE]],tblPiNAnalysis[[Admin2PCODE]:[Admin2PCODE]],tblPiNAnalysis[% VBG],0,0)</f>
        <v>0.05</v>
      </c>
      <c r="V194" s="8" cm="1">
        <f t="array" ref="V194">_xlfn.XLOOKUP(Table8[[#This Row],[Admin2PCODE]:[Admin2PCODE]],tblPiNAnalysis[[Admin2PCODE]:[Admin2PCODE]],tblPiNAnalysis[PiN preliminar],0,0)</f>
        <v>0</v>
      </c>
      <c r="W194" s="308" cm="1">
        <f t="array" ref="W194">_xlfn.XLOOKUP(Table8[[#This Row],[Admin2PCODE]],tblPiNAnalysis[Admin2PCODE],tblSeverityAnalysis[Severidad media],0,0)</f>
        <v>2.1666666666666665</v>
      </c>
      <c r="X194" s="42">
        <f>Table8[[#This Row],[Severidad media]]*6</f>
        <v>13</v>
      </c>
      <c r="Y194" s="6" cm="1">
        <f t="array" ref="Y194">_xlfn.XLOOKUP(Table8[[#This Row],[Admin2PCODE]],tblPiNAnalysis[Admin2PCODE],tblPiNAnalysis[% PiN Sectores más altos],0,0)</f>
        <v>0.36499999999999999</v>
      </c>
      <c r="Z194" s="42" cm="1">
        <f t="array" ref="Z194">_xlfn.XLOOKUP(Table8[[#This Row],[Admin2PCODE]:[Admin2PCODE]],tblPiNAnalysis[[Admin2PCODE]:[Admin2PCODE]],tblPiNAnalysis[Severidad],0,0)</f>
        <v>2</v>
      </c>
      <c r="AA194">
        <f>_xlfn.XLOOKUP(Table8[[#This Row],[Admin2PCODE]],tblSeverityAnalysis[Admin 2 Código P],tblSeverityAnalysis[Severidad Ttotal 2025],0,0)</f>
        <v>3</v>
      </c>
      <c r="AB194" t="str">
        <f>_xlfn.XLOOKUP(Table8[[#This Row],[Admin2PCODE]],tblSeverityAnalysis[Admin 2 Código P],tblSeverityAnalysis[Priorización Final 2025],0,0)</f>
        <v>No</v>
      </c>
      <c r="AC194">
        <v>4</v>
      </c>
      <c r="AD194" t="s">
        <v>1062</v>
      </c>
      <c r="AE194">
        <v>8</v>
      </c>
      <c r="AF194">
        <v>0</v>
      </c>
      <c r="AG194">
        <v>0</v>
      </c>
      <c r="AH194">
        <v>0</v>
      </c>
      <c r="AI194">
        <v>1</v>
      </c>
      <c r="AJ194">
        <v>3</v>
      </c>
      <c r="AK194">
        <v>1</v>
      </c>
      <c r="AL194">
        <v>2</v>
      </c>
      <c r="AM194">
        <v>1</v>
      </c>
      <c r="AN194">
        <v>0</v>
      </c>
      <c r="AO194" s="314">
        <f>Table8[[#This Row],[N° Clústeres con respuesta]]/Table8[[#This Row],[Org Total]]</f>
        <v>0.5</v>
      </c>
      <c r="AP194" s="313">
        <v>16295</v>
      </c>
      <c r="AQ194" s="313">
        <v>16</v>
      </c>
      <c r="AR194" s="312">
        <f>Table8[[#This Row],[Alcanzados Oct 2025]]/Table8[[#This Row],[Meta 2025]]</f>
        <v>9.8189628720466403E-4</v>
      </c>
      <c r="AS194" s="423">
        <v>0</v>
      </c>
      <c r="AT194" s="423">
        <v>0</v>
      </c>
      <c r="AU194" s="423">
        <v>0</v>
      </c>
      <c r="AV194" s="423">
        <v>1</v>
      </c>
      <c r="AW194" s="423">
        <v>15</v>
      </c>
      <c r="AX194" s="423">
        <v>3</v>
      </c>
      <c r="AY194" s="423">
        <v>3</v>
      </c>
      <c r="AZ194" s="423">
        <v>0</v>
      </c>
      <c r="BA194" s="42">
        <v>0</v>
      </c>
    </row>
    <row r="195" spans="1:53">
      <c r="A195" t="s">
        <v>276</v>
      </c>
      <c r="B195" t="s">
        <v>455</v>
      </c>
      <c r="C195" t="s">
        <v>171</v>
      </c>
      <c r="D195" t="s">
        <v>480</v>
      </c>
      <c r="E195" s="8">
        <v>38798</v>
      </c>
      <c r="F195" s="8">
        <v>4445</v>
      </c>
      <c r="G195" s="8">
        <v>1829.0509454631263</v>
      </c>
      <c r="H195" s="8">
        <v>14161.27</v>
      </c>
      <c r="I195" s="8">
        <v>2198.4547173935935</v>
      </c>
      <c r="J195" s="8">
        <v>9281.6287447839604</v>
      </c>
      <c r="K195" s="8">
        <v>0</v>
      </c>
      <c r="L195" s="8">
        <v>2979.4028270756512</v>
      </c>
      <c r="M195" s="8">
        <v>3248.5700606743858</v>
      </c>
      <c r="N195" s="6" cm="1">
        <f t="array" ref="N195">_xlfn.XLOOKUP(Table8[[#This Row],[Admin2PCODE]:[Admin2PCODE]],tblPiNAnalysis[[Admin2PCODE]:[Admin2PCODE]],tblPiNAnalysis[% SAMV],0,0)</f>
        <v>0.1</v>
      </c>
      <c r="O195" s="6" cm="1">
        <f t="array" ref="O195">_xlfn.XLOOKUP(Table8[[#This Row],[Admin2PCODE]:[Admin2PCODE]],tblPiNAnalysis[[Admin2PCODE]:[Admin2PCODE]],tblPiNAnalysis[% NUT],0,0)</f>
        <v>0.05</v>
      </c>
      <c r="P195" s="6" cm="1">
        <f t="array" ref="P195">_xlfn.XLOOKUP(Table8[[#This Row],[Admin2PCODE]:[Admin2PCODE]],tblPiNAnalysis[[Admin2PCODE]:[Admin2PCODE]],tblPiNAnalysis[% SAL],0,0)</f>
        <v>0.35000000000000003</v>
      </c>
      <c r="Q195" s="6" cm="1">
        <f t="array" ref="Q195">_xlfn.XLOOKUP(Table8[[#This Row],[Admin2PCODE]:[Admin2PCODE]],tblPiNAnalysis[[Admin2PCODE]:[Admin2PCODE]],tblPiNAnalysis[% EDU],0,0)</f>
        <v>0.05</v>
      </c>
      <c r="R195" s="6" cm="1">
        <f t="array" ref="R195">_xlfn.XLOOKUP(Table8[[#This Row],[Admin2PCODE]:[Admin2PCODE]],tblPiNAnalysis[[Admin2PCODE]:[Admin2PCODE]],tblPiNAnalysis[% PRO],0,0)</f>
        <v>0.25</v>
      </c>
      <c r="S195" s="6" cm="1">
        <f t="array" ref="S195">_xlfn.XLOOKUP(Table8[[#This Row],[Admin2PCODE]:[Admin2PCODE]],tblPiNAnalysis[[Admin2PCODE]:[Admin2PCODE]],tblPiNAnalysis[% WASH],0,0)</f>
        <v>0</v>
      </c>
      <c r="T195" s="6" cm="1">
        <f t="array" ref="T195">_xlfn.XLOOKUP(Table8[[#This Row],[Admin2PCODE]:[Admin2PCODE]],tblPiNAnalysis[[Admin2PCODE]:[Admin2PCODE]],tblPiNAnalysis[% NNA],0,0)</f>
        <v>0.1</v>
      </c>
      <c r="U195" s="6" cm="1">
        <f t="array" ref="U195">_xlfn.XLOOKUP(Table8[[#This Row],[Admin2PCODE]:[Admin2PCODE]],tblPiNAnalysis[[Admin2PCODE]:[Admin2PCODE]],tblPiNAnalysis[% VBG],0,0)</f>
        <v>0.1</v>
      </c>
      <c r="V195" s="8" cm="1">
        <f t="array" ref="V195">_xlfn.XLOOKUP(Table8[[#This Row],[Admin2PCODE]:[Admin2PCODE]],tblPiNAnalysis[[Admin2PCODE]:[Admin2PCODE]],tblPiNAnalysis[PiN preliminar],0,0)</f>
        <v>14161.27</v>
      </c>
      <c r="W195" s="308" cm="1">
        <f t="array" ref="W195">_xlfn.XLOOKUP(Table8[[#This Row],[Admin2PCODE]],tblPiNAnalysis[Admin2PCODE],tblSeverityAnalysis[Severidad media],0,0)</f>
        <v>3</v>
      </c>
      <c r="X195" s="42">
        <f>Table8[[#This Row],[Severidad media]]*6</f>
        <v>18</v>
      </c>
      <c r="Y195" s="6" cm="1">
        <f t="array" ref="Y195">_xlfn.XLOOKUP(Table8[[#This Row],[Admin2PCODE]],tblPiNAnalysis[Admin2PCODE],tblPiNAnalysis[% PiN Sectores más altos],0,0)</f>
        <v>0.36499999999999999</v>
      </c>
      <c r="Z195" s="42" cm="1">
        <f t="array" ref="Z195">_xlfn.XLOOKUP(Table8[[#This Row],[Admin2PCODE]:[Admin2PCODE]],tblPiNAnalysis[[Admin2PCODE]:[Admin2PCODE]],tblPiNAnalysis[Severidad],0,0)</f>
        <v>3</v>
      </c>
      <c r="AA195">
        <f>_xlfn.XLOOKUP(Table8[[#This Row],[Admin2PCODE]],tblSeverityAnalysis[Admin 2 Código P],tblSeverityAnalysis[Severidad Ttotal 2025],0,0)</f>
        <v>3</v>
      </c>
      <c r="AB195" t="str">
        <f>_xlfn.XLOOKUP(Table8[[#This Row],[Admin2PCODE]],tblSeverityAnalysis[Admin 2 Código P],tblSeverityAnalysis[Priorización Final 2025],0,0)</f>
        <v>No</v>
      </c>
      <c r="AC195">
        <v>5</v>
      </c>
      <c r="AD195" t="s">
        <v>1063</v>
      </c>
      <c r="AE195">
        <v>9</v>
      </c>
      <c r="AF195">
        <v>0</v>
      </c>
      <c r="AG195">
        <v>1</v>
      </c>
      <c r="AH195">
        <v>1</v>
      </c>
      <c r="AI195">
        <v>1</v>
      </c>
      <c r="AJ195">
        <v>4</v>
      </c>
      <c r="AK195">
        <v>0</v>
      </c>
      <c r="AL195">
        <v>0</v>
      </c>
      <c r="AM195">
        <v>5</v>
      </c>
      <c r="AN195">
        <v>0</v>
      </c>
      <c r="AO195" s="314">
        <f>Table8[[#This Row],[N° Clústeres con respuesta]]/Table8[[#This Row],[Org Total]]</f>
        <v>0.55555555555555558</v>
      </c>
      <c r="AP195" s="313">
        <v>9059</v>
      </c>
      <c r="AQ195" s="313">
        <v>12318</v>
      </c>
      <c r="AR195" s="312">
        <f>Table8[[#This Row],[Alcanzados Oct 2025]]/Table8[[#This Row],[Meta 2025]]</f>
        <v>1.3597527320896345</v>
      </c>
      <c r="AS195" s="423">
        <v>0</v>
      </c>
      <c r="AT195" s="423">
        <v>6389</v>
      </c>
      <c r="AU195" s="423">
        <v>18</v>
      </c>
      <c r="AV195" s="423">
        <v>54</v>
      </c>
      <c r="AW195" s="423">
        <v>14</v>
      </c>
      <c r="AX195" s="423">
        <v>0</v>
      </c>
      <c r="AY195" s="423">
        <v>0</v>
      </c>
      <c r="AZ195" s="423">
        <v>11486</v>
      </c>
      <c r="BA195" s="42">
        <v>0</v>
      </c>
    </row>
    <row r="196" spans="1:53">
      <c r="A196" t="s">
        <v>119</v>
      </c>
      <c r="B196" t="s">
        <v>120</v>
      </c>
      <c r="C196" t="s">
        <v>139</v>
      </c>
      <c r="D196" t="s">
        <v>140</v>
      </c>
      <c r="E196" s="8">
        <v>17933</v>
      </c>
      <c r="F196" s="8">
        <v>2989</v>
      </c>
      <c r="G196" s="8">
        <v>1895.5368817451808</v>
      </c>
      <c r="H196" s="8">
        <v>14000</v>
      </c>
      <c r="I196" s="8">
        <v>2082.8416132481525</v>
      </c>
      <c r="J196" s="8">
        <v>2140.118657289428</v>
      </c>
      <c r="K196" s="8">
        <v>8069.85</v>
      </c>
      <c r="L196" s="8">
        <v>684.83797033261703</v>
      </c>
      <c r="M196" s="8">
        <v>749.04153005129967</v>
      </c>
      <c r="N196" s="6" cm="1">
        <f t="array" ref="N196">_xlfn.XLOOKUP(Table8[[#This Row],[Admin2PCODE]:[Admin2PCODE]],tblPiNAnalysis[[Admin2PCODE]:[Admin2PCODE]],tblPiNAnalysis[% SAMV],0,0)</f>
        <v>0.15000000000000002</v>
      </c>
      <c r="O196" s="6" cm="1">
        <f t="array" ref="O196">_xlfn.XLOOKUP(Table8[[#This Row],[Admin2PCODE]:[Admin2PCODE]],tblPiNAnalysis[[Admin2PCODE]:[Admin2PCODE]],tblPiNAnalysis[% NUT],0,0)</f>
        <v>0.1</v>
      </c>
      <c r="P196" s="6" cm="1">
        <f t="array" ref="P196">_xlfn.XLOOKUP(Table8[[#This Row],[Admin2PCODE]:[Admin2PCODE]],tblPiNAnalysis[[Admin2PCODE]:[Admin2PCODE]],tblPiNAnalysis[% SAL],0,0)</f>
        <v>0.8</v>
      </c>
      <c r="Q196" s="6" cm="1">
        <f t="array" ref="Q196">_xlfn.XLOOKUP(Table8[[#This Row],[Admin2PCODE]:[Admin2PCODE]],tblPiNAnalysis[[Admin2PCODE]:[Admin2PCODE]],tblPiNAnalysis[% EDU],0,0)</f>
        <v>0.1</v>
      </c>
      <c r="R196" s="6" cm="1">
        <f t="array" ref="R196">_xlfn.XLOOKUP(Table8[[#This Row],[Admin2PCODE]:[Admin2PCODE]],tblPiNAnalysis[[Admin2PCODE]:[Admin2PCODE]],tblPiNAnalysis[% PRO],0,0)</f>
        <v>0.1</v>
      </c>
      <c r="S196" s="6" cm="1">
        <f t="array" ref="S196">_xlfn.XLOOKUP(Table8[[#This Row],[Admin2PCODE]:[Admin2PCODE]],tblPiNAnalysis[[Admin2PCODE]:[Admin2PCODE]],tblPiNAnalysis[% WASH],0,0)</f>
        <v>0.45</v>
      </c>
      <c r="T196" s="6" cm="1">
        <f t="array" ref="T196">_xlfn.XLOOKUP(Table8[[#This Row],[Admin2PCODE]:[Admin2PCODE]],tblPiNAnalysis[[Admin2PCODE]:[Admin2PCODE]],tblPiNAnalysis[% NNA],0,0)</f>
        <v>0.05</v>
      </c>
      <c r="U196" s="6" cm="1">
        <f t="array" ref="U196">_xlfn.XLOOKUP(Table8[[#This Row],[Admin2PCODE]:[Admin2PCODE]],tblPiNAnalysis[[Admin2PCODE]:[Admin2PCODE]],tblPiNAnalysis[% VBG],0,0)</f>
        <v>0.05</v>
      </c>
      <c r="V196" s="8" cm="1">
        <f t="array" ref="V196">_xlfn.XLOOKUP(Table8[[#This Row],[Admin2PCODE]:[Admin2PCODE]],tblPiNAnalysis[[Admin2PCODE]:[Admin2PCODE]],tblPiNAnalysis[PiN preliminar],0,0)</f>
        <v>14000</v>
      </c>
      <c r="W196" s="308" cm="1">
        <f t="array" ref="W196">_xlfn.XLOOKUP(Table8[[#This Row],[Admin2PCODE]],tblPiNAnalysis[Admin2PCODE],tblSeverityAnalysis[Severidad media],0,0)</f>
        <v>2.8333333333333335</v>
      </c>
      <c r="X196" s="42">
        <f>Table8[[#This Row],[Severidad media]]*6</f>
        <v>17</v>
      </c>
      <c r="Y196" s="6" cm="1">
        <f t="array" ref="Y196">_xlfn.XLOOKUP(Table8[[#This Row],[Admin2PCODE]],tblPiNAnalysis[Admin2PCODE],tblPiNAnalysis[% PiN Sectores más altos],0,0)</f>
        <v>0.78068365583003396</v>
      </c>
      <c r="Z196" s="42" cm="1">
        <f t="array" ref="Z196">_xlfn.XLOOKUP(Table8[[#This Row],[Admin2PCODE]:[Admin2PCODE]],tblPiNAnalysis[[Admin2PCODE]:[Admin2PCODE]],tblPiNAnalysis[Severidad],0,0)</f>
        <v>4</v>
      </c>
      <c r="AA196">
        <f>_xlfn.XLOOKUP(Table8[[#This Row],[Admin2PCODE]],tblSeverityAnalysis[Admin 2 Código P],tblSeverityAnalysis[Severidad Ttotal 2025],0,0)</f>
        <v>3</v>
      </c>
      <c r="AB196" t="str">
        <f>_xlfn.XLOOKUP(Table8[[#This Row],[Admin2PCODE]],tblSeverityAnalysis[Admin 2 Código P],tblSeverityAnalysis[Priorización Final 2025],0,0)</f>
        <v>No</v>
      </c>
      <c r="AC196">
        <v>3</v>
      </c>
      <c r="AD196" t="s">
        <v>965</v>
      </c>
      <c r="AE196">
        <v>2</v>
      </c>
      <c r="AF196">
        <v>0</v>
      </c>
      <c r="AG196">
        <v>0</v>
      </c>
      <c r="AH196">
        <v>0</v>
      </c>
      <c r="AI196">
        <v>0</v>
      </c>
      <c r="AJ196">
        <v>1</v>
      </c>
      <c r="AK196">
        <v>0</v>
      </c>
      <c r="AL196">
        <v>1</v>
      </c>
      <c r="AM196">
        <v>1</v>
      </c>
      <c r="AN196">
        <v>0</v>
      </c>
      <c r="AO196" s="314">
        <f>Table8[[#This Row],[N° Clústeres con respuesta]]/Table8[[#This Row],[Org Total]]</f>
        <v>1.5</v>
      </c>
      <c r="AP196" s="313">
        <v>4186</v>
      </c>
      <c r="AQ196" s="313">
        <v>48</v>
      </c>
      <c r="AR196" s="312">
        <f>Table8[[#This Row],[Alcanzados Oct 2025]]/Table8[[#This Row],[Meta 2025]]</f>
        <v>1.1466794075489728E-2</v>
      </c>
      <c r="AS196" s="423">
        <v>0</v>
      </c>
      <c r="AT196" s="423">
        <v>0</v>
      </c>
      <c r="AU196" s="423">
        <v>0</v>
      </c>
      <c r="AV196" s="423">
        <v>0</v>
      </c>
      <c r="AW196" s="423">
        <v>11</v>
      </c>
      <c r="AX196" s="423">
        <v>0</v>
      </c>
      <c r="AY196" s="423">
        <v>23</v>
      </c>
      <c r="AZ196" s="423">
        <v>39</v>
      </c>
      <c r="BA196" s="42">
        <v>0</v>
      </c>
    </row>
    <row r="197" spans="1:53">
      <c r="A197" t="s">
        <v>276</v>
      </c>
      <c r="B197" t="s">
        <v>455</v>
      </c>
      <c r="C197" t="s">
        <v>155</v>
      </c>
      <c r="D197" t="s">
        <v>487</v>
      </c>
      <c r="E197" s="8">
        <v>43559</v>
      </c>
      <c r="F197" s="8">
        <v>7260</v>
      </c>
      <c r="G197" s="8">
        <v>1270.4765280160575</v>
      </c>
      <c r="H197" s="8">
        <v>18000</v>
      </c>
      <c r="I197" s="8">
        <v>4535.1505941661726</v>
      </c>
      <c r="J197" s="8">
        <v>10420.600713800832</v>
      </c>
      <c r="K197" s="8">
        <v>0</v>
      </c>
      <c r="L197" s="8">
        <v>3334.5922284162662</v>
      </c>
      <c r="M197" s="8">
        <v>3647.2102498302911</v>
      </c>
      <c r="N197" s="6" cm="1">
        <f t="array" ref="N197">_xlfn.XLOOKUP(Table8[[#This Row],[Admin2PCODE]:[Admin2PCODE]],tblPiNAnalysis[[Admin2PCODE]:[Admin2PCODE]],tblPiNAnalysis[% SAMV],0,0)</f>
        <v>0.15000000000000002</v>
      </c>
      <c r="O197" s="6" cm="1">
        <f t="array" ref="O197">_xlfn.XLOOKUP(Table8[[#This Row],[Admin2PCODE]:[Admin2PCODE]],tblPiNAnalysis[[Admin2PCODE]:[Admin2PCODE]],tblPiNAnalysis[% NUT],0,0)</f>
        <v>0.05</v>
      </c>
      <c r="P197" s="6" cm="1">
        <f t="array" ref="P197">_xlfn.XLOOKUP(Table8[[#This Row],[Admin2PCODE]:[Admin2PCODE]],tblPiNAnalysis[[Admin2PCODE]:[Admin2PCODE]],tblPiNAnalysis[% SAL],0,0)</f>
        <v>0.4</v>
      </c>
      <c r="Q197" s="6" cm="1">
        <f t="array" ref="Q197">_xlfn.XLOOKUP(Table8[[#This Row],[Admin2PCODE]:[Admin2PCODE]],tblPiNAnalysis[[Admin2PCODE]:[Admin2PCODE]],tblPiNAnalysis[% EDU],0,0)</f>
        <v>0.1</v>
      </c>
      <c r="R197" s="6" cm="1">
        <f t="array" ref="R197">_xlfn.XLOOKUP(Table8[[#This Row],[Admin2PCODE]:[Admin2PCODE]],tblPiNAnalysis[[Admin2PCODE]:[Admin2PCODE]],tblPiNAnalysis[% PRO],0,0)</f>
        <v>0.25</v>
      </c>
      <c r="S197" s="6" cm="1">
        <f t="array" ref="S197">_xlfn.XLOOKUP(Table8[[#This Row],[Admin2PCODE]:[Admin2PCODE]],tblPiNAnalysis[[Admin2PCODE]:[Admin2PCODE]],tblPiNAnalysis[% WASH],0,0)</f>
        <v>0</v>
      </c>
      <c r="T197" s="6" cm="1">
        <f t="array" ref="T197">_xlfn.XLOOKUP(Table8[[#This Row],[Admin2PCODE]:[Admin2PCODE]],tblPiNAnalysis[[Admin2PCODE]:[Admin2PCODE]],tblPiNAnalysis[% NNA],0,0)</f>
        <v>0.1</v>
      </c>
      <c r="U197" s="6" cm="1">
        <f t="array" ref="U197">_xlfn.XLOOKUP(Table8[[#This Row],[Admin2PCODE]:[Admin2PCODE]],tblPiNAnalysis[[Admin2PCODE]:[Admin2PCODE]],tblPiNAnalysis[% VBG],0,0)</f>
        <v>0.1</v>
      </c>
      <c r="V197" s="8" cm="1">
        <f t="array" ref="V197">_xlfn.XLOOKUP(Table8[[#This Row],[Admin2PCODE]:[Admin2PCODE]],tblPiNAnalysis[[Admin2PCODE]:[Admin2PCODE]],tblPiNAnalysis[PiN preliminar],0,0)</f>
        <v>18000</v>
      </c>
      <c r="W197" s="308" cm="1">
        <f t="array" ref="W197">_xlfn.XLOOKUP(Table8[[#This Row],[Admin2PCODE]],tblPiNAnalysis[Admin2PCODE],tblSeverityAnalysis[Severidad media],0,0)</f>
        <v>3</v>
      </c>
      <c r="X197" s="42">
        <f>Table8[[#This Row],[Severidad media]]*6</f>
        <v>18</v>
      </c>
      <c r="Y197" s="6" cm="1">
        <f t="array" ref="Y197">_xlfn.XLOOKUP(Table8[[#This Row],[Admin2PCODE]],tblPiNAnalysis[Admin2PCODE],tblPiNAnalysis[% PiN Sectores más altos],0,0)</f>
        <v>0.41323262701163938</v>
      </c>
      <c r="Z197" s="42" cm="1">
        <f t="array" ref="Z197">_xlfn.XLOOKUP(Table8[[#This Row],[Admin2PCODE]:[Admin2PCODE]],tblPiNAnalysis[[Admin2PCODE]:[Admin2PCODE]],tblPiNAnalysis[Severidad],0,0)</f>
        <v>3</v>
      </c>
      <c r="AA197">
        <f>_xlfn.XLOOKUP(Table8[[#This Row],[Admin2PCODE]],tblSeverityAnalysis[Admin 2 Código P],tblSeverityAnalysis[Severidad Ttotal 2025],0,0)</f>
        <v>3</v>
      </c>
      <c r="AB197" t="str">
        <f>_xlfn.XLOOKUP(Table8[[#This Row],[Admin2PCODE]],tblSeverityAnalysis[Admin 2 Código P],tblSeverityAnalysis[Priorización Final 2025],0,0)</f>
        <v>No</v>
      </c>
      <c r="AC197">
        <v>6</v>
      </c>
      <c r="AD197" t="s">
        <v>1064</v>
      </c>
      <c r="AE197">
        <v>6</v>
      </c>
      <c r="AF197">
        <v>0</v>
      </c>
      <c r="AG197">
        <v>2</v>
      </c>
      <c r="AH197">
        <v>1</v>
      </c>
      <c r="AI197">
        <v>0</v>
      </c>
      <c r="AJ197">
        <v>4</v>
      </c>
      <c r="AK197">
        <v>0</v>
      </c>
      <c r="AL197">
        <v>1</v>
      </c>
      <c r="AM197">
        <v>1</v>
      </c>
      <c r="AN197">
        <v>1</v>
      </c>
      <c r="AO197" s="314">
        <f>Table8[[#This Row],[N° Clústeres con respuesta]]/Table8[[#This Row],[Org Total]]</f>
        <v>1</v>
      </c>
      <c r="AP197" s="313">
        <v>10170</v>
      </c>
      <c r="AQ197" s="313">
        <v>1243</v>
      </c>
      <c r="AR197" s="312">
        <f>Table8[[#This Row],[Alcanzados Oct 2025]]/Table8[[#This Row],[Meta 2025]]</f>
        <v>0.12222222222222222</v>
      </c>
      <c r="AS197" s="423">
        <v>0</v>
      </c>
      <c r="AT197" s="423">
        <v>3</v>
      </c>
      <c r="AU197" s="423">
        <v>663</v>
      </c>
      <c r="AV197" s="423">
        <v>0</v>
      </c>
      <c r="AW197" s="423">
        <v>1160</v>
      </c>
      <c r="AX197" s="423">
        <v>0</v>
      </c>
      <c r="AY197" s="423">
        <v>600</v>
      </c>
      <c r="AZ197" s="423">
        <v>73</v>
      </c>
      <c r="BA197" s="42">
        <v>25</v>
      </c>
    </row>
    <row r="198" spans="1:53">
      <c r="A198" t="s">
        <v>261</v>
      </c>
      <c r="B198" t="s">
        <v>262</v>
      </c>
      <c r="C198" t="s">
        <v>288</v>
      </c>
      <c r="D198" t="s">
        <v>289</v>
      </c>
      <c r="E198" s="8">
        <v>848590</v>
      </c>
      <c r="F198" s="8">
        <v>112537</v>
      </c>
      <c r="G198" s="8">
        <v>42739.615875855197</v>
      </c>
      <c r="H198" s="8">
        <v>309735.34999999998</v>
      </c>
      <c r="I198" s="8">
        <v>128658.03014161903</v>
      </c>
      <c r="J198" s="8">
        <v>202269.83533224816</v>
      </c>
      <c r="K198" s="8">
        <v>381865.5</v>
      </c>
      <c r="L198" s="8">
        <v>64928.617141651659</v>
      </c>
      <c r="M198" s="8">
        <v>70794.442366286865</v>
      </c>
      <c r="N198" s="6" cm="1">
        <f t="array" ref="N198">_xlfn.XLOOKUP(Table8[[#This Row],[Admin2PCODE]:[Admin2PCODE]],tblPiNAnalysis[[Admin2PCODE]:[Admin2PCODE]],tblPiNAnalysis[% SAMV],0,0)</f>
        <v>0.15000000000000002</v>
      </c>
      <c r="O198" s="6" cm="1">
        <f t="array" ref="O198">_xlfn.XLOOKUP(Table8[[#This Row],[Admin2PCODE]:[Admin2PCODE]],tblPiNAnalysis[[Admin2PCODE]:[Admin2PCODE]],tblPiNAnalysis[% NUT],0,0)</f>
        <v>0.05</v>
      </c>
      <c r="P198" s="6" cm="1">
        <f t="array" ref="P198">_xlfn.XLOOKUP(Table8[[#This Row],[Admin2PCODE]:[Admin2PCODE]],tblPiNAnalysis[[Admin2PCODE]:[Admin2PCODE]],tblPiNAnalysis[% SAL],0,0)</f>
        <v>0.35000000000000003</v>
      </c>
      <c r="Q198" s="6" cm="1">
        <f t="array" ref="Q198">_xlfn.XLOOKUP(Table8[[#This Row],[Admin2PCODE]:[Admin2PCODE]],tblPiNAnalysis[[Admin2PCODE]:[Admin2PCODE]],tblPiNAnalysis[% EDU],0,0)</f>
        <v>0.15000000000000002</v>
      </c>
      <c r="R198" s="6" cm="1">
        <f t="array" ref="R198">_xlfn.XLOOKUP(Table8[[#This Row],[Admin2PCODE]:[Admin2PCODE]],tblPiNAnalysis[[Admin2PCODE]:[Admin2PCODE]],tblPiNAnalysis[% PRO],0,0)</f>
        <v>0.25</v>
      </c>
      <c r="S198" s="6" cm="1">
        <f t="array" ref="S198">_xlfn.XLOOKUP(Table8[[#This Row],[Admin2PCODE]:[Admin2PCODE]],tblPiNAnalysis[[Admin2PCODE]:[Admin2PCODE]],tblPiNAnalysis[% WASH],0,0)</f>
        <v>0.45</v>
      </c>
      <c r="T198" s="6" cm="1">
        <f t="array" ref="T198">_xlfn.XLOOKUP(Table8[[#This Row],[Admin2PCODE]:[Admin2PCODE]],tblPiNAnalysis[[Admin2PCODE]:[Admin2PCODE]],tblPiNAnalysis[% NNA],0,0)</f>
        <v>0.1</v>
      </c>
      <c r="U198" s="6" cm="1">
        <f t="array" ref="U198">_xlfn.XLOOKUP(Table8[[#This Row],[Admin2PCODE]:[Admin2PCODE]],tblPiNAnalysis[[Admin2PCODE]:[Admin2PCODE]],tblPiNAnalysis[% VBG],0,0)</f>
        <v>0.1</v>
      </c>
      <c r="V198" s="8" cm="1">
        <f t="array" ref="V198">_xlfn.XLOOKUP(Table8[[#This Row],[Admin2PCODE]:[Admin2PCODE]],tblPiNAnalysis[[Admin2PCODE]:[Admin2PCODE]],tblPiNAnalysis[PiN preliminar],0,0)</f>
        <v>381865.5</v>
      </c>
      <c r="W198" s="308" cm="1">
        <f t="array" ref="W198">_xlfn.XLOOKUP(Table8[[#This Row],[Admin2PCODE]],tblPiNAnalysis[Admin2PCODE],tblSeverityAnalysis[Severidad media],0,0)</f>
        <v>3.3333333333333335</v>
      </c>
      <c r="X198" s="42">
        <f>Table8[[#This Row],[Severidad media]]*6</f>
        <v>20</v>
      </c>
      <c r="Y198" s="6" cm="1">
        <f t="array" ref="Y198">_xlfn.XLOOKUP(Table8[[#This Row],[Admin2PCODE]],tblPiNAnalysis[Admin2PCODE],tblPiNAnalysis[% PiN Sectores más altos],0,0)</f>
        <v>0.45</v>
      </c>
      <c r="Z198" s="42" cm="1">
        <f t="array" ref="Z198">_xlfn.XLOOKUP(Table8[[#This Row],[Admin2PCODE]:[Admin2PCODE]],tblPiNAnalysis[[Admin2PCODE]:[Admin2PCODE]],tblPiNAnalysis[Severidad],0,0)</f>
        <v>4</v>
      </c>
      <c r="AA198">
        <f>_xlfn.XLOOKUP(Table8[[#This Row],[Admin2PCODE]],tblSeverityAnalysis[Admin 2 Código P],tblSeverityAnalysis[Severidad Ttotal 2025],0,0)</f>
        <v>3</v>
      </c>
      <c r="AB198" t="str">
        <f>_xlfn.XLOOKUP(Table8[[#This Row],[Admin2PCODE]],tblSeverityAnalysis[Admin 2 Código P],tblSeverityAnalysis[Priorización Final 2025],0,0)</f>
        <v>No</v>
      </c>
      <c r="AC198">
        <v>8</v>
      </c>
      <c r="AD198" t="s">
        <v>1065</v>
      </c>
      <c r="AE198">
        <v>15</v>
      </c>
      <c r="AF198">
        <v>0</v>
      </c>
      <c r="AG198">
        <v>2</v>
      </c>
      <c r="AH198">
        <v>1</v>
      </c>
      <c r="AI198">
        <v>3</v>
      </c>
      <c r="AJ198">
        <v>6</v>
      </c>
      <c r="AK198">
        <v>3</v>
      </c>
      <c r="AL198">
        <v>4</v>
      </c>
      <c r="AM198">
        <v>4</v>
      </c>
      <c r="AN198">
        <v>1</v>
      </c>
      <c r="AO198" s="314">
        <f>Table8[[#This Row],[N° Clústeres con respuesta]]/Table8[[#This Row],[Org Total]]</f>
        <v>0.53333333333333333</v>
      </c>
      <c r="AP198" s="313">
        <v>139412</v>
      </c>
      <c r="AQ198" s="313">
        <v>3817</v>
      </c>
      <c r="AR198" s="312">
        <f>Table8[[#This Row],[Alcanzados Oct 2025]]/Table8[[#This Row],[Meta 2025]]</f>
        <v>2.7379278684761713E-2</v>
      </c>
      <c r="AS198" s="423">
        <v>0</v>
      </c>
      <c r="AT198" s="423">
        <v>0</v>
      </c>
      <c r="AU198" s="423">
        <v>1139</v>
      </c>
      <c r="AV198" s="423">
        <v>2238</v>
      </c>
      <c r="AW198" s="423">
        <v>110</v>
      </c>
      <c r="AX198" s="423">
        <v>2</v>
      </c>
      <c r="AY198" s="423">
        <v>160</v>
      </c>
      <c r="AZ198" s="423">
        <v>3646</v>
      </c>
      <c r="BA198" s="42">
        <v>263</v>
      </c>
    </row>
    <row r="199" spans="1:53">
      <c r="A199" t="s">
        <v>276</v>
      </c>
      <c r="B199" t="s">
        <v>455</v>
      </c>
      <c r="C199" t="s">
        <v>207</v>
      </c>
      <c r="D199" t="s">
        <v>489</v>
      </c>
      <c r="E199" s="8">
        <v>138489</v>
      </c>
      <c r="F199" s="8">
        <v>23851</v>
      </c>
      <c r="G199" s="8">
        <v>4641.3726721507173</v>
      </c>
      <c r="H199" s="8">
        <v>50548.485000000001</v>
      </c>
      <c r="I199" s="8">
        <v>14074.076193286957</v>
      </c>
      <c r="J199" s="8">
        <v>33130.663519675916</v>
      </c>
      <c r="K199" s="8">
        <v>9348.0074999999997</v>
      </c>
      <c r="L199" s="8">
        <v>10601.812326296294</v>
      </c>
      <c r="M199" s="8">
        <v>11595.73223188657</v>
      </c>
      <c r="N199" s="6" cm="1">
        <f t="array" ref="N199">_xlfn.XLOOKUP(Table8[[#This Row],[Admin2PCODE]:[Admin2PCODE]],tblPiNAnalysis[[Admin2PCODE]:[Admin2PCODE]],tblPiNAnalysis[% SAMV],0,0)</f>
        <v>0.15000000000000002</v>
      </c>
      <c r="O199" s="6" cm="1">
        <f t="array" ref="O199">_xlfn.XLOOKUP(Table8[[#This Row],[Admin2PCODE]:[Admin2PCODE]],tblPiNAnalysis[[Admin2PCODE]:[Admin2PCODE]],tblPiNAnalysis[% NUT],0,0)</f>
        <v>0.05</v>
      </c>
      <c r="P199" s="6" cm="1">
        <f t="array" ref="P199">_xlfn.XLOOKUP(Table8[[#This Row],[Admin2PCODE]:[Admin2PCODE]],tblPiNAnalysis[[Admin2PCODE]:[Admin2PCODE]],tblPiNAnalysis[% SAL],0,0)</f>
        <v>0.35000000000000003</v>
      </c>
      <c r="Q199" s="6" cm="1">
        <f t="array" ref="Q199">_xlfn.XLOOKUP(Table8[[#This Row],[Admin2PCODE]:[Admin2PCODE]],tblPiNAnalysis[[Admin2PCODE]:[Admin2PCODE]],tblPiNAnalysis[% EDU],0,0)</f>
        <v>0.1</v>
      </c>
      <c r="R199" s="6" cm="1">
        <f t="array" ref="R199">_xlfn.XLOOKUP(Table8[[#This Row],[Admin2PCODE]:[Admin2PCODE]],tblPiNAnalysis[[Admin2PCODE]:[Admin2PCODE]],tblPiNAnalysis[% PRO],0,0)</f>
        <v>0.25</v>
      </c>
      <c r="S199" s="6" cm="1">
        <f t="array" ref="S199">_xlfn.XLOOKUP(Table8[[#This Row],[Admin2PCODE]:[Admin2PCODE]],tblPiNAnalysis[[Admin2PCODE]:[Admin2PCODE]],tblPiNAnalysis[% WASH],0,0)</f>
        <v>0.05</v>
      </c>
      <c r="T199" s="6" cm="1">
        <f t="array" ref="T199">_xlfn.XLOOKUP(Table8[[#This Row],[Admin2PCODE]:[Admin2PCODE]],tblPiNAnalysis[[Admin2PCODE]:[Admin2PCODE]],tblPiNAnalysis[% NNA],0,0)</f>
        <v>0.1</v>
      </c>
      <c r="U199" s="6" cm="1">
        <f t="array" ref="U199">_xlfn.XLOOKUP(Table8[[#This Row],[Admin2PCODE]:[Admin2PCODE]],tblPiNAnalysis[[Admin2PCODE]:[Admin2PCODE]],tblPiNAnalysis[% VBG],0,0)</f>
        <v>0.1</v>
      </c>
      <c r="V199" s="8" cm="1">
        <f t="array" ref="V199">_xlfn.XLOOKUP(Table8[[#This Row],[Admin2PCODE]:[Admin2PCODE]],tblPiNAnalysis[[Admin2PCODE]:[Admin2PCODE]],tblPiNAnalysis[PiN preliminar],0,0)</f>
        <v>50548.485000000001</v>
      </c>
      <c r="W199" s="308" cm="1">
        <f t="array" ref="W199">_xlfn.XLOOKUP(Table8[[#This Row],[Admin2PCODE]],tblPiNAnalysis[Admin2PCODE],tblSeverityAnalysis[Severidad media],0,0)</f>
        <v>2.5</v>
      </c>
      <c r="X199" s="42">
        <f>Table8[[#This Row],[Severidad media]]*6</f>
        <v>15</v>
      </c>
      <c r="Y199" s="6" cm="1">
        <f t="array" ref="Y199">_xlfn.XLOOKUP(Table8[[#This Row],[Admin2PCODE]],tblPiNAnalysis[Admin2PCODE],tblPiNAnalysis[% PiN Sectores más altos],0,0)</f>
        <v>0.36499999999999999</v>
      </c>
      <c r="Z199" s="42" cm="1">
        <f t="array" ref="Z199">_xlfn.XLOOKUP(Table8[[#This Row],[Admin2PCODE]:[Admin2PCODE]],tblPiNAnalysis[[Admin2PCODE]:[Admin2PCODE]],tblPiNAnalysis[Severidad],0,0)</f>
        <v>3</v>
      </c>
      <c r="AA199">
        <f>_xlfn.XLOOKUP(Table8[[#This Row],[Admin2PCODE]],tblSeverityAnalysis[Admin 2 Código P],tblSeverityAnalysis[Severidad Ttotal 2025],0,0)</f>
        <v>3</v>
      </c>
      <c r="AB199" t="str">
        <f>_xlfn.XLOOKUP(Table8[[#This Row],[Admin2PCODE]],tblSeverityAnalysis[Admin 2 Código P],tblSeverityAnalysis[Priorización Final 2025],0,0)</f>
        <v>No</v>
      </c>
      <c r="AC199">
        <v>7</v>
      </c>
      <c r="AD199" t="s">
        <v>1066</v>
      </c>
      <c r="AE199">
        <v>14</v>
      </c>
      <c r="AF199">
        <v>0</v>
      </c>
      <c r="AG199">
        <v>2</v>
      </c>
      <c r="AH199">
        <v>0</v>
      </c>
      <c r="AI199">
        <v>2</v>
      </c>
      <c r="AJ199">
        <v>5</v>
      </c>
      <c r="AK199">
        <v>2</v>
      </c>
      <c r="AL199">
        <v>5</v>
      </c>
      <c r="AM199">
        <v>6</v>
      </c>
      <c r="AN199">
        <v>1</v>
      </c>
      <c r="AO199" s="314">
        <f>Table8[[#This Row],[N° Clústeres con respuesta]]/Table8[[#This Row],[Org Total]]</f>
        <v>0.5</v>
      </c>
      <c r="AP199" s="313">
        <v>22752</v>
      </c>
      <c r="AQ199" s="313">
        <v>4659</v>
      </c>
      <c r="AR199" s="312">
        <f>Table8[[#This Row],[Alcanzados Oct 2025]]/Table8[[#This Row],[Meta 2025]]</f>
        <v>0.20477320675105484</v>
      </c>
      <c r="AS199" s="423">
        <v>0</v>
      </c>
      <c r="AT199" s="423">
        <v>4551</v>
      </c>
      <c r="AU199" s="423">
        <v>0</v>
      </c>
      <c r="AV199" s="423">
        <v>1759</v>
      </c>
      <c r="AW199" s="423">
        <v>515</v>
      </c>
      <c r="AX199" s="423">
        <v>0</v>
      </c>
      <c r="AY199" s="423">
        <v>1543</v>
      </c>
      <c r="AZ199" s="423">
        <v>2078</v>
      </c>
      <c r="BA199" s="42">
        <v>162</v>
      </c>
    </row>
    <row r="200" spans="1:53">
      <c r="A200" t="s">
        <v>276</v>
      </c>
      <c r="B200" t="s">
        <v>455</v>
      </c>
      <c r="C200" t="s">
        <v>209</v>
      </c>
      <c r="D200" t="s">
        <v>490</v>
      </c>
      <c r="E200" s="8">
        <v>191300</v>
      </c>
      <c r="F200" s="8">
        <v>3543</v>
      </c>
      <c r="G200" s="8">
        <v>8570.8188499345197</v>
      </c>
      <c r="H200" s="8">
        <v>69824.5</v>
      </c>
      <c r="I200" s="8">
        <v>22396.212342262392</v>
      </c>
      <c r="J200" s="8">
        <v>45764.616188390435</v>
      </c>
      <c r="K200" s="8">
        <v>0</v>
      </c>
      <c r="L200" s="8">
        <v>14644.67718028494</v>
      </c>
      <c r="M200" s="8">
        <v>16017.615665936652</v>
      </c>
      <c r="N200" s="6" cm="1">
        <f t="array" ref="N200">_xlfn.XLOOKUP(Table8[[#This Row],[Admin2PCODE]:[Admin2PCODE]],tblPiNAnalysis[[Admin2PCODE]:[Admin2PCODE]],tblPiNAnalysis[% SAMV],0,0)</f>
        <v>0</v>
      </c>
      <c r="O200" s="6" cm="1">
        <f t="array" ref="O200">_xlfn.XLOOKUP(Table8[[#This Row],[Admin2PCODE]:[Admin2PCODE]],tblPiNAnalysis[[Admin2PCODE]:[Admin2PCODE]],tblPiNAnalysis[% NUT],0,0)</f>
        <v>0.05</v>
      </c>
      <c r="P200" s="6" cm="1">
        <f t="array" ref="P200">_xlfn.XLOOKUP(Table8[[#This Row],[Admin2PCODE]:[Admin2PCODE]],tblPiNAnalysis[[Admin2PCODE]:[Admin2PCODE]],tblPiNAnalysis[% SAL],0,0)</f>
        <v>0.35000000000000003</v>
      </c>
      <c r="Q200" s="6" cm="1">
        <f t="array" ref="Q200">_xlfn.XLOOKUP(Table8[[#This Row],[Admin2PCODE]:[Admin2PCODE]],tblPiNAnalysis[[Admin2PCODE]:[Admin2PCODE]],tblPiNAnalysis[% EDU],0,0)</f>
        <v>0.1</v>
      </c>
      <c r="R200" s="6" cm="1">
        <f t="array" ref="R200">_xlfn.XLOOKUP(Table8[[#This Row],[Admin2PCODE]:[Admin2PCODE]],tblPiNAnalysis[[Admin2PCODE]:[Admin2PCODE]],tblPiNAnalysis[% PRO],0,0)</f>
        <v>0.25</v>
      </c>
      <c r="S200" s="6" cm="1">
        <f t="array" ref="S200">_xlfn.XLOOKUP(Table8[[#This Row],[Admin2PCODE]:[Admin2PCODE]],tblPiNAnalysis[[Admin2PCODE]:[Admin2PCODE]],tblPiNAnalysis[% WASH],0,0)</f>
        <v>0</v>
      </c>
      <c r="T200" s="6" cm="1">
        <f t="array" ref="T200">_xlfn.XLOOKUP(Table8[[#This Row],[Admin2PCODE]:[Admin2PCODE]],tblPiNAnalysis[[Admin2PCODE]:[Admin2PCODE]],tblPiNAnalysis[% NNA],0,0)</f>
        <v>0.1</v>
      </c>
      <c r="U200" s="6" cm="1">
        <f t="array" ref="U200">_xlfn.XLOOKUP(Table8[[#This Row],[Admin2PCODE]:[Admin2PCODE]],tblPiNAnalysis[[Admin2PCODE]:[Admin2PCODE]],tblPiNAnalysis[% VBG],0,0)</f>
        <v>0.1</v>
      </c>
      <c r="V200" s="8" cm="1">
        <f t="array" ref="V200">_xlfn.XLOOKUP(Table8[[#This Row],[Admin2PCODE]:[Admin2PCODE]],tblPiNAnalysis[[Admin2PCODE]:[Admin2PCODE]],tblPiNAnalysis[PiN preliminar],0,0)</f>
        <v>0</v>
      </c>
      <c r="W200" s="308" cm="1">
        <f t="array" ref="W200">_xlfn.XLOOKUP(Table8[[#This Row],[Admin2PCODE]],tblPiNAnalysis[Admin2PCODE],tblSeverityAnalysis[Severidad media],0,0)</f>
        <v>2.6666666666666665</v>
      </c>
      <c r="X200" s="42">
        <f>Table8[[#This Row],[Severidad media]]*6</f>
        <v>16</v>
      </c>
      <c r="Y200" s="6" cm="1">
        <f t="array" ref="Y200">_xlfn.XLOOKUP(Table8[[#This Row],[Admin2PCODE]],tblPiNAnalysis[Admin2PCODE],tblPiNAnalysis[% PiN Sectores más altos],0,0)</f>
        <v>0.36499999999999999</v>
      </c>
      <c r="Z200" s="42" cm="1">
        <f t="array" ref="Z200">_xlfn.XLOOKUP(Table8[[#This Row],[Admin2PCODE]:[Admin2PCODE]],tblPiNAnalysis[[Admin2PCODE]:[Admin2PCODE]],tblPiNAnalysis[Severidad],0,0)</f>
        <v>2</v>
      </c>
      <c r="AA200">
        <f>_xlfn.XLOOKUP(Table8[[#This Row],[Admin2PCODE]],tblSeverityAnalysis[Admin 2 Código P],tblSeverityAnalysis[Severidad Ttotal 2025],0,0)</f>
        <v>3</v>
      </c>
      <c r="AB200" t="str">
        <f>_xlfn.XLOOKUP(Table8[[#This Row],[Admin2PCODE]],tblSeverityAnalysis[Admin 2 Código P],tblSeverityAnalysis[Priorización Final 2025],0,0)</f>
        <v>No</v>
      </c>
      <c r="AC200">
        <v>9</v>
      </c>
      <c r="AD200" t="s">
        <v>1067</v>
      </c>
      <c r="AE200">
        <v>16</v>
      </c>
      <c r="AF200">
        <v>1</v>
      </c>
      <c r="AG200">
        <v>2</v>
      </c>
      <c r="AH200">
        <v>2</v>
      </c>
      <c r="AI200">
        <v>4</v>
      </c>
      <c r="AJ200">
        <v>6</v>
      </c>
      <c r="AK200">
        <v>2</v>
      </c>
      <c r="AL200">
        <v>2</v>
      </c>
      <c r="AM200">
        <v>2</v>
      </c>
      <c r="AN200">
        <v>1</v>
      </c>
      <c r="AO200" s="314">
        <f>Table8[[#This Row],[N° Clústeres con respuesta]]/Table8[[#This Row],[Org Total]]</f>
        <v>0.5625</v>
      </c>
      <c r="AP200" s="313">
        <v>31427</v>
      </c>
      <c r="AQ200" s="313">
        <v>7004</v>
      </c>
      <c r="AR200" s="312">
        <f>Table8[[#This Row],[Alcanzados Oct 2025]]/Table8[[#This Row],[Meta 2025]]</f>
        <v>0.22286568873898241</v>
      </c>
      <c r="AS200" s="423">
        <v>89</v>
      </c>
      <c r="AT200" s="423">
        <v>5910</v>
      </c>
      <c r="AU200" s="423">
        <v>93</v>
      </c>
      <c r="AV200" s="423">
        <v>1350</v>
      </c>
      <c r="AW200" s="423">
        <v>212</v>
      </c>
      <c r="AX200" s="423">
        <v>2</v>
      </c>
      <c r="AY200" s="423">
        <v>1</v>
      </c>
      <c r="AZ200" s="423">
        <v>4340</v>
      </c>
      <c r="BA200" s="42">
        <v>17</v>
      </c>
    </row>
    <row r="201" spans="1:53">
      <c r="A201" t="s">
        <v>491</v>
      </c>
      <c r="B201" t="s">
        <v>492</v>
      </c>
      <c r="C201" t="s">
        <v>318</v>
      </c>
      <c r="D201" t="s">
        <v>493</v>
      </c>
      <c r="E201" s="8">
        <v>18632</v>
      </c>
      <c r="F201" s="8">
        <v>6599</v>
      </c>
      <c r="G201" s="8">
        <v>666.48086845537387</v>
      </c>
      <c r="H201" s="8">
        <v>12600</v>
      </c>
      <c r="I201" s="8">
        <v>859.03253717400207</v>
      </c>
      <c r="J201" s="8">
        <v>3720.558464639003</v>
      </c>
      <c r="K201" s="8">
        <v>0</v>
      </c>
      <c r="L201" s="8">
        <v>1190.5787086844809</v>
      </c>
      <c r="M201" s="8">
        <v>1302.1954626236509</v>
      </c>
      <c r="N201" s="6" cm="1">
        <f t="array" ref="N201">_xlfn.XLOOKUP(Table8[[#This Row],[Admin2PCODE]:[Admin2PCODE]],tblPiNAnalysis[[Admin2PCODE]:[Admin2PCODE]],tblPiNAnalysis[% SAMV],0,0)</f>
        <v>0.35000000000000003</v>
      </c>
      <c r="O201" s="6" cm="1">
        <f t="array" ref="O201">_xlfn.XLOOKUP(Table8[[#This Row],[Admin2PCODE]:[Admin2PCODE]],tblPiNAnalysis[[Admin2PCODE]:[Admin2PCODE]],tblPiNAnalysis[% NUT],0,0)</f>
        <v>0.05</v>
      </c>
      <c r="P201" s="6" cm="1">
        <f t="array" ref="P201">_xlfn.XLOOKUP(Table8[[#This Row],[Admin2PCODE]:[Admin2PCODE]],tblPiNAnalysis[[Admin2PCODE]:[Admin2PCODE]],tblPiNAnalysis[% SAL],0,0)</f>
        <v>0.70000000000000007</v>
      </c>
      <c r="Q201" s="6" cm="1">
        <f t="array" ref="Q201">_xlfn.XLOOKUP(Table8[[#This Row],[Admin2PCODE]:[Admin2PCODE]],tblPiNAnalysis[[Admin2PCODE]:[Admin2PCODE]],tblPiNAnalysis[% EDU],0,0)</f>
        <v>0.05</v>
      </c>
      <c r="R201" s="6" cm="1">
        <f t="array" ref="R201">_xlfn.XLOOKUP(Table8[[#This Row],[Admin2PCODE]:[Admin2PCODE]],tblPiNAnalysis[[Admin2PCODE]:[Admin2PCODE]],tblPiNAnalysis[% PRO],0,0)</f>
        <v>0.2</v>
      </c>
      <c r="S201" s="6" cm="1">
        <f t="array" ref="S201">_xlfn.XLOOKUP(Table8[[#This Row],[Admin2PCODE]:[Admin2PCODE]],tblPiNAnalysis[[Admin2PCODE]:[Admin2PCODE]],tblPiNAnalysis[% WASH],0,0)</f>
        <v>0</v>
      </c>
      <c r="T201" s="6" cm="1">
        <f t="array" ref="T201">_xlfn.XLOOKUP(Table8[[#This Row],[Admin2PCODE]:[Admin2PCODE]],tblPiNAnalysis[[Admin2PCODE]:[Admin2PCODE]],tblPiNAnalysis[% NNA],0,0)</f>
        <v>0.05</v>
      </c>
      <c r="U201" s="6" cm="1">
        <f t="array" ref="U201">_xlfn.XLOOKUP(Table8[[#This Row],[Admin2PCODE]:[Admin2PCODE]],tblPiNAnalysis[[Admin2PCODE]:[Admin2PCODE]],tblPiNAnalysis[% VBG],0,0)</f>
        <v>0.05</v>
      </c>
      <c r="V201" s="8" cm="1">
        <f t="array" ref="V201">_xlfn.XLOOKUP(Table8[[#This Row],[Admin2PCODE]:[Admin2PCODE]],tblPiNAnalysis[[Admin2PCODE]:[Admin2PCODE]],tblPiNAnalysis[PiN preliminar],0,0)</f>
        <v>12600</v>
      </c>
      <c r="W201" s="308" cm="1">
        <f t="array" ref="W201">_xlfn.XLOOKUP(Table8[[#This Row],[Admin2PCODE]],tblPiNAnalysis[Admin2PCODE],tblSeverityAnalysis[Severidad media],0,0)</f>
        <v>2.8333333333333335</v>
      </c>
      <c r="X201" s="42">
        <f>Table8[[#This Row],[Severidad media]]*6</f>
        <v>17</v>
      </c>
      <c r="Y201" s="6" cm="1">
        <f t="array" ref="Y201">_xlfn.XLOOKUP(Table8[[#This Row],[Admin2PCODE]],tblPiNAnalysis[Admin2PCODE],tblPiNAnalysis[% PiN Sectores más altos],0,0)</f>
        <v>0.67625590382138256</v>
      </c>
      <c r="Z201" s="42" cm="1">
        <f t="array" ref="Z201">_xlfn.XLOOKUP(Table8[[#This Row],[Admin2PCODE]:[Admin2PCODE]],tblPiNAnalysis[[Admin2PCODE]:[Admin2PCODE]],tblPiNAnalysis[Severidad],0,0)</f>
        <v>3</v>
      </c>
      <c r="AA201">
        <f>_xlfn.XLOOKUP(Table8[[#This Row],[Admin2PCODE]],tblSeverityAnalysis[Admin 2 Código P],tblSeverityAnalysis[Severidad Ttotal 2025],0,0)</f>
        <v>3</v>
      </c>
      <c r="AB201" t="str">
        <f>_xlfn.XLOOKUP(Table8[[#This Row],[Admin2PCODE]],tblSeverityAnalysis[Admin 2 Código P],tblSeverityAnalysis[Priorización Final 2025],0,0)</f>
        <v>No</v>
      </c>
      <c r="AC201">
        <v>1</v>
      </c>
      <c r="AD201" t="s">
        <v>92</v>
      </c>
      <c r="AE201">
        <v>3</v>
      </c>
      <c r="AF201">
        <v>0</v>
      </c>
      <c r="AG201">
        <v>0</v>
      </c>
      <c r="AH201">
        <v>0</v>
      </c>
      <c r="AI201">
        <v>0</v>
      </c>
      <c r="AJ201">
        <v>0</v>
      </c>
      <c r="AK201">
        <v>0</v>
      </c>
      <c r="AL201">
        <v>0</v>
      </c>
      <c r="AM201">
        <v>0</v>
      </c>
      <c r="AN201">
        <v>3</v>
      </c>
      <c r="AO201" s="314">
        <f>Table8[[#This Row],[N° Clústeres con respuesta]]/Table8[[#This Row],[Org Total]]</f>
        <v>0.33333333333333331</v>
      </c>
      <c r="AP201" s="313">
        <v>4179</v>
      </c>
      <c r="AQ201" s="313">
        <v>260</v>
      </c>
      <c r="AR201" s="312">
        <f>Table8[[#This Row],[Alcanzados Oct 2025]]/Table8[[#This Row],[Meta 2025]]</f>
        <v>6.2215841110313475E-2</v>
      </c>
      <c r="AS201" s="423">
        <v>0</v>
      </c>
      <c r="AT201" s="423">
        <v>0</v>
      </c>
      <c r="AU201" s="423">
        <v>0</v>
      </c>
      <c r="AV201" s="423">
        <v>0</v>
      </c>
      <c r="AW201" s="423">
        <v>0</v>
      </c>
      <c r="AX201" s="423">
        <v>0</v>
      </c>
      <c r="AY201" s="423">
        <v>0</v>
      </c>
      <c r="AZ201" s="423">
        <v>0</v>
      </c>
      <c r="BA201" s="42">
        <v>260</v>
      </c>
    </row>
    <row r="202" spans="1:53">
      <c r="A202" t="s">
        <v>491</v>
      </c>
      <c r="B202" t="s">
        <v>492</v>
      </c>
      <c r="C202" t="s">
        <v>494</v>
      </c>
      <c r="D202" t="s">
        <v>495</v>
      </c>
      <c r="E202" s="8">
        <v>12116</v>
      </c>
      <c r="F202" s="8">
        <v>3365</v>
      </c>
      <c r="G202" s="8">
        <v>903.27898301169591</v>
      </c>
      <c r="H202" s="8">
        <v>10000</v>
      </c>
      <c r="I202" s="8">
        <v>246.88168184300008</v>
      </c>
      <c r="J202" s="8">
        <v>2419.4013717027783</v>
      </c>
      <c r="K202" s="8">
        <v>0</v>
      </c>
      <c r="L202" s="8">
        <v>774.20843894488905</v>
      </c>
      <c r="M202" s="8">
        <v>846.79048009597227</v>
      </c>
      <c r="N202" s="6" cm="1">
        <f t="array" ref="N202">_xlfn.XLOOKUP(Table8[[#This Row],[Admin2PCODE]:[Admin2PCODE]],tblPiNAnalysis[[Admin2PCODE]:[Admin2PCODE]],tblPiNAnalysis[% SAMV],0,0)</f>
        <v>0.30000000000000004</v>
      </c>
      <c r="O202" s="6" cm="1">
        <f t="array" ref="O202">_xlfn.XLOOKUP(Table8[[#This Row],[Admin2PCODE]:[Admin2PCODE]],tblPiNAnalysis[[Admin2PCODE]:[Admin2PCODE]],tblPiNAnalysis[% NUT],0,0)</f>
        <v>0.05</v>
      </c>
      <c r="P202" s="6" cm="1">
        <f t="array" ref="P202">_xlfn.XLOOKUP(Table8[[#This Row],[Admin2PCODE]:[Admin2PCODE]],tblPiNAnalysis[[Admin2PCODE]:[Admin2PCODE]],tblPiNAnalysis[% SAL],0,0)</f>
        <v>0.85000000000000009</v>
      </c>
      <c r="Q202" s="6" cm="1">
        <f t="array" ref="Q202">_xlfn.XLOOKUP(Table8[[#This Row],[Admin2PCODE]:[Admin2PCODE]],tblPiNAnalysis[[Admin2PCODE]:[Admin2PCODE]],tblPiNAnalysis[% EDU],0,0)</f>
        <v>0</v>
      </c>
      <c r="R202" s="6" cm="1">
        <f t="array" ref="R202">_xlfn.XLOOKUP(Table8[[#This Row],[Admin2PCODE]:[Admin2PCODE]],tblPiNAnalysis[[Admin2PCODE]:[Admin2PCODE]],tblPiNAnalysis[% PRO],0,0)</f>
        <v>0.2</v>
      </c>
      <c r="S202" s="6" cm="1">
        <f t="array" ref="S202">_xlfn.XLOOKUP(Table8[[#This Row],[Admin2PCODE]:[Admin2PCODE]],tblPiNAnalysis[[Admin2PCODE]:[Admin2PCODE]],tblPiNAnalysis[% WASH],0,0)</f>
        <v>0</v>
      </c>
      <c r="T202" s="6" cm="1">
        <f t="array" ref="T202">_xlfn.XLOOKUP(Table8[[#This Row],[Admin2PCODE]:[Admin2PCODE]],tblPiNAnalysis[[Admin2PCODE]:[Admin2PCODE]],tblPiNAnalysis[% NNA],0,0)</f>
        <v>0.05</v>
      </c>
      <c r="U202" s="6" cm="1">
        <f t="array" ref="U202">_xlfn.XLOOKUP(Table8[[#This Row],[Admin2PCODE]:[Admin2PCODE]],tblPiNAnalysis[[Admin2PCODE]:[Admin2PCODE]],tblPiNAnalysis[% VBG],0,0)</f>
        <v>0.05</v>
      </c>
      <c r="V202" s="8" cm="1">
        <f t="array" ref="V202">_xlfn.XLOOKUP(Table8[[#This Row],[Admin2PCODE]:[Admin2PCODE]],tblPiNAnalysis[[Admin2PCODE]:[Admin2PCODE]],tblPiNAnalysis[PiN preliminar],0,0)</f>
        <v>10000</v>
      </c>
      <c r="W202" s="308" cm="1">
        <f t="array" ref="W202">_xlfn.XLOOKUP(Table8[[#This Row],[Admin2PCODE]],tblPiNAnalysis[Admin2PCODE],tblSeverityAnalysis[Severidad media],0,0)</f>
        <v>2.1666666666666665</v>
      </c>
      <c r="X202" s="42">
        <f>Table8[[#This Row],[Severidad media]]*6</f>
        <v>13</v>
      </c>
      <c r="Y202" s="6" cm="1">
        <f t="array" ref="Y202">_xlfn.XLOOKUP(Table8[[#This Row],[Admin2PCODE]],tblPiNAnalysis[Admin2PCODE],tblPiNAnalysis[% PiN Sectores más altos],0,0)</f>
        <v>0.8253549026081215</v>
      </c>
      <c r="Z202" s="42" cm="1">
        <f t="array" ref="Z202">_xlfn.XLOOKUP(Table8[[#This Row],[Admin2PCODE]:[Admin2PCODE]],tblPiNAnalysis[[Admin2PCODE]:[Admin2PCODE]],tblPiNAnalysis[Severidad],0,0)</f>
        <v>3</v>
      </c>
      <c r="AA202">
        <f>_xlfn.XLOOKUP(Table8[[#This Row],[Admin2PCODE]],tblSeverityAnalysis[Admin 2 Código P],tblSeverityAnalysis[Severidad Ttotal 2025],0,0)</f>
        <v>3</v>
      </c>
      <c r="AB202" t="str">
        <f>_xlfn.XLOOKUP(Table8[[#This Row],[Admin2PCODE]],tblSeverityAnalysis[Admin 2 Código P],tblSeverityAnalysis[Priorización Final 2025],0,0)</f>
        <v>No</v>
      </c>
      <c r="AC202">
        <v>4</v>
      </c>
      <c r="AD202" t="s">
        <v>1068</v>
      </c>
      <c r="AE202">
        <v>4</v>
      </c>
      <c r="AF202">
        <v>0</v>
      </c>
      <c r="AG202">
        <v>0</v>
      </c>
      <c r="AH202">
        <v>0</v>
      </c>
      <c r="AI202">
        <v>2</v>
      </c>
      <c r="AJ202">
        <v>1</v>
      </c>
      <c r="AK202">
        <v>0</v>
      </c>
      <c r="AL202">
        <v>1</v>
      </c>
      <c r="AM202">
        <v>1</v>
      </c>
      <c r="AN202">
        <v>0</v>
      </c>
      <c r="AO202" s="314">
        <f>Table8[[#This Row],[N° Clústeres con respuesta]]/Table8[[#This Row],[Org Total]]</f>
        <v>1</v>
      </c>
      <c r="AP202" s="313">
        <v>2831</v>
      </c>
      <c r="AQ202" s="313">
        <v>164</v>
      </c>
      <c r="AR202" s="312">
        <f>Table8[[#This Row],[Alcanzados Oct 2025]]/Table8[[#This Row],[Meta 2025]]</f>
        <v>5.7930060049452489E-2</v>
      </c>
      <c r="AS202" s="423">
        <v>0</v>
      </c>
      <c r="AT202" s="423">
        <v>0</v>
      </c>
      <c r="AU202" s="423">
        <v>0</v>
      </c>
      <c r="AV202" s="423">
        <v>0</v>
      </c>
      <c r="AW202" s="423">
        <v>13</v>
      </c>
      <c r="AX202" s="423">
        <v>0</v>
      </c>
      <c r="AY202" s="423">
        <v>3</v>
      </c>
      <c r="AZ202" s="423">
        <v>163</v>
      </c>
      <c r="BA202" s="42">
        <v>0</v>
      </c>
    </row>
    <row r="203" spans="1:53">
      <c r="A203" t="s">
        <v>491</v>
      </c>
      <c r="B203" t="s">
        <v>492</v>
      </c>
      <c r="C203" t="s">
        <v>180</v>
      </c>
      <c r="D203" t="s">
        <v>496</v>
      </c>
      <c r="E203" s="8">
        <v>39522</v>
      </c>
      <c r="F203" s="8">
        <v>32935</v>
      </c>
      <c r="G203" s="8">
        <v>1556.4735311369282</v>
      </c>
      <c r="H203" s="8">
        <v>14425.53</v>
      </c>
      <c r="I203" s="8">
        <v>2847.4822893862083</v>
      </c>
      <c r="J203" s="8">
        <v>7892.0089973949462</v>
      </c>
      <c r="K203" s="8">
        <v>5335.47</v>
      </c>
      <c r="L203" s="8">
        <v>2533.3348881637776</v>
      </c>
      <c r="M203" s="8">
        <v>2762.2031490882309</v>
      </c>
      <c r="N203" s="6" cm="1">
        <f t="array" ref="N203">_xlfn.XLOOKUP(Table8[[#This Row],[Admin2PCODE]:[Admin2PCODE]],tblPiNAnalysis[[Admin2PCODE]:[Admin2PCODE]],tblPiNAnalysis[% SAMV],0,0)</f>
        <v>0.85000000000000009</v>
      </c>
      <c r="O203" s="6" cm="1">
        <f t="array" ref="O203">_xlfn.XLOOKUP(Table8[[#This Row],[Admin2PCODE]:[Admin2PCODE]],tblPiNAnalysis[[Admin2PCODE]:[Admin2PCODE]],tblPiNAnalysis[% NUT],0,0)</f>
        <v>0.05</v>
      </c>
      <c r="P203" s="6" cm="1">
        <f t="array" ref="P203">_xlfn.XLOOKUP(Table8[[#This Row],[Admin2PCODE]:[Admin2PCODE]],tblPiNAnalysis[[Admin2PCODE]:[Admin2PCODE]],tblPiNAnalysis[% SAL],0,0)</f>
        <v>0.35000000000000003</v>
      </c>
      <c r="Q203" s="6" cm="1">
        <f t="array" ref="Q203">_xlfn.XLOOKUP(Table8[[#This Row],[Admin2PCODE]:[Admin2PCODE]],tblPiNAnalysis[[Admin2PCODE]:[Admin2PCODE]],tblPiNAnalysis[% EDU],0,0)</f>
        <v>0.05</v>
      </c>
      <c r="R203" s="6" cm="1">
        <f t="array" ref="R203">_xlfn.XLOOKUP(Table8[[#This Row],[Admin2PCODE]:[Admin2PCODE]],tblPiNAnalysis[[Admin2PCODE]:[Admin2PCODE]],tblPiNAnalysis[% PRO],0,0)</f>
        <v>0.2</v>
      </c>
      <c r="S203" s="6" cm="1">
        <f t="array" ref="S203">_xlfn.XLOOKUP(Table8[[#This Row],[Admin2PCODE]:[Admin2PCODE]],tblPiNAnalysis[[Admin2PCODE]:[Admin2PCODE]],tblPiNAnalysis[% WASH],0,0)</f>
        <v>0.15000000000000002</v>
      </c>
      <c r="T203" s="6" cm="1">
        <f t="array" ref="T203">_xlfn.XLOOKUP(Table8[[#This Row],[Admin2PCODE]:[Admin2PCODE]],tblPiNAnalysis[[Admin2PCODE]:[Admin2PCODE]],tblPiNAnalysis[% NNA],0,0)</f>
        <v>0.05</v>
      </c>
      <c r="U203" s="6" cm="1">
        <f t="array" ref="U203">_xlfn.XLOOKUP(Table8[[#This Row],[Admin2PCODE]:[Admin2PCODE]],tblPiNAnalysis[[Admin2PCODE]:[Admin2PCODE]],tblPiNAnalysis[% VBG],0,0)</f>
        <v>0.05</v>
      </c>
      <c r="V203" s="8" cm="1">
        <f t="array" ref="V203">_xlfn.XLOOKUP(Table8[[#This Row],[Admin2PCODE]:[Admin2PCODE]],tblPiNAnalysis[[Admin2PCODE]:[Admin2PCODE]],tblPiNAnalysis[PiN preliminar],0,0)</f>
        <v>32935</v>
      </c>
      <c r="W203" s="308" cm="1">
        <f t="array" ref="W203">_xlfn.XLOOKUP(Table8[[#This Row],[Admin2PCODE]],tblPiNAnalysis[Admin2PCODE],tblSeverityAnalysis[Severidad media],0,0)</f>
        <v>3.3333333333333335</v>
      </c>
      <c r="X203" s="42">
        <f>Table8[[#This Row],[Severidad media]]*6</f>
        <v>20</v>
      </c>
      <c r="Y203" s="6" cm="1">
        <f t="array" ref="Y203">_xlfn.XLOOKUP(Table8[[#This Row],[Admin2PCODE]],tblPiNAnalysis[Admin2PCODE],tblPiNAnalysis[% PiN Sectores más altos],0,0)</f>
        <v>0.83333333333333337</v>
      </c>
      <c r="Z203" s="42" cm="1">
        <f t="array" ref="Z203">_xlfn.XLOOKUP(Table8[[#This Row],[Admin2PCODE]:[Admin2PCODE]],tblPiNAnalysis[[Admin2PCODE]:[Admin2PCODE]],tblPiNAnalysis[Severidad],0,0)</f>
        <v>3</v>
      </c>
      <c r="AA203">
        <f>_xlfn.XLOOKUP(Table8[[#This Row],[Admin2PCODE]],tblSeverityAnalysis[Admin 2 Código P],tblSeverityAnalysis[Severidad Ttotal 2025],0,0)</f>
        <v>3</v>
      </c>
      <c r="AB203" t="str">
        <f>_xlfn.XLOOKUP(Table8[[#This Row],[Admin2PCODE]],tblSeverityAnalysis[Admin 2 Código P],tblSeverityAnalysis[Priorización Final 2025],0,0)</f>
        <v>No</v>
      </c>
      <c r="AC203">
        <v>2</v>
      </c>
      <c r="AD203" t="s">
        <v>957</v>
      </c>
      <c r="AE203">
        <v>4</v>
      </c>
      <c r="AF203">
        <v>0</v>
      </c>
      <c r="AG203">
        <v>0</v>
      </c>
      <c r="AH203">
        <v>0</v>
      </c>
      <c r="AI203">
        <v>0</v>
      </c>
      <c r="AJ203">
        <v>1</v>
      </c>
      <c r="AK203">
        <v>0</v>
      </c>
      <c r="AL203">
        <v>0</v>
      </c>
      <c r="AM203">
        <v>0</v>
      </c>
      <c r="AN203">
        <v>3</v>
      </c>
      <c r="AO203" s="314">
        <f>Table8[[#This Row],[N° Clústeres con respuesta]]/Table8[[#This Row],[Org Total]]</f>
        <v>0.5</v>
      </c>
      <c r="AP203" s="313">
        <v>8758</v>
      </c>
      <c r="AQ203" s="313">
        <v>1373</v>
      </c>
      <c r="AR203" s="312">
        <f>Table8[[#This Row],[Alcanzados Oct 2025]]/Table8[[#This Row],[Meta 2025]]</f>
        <v>0.15677095227220827</v>
      </c>
      <c r="AS203" s="423">
        <v>0</v>
      </c>
      <c r="AT203" s="423">
        <v>0</v>
      </c>
      <c r="AU203" s="423">
        <v>0</v>
      </c>
      <c r="AV203" s="423">
        <v>0</v>
      </c>
      <c r="AW203" s="423">
        <v>2</v>
      </c>
      <c r="AX203" s="423">
        <v>0</v>
      </c>
      <c r="AY203" s="423">
        <v>0</v>
      </c>
      <c r="AZ203" s="423">
        <v>0</v>
      </c>
      <c r="BA203" s="42">
        <v>1373</v>
      </c>
    </row>
    <row r="204" spans="1:53">
      <c r="A204" t="s">
        <v>491</v>
      </c>
      <c r="B204" t="s">
        <v>492</v>
      </c>
      <c r="C204" t="s">
        <v>497</v>
      </c>
      <c r="D204" t="s">
        <v>498</v>
      </c>
      <c r="E204" s="8">
        <v>34496</v>
      </c>
      <c r="F204" s="8">
        <v>10823</v>
      </c>
      <c r="G204" s="8">
        <v>1338.3356306597902</v>
      </c>
      <c r="H204" s="8">
        <v>12591.04</v>
      </c>
      <c r="I204" s="8">
        <v>2134.9111339864476</v>
      </c>
      <c r="J204" s="8">
        <v>6888.3847572019658</v>
      </c>
      <c r="K204" s="8">
        <v>0</v>
      </c>
      <c r="L204" s="8">
        <v>2204.2831223046287</v>
      </c>
      <c r="M204" s="8">
        <v>2410.934665020688</v>
      </c>
      <c r="N204" s="6" cm="1">
        <f t="array" ref="N204">_xlfn.XLOOKUP(Table8[[#This Row],[Admin2PCODE]:[Admin2PCODE]],tblPiNAnalysis[[Admin2PCODE]:[Admin2PCODE]],tblPiNAnalysis[% SAMV],0,0)</f>
        <v>0.30000000000000004</v>
      </c>
      <c r="O204" s="6" cm="1">
        <f t="array" ref="O204">_xlfn.XLOOKUP(Table8[[#This Row],[Admin2PCODE]:[Admin2PCODE]],tblPiNAnalysis[[Admin2PCODE]:[Admin2PCODE]],tblPiNAnalysis[% NUT],0,0)</f>
        <v>0.05</v>
      </c>
      <c r="P204" s="6" cm="1">
        <f t="array" ref="P204">_xlfn.XLOOKUP(Table8[[#This Row],[Admin2PCODE]:[Admin2PCODE]],tblPiNAnalysis[[Admin2PCODE]:[Admin2PCODE]],tblPiNAnalysis[% SAL],0,0)</f>
        <v>0.35000000000000003</v>
      </c>
      <c r="Q204" s="6" cm="1">
        <f t="array" ref="Q204">_xlfn.XLOOKUP(Table8[[#This Row],[Admin2PCODE]:[Admin2PCODE]],tblPiNAnalysis[[Admin2PCODE]:[Admin2PCODE]],tblPiNAnalysis[% EDU],0,0)</f>
        <v>0.05</v>
      </c>
      <c r="R204" s="6" cm="1">
        <f t="array" ref="R204">_xlfn.XLOOKUP(Table8[[#This Row],[Admin2PCODE]:[Admin2PCODE]],tblPiNAnalysis[[Admin2PCODE]:[Admin2PCODE]],tblPiNAnalysis[% PRO],0,0)</f>
        <v>0.2</v>
      </c>
      <c r="S204" s="6" cm="1">
        <f t="array" ref="S204">_xlfn.XLOOKUP(Table8[[#This Row],[Admin2PCODE]:[Admin2PCODE]],tblPiNAnalysis[[Admin2PCODE]:[Admin2PCODE]],tblPiNAnalysis[% WASH],0,0)</f>
        <v>0</v>
      </c>
      <c r="T204" s="6" cm="1">
        <f t="array" ref="T204">_xlfn.XLOOKUP(Table8[[#This Row],[Admin2PCODE]:[Admin2PCODE]],tblPiNAnalysis[[Admin2PCODE]:[Admin2PCODE]],tblPiNAnalysis[% NNA],0,0)</f>
        <v>0.05</v>
      </c>
      <c r="U204" s="6" cm="1">
        <f t="array" ref="U204">_xlfn.XLOOKUP(Table8[[#This Row],[Admin2PCODE]:[Admin2PCODE]],tblPiNAnalysis[[Admin2PCODE]:[Admin2PCODE]],tblPiNAnalysis[% VBG],0,0)</f>
        <v>0.05</v>
      </c>
      <c r="V204" s="8" cm="1">
        <f t="array" ref="V204">_xlfn.XLOOKUP(Table8[[#This Row],[Admin2PCODE]:[Admin2PCODE]],tblPiNAnalysis[[Admin2PCODE]:[Admin2PCODE]],tblPiNAnalysis[PiN preliminar],0,0)</f>
        <v>12591.04</v>
      </c>
      <c r="W204" s="308" cm="1">
        <f t="array" ref="W204">_xlfn.XLOOKUP(Table8[[#This Row],[Admin2PCODE]],tblPiNAnalysis[Admin2PCODE],tblSeverityAnalysis[Severidad media],0,0)</f>
        <v>2.1666666666666665</v>
      </c>
      <c r="X204" s="42">
        <f>Table8[[#This Row],[Severidad media]]*6</f>
        <v>13</v>
      </c>
      <c r="Y204" s="6" cm="1">
        <f t="array" ref="Y204">_xlfn.XLOOKUP(Table8[[#This Row],[Admin2PCODE]],tblPiNAnalysis[Admin2PCODE],tblPiNAnalysis[% PiN Sectores más altos],0,0)</f>
        <v>0.36500000000000005</v>
      </c>
      <c r="Z204" s="42" cm="1">
        <f t="array" ref="Z204">_xlfn.XLOOKUP(Table8[[#This Row],[Admin2PCODE]:[Admin2PCODE]],tblPiNAnalysis[[Admin2PCODE]:[Admin2PCODE]],tblPiNAnalysis[Severidad],0,0)</f>
        <v>3</v>
      </c>
      <c r="AA204">
        <f>_xlfn.XLOOKUP(Table8[[#This Row],[Admin2PCODE]],tblSeverityAnalysis[Admin 2 Código P],tblSeverityAnalysis[Severidad Ttotal 2025],0,0)</f>
        <v>3</v>
      </c>
      <c r="AB204" t="str">
        <f>_xlfn.XLOOKUP(Table8[[#This Row],[Admin2PCODE]],tblSeverityAnalysis[Admin 2 Código P],tblSeverityAnalysis[Priorización Final 2025],0,0)</f>
        <v>No</v>
      </c>
      <c r="AC204">
        <v>3</v>
      </c>
      <c r="AD204" t="s">
        <v>1005</v>
      </c>
      <c r="AE204">
        <v>4</v>
      </c>
      <c r="AF204">
        <v>0</v>
      </c>
      <c r="AG204">
        <v>0</v>
      </c>
      <c r="AH204">
        <v>0</v>
      </c>
      <c r="AI204">
        <v>0</v>
      </c>
      <c r="AJ204">
        <v>1</v>
      </c>
      <c r="AK204">
        <v>0</v>
      </c>
      <c r="AL204">
        <v>0</v>
      </c>
      <c r="AM204">
        <v>1</v>
      </c>
      <c r="AN204">
        <v>2</v>
      </c>
      <c r="AO204" s="314">
        <f>Table8[[#This Row],[N° Clústeres con respuesta]]/Table8[[#This Row],[Org Total]]</f>
        <v>0.75</v>
      </c>
      <c r="AP204" s="313">
        <v>7740</v>
      </c>
      <c r="AQ204" s="313">
        <v>160</v>
      </c>
      <c r="AR204" s="312">
        <f>Table8[[#This Row],[Alcanzados Oct 2025]]/Table8[[#This Row],[Meta 2025]]</f>
        <v>2.0671834625322998E-2</v>
      </c>
      <c r="AS204" s="423">
        <v>0</v>
      </c>
      <c r="AT204" s="423">
        <v>0</v>
      </c>
      <c r="AU204" s="423">
        <v>0</v>
      </c>
      <c r="AV204" s="423">
        <v>0</v>
      </c>
      <c r="AW204" s="423">
        <v>5</v>
      </c>
      <c r="AX204" s="423">
        <v>0</v>
      </c>
      <c r="AY204" s="423">
        <v>0</v>
      </c>
      <c r="AZ204" s="423">
        <v>1</v>
      </c>
      <c r="BA204" s="42">
        <v>160</v>
      </c>
    </row>
    <row r="205" spans="1:53">
      <c r="A205" t="s">
        <v>491</v>
      </c>
      <c r="B205" t="s">
        <v>492</v>
      </c>
      <c r="C205" t="s">
        <v>242</v>
      </c>
      <c r="D205" t="s">
        <v>499</v>
      </c>
      <c r="E205" s="8">
        <v>35245</v>
      </c>
      <c r="F205" s="8">
        <v>11748</v>
      </c>
      <c r="G205" s="8">
        <v>1863.5224573282942</v>
      </c>
      <c r="H205" s="8">
        <v>12864.424999999999</v>
      </c>
      <c r="I205" s="8">
        <v>1309.4217816871515</v>
      </c>
      <c r="J205" s="8">
        <v>8445.5399153843882</v>
      </c>
      <c r="K205" s="8">
        <v>4758.0749999999998</v>
      </c>
      <c r="L205" s="8">
        <v>2702.5727729230043</v>
      </c>
      <c r="M205" s="8">
        <v>2955.9389703845359</v>
      </c>
      <c r="N205" s="6" cm="1">
        <f t="array" ref="N205">_xlfn.XLOOKUP(Table8[[#This Row],[Admin2PCODE]:[Admin2PCODE]],tblPiNAnalysis[[Admin2PCODE]:[Admin2PCODE]],tblPiNAnalysis[% SAMV],0,0)</f>
        <v>0.35000000000000003</v>
      </c>
      <c r="O205" s="6" cm="1">
        <f t="array" ref="O205">_xlfn.XLOOKUP(Table8[[#This Row],[Admin2PCODE]:[Admin2PCODE]],tblPiNAnalysis[[Admin2PCODE]:[Admin2PCODE]],tblPiNAnalysis[% NUT],0,0)</f>
        <v>0.05</v>
      </c>
      <c r="P205" s="6" cm="1">
        <f t="array" ref="P205">_xlfn.XLOOKUP(Table8[[#This Row],[Admin2PCODE]:[Admin2PCODE]],tblPiNAnalysis[[Admin2PCODE]:[Admin2PCODE]],tblPiNAnalysis[% SAL],0,0)</f>
        <v>0.35000000000000003</v>
      </c>
      <c r="Q205" s="6" cm="1">
        <f t="array" ref="Q205">_xlfn.XLOOKUP(Table8[[#This Row],[Admin2PCODE]:[Admin2PCODE]],tblPiNAnalysis[[Admin2PCODE]:[Admin2PCODE]],tblPiNAnalysis[% EDU],0,0)</f>
        <v>0.05</v>
      </c>
      <c r="R205" s="6" cm="1">
        <f t="array" ref="R205">_xlfn.XLOOKUP(Table8[[#This Row],[Admin2PCODE]:[Admin2PCODE]],tblPiNAnalysis[[Admin2PCODE]:[Admin2PCODE]],tblPiNAnalysis[% PRO],0,0)</f>
        <v>0.25</v>
      </c>
      <c r="S205" s="6" cm="1">
        <f t="array" ref="S205">_xlfn.XLOOKUP(Table8[[#This Row],[Admin2PCODE]:[Admin2PCODE]],tblPiNAnalysis[[Admin2PCODE]:[Admin2PCODE]],tblPiNAnalysis[% WASH],0,0)</f>
        <v>0.15000000000000002</v>
      </c>
      <c r="T205" s="6" cm="1">
        <f t="array" ref="T205">_xlfn.XLOOKUP(Table8[[#This Row],[Admin2PCODE]:[Admin2PCODE]],tblPiNAnalysis[[Admin2PCODE]:[Admin2PCODE]],tblPiNAnalysis[% NNA],0,0)</f>
        <v>0.1</v>
      </c>
      <c r="U205" s="6" cm="1">
        <f t="array" ref="U205">_xlfn.XLOOKUP(Table8[[#This Row],[Admin2PCODE]:[Admin2PCODE]],tblPiNAnalysis[[Admin2PCODE]:[Admin2PCODE]],tblPiNAnalysis[% VBG],0,0)</f>
        <v>0.1</v>
      </c>
      <c r="V205" s="8" cm="1">
        <f t="array" ref="V205">_xlfn.XLOOKUP(Table8[[#This Row],[Admin2PCODE]:[Admin2PCODE]],tblPiNAnalysis[[Admin2PCODE]:[Admin2PCODE]],tblPiNAnalysis[PiN preliminar],0,0)</f>
        <v>12864.424999999999</v>
      </c>
      <c r="W205" s="308" cm="1">
        <f t="array" ref="W205">_xlfn.XLOOKUP(Table8[[#This Row],[Admin2PCODE]],tblPiNAnalysis[Admin2PCODE],tblSeverityAnalysis[Severidad media],0,0)</f>
        <v>2.5</v>
      </c>
      <c r="X205" s="42">
        <f>Table8[[#This Row],[Severidad media]]*6</f>
        <v>15</v>
      </c>
      <c r="Y205" s="6" cm="1">
        <f t="array" ref="Y205">_xlfn.XLOOKUP(Table8[[#This Row],[Admin2PCODE]],tblPiNAnalysis[Admin2PCODE],tblPiNAnalysis[% PiN Sectores más altos],0,0)</f>
        <v>0.36499999999999999</v>
      </c>
      <c r="Z205" s="42" cm="1">
        <f t="array" ref="Z205">_xlfn.XLOOKUP(Table8[[#This Row],[Admin2PCODE]:[Admin2PCODE]],tblPiNAnalysis[[Admin2PCODE]:[Admin2PCODE]],tblPiNAnalysis[Severidad],0,0)</f>
        <v>3</v>
      </c>
      <c r="AA205">
        <f>_xlfn.XLOOKUP(Table8[[#This Row],[Admin2PCODE]],tblSeverityAnalysis[Admin 2 Código P],tblSeverityAnalysis[Severidad Ttotal 2025],0,0)</f>
        <v>3</v>
      </c>
      <c r="AB205" t="str">
        <f>_xlfn.XLOOKUP(Table8[[#This Row],[Admin2PCODE]],tblSeverityAnalysis[Admin 2 Código P],tblSeverityAnalysis[Priorización Final 2025],0,0)</f>
        <v>No</v>
      </c>
      <c r="AC205">
        <v>3</v>
      </c>
      <c r="AD205" t="s">
        <v>1069</v>
      </c>
      <c r="AE205">
        <v>6</v>
      </c>
      <c r="AF205">
        <v>0</v>
      </c>
      <c r="AG205">
        <v>0</v>
      </c>
      <c r="AH205">
        <v>0</v>
      </c>
      <c r="AI205">
        <v>1</v>
      </c>
      <c r="AJ205">
        <v>0</v>
      </c>
      <c r="AK205">
        <v>0</v>
      </c>
      <c r="AL205">
        <v>0</v>
      </c>
      <c r="AM205">
        <v>2</v>
      </c>
      <c r="AN205">
        <v>3</v>
      </c>
      <c r="AO205" s="314">
        <f>Table8[[#This Row],[N° Clústeres con respuesta]]/Table8[[#This Row],[Org Total]]</f>
        <v>0.5</v>
      </c>
      <c r="AP205" s="313">
        <v>7906</v>
      </c>
      <c r="AQ205" s="313">
        <v>2517</v>
      </c>
      <c r="AR205" s="312">
        <f>Table8[[#This Row],[Alcanzados Oct 2025]]/Table8[[#This Row],[Meta 2025]]</f>
        <v>0.31836579812800403</v>
      </c>
      <c r="AS205" s="423">
        <v>0</v>
      </c>
      <c r="AT205" s="423">
        <v>0</v>
      </c>
      <c r="AU205" s="423">
        <v>0</v>
      </c>
      <c r="AV205" s="423">
        <v>940</v>
      </c>
      <c r="AW205" s="423">
        <v>0</v>
      </c>
      <c r="AX205" s="423">
        <v>0</v>
      </c>
      <c r="AY205" s="423">
        <v>0</v>
      </c>
      <c r="AZ205" s="423">
        <v>16</v>
      </c>
      <c r="BA205" s="42">
        <v>2517</v>
      </c>
    </row>
    <row r="206" spans="1:53">
      <c r="A206" t="s">
        <v>491</v>
      </c>
      <c r="B206" t="s">
        <v>492</v>
      </c>
      <c r="C206" t="s">
        <v>227</v>
      </c>
      <c r="D206" t="s">
        <v>500</v>
      </c>
      <c r="E206" s="8">
        <v>64175</v>
      </c>
      <c r="F206" s="8">
        <v>11092</v>
      </c>
      <c r="G206" s="8">
        <v>2362.2506272927922</v>
      </c>
      <c r="H206" s="8">
        <v>23423.875</v>
      </c>
      <c r="I206" s="8">
        <v>4636.9914419492197</v>
      </c>
      <c r="J206" s="8">
        <v>12814.879748186348</v>
      </c>
      <c r="K206" s="8">
        <v>0</v>
      </c>
      <c r="L206" s="8">
        <v>4100.7615194196314</v>
      </c>
      <c r="M206" s="8">
        <v>4485.2079118652209</v>
      </c>
      <c r="N206" s="6" cm="1">
        <f t="array" ref="N206">_xlfn.XLOOKUP(Table8[[#This Row],[Admin2PCODE]:[Admin2PCODE]],tblPiNAnalysis[[Admin2PCODE]:[Admin2PCODE]],tblPiNAnalysis[% SAMV],0,0)</f>
        <v>0.15000000000000002</v>
      </c>
      <c r="O206" s="6" cm="1">
        <f t="array" ref="O206">_xlfn.XLOOKUP(Table8[[#This Row],[Admin2PCODE]:[Admin2PCODE]],tblPiNAnalysis[[Admin2PCODE]:[Admin2PCODE]],tblPiNAnalysis[% NUT],0,0)</f>
        <v>0.05</v>
      </c>
      <c r="P206" s="6" cm="1">
        <f t="array" ref="P206">_xlfn.XLOOKUP(Table8[[#This Row],[Admin2PCODE]:[Admin2PCODE]],tblPiNAnalysis[[Admin2PCODE]:[Admin2PCODE]],tblPiNAnalysis[% SAL],0,0)</f>
        <v>0.35000000000000003</v>
      </c>
      <c r="Q206" s="6" cm="1">
        <f t="array" ref="Q206">_xlfn.XLOOKUP(Table8[[#This Row],[Admin2PCODE]:[Admin2PCODE]],tblPiNAnalysis[[Admin2PCODE]:[Admin2PCODE]],tblPiNAnalysis[% EDU],0,0)</f>
        <v>0.05</v>
      </c>
      <c r="R206" s="6" cm="1">
        <f t="array" ref="R206">_xlfn.XLOOKUP(Table8[[#This Row],[Admin2PCODE]:[Admin2PCODE]],tblPiNAnalysis[[Admin2PCODE]:[Admin2PCODE]],tblPiNAnalysis[% PRO],0,0)</f>
        <v>0.2</v>
      </c>
      <c r="S206" s="6" cm="1">
        <f t="array" ref="S206">_xlfn.XLOOKUP(Table8[[#This Row],[Admin2PCODE]:[Admin2PCODE]],tblPiNAnalysis[[Admin2PCODE]:[Admin2PCODE]],tblPiNAnalysis[% WASH],0,0)</f>
        <v>0</v>
      </c>
      <c r="T206" s="6" cm="1">
        <f t="array" ref="T206">_xlfn.XLOOKUP(Table8[[#This Row],[Admin2PCODE]:[Admin2PCODE]],tblPiNAnalysis[[Admin2PCODE]:[Admin2PCODE]],tblPiNAnalysis[% NNA],0,0)</f>
        <v>0.05</v>
      </c>
      <c r="U206" s="6" cm="1">
        <f t="array" ref="U206">_xlfn.XLOOKUP(Table8[[#This Row],[Admin2PCODE]:[Admin2PCODE]],tblPiNAnalysis[[Admin2PCODE]:[Admin2PCODE]],tblPiNAnalysis[% VBG],0,0)</f>
        <v>0.05</v>
      </c>
      <c r="V206" s="8" cm="1">
        <f t="array" ref="V206">_xlfn.XLOOKUP(Table8[[#This Row],[Admin2PCODE]:[Admin2PCODE]],tblPiNAnalysis[[Admin2PCODE]:[Admin2PCODE]],tblPiNAnalysis[PiN preliminar],0,0)</f>
        <v>23423.875</v>
      </c>
      <c r="W206" s="308" cm="1">
        <f t="array" ref="W206">_xlfn.XLOOKUP(Table8[[#This Row],[Admin2PCODE]],tblPiNAnalysis[Admin2PCODE],tblSeverityAnalysis[Severidad media],0,0)</f>
        <v>2.6666666666666665</v>
      </c>
      <c r="X206" s="42">
        <f>Table8[[#This Row],[Severidad media]]*6</f>
        <v>16</v>
      </c>
      <c r="Y206" s="6" cm="1">
        <f t="array" ref="Y206">_xlfn.XLOOKUP(Table8[[#This Row],[Admin2PCODE]],tblPiNAnalysis[Admin2PCODE],tblPiNAnalysis[% PiN Sectores más altos],0,0)</f>
        <v>0.36499999999999999</v>
      </c>
      <c r="Z206" s="42" cm="1">
        <f t="array" ref="Z206">_xlfn.XLOOKUP(Table8[[#This Row],[Admin2PCODE]:[Admin2PCODE]],tblPiNAnalysis[[Admin2PCODE]:[Admin2PCODE]],tblPiNAnalysis[Severidad],0,0)</f>
        <v>3</v>
      </c>
      <c r="AA206">
        <f>_xlfn.XLOOKUP(Table8[[#This Row],[Admin2PCODE]],tblSeverityAnalysis[Admin 2 Código P],tblSeverityAnalysis[Severidad Ttotal 2025],0,0)</f>
        <v>3</v>
      </c>
      <c r="AB206" t="str">
        <f>_xlfn.XLOOKUP(Table8[[#This Row],[Admin2PCODE]],tblSeverityAnalysis[Admin 2 Código P],tblSeverityAnalysis[Priorización Final 2025],0,0)</f>
        <v>No</v>
      </c>
      <c r="AC206">
        <v>3</v>
      </c>
      <c r="AD206" t="s">
        <v>969</v>
      </c>
      <c r="AE206">
        <v>6</v>
      </c>
      <c r="AF206">
        <v>0</v>
      </c>
      <c r="AG206">
        <v>0</v>
      </c>
      <c r="AH206">
        <v>0</v>
      </c>
      <c r="AI206">
        <v>0</v>
      </c>
      <c r="AJ206">
        <v>3</v>
      </c>
      <c r="AK206">
        <v>0</v>
      </c>
      <c r="AL206">
        <v>1</v>
      </c>
      <c r="AM206">
        <v>0</v>
      </c>
      <c r="AN206">
        <v>3</v>
      </c>
      <c r="AO206" s="314">
        <f>Table8[[#This Row],[N° Clústeres con respuesta]]/Table8[[#This Row],[Org Total]]</f>
        <v>0.5</v>
      </c>
      <c r="AP206" s="313">
        <v>10542</v>
      </c>
      <c r="AQ206" s="313">
        <v>6142</v>
      </c>
      <c r="AR206" s="312">
        <f>Table8[[#This Row],[Alcanzados Oct 2025]]/Table8[[#This Row],[Meta 2025]]</f>
        <v>0.5826218933788655</v>
      </c>
      <c r="AS206" s="423">
        <v>0</v>
      </c>
      <c r="AT206" s="423">
        <v>0</v>
      </c>
      <c r="AU206" s="423">
        <v>0</v>
      </c>
      <c r="AV206" s="423">
        <v>0</v>
      </c>
      <c r="AW206" s="423">
        <v>13</v>
      </c>
      <c r="AX206" s="423">
        <v>0</v>
      </c>
      <c r="AY206" s="423">
        <v>4</v>
      </c>
      <c r="AZ206" s="423">
        <v>0</v>
      </c>
      <c r="BA206" s="42">
        <v>6142</v>
      </c>
    </row>
    <row r="207" spans="1:53">
      <c r="A207" t="s">
        <v>491</v>
      </c>
      <c r="B207" t="s">
        <v>492</v>
      </c>
      <c r="C207" t="s">
        <v>100</v>
      </c>
      <c r="D207" t="s">
        <v>501</v>
      </c>
      <c r="E207" s="8">
        <v>46295</v>
      </c>
      <c r="F207" s="8">
        <v>22258</v>
      </c>
      <c r="G207" s="8">
        <v>2231.7423237660842</v>
      </c>
      <c r="H207" s="8">
        <v>16897.674999999999</v>
      </c>
      <c r="I207" s="8">
        <v>2414.548858930661</v>
      </c>
      <c r="J207" s="8">
        <v>11093.382618320909</v>
      </c>
      <c r="K207" s="8">
        <v>0</v>
      </c>
      <c r="L207" s="8">
        <v>3549.8824378626914</v>
      </c>
      <c r="M207" s="8">
        <v>3882.6839164123185</v>
      </c>
      <c r="N207" s="6" cm="1">
        <f t="array" ref="N207">_xlfn.XLOOKUP(Table8[[#This Row],[Admin2PCODE]:[Admin2PCODE]],tblPiNAnalysis[[Admin2PCODE]:[Admin2PCODE]],tblPiNAnalysis[% SAMV],0,0)</f>
        <v>0.5</v>
      </c>
      <c r="O207" s="6" cm="1">
        <f t="array" ref="O207">_xlfn.XLOOKUP(Table8[[#This Row],[Admin2PCODE]:[Admin2PCODE]],tblPiNAnalysis[[Admin2PCODE]:[Admin2PCODE]],tblPiNAnalysis[% NUT],0,0)</f>
        <v>0.05</v>
      </c>
      <c r="P207" s="6" cm="1">
        <f t="array" ref="P207">_xlfn.XLOOKUP(Table8[[#This Row],[Admin2PCODE]:[Admin2PCODE]],tblPiNAnalysis[[Admin2PCODE]:[Admin2PCODE]],tblPiNAnalysis[% SAL],0,0)</f>
        <v>0.35000000000000003</v>
      </c>
      <c r="Q207" s="6" cm="1">
        <f t="array" ref="Q207">_xlfn.XLOOKUP(Table8[[#This Row],[Admin2PCODE]:[Admin2PCODE]],tblPiNAnalysis[[Admin2PCODE]:[Admin2PCODE]],tblPiNAnalysis[% EDU],0,0)</f>
        <v>0.05</v>
      </c>
      <c r="R207" s="6" cm="1">
        <f t="array" ref="R207">_xlfn.XLOOKUP(Table8[[#This Row],[Admin2PCODE]:[Admin2PCODE]],tblPiNAnalysis[[Admin2PCODE]:[Admin2PCODE]],tblPiNAnalysis[% PRO],0,0)</f>
        <v>0.25</v>
      </c>
      <c r="S207" s="6" cm="1">
        <f t="array" ref="S207">_xlfn.XLOOKUP(Table8[[#This Row],[Admin2PCODE]:[Admin2PCODE]],tblPiNAnalysis[[Admin2PCODE]:[Admin2PCODE]],tblPiNAnalysis[% WASH],0,0)</f>
        <v>0</v>
      </c>
      <c r="T207" s="6" cm="1">
        <f t="array" ref="T207">_xlfn.XLOOKUP(Table8[[#This Row],[Admin2PCODE]:[Admin2PCODE]],tblPiNAnalysis[[Admin2PCODE]:[Admin2PCODE]],tblPiNAnalysis[% NNA],0,0)</f>
        <v>0.1</v>
      </c>
      <c r="U207" s="6" cm="1">
        <f t="array" ref="U207">_xlfn.XLOOKUP(Table8[[#This Row],[Admin2PCODE]:[Admin2PCODE]],tblPiNAnalysis[[Admin2PCODE]:[Admin2PCODE]],tblPiNAnalysis[% VBG],0,0)</f>
        <v>0.1</v>
      </c>
      <c r="V207" s="8" cm="1">
        <f t="array" ref="V207">_xlfn.XLOOKUP(Table8[[#This Row],[Admin2PCODE]:[Admin2PCODE]],tblPiNAnalysis[[Admin2PCODE]:[Admin2PCODE]],tblPiNAnalysis[PiN preliminar],0,0)</f>
        <v>22258</v>
      </c>
      <c r="W207" s="308" cm="1">
        <f t="array" ref="W207">_xlfn.XLOOKUP(Table8[[#This Row],[Admin2PCODE]],tblPiNAnalysis[Admin2PCODE],tblSeverityAnalysis[Severidad media],0,0)</f>
        <v>2.1666666666666665</v>
      </c>
      <c r="X207" s="42">
        <f>Table8[[#This Row],[Severidad media]]*6</f>
        <v>13</v>
      </c>
      <c r="Y207" s="6" cm="1">
        <f t="array" ref="Y207">_xlfn.XLOOKUP(Table8[[#This Row],[Admin2PCODE]],tblPiNAnalysis[Admin2PCODE],tblPiNAnalysis[% PiN Sectores más altos],0,0)</f>
        <v>0.48078626201533642</v>
      </c>
      <c r="Z207" s="42" cm="1">
        <f t="array" ref="Z207">_xlfn.XLOOKUP(Table8[[#This Row],[Admin2PCODE]:[Admin2PCODE]],tblPiNAnalysis[[Admin2PCODE]:[Admin2PCODE]],tblPiNAnalysis[Severidad],0,0)</f>
        <v>3</v>
      </c>
      <c r="AA207">
        <f>_xlfn.XLOOKUP(Table8[[#This Row],[Admin2PCODE]],tblSeverityAnalysis[Admin 2 Código P],tblSeverityAnalysis[Severidad Ttotal 2025],0,0)</f>
        <v>3</v>
      </c>
      <c r="AB207" t="str">
        <f>_xlfn.XLOOKUP(Table8[[#This Row],[Admin2PCODE]],tblSeverityAnalysis[Admin 2 Código P],tblSeverityAnalysis[Priorización Final 2025],0,0)</f>
        <v>No</v>
      </c>
      <c r="AC207">
        <v>4</v>
      </c>
      <c r="AD207" t="s">
        <v>1070</v>
      </c>
      <c r="AE207">
        <v>7</v>
      </c>
      <c r="AF207">
        <v>0</v>
      </c>
      <c r="AG207">
        <v>0</v>
      </c>
      <c r="AH207">
        <v>0</v>
      </c>
      <c r="AI207">
        <v>2</v>
      </c>
      <c r="AJ207">
        <v>1</v>
      </c>
      <c r="AK207">
        <v>0</v>
      </c>
      <c r="AL207">
        <v>0</v>
      </c>
      <c r="AM207">
        <v>1</v>
      </c>
      <c r="AN207">
        <v>3</v>
      </c>
      <c r="AO207" s="314">
        <f>Table8[[#This Row],[N° Clústeres con respuesta]]/Table8[[#This Row],[Org Total]]</f>
        <v>0.5714285714285714</v>
      </c>
      <c r="AP207" s="313">
        <v>10809</v>
      </c>
      <c r="AQ207" s="313">
        <v>4074</v>
      </c>
      <c r="AR207" s="312">
        <f>Table8[[#This Row],[Alcanzados Oct 2025]]/Table8[[#This Row],[Meta 2025]]</f>
        <v>0.37690813211212876</v>
      </c>
      <c r="AS207" s="423">
        <v>0</v>
      </c>
      <c r="AT207" s="423">
        <v>0</v>
      </c>
      <c r="AU207" s="423">
        <v>0</v>
      </c>
      <c r="AV207" s="423">
        <v>0</v>
      </c>
      <c r="AW207" s="423">
        <v>6</v>
      </c>
      <c r="AX207" s="423">
        <v>0</v>
      </c>
      <c r="AY207" s="423">
        <v>0</v>
      </c>
      <c r="AZ207" s="423">
        <v>0</v>
      </c>
      <c r="BA207" s="42">
        <v>4074</v>
      </c>
    </row>
    <row r="208" spans="1:53">
      <c r="A208" t="s">
        <v>491</v>
      </c>
      <c r="B208" t="s">
        <v>492</v>
      </c>
      <c r="C208" t="s">
        <v>502</v>
      </c>
      <c r="D208" t="s">
        <v>503</v>
      </c>
      <c r="E208" s="8">
        <v>554507</v>
      </c>
      <c r="F208" s="8">
        <v>161344</v>
      </c>
      <c r="G208" s="8">
        <v>21117.765311778934</v>
      </c>
      <c r="H208" s="8">
        <v>202395.05499999999</v>
      </c>
      <c r="I208" s="8">
        <v>43027.272228408598</v>
      </c>
      <c r="J208" s="8">
        <v>110727.55005107232</v>
      </c>
      <c r="K208" s="8">
        <v>0</v>
      </c>
      <c r="L208" s="8">
        <v>35432.816016343146</v>
      </c>
      <c r="M208" s="8">
        <v>38754.642517875305</v>
      </c>
      <c r="N208" s="6" cm="1">
        <f t="array" ref="N208">_xlfn.XLOOKUP(Table8[[#This Row],[Admin2PCODE]:[Admin2PCODE]],tblPiNAnalysis[[Admin2PCODE]:[Admin2PCODE]],tblPiNAnalysis[% SAMV],0,0)</f>
        <v>0.30000000000000004</v>
      </c>
      <c r="O208" s="6" cm="1">
        <f t="array" ref="O208">_xlfn.XLOOKUP(Table8[[#This Row],[Admin2PCODE]:[Admin2PCODE]],tblPiNAnalysis[[Admin2PCODE]:[Admin2PCODE]],tblPiNAnalysis[% NUT],0,0)</f>
        <v>0.05</v>
      </c>
      <c r="P208" s="6" cm="1">
        <f t="array" ref="P208">_xlfn.XLOOKUP(Table8[[#This Row],[Admin2PCODE]:[Admin2PCODE]],tblPiNAnalysis[[Admin2PCODE]:[Admin2PCODE]],tblPiNAnalysis[% SAL],0,0)</f>
        <v>0.35000000000000003</v>
      </c>
      <c r="Q208" s="6" cm="1">
        <f t="array" ref="Q208">_xlfn.XLOOKUP(Table8[[#This Row],[Admin2PCODE]:[Admin2PCODE]],tblPiNAnalysis[[Admin2PCODE]:[Admin2PCODE]],tblPiNAnalysis[% EDU],0,0)</f>
        <v>0.1</v>
      </c>
      <c r="R208" s="6" cm="1">
        <f t="array" ref="R208">_xlfn.XLOOKUP(Table8[[#This Row],[Admin2PCODE]:[Admin2PCODE]],tblPiNAnalysis[[Admin2PCODE]:[Admin2PCODE]],tblPiNAnalysis[% PRO],0,0)</f>
        <v>0.2</v>
      </c>
      <c r="S208" s="6" cm="1">
        <f t="array" ref="S208">_xlfn.XLOOKUP(Table8[[#This Row],[Admin2PCODE]:[Admin2PCODE]],tblPiNAnalysis[[Admin2PCODE]:[Admin2PCODE]],tblPiNAnalysis[% WASH],0,0)</f>
        <v>0</v>
      </c>
      <c r="T208" s="6" cm="1">
        <f t="array" ref="T208">_xlfn.XLOOKUP(Table8[[#This Row],[Admin2PCODE]:[Admin2PCODE]],tblPiNAnalysis[[Admin2PCODE]:[Admin2PCODE]],tblPiNAnalysis[% NNA],0,0)</f>
        <v>0.05</v>
      </c>
      <c r="U208" s="6" cm="1">
        <f t="array" ref="U208">_xlfn.XLOOKUP(Table8[[#This Row],[Admin2PCODE]:[Admin2PCODE]],tblPiNAnalysis[[Admin2PCODE]:[Admin2PCODE]],tblPiNAnalysis[% VBG],0,0)</f>
        <v>0.05</v>
      </c>
      <c r="V208" s="8" cm="1">
        <f t="array" ref="V208">_xlfn.XLOOKUP(Table8[[#This Row],[Admin2PCODE]:[Admin2PCODE]],tblPiNAnalysis[[Admin2PCODE]:[Admin2PCODE]],tblPiNAnalysis[PiN preliminar],0,0)</f>
        <v>202395.05499999999</v>
      </c>
      <c r="W208" s="308" cm="1">
        <f t="array" ref="W208">_xlfn.XLOOKUP(Table8[[#This Row],[Admin2PCODE]],tblPiNAnalysis[Admin2PCODE],tblSeverityAnalysis[Severidad media],0,0)</f>
        <v>3.1666666666666665</v>
      </c>
      <c r="X208" s="42">
        <f>Table8[[#This Row],[Severidad media]]*6</f>
        <v>19</v>
      </c>
      <c r="Y208" s="6" cm="1">
        <f t="array" ref="Y208">_xlfn.XLOOKUP(Table8[[#This Row],[Admin2PCODE]],tblPiNAnalysis[Admin2PCODE],tblPiNAnalysis[% PiN Sectores más altos],0,0)</f>
        <v>0.36499999999999999</v>
      </c>
      <c r="Z208" s="42" cm="1">
        <f t="array" ref="Z208">_xlfn.XLOOKUP(Table8[[#This Row],[Admin2PCODE]:[Admin2PCODE]],tblPiNAnalysis[[Admin2PCODE]:[Admin2PCODE]],tblPiNAnalysis[Severidad],0,0)</f>
        <v>3</v>
      </c>
      <c r="AA208">
        <f>_xlfn.XLOOKUP(Table8[[#This Row],[Admin2PCODE]],tblSeverityAnalysis[Admin 2 Código P],tblSeverityAnalysis[Severidad Ttotal 2025],0,0)</f>
        <v>3</v>
      </c>
      <c r="AB208" t="str">
        <f>_xlfn.XLOOKUP(Table8[[#This Row],[Admin2PCODE]],tblSeverityAnalysis[Admin 2 Código P],tblSeverityAnalysis[Priorización Final 2025],0,0)</f>
        <v>No</v>
      </c>
      <c r="AC208">
        <v>5</v>
      </c>
      <c r="AD208" t="s">
        <v>1043</v>
      </c>
      <c r="AE208">
        <v>16</v>
      </c>
      <c r="AF208">
        <v>0</v>
      </c>
      <c r="AG208">
        <v>0</v>
      </c>
      <c r="AH208">
        <v>0</v>
      </c>
      <c r="AI208">
        <v>3</v>
      </c>
      <c r="AJ208">
        <v>4</v>
      </c>
      <c r="AK208">
        <v>0</v>
      </c>
      <c r="AL208">
        <v>5</v>
      </c>
      <c r="AM208">
        <v>3</v>
      </c>
      <c r="AN208">
        <v>4</v>
      </c>
      <c r="AO208" s="314">
        <f>Table8[[#This Row],[N° Clústeres con respuesta]]/Table8[[#This Row],[Org Total]]</f>
        <v>0.3125</v>
      </c>
      <c r="AP208" s="313">
        <v>91097</v>
      </c>
      <c r="AQ208" s="313">
        <v>33530</v>
      </c>
      <c r="AR208" s="312">
        <f>Table8[[#This Row],[Alcanzados Oct 2025]]/Table8[[#This Row],[Meta 2025]]</f>
        <v>0.36806920096161233</v>
      </c>
      <c r="AS208" s="423">
        <v>0</v>
      </c>
      <c r="AT208" s="423">
        <v>0</v>
      </c>
      <c r="AU208" s="423">
        <v>0</v>
      </c>
      <c r="AV208" s="423">
        <v>1510</v>
      </c>
      <c r="AW208" s="423">
        <v>43</v>
      </c>
      <c r="AX208" s="423">
        <v>0</v>
      </c>
      <c r="AY208" s="423">
        <v>100</v>
      </c>
      <c r="AZ208" s="423">
        <v>1542</v>
      </c>
      <c r="BA208" s="42">
        <v>33530</v>
      </c>
    </row>
    <row r="209" spans="1:53">
      <c r="A209" t="s">
        <v>491</v>
      </c>
      <c r="B209" t="s">
        <v>492</v>
      </c>
      <c r="C209" t="s">
        <v>250</v>
      </c>
      <c r="D209" t="s">
        <v>504</v>
      </c>
      <c r="E209" s="8">
        <v>47660</v>
      </c>
      <c r="F209" s="8">
        <v>36142</v>
      </c>
      <c r="G209" s="8">
        <v>1875.4144491096331</v>
      </c>
      <c r="H209" s="8">
        <v>17395.900000000001</v>
      </c>
      <c r="I209" s="8">
        <v>2571.6372799130027</v>
      </c>
      <c r="J209" s="8">
        <v>9517.0575582167694</v>
      </c>
      <c r="K209" s="8">
        <v>0</v>
      </c>
      <c r="L209" s="8">
        <v>3045.458418629366</v>
      </c>
      <c r="M209" s="8">
        <v>3330.9701453758694</v>
      </c>
      <c r="N209" s="6" cm="1">
        <f t="array" ref="N209">_xlfn.XLOOKUP(Table8[[#This Row],[Admin2PCODE]:[Admin2PCODE]],tblPiNAnalysis[[Admin2PCODE]:[Admin2PCODE]],tblPiNAnalysis[% SAMV],0,0)</f>
        <v>0.75</v>
      </c>
      <c r="O209" s="6" cm="1">
        <f t="array" ref="O209">_xlfn.XLOOKUP(Table8[[#This Row],[Admin2PCODE]:[Admin2PCODE]],tblPiNAnalysis[[Admin2PCODE]:[Admin2PCODE]],tblPiNAnalysis[% NUT],0,0)</f>
        <v>0.05</v>
      </c>
      <c r="P209" s="6" cm="1">
        <f t="array" ref="P209">_xlfn.XLOOKUP(Table8[[#This Row],[Admin2PCODE]:[Admin2PCODE]],tblPiNAnalysis[[Admin2PCODE]:[Admin2PCODE]],tblPiNAnalysis[% SAL],0,0)</f>
        <v>0.35000000000000003</v>
      </c>
      <c r="Q209" s="6" cm="1">
        <f t="array" ref="Q209">_xlfn.XLOOKUP(Table8[[#This Row],[Admin2PCODE]:[Admin2PCODE]],tblPiNAnalysis[[Admin2PCODE]:[Admin2PCODE]],tblPiNAnalysis[% EDU],0,0)</f>
        <v>0.05</v>
      </c>
      <c r="R209" s="6" cm="1">
        <f t="array" ref="R209">_xlfn.XLOOKUP(Table8[[#This Row],[Admin2PCODE]:[Admin2PCODE]],tblPiNAnalysis[[Admin2PCODE]:[Admin2PCODE]],tblPiNAnalysis[% PRO],0,0)</f>
        <v>0.2</v>
      </c>
      <c r="S209" s="6" cm="1">
        <f t="array" ref="S209">_xlfn.XLOOKUP(Table8[[#This Row],[Admin2PCODE]:[Admin2PCODE]],tblPiNAnalysis[[Admin2PCODE]:[Admin2PCODE]],tblPiNAnalysis[% WASH],0,0)</f>
        <v>0</v>
      </c>
      <c r="T209" s="6" cm="1">
        <f t="array" ref="T209">_xlfn.XLOOKUP(Table8[[#This Row],[Admin2PCODE]:[Admin2PCODE]],tblPiNAnalysis[[Admin2PCODE]:[Admin2PCODE]],tblPiNAnalysis[% NNA],0,0)</f>
        <v>0.05</v>
      </c>
      <c r="U209" s="6" cm="1">
        <f t="array" ref="U209">_xlfn.XLOOKUP(Table8[[#This Row],[Admin2PCODE]:[Admin2PCODE]],tblPiNAnalysis[[Admin2PCODE]:[Admin2PCODE]],tblPiNAnalysis[% VBG],0,0)</f>
        <v>0.05</v>
      </c>
      <c r="V209" s="8" cm="1">
        <f t="array" ref="V209">_xlfn.XLOOKUP(Table8[[#This Row],[Admin2PCODE]:[Admin2PCODE]],tblPiNAnalysis[[Admin2PCODE]:[Admin2PCODE]],tblPiNAnalysis[PiN preliminar],0,0)</f>
        <v>36142</v>
      </c>
      <c r="W209" s="308" cm="1">
        <f t="array" ref="W209">_xlfn.XLOOKUP(Table8[[#This Row],[Admin2PCODE]],tblPiNAnalysis[Admin2PCODE],tblSeverityAnalysis[Severidad media],0,0)</f>
        <v>2.6666666666666665</v>
      </c>
      <c r="X209" s="42">
        <f>Table8[[#This Row],[Severidad media]]*6</f>
        <v>16</v>
      </c>
      <c r="Y209" s="6" cm="1">
        <f t="array" ref="Y209">_xlfn.XLOOKUP(Table8[[#This Row],[Admin2PCODE]],tblPiNAnalysis[Admin2PCODE],tblPiNAnalysis[% PiN Sectores más altos],0,0)</f>
        <v>0.75832983634074691</v>
      </c>
      <c r="Z209" s="42" cm="1">
        <f t="array" ref="Z209">_xlfn.XLOOKUP(Table8[[#This Row],[Admin2PCODE]:[Admin2PCODE]],tblPiNAnalysis[[Admin2PCODE]:[Admin2PCODE]],tblPiNAnalysis[Severidad],0,0)</f>
        <v>3</v>
      </c>
      <c r="AA209">
        <f>_xlfn.XLOOKUP(Table8[[#This Row],[Admin2PCODE]],tblSeverityAnalysis[Admin 2 Código P],tblSeverityAnalysis[Severidad Ttotal 2025],0,0)</f>
        <v>3</v>
      </c>
      <c r="AB209" t="str">
        <f>_xlfn.XLOOKUP(Table8[[#This Row],[Admin2PCODE]],tblSeverityAnalysis[Admin 2 Código P],tblSeverityAnalysis[Priorización Final 2025],0,0)</f>
        <v>No</v>
      </c>
      <c r="AC209">
        <v>1</v>
      </c>
      <c r="AD209" t="s">
        <v>94</v>
      </c>
      <c r="AE209">
        <v>1</v>
      </c>
      <c r="AF209">
        <v>0</v>
      </c>
      <c r="AG209">
        <v>0</v>
      </c>
      <c r="AH209">
        <v>0</v>
      </c>
      <c r="AI209">
        <v>0</v>
      </c>
      <c r="AJ209">
        <v>0</v>
      </c>
      <c r="AK209">
        <v>0</v>
      </c>
      <c r="AL209">
        <v>0</v>
      </c>
      <c r="AM209">
        <v>1</v>
      </c>
      <c r="AN209">
        <v>0</v>
      </c>
      <c r="AO209" s="314">
        <f>Table8[[#This Row],[N° Clústeres con respuesta]]/Table8[[#This Row],[Org Total]]</f>
        <v>1</v>
      </c>
      <c r="AP209" s="313">
        <v>11128</v>
      </c>
      <c r="AQ209" s="313">
        <v>69</v>
      </c>
      <c r="AR209" s="312">
        <f>Table8[[#This Row],[Alcanzados Oct 2025]]/Table8[[#This Row],[Meta 2025]]</f>
        <v>6.2005751258087704E-3</v>
      </c>
      <c r="AS209" s="423">
        <v>0</v>
      </c>
      <c r="AT209" s="423">
        <v>0</v>
      </c>
      <c r="AU209" s="423">
        <v>0</v>
      </c>
      <c r="AV209" s="423">
        <v>0</v>
      </c>
      <c r="AW209" s="423">
        <v>0</v>
      </c>
      <c r="AX209" s="423">
        <v>0</v>
      </c>
      <c r="AY209" s="423">
        <v>0</v>
      </c>
      <c r="AZ209" s="423">
        <v>69</v>
      </c>
      <c r="BA209" s="42">
        <v>0</v>
      </c>
    </row>
    <row r="210" spans="1:53">
      <c r="A210" t="s">
        <v>491</v>
      </c>
      <c r="B210" t="s">
        <v>492</v>
      </c>
      <c r="C210" t="s">
        <v>505</v>
      </c>
      <c r="D210" t="s">
        <v>506</v>
      </c>
      <c r="E210" s="8">
        <v>28594</v>
      </c>
      <c r="F210" s="8">
        <v>8737</v>
      </c>
      <c r="G210" s="8">
        <v>898.68985601416614</v>
      </c>
      <c r="H210" s="8">
        <v>10436.81</v>
      </c>
      <c r="I210" s="8">
        <v>2770.1186547035877</v>
      </c>
      <c r="J210" s="8">
        <v>5709.8351619733603</v>
      </c>
      <c r="K210" s="8">
        <v>0</v>
      </c>
      <c r="L210" s="8">
        <v>1827.1472518314754</v>
      </c>
      <c r="M210" s="8">
        <v>1998.4423066906759</v>
      </c>
      <c r="N210" s="6" cm="1">
        <f t="array" ref="N210">_xlfn.XLOOKUP(Table8[[#This Row],[Admin2PCODE]:[Admin2PCODE]],tblPiNAnalysis[[Admin2PCODE]:[Admin2PCODE]],tblPiNAnalysis[% SAMV],0,0)</f>
        <v>0.30000000000000004</v>
      </c>
      <c r="O210" s="6" cm="1">
        <f t="array" ref="O210">_xlfn.XLOOKUP(Table8[[#This Row],[Admin2PCODE]:[Admin2PCODE]],tblPiNAnalysis[[Admin2PCODE]:[Admin2PCODE]],tblPiNAnalysis[% NUT],0,0)</f>
        <v>0.05</v>
      </c>
      <c r="P210" s="6" cm="1">
        <f t="array" ref="P210">_xlfn.XLOOKUP(Table8[[#This Row],[Admin2PCODE]:[Admin2PCODE]],tblPiNAnalysis[[Admin2PCODE]:[Admin2PCODE]],tblPiNAnalysis[% SAL],0,0)</f>
        <v>0.35000000000000003</v>
      </c>
      <c r="Q210" s="6" cm="1">
        <f t="array" ref="Q210">_xlfn.XLOOKUP(Table8[[#This Row],[Admin2PCODE]:[Admin2PCODE]],tblPiNAnalysis[[Admin2PCODE]:[Admin2PCODE]],tblPiNAnalysis[% EDU],0,0)</f>
        <v>0.1</v>
      </c>
      <c r="R210" s="6" cm="1">
        <f t="array" ref="R210">_xlfn.XLOOKUP(Table8[[#This Row],[Admin2PCODE]:[Admin2PCODE]],tblPiNAnalysis[[Admin2PCODE]:[Admin2PCODE]],tblPiNAnalysis[% PRO],0,0)</f>
        <v>0.2</v>
      </c>
      <c r="S210" s="6" cm="1">
        <f t="array" ref="S210">_xlfn.XLOOKUP(Table8[[#This Row],[Admin2PCODE]:[Admin2PCODE]],tblPiNAnalysis[[Admin2PCODE]:[Admin2PCODE]],tblPiNAnalysis[% WASH],0,0)</f>
        <v>0</v>
      </c>
      <c r="T210" s="6" cm="1">
        <f t="array" ref="T210">_xlfn.XLOOKUP(Table8[[#This Row],[Admin2PCODE]:[Admin2PCODE]],tblPiNAnalysis[[Admin2PCODE]:[Admin2PCODE]],tblPiNAnalysis[% NNA],0,0)</f>
        <v>0.05</v>
      </c>
      <c r="U210" s="6" cm="1">
        <f t="array" ref="U210">_xlfn.XLOOKUP(Table8[[#This Row],[Admin2PCODE]:[Admin2PCODE]],tblPiNAnalysis[[Admin2PCODE]:[Admin2PCODE]],tblPiNAnalysis[% VBG],0,0)</f>
        <v>0.05</v>
      </c>
      <c r="V210" s="8" cm="1">
        <f t="array" ref="V210">_xlfn.XLOOKUP(Table8[[#This Row],[Admin2PCODE]:[Admin2PCODE]],tblPiNAnalysis[[Admin2PCODE]:[Admin2PCODE]],tblPiNAnalysis[PiN preliminar],0,0)</f>
        <v>10436.81</v>
      </c>
      <c r="W210" s="308" cm="1">
        <f t="array" ref="W210">_xlfn.XLOOKUP(Table8[[#This Row],[Admin2PCODE]],tblPiNAnalysis[Admin2PCODE],tblSeverityAnalysis[Severidad media],0,0)</f>
        <v>2.5</v>
      </c>
      <c r="X210" s="42">
        <f>Table8[[#This Row],[Severidad media]]*6</f>
        <v>15</v>
      </c>
      <c r="Y210" s="6" cm="1">
        <f t="array" ref="Y210">_xlfn.XLOOKUP(Table8[[#This Row],[Admin2PCODE]],tblPiNAnalysis[Admin2PCODE],tblPiNAnalysis[% PiN Sectores más altos],0,0)</f>
        <v>0.36499999999999999</v>
      </c>
      <c r="Z210" s="42" cm="1">
        <f t="array" ref="Z210">_xlfn.XLOOKUP(Table8[[#This Row],[Admin2PCODE]:[Admin2PCODE]],tblPiNAnalysis[[Admin2PCODE]:[Admin2PCODE]],tblPiNAnalysis[Severidad],0,0)</f>
        <v>3</v>
      </c>
      <c r="AA210">
        <f>_xlfn.XLOOKUP(Table8[[#This Row],[Admin2PCODE]],tblSeverityAnalysis[Admin 2 Código P],tblSeverityAnalysis[Severidad Ttotal 2025],0,0)</f>
        <v>3</v>
      </c>
      <c r="AB210" t="str">
        <f>_xlfn.XLOOKUP(Table8[[#This Row],[Admin2PCODE]],tblSeverityAnalysis[Admin 2 Código P],tblSeverityAnalysis[Priorización Final 2025],0,0)</f>
        <v>No</v>
      </c>
      <c r="AC210">
        <v>2</v>
      </c>
      <c r="AD210" t="s">
        <v>1051</v>
      </c>
      <c r="AE210">
        <v>3</v>
      </c>
      <c r="AF210">
        <v>0</v>
      </c>
      <c r="AG210">
        <v>0</v>
      </c>
      <c r="AH210">
        <v>0</v>
      </c>
      <c r="AI210">
        <v>0</v>
      </c>
      <c r="AJ210">
        <v>2</v>
      </c>
      <c r="AK210">
        <v>0</v>
      </c>
      <c r="AL210">
        <v>0</v>
      </c>
      <c r="AM210">
        <v>1</v>
      </c>
      <c r="AN210">
        <v>0</v>
      </c>
      <c r="AO210" s="314">
        <f>Table8[[#This Row],[N° Clústeres con respuesta]]/Table8[[#This Row],[Org Total]]</f>
        <v>0.66666666666666663</v>
      </c>
      <c r="AP210" s="313">
        <v>6412</v>
      </c>
      <c r="AQ210" s="313">
        <v>37</v>
      </c>
      <c r="AR210" s="312">
        <f>Table8[[#This Row],[Alcanzados Oct 2025]]/Table8[[#This Row],[Meta 2025]]</f>
        <v>5.7704304429195257E-3</v>
      </c>
      <c r="AS210" s="423">
        <v>0</v>
      </c>
      <c r="AT210" s="423">
        <v>0</v>
      </c>
      <c r="AU210" s="423">
        <v>0</v>
      </c>
      <c r="AV210" s="423">
        <v>0</v>
      </c>
      <c r="AW210" s="423">
        <v>3</v>
      </c>
      <c r="AX210" s="423">
        <v>0</v>
      </c>
      <c r="AY210" s="423">
        <v>0</v>
      </c>
      <c r="AZ210" s="423">
        <v>36</v>
      </c>
      <c r="BA210" s="42">
        <v>0</v>
      </c>
    </row>
    <row r="211" spans="1:53">
      <c r="A211" t="s">
        <v>491</v>
      </c>
      <c r="B211" t="s">
        <v>492</v>
      </c>
      <c r="C211" t="s">
        <v>507</v>
      </c>
      <c r="D211" t="s">
        <v>508</v>
      </c>
      <c r="E211" s="8">
        <v>10027</v>
      </c>
      <c r="F211" s="8">
        <v>2005</v>
      </c>
      <c r="G211" s="8">
        <v>352.89594895911921</v>
      </c>
      <c r="H211" s="8">
        <v>8800</v>
      </c>
      <c r="I211" s="8">
        <v>682.39534427035653</v>
      </c>
      <c r="J211" s="8">
        <v>2402.70758211262</v>
      </c>
      <c r="K211" s="8">
        <v>0</v>
      </c>
      <c r="L211" s="8">
        <v>768.8664262760384</v>
      </c>
      <c r="M211" s="8">
        <v>840.94765373941698</v>
      </c>
      <c r="N211" s="6" cm="1">
        <f t="array" ref="N211">_xlfn.XLOOKUP(Table8[[#This Row],[Admin2PCODE]:[Admin2PCODE]],tblPiNAnalysis[[Admin2PCODE]:[Admin2PCODE]],tblPiNAnalysis[% SAMV],0,0)</f>
        <v>0.2</v>
      </c>
      <c r="O211" s="6" cm="1">
        <f t="array" ref="O211">_xlfn.XLOOKUP(Table8[[#This Row],[Admin2PCODE]:[Admin2PCODE]],tblPiNAnalysis[[Admin2PCODE]:[Admin2PCODE]],tblPiNAnalysis[% NUT],0,0)</f>
        <v>0.05</v>
      </c>
      <c r="P211" s="6" cm="1">
        <f t="array" ref="P211">_xlfn.XLOOKUP(Table8[[#This Row],[Admin2PCODE]:[Admin2PCODE]],tblPiNAnalysis[[Admin2PCODE]:[Admin2PCODE]],tblPiNAnalysis[% SAL],0,0)</f>
        <v>0.9</v>
      </c>
      <c r="Q211" s="6" cm="1">
        <f t="array" ref="Q211">_xlfn.XLOOKUP(Table8[[#This Row],[Admin2PCODE]:[Admin2PCODE]],tblPiNAnalysis[[Admin2PCODE]:[Admin2PCODE]],tblPiNAnalysis[% EDU],0,0)</f>
        <v>0.05</v>
      </c>
      <c r="R211" s="6" cm="1">
        <f t="array" ref="R211">_xlfn.XLOOKUP(Table8[[#This Row],[Admin2PCODE]:[Admin2PCODE]],tblPiNAnalysis[[Admin2PCODE]:[Admin2PCODE]],tblPiNAnalysis[% PRO],0,0)</f>
        <v>0.25</v>
      </c>
      <c r="S211" s="6" cm="1">
        <f t="array" ref="S211">_xlfn.XLOOKUP(Table8[[#This Row],[Admin2PCODE]:[Admin2PCODE]],tblPiNAnalysis[[Admin2PCODE]:[Admin2PCODE]],tblPiNAnalysis[% WASH],0,0)</f>
        <v>0</v>
      </c>
      <c r="T211" s="6" cm="1">
        <f t="array" ref="T211">_xlfn.XLOOKUP(Table8[[#This Row],[Admin2PCODE]:[Admin2PCODE]],tblPiNAnalysis[[Admin2PCODE]:[Admin2PCODE]],tblPiNAnalysis[% NNA],0,0)</f>
        <v>0.1</v>
      </c>
      <c r="U211" s="6" cm="1">
        <f t="array" ref="U211">_xlfn.XLOOKUP(Table8[[#This Row],[Admin2PCODE]:[Admin2PCODE]],tblPiNAnalysis[[Admin2PCODE]:[Admin2PCODE]],tblPiNAnalysis[% VBG],0,0)</f>
        <v>0.1</v>
      </c>
      <c r="V211" s="8" cm="1">
        <f t="array" ref="V211">_xlfn.XLOOKUP(Table8[[#This Row],[Admin2PCODE]:[Admin2PCODE]],tblPiNAnalysis[[Admin2PCODE]:[Admin2PCODE]],tblPiNAnalysis[PiN preliminar],0,0)</f>
        <v>8800</v>
      </c>
      <c r="W211" s="308" cm="1">
        <f t="array" ref="W211">_xlfn.XLOOKUP(Table8[[#This Row],[Admin2PCODE]],tblPiNAnalysis[Admin2PCODE],tblSeverityAnalysis[Severidad media],0,0)</f>
        <v>2.5</v>
      </c>
      <c r="X211" s="42">
        <f>Table8[[#This Row],[Severidad media]]*6</f>
        <v>15</v>
      </c>
      <c r="Y211" s="6" cm="1">
        <f t="array" ref="Y211">_xlfn.XLOOKUP(Table8[[#This Row],[Admin2PCODE]],tblPiNAnalysis[Admin2PCODE],tblPiNAnalysis[% PiN Sectores más altos],0,0)</f>
        <v>0.87763039792560082</v>
      </c>
      <c r="Z211" s="42" cm="1">
        <f t="array" ref="Z211">_xlfn.XLOOKUP(Table8[[#This Row],[Admin2PCODE]:[Admin2PCODE]],tblPiNAnalysis[[Admin2PCODE]:[Admin2PCODE]],tblPiNAnalysis[Severidad],0,0)</f>
        <v>3</v>
      </c>
      <c r="AA211">
        <f>_xlfn.XLOOKUP(Table8[[#This Row],[Admin2PCODE]],tblSeverityAnalysis[Admin 2 Código P],tblSeverityAnalysis[Severidad Ttotal 2025],0,0)</f>
        <v>3</v>
      </c>
      <c r="AB211" t="str">
        <f>_xlfn.XLOOKUP(Table8[[#This Row],[Admin2PCODE]],tblSeverityAnalysis[Admin 2 Código P],tblSeverityAnalysis[Priorización Final 2025],0,0)</f>
        <v>No</v>
      </c>
      <c r="AC211">
        <v>1</v>
      </c>
      <c r="AD211" t="s">
        <v>92</v>
      </c>
      <c r="AE211">
        <v>3</v>
      </c>
      <c r="AF211">
        <v>0</v>
      </c>
      <c r="AG211">
        <v>0</v>
      </c>
      <c r="AH211">
        <v>0</v>
      </c>
      <c r="AI211">
        <v>0</v>
      </c>
      <c r="AJ211">
        <v>0</v>
      </c>
      <c r="AK211">
        <v>0</v>
      </c>
      <c r="AL211">
        <v>0</v>
      </c>
      <c r="AM211">
        <v>0</v>
      </c>
      <c r="AN211">
        <v>3</v>
      </c>
      <c r="AO211" s="314">
        <f>Table8[[#This Row],[N° Clústeres con respuesta]]/Table8[[#This Row],[Org Total]]</f>
        <v>0.33333333333333331</v>
      </c>
      <c r="AP211" s="313">
        <v>2250</v>
      </c>
      <c r="AQ211" s="313">
        <v>1148</v>
      </c>
      <c r="AR211" s="312">
        <f>Table8[[#This Row],[Alcanzados Oct 2025]]/Table8[[#This Row],[Meta 2025]]</f>
        <v>0.51022222222222224</v>
      </c>
      <c r="AS211" s="423">
        <v>0</v>
      </c>
      <c r="AT211" s="423">
        <v>0</v>
      </c>
      <c r="AU211" s="423">
        <v>0</v>
      </c>
      <c r="AV211" s="423">
        <v>0</v>
      </c>
      <c r="AW211" s="423">
        <v>0</v>
      </c>
      <c r="AX211" s="423">
        <v>0</v>
      </c>
      <c r="AY211" s="423">
        <v>0</v>
      </c>
      <c r="AZ211" s="423">
        <v>0</v>
      </c>
      <c r="BA211" s="42">
        <v>1148</v>
      </c>
    </row>
    <row r="212" spans="1:53">
      <c r="A212" t="s">
        <v>491</v>
      </c>
      <c r="B212" t="s">
        <v>492</v>
      </c>
      <c r="C212" t="s">
        <v>511</v>
      </c>
      <c r="D212" t="s">
        <v>512</v>
      </c>
      <c r="E212" s="8">
        <v>9836</v>
      </c>
      <c r="F212" s="8">
        <v>3279</v>
      </c>
      <c r="G212" s="8">
        <v>750.37548371693617</v>
      </c>
      <c r="H212" s="8">
        <v>7720</v>
      </c>
      <c r="I212" s="8">
        <v>1234.5802627612934</v>
      </c>
      <c r="J212" s="8">
        <v>1178.4697206372657</v>
      </c>
      <c r="K212" s="8">
        <v>0</v>
      </c>
      <c r="L212" s="8">
        <v>377.11031060392509</v>
      </c>
      <c r="M212" s="8">
        <v>412.46440222304295</v>
      </c>
      <c r="N212" s="6" cm="1">
        <f t="array" ref="N212">_xlfn.XLOOKUP(Table8[[#This Row],[Admin2PCODE]:[Admin2PCODE]],tblPiNAnalysis[[Admin2PCODE]:[Admin2PCODE]],tblPiNAnalysis[% SAMV],0,0)</f>
        <v>0.35000000000000003</v>
      </c>
      <c r="O212" s="6" cm="1">
        <f t="array" ref="O212">_xlfn.XLOOKUP(Table8[[#This Row],[Admin2PCODE]:[Admin2PCODE]],tblPiNAnalysis[[Admin2PCODE]:[Admin2PCODE]],tblPiNAnalysis[% NUT],0,0)</f>
        <v>0.1</v>
      </c>
      <c r="P212" s="6" cm="1">
        <f t="array" ref="P212">_xlfn.XLOOKUP(Table8[[#This Row],[Admin2PCODE]:[Admin2PCODE]],tblPiNAnalysis[[Admin2PCODE]:[Admin2PCODE]],tblPiNAnalysis[% SAL],0,0)</f>
        <v>0.8</v>
      </c>
      <c r="Q212" s="6" cm="1">
        <f t="array" ref="Q212">_xlfn.XLOOKUP(Table8[[#This Row],[Admin2PCODE]:[Admin2PCODE]],tblPiNAnalysis[[Admin2PCODE]:[Admin2PCODE]],tblPiNAnalysis[% EDU],0,0)</f>
        <v>0.15000000000000002</v>
      </c>
      <c r="R212" s="6" cm="1">
        <f t="array" ref="R212">_xlfn.XLOOKUP(Table8[[#This Row],[Admin2PCODE]:[Admin2PCODE]],tblPiNAnalysis[[Admin2PCODE]:[Admin2PCODE]],tblPiNAnalysis[% PRO],0,0)</f>
        <v>0.1</v>
      </c>
      <c r="S212" s="6" cm="1">
        <f t="array" ref="S212">_xlfn.XLOOKUP(Table8[[#This Row],[Admin2PCODE]:[Admin2PCODE]],tblPiNAnalysis[[Admin2PCODE]:[Admin2PCODE]],tblPiNAnalysis[% WASH],0,0)</f>
        <v>0</v>
      </c>
      <c r="T212" s="6" cm="1">
        <f t="array" ref="T212">_xlfn.XLOOKUP(Table8[[#This Row],[Admin2PCODE]:[Admin2PCODE]],tblPiNAnalysis[[Admin2PCODE]:[Admin2PCODE]],tblPiNAnalysis[% NNA],0,0)</f>
        <v>0.05</v>
      </c>
      <c r="U212" s="6" cm="1">
        <f t="array" ref="U212">_xlfn.XLOOKUP(Table8[[#This Row],[Admin2PCODE]:[Admin2PCODE]],tblPiNAnalysis[[Admin2PCODE]:[Admin2PCODE]],tblPiNAnalysis[% VBG],0,0)</f>
        <v>0.05</v>
      </c>
      <c r="V212" s="8" cm="1">
        <f t="array" ref="V212">_xlfn.XLOOKUP(Table8[[#This Row],[Admin2PCODE]:[Admin2PCODE]],tblPiNAnalysis[[Admin2PCODE]:[Admin2PCODE]],tblPiNAnalysis[PiN preliminar],0,0)</f>
        <v>7720</v>
      </c>
      <c r="W212" s="308" cm="1">
        <f t="array" ref="W212">_xlfn.XLOOKUP(Table8[[#This Row],[Admin2PCODE]],tblPiNAnalysis[Admin2PCODE],tblSeverityAnalysis[Severidad media],0,0)</f>
        <v>3.1666666666666665</v>
      </c>
      <c r="X212" s="42">
        <f>Table8[[#This Row],[Severidad media]]*6</f>
        <v>19</v>
      </c>
      <c r="Y212" s="6" cm="1">
        <f t="array" ref="Y212">_xlfn.XLOOKUP(Table8[[#This Row],[Admin2PCODE]],tblPiNAnalysis[Admin2PCODE],tblPiNAnalysis[% PiN Sectores más altos],0,0)</f>
        <v>0.78487189914599431</v>
      </c>
      <c r="Z212" s="42" cm="1">
        <f t="array" ref="Z212">_xlfn.XLOOKUP(Table8[[#This Row],[Admin2PCODE]:[Admin2PCODE]],tblPiNAnalysis[[Admin2PCODE]:[Admin2PCODE]],tblPiNAnalysis[Severidad],0,0)</f>
        <v>3</v>
      </c>
      <c r="AA212">
        <f>_xlfn.XLOOKUP(Table8[[#This Row],[Admin2PCODE]],tblSeverityAnalysis[Admin 2 Código P],tblSeverityAnalysis[Severidad Ttotal 2025],0,0)</f>
        <v>3</v>
      </c>
      <c r="AB212" t="str">
        <f>_xlfn.XLOOKUP(Table8[[#This Row],[Admin2PCODE]],tblSeverityAnalysis[Admin 2 Código P],tblSeverityAnalysis[Priorización Final 2025],0,0)</f>
        <v>No</v>
      </c>
      <c r="AC212">
        <v>1</v>
      </c>
      <c r="AD212" t="s">
        <v>92</v>
      </c>
      <c r="AE212">
        <v>2</v>
      </c>
      <c r="AF212">
        <v>0</v>
      </c>
      <c r="AG212">
        <v>0</v>
      </c>
      <c r="AH212">
        <v>0</v>
      </c>
      <c r="AI212">
        <v>0</v>
      </c>
      <c r="AJ212">
        <v>0</v>
      </c>
      <c r="AK212">
        <v>0</v>
      </c>
      <c r="AL212">
        <v>0</v>
      </c>
      <c r="AM212">
        <v>0</v>
      </c>
      <c r="AN212">
        <v>2</v>
      </c>
      <c r="AO212" s="314">
        <f>Table8[[#This Row],[N° Clústeres con respuesta]]/Table8[[#This Row],[Org Total]]</f>
        <v>0.5</v>
      </c>
      <c r="AP212" s="313">
        <v>2208</v>
      </c>
      <c r="AQ212" s="313">
        <v>224</v>
      </c>
      <c r="AR212" s="312">
        <f>Table8[[#This Row],[Alcanzados Oct 2025]]/Table8[[#This Row],[Meta 2025]]</f>
        <v>0.10144927536231885</v>
      </c>
      <c r="AS212" s="423">
        <v>0</v>
      </c>
      <c r="AT212" s="423">
        <v>0</v>
      </c>
      <c r="AU212" s="423">
        <v>0</v>
      </c>
      <c r="AV212" s="423">
        <v>0</v>
      </c>
      <c r="AW212" s="423">
        <v>0</v>
      </c>
      <c r="AX212" s="423">
        <v>0</v>
      </c>
      <c r="AY212" s="423">
        <v>0</v>
      </c>
      <c r="AZ212" s="423">
        <v>0</v>
      </c>
      <c r="BA212" s="42">
        <v>224</v>
      </c>
    </row>
    <row r="213" spans="1:53">
      <c r="A213" t="s">
        <v>513</v>
      </c>
      <c r="B213" t="s">
        <v>514</v>
      </c>
      <c r="C213" t="s">
        <v>832</v>
      </c>
      <c r="D213" t="s">
        <v>516</v>
      </c>
      <c r="E213" s="8">
        <v>28930</v>
      </c>
      <c r="F213" s="8">
        <v>5193</v>
      </c>
      <c r="G213" s="8">
        <v>828.7233462712943</v>
      </c>
      <c r="H213" s="8">
        <v>10559.45</v>
      </c>
      <c r="I213" s="8">
        <v>3703.9087406533395</v>
      </c>
      <c r="J213" s="8">
        <v>1161.6912499055102</v>
      </c>
      <c r="K213" s="8">
        <v>17358</v>
      </c>
      <c r="L213" s="8">
        <v>371.74119996976322</v>
      </c>
      <c r="M213" s="8">
        <v>406.59193746692858</v>
      </c>
      <c r="N213" s="6" cm="1">
        <f t="array" ref="N213">_xlfn.XLOOKUP(Table8[[#This Row],[Admin2PCODE]:[Admin2PCODE]],tblPiNAnalysis[[Admin2PCODE]:[Admin2PCODE]],tblPiNAnalysis[% SAMV],0,0)</f>
        <v>0.2</v>
      </c>
      <c r="O213" s="6" cm="1">
        <f t="array" ref="O213">_xlfn.XLOOKUP(Table8[[#This Row],[Admin2PCODE]:[Admin2PCODE]],tblPiNAnalysis[[Admin2PCODE]:[Admin2PCODE]],tblPiNAnalysis[% NUT],0,0)</f>
        <v>0.05</v>
      </c>
      <c r="P213" s="6" cm="1">
        <f t="array" ref="P213">_xlfn.XLOOKUP(Table8[[#This Row],[Admin2PCODE]:[Admin2PCODE]],tblPiNAnalysis[[Admin2PCODE]:[Admin2PCODE]],tblPiNAnalysis[% SAL],0,0)</f>
        <v>0.35000000000000003</v>
      </c>
      <c r="Q213" s="6" cm="1">
        <f t="array" ref="Q213">_xlfn.XLOOKUP(Table8[[#This Row],[Admin2PCODE]:[Admin2PCODE]],tblPiNAnalysis[[Admin2PCODE]:[Admin2PCODE]],tblPiNAnalysis[% EDU],0,0)</f>
        <v>0.15000000000000002</v>
      </c>
      <c r="R213" s="6" cm="1">
        <f t="array" ref="R213">_xlfn.XLOOKUP(Table8[[#This Row],[Admin2PCODE]:[Admin2PCODE]],tblPiNAnalysis[[Admin2PCODE]:[Admin2PCODE]],tblPiNAnalysis[% PRO],0,0)</f>
        <v>0.05</v>
      </c>
      <c r="S213" s="6" cm="1">
        <f t="array" ref="S213">_xlfn.XLOOKUP(Table8[[#This Row],[Admin2PCODE]:[Admin2PCODE]],tblPiNAnalysis[[Admin2PCODE]:[Admin2PCODE]],tblPiNAnalysis[% WASH],0,0)</f>
        <v>0.60000000000000009</v>
      </c>
      <c r="T213" s="6" cm="1">
        <f t="array" ref="T213">_xlfn.XLOOKUP(Table8[[#This Row],[Admin2PCODE]:[Admin2PCODE]],tblPiNAnalysis[[Admin2PCODE]:[Admin2PCODE]],tblPiNAnalysis[% NNA],0,0)</f>
        <v>0</v>
      </c>
      <c r="U213" s="6" cm="1">
        <f t="array" ref="U213">_xlfn.XLOOKUP(Table8[[#This Row],[Admin2PCODE]:[Admin2PCODE]],tblPiNAnalysis[[Admin2PCODE]:[Admin2PCODE]],tblPiNAnalysis[% VBG],0,0)</f>
        <v>0</v>
      </c>
      <c r="V213" s="8" cm="1">
        <f t="array" ref="V213">_xlfn.XLOOKUP(Table8[[#This Row],[Admin2PCODE]:[Admin2PCODE]],tblPiNAnalysis[[Admin2PCODE]:[Admin2PCODE]],tblPiNAnalysis[PiN preliminar],0,0)</f>
        <v>0</v>
      </c>
      <c r="W213" s="308" cm="1">
        <f t="array" ref="W213">_xlfn.XLOOKUP(Table8[[#This Row],[Admin2PCODE]],tblPiNAnalysis[Admin2PCODE],tblSeverityAnalysis[Severidad media],0,0)</f>
        <v>2.1666666666666665</v>
      </c>
      <c r="X213" s="42">
        <f>Table8[[#This Row],[Severidad media]]*6</f>
        <v>13</v>
      </c>
      <c r="Y213" s="6" cm="1">
        <f t="array" ref="Y213">_xlfn.XLOOKUP(Table8[[#This Row],[Admin2PCODE]],tblPiNAnalysis[Admin2PCODE],tblPiNAnalysis[% PiN Sectores más altos],0,0)</f>
        <v>0.6</v>
      </c>
      <c r="Z213" s="42" cm="1">
        <f t="array" ref="Z213">_xlfn.XLOOKUP(Table8[[#This Row],[Admin2PCODE]:[Admin2PCODE]],tblPiNAnalysis[[Admin2PCODE]:[Admin2PCODE]],tblPiNAnalysis[Severidad],0,0)</f>
        <v>2</v>
      </c>
      <c r="AA213">
        <f>_xlfn.XLOOKUP(Table8[[#This Row],[Admin2PCODE]],tblSeverityAnalysis[Admin 2 Código P],tblSeverityAnalysis[Severidad Ttotal 2025],0,0)</f>
        <v>3</v>
      </c>
      <c r="AB213" t="str">
        <f>_xlfn.XLOOKUP(Table8[[#This Row],[Admin2PCODE]],tblSeverityAnalysis[Admin 2 Código P],tblSeverityAnalysis[Priorización Final 2025],0,0)</f>
        <v>No</v>
      </c>
      <c r="AC213">
        <v>1</v>
      </c>
      <c r="AD213" t="s">
        <v>952</v>
      </c>
      <c r="AE213">
        <v>1</v>
      </c>
      <c r="AF213">
        <v>0</v>
      </c>
      <c r="AG213">
        <v>0</v>
      </c>
      <c r="AH213">
        <v>0</v>
      </c>
      <c r="AI213">
        <v>0</v>
      </c>
      <c r="AJ213">
        <v>1</v>
      </c>
      <c r="AK213">
        <v>0</v>
      </c>
      <c r="AL213">
        <v>0</v>
      </c>
      <c r="AM213">
        <v>0</v>
      </c>
      <c r="AN213">
        <v>0</v>
      </c>
      <c r="AO213" s="314">
        <f>Table8[[#This Row],[N° Clústeres con respuesta]]/Table8[[#This Row],[Org Total]]</f>
        <v>1</v>
      </c>
      <c r="AP213" s="313">
        <v>5670</v>
      </c>
      <c r="AQ213" s="313">
        <v>5</v>
      </c>
      <c r="AR213" s="312">
        <f>Table8[[#This Row],[Alcanzados Oct 2025]]/Table8[[#This Row],[Meta 2025]]</f>
        <v>8.8183421516754845E-4</v>
      </c>
      <c r="AS213" s="423">
        <v>0</v>
      </c>
      <c r="AT213" s="423">
        <v>0</v>
      </c>
      <c r="AU213" s="423">
        <v>0</v>
      </c>
      <c r="AV213" s="423">
        <v>0</v>
      </c>
      <c r="AW213" s="423">
        <v>5</v>
      </c>
      <c r="AX213" s="423">
        <v>0</v>
      </c>
      <c r="AY213" s="423">
        <v>0</v>
      </c>
      <c r="AZ213" s="423">
        <v>0</v>
      </c>
      <c r="BA213" s="42">
        <v>0</v>
      </c>
    </row>
    <row r="214" spans="1:53">
      <c r="A214" t="s">
        <v>513</v>
      </c>
      <c r="B214" t="s">
        <v>514</v>
      </c>
      <c r="C214" t="s">
        <v>221</v>
      </c>
      <c r="D214" t="s">
        <v>517</v>
      </c>
      <c r="E214" s="8">
        <v>28948</v>
      </c>
      <c r="F214" s="8">
        <v>2227</v>
      </c>
      <c r="G214" s="8">
        <v>825.50543134974737</v>
      </c>
      <c r="H214" s="8">
        <v>10566.02</v>
      </c>
      <c r="I214" s="8">
        <v>1866.5807147718033</v>
      </c>
      <c r="J214" s="8">
        <v>5812.0702216150503</v>
      </c>
      <c r="K214" s="8">
        <v>17368.8</v>
      </c>
      <c r="L214" s="8">
        <v>1859.8624709168162</v>
      </c>
      <c r="M214" s="8">
        <v>2034.2245775652677</v>
      </c>
      <c r="N214" s="6" cm="1">
        <f t="array" ref="N214">_xlfn.XLOOKUP(Table8[[#This Row],[Admin2PCODE]:[Admin2PCODE]],tblPiNAnalysis[[Admin2PCODE]:[Admin2PCODE]],tblPiNAnalysis[% SAMV],0,0)</f>
        <v>0.1</v>
      </c>
      <c r="O214" s="6" cm="1">
        <f t="array" ref="O214">_xlfn.XLOOKUP(Table8[[#This Row],[Admin2PCODE]:[Admin2PCODE]],tblPiNAnalysis[[Admin2PCODE]:[Admin2PCODE]],tblPiNAnalysis[% NUT],0,0)</f>
        <v>0.05</v>
      </c>
      <c r="P214" s="6" cm="1">
        <f t="array" ref="P214">_xlfn.XLOOKUP(Table8[[#This Row],[Admin2PCODE]:[Admin2PCODE]],tblPiNAnalysis[[Admin2PCODE]:[Admin2PCODE]],tblPiNAnalysis[% SAL],0,0)</f>
        <v>0.35000000000000003</v>
      </c>
      <c r="Q214" s="6" cm="1">
        <f t="array" ref="Q214">_xlfn.XLOOKUP(Table8[[#This Row],[Admin2PCODE]:[Admin2PCODE]],tblPiNAnalysis[[Admin2PCODE]:[Admin2PCODE]],tblPiNAnalysis[% EDU],0,0)</f>
        <v>0.05</v>
      </c>
      <c r="R214" s="6" cm="1">
        <f t="array" ref="R214">_xlfn.XLOOKUP(Table8[[#This Row],[Admin2PCODE]:[Admin2PCODE]],tblPiNAnalysis[[Admin2PCODE]:[Admin2PCODE]],tblPiNAnalysis[% PRO],0,0)</f>
        <v>0.2</v>
      </c>
      <c r="S214" s="6" cm="1">
        <f t="array" ref="S214">_xlfn.XLOOKUP(Table8[[#This Row],[Admin2PCODE]:[Admin2PCODE]],tblPiNAnalysis[[Admin2PCODE]:[Admin2PCODE]],tblPiNAnalysis[% WASH],0,0)</f>
        <v>0.60000000000000009</v>
      </c>
      <c r="T214" s="6" cm="1">
        <f t="array" ref="T214">_xlfn.XLOOKUP(Table8[[#This Row],[Admin2PCODE]:[Admin2PCODE]],tblPiNAnalysis[[Admin2PCODE]:[Admin2PCODE]],tblPiNAnalysis[% NNA],0,0)</f>
        <v>0.05</v>
      </c>
      <c r="U214" s="6" cm="1">
        <f t="array" ref="U214">_xlfn.XLOOKUP(Table8[[#This Row],[Admin2PCODE]:[Admin2PCODE]],tblPiNAnalysis[[Admin2PCODE]:[Admin2PCODE]],tblPiNAnalysis[% VBG],0,0)</f>
        <v>0.05</v>
      </c>
      <c r="V214" s="8" cm="1">
        <f t="array" ref="V214">_xlfn.XLOOKUP(Table8[[#This Row],[Admin2PCODE]:[Admin2PCODE]],tblPiNAnalysis[[Admin2PCODE]:[Admin2PCODE]],tblPiNAnalysis[PiN preliminar],0,0)</f>
        <v>17368.8</v>
      </c>
      <c r="W214" s="308" cm="1">
        <f t="array" ref="W214">_xlfn.XLOOKUP(Table8[[#This Row],[Admin2PCODE]],tblPiNAnalysis[Admin2PCODE],tblSeverityAnalysis[Severidad media],0,0)</f>
        <v>3.3333333333333335</v>
      </c>
      <c r="X214" s="42">
        <f>Table8[[#This Row],[Severidad media]]*6</f>
        <v>20</v>
      </c>
      <c r="Y214" s="6" cm="1">
        <f t="array" ref="Y214">_xlfn.XLOOKUP(Table8[[#This Row],[Admin2PCODE]],tblPiNAnalysis[Admin2PCODE],tblPiNAnalysis[% PiN Sectores más altos],0,0)</f>
        <v>0.6</v>
      </c>
      <c r="Z214" s="42" cm="1">
        <f t="array" ref="Z214">_xlfn.XLOOKUP(Table8[[#This Row],[Admin2PCODE]:[Admin2PCODE]],tblPiNAnalysis[[Admin2PCODE]:[Admin2PCODE]],tblPiNAnalysis[Severidad],0,0)</f>
        <v>3</v>
      </c>
      <c r="AA214">
        <f>_xlfn.XLOOKUP(Table8[[#This Row],[Admin2PCODE]],tblSeverityAnalysis[Admin 2 Código P],tblSeverityAnalysis[Severidad Ttotal 2025],0,0)</f>
        <v>3</v>
      </c>
      <c r="AB214" t="str">
        <f>_xlfn.XLOOKUP(Table8[[#This Row],[Admin2PCODE]],tblSeverityAnalysis[Admin 2 Código P],tblSeverityAnalysis[Priorización Final 2025],0,0)</f>
        <v>No</v>
      </c>
      <c r="AC214">
        <v>2</v>
      </c>
      <c r="AD214" t="s">
        <v>991</v>
      </c>
      <c r="AE214">
        <v>3</v>
      </c>
      <c r="AF214">
        <v>0</v>
      </c>
      <c r="AG214">
        <v>0</v>
      </c>
      <c r="AH214">
        <v>0</v>
      </c>
      <c r="AI214">
        <v>0</v>
      </c>
      <c r="AJ214">
        <v>2</v>
      </c>
      <c r="AK214">
        <v>0</v>
      </c>
      <c r="AL214">
        <v>1</v>
      </c>
      <c r="AM214">
        <v>0</v>
      </c>
      <c r="AN214">
        <v>0</v>
      </c>
      <c r="AO214" s="314">
        <f>Table8[[#This Row],[N° Clústeres con respuesta]]/Table8[[#This Row],[Org Total]]</f>
        <v>0.66666666666666663</v>
      </c>
      <c r="AP214" s="313">
        <v>6758</v>
      </c>
      <c r="AQ214" s="313">
        <v>2</v>
      </c>
      <c r="AR214" s="312">
        <f>Table8[[#This Row],[Alcanzados Oct 2025]]/Table8[[#This Row],[Meta 2025]]</f>
        <v>2.9594554601953242E-4</v>
      </c>
      <c r="AS214" s="423">
        <v>0</v>
      </c>
      <c r="AT214" s="423">
        <v>0</v>
      </c>
      <c r="AU214" s="423">
        <v>0</v>
      </c>
      <c r="AV214" s="423">
        <v>0</v>
      </c>
      <c r="AW214" s="423">
        <v>1</v>
      </c>
      <c r="AX214" s="423">
        <v>0</v>
      </c>
      <c r="AY214" s="423">
        <v>1</v>
      </c>
      <c r="AZ214" s="423">
        <v>0</v>
      </c>
      <c r="BA214" s="42">
        <v>0</v>
      </c>
    </row>
    <row r="215" spans="1:53">
      <c r="A215" t="s">
        <v>513</v>
      </c>
      <c r="B215" t="s">
        <v>514</v>
      </c>
      <c r="C215" t="s">
        <v>518</v>
      </c>
      <c r="D215" t="s">
        <v>519</v>
      </c>
      <c r="E215" s="8">
        <v>73078</v>
      </c>
      <c r="F215" s="8">
        <v>2610</v>
      </c>
      <c r="G215" s="8">
        <v>1948.696026563121</v>
      </c>
      <c r="H215" s="8">
        <v>26673.47</v>
      </c>
      <c r="I215" s="8">
        <v>9683.3668470724515</v>
      </c>
      <c r="J215" s="8">
        <v>8803.3950736876777</v>
      </c>
      <c r="K215" s="8">
        <v>43846.799999999996</v>
      </c>
      <c r="L215" s="8">
        <v>2825.8898186537444</v>
      </c>
      <c r="M215" s="8">
        <v>3081.1882757906874</v>
      </c>
      <c r="N215" s="6" cm="1">
        <f t="array" ref="N215">_xlfn.XLOOKUP(Table8[[#This Row],[Admin2PCODE]:[Admin2PCODE]],tblPiNAnalysis[[Admin2PCODE]:[Admin2PCODE]],tblPiNAnalysis[% SAMV],0,0)</f>
        <v>0.05</v>
      </c>
      <c r="O215" s="6" cm="1">
        <f t="array" ref="O215">_xlfn.XLOOKUP(Table8[[#This Row],[Admin2PCODE]:[Admin2PCODE]],tblPiNAnalysis[[Admin2PCODE]:[Admin2PCODE]],tblPiNAnalysis[% NUT],0,0)</f>
        <v>0.05</v>
      </c>
      <c r="P215" s="6" cm="1">
        <f t="array" ref="P215">_xlfn.XLOOKUP(Table8[[#This Row],[Admin2PCODE]:[Admin2PCODE]],tblPiNAnalysis[[Admin2PCODE]:[Admin2PCODE]],tblPiNAnalysis[% SAL],0,0)</f>
        <v>0.35000000000000003</v>
      </c>
      <c r="Q215" s="6" cm="1">
        <f t="array" ref="Q215">_xlfn.XLOOKUP(Table8[[#This Row],[Admin2PCODE]:[Admin2PCODE]],tblPiNAnalysis[[Admin2PCODE]:[Admin2PCODE]],tblPiNAnalysis[% EDU],0,0)</f>
        <v>0.15000000000000002</v>
      </c>
      <c r="R215" s="6" cm="1">
        <f t="array" ref="R215">_xlfn.XLOOKUP(Table8[[#This Row],[Admin2PCODE]:[Admin2PCODE]],tblPiNAnalysis[[Admin2PCODE]:[Admin2PCODE]],tblPiNAnalysis[% PRO],0,0)</f>
        <v>0.1</v>
      </c>
      <c r="S215" s="6" cm="1">
        <f t="array" ref="S215">_xlfn.XLOOKUP(Table8[[#This Row],[Admin2PCODE]:[Admin2PCODE]],tblPiNAnalysis[[Admin2PCODE]:[Admin2PCODE]],tblPiNAnalysis[% WASH],0,0)</f>
        <v>0.60000000000000009</v>
      </c>
      <c r="T215" s="6" cm="1">
        <f t="array" ref="T215">_xlfn.XLOOKUP(Table8[[#This Row],[Admin2PCODE]:[Admin2PCODE]],tblPiNAnalysis[[Admin2PCODE]:[Admin2PCODE]],tblPiNAnalysis[% NNA],0,0)</f>
        <v>0.05</v>
      </c>
      <c r="U215" s="6" cm="1">
        <f t="array" ref="U215">_xlfn.XLOOKUP(Table8[[#This Row],[Admin2PCODE]:[Admin2PCODE]],tblPiNAnalysis[[Admin2PCODE]:[Admin2PCODE]],tblPiNAnalysis[% VBG],0,0)</f>
        <v>0.05</v>
      </c>
      <c r="V215" s="8" cm="1">
        <f t="array" ref="V215">_xlfn.XLOOKUP(Table8[[#This Row],[Admin2PCODE]:[Admin2PCODE]],tblPiNAnalysis[[Admin2PCODE]:[Admin2PCODE]],tblPiNAnalysis[PiN preliminar],0,0)</f>
        <v>43846.799999999996</v>
      </c>
      <c r="W215" s="308" cm="1">
        <f t="array" ref="W215">_xlfn.XLOOKUP(Table8[[#This Row],[Admin2PCODE]],tblPiNAnalysis[Admin2PCODE],tblSeverityAnalysis[Severidad media],0,0)</f>
        <v>2</v>
      </c>
      <c r="X215" s="42">
        <f>Table8[[#This Row],[Severidad media]]*6</f>
        <v>12</v>
      </c>
      <c r="Y215" s="6" cm="1">
        <f t="array" ref="Y215">_xlfn.XLOOKUP(Table8[[#This Row],[Admin2PCODE]],tblPiNAnalysis[Admin2PCODE],tblPiNAnalysis[% PiN Sectores más altos],0,0)</f>
        <v>0.6</v>
      </c>
      <c r="Z215" s="42" cm="1">
        <f t="array" ref="Z215">_xlfn.XLOOKUP(Table8[[#This Row],[Admin2PCODE]:[Admin2PCODE]],tblPiNAnalysis[[Admin2PCODE]:[Admin2PCODE]],tblPiNAnalysis[Severidad],0,0)</f>
        <v>3</v>
      </c>
      <c r="AA215">
        <f>_xlfn.XLOOKUP(Table8[[#This Row],[Admin2PCODE]],tblSeverityAnalysis[Admin 2 Código P],tblSeverityAnalysis[Severidad Ttotal 2025],0,0)</f>
        <v>3</v>
      </c>
      <c r="AB215" t="str">
        <f>_xlfn.XLOOKUP(Table8[[#This Row],[Admin2PCODE]],tblSeverityAnalysis[Admin 2 Código P],tblSeverityAnalysis[Priorización Final 2025],0,0)</f>
        <v>No</v>
      </c>
      <c r="AC215">
        <v>2</v>
      </c>
      <c r="AD215" t="s">
        <v>991</v>
      </c>
      <c r="AE215">
        <v>3</v>
      </c>
      <c r="AF215">
        <v>0</v>
      </c>
      <c r="AG215">
        <v>0</v>
      </c>
      <c r="AH215">
        <v>0</v>
      </c>
      <c r="AI215">
        <v>0</v>
      </c>
      <c r="AJ215">
        <v>1</v>
      </c>
      <c r="AK215">
        <v>0</v>
      </c>
      <c r="AL215">
        <v>3</v>
      </c>
      <c r="AM215">
        <v>0</v>
      </c>
      <c r="AN215">
        <v>0</v>
      </c>
      <c r="AO215" s="314">
        <f>Table8[[#This Row],[N° Clústeres con respuesta]]/Table8[[#This Row],[Org Total]]</f>
        <v>0.66666666666666663</v>
      </c>
      <c r="AP215" s="313">
        <v>12006</v>
      </c>
      <c r="AQ215" s="313">
        <v>56</v>
      </c>
      <c r="AR215" s="312">
        <f>Table8[[#This Row],[Alcanzados Oct 2025]]/Table8[[#This Row],[Meta 2025]]</f>
        <v>4.6643344994169583E-3</v>
      </c>
      <c r="AS215" s="423">
        <v>0</v>
      </c>
      <c r="AT215" s="423">
        <v>0</v>
      </c>
      <c r="AU215" s="423">
        <v>0</v>
      </c>
      <c r="AV215" s="423">
        <v>0</v>
      </c>
      <c r="AW215" s="423">
        <v>9</v>
      </c>
      <c r="AX215" s="423">
        <v>0</v>
      </c>
      <c r="AY215" s="423">
        <v>55</v>
      </c>
      <c r="AZ215" s="423">
        <v>0</v>
      </c>
      <c r="BA215" s="42">
        <v>0</v>
      </c>
    </row>
    <row r="216" spans="1:53">
      <c r="A216" t="s">
        <v>513</v>
      </c>
      <c r="B216" t="s">
        <v>514</v>
      </c>
      <c r="C216" t="s">
        <v>520</v>
      </c>
      <c r="D216" t="s">
        <v>521</v>
      </c>
      <c r="E216" s="8">
        <v>70041</v>
      </c>
      <c r="F216" s="8">
        <v>15565</v>
      </c>
      <c r="G216" s="8">
        <v>1866.381352977661</v>
      </c>
      <c r="H216" s="8">
        <v>25564.965</v>
      </c>
      <c r="I216" s="8">
        <v>9979.9957340485653</v>
      </c>
      <c r="J216" s="8">
        <v>8437.5406326960037</v>
      </c>
      <c r="K216" s="8">
        <v>42024.6</v>
      </c>
      <c r="L216" s="8">
        <v>2700.0130024627215</v>
      </c>
      <c r="M216" s="8">
        <v>2953.1392214436009</v>
      </c>
      <c r="N216" s="6" cm="1">
        <f t="array" ref="N216">_xlfn.XLOOKUP(Table8[[#This Row],[Admin2PCODE]:[Admin2PCODE]],tblPiNAnalysis[[Admin2PCODE]:[Admin2PCODE]],tblPiNAnalysis[% SAMV],0,0)</f>
        <v>0.2</v>
      </c>
      <c r="O216" s="6" cm="1">
        <f t="array" ref="O216">_xlfn.XLOOKUP(Table8[[#This Row],[Admin2PCODE]:[Admin2PCODE]],tblPiNAnalysis[[Admin2PCODE]:[Admin2PCODE]],tblPiNAnalysis[% NUT],0,0)</f>
        <v>0.05</v>
      </c>
      <c r="P216" s="6" cm="1">
        <f t="array" ref="P216">_xlfn.XLOOKUP(Table8[[#This Row],[Admin2PCODE]:[Admin2PCODE]],tblPiNAnalysis[[Admin2PCODE]:[Admin2PCODE]],tblPiNAnalysis[% SAL],0,0)</f>
        <v>0.35000000000000003</v>
      </c>
      <c r="Q216" s="6" cm="1">
        <f t="array" ref="Q216">_xlfn.XLOOKUP(Table8[[#This Row],[Admin2PCODE]:[Admin2PCODE]],tblPiNAnalysis[[Admin2PCODE]:[Admin2PCODE]],tblPiNAnalysis[% EDU],0,0)</f>
        <v>0.15000000000000002</v>
      </c>
      <c r="R216" s="6" cm="1">
        <f t="array" ref="R216">_xlfn.XLOOKUP(Table8[[#This Row],[Admin2PCODE]:[Admin2PCODE]],tblPiNAnalysis[[Admin2PCODE]:[Admin2PCODE]],tblPiNAnalysis[% PRO],0,0)</f>
        <v>0.1</v>
      </c>
      <c r="S216" s="6" cm="1">
        <f t="array" ref="S216">_xlfn.XLOOKUP(Table8[[#This Row],[Admin2PCODE]:[Admin2PCODE]],tblPiNAnalysis[[Admin2PCODE]:[Admin2PCODE]],tblPiNAnalysis[% WASH],0,0)</f>
        <v>0.60000000000000009</v>
      </c>
      <c r="T216" s="6" cm="1">
        <f t="array" ref="T216">_xlfn.XLOOKUP(Table8[[#This Row],[Admin2PCODE]:[Admin2PCODE]],tblPiNAnalysis[[Admin2PCODE]:[Admin2PCODE]],tblPiNAnalysis[% NNA],0,0)</f>
        <v>0.05</v>
      </c>
      <c r="U216" s="6" cm="1">
        <f t="array" ref="U216">_xlfn.XLOOKUP(Table8[[#This Row],[Admin2PCODE]:[Admin2PCODE]],tblPiNAnalysis[[Admin2PCODE]:[Admin2PCODE]],tblPiNAnalysis[% VBG],0,0)</f>
        <v>0.05</v>
      </c>
      <c r="V216" s="8" cm="1">
        <f t="array" ref="V216">_xlfn.XLOOKUP(Table8[[#This Row],[Admin2PCODE]:[Admin2PCODE]],tblPiNAnalysis[[Admin2PCODE]:[Admin2PCODE]],tblPiNAnalysis[PiN preliminar],0,0)</f>
        <v>42024.6</v>
      </c>
      <c r="W216" s="308" cm="1">
        <f t="array" ref="W216">_xlfn.XLOOKUP(Table8[[#This Row],[Admin2PCODE]],tblPiNAnalysis[Admin2PCODE],tblSeverityAnalysis[Severidad media],0,0)</f>
        <v>2.3333333333333335</v>
      </c>
      <c r="X216" s="42">
        <f>Table8[[#This Row],[Severidad media]]*6</f>
        <v>14</v>
      </c>
      <c r="Y216" s="6" cm="1">
        <f t="array" ref="Y216">_xlfn.XLOOKUP(Table8[[#This Row],[Admin2PCODE]],tblPiNAnalysis[Admin2PCODE],tblPiNAnalysis[% PiN Sectores más altos],0,0)</f>
        <v>0.6</v>
      </c>
      <c r="Z216" s="42" cm="1">
        <f t="array" ref="Z216">_xlfn.XLOOKUP(Table8[[#This Row],[Admin2PCODE]:[Admin2PCODE]],tblPiNAnalysis[[Admin2PCODE]:[Admin2PCODE]],tblPiNAnalysis[Severidad],0,0)</f>
        <v>3</v>
      </c>
      <c r="AA216">
        <f>_xlfn.XLOOKUP(Table8[[#This Row],[Admin2PCODE]],tblSeverityAnalysis[Admin 2 Código P],tblSeverityAnalysis[Severidad Ttotal 2025],0,0)</f>
        <v>3</v>
      </c>
      <c r="AB216" t="str">
        <f>_xlfn.XLOOKUP(Table8[[#This Row],[Admin2PCODE]],tblSeverityAnalysis[Admin 2 Código P],tblSeverityAnalysis[Priorización Final 2025],0,0)</f>
        <v>No</v>
      </c>
      <c r="AC216">
        <v>1</v>
      </c>
      <c r="AD216" t="s">
        <v>1071</v>
      </c>
      <c r="AE216">
        <v>1</v>
      </c>
      <c r="AF216">
        <v>0</v>
      </c>
      <c r="AG216">
        <v>0</v>
      </c>
      <c r="AH216">
        <v>0</v>
      </c>
      <c r="AI216">
        <v>0</v>
      </c>
      <c r="AJ216">
        <v>0</v>
      </c>
      <c r="AK216">
        <v>1</v>
      </c>
      <c r="AL216">
        <v>0</v>
      </c>
      <c r="AM216">
        <v>0</v>
      </c>
      <c r="AN216">
        <v>0</v>
      </c>
      <c r="AO216" s="314">
        <f>Table8[[#This Row],[N° Clústeres con respuesta]]/Table8[[#This Row],[Org Total]]</f>
        <v>1</v>
      </c>
      <c r="AP216" s="313">
        <v>11506</v>
      </c>
      <c r="AQ216" s="313">
        <v>35</v>
      </c>
      <c r="AR216" s="312">
        <f>Table8[[#This Row],[Alcanzados Oct 2025]]/Table8[[#This Row],[Meta 2025]]</f>
        <v>3.0418911872066748E-3</v>
      </c>
      <c r="AS216" s="423">
        <v>0</v>
      </c>
      <c r="AT216" s="423">
        <v>0</v>
      </c>
      <c r="AU216" s="423">
        <v>0</v>
      </c>
      <c r="AV216" s="423">
        <v>0</v>
      </c>
      <c r="AW216" s="423">
        <v>0</v>
      </c>
      <c r="AX216" s="423">
        <v>35</v>
      </c>
      <c r="AY216" s="423">
        <v>0</v>
      </c>
      <c r="AZ216" s="423">
        <v>0</v>
      </c>
      <c r="BA216" s="42">
        <v>0</v>
      </c>
    </row>
    <row r="217" spans="1:53">
      <c r="A217" t="s">
        <v>513</v>
      </c>
      <c r="B217" t="s">
        <v>514</v>
      </c>
      <c r="C217" t="s">
        <v>522</v>
      </c>
      <c r="D217" t="s">
        <v>523</v>
      </c>
      <c r="E217" s="8">
        <v>41323</v>
      </c>
      <c r="F217" s="8">
        <v>5165</v>
      </c>
      <c r="G217" s="8">
        <v>1201.0811480764187</v>
      </c>
      <c r="H217" s="8">
        <v>15082.895</v>
      </c>
      <c r="I217" s="8">
        <v>5321.9602595917095</v>
      </c>
      <c r="J217" s="8">
        <v>4978.0056190645055</v>
      </c>
      <c r="K217" s="8">
        <v>24793.8</v>
      </c>
      <c r="L217" s="8">
        <v>1592.9617981006418</v>
      </c>
      <c r="M217" s="8">
        <v>1742.3019666725768</v>
      </c>
      <c r="N217" s="6" cm="1">
        <f t="array" ref="N217">_xlfn.XLOOKUP(Table8[[#This Row],[Admin2PCODE]:[Admin2PCODE]],tblPiNAnalysis[[Admin2PCODE]:[Admin2PCODE]],tblPiNAnalysis[% SAMV],0,0)</f>
        <v>0.1</v>
      </c>
      <c r="O217" s="6" cm="1">
        <f t="array" ref="O217">_xlfn.XLOOKUP(Table8[[#This Row],[Admin2PCODE]:[Admin2PCODE]],tblPiNAnalysis[[Admin2PCODE]:[Admin2PCODE]],tblPiNAnalysis[% NUT],0,0)</f>
        <v>0.05</v>
      </c>
      <c r="P217" s="6" cm="1">
        <f t="array" ref="P217">_xlfn.XLOOKUP(Table8[[#This Row],[Admin2PCODE]:[Admin2PCODE]],tblPiNAnalysis[[Admin2PCODE]:[Admin2PCODE]],tblPiNAnalysis[% SAL],0,0)</f>
        <v>0.35000000000000003</v>
      </c>
      <c r="Q217" s="6" cm="1">
        <f t="array" ref="Q217">_xlfn.XLOOKUP(Table8[[#This Row],[Admin2PCODE]:[Admin2PCODE]],tblPiNAnalysis[[Admin2PCODE]:[Admin2PCODE]],tblPiNAnalysis[% EDU],0,0)</f>
        <v>0.15000000000000002</v>
      </c>
      <c r="R217" s="6" cm="1">
        <f t="array" ref="R217">_xlfn.XLOOKUP(Table8[[#This Row],[Admin2PCODE]:[Admin2PCODE]],tblPiNAnalysis[[Admin2PCODE]:[Admin2PCODE]],tblPiNAnalysis[% PRO],0,0)</f>
        <v>0.1</v>
      </c>
      <c r="S217" s="6" cm="1">
        <f t="array" ref="S217">_xlfn.XLOOKUP(Table8[[#This Row],[Admin2PCODE]:[Admin2PCODE]],tblPiNAnalysis[[Admin2PCODE]:[Admin2PCODE]],tblPiNAnalysis[% WASH],0,0)</f>
        <v>0.60000000000000009</v>
      </c>
      <c r="T217" s="6" cm="1">
        <f t="array" ref="T217">_xlfn.XLOOKUP(Table8[[#This Row],[Admin2PCODE]:[Admin2PCODE]],tblPiNAnalysis[[Admin2PCODE]:[Admin2PCODE]],tblPiNAnalysis[% NNA],0,0)</f>
        <v>0.05</v>
      </c>
      <c r="U217" s="6" cm="1">
        <f t="array" ref="U217">_xlfn.XLOOKUP(Table8[[#This Row],[Admin2PCODE]:[Admin2PCODE]],tblPiNAnalysis[[Admin2PCODE]:[Admin2PCODE]],tblPiNAnalysis[% VBG],0,0)</f>
        <v>0.05</v>
      </c>
      <c r="V217" s="8" cm="1">
        <f t="array" ref="V217">_xlfn.XLOOKUP(Table8[[#This Row],[Admin2PCODE]:[Admin2PCODE]],tblPiNAnalysis[[Admin2PCODE]:[Admin2PCODE]],tblPiNAnalysis[PiN preliminar],0,0)</f>
        <v>0</v>
      </c>
      <c r="W217" s="308" cm="1">
        <f t="array" ref="W217">_xlfn.XLOOKUP(Table8[[#This Row],[Admin2PCODE]],tblPiNAnalysis[Admin2PCODE],tblSeverityAnalysis[Severidad media],0,0)</f>
        <v>2.5</v>
      </c>
      <c r="X217" s="42">
        <f>Table8[[#This Row],[Severidad media]]*6</f>
        <v>15</v>
      </c>
      <c r="Y217" s="6" cm="1">
        <f t="array" ref="Y217">_xlfn.XLOOKUP(Table8[[#This Row],[Admin2PCODE]],tblPiNAnalysis[Admin2PCODE],tblPiNAnalysis[% PiN Sectores más altos],0,0)</f>
        <v>0.6</v>
      </c>
      <c r="Z217" s="42" cm="1">
        <f t="array" ref="Z217">_xlfn.XLOOKUP(Table8[[#This Row],[Admin2PCODE]:[Admin2PCODE]],tblPiNAnalysis[[Admin2PCODE]:[Admin2PCODE]],tblPiNAnalysis[Severidad],0,0)</f>
        <v>2</v>
      </c>
      <c r="AA217">
        <f>_xlfn.XLOOKUP(Table8[[#This Row],[Admin2PCODE]],tblSeverityAnalysis[Admin 2 Código P],tblSeverityAnalysis[Severidad Ttotal 2025],0,0)</f>
        <v>3</v>
      </c>
      <c r="AB217" t="str">
        <f>_xlfn.XLOOKUP(Table8[[#This Row],[Admin2PCODE]],tblSeverityAnalysis[Admin 2 Código P],tblSeverityAnalysis[Priorización Final 2025],0,0)</f>
        <v>No</v>
      </c>
      <c r="AC217">
        <v>0</v>
      </c>
      <c r="AD217">
        <v>0</v>
      </c>
      <c r="AE217">
        <v>0</v>
      </c>
      <c r="AF217">
        <v>0</v>
      </c>
      <c r="AG217">
        <v>0</v>
      </c>
      <c r="AH217">
        <v>0</v>
      </c>
      <c r="AI217">
        <v>0</v>
      </c>
      <c r="AJ217">
        <v>0</v>
      </c>
      <c r="AK217">
        <v>0</v>
      </c>
      <c r="AL217">
        <v>0</v>
      </c>
      <c r="AM217">
        <v>0</v>
      </c>
      <c r="AN217">
        <v>0</v>
      </c>
      <c r="AO217" s="314" t="e">
        <f>Table8[[#This Row],[N° Clústeres con respuesta]]/Table8[[#This Row],[Org Total]]</f>
        <v>#DIV/0!</v>
      </c>
      <c r="AP217" s="313">
        <v>6789</v>
      </c>
      <c r="AQ217" s="313">
        <v>0</v>
      </c>
      <c r="AR217" s="312">
        <f>Table8[[#This Row],[Alcanzados Oct 2025]]/Table8[[#This Row],[Meta 2025]]</f>
        <v>0</v>
      </c>
      <c r="AS217" s="423">
        <v>0</v>
      </c>
      <c r="AT217" s="423">
        <v>0</v>
      </c>
      <c r="AU217" s="423">
        <v>0</v>
      </c>
      <c r="AV217" s="423">
        <v>0</v>
      </c>
      <c r="AW217" s="423">
        <v>0</v>
      </c>
      <c r="AX217" s="423">
        <v>0</v>
      </c>
      <c r="AY217" s="423">
        <v>0</v>
      </c>
      <c r="AZ217" s="423">
        <v>0</v>
      </c>
      <c r="BA217" s="42">
        <v>0</v>
      </c>
    </row>
    <row r="218" spans="1:53">
      <c r="A218" t="s">
        <v>513</v>
      </c>
      <c r="B218" t="s">
        <v>514</v>
      </c>
      <c r="C218" t="s">
        <v>524</v>
      </c>
      <c r="D218" t="s">
        <v>525</v>
      </c>
      <c r="E218" s="8">
        <v>50050</v>
      </c>
      <c r="F218" s="8">
        <v>8008</v>
      </c>
      <c r="G218" s="8">
        <v>1364.7572244034973</v>
      </c>
      <c r="H218" s="8">
        <v>18268.25</v>
      </c>
      <c r="I218" s="8">
        <v>6015.0133949058263</v>
      </c>
      <c r="J218" s="8">
        <v>2009.7700331064902</v>
      </c>
      <c r="K218" s="8">
        <v>30030</v>
      </c>
      <c r="L218" s="8">
        <v>643.1264105940769</v>
      </c>
      <c r="M218" s="8">
        <v>703.41951158727159</v>
      </c>
      <c r="N218" s="6" cm="1">
        <f t="array" ref="N218">_xlfn.XLOOKUP(Table8[[#This Row],[Admin2PCODE]:[Admin2PCODE]],tblPiNAnalysis[[Admin2PCODE]:[Admin2PCODE]],tblPiNAnalysis[% SAMV],0,0)</f>
        <v>0.15000000000000002</v>
      </c>
      <c r="O218" s="6" cm="1">
        <f t="array" ref="O218">_xlfn.XLOOKUP(Table8[[#This Row],[Admin2PCODE]:[Admin2PCODE]],tblPiNAnalysis[[Admin2PCODE]:[Admin2PCODE]],tblPiNAnalysis[% NUT],0,0)</f>
        <v>0.05</v>
      </c>
      <c r="P218" s="6" cm="1">
        <f t="array" ref="P218">_xlfn.XLOOKUP(Table8[[#This Row],[Admin2PCODE]:[Admin2PCODE]],tblPiNAnalysis[[Admin2PCODE]:[Admin2PCODE]],tblPiNAnalysis[% SAL],0,0)</f>
        <v>0.35000000000000003</v>
      </c>
      <c r="Q218" s="6" cm="1">
        <f t="array" ref="Q218">_xlfn.XLOOKUP(Table8[[#This Row],[Admin2PCODE]:[Admin2PCODE]],tblPiNAnalysis[[Admin2PCODE]:[Admin2PCODE]],tblPiNAnalysis[% EDU],0,0)</f>
        <v>0.1</v>
      </c>
      <c r="R218" s="6" cm="1">
        <f t="array" ref="R218">_xlfn.XLOOKUP(Table8[[#This Row],[Admin2PCODE]:[Admin2PCODE]],tblPiNAnalysis[[Admin2PCODE]:[Admin2PCODE]],tblPiNAnalysis[% PRO],0,0)</f>
        <v>0.05</v>
      </c>
      <c r="S218" s="6" cm="1">
        <f t="array" ref="S218">_xlfn.XLOOKUP(Table8[[#This Row],[Admin2PCODE]:[Admin2PCODE]],tblPiNAnalysis[[Admin2PCODE]:[Admin2PCODE]],tblPiNAnalysis[% WASH],0,0)</f>
        <v>0.60000000000000009</v>
      </c>
      <c r="T218" s="6" cm="1">
        <f t="array" ref="T218">_xlfn.XLOOKUP(Table8[[#This Row],[Admin2PCODE]:[Admin2PCODE]],tblPiNAnalysis[[Admin2PCODE]:[Admin2PCODE]],tblPiNAnalysis[% NNA],0,0)</f>
        <v>0</v>
      </c>
      <c r="U218" s="6" cm="1">
        <f t="array" ref="U218">_xlfn.XLOOKUP(Table8[[#This Row],[Admin2PCODE]:[Admin2PCODE]],tblPiNAnalysis[[Admin2PCODE]:[Admin2PCODE]],tblPiNAnalysis[% VBG],0,0)</f>
        <v>0</v>
      </c>
      <c r="V218" s="8" cm="1">
        <f t="array" ref="V218">_xlfn.XLOOKUP(Table8[[#This Row],[Admin2PCODE]:[Admin2PCODE]],tblPiNAnalysis[[Admin2PCODE]:[Admin2PCODE]],tblPiNAnalysis[PiN preliminar],0,0)</f>
        <v>0</v>
      </c>
      <c r="W218" s="308" cm="1">
        <f t="array" ref="W218">_xlfn.XLOOKUP(Table8[[#This Row],[Admin2PCODE]],tblPiNAnalysis[Admin2PCODE],tblSeverityAnalysis[Severidad media],0,0)</f>
        <v>2.6666666666666665</v>
      </c>
      <c r="X218" s="42">
        <f>Table8[[#This Row],[Severidad media]]*6</f>
        <v>16</v>
      </c>
      <c r="Y218" s="6" cm="1">
        <f t="array" ref="Y218">_xlfn.XLOOKUP(Table8[[#This Row],[Admin2PCODE]],tblPiNAnalysis[Admin2PCODE],tblPiNAnalysis[% PiN Sectores más altos],0,0)</f>
        <v>0.6</v>
      </c>
      <c r="Z218" s="42" cm="1">
        <f t="array" ref="Z218">_xlfn.XLOOKUP(Table8[[#This Row],[Admin2PCODE]:[Admin2PCODE]],tblPiNAnalysis[[Admin2PCODE]:[Admin2PCODE]],tblPiNAnalysis[Severidad],0,0)</f>
        <v>2</v>
      </c>
      <c r="AA218">
        <f>_xlfn.XLOOKUP(Table8[[#This Row],[Admin2PCODE]],tblSeverityAnalysis[Admin 2 Código P],tblSeverityAnalysis[Severidad Ttotal 2025],0,0)</f>
        <v>3</v>
      </c>
      <c r="AB218" t="str">
        <f>_xlfn.XLOOKUP(Table8[[#This Row],[Admin2PCODE]],tblSeverityAnalysis[Admin 2 Código P],tblSeverityAnalysis[Priorización Final 2025],0,0)</f>
        <v>No</v>
      </c>
      <c r="AC218">
        <v>2</v>
      </c>
      <c r="AD218" t="s">
        <v>991</v>
      </c>
      <c r="AE218">
        <v>6</v>
      </c>
      <c r="AF218">
        <v>0</v>
      </c>
      <c r="AG218">
        <v>0</v>
      </c>
      <c r="AH218">
        <v>0</v>
      </c>
      <c r="AI218">
        <v>0</v>
      </c>
      <c r="AJ218">
        <v>2</v>
      </c>
      <c r="AK218">
        <v>0</v>
      </c>
      <c r="AL218">
        <v>4</v>
      </c>
      <c r="AM218">
        <v>0</v>
      </c>
      <c r="AN218">
        <v>0</v>
      </c>
      <c r="AO218" s="314">
        <f>Table8[[#This Row],[N° Clústeres con respuesta]]/Table8[[#This Row],[Org Total]]</f>
        <v>0.33333333333333331</v>
      </c>
      <c r="AP218" s="313">
        <v>8224</v>
      </c>
      <c r="AQ218" s="313">
        <v>24</v>
      </c>
      <c r="AR218" s="312">
        <f>Table8[[#This Row],[Alcanzados Oct 2025]]/Table8[[#This Row],[Meta 2025]]</f>
        <v>2.9182879377431907E-3</v>
      </c>
      <c r="AS218" s="423">
        <v>0</v>
      </c>
      <c r="AT218" s="423">
        <v>0</v>
      </c>
      <c r="AU218" s="423">
        <v>0</v>
      </c>
      <c r="AV218" s="423">
        <v>0</v>
      </c>
      <c r="AW218" s="423">
        <v>2</v>
      </c>
      <c r="AX218" s="423">
        <v>0</v>
      </c>
      <c r="AY218" s="423">
        <v>22</v>
      </c>
      <c r="AZ218" s="423">
        <v>0</v>
      </c>
      <c r="BA218" s="42">
        <v>0</v>
      </c>
    </row>
    <row r="219" spans="1:53">
      <c r="A219" t="s">
        <v>513</v>
      </c>
      <c r="B219" t="s">
        <v>514</v>
      </c>
      <c r="C219" t="s">
        <v>526</v>
      </c>
      <c r="D219" t="s">
        <v>527</v>
      </c>
      <c r="E219" s="8">
        <v>36496</v>
      </c>
      <c r="F219" s="8">
        <v>5725</v>
      </c>
      <c r="G219" s="8">
        <v>1042.5382410310722</v>
      </c>
      <c r="H219" s="8">
        <v>13321.04</v>
      </c>
      <c r="I219" s="8">
        <v>2403.5124428855265</v>
      </c>
      <c r="J219" s="8">
        <v>1465.5058367283609</v>
      </c>
      <c r="K219" s="8">
        <v>21897.599999999999</v>
      </c>
      <c r="L219" s="8">
        <v>470.42737358980389</v>
      </c>
      <c r="M219" s="8">
        <v>512.9270428549263</v>
      </c>
      <c r="N219" s="6" cm="1">
        <f t="array" ref="N219">_xlfn.XLOOKUP(Table8[[#This Row],[Admin2PCODE]:[Admin2PCODE]],tblPiNAnalysis[[Admin2PCODE]:[Admin2PCODE]],tblPiNAnalysis[% SAMV],0,0)</f>
        <v>0.15000000000000002</v>
      </c>
      <c r="O219" s="6" cm="1">
        <f t="array" ref="O219">_xlfn.XLOOKUP(Table8[[#This Row],[Admin2PCODE]:[Admin2PCODE]],tblPiNAnalysis[[Admin2PCODE]:[Admin2PCODE]],tblPiNAnalysis[% NUT],0,0)</f>
        <v>0.05</v>
      </c>
      <c r="P219" s="6" cm="1">
        <f t="array" ref="P219">_xlfn.XLOOKUP(Table8[[#This Row],[Admin2PCODE]:[Admin2PCODE]],tblPiNAnalysis[[Admin2PCODE]:[Admin2PCODE]],tblPiNAnalysis[% SAL],0,0)</f>
        <v>0.35000000000000003</v>
      </c>
      <c r="Q219" s="6" cm="1">
        <f t="array" ref="Q219">_xlfn.XLOOKUP(Table8[[#This Row],[Admin2PCODE]:[Admin2PCODE]],tblPiNAnalysis[[Admin2PCODE]:[Admin2PCODE]],tblPiNAnalysis[% EDU],0,0)</f>
        <v>0.05</v>
      </c>
      <c r="R219" s="6" cm="1">
        <f t="array" ref="R219">_xlfn.XLOOKUP(Table8[[#This Row],[Admin2PCODE]:[Admin2PCODE]],tblPiNAnalysis[[Admin2PCODE]:[Admin2PCODE]],tblPiNAnalysis[% PRO],0,0)</f>
        <v>0.05</v>
      </c>
      <c r="S219" s="6" cm="1">
        <f t="array" ref="S219">_xlfn.XLOOKUP(Table8[[#This Row],[Admin2PCODE]:[Admin2PCODE]],tblPiNAnalysis[[Admin2PCODE]:[Admin2PCODE]],tblPiNAnalysis[% WASH],0,0)</f>
        <v>0.60000000000000009</v>
      </c>
      <c r="T219" s="6" cm="1">
        <f t="array" ref="T219">_xlfn.XLOOKUP(Table8[[#This Row],[Admin2PCODE]:[Admin2PCODE]],tblPiNAnalysis[[Admin2PCODE]:[Admin2PCODE]],tblPiNAnalysis[% NNA],0,0)</f>
        <v>0</v>
      </c>
      <c r="U219" s="6" cm="1">
        <f t="array" ref="U219">_xlfn.XLOOKUP(Table8[[#This Row],[Admin2PCODE]:[Admin2PCODE]],tblPiNAnalysis[[Admin2PCODE]:[Admin2PCODE]],tblPiNAnalysis[% VBG],0,0)</f>
        <v>0</v>
      </c>
      <c r="V219" s="8" cm="1">
        <f t="array" ref="V219">_xlfn.XLOOKUP(Table8[[#This Row],[Admin2PCODE]:[Admin2PCODE]],tblPiNAnalysis[[Admin2PCODE]:[Admin2PCODE]],tblPiNAnalysis[PiN preliminar],0,0)</f>
        <v>0</v>
      </c>
      <c r="W219" s="308" cm="1">
        <f t="array" ref="W219">_xlfn.XLOOKUP(Table8[[#This Row],[Admin2PCODE]],tblPiNAnalysis[Admin2PCODE],tblSeverityAnalysis[Severidad media],0,0)</f>
        <v>2.1666666666666665</v>
      </c>
      <c r="X219" s="42">
        <f>Table8[[#This Row],[Severidad media]]*6</f>
        <v>13</v>
      </c>
      <c r="Y219" s="6" cm="1">
        <f t="array" ref="Y219">_xlfn.XLOOKUP(Table8[[#This Row],[Admin2PCODE]],tblPiNAnalysis[Admin2PCODE],tblPiNAnalysis[% PiN Sectores más altos],0,0)</f>
        <v>0.6</v>
      </c>
      <c r="Z219" s="42" cm="1">
        <f t="array" ref="Z219">_xlfn.XLOOKUP(Table8[[#This Row],[Admin2PCODE]:[Admin2PCODE]],tblPiNAnalysis[[Admin2PCODE]:[Admin2PCODE]],tblPiNAnalysis[Severidad],0,0)</f>
        <v>2</v>
      </c>
      <c r="AA219">
        <f>_xlfn.XLOOKUP(Table8[[#This Row],[Admin2PCODE]],tblSeverityAnalysis[Admin 2 Código P],tblSeverityAnalysis[Severidad Ttotal 2025],0,0)</f>
        <v>3</v>
      </c>
      <c r="AB219" t="str">
        <f>_xlfn.XLOOKUP(Table8[[#This Row],[Admin2PCODE]],tblSeverityAnalysis[Admin 2 Código P],tblSeverityAnalysis[Priorización Final 2025],0,0)</f>
        <v>No</v>
      </c>
      <c r="AC219">
        <v>2</v>
      </c>
      <c r="AD219" t="s">
        <v>991</v>
      </c>
      <c r="AE219">
        <v>1</v>
      </c>
      <c r="AF219">
        <v>0</v>
      </c>
      <c r="AG219">
        <v>0</v>
      </c>
      <c r="AH219">
        <v>0</v>
      </c>
      <c r="AI219">
        <v>0</v>
      </c>
      <c r="AJ219">
        <v>1</v>
      </c>
      <c r="AK219">
        <v>0</v>
      </c>
      <c r="AL219">
        <v>1</v>
      </c>
      <c r="AM219">
        <v>0</v>
      </c>
      <c r="AN219">
        <v>0</v>
      </c>
      <c r="AO219" s="314">
        <f>Table8[[#This Row],[N° Clústeres con respuesta]]/Table8[[#This Row],[Org Total]]</f>
        <v>2</v>
      </c>
      <c r="AP219" s="313">
        <v>8521</v>
      </c>
      <c r="AQ219" s="313">
        <v>17</v>
      </c>
      <c r="AR219" s="312">
        <f>Table8[[#This Row],[Alcanzados Oct 2025]]/Table8[[#This Row],[Meta 2025]]</f>
        <v>1.9950710010562139E-3</v>
      </c>
      <c r="AS219" s="423">
        <v>0</v>
      </c>
      <c r="AT219" s="423">
        <v>0</v>
      </c>
      <c r="AU219" s="423">
        <v>0</v>
      </c>
      <c r="AV219" s="423">
        <v>0</v>
      </c>
      <c r="AW219" s="423">
        <v>13</v>
      </c>
      <c r="AX219" s="423">
        <v>0</v>
      </c>
      <c r="AY219" s="423">
        <v>11</v>
      </c>
      <c r="AZ219" s="423">
        <v>0</v>
      </c>
      <c r="BA219" s="42">
        <v>0</v>
      </c>
    </row>
    <row r="220" spans="1:53">
      <c r="A220" t="s">
        <v>513</v>
      </c>
      <c r="B220" t="s">
        <v>514</v>
      </c>
      <c r="C220" t="s">
        <v>528</v>
      </c>
      <c r="D220" t="s">
        <v>529</v>
      </c>
      <c r="E220" s="8">
        <v>99867</v>
      </c>
      <c r="F220" s="8">
        <v>19419</v>
      </c>
      <c r="G220" s="8">
        <v>2890.6980307975059</v>
      </c>
      <c r="H220" s="8">
        <v>36451.455000000002</v>
      </c>
      <c r="I220" s="8">
        <v>6781.7569346061528</v>
      </c>
      <c r="J220" s="8">
        <v>12030.551682092657</v>
      </c>
      <c r="K220" s="8">
        <v>59920.2</v>
      </c>
      <c r="L220" s="8">
        <v>3849.7765382696502</v>
      </c>
      <c r="M220" s="8">
        <v>4210.6930887324297</v>
      </c>
      <c r="N220" s="6" cm="1">
        <f t="array" ref="N220">_xlfn.XLOOKUP(Table8[[#This Row],[Admin2PCODE]:[Admin2PCODE]],tblPiNAnalysis[[Admin2PCODE]:[Admin2PCODE]],tblPiNAnalysis[% SAMV],0,0)</f>
        <v>0.2</v>
      </c>
      <c r="O220" s="6" cm="1">
        <f t="array" ref="O220">_xlfn.XLOOKUP(Table8[[#This Row],[Admin2PCODE]:[Admin2PCODE]],tblPiNAnalysis[[Admin2PCODE]:[Admin2PCODE]],tblPiNAnalysis[% NUT],0,0)</f>
        <v>0.05</v>
      </c>
      <c r="P220" s="6" cm="1">
        <f t="array" ref="P220">_xlfn.XLOOKUP(Table8[[#This Row],[Admin2PCODE]:[Admin2PCODE]],tblPiNAnalysis[[Admin2PCODE]:[Admin2PCODE]],tblPiNAnalysis[% SAL],0,0)</f>
        <v>0.35000000000000003</v>
      </c>
      <c r="Q220" s="6" cm="1">
        <f t="array" ref="Q220">_xlfn.XLOOKUP(Table8[[#This Row],[Admin2PCODE]:[Admin2PCODE]],tblPiNAnalysis[[Admin2PCODE]:[Admin2PCODE]],tblPiNAnalysis[% EDU],0,0)</f>
        <v>0.05</v>
      </c>
      <c r="R220" s="6" cm="1">
        <f t="array" ref="R220">_xlfn.XLOOKUP(Table8[[#This Row],[Admin2PCODE]:[Admin2PCODE]],tblPiNAnalysis[[Admin2PCODE]:[Admin2PCODE]],tblPiNAnalysis[% PRO],0,0)</f>
        <v>0.1</v>
      </c>
      <c r="S220" s="6" cm="1">
        <f t="array" ref="S220">_xlfn.XLOOKUP(Table8[[#This Row],[Admin2PCODE]:[Admin2PCODE]],tblPiNAnalysis[[Admin2PCODE]:[Admin2PCODE]],tblPiNAnalysis[% WASH],0,0)</f>
        <v>0.60000000000000009</v>
      </c>
      <c r="T220" s="6" cm="1">
        <f t="array" ref="T220">_xlfn.XLOOKUP(Table8[[#This Row],[Admin2PCODE]:[Admin2PCODE]],tblPiNAnalysis[[Admin2PCODE]:[Admin2PCODE]],tblPiNAnalysis[% NNA],0,0)</f>
        <v>0.05</v>
      </c>
      <c r="U220" s="6" cm="1">
        <f t="array" ref="U220">_xlfn.XLOOKUP(Table8[[#This Row],[Admin2PCODE]:[Admin2PCODE]],tblPiNAnalysis[[Admin2PCODE]:[Admin2PCODE]],tblPiNAnalysis[% VBG],0,0)</f>
        <v>0.05</v>
      </c>
      <c r="V220" s="8" cm="1">
        <f t="array" ref="V220">_xlfn.XLOOKUP(Table8[[#This Row],[Admin2PCODE]:[Admin2PCODE]],tblPiNAnalysis[[Admin2PCODE]:[Admin2PCODE]],tblPiNAnalysis[PiN preliminar],0,0)</f>
        <v>0</v>
      </c>
      <c r="W220" s="308" cm="1">
        <f t="array" ref="W220">_xlfn.XLOOKUP(Table8[[#This Row],[Admin2PCODE]],tblPiNAnalysis[Admin2PCODE],tblSeverityAnalysis[Severidad media],0,0)</f>
        <v>2.3333333333333335</v>
      </c>
      <c r="X220" s="42">
        <f>Table8[[#This Row],[Severidad media]]*6</f>
        <v>14</v>
      </c>
      <c r="Y220" s="6" cm="1">
        <f t="array" ref="Y220">_xlfn.XLOOKUP(Table8[[#This Row],[Admin2PCODE]],tblPiNAnalysis[Admin2PCODE],tblPiNAnalysis[% PiN Sectores más altos],0,0)</f>
        <v>0.6</v>
      </c>
      <c r="Z220" s="42" cm="1">
        <f t="array" ref="Z220">_xlfn.XLOOKUP(Table8[[#This Row],[Admin2PCODE]:[Admin2PCODE]],tblPiNAnalysis[[Admin2PCODE]:[Admin2PCODE]],tblPiNAnalysis[Severidad],0,0)</f>
        <v>2</v>
      </c>
      <c r="AA220">
        <f>_xlfn.XLOOKUP(Table8[[#This Row],[Admin2PCODE]],tblSeverityAnalysis[Admin 2 Código P],tblSeverityAnalysis[Severidad Ttotal 2025],0,0)</f>
        <v>3</v>
      </c>
      <c r="AB220" t="str">
        <f>_xlfn.XLOOKUP(Table8[[#This Row],[Admin2PCODE]],tblSeverityAnalysis[Admin 2 Código P],tblSeverityAnalysis[Priorización Final 2025],0,0)</f>
        <v>No</v>
      </c>
      <c r="AC220">
        <v>2</v>
      </c>
      <c r="AD220" t="s">
        <v>1072</v>
      </c>
      <c r="AE220">
        <v>4</v>
      </c>
      <c r="AF220">
        <v>0</v>
      </c>
      <c r="AG220">
        <v>0</v>
      </c>
      <c r="AH220">
        <v>1</v>
      </c>
      <c r="AI220">
        <v>0</v>
      </c>
      <c r="AJ220">
        <v>3</v>
      </c>
      <c r="AK220">
        <v>0</v>
      </c>
      <c r="AL220">
        <v>0</v>
      </c>
      <c r="AM220">
        <v>0</v>
      </c>
      <c r="AN220">
        <v>0</v>
      </c>
      <c r="AO220" s="314">
        <f>Table8[[#This Row],[N° Clústeres con respuesta]]/Table8[[#This Row],[Org Total]]</f>
        <v>0.5</v>
      </c>
      <c r="AP220" s="313">
        <v>16408</v>
      </c>
      <c r="AQ220" s="313">
        <v>11</v>
      </c>
      <c r="AR220" s="312">
        <f>Table8[[#This Row],[Alcanzados Oct 2025]]/Table8[[#This Row],[Meta 2025]]</f>
        <v>6.7040468064358846E-4</v>
      </c>
      <c r="AS220" s="423">
        <v>0</v>
      </c>
      <c r="AT220" s="423">
        <v>0</v>
      </c>
      <c r="AU220" s="423">
        <v>1</v>
      </c>
      <c r="AV220" s="423">
        <v>0</v>
      </c>
      <c r="AW220" s="423">
        <v>11</v>
      </c>
      <c r="AX220" s="423">
        <v>1</v>
      </c>
      <c r="AY220" s="423">
        <v>0</v>
      </c>
      <c r="AZ220" s="423">
        <v>0</v>
      </c>
      <c r="BA220" s="42">
        <v>0</v>
      </c>
    </row>
    <row r="221" spans="1:53">
      <c r="A221" t="s">
        <v>513</v>
      </c>
      <c r="B221" t="s">
        <v>514</v>
      </c>
      <c r="C221" t="s">
        <v>818</v>
      </c>
      <c r="D221" t="s">
        <v>531</v>
      </c>
      <c r="E221" s="8">
        <v>27023</v>
      </c>
      <c r="F221" s="8">
        <v>450</v>
      </c>
      <c r="G221" s="8">
        <v>1000.7781082326004</v>
      </c>
      <c r="H221" s="8">
        <v>9863.3950000000004</v>
      </c>
      <c r="I221" s="8">
        <v>1166.3467736388704</v>
      </c>
      <c r="J221" s="8">
        <v>1085.1151968958382</v>
      </c>
      <c r="K221" s="8">
        <v>3648.105</v>
      </c>
      <c r="L221" s="8">
        <v>347.23686300666822</v>
      </c>
      <c r="M221" s="8">
        <v>379.79031891354339</v>
      </c>
      <c r="N221" s="6" cm="1">
        <f t="array" ref="N221">_xlfn.XLOOKUP(Table8[[#This Row],[Admin2PCODE]:[Admin2PCODE]],tblPiNAnalysis[[Admin2PCODE]:[Admin2PCODE]],tblPiNAnalysis[% SAMV],0,0)</f>
        <v>0</v>
      </c>
      <c r="O221" s="6" cm="1">
        <f t="array" ref="O221">_xlfn.XLOOKUP(Table8[[#This Row],[Admin2PCODE]:[Admin2PCODE]],tblPiNAnalysis[[Admin2PCODE]:[Admin2PCODE]],tblPiNAnalysis[% NUT],0,0)</f>
        <v>0.05</v>
      </c>
      <c r="P221" s="6" cm="1">
        <f t="array" ref="P221">_xlfn.XLOOKUP(Table8[[#This Row],[Admin2PCODE]:[Admin2PCODE]],tblPiNAnalysis[[Admin2PCODE]:[Admin2PCODE]],tblPiNAnalysis[% SAL],0,0)</f>
        <v>0.35000000000000003</v>
      </c>
      <c r="Q221" s="6" cm="1">
        <f t="array" ref="Q221">_xlfn.XLOOKUP(Table8[[#This Row],[Admin2PCODE]:[Admin2PCODE]],tblPiNAnalysis[[Admin2PCODE]:[Admin2PCODE]],tblPiNAnalysis[% EDU],0,0)</f>
        <v>0.05</v>
      </c>
      <c r="R221" s="6" cm="1">
        <f t="array" ref="R221">_xlfn.XLOOKUP(Table8[[#This Row],[Admin2PCODE]:[Admin2PCODE]],tblPiNAnalysis[[Admin2PCODE]:[Admin2PCODE]],tblPiNAnalysis[% PRO],0,0)</f>
        <v>0.05</v>
      </c>
      <c r="S221" s="6" cm="1">
        <f t="array" ref="S221">_xlfn.XLOOKUP(Table8[[#This Row],[Admin2PCODE]:[Admin2PCODE]],tblPiNAnalysis[[Admin2PCODE]:[Admin2PCODE]],tblPiNAnalysis[% WASH],0,0)</f>
        <v>0.15000000000000002</v>
      </c>
      <c r="T221" s="6" cm="1">
        <f t="array" ref="T221">_xlfn.XLOOKUP(Table8[[#This Row],[Admin2PCODE]:[Admin2PCODE]],tblPiNAnalysis[[Admin2PCODE]:[Admin2PCODE]],tblPiNAnalysis[% NNA],0,0)</f>
        <v>0</v>
      </c>
      <c r="U221" s="6" cm="1">
        <f t="array" ref="U221">_xlfn.XLOOKUP(Table8[[#This Row],[Admin2PCODE]:[Admin2PCODE]],tblPiNAnalysis[[Admin2PCODE]:[Admin2PCODE]],tblPiNAnalysis[% VBG],0,0)</f>
        <v>0</v>
      </c>
      <c r="V221" s="8" cm="1">
        <f t="array" ref="V221">_xlfn.XLOOKUP(Table8[[#This Row],[Admin2PCODE]:[Admin2PCODE]],tblPiNAnalysis[[Admin2PCODE]:[Admin2PCODE]],tblPiNAnalysis[PiN preliminar],0,0)</f>
        <v>9863.3950000000004</v>
      </c>
      <c r="W221" s="308" cm="1">
        <f t="array" ref="W221">_xlfn.XLOOKUP(Table8[[#This Row],[Admin2PCODE]],tblPiNAnalysis[Admin2PCODE],tblSeverityAnalysis[Severidad media],0,0)</f>
        <v>2.6666666666666665</v>
      </c>
      <c r="X221" s="42">
        <f>Table8[[#This Row],[Severidad media]]*6</f>
        <v>16</v>
      </c>
      <c r="Y221" s="6" cm="1">
        <f t="array" ref="Y221">_xlfn.XLOOKUP(Table8[[#This Row],[Admin2PCODE]],tblPiNAnalysis[Admin2PCODE],tblPiNAnalysis[% PiN Sectores más altos],0,0)</f>
        <v>0.36499999999999999</v>
      </c>
      <c r="Z221" s="42" cm="1">
        <f t="array" ref="Z221">_xlfn.XLOOKUP(Table8[[#This Row],[Admin2PCODE]:[Admin2PCODE]],tblPiNAnalysis[[Admin2PCODE]:[Admin2PCODE]],tblPiNAnalysis[Severidad],0,0)</f>
        <v>3</v>
      </c>
      <c r="AA221">
        <f>_xlfn.XLOOKUP(Table8[[#This Row],[Admin2PCODE]],tblSeverityAnalysis[Admin 2 Código P],tblSeverityAnalysis[Severidad Ttotal 2025],0,0)</f>
        <v>3</v>
      </c>
      <c r="AB221" t="str">
        <f>_xlfn.XLOOKUP(Table8[[#This Row],[Admin2PCODE]],tblSeverityAnalysis[Admin 2 Código P],tblSeverityAnalysis[Priorización Final 2025],0,0)</f>
        <v>No</v>
      </c>
      <c r="AC221">
        <v>0</v>
      </c>
      <c r="AD221">
        <v>0</v>
      </c>
      <c r="AE221">
        <v>0</v>
      </c>
      <c r="AF221">
        <v>0</v>
      </c>
      <c r="AG221">
        <v>0</v>
      </c>
      <c r="AH221">
        <v>0</v>
      </c>
      <c r="AI221">
        <v>0</v>
      </c>
      <c r="AJ221">
        <v>0</v>
      </c>
      <c r="AK221">
        <v>0</v>
      </c>
      <c r="AL221">
        <v>0</v>
      </c>
      <c r="AM221">
        <v>0</v>
      </c>
      <c r="AN221">
        <v>0</v>
      </c>
      <c r="AO221" s="314" t="e">
        <f>Table8[[#This Row],[N° Clústeres con respuesta]]/Table8[[#This Row],[Org Total]]</f>
        <v>#DIV/0!</v>
      </c>
      <c r="AP221" s="313">
        <v>6309</v>
      </c>
      <c r="AQ221" s="313">
        <v>3</v>
      </c>
      <c r="AR221" s="312">
        <f>Table8[[#This Row],[Alcanzados Oct 2025]]/Table8[[#This Row],[Meta 2025]]</f>
        <v>4.7551117451260106E-4</v>
      </c>
      <c r="AS221" s="423">
        <v>0</v>
      </c>
      <c r="AT221" s="423">
        <v>0</v>
      </c>
      <c r="AU221" s="423">
        <v>0</v>
      </c>
      <c r="AV221" s="423">
        <v>0</v>
      </c>
      <c r="AW221" s="423">
        <v>3</v>
      </c>
      <c r="AX221" s="423">
        <v>0</v>
      </c>
      <c r="AY221" s="423">
        <v>0</v>
      </c>
      <c r="AZ221" s="423">
        <v>0</v>
      </c>
      <c r="BA221" s="42">
        <v>0</v>
      </c>
    </row>
    <row r="222" spans="1:53">
      <c r="A222" t="s">
        <v>513</v>
      </c>
      <c r="B222" t="s">
        <v>514</v>
      </c>
      <c r="C222" t="s">
        <v>532</v>
      </c>
      <c r="D222" t="s">
        <v>533</v>
      </c>
      <c r="E222" s="8">
        <v>37758</v>
      </c>
      <c r="F222" s="8">
        <v>0</v>
      </c>
      <c r="G222" s="8">
        <v>1103.2166846083849</v>
      </c>
      <c r="H222" s="8">
        <v>13781.67</v>
      </c>
      <c r="I222" s="8">
        <v>2402.4245040400083</v>
      </c>
      <c r="J222" s="8">
        <v>4548.5452693327561</v>
      </c>
      <c r="K222" s="8">
        <v>22654.799999999999</v>
      </c>
      <c r="L222" s="8">
        <v>1455.5344861864819</v>
      </c>
      <c r="M222" s="8">
        <v>1591.9908442664644</v>
      </c>
      <c r="N222" s="6" cm="1">
        <f t="array" ref="N222">_xlfn.XLOOKUP(Table8[[#This Row],[Admin2PCODE]:[Admin2PCODE]],tblPiNAnalysis[[Admin2PCODE]:[Admin2PCODE]],tblPiNAnalysis[% SAMV],0,0)</f>
        <v>0</v>
      </c>
      <c r="O222" s="6" cm="1">
        <f t="array" ref="O222">_xlfn.XLOOKUP(Table8[[#This Row],[Admin2PCODE]:[Admin2PCODE]],tblPiNAnalysis[[Admin2PCODE]:[Admin2PCODE]],tblPiNAnalysis[% NUT],0,0)</f>
        <v>0.05</v>
      </c>
      <c r="P222" s="6" cm="1">
        <f t="array" ref="P222">_xlfn.XLOOKUP(Table8[[#This Row],[Admin2PCODE]:[Admin2PCODE]],tblPiNAnalysis[[Admin2PCODE]:[Admin2PCODE]],tblPiNAnalysis[% SAL],0,0)</f>
        <v>0.35000000000000003</v>
      </c>
      <c r="Q222" s="6" cm="1">
        <f t="array" ref="Q222">_xlfn.XLOOKUP(Table8[[#This Row],[Admin2PCODE]:[Admin2PCODE]],tblPiNAnalysis[[Admin2PCODE]:[Admin2PCODE]],tblPiNAnalysis[% EDU],0,0)</f>
        <v>0.05</v>
      </c>
      <c r="R222" s="6" cm="1">
        <f t="array" ref="R222">_xlfn.XLOOKUP(Table8[[#This Row],[Admin2PCODE]:[Admin2PCODE]],tblPiNAnalysis[[Admin2PCODE]:[Admin2PCODE]],tblPiNAnalysis[% PRO],0,0)</f>
        <v>0.1</v>
      </c>
      <c r="S222" s="6" cm="1">
        <f t="array" ref="S222">_xlfn.XLOOKUP(Table8[[#This Row],[Admin2PCODE]:[Admin2PCODE]],tblPiNAnalysis[[Admin2PCODE]:[Admin2PCODE]],tblPiNAnalysis[% WASH],0,0)</f>
        <v>0.60000000000000009</v>
      </c>
      <c r="T222" s="6" cm="1">
        <f t="array" ref="T222">_xlfn.XLOOKUP(Table8[[#This Row],[Admin2PCODE]:[Admin2PCODE]],tblPiNAnalysis[[Admin2PCODE]:[Admin2PCODE]],tblPiNAnalysis[% NNA],0,0)</f>
        <v>0.05</v>
      </c>
      <c r="U222" s="6" cm="1">
        <f t="array" ref="U222">_xlfn.XLOOKUP(Table8[[#This Row],[Admin2PCODE]:[Admin2PCODE]],tblPiNAnalysis[[Admin2PCODE]:[Admin2PCODE]],tblPiNAnalysis[% VBG],0,0)</f>
        <v>0.05</v>
      </c>
      <c r="V222" s="8" cm="1">
        <f t="array" ref="V222">_xlfn.XLOOKUP(Table8[[#This Row],[Admin2PCODE]:[Admin2PCODE]],tblPiNAnalysis[[Admin2PCODE]:[Admin2PCODE]],tblPiNAnalysis[PiN preliminar],0,0)</f>
        <v>22654.799999999999</v>
      </c>
      <c r="W222" s="308" cm="1">
        <f t="array" ref="W222">_xlfn.XLOOKUP(Table8[[#This Row],[Admin2PCODE]],tblPiNAnalysis[Admin2PCODE],tblSeverityAnalysis[Severidad media],0,0)</f>
        <v>2.6666666666666665</v>
      </c>
      <c r="X222" s="42">
        <f>Table8[[#This Row],[Severidad media]]*6</f>
        <v>16</v>
      </c>
      <c r="Y222" s="6" cm="1">
        <f t="array" ref="Y222">_xlfn.XLOOKUP(Table8[[#This Row],[Admin2PCODE]],tblPiNAnalysis[Admin2PCODE],tblPiNAnalysis[% PiN Sectores más altos],0,0)</f>
        <v>0.6</v>
      </c>
      <c r="Z222" s="42" cm="1">
        <f t="array" ref="Z222">_xlfn.XLOOKUP(Table8[[#This Row],[Admin2PCODE]:[Admin2PCODE]],tblPiNAnalysis[[Admin2PCODE]:[Admin2PCODE]],tblPiNAnalysis[Severidad],0,0)</f>
        <v>3</v>
      </c>
      <c r="AA222">
        <f>_xlfn.XLOOKUP(Table8[[#This Row],[Admin2PCODE]],tblSeverityAnalysis[Admin 2 Código P],tblSeverityAnalysis[Severidad Ttotal 2025],0,0)</f>
        <v>3</v>
      </c>
      <c r="AB222" t="str">
        <f>_xlfn.XLOOKUP(Table8[[#This Row],[Admin2PCODE]],tblSeverityAnalysis[Admin 2 Código P],tblSeverityAnalysis[Priorización Final 2025],0,0)</f>
        <v>No</v>
      </c>
      <c r="AC222">
        <v>2</v>
      </c>
      <c r="AD222" t="s">
        <v>991</v>
      </c>
      <c r="AE222">
        <v>3</v>
      </c>
      <c r="AF222">
        <v>0</v>
      </c>
      <c r="AG222">
        <v>0</v>
      </c>
      <c r="AH222">
        <v>0</v>
      </c>
      <c r="AI222">
        <v>0</v>
      </c>
      <c r="AJ222">
        <v>3</v>
      </c>
      <c r="AK222">
        <v>0</v>
      </c>
      <c r="AL222">
        <v>1</v>
      </c>
      <c r="AM222">
        <v>0</v>
      </c>
      <c r="AN222">
        <v>0</v>
      </c>
      <c r="AO222" s="314">
        <f>Table8[[#This Row],[N° Clústeres con respuesta]]/Table8[[#This Row],[Org Total]]</f>
        <v>0.66666666666666663</v>
      </c>
      <c r="AP222" s="313">
        <v>6203</v>
      </c>
      <c r="AQ222" s="313">
        <v>4</v>
      </c>
      <c r="AR222" s="312">
        <f>Table8[[#This Row],[Alcanzados Oct 2025]]/Table8[[#This Row],[Meta 2025]]</f>
        <v>6.4484926648395932E-4</v>
      </c>
      <c r="AS222" s="423">
        <v>0</v>
      </c>
      <c r="AT222" s="423">
        <v>0</v>
      </c>
      <c r="AU222" s="423">
        <v>0</v>
      </c>
      <c r="AV222" s="423">
        <v>0</v>
      </c>
      <c r="AW222" s="423">
        <v>4</v>
      </c>
      <c r="AX222" s="423">
        <v>0</v>
      </c>
      <c r="AY222" s="423">
        <v>1</v>
      </c>
      <c r="AZ222" s="423">
        <v>0</v>
      </c>
      <c r="BA222" s="42">
        <v>0</v>
      </c>
    </row>
    <row r="223" spans="1:53">
      <c r="A223" t="s">
        <v>536</v>
      </c>
      <c r="B223" t="s">
        <v>537</v>
      </c>
      <c r="C223" t="s">
        <v>538</v>
      </c>
      <c r="D223" t="s">
        <v>539</v>
      </c>
      <c r="E223" s="8">
        <v>21185</v>
      </c>
      <c r="F223" s="8">
        <v>11556</v>
      </c>
      <c r="G223" s="8">
        <v>790.32703456896263</v>
      </c>
      <c r="H223" s="8">
        <v>7732.5249999999996</v>
      </c>
      <c r="I223" s="8">
        <v>1456.9017377648943</v>
      </c>
      <c r="J223" s="8">
        <v>2009.9342229665276</v>
      </c>
      <c r="K223" s="8">
        <v>0</v>
      </c>
      <c r="L223" s="8">
        <v>643.17895134928881</v>
      </c>
      <c r="M223" s="8">
        <v>703.47697803828476</v>
      </c>
      <c r="N223" s="6" cm="1">
        <f t="array" ref="N223">_xlfn.XLOOKUP(Table8[[#This Row],[Admin2PCODE]:[Admin2PCODE]],tblPiNAnalysis[[Admin2PCODE]:[Admin2PCODE]],tblPiNAnalysis[% SAMV],0,0)</f>
        <v>0.55000000000000004</v>
      </c>
      <c r="O223" s="6" cm="1">
        <f t="array" ref="O223">_xlfn.XLOOKUP(Table8[[#This Row],[Admin2PCODE]:[Admin2PCODE]],tblPiNAnalysis[[Admin2PCODE]:[Admin2PCODE]],tblPiNAnalysis[% NUT],0,0)</f>
        <v>0.05</v>
      </c>
      <c r="P223" s="6" cm="1">
        <f t="array" ref="P223">_xlfn.XLOOKUP(Table8[[#This Row],[Admin2PCODE]:[Admin2PCODE]],tblPiNAnalysis[[Admin2PCODE]:[Admin2PCODE]],tblPiNAnalysis[% SAL],0,0)</f>
        <v>0.35000000000000003</v>
      </c>
      <c r="Q223" s="6" cm="1">
        <f t="array" ref="Q223">_xlfn.XLOOKUP(Table8[[#This Row],[Admin2PCODE]:[Admin2PCODE]],tblPiNAnalysis[[Admin2PCODE]:[Admin2PCODE]],tblPiNAnalysis[% EDU],0,0)</f>
        <v>0.05</v>
      </c>
      <c r="R223" s="6" cm="1">
        <f t="array" ref="R223">_xlfn.XLOOKUP(Table8[[#This Row],[Admin2PCODE]:[Admin2PCODE]],tblPiNAnalysis[[Admin2PCODE]:[Admin2PCODE]],tblPiNAnalysis[% PRO],0,0)</f>
        <v>0.1</v>
      </c>
      <c r="S223" s="6" cm="1">
        <f t="array" ref="S223">_xlfn.XLOOKUP(Table8[[#This Row],[Admin2PCODE]:[Admin2PCODE]],tblPiNAnalysis[[Admin2PCODE]:[Admin2PCODE]],tblPiNAnalysis[% WASH],0,0)</f>
        <v>0</v>
      </c>
      <c r="T223" s="6" cm="1">
        <f t="array" ref="T223">_xlfn.XLOOKUP(Table8[[#This Row],[Admin2PCODE]:[Admin2PCODE]],tblPiNAnalysis[[Admin2PCODE]:[Admin2PCODE]],tblPiNAnalysis[% NNA],0,0)</f>
        <v>0.05</v>
      </c>
      <c r="U223" s="6" cm="1">
        <f t="array" ref="U223">_xlfn.XLOOKUP(Table8[[#This Row],[Admin2PCODE]:[Admin2PCODE]],tblPiNAnalysis[[Admin2PCODE]:[Admin2PCODE]],tblPiNAnalysis[% VBG],0,0)</f>
        <v>0.05</v>
      </c>
      <c r="V223" s="8" cm="1">
        <f t="array" ref="V223">_xlfn.XLOOKUP(Table8[[#This Row],[Admin2PCODE]:[Admin2PCODE]],tblPiNAnalysis[[Admin2PCODE]:[Admin2PCODE]],tblPiNAnalysis[PiN preliminar],0,0)</f>
        <v>0</v>
      </c>
      <c r="W223" s="308" cm="1">
        <f t="array" ref="W223">_xlfn.XLOOKUP(Table8[[#This Row],[Admin2PCODE]],tblPiNAnalysis[Admin2PCODE],tblSeverityAnalysis[Severidad media],0,0)</f>
        <v>2.5</v>
      </c>
      <c r="X223" s="42">
        <f>Table8[[#This Row],[Severidad media]]*6</f>
        <v>15</v>
      </c>
      <c r="Y223" s="6" cm="1">
        <f t="array" ref="Y223">_xlfn.XLOOKUP(Table8[[#This Row],[Admin2PCODE]],tblPiNAnalysis[Admin2PCODE],tblPiNAnalysis[% PiN Sectores más altos],0,0)</f>
        <v>0.54548029265990083</v>
      </c>
      <c r="Z223" s="42" cm="1">
        <f t="array" ref="Z223">_xlfn.XLOOKUP(Table8[[#This Row],[Admin2PCODE]:[Admin2PCODE]],tblPiNAnalysis[[Admin2PCODE]:[Admin2PCODE]],tblPiNAnalysis[Severidad],0,0)</f>
        <v>2</v>
      </c>
      <c r="AA223">
        <f>_xlfn.XLOOKUP(Table8[[#This Row],[Admin2PCODE]],tblSeverityAnalysis[Admin 2 Código P],tblSeverityAnalysis[Severidad Ttotal 2025],0,0)</f>
        <v>3</v>
      </c>
      <c r="AB223" t="str">
        <f>_xlfn.XLOOKUP(Table8[[#This Row],[Admin2PCODE]],tblSeverityAnalysis[Admin 2 Código P],tblSeverityAnalysis[Priorización Final 2025],0,0)</f>
        <v>No</v>
      </c>
      <c r="AC223">
        <v>1</v>
      </c>
      <c r="AD223" t="s">
        <v>92</v>
      </c>
      <c r="AE223">
        <v>1</v>
      </c>
      <c r="AF223">
        <v>0</v>
      </c>
      <c r="AG223">
        <v>0</v>
      </c>
      <c r="AH223">
        <v>0</v>
      </c>
      <c r="AI223">
        <v>0</v>
      </c>
      <c r="AJ223">
        <v>0</v>
      </c>
      <c r="AK223">
        <v>0</v>
      </c>
      <c r="AL223">
        <v>0</v>
      </c>
      <c r="AM223">
        <v>0</v>
      </c>
      <c r="AN223">
        <v>1</v>
      </c>
      <c r="AO223" s="314">
        <f>Table8[[#This Row],[N° Clústeres con respuesta]]/Table8[[#This Row],[Org Total]]</f>
        <v>1</v>
      </c>
      <c r="AP223" s="313">
        <v>4752</v>
      </c>
      <c r="AQ223" s="313">
        <v>89</v>
      </c>
      <c r="AR223" s="312">
        <f>Table8[[#This Row],[Alcanzados Oct 2025]]/Table8[[#This Row],[Meta 2025]]</f>
        <v>1.872895622895623E-2</v>
      </c>
      <c r="AS223" s="423">
        <v>0</v>
      </c>
      <c r="AT223" s="423">
        <v>0</v>
      </c>
      <c r="AU223" s="423">
        <v>0</v>
      </c>
      <c r="AV223" s="423">
        <v>0</v>
      </c>
      <c r="AW223" s="423">
        <v>0</v>
      </c>
      <c r="AX223" s="423">
        <v>0</v>
      </c>
      <c r="AY223" s="423">
        <v>0</v>
      </c>
      <c r="AZ223" s="423">
        <v>0</v>
      </c>
      <c r="BA223" s="42">
        <v>89</v>
      </c>
    </row>
    <row r="224" spans="1:53">
      <c r="A224" t="s">
        <v>536</v>
      </c>
      <c r="B224" t="s">
        <v>537</v>
      </c>
      <c r="C224" t="s">
        <v>540</v>
      </c>
      <c r="D224" t="s">
        <v>541</v>
      </c>
      <c r="E224" s="8">
        <v>154747</v>
      </c>
      <c r="F224" s="8">
        <v>71091</v>
      </c>
      <c r="G224" s="8">
        <v>10325.885254931716</v>
      </c>
      <c r="H224" s="8">
        <v>56482.654999999999</v>
      </c>
      <c r="I224" s="8">
        <v>14899.692363806806</v>
      </c>
      <c r="J224" s="8">
        <v>29363.350597252887</v>
      </c>
      <c r="K224" s="8">
        <v>69636.150000000009</v>
      </c>
      <c r="L224" s="8">
        <v>9396.2721911209246</v>
      </c>
      <c r="M224" s="8">
        <v>10277.17270903851</v>
      </c>
      <c r="N224" s="6" cm="1">
        <f t="array" ref="N224">_xlfn.XLOOKUP(Table8[[#This Row],[Admin2PCODE]:[Admin2PCODE]],tblPiNAnalysis[[Admin2PCODE]:[Admin2PCODE]],tblPiNAnalysis[% SAMV],0,0)</f>
        <v>0.45</v>
      </c>
      <c r="O224" s="6" cm="1">
        <f t="array" ref="O224">_xlfn.XLOOKUP(Table8[[#This Row],[Admin2PCODE]:[Admin2PCODE]],tblPiNAnalysis[[Admin2PCODE]:[Admin2PCODE]],tblPiNAnalysis[% NUT],0,0)</f>
        <v>0.05</v>
      </c>
      <c r="P224" s="6" cm="1">
        <f t="array" ref="P224">_xlfn.XLOOKUP(Table8[[#This Row],[Admin2PCODE]:[Admin2PCODE]],tblPiNAnalysis[[Admin2PCODE]:[Admin2PCODE]],tblPiNAnalysis[% SAL],0,0)</f>
        <v>0.35000000000000003</v>
      </c>
      <c r="Q224" s="6" cm="1">
        <f t="array" ref="Q224">_xlfn.XLOOKUP(Table8[[#This Row],[Admin2PCODE]:[Admin2PCODE]],tblPiNAnalysis[[Admin2PCODE]:[Admin2PCODE]],tblPiNAnalysis[% EDU],0,0)</f>
        <v>0.1</v>
      </c>
      <c r="R224" s="6" cm="1">
        <f t="array" ref="R224">_xlfn.XLOOKUP(Table8[[#This Row],[Admin2PCODE]:[Admin2PCODE]],tblPiNAnalysis[[Admin2PCODE]:[Admin2PCODE]],tblPiNAnalysis[% PRO],0,0)</f>
        <v>0.2</v>
      </c>
      <c r="S224" s="6" cm="1">
        <f t="array" ref="S224">_xlfn.XLOOKUP(Table8[[#This Row],[Admin2PCODE]:[Admin2PCODE]],tblPiNAnalysis[[Admin2PCODE]:[Admin2PCODE]],tblPiNAnalysis[% WASH],0,0)</f>
        <v>0.45</v>
      </c>
      <c r="T224" s="6" cm="1">
        <f t="array" ref="T224">_xlfn.XLOOKUP(Table8[[#This Row],[Admin2PCODE]:[Admin2PCODE]],tblPiNAnalysis[[Admin2PCODE]:[Admin2PCODE]],tblPiNAnalysis[% NNA],0,0)</f>
        <v>0.05</v>
      </c>
      <c r="U224" s="6" cm="1">
        <f t="array" ref="U224">_xlfn.XLOOKUP(Table8[[#This Row],[Admin2PCODE]:[Admin2PCODE]],tblPiNAnalysis[[Admin2PCODE]:[Admin2PCODE]],tblPiNAnalysis[% VBG],0,0)</f>
        <v>0.05</v>
      </c>
      <c r="V224" s="8" cm="1">
        <f t="array" ref="V224">_xlfn.XLOOKUP(Table8[[#This Row],[Admin2PCODE]:[Admin2PCODE]],tblPiNAnalysis[[Admin2PCODE]:[Admin2PCODE]],tblPiNAnalysis[PiN preliminar],0,0)</f>
        <v>71091</v>
      </c>
      <c r="W224" s="308" cm="1">
        <f t="array" ref="W224">_xlfn.XLOOKUP(Table8[[#This Row],[Admin2PCODE]],tblPiNAnalysis[Admin2PCODE],tblSeverityAnalysis[Severidad media],0,0)</f>
        <v>2.6666666666666665</v>
      </c>
      <c r="X224" s="42">
        <f>Table8[[#This Row],[Severidad media]]*6</f>
        <v>16</v>
      </c>
      <c r="Y224" s="6" cm="1">
        <f t="array" ref="Y224">_xlfn.XLOOKUP(Table8[[#This Row],[Admin2PCODE]],tblPiNAnalysis[Admin2PCODE],tblPiNAnalysis[% PiN Sectores más altos],0,0)</f>
        <v>0.45940147466509851</v>
      </c>
      <c r="Z224" s="42" cm="1">
        <f t="array" ref="Z224">_xlfn.XLOOKUP(Table8[[#This Row],[Admin2PCODE]:[Admin2PCODE]],tblPiNAnalysis[[Admin2PCODE]:[Admin2PCODE]],tblPiNAnalysis[Severidad],0,0)</f>
        <v>3</v>
      </c>
      <c r="AA224">
        <f>_xlfn.XLOOKUP(Table8[[#This Row],[Admin2PCODE]],tblSeverityAnalysis[Admin 2 Código P],tblSeverityAnalysis[Severidad Ttotal 2025],0,0)</f>
        <v>3</v>
      </c>
      <c r="AB224" t="str">
        <f>_xlfn.XLOOKUP(Table8[[#This Row],[Admin2PCODE]],tblSeverityAnalysis[Admin 2 Código P],tblSeverityAnalysis[Priorización Final 2025],0,0)</f>
        <v>No</v>
      </c>
      <c r="AC224">
        <v>3</v>
      </c>
      <c r="AD224" t="s">
        <v>1073</v>
      </c>
      <c r="AE224">
        <v>4</v>
      </c>
      <c r="AF224">
        <v>0</v>
      </c>
      <c r="AG224">
        <v>0</v>
      </c>
      <c r="AH224">
        <v>0</v>
      </c>
      <c r="AI224">
        <v>3</v>
      </c>
      <c r="AJ224">
        <v>0</v>
      </c>
      <c r="AK224">
        <v>0</v>
      </c>
      <c r="AL224">
        <v>0</v>
      </c>
      <c r="AM224">
        <v>3</v>
      </c>
      <c r="AN224">
        <v>2</v>
      </c>
      <c r="AO224" s="314">
        <f>Table8[[#This Row],[N° Clústeres con respuesta]]/Table8[[#This Row],[Org Total]]</f>
        <v>0.75</v>
      </c>
      <c r="AP224" s="313">
        <v>25423</v>
      </c>
      <c r="AQ224" s="313">
        <v>2766</v>
      </c>
      <c r="AR224" s="312">
        <f>Table8[[#This Row],[Alcanzados Oct 2025]]/Table8[[#This Row],[Meta 2025]]</f>
        <v>0.10879911890807537</v>
      </c>
      <c r="AS224" s="423">
        <v>0</v>
      </c>
      <c r="AT224" s="423">
        <v>0</v>
      </c>
      <c r="AU224" s="423">
        <v>0</v>
      </c>
      <c r="AV224" s="423">
        <v>2722</v>
      </c>
      <c r="AW224" s="423">
        <v>203</v>
      </c>
      <c r="AX224" s="423">
        <v>0</v>
      </c>
      <c r="AY224" s="423">
        <v>0</v>
      </c>
      <c r="AZ224" s="423">
        <v>80</v>
      </c>
      <c r="BA224" s="42">
        <v>433</v>
      </c>
    </row>
    <row r="225" spans="1:53">
      <c r="A225" t="s">
        <v>536</v>
      </c>
      <c r="B225" t="s">
        <v>537</v>
      </c>
      <c r="C225" t="s">
        <v>542</v>
      </c>
      <c r="D225" t="s">
        <v>543</v>
      </c>
      <c r="E225" s="8">
        <v>45965</v>
      </c>
      <c r="F225" s="8">
        <v>29434</v>
      </c>
      <c r="G225" s="8">
        <v>1302.5412101897991</v>
      </c>
      <c r="H225" s="8">
        <v>16777.224999999999</v>
      </c>
      <c r="I225" s="8">
        <v>3212.9177316097021</v>
      </c>
      <c r="J225" s="8">
        <v>7268.2421964169953</v>
      </c>
      <c r="K225" s="8">
        <v>0</v>
      </c>
      <c r="L225" s="8">
        <v>2325.8375028534383</v>
      </c>
      <c r="M225" s="8">
        <v>2543.8847687459483</v>
      </c>
      <c r="N225" s="6" cm="1">
        <f t="array" ref="N225">_xlfn.XLOOKUP(Table8[[#This Row],[Admin2PCODE]:[Admin2PCODE]],tblPiNAnalysis[[Admin2PCODE]:[Admin2PCODE]],tblPiNAnalysis[% SAMV],0,0)</f>
        <v>0.65</v>
      </c>
      <c r="O225" s="6" cm="1">
        <f t="array" ref="O225">_xlfn.XLOOKUP(Table8[[#This Row],[Admin2PCODE]:[Admin2PCODE]],tblPiNAnalysis[[Admin2PCODE]:[Admin2PCODE]],tblPiNAnalysis[% NUT],0,0)</f>
        <v>0.05</v>
      </c>
      <c r="P225" s="6" cm="1">
        <f t="array" ref="P225">_xlfn.XLOOKUP(Table8[[#This Row],[Admin2PCODE]:[Admin2PCODE]],tblPiNAnalysis[[Admin2PCODE]:[Admin2PCODE]],tblPiNAnalysis[% SAL],0,0)</f>
        <v>0.35000000000000003</v>
      </c>
      <c r="Q225" s="6" cm="1">
        <f t="array" ref="Q225">_xlfn.XLOOKUP(Table8[[#This Row],[Admin2PCODE]:[Admin2PCODE]],tblPiNAnalysis[[Admin2PCODE]:[Admin2PCODE]],tblPiNAnalysis[% EDU],0,0)</f>
        <v>0.05</v>
      </c>
      <c r="R225" s="6" cm="1">
        <f t="array" ref="R225">_xlfn.XLOOKUP(Table8[[#This Row],[Admin2PCODE]:[Admin2PCODE]],tblPiNAnalysis[[Admin2PCODE]:[Admin2PCODE]],tblPiNAnalysis[% PRO],0,0)</f>
        <v>0.15000000000000002</v>
      </c>
      <c r="S225" s="6" cm="1">
        <f t="array" ref="S225">_xlfn.XLOOKUP(Table8[[#This Row],[Admin2PCODE]:[Admin2PCODE]],tblPiNAnalysis[[Admin2PCODE]:[Admin2PCODE]],tblPiNAnalysis[% WASH],0,0)</f>
        <v>0</v>
      </c>
      <c r="T225" s="6" cm="1">
        <f t="array" ref="T225">_xlfn.XLOOKUP(Table8[[#This Row],[Admin2PCODE]:[Admin2PCODE]],tblPiNAnalysis[[Admin2PCODE]:[Admin2PCODE]],tblPiNAnalysis[% NNA],0,0)</f>
        <v>0.05</v>
      </c>
      <c r="U225" s="6" cm="1">
        <f t="array" ref="U225">_xlfn.XLOOKUP(Table8[[#This Row],[Admin2PCODE]:[Admin2PCODE]],tblPiNAnalysis[[Admin2PCODE]:[Admin2PCODE]],tblPiNAnalysis[% VBG],0,0)</f>
        <v>0.05</v>
      </c>
      <c r="V225" s="8" cm="1">
        <f t="array" ref="V225">_xlfn.XLOOKUP(Table8[[#This Row],[Admin2PCODE]:[Admin2PCODE]],tblPiNAnalysis[[Admin2PCODE]:[Admin2PCODE]],tblPiNAnalysis[PiN preliminar],0,0)</f>
        <v>29434</v>
      </c>
      <c r="W225" s="308" cm="1">
        <f t="array" ref="W225">_xlfn.XLOOKUP(Table8[[#This Row],[Admin2PCODE]],tblPiNAnalysis[Admin2PCODE],tblSeverityAnalysis[Severidad media],0,0)</f>
        <v>3.5</v>
      </c>
      <c r="X225" s="42">
        <f>Table8[[#This Row],[Severidad media]]*6</f>
        <v>21</v>
      </c>
      <c r="Y225" s="6" cm="1">
        <f t="array" ref="Y225">_xlfn.XLOOKUP(Table8[[#This Row],[Admin2PCODE]],tblPiNAnalysis[Admin2PCODE],tblPiNAnalysis[% PiN Sectores más altos],0,0)</f>
        <v>0.64035679321222672</v>
      </c>
      <c r="Z225" s="42" cm="1">
        <f t="array" ref="Z225">_xlfn.XLOOKUP(Table8[[#This Row],[Admin2PCODE]:[Admin2PCODE]],tblPiNAnalysis[[Admin2PCODE]:[Admin2PCODE]],tblPiNAnalysis[Severidad],0,0)</f>
        <v>3</v>
      </c>
      <c r="AA225">
        <f>_xlfn.XLOOKUP(Table8[[#This Row],[Admin2PCODE]],tblSeverityAnalysis[Admin 2 Código P],tblSeverityAnalysis[Severidad Ttotal 2025],0,0)</f>
        <v>3</v>
      </c>
      <c r="AB225" t="str">
        <f>_xlfn.XLOOKUP(Table8[[#This Row],[Admin2PCODE]],tblSeverityAnalysis[Admin 2 Código P],tblSeverityAnalysis[Priorización Final 2025],0,0)</f>
        <v>No</v>
      </c>
      <c r="AC225">
        <v>1</v>
      </c>
      <c r="AD225" t="s">
        <v>94</v>
      </c>
      <c r="AE225">
        <v>1</v>
      </c>
      <c r="AF225">
        <v>0</v>
      </c>
      <c r="AG225">
        <v>0</v>
      </c>
      <c r="AH225">
        <v>0</v>
      </c>
      <c r="AI225">
        <v>0</v>
      </c>
      <c r="AJ225">
        <v>0</v>
      </c>
      <c r="AK225">
        <v>0</v>
      </c>
      <c r="AL225">
        <v>0</v>
      </c>
      <c r="AM225">
        <v>1</v>
      </c>
      <c r="AN225">
        <v>0</v>
      </c>
      <c r="AO225" s="314">
        <f>Table8[[#This Row],[N° Clústeres con respuesta]]/Table8[[#This Row],[Org Total]]</f>
        <v>1</v>
      </c>
      <c r="AP225" s="313">
        <v>10730</v>
      </c>
      <c r="AQ225" s="313">
        <v>0</v>
      </c>
      <c r="AR225" s="312">
        <f>Table8[[#This Row],[Alcanzados Oct 2025]]/Table8[[#This Row],[Meta 2025]]</f>
        <v>0</v>
      </c>
      <c r="AS225" s="423">
        <v>0</v>
      </c>
      <c r="AT225" s="423">
        <v>0</v>
      </c>
      <c r="AU225" s="423">
        <v>0</v>
      </c>
      <c r="AV225" s="423">
        <v>0</v>
      </c>
      <c r="AW225" s="423">
        <v>0</v>
      </c>
      <c r="AX225" s="423">
        <v>0</v>
      </c>
      <c r="AY225" s="423">
        <v>0</v>
      </c>
      <c r="AZ225" s="423">
        <v>0</v>
      </c>
      <c r="BA225" s="42">
        <v>0</v>
      </c>
    </row>
    <row r="226" spans="1:53">
      <c r="A226" t="s">
        <v>536</v>
      </c>
      <c r="B226" t="s">
        <v>537</v>
      </c>
      <c r="C226" t="s">
        <v>544</v>
      </c>
      <c r="D226" t="s">
        <v>545</v>
      </c>
      <c r="E226" s="8">
        <v>196996</v>
      </c>
      <c r="F226" s="8">
        <v>107958</v>
      </c>
      <c r="G226" s="8">
        <v>8696.0417474611477</v>
      </c>
      <c r="H226" s="8">
        <v>71903.539999999994</v>
      </c>
      <c r="I226" s="8">
        <v>17762.778481389076</v>
      </c>
      <c r="J226" s="8">
        <v>18690.063827590944</v>
      </c>
      <c r="K226" s="8">
        <v>0</v>
      </c>
      <c r="L226" s="8">
        <v>5980.8204248291022</v>
      </c>
      <c r="M226" s="8">
        <v>6541.5223396568299</v>
      </c>
      <c r="N226" s="6" cm="1">
        <f t="array" ref="N226">_xlfn.XLOOKUP(Table8[[#This Row],[Admin2PCODE]:[Admin2PCODE]],tblPiNAnalysis[[Admin2PCODE]:[Admin2PCODE]],tblPiNAnalysis[% SAMV],0,0)</f>
        <v>0.55000000000000004</v>
      </c>
      <c r="O226" s="6" cm="1">
        <f t="array" ref="O226">_xlfn.XLOOKUP(Table8[[#This Row],[Admin2PCODE]:[Admin2PCODE]],tblPiNAnalysis[[Admin2PCODE]:[Admin2PCODE]],tblPiNAnalysis[% NUT],0,0)</f>
        <v>0.05</v>
      </c>
      <c r="P226" s="6" cm="1">
        <f t="array" ref="P226">_xlfn.XLOOKUP(Table8[[#This Row],[Admin2PCODE]:[Admin2PCODE]],tblPiNAnalysis[[Admin2PCODE]:[Admin2PCODE]],tblPiNAnalysis[% SAL],0,0)</f>
        <v>0.35000000000000003</v>
      </c>
      <c r="Q226" s="6" cm="1">
        <f t="array" ref="Q226">_xlfn.XLOOKUP(Table8[[#This Row],[Admin2PCODE]:[Admin2PCODE]],tblPiNAnalysis[[Admin2PCODE]:[Admin2PCODE]],tblPiNAnalysis[% EDU],0,0)</f>
        <v>0.1</v>
      </c>
      <c r="R226" s="6" cm="1">
        <f t="array" ref="R226">_xlfn.XLOOKUP(Table8[[#This Row],[Admin2PCODE]:[Admin2PCODE]],tblPiNAnalysis[[Admin2PCODE]:[Admin2PCODE]],tblPiNAnalysis[% PRO],0,0)</f>
        <v>0.1</v>
      </c>
      <c r="S226" s="6" cm="1">
        <f t="array" ref="S226">_xlfn.XLOOKUP(Table8[[#This Row],[Admin2PCODE]:[Admin2PCODE]],tblPiNAnalysis[[Admin2PCODE]:[Admin2PCODE]],tblPiNAnalysis[% WASH],0,0)</f>
        <v>0</v>
      </c>
      <c r="T226" s="6" cm="1">
        <f t="array" ref="T226">_xlfn.XLOOKUP(Table8[[#This Row],[Admin2PCODE]:[Admin2PCODE]],tblPiNAnalysis[[Admin2PCODE]:[Admin2PCODE]],tblPiNAnalysis[% NNA],0,0)</f>
        <v>0.05</v>
      </c>
      <c r="U226" s="6" cm="1">
        <f t="array" ref="U226">_xlfn.XLOOKUP(Table8[[#This Row],[Admin2PCODE]:[Admin2PCODE]],tblPiNAnalysis[[Admin2PCODE]:[Admin2PCODE]],tblPiNAnalysis[% VBG],0,0)</f>
        <v>0.05</v>
      </c>
      <c r="V226" s="8" cm="1">
        <f t="array" ref="V226">_xlfn.XLOOKUP(Table8[[#This Row],[Admin2PCODE]:[Admin2PCODE]],tblPiNAnalysis[[Admin2PCODE]:[Admin2PCODE]],tblPiNAnalysis[PiN preliminar],0,0)</f>
        <v>0</v>
      </c>
      <c r="W226" s="308" cm="1">
        <f t="array" ref="W226">_xlfn.XLOOKUP(Table8[[#This Row],[Admin2PCODE]],tblPiNAnalysis[Admin2PCODE],tblSeverityAnalysis[Severidad media],0,0)</f>
        <v>2.6666666666666665</v>
      </c>
      <c r="X226" s="42">
        <f>Table8[[#This Row],[Severidad media]]*6</f>
        <v>16</v>
      </c>
      <c r="Y226" s="6" cm="1">
        <f t="array" ref="Y226">_xlfn.XLOOKUP(Table8[[#This Row],[Admin2PCODE]],tblPiNAnalysis[Admin2PCODE],tblPiNAnalysis[% PiN Sectores más altos],0,0)</f>
        <v>0.54802127961989078</v>
      </c>
      <c r="Z226" s="42" cm="1">
        <f t="array" ref="Z226">_xlfn.XLOOKUP(Table8[[#This Row],[Admin2PCODE]:[Admin2PCODE]],tblPiNAnalysis[[Admin2PCODE]:[Admin2PCODE]],tblPiNAnalysis[Severidad],0,0)</f>
        <v>2</v>
      </c>
      <c r="AA226">
        <f>_xlfn.XLOOKUP(Table8[[#This Row],[Admin2PCODE]],tblSeverityAnalysis[Admin 2 Código P],tblSeverityAnalysis[Severidad Ttotal 2025],0,0)</f>
        <v>3</v>
      </c>
      <c r="AB226" t="str">
        <f>_xlfn.XLOOKUP(Table8[[#This Row],[Admin2PCODE]],tblSeverityAnalysis[Admin 2 Código P],tblSeverityAnalysis[Priorización Final 2025],0,0)</f>
        <v>No</v>
      </c>
      <c r="AC226">
        <v>5</v>
      </c>
      <c r="AD226" t="s">
        <v>1074</v>
      </c>
      <c r="AE226">
        <v>7</v>
      </c>
      <c r="AF226">
        <v>0</v>
      </c>
      <c r="AG226">
        <v>2</v>
      </c>
      <c r="AH226">
        <v>0</v>
      </c>
      <c r="AI226">
        <v>1</v>
      </c>
      <c r="AJ226">
        <v>1</v>
      </c>
      <c r="AK226">
        <v>0</v>
      </c>
      <c r="AL226">
        <v>2</v>
      </c>
      <c r="AM226">
        <v>4</v>
      </c>
      <c r="AN226">
        <v>0</v>
      </c>
      <c r="AO226" s="314">
        <f>Table8[[#This Row],[N° Clústeres con respuesta]]/Table8[[#This Row],[Org Total]]</f>
        <v>0.7142857142857143</v>
      </c>
      <c r="AP226" s="313">
        <v>32364</v>
      </c>
      <c r="AQ226" s="313">
        <v>1903</v>
      </c>
      <c r="AR226" s="312">
        <f>Table8[[#This Row],[Alcanzados Oct 2025]]/Table8[[#This Row],[Meta 2025]]</f>
        <v>5.8799901124706462E-2</v>
      </c>
      <c r="AS226" s="423">
        <v>0</v>
      </c>
      <c r="AT226" s="423">
        <v>0</v>
      </c>
      <c r="AU226" s="423">
        <v>0</v>
      </c>
      <c r="AV226" s="423">
        <v>1883</v>
      </c>
      <c r="AW226" s="423">
        <v>13</v>
      </c>
      <c r="AX226" s="423">
        <v>0</v>
      </c>
      <c r="AY226" s="423">
        <v>50</v>
      </c>
      <c r="AZ226" s="423">
        <v>75</v>
      </c>
      <c r="BA226" s="42">
        <v>0</v>
      </c>
    </row>
    <row r="227" spans="1:53">
      <c r="A227" t="s">
        <v>536</v>
      </c>
      <c r="B227" t="s">
        <v>537</v>
      </c>
      <c r="C227" t="s">
        <v>546</v>
      </c>
      <c r="D227" t="s">
        <v>547</v>
      </c>
      <c r="E227" s="8">
        <v>38403</v>
      </c>
      <c r="F227" s="8">
        <v>18840.6878</v>
      </c>
      <c r="G227" s="8">
        <v>1664.5379794024445</v>
      </c>
      <c r="H227" s="8">
        <v>14017.094999999999</v>
      </c>
      <c r="I227" s="8">
        <v>1829.0919414811497</v>
      </c>
      <c r="J227" s="8">
        <v>1214.4993149962011</v>
      </c>
      <c r="K227" s="8">
        <v>0</v>
      </c>
      <c r="L227" s="8">
        <v>388.63978079878439</v>
      </c>
      <c r="M227" s="8">
        <v>425.07476024867037</v>
      </c>
      <c r="N227" s="6" cm="1">
        <f t="array" ref="N227">_xlfn.XLOOKUP(Table8[[#This Row],[Admin2PCODE]:[Admin2PCODE]],tblPiNAnalysis[[Admin2PCODE]:[Admin2PCODE]],tblPiNAnalysis[% SAMV],0,0)</f>
        <v>0.5</v>
      </c>
      <c r="O227" s="6" cm="1">
        <f t="array" ref="O227">_xlfn.XLOOKUP(Table8[[#This Row],[Admin2PCODE]:[Admin2PCODE]],tblPiNAnalysis[[Admin2PCODE]:[Admin2PCODE]],tblPiNAnalysis[% NUT],0,0)</f>
        <v>0.05</v>
      </c>
      <c r="P227" s="6" cm="1">
        <f t="array" ref="P227">_xlfn.XLOOKUP(Table8[[#This Row],[Admin2PCODE]:[Admin2PCODE]],tblPiNAnalysis[[Admin2PCODE]:[Admin2PCODE]],tblPiNAnalysis[% SAL],0,0)</f>
        <v>0.35000000000000003</v>
      </c>
      <c r="Q227" s="6" cm="1">
        <f t="array" ref="Q227">_xlfn.XLOOKUP(Table8[[#This Row],[Admin2PCODE]:[Admin2PCODE]],tblPiNAnalysis[[Admin2PCODE]:[Admin2PCODE]],tblPiNAnalysis[% EDU],0,0)</f>
        <v>0.05</v>
      </c>
      <c r="R227" s="6" cm="1">
        <f t="array" ref="R227">_xlfn.XLOOKUP(Table8[[#This Row],[Admin2PCODE]:[Admin2PCODE]],tblPiNAnalysis[[Admin2PCODE]:[Admin2PCODE]],tblPiNAnalysis[% PRO],0,0)</f>
        <v>0.05</v>
      </c>
      <c r="S227" s="6" cm="1">
        <f t="array" ref="S227">_xlfn.XLOOKUP(Table8[[#This Row],[Admin2PCODE]:[Admin2PCODE]],tblPiNAnalysis[[Admin2PCODE]:[Admin2PCODE]],tblPiNAnalysis[% WASH],0,0)</f>
        <v>0</v>
      </c>
      <c r="T227" s="6" cm="1">
        <f t="array" ref="T227">_xlfn.XLOOKUP(Table8[[#This Row],[Admin2PCODE]:[Admin2PCODE]],tblPiNAnalysis[[Admin2PCODE]:[Admin2PCODE]],tblPiNAnalysis[% NNA],0,0)</f>
        <v>0</v>
      </c>
      <c r="U227" s="6" cm="1">
        <f t="array" ref="U227">_xlfn.XLOOKUP(Table8[[#This Row],[Admin2PCODE]:[Admin2PCODE]],tblPiNAnalysis[[Admin2PCODE]:[Admin2PCODE]],tblPiNAnalysis[% VBG],0,0)</f>
        <v>0</v>
      </c>
      <c r="V227" s="8" cm="1">
        <f t="array" ref="V227">_xlfn.XLOOKUP(Table8[[#This Row],[Admin2PCODE]:[Admin2PCODE]],tblPiNAnalysis[[Admin2PCODE]:[Admin2PCODE]],tblPiNAnalysis[PiN preliminar],0,0)</f>
        <v>0</v>
      </c>
      <c r="W227" s="308" cm="1">
        <f t="array" ref="W227">_xlfn.XLOOKUP(Table8[[#This Row],[Admin2PCODE]],tblPiNAnalysis[Admin2PCODE],tblSeverityAnalysis[Severidad media],0,0)</f>
        <v>2.5</v>
      </c>
      <c r="X227" s="42">
        <f>Table8[[#This Row],[Severidad media]]*6</f>
        <v>15</v>
      </c>
      <c r="Y227" s="6" cm="1">
        <f t="array" ref="Y227">_xlfn.XLOOKUP(Table8[[#This Row],[Admin2PCODE]],tblPiNAnalysis[Admin2PCODE],tblPiNAnalysis[% PiN Sectores más altos],0,0)</f>
        <v>0.49060458297528836</v>
      </c>
      <c r="Z227" s="42" cm="1">
        <f t="array" ref="Z227">_xlfn.XLOOKUP(Table8[[#This Row],[Admin2PCODE]:[Admin2PCODE]],tblPiNAnalysis[[Admin2PCODE]:[Admin2PCODE]],tblPiNAnalysis[Severidad],0,0)</f>
        <v>2</v>
      </c>
      <c r="AA227">
        <f>_xlfn.XLOOKUP(Table8[[#This Row],[Admin2PCODE]],tblSeverityAnalysis[Admin 2 Código P],tblSeverityAnalysis[Severidad Ttotal 2025],0,0)</f>
        <v>3</v>
      </c>
      <c r="AB227" t="str">
        <f>_xlfn.XLOOKUP(Table8[[#This Row],[Admin2PCODE]],tblSeverityAnalysis[Admin 2 Código P],tblSeverityAnalysis[Priorización Final 2025],0,0)</f>
        <v>No</v>
      </c>
      <c r="AC227">
        <v>0</v>
      </c>
      <c r="AD227">
        <v>0</v>
      </c>
      <c r="AE227">
        <v>0</v>
      </c>
      <c r="AF227">
        <v>0</v>
      </c>
      <c r="AG227">
        <v>0</v>
      </c>
      <c r="AH227">
        <v>0</v>
      </c>
      <c r="AI227">
        <v>0</v>
      </c>
      <c r="AJ227">
        <v>0</v>
      </c>
      <c r="AK227">
        <v>0</v>
      </c>
      <c r="AL227">
        <v>0</v>
      </c>
      <c r="AM227">
        <v>0</v>
      </c>
      <c r="AN227">
        <v>0</v>
      </c>
      <c r="AO227" s="314" t="e">
        <f>Table8[[#This Row],[N° Clústeres con respuesta]]/Table8[[#This Row],[Org Total]]</f>
        <v>#DIV/0!</v>
      </c>
      <c r="AP227" s="313">
        <v>7862</v>
      </c>
      <c r="AQ227" s="313">
        <v>0</v>
      </c>
      <c r="AR227" s="312">
        <f>Table8[[#This Row],[Alcanzados Oct 2025]]/Table8[[#This Row],[Meta 2025]]</f>
        <v>0</v>
      </c>
      <c r="AS227" s="423">
        <v>0</v>
      </c>
      <c r="AT227" s="423">
        <v>0</v>
      </c>
      <c r="AU227" s="423">
        <v>0</v>
      </c>
      <c r="AV227" s="423">
        <v>0</v>
      </c>
      <c r="AW227" s="423">
        <v>0</v>
      </c>
      <c r="AX227" s="423">
        <v>0</v>
      </c>
      <c r="AY227" s="423">
        <v>0</v>
      </c>
      <c r="AZ227" s="423">
        <v>0</v>
      </c>
      <c r="BA227" s="42">
        <v>0</v>
      </c>
    </row>
    <row r="228" spans="1:53">
      <c r="A228" t="s">
        <v>536</v>
      </c>
      <c r="B228" t="s">
        <v>537</v>
      </c>
      <c r="C228" t="s">
        <v>819</v>
      </c>
      <c r="D228" t="s">
        <v>549</v>
      </c>
      <c r="E228" s="8">
        <v>24287</v>
      </c>
      <c r="F228" s="8">
        <v>9445</v>
      </c>
      <c r="G228" s="8">
        <v>1096.4043039980627</v>
      </c>
      <c r="H228" s="8">
        <v>8864.7549999999992</v>
      </c>
      <c r="I228" s="8">
        <v>4128.5936195182403</v>
      </c>
      <c r="J228" s="8">
        <v>3840.3959148130007</v>
      </c>
      <c r="K228" s="8">
        <v>0</v>
      </c>
      <c r="L228" s="8">
        <v>1228.9266927401602</v>
      </c>
      <c r="M228" s="8">
        <v>1344.1385701845502</v>
      </c>
      <c r="N228" s="6" cm="1">
        <f t="array" ref="N228">_xlfn.XLOOKUP(Table8[[#This Row],[Admin2PCODE]:[Admin2PCODE]],tblPiNAnalysis[[Admin2PCODE]:[Admin2PCODE]],tblPiNAnalysis[% SAMV],0,0)</f>
        <v>0.4</v>
      </c>
      <c r="O228" s="6" cm="1">
        <f t="array" ref="O228">_xlfn.XLOOKUP(Table8[[#This Row],[Admin2PCODE]:[Admin2PCODE]],tblPiNAnalysis[[Admin2PCODE]:[Admin2PCODE]],tblPiNAnalysis[% NUT],0,0)</f>
        <v>0.05</v>
      </c>
      <c r="P228" s="6" cm="1">
        <f t="array" ref="P228">_xlfn.XLOOKUP(Table8[[#This Row],[Admin2PCODE]:[Admin2PCODE]],tblPiNAnalysis[[Admin2PCODE]:[Admin2PCODE]],tblPiNAnalysis[% SAL],0,0)</f>
        <v>0.35000000000000003</v>
      </c>
      <c r="Q228" s="6" cm="1">
        <f t="array" ref="Q228">_xlfn.XLOOKUP(Table8[[#This Row],[Admin2PCODE]:[Admin2PCODE]],tblPiNAnalysis[[Admin2PCODE]:[Admin2PCODE]],tblPiNAnalysis[% EDU],0,0)</f>
        <v>0.15000000000000002</v>
      </c>
      <c r="R228" s="6" cm="1">
        <f t="array" ref="R228">_xlfn.XLOOKUP(Table8[[#This Row],[Admin2PCODE]:[Admin2PCODE]],tblPiNAnalysis[[Admin2PCODE]:[Admin2PCODE]],tblPiNAnalysis[% PRO],0,0)</f>
        <v>0.15000000000000002</v>
      </c>
      <c r="S228" s="6" cm="1">
        <f t="array" ref="S228">_xlfn.XLOOKUP(Table8[[#This Row],[Admin2PCODE]:[Admin2PCODE]],tblPiNAnalysis[[Admin2PCODE]:[Admin2PCODE]],tblPiNAnalysis[% WASH],0,0)</f>
        <v>0</v>
      </c>
      <c r="T228" s="6" cm="1">
        <f t="array" ref="T228">_xlfn.XLOOKUP(Table8[[#This Row],[Admin2PCODE]:[Admin2PCODE]],tblPiNAnalysis[[Admin2PCODE]:[Admin2PCODE]],tblPiNAnalysis[% NNA],0,0)</f>
        <v>0.05</v>
      </c>
      <c r="U228" s="6" cm="1">
        <f t="array" ref="U228">_xlfn.XLOOKUP(Table8[[#This Row],[Admin2PCODE]:[Admin2PCODE]],tblPiNAnalysis[[Admin2PCODE]:[Admin2PCODE]],tblPiNAnalysis[% VBG],0,0)</f>
        <v>0.05</v>
      </c>
      <c r="V228" s="8" cm="1">
        <f t="array" ref="V228">_xlfn.XLOOKUP(Table8[[#This Row],[Admin2PCODE]:[Admin2PCODE]],tblPiNAnalysis[[Admin2PCODE]:[Admin2PCODE]],tblPiNAnalysis[PiN preliminar],0,0)</f>
        <v>9445</v>
      </c>
      <c r="W228" s="308" cm="1">
        <f t="array" ref="W228">_xlfn.XLOOKUP(Table8[[#This Row],[Admin2PCODE]],tblPiNAnalysis[Admin2PCODE],tblSeverityAnalysis[Severidad media],0,0)</f>
        <v>3</v>
      </c>
      <c r="X228" s="42">
        <f>Table8[[#This Row],[Severidad media]]*6</f>
        <v>18</v>
      </c>
      <c r="Y228" s="6" cm="1">
        <f t="array" ref="Y228">_xlfn.XLOOKUP(Table8[[#This Row],[Admin2PCODE]],tblPiNAnalysis[Admin2PCODE],tblPiNAnalysis[% PiN Sectores más altos],0,0)</f>
        <v>0.38889117634948739</v>
      </c>
      <c r="Z228" s="42" cm="1">
        <f t="array" ref="Z228">_xlfn.XLOOKUP(Table8[[#This Row],[Admin2PCODE]:[Admin2PCODE]],tblPiNAnalysis[[Admin2PCODE]:[Admin2PCODE]],tblPiNAnalysis[Severidad],0,0)</f>
        <v>3</v>
      </c>
      <c r="AA228">
        <f>_xlfn.XLOOKUP(Table8[[#This Row],[Admin2PCODE]],tblSeverityAnalysis[Admin 2 Código P],tblSeverityAnalysis[Severidad Ttotal 2025],0,0)</f>
        <v>3</v>
      </c>
      <c r="AB228" t="str">
        <f>_xlfn.XLOOKUP(Table8[[#This Row],[Admin2PCODE]],tblSeverityAnalysis[Admin 2 Código P],tblSeverityAnalysis[Priorización Final 2025],0,0)</f>
        <v>No</v>
      </c>
      <c r="AC228">
        <v>1</v>
      </c>
      <c r="AD228" t="s">
        <v>952</v>
      </c>
      <c r="AE228">
        <v>1</v>
      </c>
      <c r="AF228">
        <v>0</v>
      </c>
      <c r="AG228">
        <v>0</v>
      </c>
      <c r="AH228">
        <v>0</v>
      </c>
      <c r="AI228">
        <v>0</v>
      </c>
      <c r="AJ228">
        <v>1</v>
      </c>
      <c r="AK228">
        <v>0</v>
      </c>
      <c r="AL228">
        <v>0</v>
      </c>
      <c r="AM228">
        <v>0</v>
      </c>
      <c r="AN228">
        <v>0</v>
      </c>
      <c r="AO228" s="314">
        <f>Table8[[#This Row],[N° Clústeres con respuesta]]/Table8[[#This Row],[Org Total]]</f>
        <v>1</v>
      </c>
      <c r="AP228" s="313">
        <v>5669</v>
      </c>
      <c r="AQ228" s="313">
        <v>3</v>
      </c>
      <c r="AR228" s="312">
        <f>Table8[[#This Row],[Alcanzados Oct 2025]]/Table8[[#This Row],[Meta 2025]]</f>
        <v>5.2919386135120831E-4</v>
      </c>
      <c r="AS228" s="423">
        <v>0</v>
      </c>
      <c r="AT228" s="423">
        <v>0</v>
      </c>
      <c r="AU228" s="423">
        <v>0</v>
      </c>
      <c r="AV228" s="423">
        <v>0</v>
      </c>
      <c r="AW228" s="423">
        <v>3</v>
      </c>
      <c r="AX228" s="423">
        <v>0</v>
      </c>
      <c r="AY228" s="423">
        <v>0</v>
      </c>
      <c r="AZ228" s="423">
        <v>0</v>
      </c>
      <c r="BA228" s="42">
        <v>0</v>
      </c>
    </row>
    <row r="229" spans="1:53">
      <c r="A229" t="s">
        <v>536</v>
      </c>
      <c r="B229" t="s">
        <v>537</v>
      </c>
      <c r="C229" t="s">
        <v>550</v>
      </c>
      <c r="D229" t="s">
        <v>551</v>
      </c>
      <c r="E229" s="8">
        <v>50334</v>
      </c>
      <c r="F229" s="8">
        <v>22117</v>
      </c>
      <c r="G229" s="8">
        <v>1747.0312648443976</v>
      </c>
      <c r="H229" s="8">
        <v>18371.91</v>
      </c>
      <c r="I229" s="8">
        <v>2612.3250879443831</v>
      </c>
      <c r="J229" s="8">
        <v>7959.0928470456447</v>
      </c>
      <c r="K229" s="8">
        <v>0</v>
      </c>
      <c r="L229" s="8">
        <v>2554.868803901652</v>
      </c>
      <c r="M229" s="8">
        <v>2785.6824964659754</v>
      </c>
      <c r="N229" s="6" cm="1">
        <f t="array" ref="N229">_xlfn.XLOOKUP(Table8[[#This Row],[Admin2PCODE]:[Admin2PCODE]],tblPiNAnalysis[[Admin2PCODE]:[Admin2PCODE]],tblPiNAnalysis[% SAMV],0,0)</f>
        <v>0.45</v>
      </c>
      <c r="O229" s="6" cm="1">
        <f t="array" ref="O229">_xlfn.XLOOKUP(Table8[[#This Row],[Admin2PCODE]:[Admin2PCODE]],tblPiNAnalysis[[Admin2PCODE]:[Admin2PCODE]],tblPiNAnalysis[% NUT],0,0)</f>
        <v>0.05</v>
      </c>
      <c r="P229" s="6" cm="1">
        <f t="array" ref="P229">_xlfn.XLOOKUP(Table8[[#This Row],[Admin2PCODE]:[Admin2PCODE]],tblPiNAnalysis[[Admin2PCODE]:[Admin2PCODE]],tblPiNAnalysis[% SAL],0,0)</f>
        <v>0.35000000000000003</v>
      </c>
      <c r="Q229" s="6" cm="1">
        <f t="array" ref="Q229">_xlfn.XLOOKUP(Table8[[#This Row],[Admin2PCODE]:[Admin2PCODE]],tblPiNAnalysis[[Admin2PCODE]:[Admin2PCODE]],tblPiNAnalysis[% EDU],0,0)</f>
        <v>0.05</v>
      </c>
      <c r="R229" s="6" cm="1">
        <f t="array" ref="R229">_xlfn.XLOOKUP(Table8[[#This Row],[Admin2PCODE]:[Admin2PCODE]],tblPiNAnalysis[[Admin2PCODE]:[Admin2PCODE]],tblPiNAnalysis[% PRO],0,0)</f>
        <v>0.15000000000000002</v>
      </c>
      <c r="S229" s="6" cm="1">
        <f t="array" ref="S229">_xlfn.XLOOKUP(Table8[[#This Row],[Admin2PCODE]:[Admin2PCODE]],tblPiNAnalysis[[Admin2PCODE]:[Admin2PCODE]],tblPiNAnalysis[% WASH],0,0)</f>
        <v>0</v>
      </c>
      <c r="T229" s="6" cm="1">
        <f t="array" ref="T229">_xlfn.XLOOKUP(Table8[[#This Row],[Admin2PCODE]:[Admin2PCODE]],tblPiNAnalysis[[Admin2PCODE]:[Admin2PCODE]],tblPiNAnalysis[% NNA],0,0)</f>
        <v>0.05</v>
      </c>
      <c r="U229" s="6" cm="1">
        <f t="array" ref="U229">_xlfn.XLOOKUP(Table8[[#This Row],[Admin2PCODE]:[Admin2PCODE]],tblPiNAnalysis[[Admin2PCODE]:[Admin2PCODE]],tblPiNAnalysis[% VBG],0,0)</f>
        <v>0.05</v>
      </c>
      <c r="V229" s="8" cm="1">
        <f t="array" ref="V229">_xlfn.XLOOKUP(Table8[[#This Row],[Admin2PCODE]:[Admin2PCODE]],tblPiNAnalysis[[Admin2PCODE]:[Admin2PCODE]],tblPiNAnalysis[PiN preliminar],0,0)</f>
        <v>22117</v>
      </c>
      <c r="W229" s="308" cm="1">
        <f t="array" ref="W229">_xlfn.XLOOKUP(Table8[[#This Row],[Admin2PCODE]],tblPiNAnalysis[Admin2PCODE],tblSeverityAnalysis[Severidad media],0,0)</f>
        <v>2.5</v>
      </c>
      <c r="X229" s="42">
        <f>Table8[[#This Row],[Severidad media]]*6</f>
        <v>15</v>
      </c>
      <c r="Y229" s="6" cm="1">
        <f t="array" ref="Y229">_xlfn.XLOOKUP(Table8[[#This Row],[Admin2PCODE]],tblPiNAnalysis[Admin2PCODE],tblPiNAnalysis[% PiN Sectores más altos],0,0)</f>
        <v>0.43940477609568085</v>
      </c>
      <c r="Z229" s="42" cm="1">
        <f t="array" ref="Z229">_xlfn.XLOOKUP(Table8[[#This Row],[Admin2PCODE]:[Admin2PCODE]],tblPiNAnalysis[[Admin2PCODE]:[Admin2PCODE]],tblPiNAnalysis[Severidad],0,0)</f>
        <v>3</v>
      </c>
      <c r="AA229">
        <f>_xlfn.XLOOKUP(Table8[[#This Row],[Admin2PCODE]],tblSeverityAnalysis[Admin 2 Código P],tblSeverityAnalysis[Severidad Ttotal 2025],0,0)</f>
        <v>3</v>
      </c>
      <c r="AB229" t="str">
        <f>_xlfn.XLOOKUP(Table8[[#This Row],[Admin2PCODE]],tblSeverityAnalysis[Admin 2 Código P],tblSeverityAnalysis[Priorización Final 2025],0,0)</f>
        <v>No</v>
      </c>
      <c r="AC229">
        <v>5</v>
      </c>
      <c r="AD229" t="s">
        <v>1075</v>
      </c>
      <c r="AE229">
        <v>4</v>
      </c>
      <c r="AF229">
        <v>0</v>
      </c>
      <c r="AG229">
        <v>1</v>
      </c>
      <c r="AH229">
        <v>0</v>
      </c>
      <c r="AI229">
        <v>1</v>
      </c>
      <c r="AJ229">
        <v>3</v>
      </c>
      <c r="AK229">
        <v>0</v>
      </c>
      <c r="AL229">
        <v>0</v>
      </c>
      <c r="AM229">
        <v>1</v>
      </c>
      <c r="AN229">
        <v>1</v>
      </c>
      <c r="AO229" s="314">
        <f>Table8[[#This Row],[N° Clústeres con respuesta]]/Table8[[#This Row],[Org Total]]</f>
        <v>1.25</v>
      </c>
      <c r="AP229" s="313">
        <v>8270</v>
      </c>
      <c r="AQ229" s="313">
        <v>1910</v>
      </c>
      <c r="AR229" s="312">
        <f>Table8[[#This Row],[Alcanzados Oct 2025]]/Table8[[#This Row],[Meta 2025]]</f>
        <v>0.2309552599758162</v>
      </c>
      <c r="AS229" s="423">
        <v>0</v>
      </c>
      <c r="AT229" s="423">
        <v>1492</v>
      </c>
      <c r="AU229" s="423">
        <v>0</v>
      </c>
      <c r="AV229" s="423">
        <v>205</v>
      </c>
      <c r="AW229" s="423">
        <v>11</v>
      </c>
      <c r="AX229" s="423">
        <v>0</v>
      </c>
      <c r="AY229" s="423">
        <v>0</v>
      </c>
      <c r="AZ229" s="423">
        <v>1777</v>
      </c>
      <c r="BA229" s="42">
        <v>413</v>
      </c>
    </row>
    <row r="230" spans="1:53">
      <c r="A230" t="s">
        <v>536</v>
      </c>
      <c r="B230" t="s">
        <v>537</v>
      </c>
      <c r="C230" t="s">
        <v>171</v>
      </c>
      <c r="D230" t="s">
        <v>552</v>
      </c>
      <c r="E230" s="8">
        <v>181169</v>
      </c>
      <c r="F230" s="8">
        <v>72468</v>
      </c>
      <c r="G230" s="8">
        <v>6790.738386966309</v>
      </c>
      <c r="H230" s="8">
        <v>66126.684999999998</v>
      </c>
      <c r="I230" s="8">
        <v>15418.335225793078</v>
      </c>
      <c r="J230" s="8">
        <v>34376.943426067759</v>
      </c>
      <c r="K230" s="8">
        <v>0</v>
      </c>
      <c r="L230" s="8">
        <v>11000.621896341683</v>
      </c>
      <c r="M230" s="8">
        <v>12031.930199123717</v>
      </c>
      <c r="N230" s="6" cm="1">
        <f t="array" ref="N230">_xlfn.XLOOKUP(Table8[[#This Row],[Admin2PCODE]:[Admin2PCODE]],tblPiNAnalysis[[Admin2PCODE]:[Admin2PCODE]],tblPiNAnalysis[% SAMV],0,0)</f>
        <v>0.4</v>
      </c>
      <c r="O230" s="6" cm="1">
        <f t="array" ref="O230">_xlfn.XLOOKUP(Table8[[#This Row],[Admin2PCODE]:[Admin2PCODE]],tblPiNAnalysis[[Admin2PCODE]:[Admin2PCODE]],tblPiNAnalysis[% NUT],0,0)</f>
        <v>0.05</v>
      </c>
      <c r="P230" s="6" cm="1">
        <f t="array" ref="P230">_xlfn.XLOOKUP(Table8[[#This Row],[Admin2PCODE]:[Admin2PCODE]],tblPiNAnalysis[[Admin2PCODE]:[Admin2PCODE]],tblPiNAnalysis[% SAL],0,0)</f>
        <v>0.35000000000000003</v>
      </c>
      <c r="Q230" s="6" cm="1">
        <f t="array" ref="Q230">_xlfn.XLOOKUP(Table8[[#This Row],[Admin2PCODE]:[Admin2PCODE]],tblPiNAnalysis[[Admin2PCODE]:[Admin2PCODE]],tblPiNAnalysis[% EDU],0,0)</f>
        <v>0.1</v>
      </c>
      <c r="R230" s="6" cm="1">
        <f t="array" ref="R230">_xlfn.XLOOKUP(Table8[[#This Row],[Admin2PCODE]:[Admin2PCODE]],tblPiNAnalysis[[Admin2PCODE]:[Admin2PCODE]],tblPiNAnalysis[% PRO],0,0)</f>
        <v>0.2</v>
      </c>
      <c r="S230" s="6" cm="1">
        <f t="array" ref="S230">_xlfn.XLOOKUP(Table8[[#This Row],[Admin2PCODE]:[Admin2PCODE]],tblPiNAnalysis[[Admin2PCODE]:[Admin2PCODE]],tblPiNAnalysis[% WASH],0,0)</f>
        <v>0</v>
      </c>
      <c r="T230" s="6" cm="1">
        <f t="array" ref="T230">_xlfn.XLOOKUP(Table8[[#This Row],[Admin2PCODE]:[Admin2PCODE]],tblPiNAnalysis[[Admin2PCODE]:[Admin2PCODE]],tblPiNAnalysis[% NNA],0,0)</f>
        <v>0.05</v>
      </c>
      <c r="U230" s="6" cm="1">
        <f t="array" ref="U230">_xlfn.XLOOKUP(Table8[[#This Row],[Admin2PCODE]:[Admin2PCODE]],tblPiNAnalysis[[Admin2PCODE]:[Admin2PCODE]],tblPiNAnalysis[% VBG],0,0)</f>
        <v>0.05</v>
      </c>
      <c r="V230" s="8" cm="1">
        <f t="array" ref="V230">_xlfn.XLOOKUP(Table8[[#This Row],[Admin2PCODE]:[Admin2PCODE]],tblPiNAnalysis[[Admin2PCODE]:[Admin2PCODE]],tblPiNAnalysis[PiN preliminar],0,0)</f>
        <v>72468</v>
      </c>
      <c r="W230" s="308" cm="1">
        <f t="array" ref="W230">_xlfn.XLOOKUP(Table8[[#This Row],[Admin2PCODE]],tblPiNAnalysis[Admin2PCODE],tblSeverityAnalysis[Severidad media],0,0)</f>
        <v>2.6666666666666665</v>
      </c>
      <c r="X230" s="42">
        <f>Table8[[#This Row],[Severidad media]]*6</f>
        <v>16</v>
      </c>
      <c r="Y230" s="6" cm="1">
        <f t="array" ref="Y230">_xlfn.XLOOKUP(Table8[[#This Row],[Admin2PCODE]],tblPiNAnalysis[Admin2PCODE],tblPiNAnalysis[% PiN Sectores más altos],0,0)</f>
        <v>0.40000220788324714</v>
      </c>
      <c r="Z230" s="42" cm="1">
        <f t="array" ref="Z230">_xlfn.XLOOKUP(Table8[[#This Row],[Admin2PCODE]:[Admin2PCODE]],tblPiNAnalysis[[Admin2PCODE]:[Admin2PCODE]],tblPiNAnalysis[Severidad],0,0)</f>
        <v>3</v>
      </c>
      <c r="AA230">
        <f>_xlfn.XLOOKUP(Table8[[#This Row],[Admin2PCODE]],tblSeverityAnalysis[Admin 2 Código P],tblSeverityAnalysis[Severidad Ttotal 2025],0,0)</f>
        <v>3</v>
      </c>
      <c r="AB230" t="str">
        <f>_xlfn.XLOOKUP(Table8[[#This Row],[Admin2PCODE]],tblSeverityAnalysis[Admin 2 Código P],tblSeverityAnalysis[Priorización Final 2025],0,0)</f>
        <v>No</v>
      </c>
      <c r="AC230">
        <v>4</v>
      </c>
      <c r="AD230" t="s">
        <v>1076</v>
      </c>
      <c r="AE230">
        <v>7</v>
      </c>
      <c r="AF230">
        <v>0</v>
      </c>
      <c r="AG230">
        <v>0</v>
      </c>
      <c r="AH230">
        <v>0</v>
      </c>
      <c r="AI230">
        <v>3</v>
      </c>
      <c r="AJ230">
        <v>3</v>
      </c>
      <c r="AK230">
        <v>0</v>
      </c>
      <c r="AL230">
        <v>0</v>
      </c>
      <c r="AM230">
        <v>1</v>
      </c>
      <c r="AN230">
        <v>1</v>
      </c>
      <c r="AO230" s="314">
        <f>Table8[[#This Row],[N° Clústeres con respuesta]]/Table8[[#This Row],[Org Total]]</f>
        <v>0.5714285714285714</v>
      </c>
      <c r="AP230" s="313">
        <v>29765</v>
      </c>
      <c r="AQ230" s="313">
        <v>342</v>
      </c>
      <c r="AR230" s="312">
        <f>Table8[[#This Row],[Alcanzados Oct 2025]]/Table8[[#This Row],[Meta 2025]]</f>
        <v>1.1490005039475894E-2</v>
      </c>
      <c r="AS230" s="423">
        <v>0</v>
      </c>
      <c r="AT230" s="423">
        <v>0</v>
      </c>
      <c r="AU230" s="423">
        <v>0</v>
      </c>
      <c r="AV230" s="423">
        <v>0</v>
      </c>
      <c r="AW230" s="423">
        <v>8</v>
      </c>
      <c r="AX230" s="423">
        <v>0</v>
      </c>
      <c r="AY230" s="423">
        <v>0</v>
      </c>
      <c r="AZ230" s="423">
        <v>2</v>
      </c>
      <c r="BA230" s="42">
        <v>342</v>
      </c>
    </row>
    <row r="231" spans="1:53">
      <c r="A231" t="s">
        <v>536</v>
      </c>
      <c r="B231" t="s">
        <v>537</v>
      </c>
      <c r="C231" t="s">
        <v>833</v>
      </c>
      <c r="D231" t="s">
        <v>556</v>
      </c>
      <c r="E231" s="8">
        <v>24296</v>
      </c>
      <c r="F231" s="8">
        <v>8467</v>
      </c>
      <c r="G231" s="8">
        <v>1319.2623032302058</v>
      </c>
      <c r="H231" s="8">
        <v>8868.0400000000009</v>
      </c>
      <c r="I231" s="8">
        <v>1225.8096815621477</v>
      </c>
      <c r="J231" s="8">
        <v>2305.091427009429</v>
      </c>
      <c r="K231" s="8">
        <v>0</v>
      </c>
      <c r="L231" s="8">
        <v>737.62925664301724</v>
      </c>
      <c r="M231" s="8">
        <v>806.78199945330005</v>
      </c>
      <c r="N231" s="6" cm="1">
        <f t="array" ref="N231">_xlfn.XLOOKUP(Table8[[#This Row],[Admin2PCODE]:[Admin2PCODE]],tblPiNAnalysis[[Admin2PCODE]:[Admin2PCODE]],tblPiNAnalysis[% SAMV],0,0)</f>
        <v>0.35000000000000003</v>
      </c>
      <c r="O231" s="6" cm="1">
        <f t="array" ref="O231">_xlfn.XLOOKUP(Table8[[#This Row],[Admin2PCODE]:[Admin2PCODE]],tblPiNAnalysis[[Admin2PCODE]:[Admin2PCODE]],tblPiNAnalysis[% NUT],0,0)</f>
        <v>0.05</v>
      </c>
      <c r="P231" s="6" cm="1">
        <f t="array" ref="P231">_xlfn.XLOOKUP(Table8[[#This Row],[Admin2PCODE]:[Admin2PCODE]],tblPiNAnalysis[[Admin2PCODE]:[Admin2PCODE]],tblPiNAnalysis[% SAL],0,0)</f>
        <v>0.35000000000000003</v>
      </c>
      <c r="Q231" s="6" cm="1">
        <f t="array" ref="Q231">_xlfn.XLOOKUP(Table8[[#This Row],[Admin2PCODE]:[Admin2PCODE]],tblPiNAnalysis[[Admin2PCODE]:[Admin2PCODE]],tblPiNAnalysis[% EDU],0,0)</f>
        <v>0.05</v>
      </c>
      <c r="R231" s="6" cm="1">
        <f t="array" ref="R231">_xlfn.XLOOKUP(Table8[[#This Row],[Admin2PCODE]:[Admin2PCODE]],tblPiNAnalysis[[Admin2PCODE]:[Admin2PCODE]],tblPiNAnalysis[% PRO],0,0)</f>
        <v>0.1</v>
      </c>
      <c r="S231" s="6" cm="1">
        <f t="array" ref="S231">_xlfn.XLOOKUP(Table8[[#This Row],[Admin2PCODE]:[Admin2PCODE]],tblPiNAnalysis[[Admin2PCODE]:[Admin2PCODE]],tblPiNAnalysis[% WASH],0,0)</f>
        <v>0</v>
      </c>
      <c r="T231" s="6" cm="1">
        <f t="array" ref="T231">_xlfn.XLOOKUP(Table8[[#This Row],[Admin2PCODE]:[Admin2PCODE]],tblPiNAnalysis[[Admin2PCODE]:[Admin2PCODE]],tblPiNAnalysis[% NNA],0,0)</f>
        <v>0.05</v>
      </c>
      <c r="U231" s="6" cm="1">
        <f t="array" ref="U231">_xlfn.XLOOKUP(Table8[[#This Row],[Admin2PCODE]:[Admin2PCODE]],tblPiNAnalysis[[Admin2PCODE]:[Admin2PCODE]],tblPiNAnalysis[% VBG],0,0)</f>
        <v>0.05</v>
      </c>
      <c r="V231" s="8" cm="1">
        <f t="array" ref="V231">_xlfn.XLOOKUP(Table8[[#This Row],[Admin2PCODE]:[Admin2PCODE]],tblPiNAnalysis[[Admin2PCODE]:[Admin2PCODE]],tblPiNAnalysis[PiN preliminar],0,0)</f>
        <v>0</v>
      </c>
      <c r="W231" s="308" cm="1">
        <f t="array" ref="W231">_xlfn.XLOOKUP(Table8[[#This Row],[Admin2PCODE]],tblPiNAnalysis[Admin2PCODE],tblSeverityAnalysis[Severidad media],0,0)</f>
        <v>2.5</v>
      </c>
      <c r="X231" s="42">
        <f>Table8[[#This Row],[Severidad media]]*6</f>
        <v>15</v>
      </c>
      <c r="Y231" s="6" cm="1">
        <f t="array" ref="Y231">_xlfn.XLOOKUP(Table8[[#This Row],[Admin2PCODE]],tblPiNAnalysis[Admin2PCODE],tblPiNAnalysis[% PiN Sectores más altos],0,0)</f>
        <v>0.36500000000000005</v>
      </c>
      <c r="Z231" s="42" cm="1">
        <f t="array" ref="Z231">_xlfn.XLOOKUP(Table8[[#This Row],[Admin2PCODE]:[Admin2PCODE]],tblPiNAnalysis[[Admin2PCODE]:[Admin2PCODE]],tblPiNAnalysis[Severidad],0,0)</f>
        <v>2</v>
      </c>
      <c r="AA231">
        <f>_xlfn.XLOOKUP(Table8[[#This Row],[Admin2PCODE]],tblSeverityAnalysis[Admin 2 Código P],tblSeverityAnalysis[Severidad Ttotal 2025],0,0)</f>
        <v>3</v>
      </c>
      <c r="AB231" t="str">
        <f>_xlfn.XLOOKUP(Table8[[#This Row],[Admin2PCODE]],tblSeverityAnalysis[Admin 2 Código P],tblSeverityAnalysis[Priorización Final 2025],0,0)</f>
        <v>No</v>
      </c>
      <c r="AC231">
        <v>1</v>
      </c>
      <c r="AD231" t="s">
        <v>952</v>
      </c>
      <c r="AE231">
        <v>3</v>
      </c>
      <c r="AF231">
        <v>0</v>
      </c>
      <c r="AG231">
        <v>0</v>
      </c>
      <c r="AH231">
        <v>0</v>
      </c>
      <c r="AI231">
        <v>0</v>
      </c>
      <c r="AJ231">
        <v>3</v>
      </c>
      <c r="AK231">
        <v>0</v>
      </c>
      <c r="AL231">
        <v>0</v>
      </c>
      <c r="AM231">
        <v>0</v>
      </c>
      <c r="AN231">
        <v>0</v>
      </c>
      <c r="AO231" s="314">
        <f>Table8[[#This Row],[N° Clústeres con respuesta]]/Table8[[#This Row],[Org Total]]</f>
        <v>0.33333333333333331</v>
      </c>
      <c r="AP231" s="313">
        <v>5450</v>
      </c>
      <c r="AQ231" s="313">
        <v>5</v>
      </c>
      <c r="AR231" s="312">
        <f>Table8[[#This Row],[Alcanzados Oct 2025]]/Table8[[#This Row],[Meta 2025]]</f>
        <v>9.1743119266055051E-4</v>
      </c>
      <c r="AS231" s="423">
        <v>0</v>
      </c>
      <c r="AT231" s="423">
        <v>0</v>
      </c>
      <c r="AU231" s="423">
        <v>0</v>
      </c>
      <c r="AV231" s="423">
        <v>0</v>
      </c>
      <c r="AW231" s="423">
        <v>5</v>
      </c>
      <c r="AX231" s="423">
        <v>0</v>
      </c>
      <c r="AY231" s="423">
        <v>0</v>
      </c>
      <c r="AZ231" s="423">
        <v>0</v>
      </c>
      <c r="BA231" s="42">
        <v>0</v>
      </c>
    </row>
    <row r="232" spans="1:53">
      <c r="A232" t="s">
        <v>536</v>
      </c>
      <c r="B232" t="s">
        <v>537</v>
      </c>
      <c r="C232" t="s">
        <v>834</v>
      </c>
      <c r="D232" t="s">
        <v>558</v>
      </c>
      <c r="E232" s="8">
        <v>18020</v>
      </c>
      <c r="F232" s="8">
        <v>13015</v>
      </c>
      <c r="G232" s="8">
        <v>804.34030044827784</v>
      </c>
      <c r="H232" s="8">
        <v>6577.3</v>
      </c>
      <c r="I232" s="8">
        <v>936.40127438740296</v>
      </c>
      <c r="J232" s="8">
        <v>1709.6537501938551</v>
      </c>
      <c r="K232" s="8">
        <v>0</v>
      </c>
      <c r="L232" s="8">
        <v>547.08920006203368</v>
      </c>
      <c r="M232" s="8">
        <v>598.3788125678492</v>
      </c>
      <c r="N232" s="6" cm="1">
        <f t="array" ref="N232">_xlfn.XLOOKUP(Table8[[#This Row],[Admin2PCODE]:[Admin2PCODE]],tblPiNAnalysis[[Admin2PCODE]:[Admin2PCODE]],tblPiNAnalysis[% SAMV],0,0)</f>
        <v>0.70000000000000007</v>
      </c>
      <c r="O232" s="6" cm="1">
        <f t="array" ref="O232">_xlfn.XLOOKUP(Table8[[#This Row],[Admin2PCODE]:[Admin2PCODE]],tblPiNAnalysis[[Admin2PCODE]:[Admin2PCODE]],tblPiNAnalysis[% NUT],0,0)</f>
        <v>0.05</v>
      </c>
      <c r="P232" s="6" cm="1">
        <f t="array" ref="P232">_xlfn.XLOOKUP(Table8[[#This Row],[Admin2PCODE]:[Admin2PCODE]],tblPiNAnalysis[[Admin2PCODE]:[Admin2PCODE]],tblPiNAnalysis[% SAL],0,0)</f>
        <v>0.35000000000000003</v>
      </c>
      <c r="Q232" s="6" cm="1">
        <f t="array" ref="Q232">_xlfn.XLOOKUP(Table8[[#This Row],[Admin2PCODE]:[Admin2PCODE]],tblPiNAnalysis[[Admin2PCODE]:[Admin2PCODE]],tblPiNAnalysis[% EDU],0,0)</f>
        <v>0.05</v>
      </c>
      <c r="R232" s="6" cm="1">
        <f t="array" ref="R232">_xlfn.XLOOKUP(Table8[[#This Row],[Admin2PCODE]:[Admin2PCODE]],tblPiNAnalysis[[Admin2PCODE]:[Admin2PCODE]],tblPiNAnalysis[% PRO],0,0)</f>
        <v>0.1</v>
      </c>
      <c r="S232" s="6" cm="1">
        <f t="array" ref="S232">_xlfn.XLOOKUP(Table8[[#This Row],[Admin2PCODE]:[Admin2PCODE]],tblPiNAnalysis[[Admin2PCODE]:[Admin2PCODE]],tblPiNAnalysis[% WASH],0,0)</f>
        <v>0</v>
      </c>
      <c r="T232" s="6" cm="1">
        <f t="array" ref="T232">_xlfn.XLOOKUP(Table8[[#This Row],[Admin2PCODE]:[Admin2PCODE]],tblPiNAnalysis[[Admin2PCODE]:[Admin2PCODE]],tblPiNAnalysis[% NNA],0,0)</f>
        <v>0.05</v>
      </c>
      <c r="U232" s="6" cm="1">
        <f t="array" ref="U232">_xlfn.XLOOKUP(Table8[[#This Row],[Admin2PCODE]:[Admin2PCODE]],tblPiNAnalysis[[Admin2PCODE]:[Admin2PCODE]],tblPiNAnalysis[% VBG],0,0)</f>
        <v>0.05</v>
      </c>
      <c r="V232" s="8" cm="1">
        <f t="array" ref="V232">_xlfn.XLOOKUP(Table8[[#This Row],[Admin2PCODE]:[Admin2PCODE]],tblPiNAnalysis[[Admin2PCODE]:[Admin2PCODE]],tblPiNAnalysis[PiN preliminar],0,0)</f>
        <v>0</v>
      </c>
      <c r="W232" s="308" cm="1">
        <f t="array" ref="W232">_xlfn.XLOOKUP(Table8[[#This Row],[Admin2PCODE]],tblPiNAnalysis[Admin2PCODE],tblSeverityAnalysis[Severidad media],0,0)</f>
        <v>3</v>
      </c>
      <c r="X232" s="42">
        <f>Table8[[#This Row],[Severidad media]]*6</f>
        <v>18</v>
      </c>
      <c r="Y232" s="6" cm="1">
        <f t="array" ref="Y232">_xlfn.XLOOKUP(Table8[[#This Row],[Admin2PCODE]],tblPiNAnalysis[Admin2PCODE],tblPiNAnalysis[% PiN Sectores más altos],0,0)</f>
        <v>0.72225305216426194</v>
      </c>
      <c r="Z232" s="42" cm="1">
        <f t="array" ref="Z232">_xlfn.XLOOKUP(Table8[[#This Row],[Admin2PCODE]:[Admin2PCODE]],tblPiNAnalysis[[Admin2PCODE]:[Admin2PCODE]],tblPiNAnalysis[Severidad],0,0)</f>
        <v>2</v>
      </c>
      <c r="AA232">
        <f>_xlfn.XLOOKUP(Table8[[#This Row],[Admin2PCODE]],tblSeverityAnalysis[Admin 2 Código P],tblSeverityAnalysis[Severidad Ttotal 2025],0,0)</f>
        <v>3</v>
      </c>
      <c r="AB232" t="str">
        <f>_xlfn.XLOOKUP(Table8[[#This Row],[Admin2PCODE]],tblSeverityAnalysis[Admin 2 Código P],tblSeverityAnalysis[Priorización Final 2025],0,0)</f>
        <v>No</v>
      </c>
      <c r="AC232">
        <v>3</v>
      </c>
      <c r="AD232" t="s">
        <v>1005</v>
      </c>
      <c r="AE232">
        <v>3</v>
      </c>
      <c r="AF232">
        <v>0</v>
      </c>
      <c r="AG232">
        <v>0</v>
      </c>
      <c r="AH232">
        <v>0</v>
      </c>
      <c r="AI232">
        <v>0</v>
      </c>
      <c r="AJ232">
        <v>1</v>
      </c>
      <c r="AK232">
        <v>0</v>
      </c>
      <c r="AL232">
        <v>0</v>
      </c>
      <c r="AM232">
        <v>1</v>
      </c>
      <c r="AN232">
        <v>1</v>
      </c>
      <c r="AO232" s="314">
        <f>Table8[[#This Row],[N° Clústeres con respuesta]]/Table8[[#This Row],[Org Total]]</f>
        <v>1</v>
      </c>
      <c r="AP232" s="313">
        <v>4042</v>
      </c>
      <c r="AQ232" s="313">
        <v>60</v>
      </c>
      <c r="AR232" s="312">
        <f>Table8[[#This Row],[Alcanzados Oct 2025]]/Table8[[#This Row],[Meta 2025]]</f>
        <v>1.4844136566056407E-2</v>
      </c>
      <c r="AS232" s="423">
        <v>0</v>
      </c>
      <c r="AT232" s="423">
        <v>0</v>
      </c>
      <c r="AU232" s="423">
        <v>0</v>
      </c>
      <c r="AV232" s="423">
        <v>0</v>
      </c>
      <c r="AW232" s="423">
        <v>3</v>
      </c>
      <c r="AX232" s="423">
        <v>0</v>
      </c>
      <c r="AY232" s="423">
        <v>0</v>
      </c>
      <c r="AZ232" s="423">
        <v>1</v>
      </c>
      <c r="BA232" s="42">
        <v>60</v>
      </c>
    </row>
    <row r="233" spans="1:53">
      <c r="A233" t="s">
        <v>536</v>
      </c>
      <c r="B233" t="s">
        <v>537</v>
      </c>
      <c r="C233" t="s">
        <v>559</v>
      </c>
      <c r="D233" t="s">
        <v>560</v>
      </c>
      <c r="E233" s="8">
        <v>18002</v>
      </c>
      <c r="F233" s="8">
        <v>7125</v>
      </c>
      <c r="G233" s="8">
        <v>576.86059030059187</v>
      </c>
      <c r="H233" s="8">
        <v>6570.73</v>
      </c>
      <c r="I233" s="8">
        <v>607.0968860992474</v>
      </c>
      <c r="J233" s="8">
        <v>2846.5766565843305</v>
      </c>
      <c r="K233" s="8">
        <v>0</v>
      </c>
      <c r="L233" s="8">
        <v>910.90453010698582</v>
      </c>
      <c r="M233" s="8">
        <v>996.30182980451559</v>
      </c>
      <c r="N233" s="6" cm="1">
        <f t="array" ref="N233">_xlfn.XLOOKUP(Table8[[#This Row],[Admin2PCODE]:[Admin2PCODE]],tblPiNAnalysis[[Admin2PCODE]:[Admin2PCODE]],tblPiNAnalysis[% SAMV],0,0)</f>
        <v>0.4</v>
      </c>
      <c r="O233" s="6" cm="1">
        <f t="array" ref="O233">_xlfn.XLOOKUP(Table8[[#This Row],[Admin2PCODE]:[Admin2PCODE]],tblPiNAnalysis[[Admin2PCODE]:[Admin2PCODE]],tblPiNAnalysis[% NUT],0,0)</f>
        <v>0.05</v>
      </c>
      <c r="P233" s="6" cm="1">
        <f t="array" ref="P233">_xlfn.XLOOKUP(Table8[[#This Row],[Admin2PCODE]:[Admin2PCODE]],tblPiNAnalysis[[Admin2PCODE]:[Admin2PCODE]],tblPiNAnalysis[% SAL],0,0)</f>
        <v>0.35000000000000003</v>
      </c>
      <c r="Q233" s="6" cm="1">
        <f t="array" ref="Q233">_xlfn.XLOOKUP(Table8[[#This Row],[Admin2PCODE]:[Admin2PCODE]],tblPiNAnalysis[[Admin2PCODE]:[Admin2PCODE]],tblPiNAnalysis[% EDU],0,0)</f>
        <v>0.05</v>
      </c>
      <c r="R233" s="6" cm="1">
        <f t="array" ref="R233">_xlfn.XLOOKUP(Table8[[#This Row],[Admin2PCODE]:[Admin2PCODE]],tblPiNAnalysis[[Admin2PCODE]:[Admin2PCODE]],tblPiNAnalysis[% PRO],0,0)</f>
        <v>0.15000000000000002</v>
      </c>
      <c r="S233" s="6" cm="1">
        <f t="array" ref="S233">_xlfn.XLOOKUP(Table8[[#This Row],[Admin2PCODE]:[Admin2PCODE]],tblPiNAnalysis[[Admin2PCODE]:[Admin2PCODE]],tblPiNAnalysis[% WASH],0,0)</f>
        <v>0</v>
      </c>
      <c r="T233" s="6" cm="1">
        <f t="array" ref="T233">_xlfn.XLOOKUP(Table8[[#This Row],[Admin2PCODE]:[Admin2PCODE]],tblPiNAnalysis[[Admin2PCODE]:[Admin2PCODE]],tblPiNAnalysis[% NNA],0,0)</f>
        <v>0.05</v>
      </c>
      <c r="U233" s="6" cm="1">
        <f t="array" ref="U233">_xlfn.XLOOKUP(Table8[[#This Row],[Admin2PCODE]:[Admin2PCODE]],tblPiNAnalysis[[Admin2PCODE]:[Admin2PCODE]],tblPiNAnalysis[% VBG],0,0)</f>
        <v>0.05</v>
      </c>
      <c r="V233" s="8" cm="1">
        <f t="array" ref="V233">_xlfn.XLOOKUP(Table8[[#This Row],[Admin2PCODE]:[Admin2PCODE]],tblPiNAnalysis[[Admin2PCODE]:[Admin2PCODE]],tblPiNAnalysis[PiN preliminar],0,0)</f>
        <v>7125</v>
      </c>
      <c r="W233" s="308" cm="1">
        <f t="array" ref="W233">_xlfn.XLOOKUP(Table8[[#This Row],[Admin2PCODE]],tblPiNAnalysis[Admin2PCODE],tblSeverityAnalysis[Severidad media],0,0)</f>
        <v>2.8333333333333335</v>
      </c>
      <c r="X233" s="42">
        <f>Table8[[#This Row],[Severidad media]]*6</f>
        <v>17</v>
      </c>
      <c r="Y233" s="6" cm="1">
        <f t="array" ref="Y233">_xlfn.XLOOKUP(Table8[[#This Row],[Admin2PCODE]],tblPiNAnalysis[Admin2PCODE],tblPiNAnalysis[% PiN Sectores más altos],0,0)</f>
        <v>0.3957893567381402</v>
      </c>
      <c r="Z233" s="42" cm="1">
        <f t="array" ref="Z233">_xlfn.XLOOKUP(Table8[[#This Row],[Admin2PCODE]:[Admin2PCODE]],tblPiNAnalysis[[Admin2PCODE]:[Admin2PCODE]],tblPiNAnalysis[Severidad],0,0)</f>
        <v>3</v>
      </c>
      <c r="AA233">
        <f>_xlfn.XLOOKUP(Table8[[#This Row],[Admin2PCODE]],tblSeverityAnalysis[Admin 2 Código P],tblSeverityAnalysis[Severidad Ttotal 2025],0,0)</f>
        <v>3</v>
      </c>
      <c r="AB233" t="str">
        <f>_xlfn.XLOOKUP(Table8[[#This Row],[Admin2PCODE]],tblSeverityAnalysis[Admin 2 Código P],tblSeverityAnalysis[Priorización Final 2025],0,0)</f>
        <v>No</v>
      </c>
      <c r="AC233">
        <v>2</v>
      </c>
      <c r="AD233" t="s">
        <v>1077</v>
      </c>
      <c r="AE233">
        <v>2</v>
      </c>
      <c r="AF233">
        <v>0</v>
      </c>
      <c r="AG233">
        <v>1</v>
      </c>
      <c r="AH233">
        <v>0</v>
      </c>
      <c r="AI233">
        <v>0</v>
      </c>
      <c r="AJ233">
        <v>0</v>
      </c>
      <c r="AK233">
        <v>0</v>
      </c>
      <c r="AL233">
        <v>0</v>
      </c>
      <c r="AM233">
        <v>0</v>
      </c>
      <c r="AN233">
        <v>2</v>
      </c>
      <c r="AO233" s="314">
        <f>Table8[[#This Row],[N° Clústeres con respuesta]]/Table8[[#This Row],[Org Total]]</f>
        <v>1</v>
      </c>
      <c r="AP233" s="313">
        <v>4038</v>
      </c>
      <c r="AQ233" s="313">
        <v>46</v>
      </c>
      <c r="AR233" s="312">
        <f>Table8[[#This Row],[Alcanzados Oct 2025]]/Table8[[#This Row],[Meta 2025]]</f>
        <v>1.1391778107974244E-2</v>
      </c>
      <c r="AS233" s="423">
        <v>0</v>
      </c>
      <c r="AT233" s="423">
        <v>0</v>
      </c>
      <c r="AU233" s="423">
        <v>0</v>
      </c>
      <c r="AV233" s="423">
        <v>0</v>
      </c>
      <c r="AW233" s="423">
        <v>0</v>
      </c>
      <c r="AX233" s="423">
        <v>0</v>
      </c>
      <c r="AY233" s="423">
        <v>0</v>
      </c>
      <c r="AZ233" s="423">
        <v>0</v>
      </c>
      <c r="BA233" s="42">
        <v>46</v>
      </c>
    </row>
    <row r="234" spans="1:53">
      <c r="A234" t="s">
        <v>536</v>
      </c>
      <c r="B234" t="s">
        <v>537</v>
      </c>
      <c r="C234" t="s">
        <v>203</v>
      </c>
      <c r="D234" t="s">
        <v>561</v>
      </c>
      <c r="E234" s="8">
        <v>41965</v>
      </c>
      <c r="F234" s="8">
        <v>22381</v>
      </c>
      <c r="G234" s="8">
        <v>1706.8130058593465</v>
      </c>
      <c r="H234" s="8">
        <v>15317.225</v>
      </c>
      <c r="I234" s="8">
        <v>1612.6245805246131</v>
      </c>
      <c r="J234" s="8">
        <v>3981.4439304597754</v>
      </c>
      <c r="K234" s="8">
        <v>0</v>
      </c>
      <c r="L234" s="8">
        <v>1274.0620577471282</v>
      </c>
      <c r="M234" s="8">
        <v>1393.5053756609209</v>
      </c>
      <c r="N234" s="6" cm="1">
        <f t="array" ref="N234">_xlfn.XLOOKUP(Table8[[#This Row],[Admin2PCODE]:[Admin2PCODE]],tblPiNAnalysis[[Admin2PCODE]:[Admin2PCODE]],tblPiNAnalysis[% SAMV],0,0)</f>
        <v>0.55000000000000004</v>
      </c>
      <c r="O234" s="6" cm="1">
        <f t="array" ref="O234">_xlfn.XLOOKUP(Table8[[#This Row],[Admin2PCODE]:[Admin2PCODE]],tblPiNAnalysis[[Admin2PCODE]:[Admin2PCODE]],tblPiNAnalysis[% NUT],0,0)</f>
        <v>0.05</v>
      </c>
      <c r="P234" s="6" cm="1">
        <f t="array" ref="P234">_xlfn.XLOOKUP(Table8[[#This Row],[Admin2PCODE]:[Admin2PCODE]],tblPiNAnalysis[[Admin2PCODE]:[Admin2PCODE]],tblPiNAnalysis[% SAL],0,0)</f>
        <v>0.35000000000000003</v>
      </c>
      <c r="Q234" s="6" cm="1">
        <f t="array" ref="Q234">_xlfn.XLOOKUP(Table8[[#This Row],[Admin2PCODE]:[Admin2PCODE]],tblPiNAnalysis[[Admin2PCODE]:[Admin2PCODE]],tblPiNAnalysis[% EDU],0,0)</f>
        <v>0.05</v>
      </c>
      <c r="R234" s="6" cm="1">
        <f t="array" ref="R234">_xlfn.XLOOKUP(Table8[[#This Row],[Admin2PCODE]:[Admin2PCODE]],tblPiNAnalysis[[Admin2PCODE]:[Admin2PCODE]],tblPiNAnalysis[% PRO],0,0)</f>
        <v>0.1</v>
      </c>
      <c r="S234" s="6" cm="1">
        <f t="array" ref="S234">_xlfn.XLOOKUP(Table8[[#This Row],[Admin2PCODE]:[Admin2PCODE]],tblPiNAnalysis[[Admin2PCODE]:[Admin2PCODE]],tblPiNAnalysis[% WASH],0,0)</f>
        <v>0</v>
      </c>
      <c r="T234" s="6" cm="1">
        <f t="array" ref="T234">_xlfn.XLOOKUP(Table8[[#This Row],[Admin2PCODE]:[Admin2PCODE]],tblPiNAnalysis[[Admin2PCODE]:[Admin2PCODE]],tblPiNAnalysis[% NNA],0,0)</f>
        <v>0.05</v>
      </c>
      <c r="U234" s="6" cm="1">
        <f t="array" ref="U234">_xlfn.XLOOKUP(Table8[[#This Row],[Admin2PCODE]:[Admin2PCODE]],tblPiNAnalysis[[Admin2PCODE]:[Admin2PCODE]],tblPiNAnalysis[% VBG],0,0)</f>
        <v>0.05</v>
      </c>
      <c r="V234" s="8" cm="1">
        <f t="array" ref="V234">_xlfn.XLOOKUP(Table8[[#This Row],[Admin2PCODE]:[Admin2PCODE]],tblPiNAnalysis[[Admin2PCODE]:[Admin2PCODE]],tblPiNAnalysis[PiN preliminar],0,0)</f>
        <v>0</v>
      </c>
      <c r="W234" s="308" cm="1">
        <f t="array" ref="W234">_xlfn.XLOOKUP(Table8[[#This Row],[Admin2PCODE]],tblPiNAnalysis[Admin2PCODE],tblSeverityAnalysis[Severidad media],0,0)</f>
        <v>2.3333333333333335</v>
      </c>
      <c r="X234" s="42">
        <f>Table8[[#This Row],[Severidad media]]*6</f>
        <v>14</v>
      </c>
      <c r="Y234" s="6" cm="1">
        <f t="array" ref="Y234">_xlfn.XLOOKUP(Table8[[#This Row],[Admin2PCODE]],tblPiNAnalysis[Admin2PCODE],tblPiNAnalysis[% PiN Sectores más altos],0,0)</f>
        <v>0.53332539020612413</v>
      </c>
      <c r="Z234" s="42" cm="1">
        <f t="array" ref="Z234">_xlfn.XLOOKUP(Table8[[#This Row],[Admin2PCODE]:[Admin2PCODE]],tblPiNAnalysis[[Admin2PCODE]:[Admin2PCODE]],tblPiNAnalysis[Severidad],0,0)</f>
        <v>2</v>
      </c>
      <c r="AA234">
        <f>_xlfn.XLOOKUP(Table8[[#This Row],[Admin2PCODE]],tblSeverityAnalysis[Admin 2 Código P],tblSeverityAnalysis[Severidad Ttotal 2025],0,0)</f>
        <v>3</v>
      </c>
      <c r="AB234" t="str">
        <f>_xlfn.XLOOKUP(Table8[[#This Row],[Admin2PCODE]],tblSeverityAnalysis[Admin 2 Código P],tblSeverityAnalysis[Priorización Final 2025],0,0)</f>
        <v>No</v>
      </c>
      <c r="AC234">
        <v>2</v>
      </c>
      <c r="AD234" t="s">
        <v>1053</v>
      </c>
      <c r="AE234">
        <v>3</v>
      </c>
      <c r="AF234">
        <v>0</v>
      </c>
      <c r="AG234">
        <v>0</v>
      </c>
      <c r="AH234">
        <v>0</v>
      </c>
      <c r="AI234">
        <v>0</v>
      </c>
      <c r="AJ234">
        <v>2</v>
      </c>
      <c r="AK234">
        <v>0</v>
      </c>
      <c r="AL234">
        <v>0</v>
      </c>
      <c r="AM234">
        <v>1</v>
      </c>
      <c r="AN234">
        <v>0</v>
      </c>
      <c r="AO234" s="314">
        <f>Table8[[#This Row],[N° Clústeres con respuesta]]/Table8[[#This Row],[Org Total]]</f>
        <v>0.66666666666666663</v>
      </c>
      <c r="AP234" s="313">
        <v>7862</v>
      </c>
      <c r="AQ234" s="313">
        <v>5</v>
      </c>
      <c r="AR234" s="312">
        <f>Table8[[#This Row],[Alcanzados Oct 2025]]/Table8[[#This Row],[Meta 2025]]</f>
        <v>6.3597049096921908E-4</v>
      </c>
      <c r="AS234" s="423">
        <v>0</v>
      </c>
      <c r="AT234" s="423">
        <v>0</v>
      </c>
      <c r="AU234" s="423">
        <v>0</v>
      </c>
      <c r="AV234" s="423">
        <v>0</v>
      </c>
      <c r="AW234" s="423">
        <v>3</v>
      </c>
      <c r="AX234" s="423">
        <v>0</v>
      </c>
      <c r="AY234" s="423">
        <v>0</v>
      </c>
      <c r="AZ234" s="423">
        <v>2</v>
      </c>
      <c r="BA234" s="42">
        <v>0</v>
      </c>
    </row>
    <row r="235" spans="1:53">
      <c r="A235" t="s">
        <v>536</v>
      </c>
      <c r="B235" t="s">
        <v>537</v>
      </c>
      <c r="C235" t="s">
        <v>562</v>
      </c>
      <c r="D235" t="s">
        <v>563</v>
      </c>
      <c r="E235" s="8">
        <v>64368</v>
      </c>
      <c r="F235" s="8">
        <v>34866</v>
      </c>
      <c r="G235" s="8">
        <v>2425.0194820477091</v>
      </c>
      <c r="H235" s="8">
        <v>23494.32</v>
      </c>
      <c r="I235" s="8">
        <v>4300.5296577383288</v>
      </c>
      <c r="J235" s="8">
        <v>12213.872651773372</v>
      </c>
      <c r="K235" s="8">
        <v>0</v>
      </c>
      <c r="L235" s="8">
        <v>3908.4392485674789</v>
      </c>
      <c r="M235" s="8">
        <v>4274.8554281206798</v>
      </c>
      <c r="N235" s="6" cm="1">
        <f t="array" ref="N235">_xlfn.XLOOKUP(Table8[[#This Row],[Admin2PCODE]:[Admin2PCODE]],tblPiNAnalysis[[Admin2PCODE]:[Admin2PCODE]],tblPiNAnalysis[% SAMV],0,0)</f>
        <v>0.55000000000000004</v>
      </c>
      <c r="O235" s="6" cm="1">
        <f t="array" ref="O235">_xlfn.XLOOKUP(Table8[[#This Row],[Admin2PCODE]:[Admin2PCODE]],tblPiNAnalysis[[Admin2PCODE]:[Admin2PCODE]],tblPiNAnalysis[% NUT],0,0)</f>
        <v>0.05</v>
      </c>
      <c r="P235" s="6" cm="1">
        <f t="array" ref="P235">_xlfn.XLOOKUP(Table8[[#This Row],[Admin2PCODE]:[Admin2PCODE]],tblPiNAnalysis[[Admin2PCODE]:[Admin2PCODE]],tblPiNAnalysis[% SAL],0,0)</f>
        <v>0.35000000000000003</v>
      </c>
      <c r="Q235" s="6" cm="1">
        <f t="array" ref="Q235">_xlfn.XLOOKUP(Table8[[#This Row],[Admin2PCODE]:[Admin2PCODE]],tblPiNAnalysis[[Admin2PCODE]:[Admin2PCODE]],tblPiNAnalysis[% EDU],0,0)</f>
        <v>0.05</v>
      </c>
      <c r="R235" s="6" cm="1">
        <f t="array" ref="R235">_xlfn.XLOOKUP(Table8[[#This Row],[Admin2PCODE]:[Admin2PCODE]],tblPiNAnalysis[[Admin2PCODE]:[Admin2PCODE]],tblPiNAnalysis[% PRO],0,0)</f>
        <v>0.2</v>
      </c>
      <c r="S235" s="6" cm="1">
        <f t="array" ref="S235">_xlfn.XLOOKUP(Table8[[#This Row],[Admin2PCODE]:[Admin2PCODE]],tblPiNAnalysis[[Admin2PCODE]:[Admin2PCODE]],tblPiNAnalysis[% WASH],0,0)</f>
        <v>0</v>
      </c>
      <c r="T235" s="6" cm="1">
        <f t="array" ref="T235">_xlfn.XLOOKUP(Table8[[#This Row],[Admin2PCODE]:[Admin2PCODE]],tblPiNAnalysis[[Admin2PCODE]:[Admin2PCODE]],tblPiNAnalysis[% NNA],0,0)</f>
        <v>0.05</v>
      </c>
      <c r="U235" s="6" cm="1">
        <f t="array" ref="U235">_xlfn.XLOOKUP(Table8[[#This Row],[Admin2PCODE]:[Admin2PCODE]],tblPiNAnalysis[[Admin2PCODE]:[Admin2PCODE]],tblPiNAnalysis[% VBG],0,0)</f>
        <v>0.05</v>
      </c>
      <c r="V235" s="8" cm="1">
        <f t="array" ref="V235">_xlfn.XLOOKUP(Table8[[#This Row],[Admin2PCODE]:[Admin2PCODE]],tblPiNAnalysis[[Admin2PCODE]:[Admin2PCODE]],tblPiNAnalysis[PiN preliminar],0,0)</f>
        <v>34866</v>
      </c>
      <c r="W235" s="308" cm="1">
        <f t="array" ref="W235">_xlfn.XLOOKUP(Table8[[#This Row],[Admin2PCODE]],tblPiNAnalysis[Admin2PCODE],tblSeverityAnalysis[Severidad media],0,0)</f>
        <v>3.5</v>
      </c>
      <c r="X235" s="42">
        <f>Table8[[#This Row],[Severidad media]]*6</f>
        <v>21</v>
      </c>
      <c r="Y235" s="6" cm="1">
        <f t="array" ref="Y235">_xlfn.XLOOKUP(Table8[[#This Row],[Admin2PCODE]],tblPiNAnalysis[Admin2PCODE],tblPiNAnalysis[% PiN Sectores más altos],0,0)</f>
        <v>0.54166666666666663</v>
      </c>
      <c r="Z235" s="42" cm="1">
        <f t="array" ref="Z235">_xlfn.XLOOKUP(Table8[[#This Row],[Admin2PCODE]:[Admin2PCODE]],tblPiNAnalysis[[Admin2PCODE]:[Admin2PCODE]],tblPiNAnalysis[Severidad],0,0)</f>
        <v>3</v>
      </c>
      <c r="AA235">
        <f>_xlfn.XLOOKUP(Table8[[#This Row],[Admin2PCODE]],tblSeverityAnalysis[Admin 2 Código P],tblSeverityAnalysis[Severidad Ttotal 2025],0,0)</f>
        <v>3</v>
      </c>
      <c r="AB235" t="str">
        <f>_xlfn.XLOOKUP(Table8[[#This Row],[Admin2PCODE]],tblSeverityAnalysis[Admin 2 Código P],tblSeverityAnalysis[Priorización Final 2025],0,0)</f>
        <v>No</v>
      </c>
      <c r="AC235">
        <v>2</v>
      </c>
      <c r="AD235" t="s">
        <v>1008</v>
      </c>
      <c r="AE235">
        <v>2</v>
      </c>
      <c r="AF235">
        <v>0</v>
      </c>
      <c r="AG235">
        <v>0</v>
      </c>
      <c r="AH235">
        <v>0</v>
      </c>
      <c r="AI235">
        <v>0</v>
      </c>
      <c r="AJ235">
        <v>0</v>
      </c>
      <c r="AK235">
        <v>0</v>
      </c>
      <c r="AL235">
        <v>0</v>
      </c>
      <c r="AM235">
        <v>1</v>
      </c>
      <c r="AN235">
        <v>1</v>
      </c>
      <c r="AO235" s="314">
        <f>Table8[[#This Row],[N° Clústeres con respuesta]]/Table8[[#This Row],[Org Total]]</f>
        <v>1</v>
      </c>
      <c r="AP235" s="313">
        <v>10810</v>
      </c>
      <c r="AQ235" s="313">
        <v>74</v>
      </c>
      <c r="AR235" s="312">
        <f>Table8[[#This Row],[Alcanzados Oct 2025]]/Table8[[#This Row],[Meta 2025]]</f>
        <v>6.8455134135060125E-3</v>
      </c>
      <c r="AS235" s="423">
        <v>0</v>
      </c>
      <c r="AT235" s="423">
        <v>0</v>
      </c>
      <c r="AU235" s="423">
        <v>0</v>
      </c>
      <c r="AV235" s="423">
        <v>0</v>
      </c>
      <c r="AW235" s="423">
        <v>0</v>
      </c>
      <c r="AX235" s="423">
        <v>0</v>
      </c>
      <c r="AY235" s="423">
        <v>0</v>
      </c>
      <c r="AZ235" s="423">
        <v>2</v>
      </c>
      <c r="BA235" s="42">
        <v>74</v>
      </c>
    </row>
    <row r="236" spans="1:53">
      <c r="A236" t="s">
        <v>203</v>
      </c>
      <c r="B236" t="s">
        <v>564</v>
      </c>
      <c r="C236" t="s">
        <v>237</v>
      </c>
      <c r="D236" t="s">
        <v>565</v>
      </c>
      <c r="E236" s="8">
        <v>26228</v>
      </c>
      <c r="F236" s="8">
        <v>3995</v>
      </c>
      <c r="G236" s="8">
        <v>1256.7226782629036</v>
      </c>
      <c r="H236" s="8">
        <v>9573.2199999999993</v>
      </c>
      <c r="I236" s="8">
        <v>1499.9332107983814</v>
      </c>
      <c r="J236" s="8">
        <v>5232.1632431114303</v>
      </c>
      <c r="K236" s="8">
        <v>3540.78</v>
      </c>
      <c r="L236" s="8">
        <v>1674.2922377956579</v>
      </c>
      <c r="M236" s="8">
        <v>1831.2571350890003</v>
      </c>
      <c r="N236" s="6" cm="1">
        <f t="array" ref="N236">_xlfn.XLOOKUP(Table8[[#This Row],[Admin2PCODE]:[Admin2PCODE]],tblPiNAnalysis[[Admin2PCODE]:[Admin2PCODE]],tblPiNAnalysis[% SAMV],0,0)</f>
        <v>0.15000000000000002</v>
      </c>
      <c r="O236" s="6" cm="1">
        <f t="array" ref="O236">_xlfn.XLOOKUP(Table8[[#This Row],[Admin2PCODE]:[Admin2PCODE]],tblPiNAnalysis[[Admin2PCODE]:[Admin2PCODE]],tblPiNAnalysis[% NUT],0,0)</f>
        <v>0.05</v>
      </c>
      <c r="P236" s="6" cm="1">
        <f t="array" ref="P236">_xlfn.XLOOKUP(Table8[[#This Row],[Admin2PCODE]:[Admin2PCODE]],tblPiNAnalysis[[Admin2PCODE]:[Admin2PCODE]],tblPiNAnalysis[% SAL],0,0)</f>
        <v>0.35000000000000003</v>
      </c>
      <c r="Q236" s="6" cm="1">
        <f t="array" ref="Q236">_xlfn.XLOOKUP(Table8[[#This Row],[Admin2PCODE]:[Admin2PCODE]],tblPiNAnalysis[[Admin2PCODE]:[Admin2PCODE]],tblPiNAnalysis[% EDU],0,0)</f>
        <v>0.05</v>
      </c>
      <c r="R236" s="6" cm="1">
        <f t="array" ref="R236">_xlfn.XLOOKUP(Table8[[#This Row],[Admin2PCODE]:[Admin2PCODE]],tblPiNAnalysis[[Admin2PCODE]:[Admin2PCODE]],tblPiNAnalysis[% PRO],0,0)</f>
        <v>0.2</v>
      </c>
      <c r="S236" s="6" cm="1">
        <f t="array" ref="S236">_xlfn.XLOOKUP(Table8[[#This Row],[Admin2PCODE]:[Admin2PCODE]],tblPiNAnalysis[[Admin2PCODE]:[Admin2PCODE]],tblPiNAnalysis[% WASH],0,0)</f>
        <v>0.15000000000000002</v>
      </c>
      <c r="T236" s="6" cm="1">
        <f t="array" ref="T236">_xlfn.XLOOKUP(Table8[[#This Row],[Admin2PCODE]:[Admin2PCODE]],tblPiNAnalysis[[Admin2PCODE]:[Admin2PCODE]],tblPiNAnalysis[% NNA],0,0)</f>
        <v>0.05</v>
      </c>
      <c r="U236" s="6" cm="1">
        <f t="array" ref="U236">_xlfn.XLOOKUP(Table8[[#This Row],[Admin2PCODE]:[Admin2PCODE]],tblPiNAnalysis[[Admin2PCODE]:[Admin2PCODE]],tblPiNAnalysis[% VBG],0,0)</f>
        <v>0.05</v>
      </c>
      <c r="V236" s="8" cm="1">
        <f t="array" ref="V236">_xlfn.XLOOKUP(Table8[[#This Row],[Admin2PCODE]:[Admin2PCODE]],tblPiNAnalysis[[Admin2PCODE]:[Admin2PCODE]],tblPiNAnalysis[PiN preliminar],0,0)</f>
        <v>9573.2199999999993</v>
      </c>
      <c r="W236" s="308" cm="1">
        <f t="array" ref="W236">_xlfn.XLOOKUP(Table8[[#This Row],[Admin2PCODE]],tblPiNAnalysis[Admin2PCODE],tblSeverityAnalysis[Severidad media],0,0)</f>
        <v>2.5</v>
      </c>
      <c r="X236" s="42">
        <f>Table8[[#This Row],[Severidad media]]*6</f>
        <v>15</v>
      </c>
      <c r="Y236" s="6" cm="1">
        <f t="array" ref="Y236">_xlfn.XLOOKUP(Table8[[#This Row],[Admin2PCODE]],tblPiNAnalysis[Admin2PCODE],tblPiNAnalysis[% PiN Sectores más altos],0,0)</f>
        <v>0.36499999999999999</v>
      </c>
      <c r="Z236" s="42" cm="1">
        <f t="array" ref="Z236">_xlfn.XLOOKUP(Table8[[#This Row],[Admin2PCODE]:[Admin2PCODE]],tblPiNAnalysis[[Admin2PCODE]:[Admin2PCODE]],tblPiNAnalysis[Severidad],0,0)</f>
        <v>3</v>
      </c>
      <c r="AA236">
        <f>_xlfn.XLOOKUP(Table8[[#This Row],[Admin2PCODE]],tblSeverityAnalysis[Admin 2 Código P],tblSeverityAnalysis[Severidad Ttotal 2025],0,0)</f>
        <v>3</v>
      </c>
      <c r="AB236" t="str">
        <f>_xlfn.XLOOKUP(Table8[[#This Row],[Admin2PCODE]],tblSeverityAnalysis[Admin 2 Código P],tblSeverityAnalysis[Priorización Final 2025],0,0)</f>
        <v>No</v>
      </c>
      <c r="AC236">
        <v>5</v>
      </c>
      <c r="AD236" t="s">
        <v>1078</v>
      </c>
      <c r="AE236">
        <v>7</v>
      </c>
      <c r="AF236">
        <v>1</v>
      </c>
      <c r="AG236">
        <v>2</v>
      </c>
      <c r="AH236">
        <v>0</v>
      </c>
      <c r="AI236">
        <v>1</v>
      </c>
      <c r="AJ236">
        <v>1</v>
      </c>
      <c r="AK236">
        <v>0</v>
      </c>
      <c r="AL236">
        <v>0</v>
      </c>
      <c r="AM236">
        <v>2</v>
      </c>
      <c r="AN236">
        <v>3</v>
      </c>
      <c r="AO236" s="314">
        <f>Table8[[#This Row],[N° Clústeres con respuesta]]/Table8[[#This Row],[Org Total]]</f>
        <v>0.7142857142857143</v>
      </c>
      <c r="AP236" s="313">
        <v>6124</v>
      </c>
      <c r="AQ236" s="313">
        <v>4605</v>
      </c>
      <c r="AR236" s="312">
        <f>Table8[[#This Row],[Alcanzados Oct 2025]]/Table8[[#This Row],[Meta 2025]]</f>
        <v>0.75195950359242325</v>
      </c>
      <c r="AS236" s="423">
        <v>35</v>
      </c>
      <c r="AT236" s="423">
        <v>0</v>
      </c>
      <c r="AU236" s="423">
        <v>0</v>
      </c>
      <c r="AV236" s="423">
        <v>0</v>
      </c>
      <c r="AW236" s="423">
        <v>2</v>
      </c>
      <c r="AX236" s="423">
        <v>0</v>
      </c>
      <c r="AY236" s="423">
        <v>0</v>
      </c>
      <c r="AZ236" s="423">
        <v>1095</v>
      </c>
      <c r="BA236" s="42">
        <v>4605</v>
      </c>
    </row>
    <row r="237" spans="1:53">
      <c r="A237" t="s">
        <v>203</v>
      </c>
      <c r="B237" t="s">
        <v>564</v>
      </c>
      <c r="C237" t="s">
        <v>566</v>
      </c>
      <c r="D237" t="s">
        <v>567</v>
      </c>
      <c r="E237" s="8">
        <v>20531</v>
      </c>
      <c r="F237" s="8">
        <v>6501</v>
      </c>
      <c r="G237" s="8">
        <v>1216.7153240588023</v>
      </c>
      <c r="H237" s="8">
        <v>7493.8149999999996</v>
      </c>
      <c r="I237" s="8">
        <v>774.02808328521144</v>
      </c>
      <c r="J237" s="8">
        <v>4914.8182192002769</v>
      </c>
      <c r="K237" s="8">
        <v>0</v>
      </c>
      <c r="L237" s="8">
        <v>1577.6566483632889</v>
      </c>
      <c r="M237" s="8">
        <v>1720.1863767200966</v>
      </c>
      <c r="N237" s="6" cm="1">
        <f t="array" ref="N237">_xlfn.XLOOKUP(Table8[[#This Row],[Admin2PCODE]:[Admin2PCODE]],tblPiNAnalysis[[Admin2PCODE]:[Admin2PCODE]],tblPiNAnalysis[% SAMV],0,0)</f>
        <v>0.30000000000000004</v>
      </c>
      <c r="O237" s="6" cm="1">
        <f t="array" ref="O237">_xlfn.XLOOKUP(Table8[[#This Row],[Admin2PCODE]:[Admin2PCODE]],tblPiNAnalysis[[Admin2PCODE]:[Admin2PCODE]],tblPiNAnalysis[% NUT],0,0)</f>
        <v>0.05</v>
      </c>
      <c r="P237" s="6" cm="1">
        <f t="array" ref="P237">_xlfn.XLOOKUP(Table8[[#This Row],[Admin2PCODE]:[Admin2PCODE]],tblPiNAnalysis[[Admin2PCODE]:[Admin2PCODE]],tblPiNAnalysis[% SAL],0,0)</f>
        <v>0.35000000000000003</v>
      </c>
      <c r="Q237" s="6" cm="1">
        <f t="array" ref="Q237">_xlfn.XLOOKUP(Table8[[#This Row],[Admin2PCODE]:[Admin2PCODE]],tblPiNAnalysis[[Admin2PCODE]:[Admin2PCODE]],tblPiNAnalysis[% EDU],0,0)</f>
        <v>0.05</v>
      </c>
      <c r="R237" s="6" cm="1">
        <f t="array" ref="R237">_xlfn.XLOOKUP(Table8[[#This Row],[Admin2PCODE]:[Admin2PCODE]],tblPiNAnalysis[[Admin2PCODE]:[Admin2PCODE]],tblPiNAnalysis[% PRO],0,0)</f>
        <v>0.25</v>
      </c>
      <c r="S237" s="6" cm="1">
        <f t="array" ref="S237">_xlfn.XLOOKUP(Table8[[#This Row],[Admin2PCODE]:[Admin2PCODE]],tblPiNAnalysis[[Admin2PCODE]:[Admin2PCODE]],tblPiNAnalysis[% WASH],0,0)</f>
        <v>0</v>
      </c>
      <c r="T237" s="6" cm="1">
        <f t="array" ref="T237">_xlfn.XLOOKUP(Table8[[#This Row],[Admin2PCODE]:[Admin2PCODE]],tblPiNAnalysis[[Admin2PCODE]:[Admin2PCODE]],tblPiNAnalysis[% NNA],0,0)</f>
        <v>0.1</v>
      </c>
      <c r="U237" s="6" cm="1">
        <f t="array" ref="U237">_xlfn.XLOOKUP(Table8[[#This Row],[Admin2PCODE]:[Admin2PCODE]],tblPiNAnalysis[[Admin2PCODE]:[Admin2PCODE]],tblPiNAnalysis[% VBG],0,0)</f>
        <v>0.1</v>
      </c>
      <c r="V237" s="8" cm="1">
        <f t="array" ref="V237">_xlfn.XLOOKUP(Table8[[#This Row],[Admin2PCODE]:[Admin2PCODE]],tblPiNAnalysis[[Admin2PCODE]:[Admin2PCODE]],tblPiNAnalysis[PiN preliminar],0,0)</f>
        <v>0</v>
      </c>
      <c r="W237" s="308" cm="1">
        <f t="array" ref="W237">_xlfn.XLOOKUP(Table8[[#This Row],[Admin2PCODE]],tblPiNAnalysis[Admin2PCODE],tblSeverityAnalysis[Severidad media],0,0)</f>
        <v>2.5</v>
      </c>
      <c r="X237" s="42">
        <f>Table8[[#This Row],[Severidad media]]*6</f>
        <v>15</v>
      </c>
      <c r="Y237" s="6" cm="1">
        <f t="array" ref="Y237">_xlfn.XLOOKUP(Table8[[#This Row],[Admin2PCODE]],tblPiNAnalysis[Admin2PCODE],tblPiNAnalysis[% PiN Sectores más altos],0,0)</f>
        <v>0.36499999999999999</v>
      </c>
      <c r="Z237" s="42" cm="1">
        <f t="array" ref="Z237">_xlfn.XLOOKUP(Table8[[#This Row],[Admin2PCODE]:[Admin2PCODE]],tblPiNAnalysis[[Admin2PCODE]:[Admin2PCODE]],tblPiNAnalysis[Severidad],0,0)</f>
        <v>2</v>
      </c>
      <c r="AA237">
        <f>_xlfn.XLOOKUP(Table8[[#This Row],[Admin2PCODE]],tblSeverityAnalysis[Admin 2 Código P],tblSeverityAnalysis[Severidad Ttotal 2025],0,0)</f>
        <v>3</v>
      </c>
      <c r="AB237" t="str">
        <f>_xlfn.XLOOKUP(Table8[[#This Row],[Admin2PCODE]],tblSeverityAnalysis[Admin 2 Código P],tblSeverityAnalysis[Priorización Final 2025],0,0)</f>
        <v>No</v>
      </c>
      <c r="AC237">
        <v>6</v>
      </c>
      <c r="AD237" t="s">
        <v>1079</v>
      </c>
      <c r="AE237">
        <v>12</v>
      </c>
      <c r="AF237">
        <v>0</v>
      </c>
      <c r="AG237">
        <v>6</v>
      </c>
      <c r="AH237">
        <v>0</v>
      </c>
      <c r="AI237">
        <v>4</v>
      </c>
      <c r="AJ237">
        <v>2</v>
      </c>
      <c r="AK237">
        <v>0</v>
      </c>
      <c r="AL237">
        <v>3</v>
      </c>
      <c r="AM237">
        <v>6</v>
      </c>
      <c r="AN237">
        <v>2</v>
      </c>
      <c r="AO237" s="314">
        <f>Table8[[#This Row],[N° Clústeres con respuesta]]/Table8[[#This Row],[Org Total]]</f>
        <v>0.5</v>
      </c>
      <c r="AP237" s="313">
        <v>4605</v>
      </c>
      <c r="AQ237" s="313">
        <v>3069</v>
      </c>
      <c r="AR237" s="312">
        <f>Table8[[#This Row],[Alcanzados Oct 2025]]/Table8[[#This Row],[Meta 2025]]</f>
        <v>0.66644951140065145</v>
      </c>
      <c r="AS237" s="423">
        <v>0</v>
      </c>
      <c r="AT237" s="423">
        <v>431</v>
      </c>
      <c r="AU237" s="423">
        <v>0</v>
      </c>
      <c r="AV237" s="423">
        <v>1290</v>
      </c>
      <c r="AW237" s="423">
        <v>32</v>
      </c>
      <c r="AX237" s="423">
        <v>0</v>
      </c>
      <c r="AY237" s="423">
        <v>1674</v>
      </c>
      <c r="AZ237" s="423">
        <v>389</v>
      </c>
      <c r="BA237" s="42">
        <v>2041</v>
      </c>
    </row>
    <row r="238" spans="1:53">
      <c r="A238" t="s">
        <v>203</v>
      </c>
      <c r="B238" t="s">
        <v>564</v>
      </c>
      <c r="C238" t="s">
        <v>569</v>
      </c>
      <c r="D238" t="s">
        <v>570</v>
      </c>
      <c r="E238" s="8">
        <v>31809</v>
      </c>
      <c r="F238" s="8">
        <v>7583</v>
      </c>
      <c r="G238" s="8">
        <v>3776.3076856644811</v>
      </c>
      <c r="H238" s="8">
        <v>11610.285</v>
      </c>
      <c r="I238" s="8">
        <v>902.69684372307597</v>
      </c>
      <c r="J238" s="8">
        <v>6345.5040643637112</v>
      </c>
      <c r="K238" s="8">
        <v>4294.2150000000001</v>
      </c>
      <c r="L238" s="8">
        <v>2030.5613005963874</v>
      </c>
      <c r="M238" s="8">
        <v>2220.9264225272987</v>
      </c>
      <c r="N238" s="6" cm="1">
        <f t="array" ref="N238">_xlfn.XLOOKUP(Table8[[#This Row],[Admin2PCODE]:[Admin2PCODE]],tblPiNAnalysis[[Admin2PCODE]:[Admin2PCODE]],tblPiNAnalysis[% SAMV],0,0)</f>
        <v>0.25</v>
      </c>
      <c r="O238" s="6" cm="1">
        <f t="array" ref="O238">_xlfn.XLOOKUP(Table8[[#This Row],[Admin2PCODE]:[Admin2PCODE]],tblPiNAnalysis[[Admin2PCODE]:[Admin2PCODE]],tblPiNAnalysis[% NUT],0,0)</f>
        <v>0.1</v>
      </c>
      <c r="P238" s="6" cm="1">
        <f t="array" ref="P238">_xlfn.XLOOKUP(Table8[[#This Row],[Admin2PCODE]:[Admin2PCODE]],tblPiNAnalysis[[Admin2PCODE]:[Admin2PCODE]],tblPiNAnalysis[% SAL],0,0)</f>
        <v>0.35000000000000003</v>
      </c>
      <c r="Q238" s="6" cm="1">
        <f t="array" ref="Q238">_xlfn.XLOOKUP(Table8[[#This Row],[Admin2PCODE]:[Admin2PCODE]],tblPiNAnalysis[[Admin2PCODE]:[Admin2PCODE]],tblPiNAnalysis[% EDU],0,0)</f>
        <v>0.05</v>
      </c>
      <c r="R238" s="6" cm="1">
        <f t="array" ref="R238">_xlfn.XLOOKUP(Table8[[#This Row],[Admin2PCODE]:[Admin2PCODE]],tblPiNAnalysis[[Admin2PCODE]:[Admin2PCODE]],tblPiNAnalysis[% PRO],0,0)</f>
        <v>0.2</v>
      </c>
      <c r="S238" s="6" cm="1">
        <f t="array" ref="S238">_xlfn.XLOOKUP(Table8[[#This Row],[Admin2PCODE]:[Admin2PCODE]],tblPiNAnalysis[[Admin2PCODE]:[Admin2PCODE]],tblPiNAnalysis[% WASH],0,0)</f>
        <v>0.15000000000000002</v>
      </c>
      <c r="T238" s="6" cm="1">
        <f t="array" ref="T238">_xlfn.XLOOKUP(Table8[[#This Row],[Admin2PCODE]:[Admin2PCODE]],tblPiNAnalysis[[Admin2PCODE]:[Admin2PCODE]],tblPiNAnalysis[% NNA],0,0)</f>
        <v>0.05</v>
      </c>
      <c r="U238" s="6" cm="1">
        <f t="array" ref="U238">_xlfn.XLOOKUP(Table8[[#This Row],[Admin2PCODE]:[Admin2PCODE]],tblPiNAnalysis[[Admin2PCODE]:[Admin2PCODE]],tblPiNAnalysis[% VBG],0,0)</f>
        <v>0.05</v>
      </c>
      <c r="V238" s="8" cm="1">
        <f t="array" ref="V238">_xlfn.XLOOKUP(Table8[[#This Row],[Admin2PCODE]:[Admin2PCODE]],tblPiNAnalysis[[Admin2PCODE]:[Admin2PCODE]],tblPiNAnalysis[PiN preliminar],0,0)</f>
        <v>11610.285</v>
      </c>
      <c r="W238" s="308" cm="1">
        <f t="array" ref="W238">_xlfn.XLOOKUP(Table8[[#This Row],[Admin2PCODE]],tblPiNAnalysis[Admin2PCODE],tblSeverityAnalysis[Severidad media],0,0)</f>
        <v>2.6666666666666665</v>
      </c>
      <c r="X238" s="42">
        <f>Table8[[#This Row],[Severidad media]]*6</f>
        <v>16</v>
      </c>
      <c r="Y238" s="6" cm="1">
        <f t="array" ref="Y238">_xlfn.XLOOKUP(Table8[[#This Row],[Admin2PCODE]],tblPiNAnalysis[Admin2PCODE],tblPiNAnalysis[% PiN Sectores más altos],0,0)</f>
        <v>0.36499999999999999</v>
      </c>
      <c r="Z238" s="42" cm="1">
        <f t="array" ref="Z238">_xlfn.XLOOKUP(Table8[[#This Row],[Admin2PCODE]:[Admin2PCODE]],tblPiNAnalysis[[Admin2PCODE]:[Admin2PCODE]],tblPiNAnalysis[Severidad],0,0)</f>
        <v>3</v>
      </c>
      <c r="AA238">
        <f>_xlfn.XLOOKUP(Table8[[#This Row],[Admin2PCODE]],tblSeverityAnalysis[Admin 2 Código P],tblSeverityAnalysis[Severidad Ttotal 2025],0,0)</f>
        <v>3</v>
      </c>
      <c r="AB238" t="str">
        <f>_xlfn.XLOOKUP(Table8[[#This Row],[Admin2PCODE]],tblSeverityAnalysis[Admin 2 Código P],tblSeverityAnalysis[Priorización Final 2025],0,0)</f>
        <v>No</v>
      </c>
      <c r="AC238">
        <v>8</v>
      </c>
      <c r="AD238" t="s">
        <v>1080</v>
      </c>
      <c r="AE238">
        <v>11</v>
      </c>
      <c r="AF238">
        <v>0</v>
      </c>
      <c r="AG238">
        <v>6</v>
      </c>
      <c r="AH238">
        <v>1</v>
      </c>
      <c r="AI238">
        <v>4</v>
      </c>
      <c r="AJ238">
        <v>1</v>
      </c>
      <c r="AK238">
        <v>1</v>
      </c>
      <c r="AL238">
        <v>4</v>
      </c>
      <c r="AM238">
        <v>5</v>
      </c>
      <c r="AN238">
        <v>1</v>
      </c>
      <c r="AO238" s="314">
        <f>Table8[[#This Row],[N° Clústeres con respuesta]]/Table8[[#This Row],[Org Total]]</f>
        <v>0.72727272727272729</v>
      </c>
      <c r="AP238" s="313">
        <v>7427</v>
      </c>
      <c r="AQ238" s="313">
        <v>2682</v>
      </c>
      <c r="AR238" s="312">
        <f>Table8[[#This Row],[Alcanzados Oct 2025]]/Table8[[#This Row],[Meta 2025]]</f>
        <v>0.36111485121852699</v>
      </c>
      <c r="AS238" s="423">
        <v>0</v>
      </c>
      <c r="AT238" s="423">
        <v>398</v>
      </c>
      <c r="AU238" s="423">
        <v>2326</v>
      </c>
      <c r="AV238" s="423">
        <v>1422</v>
      </c>
      <c r="AW238" s="423">
        <v>17</v>
      </c>
      <c r="AX238" s="423">
        <v>24</v>
      </c>
      <c r="AY238" s="423">
        <v>807</v>
      </c>
      <c r="AZ238" s="423">
        <v>988</v>
      </c>
      <c r="BA238" s="42">
        <v>447</v>
      </c>
    </row>
    <row r="239" spans="1:53">
      <c r="A239" t="s">
        <v>316</v>
      </c>
      <c r="B239" t="s">
        <v>317</v>
      </c>
      <c r="C239" t="s">
        <v>334</v>
      </c>
      <c r="D239" t="s">
        <v>335</v>
      </c>
      <c r="E239" s="8">
        <v>29908</v>
      </c>
      <c r="F239" s="8">
        <v>4601</v>
      </c>
      <c r="G239" s="8">
        <v>2085.6017894958804</v>
      </c>
      <c r="H239" s="8">
        <v>10916.42</v>
      </c>
      <c r="I239" s="8">
        <v>1798.3335056182759</v>
      </c>
      <c r="J239" s="8">
        <v>7157.7431738336463</v>
      </c>
      <c r="K239" s="8">
        <v>13458.6</v>
      </c>
      <c r="L239" s="8">
        <v>2290.4778156267666</v>
      </c>
      <c r="M239" s="8">
        <v>2505.210110841776</v>
      </c>
      <c r="N239" s="6" cm="1">
        <f t="array" ref="N239">_xlfn.XLOOKUP(Table8[[#This Row],[Admin2PCODE]:[Admin2PCODE]],tblPiNAnalysis[[Admin2PCODE]:[Admin2PCODE]],tblPiNAnalysis[% SAMV],0,0)</f>
        <v>0.15000000000000002</v>
      </c>
      <c r="O239" s="6" cm="1">
        <f t="array" ref="O239">_xlfn.XLOOKUP(Table8[[#This Row],[Admin2PCODE]:[Admin2PCODE]],tblPiNAnalysis[[Admin2PCODE]:[Admin2PCODE]],tblPiNAnalysis[% NUT],0,0)</f>
        <v>0.05</v>
      </c>
      <c r="P239" s="6" cm="1">
        <f t="array" ref="P239">_xlfn.XLOOKUP(Table8[[#This Row],[Admin2PCODE]:[Admin2PCODE]],tblPiNAnalysis[[Admin2PCODE]:[Admin2PCODE]],tblPiNAnalysis[% SAL],0,0)</f>
        <v>0.35000000000000003</v>
      </c>
      <c r="Q239" s="6" cm="1">
        <f t="array" ref="Q239">_xlfn.XLOOKUP(Table8[[#This Row],[Admin2PCODE]:[Admin2PCODE]],tblPiNAnalysis[[Admin2PCODE]:[Admin2PCODE]],tblPiNAnalysis[% EDU],0,0)</f>
        <v>0.05</v>
      </c>
      <c r="R239" s="6" cm="1">
        <f t="array" ref="R239">_xlfn.XLOOKUP(Table8[[#This Row],[Admin2PCODE]:[Admin2PCODE]],tblPiNAnalysis[[Admin2PCODE]:[Admin2PCODE]],tblPiNAnalysis[% PRO],0,0)</f>
        <v>0.25</v>
      </c>
      <c r="S239" s="6" cm="1">
        <f t="array" ref="S239">_xlfn.XLOOKUP(Table8[[#This Row],[Admin2PCODE]:[Admin2PCODE]],tblPiNAnalysis[[Admin2PCODE]:[Admin2PCODE]],tblPiNAnalysis[% WASH],0,0)</f>
        <v>0.45</v>
      </c>
      <c r="T239" s="6" cm="1">
        <f t="array" ref="T239">_xlfn.XLOOKUP(Table8[[#This Row],[Admin2PCODE]:[Admin2PCODE]],tblPiNAnalysis[[Admin2PCODE]:[Admin2PCODE]],tblPiNAnalysis[% NNA],0,0)</f>
        <v>0.1</v>
      </c>
      <c r="U239" s="6" cm="1">
        <f t="array" ref="U239">_xlfn.XLOOKUP(Table8[[#This Row],[Admin2PCODE]:[Admin2PCODE]],tblPiNAnalysis[[Admin2PCODE]:[Admin2PCODE]],tblPiNAnalysis[% VBG],0,0)</f>
        <v>0.1</v>
      </c>
      <c r="V239" s="8" cm="1">
        <f t="array" ref="V239">_xlfn.XLOOKUP(Table8[[#This Row],[Admin2PCODE]:[Admin2PCODE]],tblPiNAnalysis[[Admin2PCODE]:[Admin2PCODE]],tblPiNAnalysis[PiN preliminar],0,0)</f>
        <v>13458.6</v>
      </c>
      <c r="W239" s="308" cm="1">
        <f t="array" ref="W239">_xlfn.XLOOKUP(Table8[[#This Row],[Admin2PCODE]],tblPiNAnalysis[Admin2PCODE],tblSeverityAnalysis[Severidad media],0,0)</f>
        <v>2.6666666666666665</v>
      </c>
      <c r="X239" s="42">
        <f>Table8[[#This Row],[Severidad media]]*6</f>
        <v>16</v>
      </c>
      <c r="Y239" s="6" cm="1">
        <f t="array" ref="Y239">_xlfn.XLOOKUP(Table8[[#This Row],[Admin2PCODE]],tblPiNAnalysis[Admin2PCODE],tblPiNAnalysis[% PiN Sectores más altos],0,0)</f>
        <v>0.45</v>
      </c>
      <c r="Z239" s="42" cm="1">
        <f t="array" ref="Z239">_xlfn.XLOOKUP(Table8[[#This Row],[Admin2PCODE]:[Admin2PCODE]],tblPiNAnalysis[[Admin2PCODE]:[Admin2PCODE]],tblPiNAnalysis[Severidad],0,0)</f>
        <v>4</v>
      </c>
      <c r="AA239">
        <f>_xlfn.XLOOKUP(Table8[[#This Row],[Admin2PCODE]],tblSeverityAnalysis[Admin 2 Código P],tblSeverityAnalysis[Severidad Ttotal 2025],0,0)</f>
        <v>3</v>
      </c>
      <c r="AB239" t="str">
        <f>_xlfn.XLOOKUP(Table8[[#This Row],[Admin2PCODE]],tblSeverityAnalysis[Admin 2 Código P],tblSeverityAnalysis[Priorización Final 2025],0,0)</f>
        <v>No</v>
      </c>
      <c r="AC239">
        <v>4</v>
      </c>
      <c r="AD239" t="s">
        <v>1070</v>
      </c>
      <c r="AE239">
        <v>6</v>
      </c>
      <c r="AF239">
        <v>0</v>
      </c>
      <c r="AG239">
        <v>0</v>
      </c>
      <c r="AH239">
        <v>0</v>
      </c>
      <c r="AI239">
        <v>1</v>
      </c>
      <c r="AJ239">
        <v>2</v>
      </c>
      <c r="AK239">
        <v>0</v>
      </c>
      <c r="AL239">
        <v>0</v>
      </c>
      <c r="AM239">
        <v>1</v>
      </c>
      <c r="AN239">
        <v>3</v>
      </c>
      <c r="AO239" s="314">
        <f>Table8[[#This Row],[N° Clústeres con respuesta]]/Table8[[#This Row],[Org Total]]</f>
        <v>0.66666666666666663</v>
      </c>
      <c r="AP239" s="313">
        <v>6263</v>
      </c>
      <c r="AQ239" s="313">
        <v>4445</v>
      </c>
      <c r="AR239" s="312">
        <f>Table8[[#This Row],[Alcanzados Oct 2025]]/Table8[[#This Row],[Meta 2025]]</f>
        <v>0.7097237745489382</v>
      </c>
      <c r="AS239" s="423">
        <v>0</v>
      </c>
      <c r="AT239" s="423">
        <v>0</v>
      </c>
      <c r="AU239" s="423">
        <v>0</v>
      </c>
      <c r="AV239" s="423">
        <v>684</v>
      </c>
      <c r="AW239" s="423">
        <v>2</v>
      </c>
      <c r="AX239" s="423">
        <v>0</v>
      </c>
      <c r="AY239" s="423">
        <v>0</v>
      </c>
      <c r="AZ239" s="423">
        <v>4</v>
      </c>
      <c r="BA239" s="42">
        <v>4445</v>
      </c>
    </row>
    <row r="240" spans="1:53">
      <c r="A240" t="s">
        <v>203</v>
      </c>
      <c r="B240" t="s">
        <v>564</v>
      </c>
      <c r="C240" t="s">
        <v>180</v>
      </c>
      <c r="D240" t="s">
        <v>573</v>
      </c>
      <c r="E240" s="8">
        <v>22365</v>
      </c>
      <c r="F240" s="8">
        <v>3313</v>
      </c>
      <c r="G240" s="8">
        <v>834.19808545334001</v>
      </c>
      <c r="H240" s="8">
        <v>8163.2250000000004</v>
      </c>
      <c r="I240" s="8">
        <v>1008.1076222661311</v>
      </c>
      <c r="J240" s="8">
        <v>4461.5422804707596</v>
      </c>
      <c r="K240" s="8">
        <v>0</v>
      </c>
      <c r="L240" s="8">
        <v>1427.6935297506429</v>
      </c>
      <c r="M240" s="8">
        <v>1561.5397981647659</v>
      </c>
      <c r="N240" s="6" cm="1">
        <f t="array" ref="N240">_xlfn.XLOOKUP(Table8[[#This Row],[Admin2PCODE]:[Admin2PCODE]],tblPiNAnalysis[[Admin2PCODE]:[Admin2PCODE]],tblPiNAnalysis[% SAMV],0,0)</f>
        <v>0.15000000000000002</v>
      </c>
      <c r="O240" s="6" cm="1">
        <f t="array" ref="O240">_xlfn.XLOOKUP(Table8[[#This Row],[Admin2PCODE]:[Admin2PCODE]],tblPiNAnalysis[[Admin2PCODE]:[Admin2PCODE]],tblPiNAnalysis[% NUT],0,0)</f>
        <v>0.05</v>
      </c>
      <c r="P240" s="6" cm="1">
        <f t="array" ref="P240">_xlfn.XLOOKUP(Table8[[#This Row],[Admin2PCODE]:[Admin2PCODE]],tblPiNAnalysis[[Admin2PCODE]:[Admin2PCODE]],tblPiNAnalysis[% SAL],0,0)</f>
        <v>0.35000000000000003</v>
      </c>
      <c r="Q240" s="6" cm="1">
        <f t="array" ref="Q240">_xlfn.XLOOKUP(Table8[[#This Row],[Admin2PCODE]:[Admin2PCODE]],tblPiNAnalysis[[Admin2PCODE]:[Admin2PCODE]],tblPiNAnalysis[% EDU],0,0)</f>
        <v>0.05</v>
      </c>
      <c r="R240" s="6" cm="1">
        <f t="array" ref="R240">_xlfn.XLOOKUP(Table8[[#This Row],[Admin2PCODE]:[Admin2PCODE]],tblPiNAnalysis[[Admin2PCODE]:[Admin2PCODE]],tblPiNAnalysis[% PRO],0,0)</f>
        <v>0.2</v>
      </c>
      <c r="S240" s="6" cm="1">
        <f t="array" ref="S240">_xlfn.XLOOKUP(Table8[[#This Row],[Admin2PCODE]:[Admin2PCODE]],tblPiNAnalysis[[Admin2PCODE]:[Admin2PCODE]],tblPiNAnalysis[% WASH],0,0)</f>
        <v>0</v>
      </c>
      <c r="T240" s="6" cm="1">
        <f t="array" ref="T240">_xlfn.XLOOKUP(Table8[[#This Row],[Admin2PCODE]:[Admin2PCODE]],tblPiNAnalysis[[Admin2PCODE]:[Admin2PCODE]],tblPiNAnalysis[% NNA],0,0)</f>
        <v>0.05</v>
      </c>
      <c r="U240" s="6" cm="1">
        <f t="array" ref="U240">_xlfn.XLOOKUP(Table8[[#This Row],[Admin2PCODE]:[Admin2PCODE]],tblPiNAnalysis[[Admin2PCODE]:[Admin2PCODE]],tblPiNAnalysis[% VBG],0,0)</f>
        <v>0.05</v>
      </c>
      <c r="V240" s="8" cm="1">
        <f t="array" ref="V240">_xlfn.XLOOKUP(Table8[[#This Row],[Admin2PCODE]:[Admin2PCODE]],tblPiNAnalysis[[Admin2PCODE]:[Admin2PCODE]],tblPiNAnalysis[PiN preliminar],0,0)</f>
        <v>8163.2250000000004</v>
      </c>
      <c r="W240" s="308" cm="1">
        <f t="array" ref="W240">_xlfn.XLOOKUP(Table8[[#This Row],[Admin2PCODE]],tblPiNAnalysis[Admin2PCODE],tblSeverityAnalysis[Severidad media],0,0)</f>
        <v>3.5</v>
      </c>
      <c r="X240" s="42">
        <f>Table8[[#This Row],[Severidad media]]*6</f>
        <v>21</v>
      </c>
      <c r="Y240" s="6" cm="1">
        <f t="array" ref="Y240">_xlfn.XLOOKUP(Table8[[#This Row],[Admin2PCODE]],tblPiNAnalysis[Admin2PCODE],tblPiNAnalysis[% PiN Sectores más altos],0,0)</f>
        <v>0.36499999999999999</v>
      </c>
      <c r="Z240" s="42" cm="1">
        <f t="array" ref="Z240">_xlfn.XLOOKUP(Table8[[#This Row],[Admin2PCODE]:[Admin2PCODE]],tblPiNAnalysis[[Admin2PCODE]:[Admin2PCODE]],tblPiNAnalysis[Severidad],0,0)</f>
        <v>3</v>
      </c>
      <c r="AA240">
        <f>_xlfn.XLOOKUP(Table8[[#This Row],[Admin2PCODE]],tblSeverityAnalysis[Admin 2 Código P],tblSeverityAnalysis[Severidad Ttotal 2025],0,0)</f>
        <v>3</v>
      </c>
      <c r="AB240" t="str">
        <f>_xlfn.XLOOKUP(Table8[[#This Row],[Admin2PCODE]],tblSeverityAnalysis[Admin 2 Código P],tblSeverityAnalysis[Priorización Final 2025],0,0)</f>
        <v>No</v>
      </c>
      <c r="AC240">
        <v>7</v>
      </c>
      <c r="AD240" t="s">
        <v>1081</v>
      </c>
      <c r="AE240">
        <v>8</v>
      </c>
      <c r="AF240">
        <v>0</v>
      </c>
      <c r="AG240">
        <v>1</v>
      </c>
      <c r="AH240">
        <v>1</v>
      </c>
      <c r="AI240">
        <v>1</v>
      </c>
      <c r="AJ240">
        <v>1</v>
      </c>
      <c r="AK240">
        <v>0</v>
      </c>
      <c r="AL240">
        <v>1</v>
      </c>
      <c r="AM240">
        <v>3</v>
      </c>
      <c r="AN240">
        <v>4</v>
      </c>
      <c r="AO240" s="314">
        <f>Table8[[#This Row],[N° Clústeres con respuesta]]/Table8[[#This Row],[Org Total]]</f>
        <v>0.875</v>
      </c>
      <c r="AP240" s="313">
        <v>5221</v>
      </c>
      <c r="AQ240" s="313">
        <v>5870</v>
      </c>
      <c r="AR240" s="312">
        <f>Table8[[#This Row],[Alcanzados Oct 2025]]/Table8[[#This Row],[Meta 2025]]</f>
        <v>1.124305688565409</v>
      </c>
      <c r="AS240" s="423">
        <v>0</v>
      </c>
      <c r="AT240" s="423">
        <v>322</v>
      </c>
      <c r="AU240" s="423">
        <v>0</v>
      </c>
      <c r="AV240" s="423">
        <v>1759</v>
      </c>
      <c r="AW240" s="423">
        <v>5</v>
      </c>
      <c r="AX240" s="423">
        <v>0</v>
      </c>
      <c r="AY240" s="423">
        <v>4717</v>
      </c>
      <c r="AZ240" s="423">
        <v>301</v>
      </c>
      <c r="BA240" s="42">
        <v>616</v>
      </c>
    </row>
    <row r="241" spans="1:53">
      <c r="A241" t="s">
        <v>203</v>
      </c>
      <c r="B241" t="s">
        <v>564</v>
      </c>
      <c r="C241" t="s">
        <v>574</v>
      </c>
      <c r="D241" t="s">
        <v>575</v>
      </c>
      <c r="E241" s="8">
        <v>21381</v>
      </c>
      <c r="F241" s="8">
        <v>4276</v>
      </c>
      <c r="G241" s="8">
        <v>3126.436574519882</v>
      </c>
      <c r="H241" s="8">
        <v>7804.0649999999996</v>
      </c>
      <c r="I241" s="8">
        <v>340.2867341397673</v>
      </c>
      <c r="J241" s="8">
        <v>5118.2956672700366</v>
      </c>
      <c r="K241" s="8">
        <v>9621.4500000000007</v>
      </c>
      <c r="L241" s="8">
        <v>1642.972909193682</v>
      </c>
      <c r="M241" s="8">
        <v>1791.4034835445127</v>
      </c>
      <c r="N241" s="6" cm="1">
        <f t="array" ref="N241">_xlfn.XLOOKUP(Table8[[#This Row],[Admin2PCODE]:[Admin2PCODE]],tblPiNAnalysis[[Admin2PCODE]:[Admin2PCODE]],tblPiNAnalysis[% SAMV],0,0)</f>
        <v>0.2</v>
      </c>
      <c r="O241" s="6" cm="1">
        <f t="array" ref="O241">_xlfn.XLOOKUP(Table8[[#This Row],[Admin2PCODE]:[Admin2PCODE]],tblPiNAnalysis[[Admin2PCODE]:[Admin2PCODE]],tblPiNAnalysis[% NUT],0,0)</f>
        <v>0.15000000000000002</v>
      </c>
      <c r="P241" s="6" cm="1">
        <f t="array" ref="P241">_xlfn.XLOOKUP(Table8[[#This Row],[Admin2PCODE]:[Admin2PCODE]],tblPiNAnalysis[[Admin2PCODE]:[Admin2PCODE]],tblPiNAnalysis[% SAL],0,0)</f>
        <v>0.35000000000000003</v>
      </c>
      <c r="Q241" s="6" cm="1">
        <f t="array" ref="Q241">_xlfn.XLOOKUP(Table8[[#This Row],[Admin2PCODE]:[Admin2PCODE]],tblPiNAnalysis[[Admin2PCODE]:[Admin2PCODE]],tblPiNAnalysis[% EDU],0,0)</f>
        <v>0</v>
      </c>
      <c r="R241" s="6" cm="1">
        <f t="array" ref="R241">_xlfn.XLOOKUP(Table8[[#This Row],[Admin2PCODE]:[Admin2PCODE]],tblPiNAnalysis[[Admin2PCODE]:[Admin2PCODE]],tblPiNAnalysis[% PRO],0,0)</f>
        <v>0.25</v>
      </c>
      <c r="S241" s="6" cm="1">
        <f t="array" ref="S241">_xlfn.XLOOKUP(Table8[[#This Row],[Admin2PCODE]:[Admin2PCODE]],tblPiNAnalysis[[Admin2PCODE]:[Admin2PCODE]],tblPiNAnalysis[% WASH],0,0)</f>
        <v>0.45</v>
      </c>
      <c r="T241" s="6" cm="1">
        <f t="array" ref="T241">_xlfn.XLOOKUP(Table8[[#This Row],[Admin2PCODE]:[Admin2PCODE]],tblPiNAnalysis[[Admin2PCODE]:[Admin2PCODE]],tblPiNAnalysis[% NNA],0,0)</f>
        <v>0.1</v>
      </c>
      <c r="U241" s="6" cm="1">
        <f t="array" ref="U241">_xlfn.XLOOKUP(Table8[[#This Row],[Admin2PCODE]:[Admin2PCODE]],tblPiNAnalysis[[Admin2PCODE]:[Admin2PCODE]],tblPiNAnalysis[% VBG],0,0)</f>
        <v>0.1</v>
      </c>
      <c r="V241" s="8" cm="1">
        <f t="array" ref="V241">_xlfn.XLOOKUP(Table8[[#This Row],[Admin2PCODE]:[Admin2PCODE]],tblPiNAnalysis[[Admin2PCODE]:[Admin2PCODE]],tblPiNAnalysis[PiN preliminar],0,0)</f>
        <v>9621.4500000000007</v>
      </c>
      <c r="W241" s="308" cm="1">
        <f t="array" ref="W241">_xlfn.XLOOKUP(Table8[[#This Row],[Admin2PCODE]],tblPiNAnalysis[Admin2PCODE],tblSeverityAnalysis[Severidad media],0,0)</f>
        <v>2.5</v>
      </c>
      <c r="X241" s="42">
        <f>Table8[[#This Row],[Severidad media]]*6</f>
        <v>15</v>
      </c>
      <c r="Y241" s="6" cm="1">
        <f t="array" ref="Y241">_xlfn.XLOOKUP(Table8[[#This Row],[Admin2PCODE]],tblPiNAnalysis[Admin2PCODE],tblPiNAnalysis[% PiN Sectores más altos],0,0)</f>
        <v>0.45</v>
      </c>
      <c r="Z241" s="42" cm="1">
        <f t="array" ref="Z241">_xlfn.XLOOKUP(Table8[[#This Row],[Admin2PCODE]:[Admin2PCODE]],tblPiNAnalysis[[Admin2PCODE]:[Admin2PCODE]],tblPiNAnalysis[Severidad],0,0)</f>
        <v>3</v>
      </c>
      <c r="AA241">
        <f>_xlfn.XLOOKUP(Table8[[#This Row],[Admin2PCODE]],tblSeverityAnalysis[Admin 2 Código P],tblSeverityAnalysis[Severidad Ttotal 2025],0,0)</f>
        <v>3</v>
      </c>
      <c r="AB241" t="str">
        <f>_xlfn.XLOOKUP(Table8[[#This Row],[Admin2PCODE]],tblSeverityAnalysis[Admin 2 Código P],tblSeverityAnalysis[Priorización Final 2025],0,0)</f>
        <v>No</v>
      </c>
      <c r="AC241">
        <v>6</v>
      </c>
      <c r="AD241" t="s">
        <v>1082</v>
      </c>
      <c r="AE241">
        <v>10</v>
      </c>
      <c r="AF241">
        <v>0</v>
      </c>
      <c r="AG241">
        <v>4</v>
      </c>
      <c r="AH241">
        <v>0</v>
      </c>
      <c r="AI241">
        <v>3</v>
      </c>
      <c r="AJ241">
        <v>0</v>
      </c>
      <c r="AK241">
        <v>1</v>
      </c>
      <c r="AL241">
        <v>2</v>
      </c>
      <c r="AM241">
        <v>4</v>
      </c>
      <c r="AN241">
        <v>3</v>
      </c>
      <c r="AO241" s="314">
        <f>Table8[[#This Row],[N° Clústeres con respuesta]]/Table8[[#This Row],[Org Total]]</f>
        <v>0.6</v>
      </c>
      <c r="AP241" s="313">
        <v>4994</v>
      </c>
      <c r="AQ241" s="313">
        <v>3559</v>
      </c>
      <c r="AR241" s="312">
        <f>Table8[[#This Row],[Alcanzados Oct 2025]]/Table8[[#This Row],[Meta 2025]]</f>
        <v>0.71265518622346813</v>
      </c>
      <c r="AS241" s="423">
        <v>0</v>
      </c>
      <c r="AT241" s="423">
        <v>0</v>
      </c>
      <c r="AU241" s="423">
        <v>0</v>
      </c>
      <c r="AV241" s="423">
        <v>793</v>
      </c>
      <c r="AW241" s="423">
        <v>0</v>
      </c>
      <c r="AX241" s="423">
        <v>6</v>
      </c>
      <c r="AY241" s="423">
        <v>55</v>
      </c>
      <c r="AZ241" s="423">
        <v>3559</v>
      </c>
      <c r="BA241" s="42">
        <v>408</v>
      </c>
    </row>
    <row r="242" spans="1:53">
      <c r="A242" t="s">
        <v>316</v>
      </c>
      <c r="B242" t="s">
        <v>317</v>
      </c>
      <c r="C242" t="s">
        <v>340</v>
      </c>
      <c r="D242" t="s">
        <v>341</v>
      </c>
      <c r="E242" s="8">
        <v>25491</v>
      </c>
      <c r="F242" s="8">
        <v>3089</v>
      </c>
      <c r="G242" s="8">
        <v>1434.2983296366374</v>
      </c>
      <c r="H242" s="8">
        <v>11200</v>
      </c>
      <c r="I242" s="8">
        <v>1658.8970476193463</v>
      </c>
      <c r="J242" s="8">
        <v>6100.6430133808199</v>
      </c>
      <c r="K242" s="8">
        <v>11470.95</v>
      </c>
      <c r="L242" s="8">
        <v>1958.3064072952432</v>
      </c>
      <c r="M242" s="8">
        <v>2135.225054683287</v>
      </c>
      <c r="N242" s="6" cm="1">
        <f t="array" ref="N242">_xlfn.XLOOKUP(Table8[[#This Row],[Admin2PCODE]:[Admin2PCODE]],tblPiNAnalysis[[Admin2PCODE]:[Admin2PCODE]],tblPiNAnalysis[% SAMV],0,0)</f>
        <v>0.1</v>
      </c>
      <c r="O242" s="6" cm="1">
        <f t="array" ref="O242">_xlfn.XLOOKUP(Table8[[#This Row],[Admin2PCODE]:[Admin2PCODE]],tblPiNAnalysis[[Admin2PCODE]:[Admin2PCODE]],tblPiNAnalysis[% NUT],0,0)</f>
        <v>0.05</v>
      </c>
      <c r="P242" s="6" cm="1">
        <f t="array" ref="P242">_xlfn.XLOOKUP(Table8[[#This Row],[Admin2PCODE]:[Admin2PCODE]],tblPiNAnalysis[[Admin2PCODE]:[Admin2PCODE]],tblPiNAnalysis[% SAL],0,0)</f>
        <v>0.45</v>
      </c>
      <c r="Q242" s="6" cm="1">
        <f t="array" ref="Q242">_xlfn.XLOOKUP(Table8[[#This Row],[Admin2PCODE]:[Admin2PCODE]],tblPiNAnalysis[[Admin2PCODE]:[Admin2PCODE]],tblPiNAnalysis[% EDU],0,0)</f>
        <v>0.05</v>
      </c>
      <c r="R242" s="6" cm="1">
        <f t="array" ref="R242">_xlfn.XLOOKUP(Table8[[#This Row],[Admin2PCODE]:[Admin2PCODE]],tblPiNAnalysis[[Admin2PCODE]:[Admin2PCODE]],tblPiNAnalysis[% PRO],0,0)</f>
        <v>0.25</v>
      </c>
      <c r="S242" s="6" cm="1">
        <f t="array" ref="S242">_xlfn.XLOOKUP(Table8[[#This Row],[Admin2PCODE]:[Admin2PCODE]],tblPiNAnalysis[[Admin2PCODE]:[Admin2PCODE]],tblPiNAnalysis[% WASH],0,0)</f>
        <v>0.45</v>
      </c>
      <c r="T242" s="6" cm="1">
        <f t="array" ref="T242">_xlfn.XLOOKUP(Table8[[#This Row],[Admin2PCODE]:[Admin2PCODE]],tblPiNAnalysis[[Admin2PCODE]:[Admin2PCODE]],tblPiNAnalysis[% NNA],0,0)</f>
        <v>0.1</v>
      </c>
      <c r="U242" s="6" cm="1">
        <f t="array" ref="U242">_xlfn.XLOOKUP(Table8[[#This Row],[Admin2PCODE]:[Admin2PCODE]],tblPiNAnalysis[[Admin2PCODE]:[Admin2PCODE]],tblPiNAnalysis[% VBG],0,0)</f>
        <v>0.1</v>
      </c>
      <c r="V242" s="8" cm="1">
        <f t="array" ref="V242">_xlfn.XLOOKUP(Table8[[#This Row],[Admin2PCODE]:[Admin2PCODE]],tblPiNAnalysis[[Admin2PCODE]:[Admin2PCODE]],tblPiNAnalysis[PiN preliminar],0,0)</f>
        <v>11470.95</v>
      </c>
      <c r="W242" s="308" cm="1">
        <f t="array" ref="W242">_xlfn.XLOOKUP(Table8[[#This Row],[Admin2PCODE]],tblPiNAnalysis[Admin2PCODE],tblSeverityAnalysis[Severidad media],0,0)</f>
        <v>2.3333333333333335</v>
      </c>
      <c r="X242" s="42">
        <f>Table8[[#This Row],[Severidad media]]*6</f>
        <v>14</v>
      </c>
      <c r="Y242" s="6" cm="1">
        <f t="array" ref="Y242">_xlfn.XLOOKUP(Table8[[#This Row],[Admin2PCODE]],tblPiNAnalysis[Admin2PCODE],tblPiNAnalysis[% PiN Sectores más altos],0,0)</f>
        <v>0.45</v>
      </c>
      <c r="Z242" s="42" cm="1">
        <f t="array" ref="Z242">_xlfn.XLOOKUP(Table8[[#This Row],[Admin2PCODE]:[Admin2PCODE]],tblPiNAnalysis[[Admin2PCODE]:[Admin2PCODE]],tblPiNAnalysis[Severidad],0,0)</f>
        <v>4</v>
      </c>
      <c r="AA242">
        <f>_xlfn.XLOOKUP(Table8[[#This Row],[Admin2PCODE]],tblSeverityAnalysis[Admin 2 Código P],tblSeverityAnalysis[Severidad Ttotal 2025],0,0)</f>
        <v>3</v>
      </c>
      <c r="AB242" t="str">
        <f>_xlfn.XLOOKUP(Table8[[#This Row],[Admin2PCODE]],tblSeverityAnalysis[Admin 2 Código P],tblSeverityAnalysis[Priorización Final 2025],0,0)</f>
        <v>No</v>
      </c>
      <c r="AC242">
        <v>1</v>
      </c>
      <c r="AD242" t="s">
        <v>92</v>
      </c>
      <c r="AE242">
        <v>3</v>
      </c>
      <c r="AF242">
        <v>0</v>
      </c>
      <c r="AG242">
        <v>0</v>
      </c>
      <c r="AH242">
        <v>0</v>
      </c>
      <c r="AI242">
        <v>0</v>
      </c>
      <c r="AJ242">
        <v>0</v>
      </c>
      <c r="AK242">
        <v>0</v>
      </c>
      <c r="AL242">
        <v>0</v>
      </c>
      <c r="AM242">
        <v>0</v>
      </c>
      <c r="AN242">
        <v>3</v>
      </c>
      <c r="AO242" s="314">
        <f>Table8[[#This Row],[N° Clústeres con respuesta]]/Table8[[#This Row],[Org Total]]</f>
        <v>0.33333333333333331</v>
      </c>
      <c r="AP242" s="313">
        <v>5949</v>
      </c>
      <c r="AQ242" s="313">
        <v>5301</v>
      </c>
      <c r="AR242" s="312">
        <f>Table8[[#This Row],[Alcanzados Oct 2025]]/Table8[[#This Row],[Meta 2025]]</f>
        <v>0.8910741301059002</v>
      </c>
      <c r="AS242" s="423">
        <v>0</v>
      </c>
      <c r="AT242" s="423">
        <v>0</v>
      </c>
      <c r="AU242" s="423">
        <v>0</v>
      </c>
      <c r="AV242" s="423">
        <v>117</v>
      </c>
      <c r="AW242" s="423">
        <v>0</v>
      </c>
      <c r="AX242" s="423">
        <v>0</v>
      </c>
      <c r="AY242" s="423">
        <v>0</v>
      </c>
      <c r="AZ242" s="423">
        <v>0</v>
      </c>
      <c r="BA242" s="42">
        <v>5301</v>
      </c>
    </row>
    <row r="243" spans="1:53">
      <c r="A243" t="s">
        <v>203</v>
      </c>
      <c r="B243" t="s">
        <v>564</v>
      </c>
      <c r="C243" t="s">
        <v>100</v>
      </c>
      <c r="D243" t="s">
        <v>578</v>
      </c>
      <c r="E243" s="8">
        <v>9796</v>
      </c>
      <c r="F243" s="8">
        <v>2041</v>
      </c>
      <c r="G243" s="8">
        <v>296.04012024201961</v>
      </c>
      <c r="H243" s="8">
        <v>3575.54</v>
      </c>
      <c r="I243" s="8">
        <v>1191.3681633360216</v>
      </c>
      <c r="J243" s="8">
        <v>1954.1814522464369</v>
      </c>
      <c r="K243" s="8">
        <v>0</v>
      </c>
      <c r="L243" s="8">
        <v>627.29224617110629</v>
      </c>
      <c r="M243" s="8">
        <v>683.96350828625282</v>
      </c>
      <c r="N243" s="6" cm="1">
        <f t="array" ref="N243">_xlfn.XLOOKUP(Table8[[#This Row],[Admin2PCODE]:[Admin2PCODE]],tblPiNAnalysis[[Admin2PCODE]:[Admin2PCODE]],tblPiNAnalysis[% SAMV],0,0)</f>
        <v>0.2</v>
      </c>
      <c r="O243" s="6" cm="1">
        <f t="array" ref="O243">_xlfn.XLOOKUP(Table8[[#This Row],[Admin2PCODE]:[Admin2PCODE]],tblPiNAnalysis[[Admin2PCODE]:[Admin2PCODE]],tblPiNAnalysis[% NUT],0,0)</f>
        <v>0.05</v>
      </c>
      <c r="P243" s="6" cm="1">
        <f t="array" ref="P243">_xlfn.XLOOKUP(Table8[[#This Row],[Admin2PCODE]:[Admin2PCODE]],tblPiNAnalysis[[Admin2PCODE]:[Admin2PCODE]],tblPiNAnalysis[% SAL],0,0)</f>
        <v>0.35000000000000003</v>
      </c>
      <c r="Q243" s="6" cm="1">
        <f t="array" ref="Q243">_xlfn.XLOOKUP(Table8[[#This Row],[Admin2PCODE]:[Admin2PCODE]],tblPiNAnalysis[[Admin2PCODE]:[Admin2PCODE]],tblPiNAnalysis[% EDU],0,0)</f>
        <v>0.1</v>
      </c>
      <c r="R243" s="6" cm="1">
        <f t="array" ref="R243">_xlfn.XLOOKUP(Table8[[#This Row],[Admin2PCODE]:[Admin2PCODE]],tblPiNAnalysis[[Admin2PCODE]:[Admin2PCODE]],tblPiNAnalysis[% PRO],0,0)</f>
        <v>0.2</v>
      </c>
      <c r="S243" s="6" cm="1">
        <f t="array" ref="S243">_xlfn.XLOOKUP(Table8[[#This Row],[Admin2PCODE]:[Admin2PCODE]],tblPiNAnalysis[[Admin2PCODE]:[Admin2PCODE]],tblPiNAnalysis[% WASH],0,0)</f>
        <v>0</v>
      </c>
      <c r="T243" s="6" cm="1">
        <f t="array" ref="T243">_xlfn.XLOOKUP(Table8[[#This Row],[Admin2PCODE]:[Admin2PCODE]],tblPiNAnalysis[[Admin2PCODE]:[Admin2PCODE]],tblPiNAnalysis[% NNA],0,0)</f>
        <v>0.05</v>
      </c>
      <c r="U243" s="6" cm="1">
        <f t="array" ref="U243">_xlfn.XLOOKUP(Table8[[#This Row],[Admin2PCODE]:[Admin2PCODE]],tblPiNAnalysis[[Admin2PCODE]:[Admin2PCODE]],tblPiNAnalysis[% VBG],0,0)</f>
        <v>0.05</v>
      </c>
      <c r="V243" s="8" cm="1">
        <f t="array" ref="V243">_xlfn.XLOOKUP(Table8[[#This Row],[Admin2PCODE]:[Admin2PCODE]],tblPiNAnalysis[[Admin2PCODE]:[Admin2PCODE]],tblPiNAnalysis[PiN preliminar],0,0)</f>
        <v>3575.54</v>
      </c>
      <c r="W243" s="308" cm="1">
        <f t="array" ref="W243">_xlfn.XLOOKUP(Table8[[#This Row],[Admin2PCODE]],tblPiNAnalysis[Admin2PCODE],tblSeverityAnalysis[Severidad media],0,0)</f>
        <v>2.8333333333333335</v>
      </c>
      <c r="X243" s="42">
        <f>Table8[[#This Row],[Severidad media]]*6</f>
        <v>17</v>
      </c>
      <c r="Y243" s="6" cm="1">
        <f t="array" ref="Y243">_xlfn.XLOOKUP(Table8[[#This Row],[Admin2PCODE]],tblPiNAnalysis[Admin2PCODE],tblPiNAnalysis[% PiN Sectores más altos],0,0)</f>
        <v>0.36499999999999999</v>
      </c>
      <c r="Z243" s="42" cm="1">
        <f t="array" ref="Z243">_xlfn.XLOOKUP(Table8[[#This Row],[Admin2PCODE]:[Admin2PCODE]],tblPiNAnalysis[[Admin2PCODE]:[Admin2PCODE]],tblPiNAnalysis[Severidad],0,0)</f>
        <v>3</v>
      </c>
      <c r="AA243">
        <f>_xlfn.XLOOKUP(Table8[[#This Row],[Admin2PCODE]],tblSeverityAnalysis[Admin 2 Código P],tblSeverityAnalysis[Severidad Ttotal 2025],0,0)</f>
        <v>3</v>
      </c>
      <c r="AB243" t="str">
        <f>_xlfn.XLOOKUP(Table8[[#This Row],[Admin2PCODE]],tblSeverityAnalysis[Admin 2 Código P],tblSeverityAnalysis[Priorización Final 2025],0,0)</f>
        <v>No</v>
      </c>
      <c r="AC243">
        <v>6</v>
      </c>
      <c r="AD243" t="s">
        <v>1083</v>
      </c>
      <c r="AE243">
        <v>9</v>
      </c>
      <c r="AF243">
        <v>0</v>
      </c>
      <c r="AG243">
        <v>2</v>
      </c>
      <c r="AH243">
        <v>0</v>
      </c>
      <c r="AI243">
        <v>0</v>
      </c>
      <c r="AJ243">
        <v>1</v>
      </c>
      <c r="AK243">
        <v>1</v>
      </c>
      <c r="AL243">
        <v>2</v>
      </c>
      <c r="AM243">
        <v>1</v>
      </c>
      <c r="AN243">
        <v>3</v>
      </c>
      <c r="AO243" s="314">
        <f>Table8[[#This Row],[N° Clústeres con respuesta]]/Table8[[#This Row],[Org Total]]</f>
        <v>0.66666666666666663</v>
      </c>
      <c r="AP243" s="313">
        <v>2199</v>
      </c>
      <c r="AQ243" s="313">
        <v>1986</v>
      </c>
      <c r="AR243" s="312">
        <f>Table8[[#This Row],[Alcanzados Oct 2025]]/Table8[[#This Row],[Meta 2025]]</f>
        <v>0.903137789904502</v>
      </c>
      <c r="AS243" s="423">
        <v>0</v>
      </c>
      <c r="AT243" s="423">
        <v>0</v>
      </c>
      <c r="AU243" s="423">
        <v>0</v>
      </c>
      <c r="AV243" s="423">
        <v>0</v>
      </c>
      <c r="AW243" s="423">
        <v>6</v>
      </c>
      <c r="AX243" s="423">
        <v>10</v>
      </c>
      <c r="AY243" s="423">
        <v>62</v>
      </c>
      <c r="AZ243" s="423">
        <v>114</v>
      </c>
      <c r="BA243" s="42">
        <v>1986</v>
      </c>
    </row>
    <row r="244" spans="1:53">
      <c r="A244" t="s">
        <v>203</v>
      </c>
      <c r="B244" t="s">
        <v>564</v>
      </c>
      <c r="C244" t="s">
        <v>528</v>
      </c>
      <c r="D244" t="s">
        <v>579</v>
      </c>
      <c r="E244" s="8">
        <v>22838</v>
      </c>
      <c r="F244" s="8">
        <v>5057</v>
      </c>
      <c r="G244" s="8">
        <v>2066.5821854677597</v>
      </c>
      <c r="H244" s="8">
        <v>8335.8700000000008</v>
      </c>
      <c r="I244" s="8">
        <v>557.68394852382698</v>
      </c>
      <c r="J244" s="8">
        <v>4555.8999598207565</v>
      </c>
      <c r="K244" s="8">
        <v>0</v>
      </c>
      <c r="L244" s="8">
        <v>1457.887987142642</v>
      </c>
      <c r="M244" s="8">
        <v>1594.5649859372645</v>
      </c>
      <c r="N244" s="6" cm="1">
        <f t="array" ref="N244">_xlfn.XLOOKUP(Table8[[#This Row],[Admin2PCODE]:[Admin2PCODE]],tblPiNAnalysis[[Admin2PCODE]:[Admin2PCODE]],tblPiNAnalysis[% SAMV],0,0)</f>
        <v>0.2</v>
      </c>
      <c r="O244" s="6" cm="1">
        <f t="array" ref="O244">_xlfn.XLOOKUP(Table8[[#This Row],[Admin2PCODE]:[Admin2PCODE]],tblPiNAnalysis[[Admin2PCODE]:[Admin2PCODE]],tblPiNAnalysis[% NUT],0,0)</f>
        <v>0.1</v>
      </c>
      <c r="P244" s="6" cm="1">
        <f t="array" ref="P244">_xlfn.XLOOKUP(Table8[[#This Row],[Admin2PCODE]:[Admin2PCODE]],tblPiNAnalysis[[Admin2PCODE]:[Admin2PCODE]],tblPiNAnalysis[% SAL],0,0)</f>
        <v>0.35000000000000003</v>
      </c>
      <c r="Q244" s="6" cm="1">
        <f t="array" ref="Q244">_xlfn.XLOOKUP(Table8[[#This Row],[Admin2PCODE]:[Admin2PCODE]],tblPiNAnalysis[[Admin2PCODE]:[Admin2PCODE]],tblPiNAnalysis[% EDU],0,0)</f>
        <v>0</v>
      </c>
      <c r="R244" s="6" cm="1">
        <f t="array" ref="R244">_xlfn.XLOOKUP(Table8[[#This Row],[Admin2PCODE]:[Admin2PCODE]],tblPiNAnalysis[[Admin2PCODE]:[Admin2PCODE]],tblPiNAnalysis[% PRO],0,0)</f>
        <v>0.2</v>
      </c>
      <c r="S244" s="6" cm="1">
        <f t="array" ref="S244">_xlfn.XLOOKUP(Table8[[#This Row],[Admin2PCODE]:[Admin2PCODE]],tblPiNAnalysis[[Admin2PCODE]:[Admin2PCODE]],tblPiNAnalysis[% WASH],0,0)</f>
        <v>0</v>
      </c>
      <c r="T244" s="6" cm="1">
        <f t="array" ref="T244">_xlfn.XLOOKUP(Table8[[#This Row],[Admin2PCODE]:[Admin2PCODE]],tblPiNAnalysis[[Admin2PCODE]:[Admin2PCODE]],tblPiNAnalysis[% NNA],0,0)</f>
        <v>0.05</v>
      </c>
      <c r="U244" s="6" cm="1">
        <f t="array" ref="U244">_xlfn.XLOOKUP(Table8[[#This Row],[Admin2PCODE]:[Admin2PCODE]],tblPiNAnalysis[[Admin2PCODE]:[Admin2PCODE]],tblPiNAnalysis[% VBG],0,0)</f>
        <v>0.05</v>
      </c>
      <c r="V244" s="8" cm="1">
        <f t="array" ref="V244">_xlfn.XLOOKUP(Table8[[#This Row],[Admin2PCODE]:[Admin2PCODE]],tblPiNAnalysis[[Admin2PCODE]:[Admin2PCODE]],tblPiNAnalysis[PiN preliminar],0,0)</f>
        <v>8335.8700000000008</v>
      </c>
      <c r="W244" s="308" cm="1">
        <f t="array" ref="W244">_xlfn.XLOOKUP(Table8[[#This Row],[Admin2PCODE]],tblPiNAnalysis[Admin2PCODE],tblSeverityAnalysis[Severidad media],0,0)</f>
        <v>2.1666666666666665</v>
      </c>
      <c r="X244" s="42">
        <f>Table8[[#This Row],[Severidad media]]*6</f>
        <v>13</v>
      </c>
      <c r="Y244" s="6" cm="1">
        <f t="array" ref="Y244">_xlfn.XLOOKUP(Table8[[#This Row],[Admin2PCODE]],tblPiNAnalysis[Admin2PCODE],tblPiNAnalysis[% PiN Sectores más altos],0,0)</f>
        <v>0.36500000000000005</v>
      </c>
      <c r="Z244" s="42" cm="1">
        <f t="array" ref="Z244">_xlfn.XLOOKUP(Table8[[#This Row],[Admin2PCODE]:[Admin2PCODE]],tblPiNAnalysis[[Admin2PCODE]:[Admin2PCODE]],tblPiNAnalysis[Severidad],0,0)</f>
        <v>3</v>
      </c>
      <c r="AA244">
        <f>_xlfn.XLOOKUP(Table8[[#This Row],[Admin2PCODE]],tblSeverityAnalysis[Admin 2 Código P],tblSeverityAnalysis[Severidad Ttotal 2025],0,0)</f>
        <v>3</v>
      </c>
      <c r="AB244" t="str">
        <f>_xlfn.XLOOKUP(Table8[[#This Row],[Admin2PCODE]],tblSeverityAnalysis[Admin 2 Código P],tblSeverityAnalysis[Priorización Final 2025],0,0)</f>
        <v>No</v>
      </c>
      <c r="AC244">
        <v>7</v>
      </c>
      <c r="AD244" t="s">
        <v>1084</v>
      </c>
      <c r="AE244">
        <v>7</v>
      </c>
      <c r="AF244">
        <v>0</v>
      </c>
      <c r="AG244">
        <v>3</v>
      </c>
      <c r="AH244">
        <v>1</v>
      </c>
      <c r="AI244">
        <v>2</v>
      </c>
      <c r="AJ244">
        <v>5</v>
      </c>
      <c r="AK244">
        <v>1</v>
      </c>
      <c r="AL244">
        <v>0</v>
      </c>
      <c r="AM244">
        <v>3</v>
      </c>
      <c r="AN244">
        <v>1</v>
      </c>
      <c r="AO244" s="314">
        <f>Table8[[#This Row],[N° Clústeres con respuesta]]/Table8[[#This Row],[Org Total]]</f>
        <v>1</v>
      </c>
      <c r="AP244" s="313">
        <v>5333</v>
      </c>
      <c r="AQ244" s="313">
        <v>2101</v>
      </c>
      <c r="AR244" s="312">
        <f>Table8[[#This Row],[Alcanzados Oct 2025]]/Table8[[#This Row],[Meta 2025]]</f>
        <v>0.39396212263266456</v>
      </c>
      <c r="AS244" s="423">
        <v>0</v>
      </c>
      <c r="AT244" s="423">
        <v>360</v>
      </c>
      <c r="AU244" s="423">
        <v>15</v>
      </c>
      <c r="AV244" s="423">
        <v>515</v>
      </c>
      <c r="AW244" s="423">
        <v>2101</v>
      </c>
      <c r="AX244" s="423">
        <v>156</v>
      </c>
      <c r="AY244" s="423">
        <v>0</v>
      </c>
      <c r="AZ244" s="423">
        <v>231</v>
      </c>
      <c r="BA244" s="42">
        <v>29</v>
      </c>
    </row>
    <row r="245" spans="1:53">
      <c r="A245" t="s">
        <v>203</v>
      </c>
      <c r="B245" t="s">
        <v>564</v>
      </c>
      <c r="C245" t="s">
        <v>824</v>
      </c>
      <c r="D245" t="s">
        <v>581</v>
      </c>
      <c r="E245" s="8">
        <v>14627</v>
      </c>
      <c r="F245" s="8">
        <v>813</v>
      </c>
      <c r="G245" s="8">
        <v>559.55234364825174</v>
      </c>
      <c r="H245" s="8">
        <v>5338.8549999999996</v>
      </c>
      <c r="I245" s="8">
        <v>1034.4343188909027</v>
      </c>
      <c r="J245" s="8">
        <v>2917.9065028591913</v>
      </c>
      <c r="K245" s="8">
        <v>0</v>
      </c>
      <c r="L245" s="8">
        <v>933.73008091494125</v>
      </c>
      <c r="M245" s="8">
        <v>1021.2672760007168</v>
      </c>
      <c r="N245" s="6" cm="1">
        <f t="array" ref="N245">_xlfn.XLOOKUP(Table8[[#This Row],[Admin2PCODE]:[Admin2PCODE]],tblPiNAnalysis[[Admin2PCODE]:[Admin2PCODE]],tblPiNAnalysis[% SAMV],0,0)</f>
        <v>0.05</v>
      </c>
      <c r="O245" s="6" cm="1">
        <f t="array" ref="O245">_xlfn.XLOOKUP(Table8[[#This Row],[Admin2PCODE]:[Admin2PCODE]],tblPiNAnalysis[[Admin2PCODE]:[Admin2PCODE]],tblPiNAnalysis[% NUT],0,0)</f>
        <v>0.05</v>
      </c>
      <c r="P245" s="6" cm="1">
        <f t="array" ref="P245">_xlfn.XLOOKUP(Table8[[#This Row],[Admin2PCODE]:[Admin2PCODE]],tblPiNAnalysis[[Admin2PCODE]:[Admin2PCODE]],tblPiNAnalysis[% SAL],0,0)</f>
        <v>0.35000000000000003</v>
      </c>
      <c r="Q245" s="6" cm="1">
        <f t="array" ref="Q245">_xlfn.XLOOKUP(Table8[[#This Row],[Admin2PCODE]:[Admin2PCODE]],tblPiNAnalysis[[Admin2PCODE]:[Admin2PCODE]],tblPiNAnalysis[% EDU],0,0)</f>
        <v>0.05</v>
      </c>
      <c r="R245" s="6" cm="1">
        <f t="array" ref="R245">_xlfn.XLOOKUP(Table8[[#This Row],[Admin2PCODE]:[Admin2PCODE]],tblPiNAnalysis[[Admin2PCODE]:[Admin2PCODE]],tblPiNAnalysis[% PRO],0,0)</f>
        <v>0.2</v>
      </c>
      <c r="S245" s="6" cm="1">
        <f t="array" ref="S245">_xlfn.XLOOKUP(Table8[[#This Row],[Admin2PCODE]:[Admin2PCODE]],tblPiNAnalysis[[Admin2PCODE]:[Admin2PCODE]],tblPiNAnalysis[% WASH],0,0)</f>
        <v>0</v>
      </c>
      <c r="T245" s="6" cm="1">
        <f t="array" ref="T245">_xlfn.XLOOKUP(Table8[[#This Row],[Admin2PCODE]:[Admin2PCODE]],tblPiNAnalysis[[Admin2PCODE]:[Admin2PCODE]],tblPiNAnalysis[% NNA],0,0)</f>
        <v>0.05</v>
      </c>
      <c r="U245" s="6" cm="1">
        <f t="array" ref="U245">_xlfn.XLOOKUP(Table8[[#This Row],[Admin2PCODE]:[Admin2PCODE]],tblPiNAnalysis[[Admin2PCODE]:[Admin2PCODE]],tblPiNAnalysis[% VBG],0,0)</f>
        <v>0.05</v>
      </c>
      <c r="V245" s="8" cm="1">
        <f t="array" ref="V245">_xlfn.XLOOKUP(Table8[[#This Row],[Admin2PCODE]:[Admin2PCODE]],tblPiNAnalysis[[Admin2PCODE]:[Admin2PCODE]],tblPiNAnalysis[PiN preliminar],0,0)</f>
        <v>5338.8549999999996</v>
      </c>
      <c r="W245" s="308" cm="1">
        <f t="array" ref="W245">_xlfn.XLOOKUP(Table8[[#This Row],[Admin2PCODE]],tblPiNAnalysis[Admin2PCODE],tblSeverityAnalysis[Severidad media],0,0)</f>
        <v>2.5</v>
      </c>
      <c r="X245" s="42">
        <f>Table8[[#This Row],[Severidad media]]*6</f>
        <v>15</v>
      </c>
      <c r="Y245" s="6" cm="1">
        <f t="array" ref="Y245">_xlfn.XLOOKUP(Table8[[#This Row],[Admin2PCODE]],tblPiNAnalysis[Admin2PCODE],tblPiNAnalysis[% PiN Sectores más altos],0,0)</f>
        <v>0.36499999999999999</v>
      </c>
      <c r="Z245" s="42" cm="1">
        <f t="array" ref="Z245">_xlfn.XLOOKUP(Table8[[#This Row],[Admin2PCODE]:[Admin2PCODE]],tblPiNAnalysis[[Admin2PCODE]:[Admin2PCODE]],tblPiNAnalysis[Severidad],0,0)</f>
        <v>3</v>
      </c>
      <c r="AA245">
        <f>_xlfn.XLOOKUP(Table8[[#This Row],[Admin2PCODE]],tblSeverityAnalysis[Admin 2 Código P],tblSeverityAnalysis[Severidad Ttotal 2025],0,0)</f>
        <v>3</v>
      </c>
      <c r="AB245" t="str">
        <f>_xlfn.XLOOKUP(Table8[[#This Row],[Admin2PCODE]],tblSeverityAnalysis[Admin 2 Código P],tblSeverityAnalysis[Priorización Final 2025],0,0)</f>
        <v>No</v>
      </c>
      <c r="AC245">
        <v>3</v>
      </c>
      <c r="AD245" t="s">
        <v>1011</v>
      </c>
      <c r="AE245">
        <v>8</v>
      </c>
      <c r="AF245">
        <v>0</v>
      </c>
      <c r="AG245">
        <v>0</v>
      </c>
      <c r="AH245">
        <v>0</v>
      </c>
      <c r="AI245">
        <v>2</v>
      </c>
      <c r="AJ245">
        <v>4</v>
      </c>
      <c r="AK245">
        <v>0</v>
      </c>
      <c r="AL245">
        <v>0</v>
      </c>
      <c r="AM245">
        <v>0</v>
      </c>
      <c r="AN245">
        <v>3</v>
      </c>
      <c r="AO245" s="314">
        <f>Table8[[#This Row],[N° Clústeres con respuesta]]/Table8[[#This Row],[Org Total]]</f>
        <v>0.375</v>
      </c>
      <c r="AP245" s="313">
        <v>3280</v>
      </c>
      <c r="AQ245" s="313">
        <v>227</v>
      </c>
      <c r="AR245" s="312">
        <f>Table8[[#This Row],[Alcanzados Oct 2025]]/Table8[[#This Row],[Meta 2025]]</f>
        <v>6.9207317073170738E-2</v>
      </c>
      <c r="AS245" s="423">
        <v>0</v>
      </c>
      <c r="AT245" s="423">
        <v>0</v>
      </c>
      <c r="AU245" s="423">
        <v>0</v>
      </c>
      <c r="AV245" s="423">
        <v>157</v>
      </c>
      <c r="AW245" s="423">
        <v>16</v>
      </c>
      <c r="AX245" s="423">
        <v>0</v>
      </c>
      <c r="AY245" s="423">
        <v>0</v>
      </c>
      <c r="AZ245" s="423">
        <v>0</v>
      </c>
      <c r="BA245" s="42">
        <v>224</v>
      </c>
    </row>
    <row r="246" spans="1:53">
      <c r="A246" t="s">
        <v>203</v>
      </c>
      <c r="B246" t="s">
        <v>564</v>
      </c>
      <c r="C246" t="s">
        <v>584</v>
      </c>
      <c r="D246" t="s">
        <v>585</v>
      </c>
      <c r="E246" s="8">
        <v>59508</v>
      </c>
      <c r="F246" s="8">
        <v>7731</v>
      </c>
      <c r="G246" s="8">
        <v>2441.753786154798</v>
      </c>
      <c r="H246" s="8">
        <v>21720.42</v>
      </c>
      <c r="I246" s="8">
        <v>1885.123341986196</v>
      </c>
      <c r="J246" s="8">
        <v>11871.113705622807</v>
      </c>
      <c r="K246" s="8">
        <v>0</v>
      </c>
      <c r="L246" s="8">
        <v>3798.7563857992982</v>
      </c>
      <c r="M246" s="8">
        <v>4154.8897969679829</v>
      </c>
      <c r="N246" s="6" cm="1">
        <f t="array" ref="N246">_xlfn.XLOOKUP(Table8[[#This Row],[Admin2PCODE]:[Admin2PCODE]],tblPiNAnalysis[[Admin2PCODE]:[Admin2PCODE]],tblPiNAnalysis[% SAMV],0,0)</f>
        <v>0.15000000000000002</v>
      </c>
      <c r="O246" s="6" cm="1">
        <f t="array" ref="O246">_xlfn.XLOOKUP(Table8[[#This Row],[Admin2PCODE]:[Admin2PCODE]],tblPiNAnalysis[[Admin2PCODE]:[Admin2PCODE]],tblPiNAnalysis[% NUT],0,0)</f>
        <v>0.05</v>
      </c>
      <c r="P246" s="6" cm="1">
        <f t="array" ref="P246">_xlfn.XLOOKUP(Table8[[#This Row],[Admin2PCODE]:[Admin2PCODE]],tblPiNAnalysis[[Admin2PCODE]:[Admin2PCODE]],tblPiNAnalysis[% SAL],0,0)</f>
        <v>0.35000000000000003</v>
      </c>
      <c r="Q246" s="6" cm="1">
        <f t="array" ref="Q246">_xlfn.XLOOKUP(Table8[[#This Row],[Admin2PCODE]:[Admin2PCODE]],tblPiNAnalysis[[Admin2PCODE]:[Admin2PCODE]],tblPiNAnalysis[% EDU],0,0)</f>
        <v>0.05</v>
      </c>
      <c r="R246" s="6" cm="1">
        <f t="array" ref="R246">_xlfn.XLOOKUP(Table8[[#This Row],[Admin2PCODE]:[Admin2PCODE]],tblPiNAnalysis[[Admin2PCODE]:[Admin2PCODE]],tblPiNAnalysis[% PRO],0,0)</f>
        <v>0.2</v>
      </c>
      <c r="S246" s="6" cm="1">
        <f t="array" ref="S246">_xlfn.XLOOKUP(Table8[[#This Row],[Admin2PCODE]:[Admin2PCODE]],tblPiNAnalysis[[Admin2PCODE]:[Admin2PCODE]],tblPiNAnalysis[% WASH],0,0)</f>
        <v>0</v>
      </c>
      <c r="T246" s="6" cm="1">
        <f t="array" ref="T246">_xlfn.XLOOKUP(Table8[[#This Row],[Admin2PCODE]:[Admin2PCODE]],tblPiNAnalysis[[Admin2PCODE]:[Admin2PCODE]],tblPiNAnalysis[% NNA],0,0)</f>
        <v>0.05</v>
      </c>
      <c r="U246" s="6" cm="1">
        <f t="array" ref="U246">_xlfn.XLOOKUP(Table8[[#This Row],[Admin2PCODE]:[Admin2PCODE]],tblPiNAnalysis[[Admin2PCODE]:[Admin2PCODE]],tblPiNAnalysis[% VBG],0,0)</f>
        <v>0.05</v>
      </c>
      <c r="V246" s="8" cm="1">
        <f t="array" ref="V246">_xlfn.XLOOKUP(Table8[[#This Row],[Admin2PCODE]:[Admin2PCODE]],tblPiNAnalysis[[Admin2PCODE]:[Admin2PCODE]],tblPiNAnalysis[PiN preliminar],0,0)</f>
        <v>21720.42</v>
      </c>
      <c r="W246" s="308" cm="1">
        <f t="array" ref="W246">_xlfn.XLOOKUP(Table8[[#This Row],[Admin2PCODE]],tblPiNAnalysis[Admin2PCODE],tblSeverityAnalysis[Severidad media],0,0)</f>
        <v>2.1666666666666665</v>
      </c>
      <c r="X246" s="42">
        <f>Table8[[#This Row],[Severidad media]]*6</f>
        <v>13</v>
      </c>
      <c r="Y246" s="6" cm="1">
        <f t="array" ref="Y246">_xlfn.XLOOKUP(Table8[[#This Row],[Admin2PCODE]],tblPiNAnalysis[Admin2PCODE],tblPiNAnalysis[% PiN Sectores más altos],0,0)</f>
        <v>0.36499999999999999</v>
      </c>
      <c r="Z246" s="42" cm="1">
        <f t="array" ref="Z246">_xlfn.XLOOKUP(Table8[[#This Row],[Admin2PCODE]:[Admin2PCODE]],tblPiNAnalysis[[Admin2PCODE]:[Admin2PCODE]],tblPiNAnalysis[Severidad],0,0)</f>
        <v>3</v>
      </c>
      <c r="AA246">
        <f>_xlfn.XLOOKUP(Table8[[#This Row],[Admin2PCODE]],tblSeverityAnalysis[Admin 2 Código P],tblSeverityAnalysis[Severidad Ttotal 2025],0,0)</f>
        <v>3</v>
      </c>
      <c r="AB246" t="str">
        <f>_xlfn.XLOOKUP(Table8[[#This Row],[Admin2PCODE]],tblSeverityAnalysis[Admin 2 Código P],tblSeverityAnalysis[Priorización Final 2025],0,0)</f>
        <v>No</v>
      </c>
      <c r="AC246">
        <v>6</v>
      </c>
      <c r="AD246" t="s">
        <v>1085</v>
      </c>
      <c r="AE246">
        <v>12</v>
      </c>
      <c r="AF246">
        <v>0</v>
      </c>
      <c r="AG246">
        <v>4</v>
      </c>
      <c r="AH246">
        <v>0</v>
      </c>
      <c r="AI246">
        <v>4</v>
      </c>
      <c r="AJ246">
        <v>5</v>
      </c>
      <c r="AK246">
        <v>0</v>
      </c>
      <c r="AL246">
        <v>2</v>
      </c>
      <c r="AM246">
        <v>3</v>
      </c>
      <c r="AN246">
        <v>4</v>
      </c>
      <c r="AO246" s="314">
        <f>Table8[[#This Row],[N° Clústeres con respuesta]]/Table8[[#This Row],[Org Total]]</f>
        <v>0.5</v>
      </c>
      <c r="AP246" s="313">
        <v>10366</v>
      </c>
      <c r="AQ246" s="313">
        <v>1773</v>
      </c>
      <c r="AR246" s="312">
        <f>Table8[[#This Row],[Alcanzados Oct 2025]]/Table8[[#This Row],[Meta 2025]]</f>
        <v>0.17103993825969516</v>
      </c>
      <c r="AS246" s="423">
        <v>0</v>
      </c>
      <c r="AT246" s="423">
        <v>405</v>
      </c>
      <c r="AU246" s="423">
        <v>0</v>
      </c>
      <c r="AV246" s="423">
        <v>514</v>
      </c>
      <c r="AW246" s="423">
        <v>50</v>
      </c>
      <c r="AX246" s="423">
        <v>0</v>
      </c>
      <c r="AY246" s="423">
        <v>1215</v>
      </c>
      <c r="AZ246" s="423">
        <v>1424</v>
      </c>
      <c r="BA246" s="42">
        <v>1601</v>
      </c>
    </row>
    <row r="247" spans="1:53">
      <c r="A247" t="s">
        <v>276</v>
      </c>
      <c r="B247" t="s">
        <v>455</v>
      </c>
      <c r="C247" t="s">
        <v>481</v>
      </c>
      <c r="D247" t="s">
        <v>482</v>
      </c>
      <c r="E247" s="8">
        <v>113706</v>
      </c>
      <c r="F247" s="8">
        <v>14782</v>
      </c>
      <c r="G247" s="8">
        <v>8814.0211796490003</v>
      </c>
      <c r="H247" s="8">
        <v>41502.69</v>
      </c>
      <c r="I247" s="8">
        <v>14852.772180237374</v>
      </c>
      <c r="J247" s="8">
        <v>27201.837157956728</v>
      </c>
      <c r="K247" s="8">
        <v>51167.700000000004</v>
      </c>
      <c r="L247" s="8">
        <v>8731.7897277041102</v>
      </c>
      <c r="M247" s="8">
        <v>9520.6430052848536</v>
      </c>
      <c r="N247" s="6" cm="1">
        <f t="array" ref="N247">_xlfn.XLOOKUP(Table8[[#This Row],[Admin2PCODE]:[Admin2PCODE]],tblPiNAnalysis[[Admin2PCODE]:[Admin2PCODE]],tblPiNAnalysis[% SAMV],0,0)</f>
        <v>0.15000000000000002</v>
      </c>
      <c r="O247" s="6" cm="1">
        <f t="array" ref="O247">_xlfn.XLOOKUP(Table8[[#This Row],[Admin2PCODE]:[Admin2PCODE]],tblPiNAnalysis[[Admin2PCODE]:[Admin2PCODE]],tblPiNAnalysis[% NUT],0,0)</f>
        <v>0.1</v>
      </c>
      <c r="P247" s="6" cm="1">
        <f t="array" ref="P247">_xlfn.XLOOKUP(Table8[[#This Row],[Admin2PCODE]:[Admin2PCODE]],tblPiNAnalysis[[Admin2PCODE]:[Admin2PCODE]],tblPiNAnalysis[% SAL],0,0)</f>
        <v>0.35000000000000003</v>
      </c>
      <c r="Q247" s="6" cm="1">
        <f t="array" ref="Q247">_xlfn.XLOOKUP(Table8[[#This Row],[Admin2PCODE]:[Admin2PCODE]],tblPiNAnalysis[[Admin2PCODE]:[Admin2PCODE]],tblPiNAnalysis[% EDU],0,0)</f>
        <v>0.15000000000000002</v>
      </c>
      <c r="R247" s="6" cm="1">
        <f t="array" ref="R247">_xlfn.XLOOKUP(Table8[[#This Row],[Admin2PCODE]:[Admin2PCODE]],tblPiNAnalysis[[Admin2PCODE]:[Admin2PCODE]],tblPiNAnalysis[% PRO],0,0)</f>
        <v>0.25</v>
      </c>
      <c r="S247" s="6" cm="1">
        <f t="array" ref="S247">_xlfn.XLOOKUP(Table8[[#This Row],[Admin2PCODE]:[Admin2PCODE]],tblPiNAnalysis[[Admin2PCODE]:[Admin2PCODE]],tblPiNAnalysis[% WASH],0,0)</f>
        <v>0.45</v>
      </c>
      <c r="T247" s="6" cm="1">
        <f t="array" ref="T247">_xlfn.XLOOKUP(Table8[[#This Row],[Admin2PCODE]:[Admin2PCODE]],tblPiNAnalysis[[Admin2PCODE]:[Admin2PCODE]],tblPiNAnalysis[% NNA],0,0)</f>
        <v>0.1</v>
      </c>
      <c r="U247" s="6" cm="1">
        <f t="array" ref="U247">_xlfn.XLOOKUP(Table8[[#This Row],[Admin2PCODE]:[Admin2PCODE]],tblPiNAnalysis[[Admin2PCODE]:[Admin2PCODE]],tblPiNAnalysis[% VBG],0,0)</f>
        <v>0.1</v>
      </c>
      <c r="V247" s="8" cm="1">
        <f t="array" ref="V247">_xlfn.XLOOKUP(Table8[[#This Row],[Admin2PCODE]:[Admin2PCODE]],tblPiNAnalysis[[Admin2PCODE]:[Admin2PCODE]],tblPiNAnalysis[PiN preliminar],0,0)</f>
        <v>51167.700000000004</v>
      </c>
      <c r="W247" s="308" cm="1">
        <f t="array" ref="W247">_xlfn.XLOOKUP(Table8[[#This Row],[Admin2PCODE]],tblPiNAnalysis[Admin2PCODE],tblSeverityAnalysis[Severidad media],0,0)</f>
        <v>2.3333333333333335</v>
      </c>
      <c r="X247" s="42">
        <f>Table8[[#This Row],[Severidad media]]*6</f>
        <v>14</v>
      </c>
      <c r="Y247" s="6" cm="1">
        <f t="array" ref="Y247">_xlfn.XLOOKUP(Table8[[#This Row],[Admin2PCODE]],tblPiNAnalysis[Admin2PCODE],tblPiNAnalysis[% PiN Sectores más altos],0,0)</f>
        <v>0.45</v>
      </c>
      <c r="Z247" s="42" cm="1">
        <f t="array" ref="Z247">_xlfn.XLOOKUP(Table8[[#This Row],[Admin2PCODE]:[Admin2PCODE]],tblPiNAnalysis[[Admin2PCODE]:[Admin2PCODE]],tblPiNAnalysis[Severidad],0,0)</f>
        <v>4</v>
      </c>
      <c r="AA247">
        <f>_xlfn.XLOOKUP(Table8[[#This Row],[Admin2PCODE]],tblSeverityAnalysis[Admin 2 Código P],tblSeverityAnalysis[Severidad Ttotal 2025],0,0)</f>
        <v>3</v>
      </c>
      <c r="AB247" t="str">
        <f>_xlfn.XLOOKUP(Table8[[#This Row],[Admin2PCODE]],tblSeverityAnalysis[Admin 2 Código P],tblSeverityAnalysis[Priorización Final 2025],0,0)</f>
        <v>No</v>
      </c>
      <c r="AC247">
        <v>8</v>
      </c>
      <c r="AD247" t="s">
        <v>1086</v>
      </c>
      <c r="AE247">
        <v>14</v>
      </c>
      <c r="AF247">
        <v>1</v>
      </c>
      <c r="AG247">
        <v>6</v>
      </c>
      <c r="AH247">
        <v>4</v>
      </c>
      <c r="AI247">
        <v>4</v>
      </c>
      <c r="AJ247">
        <v>7</v>
      </c>
      <c r="AK247">
        <v>0</v>
      </c>
      <c r="AL247">
        <v>3</v>
      </c>
      <c r="AM247">
        <v>3</v>
      </c>
      <c r="AN247">
        <v>3</v>
      </c>
      <c r="AO247" s="314">
        <f>Table8[[#This Row],[N° Clústeres con respuesta]]/Table8[[#This Row],[Org Total]]</f>
        <v>0.5714285714285714</v>
      </c>
      <c r="AP247" s="313">
        <v>22098</v>
      </c>
      <c r="AQ247" s="313">
        <v>7636</v>
      </c>
      <c r="AR247" s="312">
        <f>Table8[[#This Row],[Alcanzados Oct 2025]]/Table8[[#This Row],[Meta 2025]]</f>
        <v>0.34555163363200292</v>
      </c>
      <c r="AS247" s="423">
        <v>59</v>
      </c>
      <c r="AT247" s="423">
        <v>2780</v>
      </c>
      <c r="AU247" s="423">
        <v>2494</v>
      </c>
      <c r="AV247" s="423">
        <v>6216</v>
      </c>
      <c r="AW247" s="423">
        <v>4585</v>
      </c>
      <c r="AX247" s="423">
        <v>0</v>
      </c>
      <c r="AY247" s="423">
        <v>2704</v>
      </c>
      <c r="AZ247" s="423">
        <v>576</v>
      </c>
      <c r="BA247" s="42">
        <v>1731</v>
      </c>
    </row>
    <row r="248" spans="1:53">
      <c r="A248" t="s">
        <v>642</v>
      </c>
      <c r="B248" t="s">
        <v>643</v>
      </c>
      <c r="C248" t="s">
        <v>676</v>
      </c>
      <c r="D248" t="s">
        <v>677</v>
      </c>
      <c r="E248" s="8">
        <v>139204</v>
      </c>
      <c r="F248" s="8">
        <v>12392</v>
      </c>
      <c r="G248" s="8">
        <v>20776.441349154215</v>
      </c>
      <c r="H248" s="8">
        <v>50809.46</v>
      </c>
      <c r="I248" s="8">
        <v>14544.995300628078</v>
      </c>
      <c r="J248" s="8">
        <v>33676.833319465062</v>
      </c>
      <c r="K248" s="8">
        <v>0</v>
      </c>
      <c r="L248" s="8">
        <v>10776.586662228819</v>
      </c>
      <c r="M248" s="8">
        <v>11786.89166181277</v>
      </c>
      <c r="N248" s="6" cm="1">
        <f t="array" ref="N248">_xlfn.XLOOKUP(Table8[[#This Row],[Admin2PCODE]:[Admin2PCODE]],tblPiNAnalysis[[Admin2PCODE]:[Admin2PCODE]],tblPiNAnalysis[% SAMV],0,0)</f>
        <v>0.1</v>
      </c>
      <c r="O248" s="6" cm="1">
        <f t="array" ref="O248">_xlfn.XLOOKUP(Table8[[#This Row],[Admin2PCODE]:[Admin2PCODE]],tblPiNAnalysis[[Admin2PCODE]:[Admin2PCODE]],tblPiNAnalysis[% NUT],0,0)</f>
        <v>0.15000000000000002</v>
      </c>
      <c r="P248" s="6" cm="1">
        <f t="array" ref="P248">_xlfn.XLOOKUP(Table8[[#This Row],[Admin2PCODE]:[Admin2PCODE]],tblPiNAnalysis[[Admin2PCODE]:[Admin2PCODE]],tblPiNAnalysis[% SAL],0,0)</f>
        <v>0.35000000000000003</v>
      </c>
      <c r="Q248" s="6" cm="1">
        <f t="array" ref="Q248">_xlfn.XLOOKUP(Table8[[#This Row],[Admin2PCODE]:[Admin2PCODE]],tblPiNAnalysis[[Admin2PCODE]:[Admin2PCODE]],tblPiNAnalysis[% EDU],0,0)</f>
        <v>0.1</v>
      </c>
      <c r="R248" s="6" cm="1">
        <f t="array" ref="R248">_xlfn.XLOOKUP(Table8[[#This Row],[Admin2PCODE]:[Admin2PCODE]],tblPiNAnalysis[[Admin2PCODE]:[Admin2PCODE]],tblPiNAnalysis[% PRO],0,0)</f>
        <v>0.25</v>
      </c>
      <c r="S248" s="6" cm="1">
        <f t="array" ref="S248">_xlfn.XLOOKUP(Table8[[#This Row],[Admin2PCODE]:[Admin2PCODE]],tblPiNAnalysis[[Admin2PCODE]:[Admin2PCODE]],tblPiNAnalysis[% WASH],0,0)</f>
        <v>0</v>
      </c>
      <c r="T248" s="6" cm="1">
        <f t="array" ref="T248">_xlfn.XLOOKUP(Table8[[#This Row],[Admin2PCODE]:[Admin2PCODE]],tblPiNAnalysis[[Admin2PCODE]:[Admin2PCODE]],tblPiNAnalysis[% NNA],0,0)</f>
        <v>0.1</v>
      </c>
      <c r="U248" s="6" cm="1">
        <f t="array" ref="U248">_xlfn.XLOOKUP(Table8[[#This Row],[Admin2PCODE]:[Admin2PCODE]],tblPiNAnalysis[[Admin2PCODE]:[Admin2PCODE]],tblPiNAnalysis[% VBG],0,0)</f>
        <v>0.1</v>
      </c>
      <c r="V248" s="8" cm="1">
        <f t="array" ref="V248">_xlfn.XLOOKUP(Table8[[#This Row],[Admin2PCODE]:[Admin2PCODE]],tblPiNAnalysis[[Admin2PCODE]:[Admin2PCODE]],tblPiNAnalysis[PiN preliminar],0,0)</f>
        <v>50809.46</v>
      </c>
      <c r="W248" s="308" cm="1">
        <f t="array" ref="W248">_xlfn.XLOOKUP(Table8[[#This Row],[Admin2PCODE]],tblPiNAnalysis[Admin2PCODE],tblSeverityAnalysis[Severidad media],0,0)</f>
        <v>2.6666666666666665</v>
      </c>
      <c r="X248" s="42">
        <f>Table8[[#This Row],[Severidad media]]*6</f>
        <v>16</v>
      </c>
      <c r="Y248" s="6" cm="1">
        <f t="array" ref="Y248">_xlfn.XLOOKUP(Table8[[#This Row],[Admin2PCODE]],tblPiNAnalysis[Admin2PCODE],tblPiNAnalysis[% PiN Sectores más altos],0,0)</f>
        <v>0.36499999999999999</v>
      </c>
      <c r="Z248" s="42" cm="1">
        <f t="array" ref="Z248">_xlfn.XLOOKUP(Table8[[#This Row],[Admin2PCODE]:[Admin2PCODE]],tblPiNAnalysis[[Admin2PCODE]:[Admin2PCODE]],tblPiNAnalysis[Severidad],0,0)</f>
        <v>4</v>
      </c>
      <c r="AA248">
        <f>_xlfn.XLOOKUP(Table8[[#This Row],[Admin2PCODE]],tblSeverityAnalysis[Admin 2 Código P],tblSeverityAnalysis[Severidad Ttotal 2025],0,0)</f>
        <v>3</v>
      </c>
      <c r="AB248" t="str">
        <f>_xlfn.XLOOKUP(Table8[[#This Row],[Admin2PCODE]],tblSeverityAnalysis[Admin 2 Código P],tblSeverityAnalysis[Priorización Final 2025],0,0)</f>
        <v>No</v>
      </c>
      <c r="AC248">
        <v>6</v>
      </c>
      <c r="AD248" t="s">
        <v>1087</v>
      </c>
      <c r="AE248">
        <v>9</v>
      </c>
      <c r="AF248">
        <v>0</v>
      </c>
      <c r="AG248">
        <v>2</v>
      </c>
      <c r="AH248">
        <v>0</v>
      </c>
      <c r="AI248">
        <v>1</v>
      </c>
      <c r="AJ248">
        <v>2</v>
      </c>
      <c r="AK248">
        <v>0</v>
      </c>
      <c r="AL248">
        <v>2</v>
      </c>
      <c r="AM248">
        <v>4</v>
      </c>
      <c r="AN248">
        <v>2</v>
      </c>
      <c r="AO248" s="314">
        <f>Table8[[#This Row],[N° Clústeres con respuesta]]/Table8[[#This Row],[Org Total]]</f>
        <v>0.66666666666666663</v>
      </c>
      <c r="AP248" s="313">
        <v>22870</v>
      </c>
      <c r="AQ248" s="313">
        <v>6928</v>
      </c>
      <c r="AR248" s="312">
        <f>Table8[[#This Row],[Alcanzados Oct 2025]]/Table8[[#This Row],[Meta 2025]]</f>
        <v>0.30292960209881942</v>
      </c>
      <c r="AS248" s="423">
        <v>0</v>
      </c>
      <c r="AT248" s="423">
        <v>0</v>
      </c>
      <c r="AU248" s="423">
        <v>0</v>
      </c>
      <c r="AV248" s="423">
        <v>1161</v>
      </c>
      <c r="AW248" s="423">
        <v>10</v>
      </c>
      <c r="AX248" s="423">
        <v>0</v>
      </c>
      <c r="AY248" s="423">
        <v>46</v>
      </c>
      <c r="AZ248" s="423">
        <v>153</v>
      </c>
      <c r="BA248" s="42">
        <v>6928</v>
      </c>
    </row>
    <row r="249" spans="1:53">
      <c r="A249" t="s">
        <v>589</v>
      </c>
      <c r="B249" t="s">
        <v>590</v>
      </c>
      <c r="C249" t="s">
        <v>415</v>
      </c>
      <c r="D249" t="s">
        <v>592</v>
      </c>
      <c r="E249" s="8">
        <v>20820</v>
      </c>
      <c r="F249" s="8">
        <v>5205</v>
      </c>
      <c r="G249" s="8">
        <v>617.64677181813954</v>
      </c>
      <c r="H249" s="8">
        <v>7599.3</v>
      </c>
      <c r="I249" s="8">
        <v>1512.7607018517988</v>
      </c>
      <c r="J249" s="8">
        <v>4167.6474701510706</v>
      </c>
      <c r="K249" s="8">
        <v>0</v>
      </c>
      <c r="L249" s="8">
        <v>1333.6471904483426</v>
      </c>
      <c r="M249" s="8">
        <v>1458.6766145528745</v>
      </c>
      <c r="N249" s="6" cm="1">
        <f t="array" ref="N249">_xlfn.XLOOKUP(Table8[[#This Row],[Admin2PCODE]:[Admin2PCODE]],tblPiNAnalysis[[Admin2PCODE]:[Admin2PCODE]],tblPiNAnalysis[% SAMV],0,0)</f>
        <v>0.25</v>
      </c>
      <c r="O249" s="6" cm="1">
        <f t="array" ref="O249">_xlfn.XLOOKUP(Table8[[#This Row],[Admin2PCODE]:[Admin2PCODE]],tblPiNAnalysis[[Admin2PCODE]:[Admin2PCODE]],tblPiNAnalysis[% NUT],0,0)</f>
        <v>0.05</v>
      </c>
      <c r="P249" s="6" cm="1">
        <f t="array" ref="P249">_xlfn.XLOOKUP(Table8[[#This Row],[Admin2PCODE]:[Admin2PCODE]],tblPiNAnalysis[[Admin2PCODE]:[Admin2PCODE]],tblPiNAnalysis[% SAL],0,0)</f>
        <v>0.35000000000000003</v>
      </c>
      <c r="Q249" s="6" cm="1">
        <f t="array" ref="Q249">_xlfn.XLOOKUP(Table8[[#This Row],[Admin2PCODE]:[Admin2PCODE]],tblPiNAnalysis[[Admin2PCODE]:[Admin2PCODE]],tblPiNAnalysis[% EDU],0,0)</f>
        <v>0.05</v>
      </c>
      <c r="R249" s="6" cm="1">
        <f t="array" ref="R249">_xlfn.XLOOKUP(Table8[[#This Row],[Admin2PCODE]:[Admin2PCODE]],tblPiNAnalysis[[Admin2PCODE]:[Admin2PCODE]],tblPiNAnalysis[% PRO],0,0)</f>
        <v>0.2</v>
      </c>
      <c r="S249" s="6" cm="1">
        <f t="array" ref="S249">_xlfn.XLOOKUP(Table8[[#This Row],[Admin2PCODE]:[Admin2PCODE]],tblPiNAnalysis[[Admin2PCODE]:[Admin2PCODE]],tblPiNAnalysis[% WASH],0,0)</f>
        <v>0</v>
      </c>
      <c r="T249" s="6" cm="1">
        <f t="array" ref="T249">_xlfn.XLOOKUP(Table8[[#This Row],[Admin2PCODE]:[Admin2PCODE]],tblPiNAnalysis[[Admin2PCODE]:[Admin2PCODE]],tblPiNAnalysis[% NNA],0,0)</f>
        <v>0.05</v>
      </c>
      <c r="U249" s="6" cm="1">
        <f t="array" ref="U249">_xlfn.XLOOKUP(Table8[[#This Row],[Admin2PCODE]:[Admin2PCODE]],tblPiNAnalysis[[Admin2PCODE]:[Admin2PCODE]],tblPiNAnalysis[% VBG],0,0)</f>
        <v>0.05</v>
      </c>
      <c r="V249" s="8" cm="1">
        <f t="array" ref="V249">_xlfn.XLOOKUP(Table8[[#This Row],[Admin2PCODE]:[Admin2PCODE]],tblPiNAnalysis[[Admin2PCODE]:[Admin2PCODE]],tblPiNAnalysis[PiN preliminar],0,0)</f>
        <v>0</v>
      </c>
      <c r="W249" s="308" cm="1">
        <f t="array" ref="W249">_xlfn.XLOOKUP(Table8[[#This Row],[Admin2PCODE]],tblPiNAnalysis[Admin2PCODE],tblSeverityAnalysis[Severidad media],0,0)</f>
        <v>2.5</v>
      </c>
      <c r="X249" s="42">
        <f>Table8[[#This Row],[Severidad media]]*6</f>
        <v>15</v>
      </c>
      <c r="Y249" s="6" cm="1">
        <f t="array" ref="Y249">_xlfn.XLOOKUP(Table8[[#This Row],[Admin2PCODE]],tblPiNAnalysis[Admin2PCODE],tblPiNAnalysis[% PiN Sectores más altos],0,0)</f>
        <v>0.36499999999999999</v>
      </c>
      <c r="Z249" s="42" cm="1">
        <f t="array" ref="Z249">_xlfn.XLOOKUP(Table8[[#This Row],[Admin2PCODE]:[Admin2PCODE]],tblPiNAnalysis[[Admin2PCODE]:[Admin2PCODE]],tblPiNAnalysis[Severidad],0,0)</f>
        <v>2</v>
      </c>
      <c r="AA249">
        <f>_xlfn.XLOOKUP(Table8[[#This Row],[Admin2PCODE]],tblSeverityAnalysis[Admin 2 Código P],tblSeverityAnalysis[Severidad Ttotal 2025],0,0)</f>
        <v>3</v>
      </c>
      <c r="AB249" t="str">
        <f>_xlfn.XLOOKUP(Table8[[#This Row],[Admin2PCODE]],tblSeverityAnalysis[Admin 2 Código P],tblSeverityAnalysis[Priorización Final 2025],0,0)</f>
        <v>No</v>
      </c>
      <c r="AC249">
        <v>0</v>
      </c>
      <c r="AD249">
        <v>0</v>
      </c>
      <c r="AE249">
        <v>0</v>
      </c>
      <c r="AF249">
        <v>0</v>
      </c>
      <c r="AG249">
        <v>0</v>
      </c>
      <c r="AH249">
        <v>0</v>
      </c>
      <c r="AI249">
        <v>0</v>
      </c>
      <c r="AJ249">
        <v>0</v>
      </c>
      <c r="AK249">
        <v>0</v>
      </c>
      <c r="AL249">
        <v>0</v>
      </c>
      <c r="AM249">
        <v>0</v>
      </c>
      <c r="AN249">
        <v>0</v>
      </c>
      <c r="AO249" s="314" t="e">
        <f>Table8[[#This Row],[N° Clústeres con respuesta]]/Table8[[#This Row],[Org Total]]</f>
        <v>#DIV/0!</v>
      </c>
      <c r="AP249" s="313">
        <v>4670</v>
      </c>
      <c r="AQ249" s="313">
        <v>0</v>
      </c>
      <c r="AR249" s="312">
        <f>Table8[[#This Row],[Alcanzados Oct 2025]]/Table8[[#This Row],[Meta 2025]]</f>
        <v>0</v>
      </c>
      <c r="AS249" s="423">
        <v>0</v>
      </c>
      <c r="AT249" s="423">
        <v>0</v>
      </c>
      <c r="AU249" s="423">
        <v>0</v>
      </c>
      <c r="AV249" s="423">
        <v>0</v>
      </c>
      <c r="AW249" s="423">
        <v>0</v>
      </c>
      <c r="AX249" s="423">
        <v>0</v>
      </c>
      <c r="AY249" s="423">
        <v>0</v>
      </c>
      <c r="AZ249" s="423">
        <v>0</v>
      </c>
      <c r="BA249" s="42">
        <v>0</v>
      </c>
    </row>
    <row r="250" spans="1:53">
      <c r="A250" t="s">
        <v>589</v>
      </c>
      <c r="B250" t="s">
        <v>590</v>
      </c>
      <c r="C250" t="s">
        <v>595</v>
      </c>
      <c r="D250" t="s">
        <v>596</v>
      </c>
      <c r="E250" s="8">
        <v>60678</v>
      </c>
      <c r="F250" s="8">
        <v>14448</v>
      </c>
      <c r="G250" s="8">
        <v>2212.9798862816215</v>
      </c>
      <c r="H250" s="8">
        <v>22147.47</v>
      </c>
      <c r="I250" s="8">
        <v>7493.618245715983</v>
      </c>
      <c r="J250" s="8">
        <v>7287.7381323869377</v>
      </c>
      <c r="K250" s="8">
        <v>8191.5300000000007</v>
      </c>
      <c r="L250" s="8">
        <v>2332.0762023638199</v>
      </c>
      <c r="M250" s="8">
        <v>2550.7083463354279</v>
      </c>
      <c r="N250" s="6" cm="1">
        <f t="array" ref="N250">_xlfn.XLOOKUP(Table8[[#This Row],[Admin2PCODE]:[Admin2PCODE]],tblPiNAnalysis[[Admin2PCODE]:[Admin2PCODE]],tblPiNAnalysis[% SAMV],0,0)</f>
        <v>0.25</v>
      </c>
      <c r="O250" s="6" cm="1">
        <f t="array" ref="O250">_xlfn.XLOOKUP(Table8[[#This Row],[Admin2PCODE]:[Admin2PCODE]],tblPiNAnalysis[[Admin2PCODE]:[Admin2PCODE]],tblPiNAnalysis[% NUT],0,0)</f>
        <v>0.05</v>
      </c>
      <c r="P250" s="6" cm="1">
        <f t="array" ref="P250">_xlfn.XLOOKUP(Table8[[#This Row],[Admin2PCODE]:[Admin2PCODE]],tblPiNAnalysis[[Admin2PCODE]:[Admin2PCODE]],tblPiNAnalysis[% SAL],0,0)</f>
        <v>0.35000000000000003</v>
      </c>
      <c r="Q250" s="6" cm="1">
        <f t="array" ref="Q250">_xlfn.XLOOKUP(Table8[[#This Row],[Admin2PCODE]:[Admin2PCODE]],tblPiNAnalysis[[Admin2PCODE]:[Admin2PCODE]],tblPiNAnalysis[% EDU],0,0)</f>
        <v>0.1</v>
      </c>
      <c r="R250" s="6" cm="1">
        <f t="array" ref="R250">_xlfn.XLOOKUP(Table8[[#This Row],[Admin2PCODE]:[Admin2PCODE]],tblPiNAnalysis[[Admin2PCODE]:[Admin2PCODE]],tblPiNAnalysis[% PRO],0,0)</f>
        <v>0.1</v>
      </c>
      <c r="S250" s="6" cm="1">
        <f t="array" ref="S250">_xlfn.XLOOKUP(Table8[[#This Row],[Admin2PCODE]:[Admin2PCODE]],tblPiNAnalysis[[Admin2PCODE]:[Admin2PCODE]],tblPiNAnalysis[% WASH],0,0)</f>
        <v>0.15000000000000002</v>
      </c>
      <c r="T250" s="6" cm="1">
        <f t="array" ref="T250">_xlfn.XLOOKUP(Table8[[#This Row],[Admin2PCODE]:[Admin2PCODE]],tblPiNAnalysis[[Admin2PCODE]:[Admin2PCODE]],tblPiNAnalysis[% NNA],0,0)</f>
        <v>0.05</v>
      </c>
      <c r="U250" s="6" cm="1">
        <f t="array" ref="U250">_xlfn.XLOOKUP(Table8[[#This Row],[Admin2PCODE]:[Admin2PCODE]],tblPiNAnalysis[[Admin2PCODE]:[Admin2PCODE]],tblPiNAnalysis[% VBG],0,0)</f>
        <v>0.05</v>
      </c>
      <c r="V250" s="8" cm="1">
        <f t="array" ref="V250">_xlfn.XLOOKUP(Table8[[#This Row],[Admin2PCODE]:[Admin2PCODE]],tblPiNAnalysis[[Admin2PCODE]:[Admin2PCODE]],tblPiNAnalysis[PiN preliminar],0,0)</f>
        <v>22147.47</v>
      </c>
      <c r="W250" s="308" cm="1">
        <f t="array" ref="W250">_xlfn.XLOOKUP(Table8[[#This Row],[Admin2PCODE]],tblPiNAnalysis[Admin2PCODE],tblSeverityAnalysis[Severidad media],0,0)</f>
        <v>2.3333333333333335</v>
      </c>
      <c r="X250" s="42">
        <f>Table8[[#This Row],[Severidad media]]*6</f>
        <v>14</v>
      </c>
      <c r="Y250" s="6" cm="1">
        <f t="array" ref="Y250">_xlfn.XLOOKUP(Table8[[#This Row],[Admin2PCODE]],tblPiNAnalysis[Admin2PCODE],tblPiNAnalysis[% PiN Sectores más altos],0,0)</f>
        <v>0.36500000000000005</v>
      </c>
      <c r="Z250" s="42" cm="1">
        <f t="array" ref="Z250">_xlfn.XLOOKUP(Table8[[#This Row],[Admin2PCODE]:[Admin2PCODE]],tblPiNAnalysis[[Admin2PCODE]:[Admin2PCODE]],tblPiNAnalysis[Severidad],0,0)</f>
        <v>3</v>
      </c>
      <c r="AA250">
        <f>_xlfn.XLOOKUP(Table8[[#This Row],[Admin2PCODE]],tblSeverityAnalysis[Admin 2 Código P],tblSeverityAnalysis[Severidad Ttotal 2025],0,0)</f>
        <v>3</v>
      </c>
      <c r="AB250" t="str">
        <f>_xlfn.XLOOKUP(Table8[[#This Row],[Admin2PCODE]],tblSeverityAnalysis[Admin 2 Código P],tblSeverityAnalysis[Priorización Final 2025],0,0)</f>
        <v>No</v>
      </c>
      <c r="AC250">
        <v>5</v>
      </c>
      <c r="AD250" t="s">
        <v>1088</v>
      </c>
      <c r="AE250">
        <v>6</v>
      </c>
      <c r="AF250">
        <v>0</v>
      </c>
      <c r="AG250">
        <v>3</v>
      </c>
      <c r="AH250">
        <v>0</v>
      </c>
      <c r="AI250">
        <v>2</v>
      </c>
      <c r="AJ250">
        <v>2</v>
      </c>
      <c r="AK250">
        <v>0</v>
      </c>
      <c r="AL250">
        <v>0</v>
      </c>
      <c r="AM250">
        <v>2</v>
      </c>
      <c r="AN250">
        <v>1</v>
      </c>
      <c r="AO250" s="314">
        <f>Table8[[#This Row],[N° Clústeres con respuesta]]/Table8[[#This Row],[Org Total]]</f>
        <v>0.83333333333333337</v>
      </c>
      <c r="AP250" s="313">
        <v>9968</v>
      </c>
      <c r="AQ250" s="313">
        <v>792</v>
      </c>
      <c r="AR250" s="312">
        <f>Table8[[#This Row],[Alcanzados Oct 2025]]/Table8[[#This Row],[Meta 2025]]</f>
        <v>7.9454253611556988E-2</v>
      </c>
      <c r="AS250" s="423">
        <v>0</v>
      </c>
      <c r="AT250" s="423">
        <v>201</v>
      </c>
      <c r="AU250" s="423">
        <v>0</v>
      </c>
      <c r="AV250" s="423">
        <v>690</v>
      </c>
      <c r="AW250" s="423">
        <v>424</v>
      </c>
      <c r="AX250" s="423">
        <v>0</v>
      </c>
      <c r="AY250" s="423">
        <v>0</v>
      </c>
      <c r="AZ250" s="423">
        <v>0</v>
      </c>
      <c r="BA250" s="42">
        <v>12</v>
      </c>
    </row>
    <row r="251" spans="1:53">
      <c r="A251" t="s">
        <v>98</v>
      </c>
      <c r="B251" t="s">
        <v>99</v>
      </c>
      <c r="C251" t="s">
        <v>100</v>
      </c>
      <c r="D251" t="s">
        <v>101</v>
      </c>
      <c r="E251" s="8">
        <v>1987792</v>
      </c>
      <c r="F251" s="8">
        <v>407399</v>
      </c>
      <c r="G251" s="8">
        <v>72481.959421549807</v>
      </c>
      <c r="H251" s="8">
        <v>725544.08</v>
      </c>
      <c r="I251" s="8">
        <v>246169.73099071888</v>
      </c>
      <c r="J251" s="8">
        <v>475623.18</v>
      </c>
      <c r="K251" s="8">
        <v>268351.92</v>
      </c>
      <c r="L251" s="8">
        <v>152199.41759999999</v>
      </c>
      <c r="M251" s="8">
        <v>166468.11299999998</v>
      </c>
      <c r="N251" s="6" cm="1">
        <f t="array" ref="N251">_xlfn.XLOOKUP(Table8[[#This Row],[Admin2PCODE]:[Admin2PCODE]],tblPiNAnalysis[[Admin2PCODE]:[Admin2PCODE]],tblPiNAnalysis[% SAMV],0,0)</f>
        <v>0.2</v>
      </c>
      <c r="O251" s="6" cm="1">
        <f t="array" ref="O251">_xlfn.XLOOKUP(Table8[[#This Row],[Admin2PCODE]:[Admin2PCODE]],tblPiNAnalysis[[Admin2PCODE]:[Admin2PCODE]],tblPiNAnalysis[% NUT],0,0)</f>
        <v>0.05</v>
      </c>
      <c r="P251" s="6" cm="1">
        <f t="array" ref="P251">_xlfn.XLOOKUP(Table8[[#This Row],[Admin2PCODE]:[Admin2PCODE]],tblPiNAnalysis[[Admin2PCODE]:[Admin2PCODE]],tblPiNAnalysis[% SAL],0,0)</f>
        <v>0.35000000000000003</v>
      </c>
      <c r="Q251" s="6" cm="1">
        <f t="array" ref="Q251">_xlfn.XLOOKUP(Table8[[#This Row],[Admin2PCODE]:[Admin2PCODE]],tblPiNAnalysis[[Admin2PCODE]:[Admin2PCODE]],tblPiNAnalysis[% EDU],0,0)</f>
        <v>0.1</v>
      </c>
      <c r="R251" s="6" cm="1">
        <f t="array" ref="R251">_xlfn.XLOOKUP(Table8[[#This Row],[Admin2PCODE]:[Admin2PCODE]],tblPiNAnalysis[[Admin2PCODE]:[Admin2PCODE]],tblPiNAnalysis[% PRO],0,0)</f>
        <v>0.25</v>
      </c>
      <c r="S251" s="6" cm="1">
        <f t="array" ref="S251">_xlfn.XLOOKUP(Table8[[#This Row],[Admin2PCODE]:[Admin2PCODE]],tblPiNAnalysis[[Admin2PCODE]:[Admin2PCODE]],tblPiNAnalysis[% WASH],0,0)</f>
        <v>0.15000000000000002</v>
      </c>
      <c r="T251" s="6" cm="1">
        <f t="array" ref="T251">_xlfn.XLOOKUP(Table8[[#This Row],[Admin2PCODE]:[Admin2PCODE]],tblPiNAnalysis[[Admin2PCODE]:[Admin2PCODE]],tblPiNAnalysis[% NNA],0,0)</f>
        <v>0.1</v>
      </c>
      <c r="U251" s="6" cm="1">
        <f t="array" ref="U251">_xlfn.XLOOKUP(Table8[[#This Row],[Admin2PCODE]:[Admin2PCODE]],tblPiNAnalysis[[Admin2PCODE]:[Admin2PCODE]],tblPiNAnalysis[% VBG],0,0)</f>
        <v>0.1</v>
      </c>
      <c r="V251" s="8" cm="1">
        <f t="array" ref="V251">_xlfn.XLOOKUP(Table8[[#This Row],[Admin2PCODE]:[Admin2PCODE]],tblPiNAnalysis[[Admin2PCODE]:[Admin2PCODE]],tblPiNAnalysis[PiN preliminar],0,0)</f>
        <v>725544.08</v>
      </c>
      <c r="W251" s="308" cm="1">
        <f t="array" ref="W251">_xlfn.XLOOKUP(Table8[[#This Row],[Admin2PCODE]],tblPiNAnalysis[Admin2PCODE],tblSeverityAnalysis[Severidad media],0,0)</f>
        <v>3</v>
      </c>
      <c r="X251" s="42">
        <f>Table8[[#This Row],[Severidad media]]*6</f>
        <v>18</v>
      </c>
      <c r="Y251" s="307" cm="1">
        <f t="array" ref="Y251">_xlfn.XLOOKUP(Table8[[#This Row],[Admin2PCODE]],tblPiNAnalysis[Admin2PCODE],tblPiNAnalysis[% PiN Sectores más altos],0,0)</f>
        <v>0.36499999999999999</v>
      </c>
      <c r="Z251" s="42" cm="1">
        <f t="array" ref="Z251">_xlfn.XLOOKUP(Table8[[#This Row],[Admin2PCODE]:[Admin2PCODE]],tblPiNAnalysis[[Admin2PCODE]:[Admin2PCODE]],tblPiNAnalysis[Severidad],0,0)</f>
        <v>3</v>
      </c>
      <c r="AA251">
        <f>_xlfn.XLOOKUP(Table8[[#This Row],[Admin2PCODE]],tblSeverityAnalysis[Admin 2 Código P],tblSeverityAnalysis[Severidad Ttotal 2025],0,0)</f>
        <v>3</v>
      </c>
      <c r="AB251" t="str">
        <f>_xlfn.XLOOKUP(Table8[[#This Row],[Admin2PCODE]],tblSeverityAnalysis[Admin 2 Código P],tblSeverityAnalysis[Priorización Final 2025],0,0)</f>
        <v>Sí</v>
      </c>
      <c r="AC251">
        <v>9</v>
      </c>
      <c r="AD251" t="s">
        <v>1089</v>
      </c>
      <c r="AE251">
        <v>47</v>
      </c>
      <c r="AF251">
        <v>3</v>
      </c>
      <c r="AG251">
        <v>10</v>
      </c>
      <c r="AH251">
        <v>7</v>
      </c>
      <c r="AI251">
        <v>12</v>
      </c>
      <c r="AJ251">
        <v>23</v>
      </c>
      <c r="AK251">
        <v>10</v>
      </c>
      <c r="AL251">
        <v>16</v>
      </c>
      <c r="AM251">
        <v>14</v>
      </c>
      <c r="AN251">
        <v>7</v>
      </c>
      <c r="AO251" s="314">
        <f>Table8[[#This Row],[N° Clústeres con respuesta]]/Table8[[#This Row],[Org Total]]</f>
        <v>0.19148936170212766</v>
      </c>
      <c r="AP251" s="313">
        <v>334996</v>
      </c>
      <c r="AQ251" s="313">
        <v>66678</v>
      </c>
      <c r="AR251" s="312">
        <f>Table8[[#This Row],[Alcanzados Oct 2025]]/Table8[[#This Row],[Meta 2025]]</f>
        <v>0.19904118258128456</v>
      </c>
      <c r="AS251" s="423">
        <v>44</v>
      </c>
      <c r="AT251" s="423">
        <v>26320</v>
      </c>
      <c r="AU251" s="423">
        <v>6632</v>
      </c>
      <c r="AV251" s="423">
        <v>27141</v>
      </c>
      <c r="AW251" s="423">
        <v>22597</v>
      </c>
      <c r="AX251" s="423">
        <v>2145</v>
      </c>
      <c r="AY251" s="423">
        <v>21625</v>
      </c>
      <c r="AZ251" s="423">
        <v>63924</v>
      </c>
      <c r="BA251" s="42">
        <v>9777</v>
      </c>
    </row>
    <row r="252" spans="1:53">
      <c r="A252" t="s">
        <v>589</v>
      </c>
      <c r="B252" t="s">
        <v>590</v>
      </c>
      <c r="C252" t="s">
        <v>598</v>
      </c>
      <c r="D252" t="s">
        <v>599</v>
      </c>
      <c r="E252" s="8">
        <v>124803</v>
      </c>
      <c r="F252" s="8">
        <v>7664</v>
      </c>
      <c r="G252" s="8">
        <v>2855.4371760479462</v>
      </c>
      <c r="H252" s="8">
        <v>45553.095000000001</v>
      </c>
      <c r="I252" s="8">
        <v>21180.136763199589</v>
      </c>
      <c r="J252" s="8">
        <v>24982.464323595777</v>
      </c>
      <c r="K252" s="8">
        <v>0</v>
      </c>
      <c r="L252" s="8">
        <v>7994.3885835506489</v>
      </c>
      <c r="M252" s="8">
        <v>8743.8625132585203</v>
      </c>
      <c r="N252" s="6" cm="1">
        <f t="array" ref="N252">_xlfn.XLOOKUP(Table8[[#This Row],[Admin2PCODE]:[Admin2PCODE]],tblPiNAnalysis[[Admin2PCODE]:[Admin2PCODE]],tblPiNAnalysis[% SAMV],0,0)</f>
        <v>0.05</v>
      </c>
      <c r="O252" s="6" cm="1">
        <f t="array" ref="O252">_xlfn.XLOOKUP(Table8[[#This Row],[Admin2PCODE]:[Admin2PCODE]],tblPiNAnalysis[[Admin2PCODE]:[Admin2PCODE]],tblPiNAnalysis[% NUT],0,0)</f>
        <v>0</v>
      </c>
      <c r="P252" s="6" cm="1">
        <f t="array" ref="P252">_xlfn.XLOOKUP(Table8[[#This Row],[Admin2PCODE]:[Admin2PCODE]],tblPiNAnalysis[[Admin2PCODE]:[Admin2PCODE]],tblPiNAnalysis[% SAL],0,0)</f>
        <v>0.35000000000000003</v>
      </c>
      <c r="Q252" s="6" cm="1">
        <f t="array" ref="Q252">_xlfn.XLOOKUP(Table8[[#This Row],[Admin2PCODE]:[Admin2PCODE]],tblPiNAnalysis[[Admin2PCODE]:[Admin2PCODE]],tblPiNAnalysis[% EDU],0,0)</f>
        <v>0.15000000000000002</v>
      </c>
      <c r="R252" s="6" cm="1">
        <f t="array" ref="R252">_xlfn.XLOOKUP(Table8[[#This Row],[Admin2PCODE]:[Admin2PCODE]],tblPiNAnalysis[[Admin2PCODE]:[Admin2PCODE]],tblPiNAnalysis[% PRO],0,0)</f>
        <v>0.2</v>
      </c>
      <c r="S252" s="6" cm="1">
        <f t="array" ref="S252">_xlfn.XLOOKUP(Table8[[#This Row],[Admin2PCODE]:[Admin2PCODE]],tblPiNAnalysis[[Admin2PCODE]:[Admin2PCODE]],tblPiNAnalysis[% WASH],0,0)</f>
        <v>0</v>
      </c>
      <c r="T252" s="6" cm="1">
        <f t="array" ref="T252">_xlfn.XLOOKUP(Table8[[#This Row],[Admin2PCODE]:[Admin2PCODE]],tblPiNAnalysis[[Admin2PCODE]:[Admin2PCODE]],tblPiNAnalysis[% NNA],0,0)</f>
        <v>0.05</v>
      </c>
      <c r="U252" s="6" cm="1">
        <f t="array" ref="U252">_xlfn.XLOOKUP(Table8[[#This Row],[Admin2PCODE]:[Admin2PCODE]],tblPiNAnalysis[[Admin2PCODE]:[Admin2PCODE]],tblPiNAnalysis[% VBG],0,0)</f>
        <v>0.05</v>
      </c>
      <c r="V252" s="8" cm="1">
        <f t="array" ref="V252">_xlfn.XLOOKUP(Table8[[#This Row],[Admin2PCODE]:[Admin2PCODE]],tblPiNAnalysis[[Admin2PCODE]:[Admin2PCODE]],tblPiNAnalysis[PiN preliminar],0,0)</f>
        <v>0</v>
      </c>
      <c r="W252" s="308" cm="1">
        <f t="array" ref="W252">_xlfn.XLOOKUP(Table8[[#This Row],[Admin2PCODE]],tblPiNAnalysis[Admin2PCODE],tblSeverityAnalysis[Severidad media],0,0)</f>
        <v>2.5</v>
      </c>
      <c r="X252" s="42">
        <f>Table8[[#This Row],[Severidad media]]*6</f>
        <v>15</v>
      </c>
      <c r="Y252" s="6" cm="1">
        <f t="array" ref="Y252">_xlfn.XLOOKUP(Table8[[#This Row],[Admin2PCODE]],tblPiNAnalysis[Admin2PCODE],tblPiNAnalysis[% PiN Sectores más altos],0,0)</f>
        <v>0.36499999999999999</v>
      </c>
      <c r="Z252" s="42" cm="1">
        <f t="array" ref="Z252">_xlfn.XLOOKUP(Table8[[#This Row],[Admin2PCODE]:[Admin2PCODE]],tblPiNAnalysis[[Admin2PCODE]:[Admin2PCODE]],tblPiNAnalysis[Severidad],0,0)</f>
        <v>2</v>
      </c>
      <c r="AA252">
        <f>_xlfn.XLOOKUP(Table8[[#This Row],[Admin2PCODE]],tblSeverityAnalysis[Admin 2 Código P],tblSeverityAnalysis[Severidad Ttotal 2025],0,0)</f>
        <v>3</v>
      </c>
      <c r="AB252" t="str">
        <f>_xlfn.XLOOKUP(Table8[[#This Row],[Admin2PCODE]],tblSeverityAnalysis[Admin 2 Código P],tblSeverityAnalysis[Priorización Final 2025],0,0)</f>
        <v>No</v>
      </c>
      <c r="AC252">
        <v>4</v>
      </c>
      <c r="AD252" t="s">
        <v>1090</v>
      </c>
      <c r="AE252">
        <v>9</v>
      </c>
      <c r="AF252">
        <v>2</v>
      </c>
      <c r="AG252">
        <v>0</v>
      </c>
      <c r="AH252">
        <v>0</v>
      </c>
      <c r="AI252">
        <v>0</v>
      </c>
      <c r="AJ252">
        <v>2</v>
      </c>
      <c r="AK252">
        <v>3</v>
      </c>
      <c r="AL252">
        <v>3</v>
      </c>
      <c r="AM252">
        <v>1</v>
      </c>
      <c r="AN252">
        <v>0</v>
      </c>
      <c r="AO252" s="314">
        <f>Table8[[#This Row],[N° Clústeres con respuesta]]/Table8[[#This Row],[Org Total]]</f>
        <v>0.44444444444444442</v>
      </c>
      <c r="AP252" s="313">
        <v>20505</v>
      </c>
      <c r="AQ252" s="313">
        <v>296</v>
      </c>
      <c r="AR252" s="312">
        <f>Table8[[#This Row],[Alcanzados Oct 2025]]/Table8[[#This Row],[Meta 2025]]</f>
        <v>1.4435503535722994E-2</v>
      </c>
      <c r="AS252" s="423">
        <v>16</v>
      </c>
      <c r="AT252" s="423">
        <v>0</v>
      </c>
      <c r="AU252" s="423">
        <v>0</v>
      </c>
      <c r="AV252" s="423">
        <v>0</v>
      </c>
      <c r="AW252" s="423">
        <v>178</v>
      </c>
      <c r="AX252" s="423">
        <v>148</v>
      </c>
      <c r="AY252" s="423">
        <v>107</v>
      </c>
      <c r="AZ252" s="423">
        <v>102</v>
      </c>
      <c r="BA252" s="42">
        <v>0</v>
      </c>
    </row>
    <row r="253" spans="1:53">
      <c r="A253" t="s">
        <v>589</v>
      </c>
      <c r="B253" t="s">
        <v>590</v>
      </c>
      <c r="C253" t="s">
        <v>600</v>
      </c>
      <c r="D253" t="s">
        <v>601</v>
      </c>
      <c r="E253" s="8">
        <v>33872</v>
      </c>
      <c r="F253" s="8">
        <v>806</v>
      </c>
      <c r="G253" s="8">
        <v>974.30231466457576</v>
      </c>
      <c r="H253" s="8">
        <v>12363.28</v>
      </c>
      <c r="I253" s="8">
        <v>5596.0528667103608</v>
      </c>
      <c r="J253" s="8">
        <v>4068.2004354166324</v>
      </c>
      <c r="K253" s="8">
        <v>0</v>
      </c>
      <c r="L253" s="8">
        <v>1305.892339768739</v>
      </c>
      <c r="M253" s="8">
        <v>1423.8701523958214</v>
      </c>
      <c r="N253" s="6" cm="1">
        <f t="array" ref="N253">_xlfn.XLOOKUP(Table8[[#This Row],[Admin2PCODE]:[Admin2PCODE]],tblPiNAnalysis[[Admin2PCODE]:[Admin2PCODE]],tblPiNAnalysis[% SAMV],0,0)</f>
        <v>0</v>
      </c>
      <c r="O253" s="6" cm="1">
        <f t="array" ref="O253">_xlfn.XLOOKUP(Table8[[#This Row],[Admin2PCODE]:[Admin2PCODE]],tblPiNAnalysis[[Admin2PCODE]:[Admin2PCODE]],tblPiNAnalysis[% NUT],0,0)</f>
        <v>0.05</v>
      </c>
      <c r="P253" s="6" cm="1">
        <f t="array" ref="P253">_xlfn.XLOOKUP(Table8[[#This Row],[Admin2PCODE]:[Admin2PCODE]],tblPiNAnalysis[[Admin2PCODE]:[Admin2PCODE]],tblPiNAnalysis[% SAL],0,0)</f>
        <v>0.35000000000000003</v>
      </c>
      <c r="Q253" s="6" cm="1">
        <f t="array" ref="Q253">_xlfn.XLOOKUP(Table8[[#This Row],[Admin2PCODE]:[Admin2PCODE]],tblPiNAnalysis[[Admin2PCODE]:[Admin2PCODE]],tblPiNAnalysis[% EDU],0,0)</f>
        <v>0.15000000000000002</v>
      </c>
      <c r="R253" s="6" cm="1">
        <f t="array" ref="R253">_xlfn.XLOOKUP(Table8[[#This Row],[Admin2PCODE]:[Admin2PCODE]],tblPiNAnalysis[[Admin2PCODE]:[Admin2PCODE]],tblPiNAnalysis[% PRO],0,0)</f>
        <v>0.1</v>
      </c>
      <c r="S253" s="6" cm="1">
        <f t="array" ref="S253">_xlfn.XLOOKUP(Table8[[#This Row],[Admin2PCODE]:[Admin2PCODE]],tblPiNAnalysis[[Admin2PCODE]:[Admin2PCODE]],tblPiNAnalysis[% WASH],0,0)</f>
        <v>0</v>
      </c>
      <c r="T253" s="6" cm="1">
        <f t="array" ref="T253">_xlfn.XLOOKUP(Table8[[#This Row],[Admin2PCODE]:[Admin2PCODE]],tblPiNAnalysis[[Admin2PCODE]:[Admin2PCODE]],tblPiNAnalysis[% NNA],0,0)</f>
        <v>0.05</v>
      </c>
      <c r="U253" s="6" cm="1">
        <f t="array" ref="U253">_xlfn.XLOOKUP(Table8[[#This Row],[Admin2PCODE]:[Admin2PCODE]],tblPiNAnalysis[[Admin2PCODE]:[Admin2PCODE]],tblPiNAnalysis[% VBG],0,0)</f>
        <v>0.05</v>
      </c>
      <c r="V253" s="8" cm="1">
        <f t="array" ref="V253">_xlfn.XLOOKUP(Table8[[#This Row],[Admin2PCODE]:[Admin2PCODE]],tblPiNAnalysis[[Admin2PCODE]:[Admin2PCODE]],tblPiNAnalysis[PiN preliminar],0,0)</f>
        <v>0</v>
      </c>
      <c r="W253" s="308" cm="1">
        <f t="array" ref="W253">_xlfn.XLOOKUP(Table8[[#This Row],[Admin2PCODE]],tblPiNAnalysis[Admin2PCODE],tblSeverityAnalysis[Severidad media],0,0)</f>
        <v>2.8333333333333335</v>
      </c>
      <c r="X253" s="42">
        <f>Table8[[#This Row],[Severidad media]]*6</f>
        <v>17</v>
      </c>
      <c r="Y253" s="6" cm="1">
        <f t="array" ref="Y253">_xlfn.XLOOKUP(Table8[[#This Row],[Admin2PCODE]],tblPiNAnalysis[Admin2PCODE],tblPiNAnalysis[% PiN Sectores más altos],0,0)</f>
        <v>0.36500000000000005</v>
      </c>
      <c r="Z253" s="42" cm="1">
        <f t="array" ref="Z253">_xlfn.XLOOKUP(Table8[[#This Row],[Admin2PCODE]:[Admin2PCODE]],tblPiNAnalysis[[Admin2PCODE]:[Admin2PCODE]],tblPiNAnalysis[Severidad],0,0)</f>
        <v>2</v>
      </c>
      <c r="AA253">
        <f>_xlfn.XLOOKUP(Table8[[#This Row],[Admin2PCODE]],tblSeverityAnalysis[Admin 2 Código P],tblSeverityAnalysis[Severidad Ttotal 2025],0,0)</f>
        <v>3</v>
      </c>
      <c r="AB253" t="str">
        <f>_xlfn.XLOOKUP(Table8[[#This Row],[Admin2PCODE]],tblSeverityAnalysis[Admin 2 Código P],tblSeverityAnalysis[Priorización Final 2025],0,0)</f>
        <v>No</v>
      </c>
      <c r="AC253">
        <v>5</v>
      </c>
      <c r="AD253" t="s">
        <v>1091</v>
      </c>
      <c r="AE253">
        <v>7</v>
      </c>
      <c r="AF253">
        <v>0</v>
      </c>
      <c r="AG253">
        <v>1</v>
      </c>
      <c r="AH253">
        <v>0</v>
      </c>
      <c r="AI253">
        <v>1</v>
      </c>
      <c r="AJ253">
        <v>0</v>
      </c>
      <c r="AK253">
        <v>4</v>
      </c>
      <c r="AL253">
        <v>0</v>
      </c>
      <c r="AM253">
        <v>3</v>
      </c>
      <c r="AN253">
        <v>2</v>
      </c>
      <c r="AO253" s="314">
        <f>Table8[[#This Row],[N° Clústeres con respuesta]]/Table8[[#This Row],[Org Total]]</f>
        <v>0.7142857142857143</v>
      </c>
      <c r="AP253" s="313">
        <v>5565</v>
      </c>
      <c r="AQ253" s="313">
        <v>3025</v>
      </c>
      <c r="AR253" s="312">
        <f>Table8[[#This Row],[Alcanzados Oct 2025]]/Table8[[#This Row],[Meta 2025]]</f>
        <v>0.54357592093441154</v>
      </c>
      <c r="AS253" s="423">
        <v>0</v>
      </c>
      <c r="AT253" s="423">
        <v>0</v>
      </c>
      <c r="AU253" s="423">
        <v>0</v>
      </c>
      <c r="AV253" s="423">
        <v>454</v>
      </c>
      <c r="AW253" s="423">
        <v>0</v>
      </c>
      <c r="AX253" s="423">
        <v>1356</v>
      </c>
      <c r="AY253" s="423">
        <v>0</v>
      </c>
      <c r="AZ253" s="423">
        <v>755</v>
      </c>
      <c r="BA253" s="42">
        <v>2994</v>
      </c>
    </row>
    <row r="254" spans="1:53">
      <c r="A254" t="s">
        <v>589</v>
      </c>
      <c r="B254" t="s">
        <v>590</v>
      </c>
      <c r="C254" t="s">
        <v>602</v>
      </c>
      <c r="D254" t="s">
        <v>603</v>
      </c>
      <c r="E254" s="8">
        <v>46923</v>
      </c>
      <c r="F254" s="8">
        <v>6331</v>
      </c>
      <c r="G254" s="8">
        <v>2100.7307218983515</v>
      </c>
      <c r="H254" s="8">
        <v>17126.895</v>
      </c>
      <c r="I254" s="8">
        <v>3926.0622671970582</v>
      </c>
      <c r="J254" s="8">
        <v>11271.384567256409</v>
      </c>
      <c r="K254" s="8">
        <v>0</v>
      </c>
      <c r="L254" s="8">
        <v>3606.8430615220514</v>
      </c>
      <c r="M254" s="8">
        <v>3944.9845985397428</v>
      </c>
      <c r="N254" s="6" cm="1">
        <f t="array" ref="N254">_xlfn.XLOOKUP(Table8[[#This Row],[Admin2PCODE]:[Admin2PCODE]],tblPiNAnalysis[[Admin2PCODE]:[Admin2PCODE]],tblPiNAnalysis[% SAMV],0,0)</f>
        <v>0.15000000000000002</v>
      </c>
      <c r="O254" s="6" cm="1">
        <f t="array" ref="O254">_xlfn.XLOOKUP(Table8[[#This Row],[Admin2PCODE]:[Admin2PCODE]],tblPiNAnalysis[[Admin2PCODE]:[Admin2PCODE]],tblPiNAnalysis[% NUT],0,0)</f>
        <v>0.05</v>
      </c>
      <c r="P254" s="6" cm="1">
        <f t="array" ref="P254">_xlfn.XLOOKUP(Table8[[#This Row],[Admin2PCODE]:[Admin2PCODE]],tblPiNAnalysis[[Admin2PCODE]:[Admin2PCODE]],tblPiNAnalysis[% SAL],0,0)</f>
        <v>0.35000000000000003</v>
      </c>
      <c r="Q254" s="6" cm="1">
        <f t="array" ref="Q254">_xlfn.XLOOKUP(Table8[[#This Row],[Admin2PCODE]:[Admin2PCODE]],tblPiNAnalysis[[Admin2PCODE]:[Admin2PCODE]],tblPiNAnalysis[% EDU],0,0)</f>
        <v>0.1</v>
      </c>
      <c r="R254" s="6" cm="1">
        <f t="array" ref="R254">_xlfn.XLOOKUP(Table8[[#This Row],[Admin2PCODE]:[Admin2PCODE]],tblPiNAnalysis[[Admin2PCODE]:[Admin2PCODE]],tblPiNAnalysis[% PRO],0,0)</f>
        <v>0.25</v>
      </c>
      <c r="S254" s="6" cm="1">
        <f t="array" ref="S254">_xlfn.XLOOKUP(Table8[[#This Row],[Admin2PCODE]:[Admin2PCODE]],tblPiNAnalysis[[Admin2PCODE]:[Admin2PCODE]],tblPiNAnalysis[% WASH],0,0)</f>
        <v>0</v>
      </c>
      <c r="T254" s="6" cm="1">
        <f t="array" ref="T254">_xlfn.XLOOKUP(Table8[[#This Row],[Admin2PCODE]:[Admin2PCODE]],tblPiNAnalysis[[Admin2PCODE]:[Admin2PCODE]],tblPiNAnalysis[% NNA],0,0)</f>
        <v>0.1</v>
      </c>
      <c r="U254" s="6" cm="1">
        <f t="array" ref="U254">_xlfn.XLOOKUP(Table8[[#This Row],[Admin2PCODE]:[Admin2PCODE]],tblPiNAnalysis[[Admin2PCODE]:[Admin2PCODE]],tblPiNAnalysis[% VBG],0,0)</f>
        <v>0.1</v>
      </c>
      <c r="V254" s="8" cm="1">
        <f t="array" ref="V254">_xlfn.XLOOKUP(Table8[[#This Row],[Admin2PCODE]:[Admin2PCODE]],tblPiNAnalysis[[Admin2PCODE]:[Admin2PCODE]],tblPiNAnalysis[PiN preliminar],0,0)</f>
        <v>17126.895</v>
      </c>
      <c r="W254" s="308" cm="1">
        <f t="array" ref="W254">_xlfn.XLOOKUP(Table8[[#This Row],[Admin2PCODE]],tblPiNAnalysis[Admin2PCODE],tblSeverityAnalysis[Severidad media],0,0)</f>
        <v>2.6666666666666665</v>
      </c>
      <c r="X254" s="42">
        <f>Table8[[#This Row],[Severidad media]]*6</f>
        <v>16</v>
      </c>
      <c r="Y254" s="6" cm="1">
        <f t="array" ref="Y254">_xlfn.XLOOKUP(Table8[[#This Row],[Admin2PCODE]],tblPiNAnalysis[Admin2PCODE],tblPiNAnalysis[% PiN Sectores más altos],0,0)</f>
        <v>0.36499999999999999</v>
      </c>
      <c r="Z254" s="42" cm="1">
        <f t="array" ref="Z254">_xlfn.XLOOKUP(Table8[[#This Row],[Admin2PCODE]:[Admin2PCODE]],tblPiNAnalysis[[Admin2PCODE]:[Admin2PCODE]],tblPiNAnalysis[Severidad],0,0)</f>
        <v>3</v>
      </c>
      <c r="AA254">
        <f>_xlfn.XLOOKUP(Table8[[#This Row],[Admin2PCODE]],tblSeverityAnalysis[Admin 2 Código P],tblSeverityAnalysis[Severidad Ttotal 2025],0,0)</f>
        <v>3</v>
      </c>
      <c r="AB254" t="str">
        <f>_xlfn.XLOOKUP(Table8[[#This Row],[Admin2PCODE]],tblSeverityAnalysis[Admin 2 Código P],tblSeverityAnalysis[Priorización Final 2025],0,0)</f>
        <v>No</v>
      </c>
      <c r="AC254">
        <v>5</v>
      </c>
      <c r="AD254" t="s">
        <v>1092</v>
      </c>
      <c r="AE254">
        <v>7</v>
      </c>
      <c r="AF254">
        <v>2</v>
      </c>
      <c r="AG254">
        <v>0</v>
      </c>
      <c r="AH254">
        <v>0</v>
      </c>
      <c r="AI254">
        <v>0</v>
      </c>
      <c r="AJ254">
        <v>3</v>
      </c>
      <c r="AK254">
        <v>5</v>
      </c>
      <c r="AL254">
        <v>1</v>
      </c>
      <c r="AM254">
        <v>2</v>
      </c>
      <c r="AN254">
        <v>2</v>
      </c>
      <c r="AO254" s="314">
        <f>Table8[[#This Row],[N° Clústeres con respuesta]]/Table8[[#This Row],[Org Total]]</f>
        <v>0.7142857142857143</v>
      </c>
      <c r="AP254" s="313">
        <v>7709</v>
      </c>
      <c r="AQ254" s="313">
        <v>570</v>
      </c>
      <c r="AR254" s="312">
        <f>Table8[[#This Row],[Alcanzados Oct 2025]]/Table8[[#This Row],[Meta 2025]]</f>
        <v>7.3939551173952525E-2</v>
      </c>
      <c r="AS254" s="423">
        <v>17</v>
      </c>
      <c r="AT254" s="423">
        <v>0</v>
      </c>
      <c r="AU254" s="423">
        <v>0</v>
      </c>
      <c r="AV254" s="423">
        <v>0</v>
      </c>
      <c r="AW254" s="423">
        <v>355</v>
      </c>
      <c r="AX254" s="423">
        <v>549</v>
      </c>
      <c r="AY254" s="423">
        <v>12</v>
      </c>
      <c r="AZ254" s="423">
        <v>231</v>
      </c>
      <c r="BA254" s="42">
        <v>2</v>
      </c>
    </row>
    <row r="255" spans="1:53">
      <c r="A255" t="s">
        <v>589</v>
      </c>
      <c r="B255" t="s">
        <v>590</v>
      </c>
      <c r="C255" t="s">
        <v>806</v>
      </c>
      <c r="D255" t="s">
        <v>604</v>
      </c>
      <c r="E255" s="8">
        <v>4224</v>
      </c>
      <c r="F255" s="8">
        <v>0</v>
      </c>
      <c r="G255" s="8">
        <v>136.085768063969</v>
      </c>
      <c r="H255" s="8">
        <v>1541.76</v>
      </c>
      <c r="I255" s="8">
        <v>340.19368156891676</v>
      </c>
      <c r="J255" s="8">
        <v>507.32400328294295</v>
      </c>
      <c r="K255" s="8">
        <v>0</v>
      </c>
      <c r="L255" s="8">
        <v>162.34368105054176</v>
      </c>
      <c r="M255" s="8">
        <v>177.56340114903</v>
      </c>
      <c r="N255" s="6" cm="1">
        <f t="array" ref="N255">_xlfn.XLOOKUP(Table8[[#This Row],[Admin2PCODE]:[Admin2PCODE]],tblPiNAnalysis[[Admin2PCODE]:[Admin2PCODE]],tblPiNAnalysis[% SAMV],0,0)</f>
        <v>0</v>
      </c>
      <c r="O255" s="6" cm="1">
        <f t="array" ref="O255">_xlfn.XLOOKUP(Table8[[#This Row],[Admin2PCODE]:[Admin2PCODE]],tblPiNAnalysis[[Admin2PCODE]:[Admin2PCODE]],tblPiNAnalysis[% NUT],0,0)</f>
        <v>0.05</v>
      </c>
      <c r="P255" s="6" cm="1">
        <f t="array" ref="P255">_xlfn.XLOOKUP(Table8[[#This Row],[Admin2PCODE]:[Admin2PCODE]],tblPiNAnalysis[[Admin2PCODE]:[Admin2PCODE]],tblPiNAnalysis[% SAL],0,0)</f>
        <v>0.35000000000000003</v>
      </c>
      <c r="Q255" s="6" cm="1">
        <f t="array" ref="Q255">_xlfn.XLOOKUP(Table8[[#This Row],[Admin2PCODE]:[Admin2PCODE]],tblPiNAnalysis[[Admin2PCODE]:[Admin2PCODE]],tblPiNAnalysis[% EDU],0,0)</f>
        <v>0.1</v>
      </c>
      <c r="R255" s="6" cm="1">
        <f t="array" ref="R255">_xlfn.XLOOKUP(Table8[[#This Row],[Admin2PCODE]:[Admin2PCODE]],tblPiNAnalysis[[Admin2PCODE]:[Admin2PCODE]],tblPiNAnalysis[% PRO],0,0)</f>
        <v>0.1</v>
      </c>
      <c r="S255" s="6" cm="1">
        <f t="array" ref="S255">_xlfn.XLOOKUP(Table8[[#This Row],[Admin2PCODE]:[Admin2PCODE]],tblPiNAnalysis[[Admin2PCODE]:[Admin2PCODE]],tblPiNAnalysis[% WASH],0,0)</f>
        <v>0</v>
      </c>
      <c r="T255" s="6" cm="1">
        <f t="array" ref="T255">_xlfn.XLOOKUP(Table8[[#This Row],[Admin2PCODE]:[Admin2PCODE]],tblPiNAnalysis[[Admin2PCODE]:[Admin2PCODE]],tblPiNAnalysis[% NNA],0,0)</f>
        <v>0.05</v>
      </c>
      <c r="U255" s="6" cm="1">
        <f t="array" ref="U255">_xlfn.XLOOKUP(Table8[[#This Row],[Admin2PCODE]:[Admin2PCODE]],tblPiNAnalysis[[Admin2PCODE]:[Admin2PCODE]],tblPiNAnalysis[% VBG],0,0)</f>
        <v>0.05</v>
      </c>
      <c r="V255" s="8" cm="1">
        <f t="array" ref="V255">_xlfn.XLOOKUP(Table8[[#This Row],[Admin2PCODE]:[Admin2PCODE]],tblPiNAnalysis[[Admin2PCODE]:[Admin2PCODE]],tblPiNAnalysis[PiN preliminar],0,0)</f>
        <v>0</v>
      </c>
      <c r="W255" s="308" cm="1">
        <f t="array" ref="W255">_xlfn.XLOOKUP(Table8[[#This Row],[Admin2PCODE]],tblPiNAnalysis[Admin2PCODE],tblSeverityAnalysis[Severidad media],0,0)</f>
        <v>2.8333333333333335</v>
      </c>
      <c r="X255" s="42">
        <f>Table8[[#This Row],[Severidad media]]*6</f>
        <v>17</v>
      </c>
      <c r="Y255" s="6" cm="1">
        <f t="array" ref="Y255">_xlfn.XLOOKUP(Table8[[#This Row],[Admin2PCODE]],tblPiNAnalysis[Admin2PCODE],tblPiNAnalysis[% PiN Sectores más altos],0,0)</f>
        <v>0.36499999999999999</v>
      </c>
      <c r="Z255" s="42" cm="1">
        <f t="array" ref="Z255">_xlfn.XLOOKUP(Table8[[#This Row],[Admin2PCODE]:[Admin2PCODE]],tblPiNAnalysis[[Admin2PCODE]:[Admin2PCODE]],tblPiNAnalysis[Severidad],0,0)</f>
        <v>2</v>
      </c>
      <c r="AA255">
        <f>_xlfn.XLOOKUP(Table8[[#This Row],[Admin2PCODE]],tblSeverityAnalysis[Admin 2 Código P],tblSeverityAnalysis[Severidad Ttotal 2025],0,0)</f>
        <v>3</v>
      </c>
      <c r="AB255" t="str">
        <f>_xlfn.XLOOKUP(Table8[[#This Row],[Admin2PCODE]],tblSeverityAnalysis[Admin 2 Código P],tblSeverityAnalysis[Priorización Final 2025],0,0)</f>
        <v>No</v>
      </c>
      <c r="AC255">
        <v>0</v>
      </c>
      <c r="AD255">
        <v>0</v>
      </c>
      <c r="AE255">
        <v>0</v>
      </c>
      <c r="AF255">
        <v>0</v>
      </c>
      <c r="AG255">
        <v>0</v>
      </c>
      <c r="AH255">
        <v>0</v>
      </c>
      <c r="AI255">
        <v>0</v>
      </c>
      <c r="AJ255">
        <v>0</v>
      </c>
      <c r="AK255">
        <v>0</v>
      </c>
      <c r="AL255">
        <v>0</v>
      </c>
      <c r="AM255">
        <v>0</v>
      </c>
      <c r="AN255">
        <v>0</v>
      </c>
      <c r="AO255" s="314" t="e">
        <f>Table8[[#This Row],[N° Clústeres con respuesta]]/Table8[[#This Row],[Org Total]]</f>
        <v>#DIV/0!</v>
      </c>
      <c r="AP255" s="313">
        <v>947</v>
      </c>
      <c r="AQ255" s="313">
        <v>0</v>
      </c>
      <c r="AR255" s="312">
        <f>Table8[[#This Row],[Alcanzados Oct 2025]]/Table8[[#This Row],[Meta 2025]]</f>
        <v>0</v>
      </c>
      <c r="AS255" s="423">
        <v>0</v>
      </c>
      <c r="AT255" s="423">
        <v>0</v>
      </c>
      <c r="AU255" s="423">
        <v>0</v>
      </c>
      <c r="AV255" s="423">
        <v>0</v>
      </c>
      <c r="AW255" s="423">
        <v>0</v>
      </c>
      <c r="AX255" s="423">
        <v>0</v>
      </c>
      <c r="AY255" s="423">
        <v>0</v>
      </c>
      <c r="AZ255" s="423">
        <v>0</v>
      </c>
      <c r="BA255" s="42">
        <v>0</v>
      </c>
    </row>
    <row r="256" spans="1:53">
      <c r="A256" t="s">
        <v>180</v>
      </c>
      <c r="B256" t="s">
        <v>239</v>
      </c>
      <c r="C256" t="s">
        <v>240</v>
      </c>
      <c r="D256" t="s">
        <v>241</v>
      </c>
      <c r="E256" s="8">
        <v>722701</v>
      </c>
      <c r="F256" s="8">
        <v>146423</v>
      </c>
      <c r="G256" s="8">
        <v>55309.995561158947</v>
      </c>
      <c r="H256" s="8">
        <v>263785.86499999999</v>
      </c>
      <c r="I256" s="8">
        <v>84391.477761359143</v>
      </c>
      <c r="J256" s="8">
        <v>173168.10367716607</v>
      </c>
      <c r="K256" s="8">
        <v>325215.45</v>
      </c>
      <c r="L256" s="8">
        <v>55586.961280370306</v>
      </c>
      <c r="M256" s="8">
        <v>60608.836287008126</v>
      </c>
      <c r="N256" s="6" cm="1">
        <f t="array" ref="N256">_xlfn.XLOOKUP(Table8[[#This Row],[Admin2PCODE]:[Admin2PCODE]],tblPiNAnalysis[[Admin2PCODE]:[Admin2PCODE]],tblPiNAnalysis[% SAMV],0,0)</f>
        <v>0.2</v>
      </c>
      <c r="O256" s="6" cm="1">
        <f t="array" ref="O256">_xlfn.XLOOKUP(Table8[[#This Row],[Admin2PCODE]:[Admin2PCODE]],tblPiNAnalysis[[Admin2PCODE]:[Admin2PCODE]],tblPiNAnalysis[% NUT],0,0)</f>
        <v>0.1</v>
      </c>
      <c r="P256" s="6" cm="1">
        <f t="array" ref="P256">_xlfn.XLOOKUP(Table8[[#This Row],[Admin2PCODE]:[Admin2PCODE]],tblPiNAnalysis[[Admin2PCODE]:[Admin2PCODE]],tblPiNAnalysis[% SAL],0,0)</f>
        <v>0.35000000000000003</v>
      </c>
      <c r="Q256" s="6" cm="1">
        <f t="array" ref="Q256">_xlfn.XLOOKUP(Table8[[#This Row],[Admin2PCODE]:[Admin2PCODE]],tblPiNAnalysis[[Admin2PCODE]:[Admin2PCODE]],tblPiNAnalysis[% EDU],0,0)</f>
        <v>0.1</v>
      </c>
      <c r="R256" s="6" cm="1">
        <f t="array" ref="R256">_xlfn.XLOOKUP(Table8[[#This Row],[Admin2PCODE]:[Admin2PCODE]],tblPiNAnalysis[[Admin2PCODE]:[Admin2PCODE]],tblPiNAnalysis[% PRO],0,0)</f>
        <v>0.25</v>
      </c>
      <c r="S256" s="6" cm="1">
        <f t="array" ref="S256">_xlfn.XLOOKUP(Table8[[#This Row],[Admin2PCODE]:[Admin2PCODE]],tblPiNAnalysis[[Admin2PCODE]:[Admin2PCODE]],tblPiNAnalysis[% WASH],0,0)</f>
        <v>0.45</v>
      </c>
      <c r="T256" s="6" cm="1">
        <f t="array" ref="T256">_xlfn.XLOOKUP(Table8[[#This Row],[Admin2PCODE]:[Admin2PCODE]],tblPiNAnalysis[[Admin2PCODE]:[Admin2PCODE]],tblPiNAnalysis[% NNA],0,0)</f>
        <v>0.1</v>
      </c>
      <c r="U256" s="6" cm="1">
        <f t="array" ref="U256">_xlfn.XLOOKUP(Table8[[#This Row],[Admin2PCODE]:[Admin2PCODE]],tblPiNAnalysis[[Admin2PCODE]:[Admin2PCODE]],tblPiNAnalysis[% VBG],0,0)</f>
        <v>0.1</v>
      </c>
      <c r="V256" s="8" cm="1">
        <f t="array" ref="V256">_xlfn.XLOOKUP(Table8[[#This Row],[Admin2PCODE]:[Admin2PCODE]],tblPiNAnalysis[[Admin2PCODE]:[Admin2PCODE]],tblPiNAnalysis[PiN preliminar],0,0)</f>
        <v>325215.45</v>
      </c>
      <c r="W256" s="308" cm="1">
        <f t="array" ref="W256">_xlfn.XLOOKUP(Table8[[#This Row],[Admin2PCODE]],tblPiNAnalysis[Admin2PCODE],tblSeverityAnalysis[Severidad media],0,0)</f>
        <v>3.3333333333333335</v>
      </c>
      <c r="X256" s="42">
        <f>Table8[[#This Row],[Severidad media]]*6</f>
        <v>20</v>
      </c>
      <c r="Y256" s="6" cm="1">
        <f t="array" ref="Y256">_xlfn.XLOOKUP(Table8[[#This Row],[Admin2PCODE]],tblPiNAnalysis[Admin2PCODE],tblPiNAnalysis[% PiN Sectores más altos],0,0)</f>
        <v>0.45</v>
      </c>
      <c r="Z256" s="42" cm="1">
        <f t="array" ref="Z256">_xlfn.XLOOKUP(Table8[[#This Row],[Admin2PCODE]:[Admin2PCODE]],tblPiNAnalysis[[Admin2PCODE]:[Admin2PCODE]],tblPiNAnalysis[Severidad],0,0)</f>
        <v>3</v>
      </c>
      <c r="AA256">
        <f>_xlfn.XLOOKUP(Table8[[#This Row],[Admin2PCODE]],tblSeverityAnalysis[Admin 2 Código P],tblSeverityAnalysis[Severidad Ttotal 2025],0,0)</f>
        <v>3</v>
      </c>
      <c r="AB256" t="str">
        <f>_xlfn.XLOOKUP(Table8[[#This Row],[Admin2PCODE]],tblSeverityAnalysis[Admin 2 Código P],tblSeverityAnalysis[Priorización Final 2025],0,0)</f>
        <v>Sí</v>
      </c>
      <c r="AC256">
        <v>8</v>
      </c>
      <c r="AD256" t="s">
        <v>1093</v>
      </c>
      <c r="AE256">
        <v>27</v>
      </c>
      <c r="AF256">
        <v>0</v>
      </c>
      <c r="AG256">
        <v>6</v>
      </c>
      <c r="AH256">
        <v>2</v>
      </c>
      <c r="AI256">
        <v>5</v>
      </c>
      <c r="AJ256">
        <v>14</v>
      </c>
      <c r="AK256">
        <v>6</v>
      </c>
      <c r="AL256">
        <v>13</v>
      </c>
      <c r="AM256">
        <v>7</v>
      </c>
      <c r="AN256">
        <v>2</v>
      </c>
      <c r="AO256" s="314">
        <f>Table8[[#This Row],[N° Clústeres con respuesta]]/Table8[[#This Row],[Org Total]]</f>
        <v>0.29629629629629628</v>
      </c>
      <c r="AP256" s="313">
        <v>118728</v>
      </c>
      <c r="AQ256" s="313">
        <v>52108</v>
      </c>
      <c r="AR256" s="312">
        <f>Table8[[#This Row],[Alcanzados Oct 2025]]/Table8[[#This Row],[Meta 2025]]</f>
        <v>0.4388855198436763</v>
      </c>
      <c r="AS256" s="423">
        <v>0</v>
      </c>
      <c r="AT256" s="423">
        <v>4181</v>
      </c>
      <c r="AU256" s="423">
        <v>789</v>
      </c>
      <c r="AV256" s="423">
        <v>9479</v>
      </c>
      <c r="AW256" s="423">
        <v>4910</v>
      </c>
      <c r="AX256" s="423">
        <v>1148</v>
      </c>
      <c r="AY256" s="423">
        <v>5923</v>
      </c>
      <c r="AZ256" s="423">
        <v>52108</v>
      </c>
      <c r="BA256" s="42">
        <v>575</v>
      </c>
    </row>
    <row r="257" spans="1:53">
      <c r="A257" t="s">
        <v>589</v>
      </c>
      <c r="B257" t="s">
        <v>590</v>
      </c>
      <c r="C257" t="s">
        <v>607</v>
      </c>
      <c r="D257" t="s">
        <v>608</v>
      </c>
      <c r="E257" s="8">
        <v>44214</v>
      </c>
      <c r="F257" s="8">
        <v>11422</v>
      </c>
      <c r="G257" s="8">
        <v>1154.498159594782</v>
      </c>
      <c r="H257" s="8">
        <v>17085.5</v>
      </c>
      <c r="I257" s="8">
        <v>7429.7611499163168</v>
      </c>
      <c r="J257" s="8">
        <v>8850.5458811363824</v>
      </c>
      <c r="K257" s="8">
        <v>0</v>
      </c>
      <c r="L257" s="8">
        <v>2841.0252278447788</v>
      </c>
      <c r="M257" s="8">
        <v>3097.6910583977333</v>
      </c>
      <c r="N257" s="6" cm="1">
        <f t="array" ref="N257">_xlfn.XLOOKUP(Table8[[#This Row],[Admin2PCODE]:[Admin2PCODE]],tblPiNAnalysis[[Admin2PCODE]:[Admin2PCODE]],tblPiNAnalysis[% SAMV],0,0)</f>
        <v>0.25</v>
      </c>
      <c r="O257" s="6" cm="1">
        <f t="array" ref="O257">_xlfn.XLOOKUP(Table8[[#This Row],[Admin2PCODE]:[Admin2PCODE]],tblPiNAnalysis[[Admin2PCODE]:[Admin2PCODE]],tblPiNAnalysis[% NUT],0,0)</f>
        <v>0.05</v>
      </c>
      <c r="P257" s="6" cm="1">
        <f t="array" ref="P257">_xlfn.XLOOKUP(Table8[[#This Row],[Admin2PCODE]:[Admin2PCODE]],tblPiNAnalysis[[Admin2PCODE]:[Admin2PCODE]],tblPiNAnalysis[% SAL],0,0)</f>
        <v>0.4</v>
      </c>
      <c r="Q257" s="6" cm="1">
        <f t="array" ref="Q257">_xlfn.XLOOKUP(Table8[[#This Row],[Admin2PCODE]:[Admin2PCODE]],tblPiNAnalysis[[Admin2PCODE]:[Admin2PCODE]],tblPiNAnalysis[% EDU],0,0)</f>
        <v>0.15000000000000002</v>
      </c>
      <c r="R257" s="6" cm="1">
        <f t="array" ref="R257">_xlfn.XLOOKUP(Table8[[#This Row],[Admin2PCODE]:[Admin2PCODE]],tblPiNAnalysis[[Admin2PCODE]:[Admin2PCODE]],tblPiNAnalysis[% PRO],0,0)</f>
        <v>0.2</v>
      </c>
      <c r="S257" s="6" cm="1">
        <f t="array" ref="S257">_xlfn.XLOOKUP(Table8[[#This Row],[Admin2PCODE]:[Admin2PCODE]],tblPiNAnalysis[[Admin2PCODE]:[Admin2PCODE]],tblPiNAnalysis[% WASH],0,0)</f>
        <v>0</v>
      </c>
      <c r="T257" s="6" cm="1">
        <f t="array" ref="T257">_xlfn.XLOOKUP(Table8[[#This Row],[Admin2PCODE]:[Admin2PCODE]],tblPiNAnalysis[[Admin2PCODE]:[Admin2PCODE]],tblPiNAnalysis[% NNA],0,0)</f>
        <v>0.05</v>
      </c>
      <c r="U257" s="6" cm="1">
        <f t="array" ref="U257">_xlfn.XLOOKUP(Table8[[#This Row],[Admin2PCODE]:[Admin2PCODE]],tblPiNAnalysis[[Admin2PCODE]:[Admin2PCODE]],tblPiNAnalysis[% VBG],0,0)</f>
        <v>0.05</v>
      </c>
      <c r="V257" s="8" cm="1">
        <f t="array" ref="V257">_xlfn.XLOOKUP(Table8[[#This Row],[Admin2PCODE]:[Admin2PCODE]],tblPiNAnalysis[[Admin2PCODE]:[Admin2PCODE]],tblPiNAnalysis[PiN preliminar],0,0)</f>
        <v>17085.5</v>
      </c>
      <c r="W257" s="308" cm="1">
        <f t="array" ref="W257">_xlfn.XLOOKUP(Table8[[#This Row],[Admin2PCODE]],tblPiNAnalysis[Admin2PCODE],tblSeverityAnalysis[Severidad media],0,0)</f>
        <v>3</v>
      </c>
      <c r="X257" s="42">
        <f>Table8[[#This Row],[Severidad media]]*6</f>
        <v>18</v>
      </c>
      <c r="Y257" s="6" cm="1">
        <f t="array" ref="Y257">_xlfn.XLOOKUP(Table8[[#This Row],[Admin2PCODE]],tblPiNAnalysis[Admin2PCODE],tblPiNAnalysis[% PiN Sectores más altos],0,0)</f>
        <v>0.38642737594427107</v>
      </c>
      <c r="Z257" s="42" cm="1">
        <f t="array" ref="Z257">_xlfn.XLOOKUP(Table8[[#This Row],[Admin2PCODE]:[Admin2PCODE]],tblPiNAnalysis[[Admin2PCODE]:[Admin2PCODE]],tblPiNAnalysis[Severidad],0,0)</f>
        <v>3</v>
      </c>
      <c r="AA257">
        <f>_xlfn.XLOOKUP(Table8[[#This Row],[Admin2PCODE]],tblSeverityAnalysis[Admin 2 Código P],tblSeverityAnalysis[Severidad Ttotal 2025],0,0)</f>
        <v>3</v>
      </c>
      <c r="AB257" t="str">
        <f>_xlfn.XLOOKUP(Table8[[#This Row],[Admin2PCODE]],tblSeverityAnalysis[Admin 2 Código P],tblSeverityAnalysis[Priorización Final 2025],0,0)</f>
        <v>No</v>
      </c>
      <c r="AC257">
        <v>1</v>
      </c>
      <c r="AD257" t="s">
        <v>952</v>
      </c>
      <c r="AE257">
        <v>3</v>
      </c>
      <c r="AF257">
        <v>0</v>
      </c>
      <c r="AG257">
        <v>0</v>
      </c>
      <c r="AH257">
        <v>0</v>
      </c>
      <c r="AI257">
        <v>0</v>
      </c>
      <c r="AJ257">
        <v>3</v>
      </c>
      <c r="AK257">
        <v>0</v>
      </c>
      <c r="AL257">
        <v>0</v>
      </c>
      <c r="AM257">
        <v>0</v>
      </c>
      <c r="AN257">
        <v>0</v>
      </c>
      <c r="AO257" s="314">
        <f>Table8[[#This Row],[N° Clústeres con respuesta]]/Table8[[#This Row],[Org Total]]</f>
        <v>0.33333333333333331</v>
      </c>
      <c r="AP257" s="313">
        <v>7263</v>
      </c>
      <c r="AQ257" s="313">
        <v>90</v>
      </c>
      <c r="AR257" s="312">
        <f>Table8[[#This Row],[Alcanzados Oct 2025]]/Table8[[#This Row],[Meta 2025]]</f>
        <v>1.2391573729863693E-2</v>
      </c>
      <c r="AS257" s="423">
        <v>0</v>
      </c>
      <c r="AT257" s="423">
        <v>0</v>
      </c>
      <c r="AU257" s="423">
        <v>0</v>
      </c>
      <c r="AV257" s="423">
        <v>0</v>
      </c>
      <c r="AW257" s="423">
        <v>90</v>
      </c>
      <c r="AX257" s="423">
        <v>0</v>
      </c>
      <c r="AY257" s="423">
        <v>0</v>
      </c>
      <c r="AZ257" s="423">
        <v>0</v>
      </c>
      <c r="BA257" s="42">
        <v>0</v>
      </c>
    </row>
    <row r="258" spans="1:53">
      <c r="A258" t="s">
        <v>589</v>
      </c>
      <c r="B258" t="s">
        <v>590</v>
      </c>
      <c r="C258" t="s">
        <v>610</v>
      </c>
      <c r="D258" t="s">
        <v>611</v>
      </c>
      <c r="E258" s="8">
        <v>41927</v>
      </c>
      <c r="F258" s="8">
        <v>6988</v>
      </c>
      <c r="G258" s="8">
        <v>1314.45144744</v>
      </c>
      <c r="H258" s="8">
        <v>15303.355</v>
      </c>
      <c r="I258" s="8">
        <v>4054.6957429376753</v>
      </c>
      <c r="J258" s="8">
        <v>5035.6471320179826</v>
      </c>
      <c r="K258" s="8">
        <v>0</v>
      </c>
      <c r="L258" s="8">
        <v>1611.4070822457543</v>
      </c>
      <c r="M258" s="8">
        <v>1762.4764962062939</v>
      </c>
      <c r="N258" s="6" cm="1">
        <f t="array" ref="N258">_xlfn.XLOOKUP(Table8[[#This Row],[Admin2PCODE]:[Admin2PCODE]],tblPiNAnalysis[[Admin2PCODE]:[Admin2PCODE]],tblPiNAnalysis[% SAMV],0,0)</f>
        <v>0.15000000000000002</v>
      </c>
      <c r="O258" s="6" cm="1">
        <f t="array" ref="O258">_xlfn.XLOOKUP(Table8[[#This Row],[Admin2PCODE]:[Admin2PCODE]],tblPiNAnalysis[[Admin2PCODE]:[Admin2PCODE]],tblPiNAnalysis[% NUT],0,0)</f>
        <v>0.05</v>
      </c>
      <c r="P258" s="6" cm="1">
        <f t="array" ref="P258">_xlfn.XLOOKUP(Table8[[#This Row],[Admin2PCODE]:[Admin2PCODE]],tblPiNAnalysis[[Admin2PCODE]:[Admin2PCODE]],tblPiNAnalysis[% SAL],0,0)</f>
        <v>0.35000000000000003</v>
      </c>
      <c r="Q258" s="6" cm="1">
        <f t="array" ref="Q258">_xlfn.XLOOKUP(Table8[[#This Row],[Admin2PCODE]:[Admin2PCODE]],tblPiNAnalysis[[Admin2PCODE]:[Admin2PCODE]],tblPiNAnalysis[% EDU],0,0)</f>
        <v>0.1</v>
      </c>
      <c r="R258" s="6" cm="1">
        <f t="array" ref="R258">_xlfn.XLOOKUP(Table8[[#This Row],[Admin2PCODE]:[Admin2PCODE]],tblPiNAnalysis[[Admin2PCODE]:[Admin2PCODE]],tblPiNAnalysis[% PRO],0,0)</f>
        <v>0.1</v>
      </c>
      <c r="S258" s="6" cm="1">
        <f t="array" ref="S258">_xlfn.XLOOKUP(Table8[[#This Row],[Admin2PCODE]:[Admin2PCODE]],tblPiNAnalysis[[Admin2PCODE]:[Admin2PCODE]],tblPiNAnalysis[% WASH],0,0)</f>
        <v>0</v>
      </c>
      <c r="T258" s="6" cm="1">
        <f t="array" ref="T258">_xlfn.XLOOKUP(Table8[[#This Row],[Admin2PCODE]:[Admin2PCODE]],tblPiNAnalysis[[Admin2PCODE]:[Admin2PCODE]],tblPiNAnalysis[% NNA],0,0)</f>
        <v>0.05</v>
      </c>
      <c r="U258" s="6" cm="1">
        <f t="array" ref="U258">_xlfn.XLOOKUP(Table8[[#This Row],[Admin2PCODE]:[Admin2PCODE]],tblPiNAnalysis[[Admin2PCODE]:[Admin2PCODE]],tblPiNAnalysis[% VBG],0,0)</f>
        <v>0.05</v>
      </c>
      <c r="V258" s="8" cm="1">
        <f t="array" ref="V258">_xlfn.XLOOKUP(Table8[[#This Row],[Admin2PCODE]:[Admin2PCODE]],tblPiNAnalysis[[Admin2PCODE]:[Admin2PCODE]],tblPiNAnalysis[PiN preliminar],0,0)</f>
        <v>0</v>
      </c>
      <c r="W258" s="308" cm="1">
        <f t="array" ref="W258">_xlfn.XLOOKUP(Table8[[#This Row],[Admin2PCODE]],tblPiNAnalysis[Admin2PCODE],tblSeverityAnalysis[Severidad media],0,0)</f>
        <v>2.6666666666666665</v>
      </c>
      <c r="X258" s="42">
        <f>Table8[[#This Row],[Severidad media]]*6</f>
        <v>16</v>
      </c>
      <c r="Y258" s="6" cm="1">
        <f t="array" ref="Y258">_xlfn.XLOOKUP(Table8[[#This Row],[Admin2PCODE]],tblPiNAnalysis[Admin2PCODE],tblPiNAnalysis[% PiN Sectores más altos],0,0)</f>
        <v>0.36499999999999999</v>
      </c>
      <c r="Z258" s="42" cm="1">
        <f t="array" ref="Z258">_xlfn.XLOOKUP(Table8[[#This Row],[Admin2PCODE]:[Admin2PCODE]],tblPiNAnalysis[[Admin2PCODE]:[Admin2PCODE]],tblPiNAnalysis[Severidad],0,0)</f>
        <v>2</v>
      </c>
      <c r="AA258">
        <f>_xlfn.XLOOKUP(Table8[[#This Row],[Admin2PCODE]],tblSeverityAnalysis[Admin 2 Código P],tblSeverityAnalysis[Severidad Ttotal 2025],0,0)</f>
        <v>3</v>
      </c>
      <c r="AB258" t="str">
        <f>_xlfn.XLOOKUP(Table8[[#This Row],[Admin2PCODE]],tblSeverityAnalysis[Admin 2 Código P],tblSeverityAnalysis[Priorización Final 2025],0,0)</f>
        <v>No</v>
      </c>
      <c r="AC258">
        <v>1</v>
      </c>
      <c r="AD258" t="s">
        <v>95</v>
      </c>
      <c r="AE258">
        <v>1</v>
      </c>
      <c r="AF258">
        <v>0</v>
      </c>
      <c r="AG258">
        <v>0</v>
      </c>
      <c r="AH258">
        <v>1</v>
      </c>
      <c r="AI258">
        <v>0</v>
      </c>
      <c r="AJ258">
        <v>0</v>
      </c>
      <c r="AK258">
        <v>0</v>
      </c>
      <c r="AL258">
        <v>0</v>
      </c>
      <c r="AM258">
        <v>0</v>
      </c>
      <c r="AN258">
        <v>0</v>
      </c>
      <c r="AO258" s="314">
        <f>Table8[[#This Row],[N° Clústeres con respuesta]]/Table8[[#This Row],[Org Total]]</f>
        <v>1</v>
      </c>
      <c r="AP258" s="313">
        <v>6993</v>
      </c>
      <c r="AQ258" s="313">
        <v>248</v>
      </c>
      <c r="AR258" s="312">
        <f>Table8[[#This Row],[Alcanzados Oct 2025]]/Table8[[#This Row],[Meta 2025]]</f>
        <v>3.5464035464035461E-2</v>
      </c>
      <c r="AS258" s="423">
        <v>0</v>
      </c>
      <c r="AT258" s="423">
        <v>0</v>
      </c>
      <c r="AU258" s="423">
        <v>248</v>
      </c>
      <c r="AV258" s="423">
        <v>0</v>
      </c>
      <c r="AW258" s="423">
        <v>0</v>
      </c>
      <c r="AX258" s="423">
        <v>0</v>
      </c>
      <c r="AY258" s="423">
        <v>0</v>
      </c>
      <c r="AZ258" s="423">
        <v>0</v>
      </c>
      <c r="BA258" s="42">
        <v>0</v>
      </c>
    </row>
    <row r="259" spans="1:53">
      <c r="A259" t="s">
        <v>589</v>
      </c>
      <c r="B259" t="s">
        <v>590</v>
      </c>
      <c r="C259" t="s">
        <v>612</v>
      </c>
      <c r="D259" t="s">
        <v>613</v>
      </c>
      <c r="E259" s="8">
        <v>10097</v>
      </c>
      <c r="F259" s="8">
        <v>337</v>
      </c>
      <c r="G259" s="8">
        <v>397.40872664439723</v>
      </c>
      <c r="H259" s="8">
        <v>3685.4050000000002</v>
      </c>
      <c r="I259" s="8">
        <v>676.12951401902478</v>
      </c>
      <c r="J259" s="8">
        <v>1212.7013402338721</v>
      </c>
      <c r="K259" s="8">
        <v>0</v>
      </c>
      <c r="L259" s="8">
        <v>388.06442887483911</v>
      </c>
      <c r="M259" s="8">
        <v>424.44546908185521</v>
      </c>
      <c r="N259" s="6" cm="1">
        <f t="array" ref="N259">_xlfn.XLOOKUP(Table8[[#This Row],[Admin2PCODE]:[Admin2PCODE]],tblPiNAnalysis[[Admin2PCODE]:[Admin2PCODE]],tblPiNAnalysis[% SAMV],0,0)</f>
        <v>0.05</v>
      </c>
      <c r="O259" s="6" cm="1">
        <f t="array" ref="O259">_xlfn.XLOOKUP(Table8[[#This Row],[Admin2PCODE]:[Admin2PCODE]],tblPiNAnalysis[[Admin2PCODE]:[Admin2PCODE]],tblPiNAnalysis[% NUT],0,0)</f>
        <v>0.05</v>
      </c>
      <c r="P259" s="6" cm="1">
        <f t="array" ref="P259">_xlfn.XLOOKUP(Table8[[#This Row],[Admin2PCODE]:[Admin2PCODE]],tblPiNAnalysis[[Admin2PCODE]:[Admin2PCODE]],tblPiNAnalysis[% SAL],0,0)</f>
        <v>0.35000000000000003</v>
      </c>
      <c r="Q259" s="6" cm="1">
        <f t="array" ref="Q259">_xlfn.XLOOKUP(Table8[[#This Row],[Admin2PCODE]:[Admin2PCODE]],tblPiNAnalysis[[Admin2PCODE]:[Admin2PCODE]],tblPiNAnalysis[% EDU],0,0)</f>
        <v>0.05</v>
      </c>
      <c r="R259" s="6" cm="1">
        <f t="array" ref="R259">_xlfn.XLOOKUP(Table8[[#This Row],[Admin2PCODE]:[Admin2PCODE]],tblPiNAnalysis[[Admin2PCODE]:[Admin2PCODE]],tblPiNAnalysis[% PRO],0,0)</f>
        <v>0.1</v>
      </c>
      <c r="S259" s="6" cm="1">
        <f t="array" ref="S259">_xlfn.XLOOKUP(Table8[[#This Row],[Admin2PCODE]:[Admin2PCODE]],tblPiNAnalysis[[Admin2PCODE]:[Admin2PCODE]],tblPiNAnalysis[% WASH],0,0)</f>
        <v>0</v>
      </c>
      <c r="T259" s="6" cm="1">
        <f t="array" ref="T259">_xlfn.XLOOKUP(Table8[[#This Row],[Admin2PCODE]:[Admin2PCODE]],tblPiNAnalysis[[Admin2PCODE]:[Admin2PCODE]],tblPiNAnalysis[% NNA],0,0)</f>
        <v>0.05</v>
      </c>
      <c r="U259" s="6" cm="1">
        <f t="array" ref="U259">_xlfn.XLOOKUP(Table8[[#This Row],[Admin2PCODE]:[Admin2PCODE]],tblPiNAnalysis[[Admin2PCODE]:[Admin2PCODE]],tblPiNAnalysis[% VBG],0,0)</f>
        <v>0.05</v>
      </c>
      <c r="V259" s="8" cm="1">
        <f t="array" ref="V259">_xlfn.XLOOKUP(Table8[[#This Row],[Admin2PCODE]:[Admin2PCODE]],tblPiNAnalysis[[Admin2PCODE]:[Admin2PCODE]],tblPiNAnalysis[PiN preliminar],0,0)</f>
        <v>0</v>
      </c>
      <c r="W259" s="308" cm="1">
        <f t="array" ref="W259">_xlfn.XLOOKUP(Table8[[#This Row],[Admin2PCODE]],tblPiNAnalysis[Admin2PCODE],tblSeverityAnalysis[Severidad media],0,0)</f>
        <v>3</v>
      </c>
      <c r="X259" s="42">
        <f>Table8[[#This Row],[Severidad media]]*6</f>
        <v>18</v>
      </c>
      <c r="Y259" s="6" cm="1">
        <f t="array" ref="Y259">_xlfn.XLOOKUP(Table8[[#This Row],[Admin2PCODE]],tblPiNAnalysis[Admin2PCODE],tblPiNAnalysis[% PiN Sectores más altos],0,0)</f>
        <v>0.36500000000000005</v>
      </c>
      <c r="Z259" s="42" cm="1">
        <f t="array" ref="Z259">_xlfn.XLOOKUP(Table8[[#This Row],[Admin2PCODE]:[Admin2PCODE]],tblPiNAnalysis[[Admin2PCODE]:[Admin2PCODE]],tblPiNAnalysis[Severidad],0,0)</f>
        <v>2</v>
      </c>
      <c r="AA259">
        <f>_xlfn.XLOOKUP(Table8[[#This Row],[Admin2PCODE]],tblSeverityAnalysis[Admin 2 Código P],tblSeverityAnalysis[Severidad Ttotal 2025],0,0)</f>
        <v>3</v>
      </c>
      <c r="AB259" t="str">
        <f>_xlfn.XLOOKUP(Table8[[#This Row],[Admin2PCODE]],tblSeverityAnalysis[Admin 2 Código P],tblSeverityAnalysis[Priorización Final 2025],0,0)</f>
        <v>No</v>
      </c>
      <c r="AC259">
        <v>0</v>
      </c>
      <c r="AD259">
        <v>0</v>
      </c>
      <c r="AE259">
        <v>0</v>
      </c>
      <c r="AF259">
        <v>0</v>
      </c>
      <c r="AG259">
        <v>0</v>
      </c>
      <c r="AH259">
        <v>0</v>
      </c>
      <c r="AI259">
        <v>0</v>
      </c>
      <c r="AJ259">
        <v>0</v>
      </c>
      <c r="AK259">
        <v>0</v>
      </c>
      <c r="AL259">
        <v>0</v>
      </c>
      <c r="AM259">
        <v>0</v>
      </c>
      <c r="AN259">
        <v>0</v>
      </c>
      <c r="AO259" s="314" t="e">
        <f>Table8[[#This Row],[N° Clústeres con respuesta]]/Table8[[#This Row],[Org Total]]</f>
        <v>#DIV/0!</v>
      </c>
      <c r="AP259" s="313">
        <v>2358</v>
      </c>
      <c r="AQ259" s="313">
        <v>0</v>
      </c>
      <c r="AR259" s="312">
        <f>Table8[[#This Row],[Alcanzados Oct 2025]]/Table8[[#This Row],[Meta 2025]]</f>
        <v>0</v>
      </c>
      <c r="AS259" s="423">
        <v>0</v>
      </c>
      <c r="AT259" s="423">
        <v>0</v>
      </c>
      <c r="AU259" s="423">
        <v>0</v>
      </c>
      <c r="AV259" s="423">
        <v>0</v>
      </c>
      <c r="AW259" s="423">
        <v>0</v>
      </c>
      <c r="AX259" s="423">
        <v>0</v>
      </c>
      <c r="AY259" s="423">
        <v>0</v>
      </c>
      <c r="AZ259" s="423">
        <v>0</v>
      </c>
      <c r="BA259" s="42">
        <v>0</v>
      </c>
    </row>
    <row r="260" spans="1:53">
      <c r="A260" t="s">
        <v>589</v>
      </c>
      <c r="B260" t="s">
        <v>590</v>
      </c>
      <c r="C260" t="s">
        <v>614</v>
      </c>
      <c r="D260" t="s">
        <v>615</v>
      </c>
      <c r="E260" s="8">
        <v>82497</v>
      </c>
      <c r="F260" s="8">
        <v>33817</v>
      </c>
      <c r="G260" s="8">
        <v>7923.4663576178737</v>
      </c>
      <c r="H260" s="8">
        <v>30111.404999999999</v>
      </c>
      <c r="I260" s="8">
        <v>9122.0082799226893</v>
      </c>
      <c r="J260" s="8">
        <v>16513.852706294569</v>
      </c>
      <c r="K260" s="8">
        <v>11137.094999999999</v>
      </c>
      <c r="L260" s="8">
        <v>5284.4328660142619</v>
      </c>
      <c r="M260" s="8">
        <v>5779.8484472030996</v>
      </c>
      <c r="N260" s="6" cm="1">
        <f t="array" ref="N260">_xlfn.XLOOKUP(Table8[[#This Row],[Admin2PCODE]:[Admin2PCODE]],tblPiNAnalysis[[Admin2PCODE]:[Admin2PCODE]],tblPiNAnalysis[% SAMV],0,0)</f>
        <v>0.4</v>
      </c>
      <c r="O260" s="6" cm="1">
        <f t="array" ref="O260">_xlfn.XLOOKUP(Table8[[#This Row],[Admin2PCODE]:[Admin2PCODE]],tblPiNAnalysis[[Admin2PCODE]:[Admin2PCODE]],tblPiNAnalysis[% NUT],0,0)</f>
        <v>0.1</v>
      </c>
      <c r="P260" s="6" cm="1">
        <f t="array" ref="P260">_xlfn.XLOOKUP(Table8[[#This Row],[Admin2PCODE]:[Admin2PCODE]],tblPiNAnalysis[[Admin2PCODE]:[Admin2PCODE]],tblPiNAnalysis[% SAL],0,0)</f>
        <v>0.35000000000000003</v>
      </c>
      <c r="Q260" s="6" cm="1">
        <f t="array" ref="Q260">_xlfn.XLOOKUP(Table8[[#This Row],[Admin2PCODE]:[Admin2PCODE]],tblPiNAnalysis[[Admin2PCODE]:[Admin2PCODE]],tblPiNAnalysis[% EDU],0,0)</f>
        <v>0.1</v>
      </c>
      <c r="R260" s="6" cm="1">
        <f t="array" ref="R260">_xlfn.XLOOKUP(Table8[[#This Row],[Admin2PCODE]:[Admin2PCODE]],tblPiNAnalysis[[Admin2PCODE]:[Admin2PCODE]],tblPiNAnalysis[% PRO],0,0)</f>
        <v>0.2</v>
      </c>
      <c r="S260" s="6" cm="1">
        <f t="array" ref="S260">_xlfn.XLOOKUP(Table8[[#This Row],[Admin2PCODE]:[Admin2PCODE]],tblPiNAnalysis[[Admin2PCODE]:[Admin2PCODE]],tblPiNAnalysis[% WASH],0,0)</f>
        <v>0.15000000000000002</v>
      </c>
      <c r="T260" s="6" cm="1">
        <f t="array" ref="T260">_xlfn.XLOOKUP(Table8[[#This Row],[Admin2PCODE]:[Admin2PCODE]],tblPiNAnalysis[[Admin2PCODE]:[Admin2PCODE]],tblPiNAnalysis[% NNA],0,0)</f>
        <v>0.05</v>
      </c>
      <c r="U260" s="6" cm="1">
        <f t="array" ref="U260">_xlfn.XLOOKUP(Table8[[#This Row],[Admin2PCODE]:[Admin2PCODE]],tblPiNAnalysis[[Admin2PCODE]:[Admin2PCODE]],tblPiNAnalysis[% VBG],0,0)</f>
        <v>0.05</v>
      </c>
      <c r="V260" s="8" cm="1">
        <f t="array" ref="V260">_xlfn.XLOOKUP(Table8[[#This Row],[Admin2PCODE]:[Admin2PCODE]],tblPiNAnalysis[[Admin2PCODE]:[Admin2PCODE]],tblPiNAnalysis[PiN preliminar],0,0)</f>
        <v>33817</v>
      </c>
      <c r="W260" s="308" cm="1">
        <f t="array" ref="W260">_xlfn.XLOOKUP(Table8[[#This Row],[Admin2PCODE]],tblPiNAnalysis[Admin2PCODE],tblSeverityAnalysis[Severidad media],0,0)</f>
        <v>4.166666666666667</v>
      </c>
      <c r="X260" s="42">
        <f>Table8[[#This Row],[Severidad media]]*6</f>
        <v>25</v>
      </c>
      <c r="Y260" s="6" cm="1">
        <f t="array" ref="Y260">_xlfn.XLOOKUP(Table8[[#This Row],[Admin2PCODE]],tblPiNAnalysis[Admin2PCODE],tblPiNAnalysis[% PiN Sectores más altos],0,0)</f>
        <v>0.40991793640980884</v>
      </c>
      <c r="Z260" s="42" cm="1">
        <f t="array" ref="Z260">_xlfn.XLOOKUP(Table8[[#This Row],[Admin2PCODE]:[Admin2PCODE]],tblPiNAnalysis[[Admin2PCODE]:[Admin2PCODE]],tblPiNAnalysis[Severidad],0,0)</f>
        <v>3</v>
      </c>
      <c r="AA260">
        <f>_xlfn.XLOOKUP(Table8[[#This Row],[Admin2PCODE]],tblSeverityAnalysis[Admin 2 Código P],tblSeverityAnalysis[Severidad Ttotal 2025],0,0)</f>
        <v>3</v>
      </c>
      <c r="AB260" t="str">
        <f>_xlfn.XLOOKUP(Table8[[#This Row],[Admin2PCODE]],tblSeverityAnalysis[Admin 2 Código P],tblSeverityAnalysis[Priorización Final 2025],0,0)</f>
        <v>No</v>
      </c>
      <c r="AC260">
        <v>7</v>
      </c>
      <c r="AD260" t="s">
        <v>1094</v>
      </c>
      <c r="AE260">
        <v>6</v>
      </c>
      <c r="AF260">
        <v>0</v>
      </c>
      <c r="AG260">
        <v>2</v>
      </c>
      <c r="AH260">
        <v>0</v>
      </c>
      <c r="AI260">
        <v>1</v>
      </c>
      <c r="AJ260">
        <v>2</v>
      </c>
      <c r="AK260">
        <v>4</v>
      </c>
      <c r="AL260">
        <v>4</v>
      </c>
      <c r="AM260">
        <v>2</v>
      </c>
      <c r="AN260">
        <v>1</v>
      </c>
      <c r="AO260" s="314">
        <f>Table8[[#This Row],[N° Clústeres con respuesta]]/Table8[[#This Row],[Org Total]]</f>
        <v>1.1666666666666667</v>
      </c>
      <c r="AP260" s="313">
        <v>13554</v>
      </c>
      <c r="AQ260" s="313">
        <v>682</v>
      </c>
      <c r="AR260" s="312">
        <f>Table8[[#This Row],[Alcanzados Oct 2025]]/Table8[[#This Row],[Meta 2025]]</f>
        <v>5.0317249520436771E-2</v>
      </c>
      <c r="AS260" s="423">
        <v>0</v>
      </c>
      <c r="AT260" s="423">
        <v>0</v>
      </c>
      <c r="AU260" s="423">
        <v>0</v>
      </c>
      <c r="AV260" s="423">
        <v>409</v>
      </c>
      <c r="AW260" s="423">
        <v>3</v>
      </c>
      <c r="AX260" s="423">
        <v>63</v>
      </c>
      <c r="AY260" s="423">
        <v>221</v>
      </c>
      <c r="AZ260" s="423">
        <v>470</v>
      </c>
      <c r="BA260" s="42">
        <v>17</v>
      </c>
    </row>
    <row r="261" spans="1:53">
      <c r="A261" t="s">
        <v>589</v>
      </c>
      <c r="B261" t="s">
        <v>590</v>
      </c>
      <c r="C261" t="s">
        <v>141</v>
      </c>
      <c r="D261" t="s">
        <v>616</v>
      </c>
      <c r="E261" s="8">
        <v>28167</v>
      </c>
      <c r="F261" s="8">
        <v>10833</v>
      </c>
      <c r="G261" s="8">
        <v>834.42130302973101</v>
      </c>
      <c r="H261" s="8">
        <v>10280.955</v>
      </c>
      <c r="I261" s="8">
        <v>3814.8835926432689</v>
      </c>
      <c r="J261" s="8">
        <v>5638.3345961453051</v>
      </c>
      <c r="K261" s="8">
        <v>0</v>
      </c>
      <c r="L261" s="8">
        <v>1809.905405362643</v>
      </c>
      <c r="M261" s="8">
        <v>1973.4171086508568</v>
      </c>
      <c r="N261" s="6" cm="1">
        <f t="array" ref="N261">_xlfn.XLOOKUP(Table8[[#This Row],[Admin2PCODE]:[Admin2PCODE]],tblPiNAnalysis[[Admin2PCODE]:[Admin2PCODE]],tblPiNAnalysis[% SAMV],0,0)</f>
        <v>0.4</v>
      </c>
      <c r="O261" s="6" cm="1">
        <f t="array" ref="O261">_xlfn.XLOOKUP(Table8[[#This Row],[Admin2PCODE]:[Admin2PCODE]],tblPiNAnalysis[[Admin2PCODE]:[Admin2PCODE]],tblPiNAnalysis[% NUT],0,0)</f>
        <v>0.05</v>
      </c>
      <c r="P261" s="6" cm="1">
        <f t="array" ref="P261">_xlfn.XLOOKUP(Table8[[#This Row],[Admin2PCODE]:[Admin2PCODE]],tblPiNAnalysis[[Admin2PCODE]:[Admin2PCODE]],tblPiNAnalysis[% SAL],0,0)</f>
        <v>0.35000000000000003</v>
      </c>
      <c r="Q261" s="6" cm="1">
        <f t="array" ref="Q261">_xlfn.XLOOKUP(Table8[[#This Row],[Admin2PCODE]:[Admin2PCODE]],tblPiNAnalysis[[Admin2PCODE]:[Admin2PCODE]],tblPiNAnalysis[% EDU],0,0)</f>
        <v>0.15000000000000002</v>
      </c>
      <c r="R261" s="6" cm="1">
        <f t="array" ref="R261">_xlfn.XLOOKUP(Table8[[#This Row],[Admin2PCODE]:[Admin2PCODE]],tblPiNAnalysis[[Admin2PCODE]:[Admin2PCODE]],tblPiNAnalysis[% PRO],0,0)</f>
        <v>0.2</v>
      </c>
      <c r="S261" s="6" cm="1">
        <f t="array" ref="S261">_xlfn.XLOOKUP(Table8[[#This Row],[Admin2PCODE]:[Admin2PCODE]],tblPiNAnalysis[[Admin2PCODE]:[Admin2PCODE]],tblPiNAnalysis[% WASH],0,0)</f>
        <v>0</v>
      </c>
      <c r="T261" s="6" cm="1">
        <f t="array" ref="T261">_xlfn.XLOOKUP(Table8[[#This Row],[Admin2PCODE]:[Admin2PCODE]],tblPiNAnalysis[[Admin2PCODE]:[Admin2PCODE]],tblPiNAnalysis[% NNA],0,0)</f>
        <v>0.05</v>
      </c>
      <c r="U261" s="6" cm="1">
        <f t="array" ref="U261">_xlfn.XLOOKUP(Table8[[#This Row],[Admin2PCODE]:[Admin2PCODE]],tblPiNAnalysis[[Admin2PCODE]:[Admin2PCODE]],tblPiNAnalysis[% VBG],0,0)</f>
        <v>0.05</v>
      </c>
      <c r="V261" s="8" cm="1">
        <f t="array" ref="V261">_xlfn.XLOOKUP(Table8[[#This Row],[Admin2PCODE]:[Admin2PCODE]],tblPiNAnalysis[[Admin2PCODE]:[Admin2PCODE]],tblPiNAnalysis[PiN preliminar],0,0)</f>
        <v>10833</v>
      </c>
      <c r="W261" s="308" cm="1">
        <f t="array" ref="W261">_xlfn.XLOOKUP(Table8[[#This Row],[Admin2PCODE]],tblPiNAnalysis[Admin2PCODE],tblSeverityAnalysis[Severidad media],0,0)</f>
        <v>2.6666666666666665</v>
      </c>
      <c r="X261" s="42">
        <f>Table8[[#This Row],[Severidad media]]*6</f>
        <v>16</v>
      </c>
      <c r="Y261" s="6" cm="1">
        <f t="array" ref="Y261">_xlfn.XLOOKUP(Table8[[#This Row],[Admin2PCODE]],tblPiNAnalysis[Admin2PCODE],tblPiNAnalysis[% PiN Sectores más altos],0,0)</f>
        <v>0.38459899882841625</v>
      </c>
      <c r="Z261" s="42" cm="1">
        <f t="array" ref="Z261">_xlfn.XLOOKUP(Table8[[#This Row],[Admin2PCODE]:[Admin2PCODE]],tblPiNAnalysis[[Admin2PCODE]:[Admin2PCODE]],tblPiNAnalysis[Severidad],0,0)</f>
        <v>3</v>
      </c>
      <c r="AA261">
        <f>_xlfn.XLOOKUP(Table8[[#This Row],[Admin2PCODE]],tblSeverityAnalysis[Admin 2 Código P],tblSeverityAnalysis[Severidad Ttotal 2025],0,0)</f>
        <v>3</v>
      </c>
      <c r="AB261" t="str">
        <f>_xlfn.XLOOKUP(Table8[[#This Row],[Admin2PCODE]],tblSeverityAnalysis[Admin 2 Código P],tblSeverityAnalysis[Priorización Final 2025],0,0)</f>
        <v>No</v>
      </c>
      <c r="AC261">
        <v>6</v>
      </c>
      <c r="AD261" t="s">
        <v>1095</v>
      </c>
      <c r="AE261">
        <v>7</v>
      </c>
      <c r="AF261">
        <v>2</v>
      </c>
      <c r="AG261">
        <v>0</v>
      </c>
      <c r="AH261">
        <v>0</v>
      </c>
      <c r="AI261">
        <v>1</v>
      </c>
      <c r="AJ261">
        <v>2</v>
      </c>
      <c r="AK261">
        <v>2</v>
      </c>
      <c r="AL261">
        <v>2</v>
      </c>
      <c r="AM261">
        <v>0</v>
      </c>
      <c r="AN261">
        <v>2</v>
      </c>
      <c r="AO261" s="314">
        <f>Table8[[#This Row],[N° Clústeres con respuesta]]/Table8[[#This Row],[Org Total]]</f>
        <v>0.8571428571428571</v>
      </c>
      <c r="AP261" s="313">
        <v>5086</v>
      </c>
      <c r="AQ261" s="313">
        <v>1787</v>
      </c>
      <c r="AR261" s="312">
        <f>Table8[[#This Row],[Alcanzados Oct 2025]]/Table8[[#This Row],[Meta 2025]]</f>
        <v>0.35135666535587889</v>
      </c>
      <c r="AS261" s="423">
        <v>272</v>
      </c>
      <c r="AT261" s="423">
        <v>0</v>
      </c>
      <c r="AU261" s="423">
        <v>0</v>
      </c>
      <c r="AV261" s="423">
        <v>23</v>
      </c>
      <c r="AW261" s="423">
        <v>883</v>
      </c>
      <c r="AX261" s="423">
        <v>498</v>
      </c>
      <c r="AY261" s="423">
        <v>2</v>
      </c>
      <c r="AZ261" s="423">
        <v>0</v>
      </c>
      <c r="BA261" s="42">
        <v>1099</v>
      </c>
    </row>
    <row r="262" spans="1:53">
      <c r="A262" t="s">
        <v>589</v>
      </c>
      <c r="B262" t="s">
        <v>590</v>
      </c>
      <c r="C262" t="s">
        <v>100</v>
      </c>
      <c r="D262" t="s">
        <v>617</v>
      </c>
      <c r="E262" s="8">
        <v>22976</v>
      </c>
      <c r="F262" s="8">
        <v>6063</v>
      </c>
      <c r="G262" s="8">
        <v>2444.3455748165311</v>
      </c>
      <c r="H262" s="8">
        <v>8386.24</v>
      </c>
      <c r="I262" s="8">
        <v>2433.6208823545603</v>
      </c>
      <c r="J262" s="8">
        <v>4599.2251812771865</v>
      </c>
      <c r="K262" s="8">
        <v>0</v>
      </c>
      <c r="L262" s="8">
        <v>1471.7520580086998</v>
      </c>
      <c r="M262" s="8">
        <v>1609.7288134470152</v>
      </c>
      <c r="N262" s="6" cm="1">
        <f t="array" ref="N262">_xlfn.XLOOKUP(Table8[[#This Row],[Admin2PCODE]:[Admin2PCODE]],tblPiNAnalysis[[Admin2PCODE]:[Admin2PCODE]],tblPiNAnalysis[% SAMV],0,0)</f>
        <v>0.25</v>
      </c>
      <c r="O262" s="6" cm="1">
        <f t="array" ref="O262">_xlfn.XLOOKUP(Table8[[#This Row],[Admin2PCODE]:[Admin2PCODE]],tblPiNAnalysis[[Admin2PCODE]:[Admin2PCODE]],tblPiNAnalysis[% NUT],0,0)</f>
        <v>0.1</v>
      </c>
      <c r="P262" s="6" cm="1">
        <f t="array" ref="P262">_xlfn.XLOOKUP(Table8[[#This Row],[Admin2PCODE]:[Admin2PCODE]],tblPiNAnalysis[[Admin2PCODE]:[Admin2PCODE]],tblPiNAnalysis[% SAL],0,0)</f>
        <v>0.35000000000000003</v>
      </c>
      <c r="Q262" s="6" cm="1">
        <f t="array" ref="Q262">_xlfn.XLOOKUP(Table8[[#This Row],[Admin2PCODE]:[Admin2PCODE]],tblPiNAnalysis[[Admin2PCODE]:[Admin2PCODE]],tblPiNAnalysis[% EDU],0,0)</f>
        <v>0.1</v>
      </c>
      <c r="R262" s="6" cm="1">
        <f t="array" ref="R262">_xlfn.XLOOKUP(Table8[[#This Row],[Admin2PCODE]:[Admin2PCODE]],tblPiNAnalysis[[Admin2PCODE]:[Admin2PCODE]],tblPiNAnalysis[% PRO],0,0)</f>
        <v>0.2</v>
      </c>
      <c r="S262" s="6" cm="1">
        <f t="array" ref="S262">_xlfn.XLOOKUP(Table8[[#This Row],[Admin2PCODE]:[Admin2PCODE]],tblPiNAnalysis[[Admin2PCODE]:[Admin2PCODE]],tblPiNAnalysis[% WASH],0,0)</f>
        <v>0</v>
      </c>
      <c r="T262" s="6" cm="1">
        <f t="array" ref="T262">_xlfn.XLOOKUP(Table8[[#This Row],[Admin2PCODE]:[Admin2PCODE]],tblPiNAnalysis[[Admin2PCODE]:[Admin2PCODE]],tblPiNAnalysis[% NNA],0,0)</f>
        <v>0.05</v>
      </c>
      <c r="U262" s="6" cm="1">
        <f t="array" ref="U262">_xlfn.XLOOKUP(Table8[[#This Row],[Admin2PCODE]:[Admin2PCODE]],tblPiNAnalysis[[Admin2PCODE]:[Admin2PCODE]],tblPiNAnalysis[% VBG],0,0)</f>
        <v>0.05</v>
      </c>
      <c r="V262" s="8" cm="1">
        <f t="array" ref="V262">_xlfn.XLOOKUP(Table8[[#This Row],[Admin2PCODE]:[Admin2PCODE]],tblPiNAnalysis[[Admin2PCODE]:[Admin2PCODE]],tblPiNAnalysis[PiN preliminar],0,0)</f>
        <v>8386.24</v>
      </c>
      <c r="W262" s="308" cm="1">
        <f t="array" ref="W262">_xlfn.XLOOKUP(Table8[[#This Row],[Admin2PCODE]],tblPiNAnalysis[Admin2PCODE],tblSeverityAnalysis[Severidad media],0,0)</f>
        <v>3.1666666666666665</v>
      </c>
      <c r="X262" s="42">
        <f>Table8[[#This Row],[Severidad media]]*6</f>
        <v>19</v>
      </c>
      <c r="Y262" s="6" cm="1">
        <f t="array" ref="Y262">_xlfn.XLOOKUP(Table8[[#This Row],[Admin2PCODE]],tblPiNAnalysis[Admin2PCODE],tblPiNAnalysis[% PiN Sectores más altos],0,0)</f>
        <v>0.36499999999999999</v>
      </c>
      <c r="Z262" s="42" cm="1">
        <f t="array" ref="Z262">_xlfn.XLOOKUP(Table8[[#This Row],[Admin2PCODE]:[Admin2PCODE]],tblPiNAnalysis[[Admin2PCODE]:[Admin2PCODE]],tblPiNAnalysis[Severidad],0,0)</f>
        <v>3</v>
      </c>
      <c r="AA262">
        <f>_xlfn.XLOOKUP(Table8[[#This Row],[Admin2PCODE]],tblSeverityAnalysis[Admin 2 Código P],tblSeverityAnalysis[Severidad Ttotal 2025],0,0)</f>
        <v>3</v>
      </c>
      <c r="AB262" t="str">
        <f>_xlfn.XLOOKUP(Table8[[#This Row],[Admin2PCODE]],tblSeverityAnalysis[Admin 2 Código P],tblSeverityAnalysis[Priorización Final 2025],0,0)</f>
        <v>No</v>
      </c>
      <c r="AC262">
        <v>7</v>
      </c>
      <c r="AD262" t="s">
        <v>1096</v>
      </c>
      <c r="AE262">
        <v>15</v>
      </c>
      <c r="AF262">
        <v>0</v>
      </c>
      <c r="AG262">
        <v>6</v>
      </c>
      <c r="AH262">
        <v>0</v>
      </c>
      <c r="AI262">
        <v>1</v>
      </c>
      <c r="AJ262">
        <v>7</v>
      </c>
      <c r="AK262">
        <v>4</v>
      </c>
      <c r="AL262">
        <v>6</v>
      </c>
      <c r="AM262">
        <v>8</v>
      </c>
      <c r="AN262">
        <v>4</v>
      </c>
      <c r="AO262" s="314">
        <f>Table8[[#This Row],[N° Clústeres con respuesta]]/Table8[[#This Row],[Org Total]]</f>
        <v>0.46666666666666667</v>
      </c>
      <c r="AP262" s="313">
        <v>5363</v>
      </c>
      <c r="AQ262" s="313">
        <v>4499</v>
      </c>
      <c r="AR262" s="312">
        <f>Table8[[#This Row],[Alcanzados Oct 2025]]/Table8[[#This Row],[Meta 2025]]</f>
        <v>0.83889614022002612</v>
      </c>
      <c r="AS262" s="423">
        <v>0</v>
      </c>
      <c r="AT262" s="423">
        <v>3800</v>
      </c>
      <c r="AU262" s="423">
        <v>0</v>
      </c>
      <c r="AV262" s="423">
        <v>2</v>
      </c>
      <c r="AW262" s="423">
        <v>603</v>
      </c>
      <c r="AX262" s="423">
        <v>3108</v>
      </c>
      <c r="AY262" s="423">
        <v>812</v>
      </c>
      <c r="AZ262" s="423">
        <v>4136</v>
      </c>
      <c r="BA262" s="42">
        <v>3869</v>
      </c>
    </row>
    <row r="263" spans="1:53">
      <c r="A263" t="s">
        <v>589</v>
      </c>
      <c r="B263" t="s">
        <v>590</v>
      </c>
      <c r="C263" t="s">
        <v>618</v>
      </c>
      <c r="D263" t="s">
        <v>619</v>
      </c>
      <c r="E263" s="8">
        <v>13862</v>
      </c>
      <c r="F263" s="8">
        <v>4364</v>
      </c>
      <c r="G263" s="8">
        <v>328.35682092048978</v>
      </c>
      <c r="H263" s="8">
        <v>5059.63</v>
      </c>
      <c r="I263" s="8">
        <v>2079.4913569233327</v>
      </c>
      <c r="J263" s="8">
        <v>2774.8284933349732</v>
      </c>
      <c r="K263" s="8">
        <v>0</v>
      </c>
      <c r="L263" s="8">
        <v>887.94511786719136</v>
      </c>
      <c r="M263" s="8">
        <v>971.18997266724068</v>
      </c>
      <c r="N263" s="6" cm="1">
        <f t="array" ref="N263">_xlfn.XLOOKUP(Table8[[#This Row],[Admin2PCODE]:[Admin2PCODE]],tblPiNAnalysis[[Admin2PCODE]:[Admin2PCODE]],tblPiNAnalysis[% SAMV],0,0)</f>
        <v>0.30000000000000004</v>
      </c>
      <c r="O263" s="6" cm="1">
        <f t="array" ref="O263">_xlfn.XLOOKUP(Table8[[#This Row],[Admin2PCODE]:[Admin2PCODE]],tblPiNAnalysis[[Admin2PCODE]:[Admin2PCODE]],tblPiNAnalysis[% NUT],0,0)</f>
        <v>0</v>
      </c>
      <c r="P263" s="6" cm="1">
        <f t="array" ref="P263">_xlfn.XLOOKUP(Table8[[#This Row],[Admin2PCODE]:[Admin2PCODE]],tblPiNAnalysis[[Admin2PCODE]:[Admin2PCODE]],tblPiNAnalysis[% SAL],0,0)</f>
        <v>0.35000000000000003</v>
      </c>
      <c r="Q263" s="6" cm="1">
        <f t="array" ref="Q263">_xlfn.XLOOKUP(Table8[[#This Row],[Admin2PCODE]:[Admin2PCODE]],tblPiNAnalysis[[Admin2PCODE]:[Admin2PCODE]],tblPiNAnalysis[% EDU],0,0)</f>
        <v>0.15000000000000002</v>
      </c>
      <c r="R263" s="6" cm="1">
        <f t="array" ref="R263">_xlfn.XLOOKUP(Table8[[#This Row],[Admin2PCODE]:[Admin2PCODE]],tblPiNAnalysis[[Admin2PCODE]:[Admin2PCODE]],tblPiNAnalysis[% PRO],0,0)</f>
        <v>0.2</v>
      </c>
      <c r="S263" s="6" cm="1">
        <f t="array" ref="S263">_xlfn.XLOOKUP(Table8[[#This Row],[Admin2PCODE]:[Admin2PCODE]],tblPiNAnalysis[[Admin2PCODE]:[Admin2PCODE]],tblPiNAnalysis[% WASH],0,0)</f>
        <v>0</v>
      </c>
      <c r="T263" s="6" cm="1">
        <f t="array" ref="T263">_xlfn.XLOOKUP(Table8[[#This Row],[Admin2PCODE]:[Admin2PCODE]],tblPiNAnalysis[[Admin2PCODE]:[Admin2PCODE]],tblPiNAnalysis[% NNA],0,0)</f>
        <v>0.05</v>
      </c>
      <c r="U263" s="6" cm="1">
        <f t="array" ref="U263">_xlfn.XLOOKUP(Table8[[#This Row],[Admin2PCODE]:[Admin2PCODE]],tblPiNAnalysis[[Admin2PCODE]:[Admin2PCODE]],tblPiNAnalysis[% VBG],0,0)</f>
        <v>0.05</v>
      </c>
      <c r="V263" s="8" cm="1">
        <f t="array" ref="V263">_xlfn.XLOOKUP(Table8[[#This Row],[Admin2PCODE]:[Admin2PCODE]],tblPiNAnalysis[[Admin2PCODE]:[Admin2PCODE]],tblPiNAnalysis[PiN preliminar],0,0)</f>
        <v>0</v>
      </c>
      <c r="W263" s="308" cm="1">
        <f t="array" ref="W263">_xlfn.XLOOKUP(Table8[[#This Row],[Admin2PCODE]],tblPiNAnalysis[Admin2PCODE],tblSeverityAnalysis[Severidad media],0,0)</f>
        <v>2.6666666666666665</v>
      </c>
      <c r="X263" s="42">
        <f>Table8[[#This Row],[Severidad media]]*6</f>
        <v>16</v>
      </c>
      <c r="Y263" s="6" cm="1">
        <f t="array" ref="Y263">_xlfn.XLOOKUP(Table8[[#This Row],[Admin2PCODE]],tblPiNAnalysis[Admin2PCODE],tblPiNAnalysis[% PiN Sectores más altos],0,0)</f>
        <v>0.36499999999999999</v>
      </c>
      <c r="Z263" s="42" cm="1">
        <f t="array" ref="Z263">_xlfn.XLOOKUP(Table8[[#This Row],[Admin2PCODE]:[Admin2PCODE]],tblPiNAnalysis[[Admin2PCODE]:[Admin2PCODE]],tblPiNAnalysis[Severidad],0,0)</f>
        <v>2</v>
      </c>
      <c r="AA263">
        <f>_xlfn.XLOOKUP(Table8[[#This Row],[Admin2PCODE]],tblSeverityAnalysis[Admin 2 Código P],tblSeverityAnalysis[Severidad Ttotal 2025],0,0)</f>
        <v>3</v>
      </c>
      <c r="AB263" t="str">
        <f>_xlfn.XLOOKUP(Table8[[#This Row],[Admin2PCODE]],tblSeverityAnalysis[Admin 2 Código P],tblSeverityAnalysis[Priorización Final 2025],0,0)</f>
        <v>No</v>
      </c>
      <c r="AC263">
        <v>2</v>
      </c>
      <c r="AD263" t="s">
        <v>1097</v>
      </c>
      <c r="AE263">
        <v>3</v>
      </c>
      <c r="AF263">
        <v>0</v>
      </c>
      <c r="AG263">
        <v>0</v>
      </c>
      <c r="AH263">
        <v>0</v>
      </c>
      <c r="AI263">
        <v>0</v>
      </c>
      <c r="AJ263">
        <v>0</v>
      </c>
      <c r="AK263">
        <v>2</v>
      </c>
      <c r="AL263">
        <v>0</v>
      </c>
      <c r="AM263">
        <v>1</v>
      </c>
      <c r="AN263">
        <v>0</v>
      </c>
      <c r="AO263" s="314">
        <f>Table8[[#This Row],[N° Clústeres con respuesta]]/Table8[[#This Row],[Org Total]]</f>
        <v>0.66666666666666663</v>
      </c>
      <c r="AP263" s="313">
        <v>3110</v>
      </c>
      <c r="AQ263" s="313">
        <v>109</v>
      </c>
      <c r="AR263" s="312">
        <f>Table8[[#This Row],[Alcanzados Oct 2025]]/Table8[[#This Row],[Meta 2025]]</f>
        <v>3.5048231511254017E-2</v>
      </c>
      <c r="AS263" s="423">
        <v>0</v>
      </c>
      <c r="AT263" s="423">
        <v>0</v>
      </c>
      <c r="AU263" s="423">
        <v>0</v>
      </c>
      <c r="AV263" s="423">
        <v>0</v>
      </c>
      <c r="AW263" s="423">
        <v>3</v>
      </c>
      <c r="AX263" s="423">
        <v>1</v>
      </c>
      <c r="AY263" s="423">
        <v>0</v>
      </c>
      <c r="AZ263" s="423">
        <v>107</v>
      </c>
      <c r="BA263" s="42">
        <v>0</v>
      </c>
    </row>
    <row r="264" spans="1:53">
      <c r="A264" t="s">
        <v>589</v>
      </c>
      <c r="B264" t="s">
        <v>590</v>
      </c>
      <c r="C264" t="s">
        <v>620</v>
      </c>
      <c r="D264" t="s">
        <v>621</v>
      </c>
      <c r="E264" s="8">
        <v>19993</v>
      </c>
      <c r="F264" s="8">
        <v>6665</v>
      </c>
      <c r="G264" s="8">
        <v>606.48514632526735</v>
      </c>
      <c r="H264" s="8">
        <v>7297.4449999999997</v>
      </c>
      <c r="I264" s="8">
        <v>2442.2626103369207</v>
      </c>
      <c r="J264" s="8">
        <v>4002.1025874510265</v>
      </c>
      <c r="K264" s="8">
        <v>0</v>
      </c>
      <c r="L264" s="8">
        <v>1280.6728279843285</v>
      </c>
      <c r="M264" s="8">
        <v>1400.7359056078594</v>
      </c>
      <c r="N264" s="6" cm="1">
        <f t="array" ref="N264">_xlfn.XLOOKUP(Table8[[#This Row],[Admin2PCODE]:[Admin2PCODE]],tblPiNAnalysis[[Admin2PCODE]:[Admin2PCODE]],tblPiNAnalysis[% SAMV],0,0)</f>
        <v>0.35000000000000003</v>
      </c>
      <c r="O264" s="6" cm="1">
        <f t="array" ref="O264">_xlfn.XLOOKUP(Table8[[#This Row],[Admin2PCODE]:[Admin2PCODE]],tblPiNAnalysis[[Admin2PCODE]:[Admin2PCODE]],tblPiNAnalysis[% NUT],0,0)</f>
        <v>0.05</v>
      </c>
      <c r="P264" s="6" cm="1">
        <f t="array" ref="P264">_xlfn.XLOOKUP(Table8[[#This Row],[Admin2PCODE]:[Admin2PCODE]],tblPiNAnalysis[[Admin2PCODE]:[Admin2PCODE]],tblPiNAnalysis[% SAL],0,0)</f>
        <v>0.35000000000000003</v>
      </c>
      <c r="Q264" s="6" cm="1">
        <f t="array" ref="Q264">_xlfn.XLOOKUP(Table8[[#This Row],[Admin2PCODE]:[Admin2PCODE]],tblPiNAnalysis[[Admin2PCODE]:[Admin2PCODE]],tblPiNAnalysis[% EDU],0,0)</f>
        <v>0.1</v>
      </c>
      <c r="R264" s="6" cm="1">
        <f t="array" ref="R264">_xlfn.XLOOKUP(Table8[[#This Row],[Admin2PCODE]:[Admin2PCODE]],tblPiNAnalysis[[Admin2PCODE]:[Admin2PCODE]],tblPiNAnalysis[% PRO],0,0)</f>
        <v>0.2</v>
      </c>
      <c r="S264" s="6" cm="1">
        <f t="array" ref="S264">_xlfn.XLOOKUP(Table8[[#This Row],[Admin2PCODE]:[Admin2PCODE]],tblPiNAnalysis[[Admin2PCODE]:[Admin2PCODE]],tblPiNAnalysis[% WASH],0,0)</f>
        <v>0</v>
      </c>
      <c r="T264" s="6" cm="1">
        <f t="array" ref="T264">_xlfn.XLOOKUP(Table8[[#This Row],[Admin2PCODE]:[Admin2PCODE]],tblPiNAnalysis[[Admin2PCODE]:[Admin2PCODE]],tblPiNAnalysis[% NNA],0,0)</f>
        <v>0.05</v>
      </c>
      <c r="U264" s="6" cm="1">
        <f t="array" ref="U264">_xlfn.XLOOKUP(Table8[[#This Row],[Admin2PCODE]:[Admin2PCODE]],tblPiNAnalysis[[Admin2PCODE]:[Admin2PCODE]],tblPiNAnalysis[% VBG],0,0)</f>
        <v>0.05</v>
      </c>
      <c r="V264" s="8" cm="1">
        <f t="array" ref="V264">_xlfn.XLOOKUP(Table8[[#This Row],[Admin2PCODE]:[Admin2PCODE]],tblPiNAnalysis[[Admin2PCODE]:[Admin2PCODE]],tblPiNAnalysis[PiN preliminar],0,0)</f>
        <v>0</v>
      </c>
      <c r="W264" s="308" cm="1">
        <f t="array" ref="W264">_xlfn.XLOOKUP(Table8[[#This Row],[Admin2PCODE]],tblPiNAnalysis[Admin2PCODE],tblSeverityAnalysis[Severidad media],0,0)</f>
        <v>2.6666666666666665</v>
      </c>
      <c r="X264" s="42">
        <f>Table8[[#This Row],[Severidad media]]*6</f>
        <v>16</v>
      </c>
      <c r="Y264" s="6" cm="1">
        <f t="array" ref="Y264">_xlfn.XLOOKUP(Table8[[#This Row],[Admin2PCODE]],tblPiNAnalysis[Admin2PCODE],tblPiNAnalysis[% PiN Sectores más altos],0,0)</f>
        <v>0.36499999999999999</v>
      </c>
      <c r="Z264" s="42" cm="1">
        <f t="array" ref="Z264">_xlfn.XLOOKUP(Table8[[#This Row],[Admin2PCODE]:[Admin2PCODE]],tblPiNAnalysis[[Admin2PCODE]:[Admin2PCODE]],tblPiNAnalysis[Severidad],0,0)</f>
        <v>2</v>
      </c>
      <c r="AA264">
        <f>_xlfn.XLOOKUP(Table8[[#This Row],[Admin2PCODE]],tblSeverityAnalysis[Admin 2 Código P],tblSeverityAnalysis[Severidad Ttotal 2025],0,0)</f>
        <v>3</v>
      </c>
      <c r="AB264" t="str">
        <f>_xlfn.XLOOKUP(Table8[[#This Row],[Admin2PCODE]],tblSeverityAnalysis[Admin 2 Código P],tblSeverityAnalysis[Priorización Final 2025],0,0)</f>
        <v>No</v>
      </c>
      <c r="AC264">
        <v>0</v>
      </c>
      <c r="AD264">
        <v>0</v>
      </c>
      <c r="AE264">
        <v>0</v>
      </c>
      <c r="AF264">
        <v>0</v>
      </c>
      <c r="AG264">
        <v>0</v>
      </c>
      <c r="AH264">
        <v>0</v>
      </c>
      <c r="AI264">
        <v>0</v>
      </c>
      <c r="AJ264">
        <v>0</v>
      </c>
      <c r="AK264">
        <v>0</v>
      </c>
      <c r="AL264">
        <v>0</v>
      </c>
      <c r="AM264">
        <v>0</v>
      </c>
      <c r="AN264">
        <v>0</v>
      </c>
      <c r="AO264" s="314" t="e">
        <f>Table8[[#This Row],[N° Clústeres con respuesta]]/Table8[[#This Row],[Org Total]]</f>
        <v>#DIV/0!</v>
      </c>
      <c r="AP264" s="313">
        <v>4484</v>
      </c>
      <c r="AQ264" s="313">
        <v>0</v>
      </c>
      <c r="AR264" s="312">
        <f>Table8[[#This Row],[Alcanzados Oct 2025]]/Table8[[#This Row],[Meta 2025]]</f>
        <v>0</v>
      </c>
      <c r="AS264" s="423">
        <v>0</v>
      </c>
      <c r="AT264" s="423">
        <v>0</v>
      </c>
      <c r="AU264" s="423">
        <v>0</v>
      </c>
      <c r="AV264" s="423">
        <v>0</v>
      </c>
      <c r="AW264" s="423">
        <v>0</v>
      </c>
      <c r="AX264" s="423">
        <v>0</v>
      </c>
      <c r="AY264" s="423">
        <v>0</v>
      </c>
      <c r="AZ264" s="423">
        <v>0</v>
      </c>
      <c r="BA264" s="42">
        <v>0</v>
      </c>
    </row>
    <row r="265" spans="1:53">
      <c r="A265" t="s">
        <v>589</v>
      </c>
      <c r="B265" t="s">
        <v>590</v>
      </c>
      <c r="C265" t="s">
        <v>622</v>
      </c>
      <c r="D265" t="s">
        <v>623</v>
      </c>
      <c r="E265" s="8">
        <v>32901</v>
      </c>
      <c r="F265" s="8">
        <v>9400</v>
      </c>
      <c r="G265" s="8">
        <v>1249.2733867399661</v>
      </c>
      <c r="H265" s="8">
        <v>12008.865</v>
      </c>
      <c r="I265" s="8">
        <v>2659.5132413567894</v>
      </c>
      <c r="J265" s="8">
        <v>6585.9639488684161</v>
      </c>
      <c r="K265" s="8">
        <v>4441.6350000000002</v>
      </c>
      <c r="L265" s="8">
        <v>2107.5084636378933</v>
      </c>
      <c r="M265" s="8">
        <v>2305.0873821039459</v>
      </c>
      <c r="N265" s="6" cm="1">
        <f t="array" ref="N265">_xlfn.XLOOKUP(Table8[[#This Row],[Admin2PCODE]:[Admin2PCODE]],tblPiNAnalysis[[Admin2PCODE]:[Admin2PCODE]],tblPiNAnalysis[% SAMV],0,0)</f>
        <v>0.30000000000000004</v>
      </c>
      <c r="O265" s="6" cm="1">
        <f t="array" ref="O265">_xlfn.XLOOKUP(Table8[[#This Row],[Admin2PCODE]:[Admin2PCODE]],tblPiNAnalysis[[Admin2PCODE]:[Admin2PCODE]],tblPiNAnalysis[% NUT],0,0)</f>
        <v>0.05</v>
      </c>
      <c r="P265" s="6" cm="1">
        <f t="array" ref="P265">_xlfn.XLOOKUP(Table8[[#This Row],[Admin2PCODE]:[Admin2PCODE]],tblPiNAnalysis[[Admin2PCODE]:[Admin2PCODE]],tblPiNAnalysis[% SAL],0,0)</f>
        <v>0.35000000000000003</v>
      </c>
      <c r="Q265" s="6" cm="1">
        <f t="array" ref="Q265">_xlfn.XLOOKUP(Table8[[#This Row],[Admin2PCODE]:[Admin2PCODE]],tblPiNAnalysis[[Admin2PCODE]:[Admin2PCODE]],tblPiNAnalysis[% EDU],0,0)</f>
        <v>0.1</v>
      </c>
      <c r="R265" s="6" cm="1">
        <f t="array" ref="R265">_xlfn.XLOOKUP(Table8[[#This Row],[Admin2PCODE]:[Admin2PCODE]],tblPiNAnalysis[[Admin2PCODE]:[Admin2PCODE]],tblPiNAnalysis[% PRO],0,0)</f>
        <v>0.2</v>
      </c>
      <c r="S265" s="6" cm="1">
        <f t="array" ref="S265">_xlfn.XLOOKUP(Table8[[#This Row],[Admin2PCODE]:[Admin2PCODE]],tblPiNAnalysis[[Admin2PCODE]:[Admin2PCODE]],tblPiNAnalysis[% WASH],0,0)</f>
        <v>0.15000000000000002</v>
      </c>
      <c r="T265" s="6" cm="1">
        <f t="array" ref="T265">_xlfn.XLOOKUP(Table8[[#This Row],[Admin2PCODE]:[Admin2PCODE]],tblPiNAnalysis[[Admin2PCODE]:[Admin2PCODE]],tblPiNAnalysis[% NNA],0,0)</f>
        <v>0.05</v>
      </c>
      <c r="U265" s="6" cm="1">
        <f t="array" ref="U265">_xlfn.XLOOKUP(Table8[[#This Row],[Admin2PCODE]:[Admin2PCODE]],tblPiNAnalysis[[Admin2PCODE]:[Admin2PCODE]],tblPiNAnalysis[% VBG],0,0)</f>
        <v>0.05</v>
      </c>
      <c r="V265" s="8" cm="1">
        <f t="array" ref="V265">_xlfn.XLOOKUP(Table8[[#This Row],[Admin2PCODE]:[Admin2PCODE]],tblPiNAnalysis[[Admin2PCODE]:[Admin2PCODE]],tblPiNAnalysis[PiN preliminar],0,0)</f>
        <v>12008.865</v>
      </c>
      <c r="W265" s="308" cm="1">
        <f t="array" ref="W265">_xlfn.XLOOKUP(Table8[[#This Row],[Admin2PCODE]],tblPiNAnalysis[Admin2PCODE],tblSeverityAnalysis[Severidad media],0,0)</f>
        <v>2.1666666666666665</v>
      </c>
      <c r="X265" s="42">
        <f>Table8[[#This Row],[Severidad media]]*6</f>
        <v>13</v>
      </c>
      <c r="Y265" s="6" cm="1">
        <f t="array" ref="Y265">_xlfn.XLOOKUP(Table8[[#This Row],[Admin2PCODE]],tblPiNAnalysis[Admin2PCODE],tblPiNAnalysis[% PiN Sectores más altos],0,0)</f>
        <v>0.36499999999999999</v>
      </c>
      <c r="Z265" s="42" cm="1">
        <f t="array" ref="Z265">_xlfn.XLOOKUP(Table8[[#This Row],[Admin2PCODE]:[Admin2PCODE]],tblPiNAnalysis[[Admin2PCODE]:[Admin2PCODE]],tblPiNAnalysis[Severidad],0,0)</f>
        <v>3</v>
      </c>
      <c r="AA265">
        <f>_xlfn.XLOOKUP(Table8[[#This Row],[Admin2PCODE]],tblSeverityAnalysis[Admin 2 Código P],tblSeverityAnalysis[Severidad Ttotal 2025],0,0)</f>
        <v>3</v>
      </c>
      <c r="AB265" t="str">
        <f>_xlfn.XLOOKUP(Table8[[#This Row],[Admin2PCODE]],tblSeverityAnalysis[Admin 2 Código P],tblSeverityAnalysis[Priorización Final 2025],0,0)</f>
        <v>No</v>
      </c>
      <c r="AC265">
        <v>6</v>
      </c>
      <c r="AD265" t="s">
        <v>1098</v>
      </c>
      <c r="AE265">
        <v>5</v>
      </c>
      <c r="AF265">
        <v>0</v>
      </c>
      <c r="AG265">
        <v>0</v>
      </c>
      <c r="AH265">
        <v>0</v>
      </c>
      <c r="AI265">
        <v>2</v>
      </c>
      <c r="AJ265">
        <v>2</v>
      </c>
      <c r="AK265">
        <v>2</v>
      </c>
      <c r="AL265">
        <v>2</v>
      </c>
      <c r="AM265">
        <v>3</v>
      </c>
      <c r="AN265">
        <v>2</v>
      </c>
      <c r="AO265" s="314">
        <f>Table8[[#This Row],[N° Clústeres con respuesta]]/Table8[[#This Row],[Org Total]]</f>
        <v>1.2</v>
      </c>
      <c r="AP265" s="313">
        <v>6993</v>
      </c>
      <c r="AQ265" s="313">
        <v>1189</v>
      </c>
      <c r="AR265" s="312">
        <f>Table8[[#This Row],[Alcanzados Oct 2025]]/Table8[[#This Row],[Meta 2025]]</f>
        <v>0.17002717002717002</v>
      </c>
      <c r="AS265" s="423">
        <v>0</v>
      </c>
      <c r="AT265" s="423">
        <v>0</v>
      </c>
      <c r="AU265" s="423">
        <v>0</v>
      </c>
      <c r="AV265" s="423">
        <v>1189</v>
      </c>
      <c r="AW265" s="423">
        <v>519</v>
      </c>
      <c r="AX265" s="423">
        <v>60</v>
      </c>
      <c r="AY265" s="423">
        <v>541</v>
      </c>
      <c r="AZ265" s="423">
        <v>221</v>
      </c>
      <c r="BA265" s="42">
        <v>37</v>
      </c>
    </row>
    <row r="266" spans="1:53">
      <c r="A266" t="s">
        <v>180</v>
      </c>
      <c r="B266" t="s">
        <v>239</v>
      </c>
      <c r="C266" t="s">
        <v>803</v>
      </c>
      <c r="D266" t="s">
        <v>249</v>
      </c>
      <c r="E266" s="8">
        <v>350010</v>
      </c>
      <c r="F266" s="8">
        <v>112245</v>
      </c>
      <c r="G266" s="8">
        <v>12970.93718897102</v>
      </c>
      <c r="H266" s="8">
        <v>127753.65</v>
      </c>
      <c r="I266" s="8">
        <v>44158.500390264089</v>
      </c>
      <c r="J266" s="8">
        <v>83866.727689659892</v>
      </c>
      <c r="K266" s="8">
        <v>210006</v>
      </c>
      <c r="L266" s="8">
        <v>26837.352860691164</v>
      </c>
      <c r="M266" s="8">
        <v>29353.354691380962</v>
      </c>
      <c r="N266" s="6" cm="1">
        <f t="array" ref="N266">_xlfn.XLOOKUP(Table8[[#This Row],[Admin2PCODE]:[Admin2PCODE]],tblPiNAnalysis[[Admin2PCODE]:[Admin2PCODE]],tblPiNAnalysis[% SAMV],0,0)</f>
        <v>0.30000000000000004</v>
      </c>
      <c r="O266" s="6" cm="1">
        <f t="array" ref="O266">_xlfn.XLOOKUP(Table8[[#This Row],[Admin2PCODE]:[Admin2PCODE]],tblPiNAnalysis[[Admin2PCODE]:[Admin2PCODE]],tblPiNAnalysis[% NUT],0,0)</f>
        <v>0.05</v>
      </c>
      <c r="P266" s="6" cm="1">
        <f t="array" ref="P266">_xlfn.XLOOKUP(Table8[[#This Row],[Admin2PCODE]:[Admin2PCODE]],tblPiNAnalysis[[Admin2PCODE]:[Admin2PCODE]],tblPiNAnalysis[% SAL],0,0)</f>
        <v>0.35000000000000003</v>
      </c>
      <c r="Q266" s="6" cm="1">
        <f t="array" ref="Q266">_xlfn.XLOOKUP(Table8[[#This Row],[Admin2PCODE]:[Admin2PCODE]],tblPiNAnalysis[[Admin2PCODE]:[Admin2PCODE]],tblPiNAnalysis[% EDU],0,0)</f>
        <v>0.15000000000000002</v>
      </c>
      <c r="R266" s="6" cm="1">
        <f t="array" ref="R266">_xlfn.XLOOKUP(Table8[[#This Row],[Admin2PCODE]:[Admin2PCODE]],tblPiNAnalysis[[Admin2PCODE]:[Admin2PCODE]],tblPiNAnalysis[% PRO],0,0)</f>
        <v>0.25</v>
      </c>
      <c r="S266" s="6" cm="1">
        <f t="array" ref="S266">_xlfn.XLOOKUP(Table8[[#This Row],[Admin2PCODE]:[Admin2PCODE]],tblPiNAnalysis[[Admin2PCODE]:[Admin2PCODE]],tblPiNAnalysis[% WASH],0,0)</f>
        <v>0.60000000000000009</v>
      </c>
      <c r="T266" s="6" cm="1">
        <f t="array" ref="T266">_xlfn.XLOOKUP(Table8[[#This Row],[Admin2PCODE]:[Admin2PCODE]],tblPiNAnalysis[[Admin2PCODE]:[Admin2PCODE]],tblPiNAnalysis[% NNA],0,0)</f>
        <v>0.1</v>
      </c>
      <c r="U266" s="6" cm="1">
        <f t="array" ref="U266">_xlfn.XLOOKUP(Table8[[#This Row],[Admin2PCODE]:[Admin2PCODE]],tblPiNAnalysis[[Admin2PCODE]:[Admin2PCODE]],tblPiNAnalysis[% VBG],0,0)</f>
        <v>0.1</v>
      </c>
      <c r="V266" s="8" cm="1">
        <f t="array" ref="V266">_xlfn.XLOOKUP(Table8[[#This Row],[Admin2PCODE]:[Admin2PCODE]],tblPiNAnalysis[[Admin2PCODE]:[Admin2PCODE]],tblPiNAnalysis[PiN preliminar],0,0)</f>
        <v>210006</v>
      </c>
      <c r="W266" s="308" cm="1">
        <f t="array" ref="W266">_xlfn.XLOOKUP(Table8[[#This Row],[Admin2PCODE]],tblPiNAnalysis[Admin2PCODE],tblSeverityAnalysis[Severidad media],0,0)</f>
        <v>3.8333333333333335</v>
      </c>
      <c r="X266" s="42">
        <f>Table8[[#This Row],[Severidad media]]*6</f>
        <v>23</v>
      </c>
      <c r="Y266" s="6" cm="1">
        <f t="array" ref="Y266">_xlfn.XLOOKUP(Table8[[#This Row],[Admin2PCODE]],tblPiNAnalysis[Admin2PCODE],tblPiNAnalysis[% PiN Sectores más altos],0,0)</f>
        <v>0.6</v>
      </c>
      <c r="Z266" s="42" cm="1">
        <f t="array" ref="Z266">_xlfn.XLOOKUP(Table8[[#This Row],[Admin2PCODE]:[Admin2PCODE]],tblPiNAnalysis[[Admin2PCODE]:[Admin2PCODE]],tblPiNAnalysis[Severidad],0,0)</f>
        <v>3</v>
      </c>
      <c r="AA266">
        <f>_xlfn.XLOOKUP(Table8[[#This Row],[Admin2PCODE]],tblSeverityAnalysis[Admin 2 Código P],tblSeverityAnalysis[Severidad Ttotal 2025],0,0)</f>
        <v>3</v>
      </c>
      <c r="AB266" t="str">
        <f>_xlfn.XLOOKUP(Table8[[#This Row],[Admin2PCODE]],tblSeverityAnalysis[Admin 2 Código P],tblSeverityAnalysis[Priorización Final 2025],0,0)</f>
        <v>Sí</v>
      </c>
      <c r="AC266">
        <v>8</v>
      </c>
      <c r="AD266" t="s">
        <v>1099</v>
      </c>
      <c r="AE266">
        <v>21</v>
      </c>
      <c r="AF266">
        <v>0</v>
      </c>
      <c r="AG266">
        <v>10</v>
      </c>
      <c r="AH266">
        <v>1</v>
      </c>
      <c r="AI266">
        <v>7</v>
      </c>
      <c r="AJ266">
        <v>7</v>
      </c>
      <c r="AK266">
        <v>5</v>
      </c>
      <c r="AL266">
        <v>7</v>
      </c>
      <c r="AM266">
        <v>9</v>
      </c>
      <c r="AN266">
        <v>2</v>
      </c>
      <c r="AO266" s="314">
        <f>Table8[[#This Row],[N° Clústeres con respuesta]]/Table8[[#This Row],[Org Total]]</f>
        <v>0.38095238095238093</v>
      </c>
      <c r="AP266" s="313">
        <v>57502</v>
      </c>
      <c r="AQ266" s="313">
        <v>54187</v>
      </c>
      <c r="AR266" s="312">
        <f>Table8[[#This Row],[Alcanzados Oct 2025]]/Table8[[#This Row],[Meta 2025]]</f>
        <v>0.94234983131021532</v>
      </c>
      <c r="AS266" s="423">
        <v>0</v>
      </c>
      <c r="AT266" s="423">
        <v>4942</v>
      </c>
      <c r="AU266" s="423">
        <v>48</v>
      </c>
      <c r="AV266" s="423">
        <v>13571</v>
      </c>
      <c r="AW266" s="423">
        <v>650</v>
      </c>
      <c r="AX266" s="423">
        <v>150</v>
      </c>
      <c r="AY266" s="423">
        <v>2898</v>
      </c>
      <c r="AZ266" s="423">
        <v>54187</v>
      </c>
      <c r="BA266" s="42">
        <v>3574</v>
      </c>
    </row>
    <row r="267" spans="1:53">
      <c r="A267" t="s">
        <v>589</v>
      </c>
      <c r="B267" t="s">
        <v>590</v>
      </c>
      <c r="C267" t="s">
        <v>626</v>
      </c>
      <c r="D267" t="s">
        <v>627</v>
      </c>
      <c r="E267" s="8">
        <v>6030</v>
      </c>
      <c r="F267" s="8">
        <v>2010</v>
      </c>
      <c r="G267" s="8">
        <v>265.02125379108611</v>
      </c>
      <c r="H267" s="8">
        <v>2200.9499999999998</v>
      </c>
      <c r="I267" s="8">
        <v>658.45090590077473</v>
      </c>
      <c r="J267" s="8">
        <v>1207.0563998564339</v>
      </c>
      <c r="K267" s="8">
        <v>0</v>
      </c>
      <c r="L267" s="8">
        <v>386.25804795405884</v>
      </c>
      <c r="M267" s="8">
        <v>422.46973994975184</v>
      </c>
      <c r="N267" s="6" cm="1">
        <f t="array" ref="N267">_xlfn.XLOOKUP(Table8[[#This Row],[Admin2PCODE]:[Admin2PCODE]],tblPiNAnalysis[[Admin2PCODE]:[Admin2PCODE]],tblPiNAnalysis[% SAMV],0,0)</f>
        <v>0.35000000000000003</v>
      </c>
      <c r="O267" s="6" cm="1">
        <f t="array" ref="O267">_xlfn.XLOOKUP(Table8[[#This Row],[Admin2PCODE]:[Admin2PCODE]],tblPiNAnalysis[[Admin2PCODE]:[Admin2PCODE]],tblPiNAnalysis[% NUT],0,0)</f>
        <v>0.05</v>
      </c>
      <c r="P267" s="6" cm="1">
        <f t="array" ref="P267">_xlfn.XLOOKUP(Table8[[#This Row],[Admin2PCODE]:[Admin2PCODE]],tblPiNAnalysis[[Admin2PCODE]:[Admin2PCODE]],tblPiNAnalysis[% SAL],0,0)</f>
        <v>0.35000000000000003</v>
      </c>
      <c r="Q267" s="6" cm="1">
        <f t="array" ref="Q267">_xlfn.XLOOKUP(Table8[[#This Row],[Admin2PCODE]:[Admin2PCODE]],tblPiNAnalysis[[Admin2PCODE]:[Admin2PCODE]],tblPiNAnalysis[% EDU],0,0)</f>
        <v>0.1</v>
      </c>
      <c r="R267" s="6" cm="1">
        <f t="array" ref="R267">_xlfn.XLOOKUP(Table8[[#This Row],[Admin2PCODE]:[Admin2PCODE]],tblPiNAnalysis[[Admin2PCODE]:[Admin2PCODE]],tblPiNAnalysis[% PRO],0,0)</f>
        <v>0.2</v>
      </c>
      <c r="S267" s="6" cm="1">
        <f t="array" ref="S267">_xlfn.XLOOKUP(Table8[[#This Row],[Admin2PCODE]:[Admin2PCODE]],tblPiNAnalysis[[Admin2PCODE]:[Admin2PCODE]],tblPiNAnalysis[% WASH],0,0)</f>
        <v>0</v>
      </c>
      <c r="T267" s="6" cm="1">
        <f t="array" ref="T267">_xlfn.XLOOKUP(Table8[[#This Row],[Admin2PCODE]:[Admin2PCODE]],tblPiNAnalysis[[Admin2PCODE]:[Admin2PCODE]],tblPiNAnalysis[% NNA],0,0)</f>
        <v>0.05</v>
      </c>
      <c r="U267" s="6" cm="1">
        <f t="array" ref="U267">_xlfn.XLOOKUP(Table8[[#This Row],[Admin2PCODE]:[Admin2PCODE]],tblPiNAnalysis[[Admin2PCODE]:[Admin2PCODE]],tblPiNAnalysis[% VBG],0,0)</f>
        <v>0.05</v>
      </c>
      <c r="V267" s="8" cm="1">
        <f t="array" ref="V267">_xlfn.XLOOKUP(Table8[[#This Row],[Admin2PCODE]:[Admin2PCODE]],tblPiNAnalysis[[Admin2PCODE]:[Admin2PCODE]],tblPiNAnalysis[PiN preliminar],0,0)</f>
        <v>0</v>
      </c>
      <c r="W267" s="308" cm="1">
        <f t="array" ref="W267">_xlfn.XLOOKUP(Table8[[#This Row],[Admin2PCODE]],tblPiNAnalysis[Admin2PCODE],tblSeverityAnalysis[Severidad media],0,0)</f>
        <v>2.6666666666666665</v>
      </c>
      <c r="X267" s="42">
        <f>Table8[[#This Row],[Severidad media]]*6</f>
        <v>16</v>
      </c>
      <c r="Y267" s="6" cm="1">
        <f t="array" ref="Y267">_xlfn.XLOOKUP(Table8[[#This Row],[Admin2PCODE]],tblPiNAnalysis[Admin2PCODE],tblPiNAnalysis[% PiN Sectores más altos],0,0)</f>
        <v>0.36499999999999999</v>
      </c>
      <c r="Z267" s="42" cm="1">
        <f t="array" ref="Z267">_xlfn.XLOOKUP(Table8[[#This Row],[Admin2PCODE]:[Admin2PCODE]],tblPiNAnalysis[[Admin2PCODE]:[Admin2PCODE]],tblPiNAnalysis[Severidad],0,0)</f>
        <v>2</v>
      </c>
      <c r="AA267">
        <f>_xlfn.XLOOKUP(Table8[[#This Row],[Admin2PCODE]],tblSeverityAnalysis[Admin 2 Código P],tblSeverityAnalysis[Severidad Ttotal 2025],0,0)</f>
        <v>3</v>
      </c>
      <c r="AB267" t="str">
        <f>_xlfn.XLOOKUP(Table8[[#This Row],[Admin2PCODE]],tblSeverityAnalysis[Admin 2 Código P],tblSeverityAnalysis[Priorización Final 2025],0,0)</f>
        <v>No</v>
      </c>
      <c r="AC267">
        <v>3</v>
      </c>
      <c r="AD267" t="s">
        <v>1100</v>
      </c>
      <c r="AE267">
        <v>3</v>
      </c>
      <c r="AF267">
        <v>0</v>
      </c>
      <c r="AG267">
        <v>2</v>
      </c>
      <c r="AH267">
        <v>0</v>
      </c>
      <c r="AI267">
        <v>2</v>
      </c>
      <c r="AJ267">
        <v>2</v>
      </c>
      <c r="AK267">
        <v>0</v>
      </c>
      <c r="AL267">
        <v>0</v>
      </c>
      <c r="AM267">
        <v>0</v>
      </c>
      <c r="AN267">
        <v>0</v>
      </c>
      <c r="AO267" s="314">
        <f>Table8[[#This Row],[N° Clústeres con respuesta]]/Table8[[#This Row],[Org Total]]</f>
        <v>1</v>
      </c>
      <c r="AP267" s="313">
        <v>1354</v>
      </c>
      <c r="AQ267" s="313">
        <v>360</v>
      </c>
      <c r="AR267" s="312">
        <f>Table8[[#This Row],[Alcanzados Oct 2025]]/Table8[[#This Row],[Meta 2025]]</f>
        <v>0.26587887740029542</v>
      </c>
      <c r="AS267" s="423">
        <v>0</v>
      </c>
      <c r="AT267" s="423">
        <v>37</v>
      </c>
      <c r="AU267" s="423">
        <v>0</v>
      </c>
      <c r="AV267" s="423">
        <v>298</v>
      </c>
      <c r="AW267" s="423">
        <v>232</v>
      </c>
      <c r="AX267" s="423">
        <v>0</v>
      </c>
      <c r="AY267" s="423">
        <v>0</v>
      </c>
      <c r="AZ267" s="423">
        <v>0</v>
      </c>
      <c r="BA267" s="42">
        <v>0</v>
      </c>
    </row>
    <row r="268" spans="1:53">
      <c r="A268" t="s">
        <v>589</v>
      </c>
      <c r="B268" t="s">
        <v>590</v>
      </c>
      <c r="C268" t="s">
        <v>628</v>
      </c>
      <c r="D268" t="s">
        <v>629</v>
      </c>
      <c r="E268" s="8">
        <v>18316</v>
      </c>
      <c r="F268" s="8">
        <v>6869</v>
      </c>
      <c r="G268" s="8">
        <v>541.97979722789773</v>
      </c>
      <c r="H268" s="8">
        <v>6685.34</v>
      </c>
      <c r="I268" s="8">
        <v>1230.2589417867293</v>
      </c>
      <c r="J268" s="8">
        <v>3666.4087926650827</v>
      </c>
      <c r="K268" s="8">
        <v>0</v>
      </c>
      <c r="L268" s="8">
        <v>1173.2508136528265</v>
      </c>
      <c r="M268" s="8">
        <v>1283.243077432779</v>
      </c>
      <c r="N268" s="6" cm="1">
        <f t="array" ref="N268">_xlfn.XLOOKUP(Table8[[#This Row],[Admin2PCODE]:[Admin2PCODE]],tblPiNAnalysis[[Admin2PCODE]:[Admin2PCODE]],tblPiNAnalysis[% SAMV],0,0)</f>
        <v>0.4</v>
      </c>
      <c r="O268" s="6" cm="1">
        <f t="array" ref="O268">_xlfn.XLOOKUP(Table8[[#This Row],[Admin2PCODE]:[Admin2PCODE]],tblPiNAnalysis[[Admin2PCODE]:[Admin2PCODE]],tblPiNAnalysis[% NUT],0,0)</f>
        <v>0.05</v>
      </c>
      <c r="P268" s="6" cm="1">
        <f t="array" ref="P268">_xlfn.XLOOKUP(Table8[[#This Row],[Admin2PCODE]:[Admin2PCODE]],tblPiNAnalysis[[Admin2PCODE]:[Admin2PCODE]],tblPiNAnalysis[% SAL],0,0)</f>
        <v>0.35000000000000003</v>
      </c>
      <c r="Q268" s="6" cm="1">
        <f t="array" ref="Q268">_xlfn.XLOOKUP(Table8[[#This Row],[Admin2PCODE]:[Admin2PCODE]],tblPiNAnalysis[[Admin2PCODE]:[Admin2PCODE]],tblPiNAnalysis[% EDU],0,0)</f>
        <v>0.05</v>
      </c>
      <c r="R268" s="6" cm="1">
        <f t="array" ref="R268">_xlfn.XLOOKUP(Table8[[#This Row],[Admin2PCODE]:[Admin2PCODE]],tblPiNAnalysis[[Admin2PCODE]:[Admin2PCODE]],tblPiNAnalysis[% PRO],0,0)</f>
        <v>0.2</v>
      </c>
      <c r="S268" s="6" cm="1">
        <f t="array" ref="S268">_xlfn.XLOOKUP(Table8[[#This Row],[Admin2PCODE]:[Admin2PCODE]],tblPiNAnalysis[[Admin2PCODE]:[Admin2PCODE]],tblPiNAnalysis[% WASH],0,0)</f>
        <v>0</v>
      </c>
      <c r="T268" s="6" cm="1">
        <f t="array" ref="T268">_xlfn.XLOOKUP(Table8[[#This Row],[Admin2PCODE]:[Admin2PCODE]],tblPiNAnalysis[[Admin2PCODE]:[Admin2PCODE]],tblPiNAnalysis[% NNA],0,0)</f>
        <v>0.05</v>
      </c>
      <c r="U268" s="6" cm="1">
        <f t="array" ref="U268">_xlfn.XLOOKUP(Table8[[#This Row],[Admin2PCODE]:[Admin2PCODE]],tblPiNAnalysis[[Admin2PCODE]:[Admin2PCODE]],tblPiNAnalysis[% VBG],0,0)</f>
        <v>0.05</v>
      </c>
      <c r="V268" s="8" cm="1">
        <f t="array" ref="V268">_xlfn.XLOOKUP(Table8[[#This Row],[Admin2PCODE]:[Admin2PCODE]],tblPiNAnalysis[[Admin2PCODE]:[Admin2PCODE]],tblPiNAnalysis[PiN preliminar],0,0)</f>
        <v>6869</v>
      </c>
      <c r="W268" s="308" cm="1">
        <f t="array" ref="W268">_xlfn.XLOOKUP(Table8[[#This Row],[Admin2PCODE]],tblPiNAnalysis[Admin2PCODE],tblSeverityAnalysis[Severidad media],0,0)</f>
        <v>2.6666666666666665</v>
      </c>
      <c r="X268" s="42">
        <f>Table8[[#This Row],[Severidad media]]*6</f>
        <v>16</v>
      </c>
      <c r="Y268" s="6" cm="1">
        <f t="array" ref="Y268">_xlfn.XLOOKUP(Table8[[#This Row],[Admin2PCODE]],tblPiNAnalysis[Admin2PCODE],tblPiNAnalysis[% PiN Sectores más altos],0,0)</f>
        <v>0.37502729853679845</v>
      </c>
      <c r="Z268" s="42" cm="1">
        <f t="array" ref="Z268">_xlfn.XLOOKUP(Table8[[#This Row],[Admin2PCODE]:[Admin2PCODE]],tblPiNAnalysis[[Admin2PCODE]:[Admin2PCODE]],tblPiNAnalysis[Severidad],0,0)</f>
        <v>3</v>
      </c>
      <c r="AA268">
        <f>_xlfn.XLOOKUP(Table8[[#This Row],[Admin2PCODE]],tblSeverityAnalysis[Admin 2 Código P],tblSeverityAnalysis[Severidad Ttotal 2025],0,0)</f>
        <v>3</v>
      </c>
      <c r="AB268" t="str">
        <f>_xlfn.XLOOKUP(Table8[[#This Row],[Admin2PCODE]],tblSeverityAnalysis[Admin 2 Código P],tblSeverityAnalysis[Priorización Final 2025],0,0)</f>
        <v>No</v>
      </c>
      <c r="AC268">
        <v>3</v>
      </c>
      <c r="AD268" t="s">
        <v>1101</v>
      </c>
      <c r="AE268">
        <v>2</v>
      </c>
      <c r="AF268">
        <v>1</v>
      </c>
      <c r="AG268">
        <v>0</v>
      </c>
      <c r="AH268">
        <v>0</v>
      </c>
      <c r="AI268">
        <v>0</v>
      </c>
      <c r="AJ268">
        <v>2</v>
      </c>
      <c r="AK268">
        <v>2</v>
      </c>
      <c r="AL268">
        <v>0</v>
      </c>
      <c r="AM268">
        <v>0</v>
      </c>
      <c r="AN268">
        <v>0</v>
      </c>
      <c r="AO268" s="314">
        <f>Table8[[#This Row],[N° Clústeres con respuesta]]/Table8[[#This Row],[Org Total]]</f>
        <v>1.5</v>
      </c>
      <c r="AP268" s="313">
        <v>4276</v>
      </c>
      <c r="AQ268" s="313">
        <v>30</v>
      </c>
      <c r="AR268" s="312">
        <f>Table8[[#This Row],[Alcanzados Oct 2025]]/Table8[[#This Row],[Meta 2025]]</f>
        <v>7.0159027128157154E-3</v>
      </c>
      <c r="AS268" s="423">
        <v>2</v>
      </c>
      <c r="AT268" s="423">
        <v>0</v>
      </c>
      <c r="AU268" s="423">
        <v>0</v>
      </c>
      <c r="AV268" s="423">
        <v>0</v>
      </c>
      <c r="AW268" s="423">
        <v>9</v>
      </c>
      <c r="AX268" s="423">
        <v>26</v>
      </c>
      <c r="AY268" s="423">
        <v>0</v>
      </c>
      <c r="AZ268" s="423">
        <v>0</v>
      </c>
      <c r="BA268" s="42">
        <v>0</v>
      </c>
    </row>
    <row r="269" spans="1:53">
      <c r="A269" t="s">
        <v>589</v>
      </c>
      <c r="B269" t="s">
        <v>590</v>
      </c>
      <c r="C269" t="s">
        <v>630</v>
      </c>
      <c r="D269" t="s">
        <v>631</v>
      </c>
      <c r="E269" s="8">
        <v>269720</v>
      </c>
      <c r="F269" s="8">
        <v>54165</v>
      </c>
      <c r="G269" s="8">
        <v>21209.378874243779</v>
      </c>
      <c r="H269" s="8">
        <v>98447.8</v>
      </c>
      <c r="I269" s="8">
        <v>35479.946217767319</v>
      </c>
      <c r="J269" s="8">
        <v>53991.252432715999</v>
      </c>
      <c r="K269" s="8">
        <v>0</v>
      </c>
      <c r="L269" s="8">
        <v>17277.20077846912</v>
      </c>
      <c r="M269" s="8">
        <v>18896.938351450597</v>
      </c>
      <c r="N269" s="6" cm="1">
        <f t="array" ref="N269">_xlfn.XLOOKUP(Table8[[#This Row],[Admin2PCODE]:[Admin2PCODE]],tblPiNAnalysis[[Admin2PCODE]:[Admin2PCODE]],tblPiNAnalysis[% SAMV],0,0)</f>
        <v>0.2</v>
      </c>
      <c r="O269" s="6" cm="1">
        <f t="array" ref="O269">_xlfn.XLOOKUP(Table8[[#This Row],[Admin2PCODE]:[Admin2PCODE]],tblPiNAnalysis[[Admin2PCODE]:[Admin2PCODE]],tblPiNAnalysis[% NUT],0,0)</f>
        <v>0.1</v>
      </c>
      <c r="P269" s="6" cm="1">
        <f t="array" ref="P269">_xlfn.XLOOKUP(Table8[[#This Row],[Admin2PCODE]:[Admin2PCODE]],tblPiNAnalysis[[Admin2PCODE]:[Admin2PCODE]],tblPiNAnalysis[% SAL],0,0)</f>
        <v>0.35000000000000003</v>
      </c>
      <c r="Q269" s="6" cm="1">
        <f t="array" ref="Q269">_xlfn.XLOOKUP(Table8[[#This Row],[Admin2PCODE]:[Admin2PCODE]],tblPiNAnalysis[[Admin2PCODE]:[Admin2PCODE]],tblPiNAnalysis[% EDU],0,0)</f>
        <v>0.15000000000000002</v>
      </c>
      <c r="R269" s="6" cm="1">
        <f t="array" ref="R269">_xlfn.XLOOKUP(Table8[[#This Row],[Admin2PCODE]:[Admin2PCODE]],tblPiNAnalysis[[Admin2PCODE]:[Admin2PCODE]],tblPiNAnalysis[% PRO],0,0)</f>
        <v>0.2</v>
      </c>
      <c r="S269" s="6" cm="1">
        <f t="array" ref="S269">_xlfn.XLOOKUP(Table8[[#This Row],[Admin2PCODE]:[Admin2PCODE]],tblPiNAnalysis[[Admin2PCODE]:[Admin2PCODE]],tblPiNAnalysis[% WASH],0,0)</f>
        <v>0</v>
      </c>
      <c r="T269" s="6" cm="1">
        <f t="array" ref="T269">_xlfn.XLOOKUP(Table8[[#This Row],[Admin2PCODE]:[Admin2PCODE]],tblPiNAnalysis[[Admin2PCODE]:[Admin2PCODE]],tblPiNAnalysis[% NNA],0,0)</f>
        <v>0.05</v>
      </c>
      <c r="U269" s="6" cm="1">
        <f t="array" ref="U269">_xlfn.XLOOKUP(Table8[[#This Row],[Admin2PCODE]:[Admin2PCODE]],tblPiNAnalysis[[Admin2PCODE]:[Admin2PCODE]],tblPiNAnalysis[% VBG],0,0)</f>
        <v>0.05</v>
      </c>
      <c r="V269" s="8" cm="1">
        <f t="array" ref="V269">_xlfn.XLOOKUP(Table8[[#This Row],[Admin2PCODE]:[Admin2PCODE]],tblPiNAnalysis[[Admin2PCODE]:[Admin2PCODE]],tblPiNAnalysis[PiN preliminar],0,0)</f>
        <v>98447.8</v>
      </c>
      <c r="W269" s="308" cm="1">
        <f t="array" ref="W269">_xlfn.XLOOKUP(Table8[[#This Row],[Admin2PCODE]],tblPiNAnalysis[Admin2PCODE],tblSeverityAnalysis[Severidad media],0,0)</f>
        <v>2.3333333333333335</v>
      </c>
      <c r="X269" s="42">
        <f>Table8[[#This Row],[Severidad media]]*6</f>
        <v>14</v>
      </c>
      <c r="Y269" s="6" cm="1">
        <f t="array" ref="Y269">_xlfn.XLOOKUP(Table8[[#This Row],[Admin2PCODE]],tblPiNAnalysis[Admin2PCODE],tblPiNAnalysis[% PiN Sectores más altos],0,0)</f>
        <v>0.36499999999999999</v>
      </c>
      <c r="Z269" s="42" cm="1">
        <f t="array" ref="Z269">_xlfn.XLOOKUP(Table8[[#This Row],[Admin2PCODE]:[Admin2PCODE]],tblPiNAnalysis[[Admin2PCODE]:[Admin2PCODE]],tblPiNAnalysis[Severidad],0,0)</f>
        <v>3</v>
      </c>
      <c r="AA269">
        <f>_xlfn.XLOOKUP(Table8[[#This Row],[Admin2PCODE]],tblSeverityAnalysis[Admin 2 Código P],tblSeverityAnalysis[Severidad Ttotal 2025],0,0)</f>
        <v>3</v>
      </c>
      <c r="AB269" t="str">
        <f>_xlfn.XLOOKUP(Table8[[#This Row],[Admin2PCODE]],tblSeverityAnalysis[Admin 2 Código P],tblSeverityAnalysis[Priorización Final 2025],0,0)</f>
        <v>No</v>
      </c>
      <c r="AC269">
        <v>8</v>
      </c>
      <c r="AD269" t="s">
        <v>1102</v>
      </c>
      <c r="AE269">
        <v>24</v>
      </c>
      <c r="AF269">
        <v>3</v>
      </c>
      <c r="AG269">
        <v>9</v>
      </c>
      <c r="AH269">
        <v>0</v>
      </c>
      <c r="AI269">
        <v>3</v>
      </c>
      <c r="AJ269">
        <v>15</v>
      </c>
      <c r="AK269">
        <v>9</v>
      </c>
      <c r="AL269">
        <v>9</v>
      </c>
      <c r="AM269">
        <v>13</v>
      </c>
      <c r="AN269">
        <v>4</v>
      </c>
      <c r="AO269" s="314">
        <f>Table8[[#This Row],[N° Clústeres con respuesta]]/Table8[[#This Row],[Org Total]]</f>
        <v>0.33333333333333331</v>
      </c>
      <c r="AP269" s="313">
        <v>44312</v>
      </c>
      <c r="AQ269" s="313">
        <v>28977</v>
      </c>
      <c r="AR269" s="312">
        <f>Table8[[#This Row],[Alcanzados Oct 2025]]/Table8[[#This Row],[Meta 2025]]</f>
        <v>0.6539312150207619</v>
      </c>
      <c r="AS269" s="423">
        <v>2421</v>
      </c>
      <c r="AT269" s="423">
        <v>3855</v>
      </c>
      <c r="AU269" s="423">
        <v>0</v>
      </c>
      <c r="AV269" s="423">
        <v>3320</v>
      </c>
      <c r="AW269" s="423">
        <v>4175</v>
      </c>
      <c r="AX269" s="423">
        <v>15288</v>
      </c>
      <c r="AY269" s="423">
        <v>633</v>
      </c>
      <c r="AZ269" s="423">
        <v>15121</v>
      </c>
      <c r="BA269" s="42">
        <v>28311</v>
      </c>
    </row>
    <row r="270" spans="1:53">
      <c r="A270" t="s">
        <v>589</v>
      </c>
      <c r="B270" t="s">
        <v>590</v>
      </c>
      <c r="C270" t="s">
        <v>632</v>
      </c>
      <c r="D270" t="s">
        <v>633</v>
      </c>
      <c r="E270" s="8">
        <v>10470</v>
      </c>
      <c r="F270" s="8">
        <v>3839</v>
      </c>
      <c r="G270" s="8">
        <v>345.52603913440515</v>
      </c>
      <c r="H270" s="8">
        <v>3821.55</v>
      </c>
      <c r="I270" s="8">
        <v>994.09074375115142</v>
      </c>
      <c r="J270" s="8">
        <v>1257.500547910136</v>
      </c>
      <c r="K270" s="8">
        <v>0</v>
      </c>
      <c r="L270" s="8">
        <v>403.65767587915366</v>
      </c>
      <c r="M270" s="8">
        <v>440.1251917685475</v>
      </c>
      <c r="N270" s="6" cm="1">
        <f t="array" ref="N270">_xlfn.XLOOKUP(Table8[[#This Row],[Admin2PCODE]:[Admin2PCODE]],tblPiNAnalysis[[Admin2PCODE]:[Admin2PCODE]],tblPiNAnalysis[% SAMV],0,0)</f>
        <v>0.35000000000000003</v>
      </c>
      <c r="O270" s="6" cm="1">
        <f t="array" ref="O270">_xlfn.XLOOKUP(Table8[[#This Row],[Admin2PCODE]:[Admin2PCODE]],tblPiNAnalysis[[Admin2PCODE]:[Admin2PCODE]],tblPiNAnalysis[% NUT],0,0)</f>
        <v>0.05</v>
      </c>
      <c r="P270" s="6" cm="1">
        <f t="array" ref="P270">_xlfn.XLOOKUP(Table8[[#This Row],[Admin2PCODE]:[Admin2PCODE]],tblPiNAnalysis[[Admin2PCODE]:[Admin2PCODE]],tblPiNAnalysis[% SAL],0,0)</f>
        <v>0.35000000000000003</v>
      </c>
      <c r="Q270" s="6" cm="1">
        <f t="array" ref="Q270">_xlfn.XLOOKUP(Table8[[#This Row],[Admin2PCODE]:[Admin2PCODE]],tblPiNAnalysis[[Admin2PCODE]:[Admin2PCODE]],tblPiNAnalysis[% EDU],0,0)</f>
        <v>0.1</v>
      </c>
      <c r="R270" s="6" cm="1">
        <f t="array" ref="R270">_xlfn.XLOOKUP(Table8[[#This Row],[Admin2PCODE]:[Admin2PCODE]],tblPiNAnalysis[[Admin2PCODE]:[Admin2PCODE]],tblPiNAnalysis[% PRO],0,0)</f>
        <v>0.1</v>
      </c>
      <c r="S270" s="6" cm="1">
        <f t="array" ref="S270">_xlfn.XLOOKUP(Table8[[#This Row],[Admin2PCODE]:[Admin2PCODE]],tblPiNAnalysis[[Admin2PCODE]:[Admin2PCODE]],tblPiNAnalysis[% WASH],0,0)</f>
        <v>0</v>
      </c>
      <c r="T270" s="6" cm="1">
        <f t="array" ref="T270">_xlfn.XLOOKUP(Table8[[#This Row],[Admin2PCODE]:[Admin2PCODE]],tblPiNAnalysis[[Admin2PCODE]:[Admin2PCODE]],tblPiNAnalysis[% NNA],0,0)</f>
        <v>0.05</v>
      </c>
      <c r="U270" s="6" cm="1">
        <f t="array" ref="U270">_xlfn.XLOOKUP(Table8[[#This Row],[Admin2PCODE]:[Admin2PCODE]],tblPiNAnalysis[[Admin2PCODE]:[Admin2PCODE]],tblPiNAnalysis[% VBG],0,0)</f>
        <v>0.05</v>
      </c>
      <c r="V270" s="8" cm="1">
        <f t="array" ref="V270">_xlfn.XLOOKUP(Table8[[#This Row],[Admin2PCODE]:[Admin2PCODE]],tblPiNAnalysis[[Admin2PCODE]:[Admin2PCODE]],tblPiNAnalysis[PiN preliminar],0,0)</f>
        <v>0</v>
      </c>
      <c r="W270" s="308" cm="1">
        <f t="array" ref="W270">_xlfn.XLOOKUP(Table8[[#This Row],[Admin2PCODE]],tblPiNAnalysis[Admin2PCODE],tblSeverityAnalysis[Severidad media],0,0)</f>
        <v>3.1666666666666665</v>
      </c>
      <c r="X270" s="42">
        <f>Table8[[#This Row],[Severidad media]]*6</f>
        <v>19</v>
      </c>
      <c r="Y270" s="6" cm="1">
        <f t="array" ref="Y270">_xlfn.XLOOKUP(Table8[[#This Row],[Admin2PCODE]],tblPiNAnalysis[Admin2PCODE],tblPiNAnalysis[% PiN Sectores más altos],0,0)</f>
        <v>0.36666666666666664</v>
      </c>
      <c r="Z270" s="42" cm="1">
        <f t="array" ref="Z270">_xlfn.XLOOKUP(Table8[[#This Row],[Admin2PCODE]:[Admin2PCODE]],tblPiNAnalysis[[Admin2PCODE]:[Admin2PCODE]],tblPiNAnalysis[Severidad],0,0)</f>
        <v>2</v>
      </c>
      <c r="AA270">
        <f>_xlfn.XLOOKUP(Table8[[#This Row],[Admin2PCODE]],tblSeverityAnalysis[Admin 2 Código P],tblSeverityAnalysis[Severidad Ttotal 2025],0,0)</f>
        <v>3</v>
      </c>
      <c r="AB270" t="str">
        <f>_xlfn.XLOOKUP(Table8[[#This Row],[Admin2PCODE]],tblSeverityAnalysis[Admin 2 Código P],tblSeverityAnalysis[Priorización Final 2025],0,0)</f>
        <v>No</v>
      </c>
      <c r="AC270">
        <v>0</v>
      </c>
      <c r="AD270">
        <v>0</v>
      </c>
      <c r="AE270">
        <v>0</v>
      </c>
      <c r="AF270">
        <v>0</v>
      </c>
      <c r="AG270">
        <v>0</v>
      </c>
      <c r="AH270">
        <v>0</v>
      </c>
      <c r="AI270">
        <v>0</v>
      </c>
      <c r="AJ270">
        <v>0</v>
      </c>
      <c r="AK270">
        <v>0</v>
      </c>
      <c r="AL270">
        <v>0</v>
      </c>
      <c r="AM270">
        <v>0</v>
      </c>
      <c r="AN270">
        <v>0</v>
      </c>
      <c r="AO270" s="314" t="e">
        <f>Table8[[#This Row],[N° Clústeres con respuesta]]/Table8[[#This Row],[Org Total]]</f>
        <v>#DIV/0!</v>
      </c>
      <c r="AP270" s="313">
        <v>2445</v>
      </c>
      <c r="AQ270" s="313">
        <v>0</v>
      </c>
      <c r="AR270" s="312">
        <f>Table8[[#This Row],[Alcanzados Oct 2025]]/Table8[[#This Row],[Meta 2025]]</f>
        <v>0</v>
      </c>
      <c r="AS270" s="423">
        <v>0</v>
      </c>
      <c r="AT270" s="423">
        <v>0</v>
      </c>
      <c r="AU270" s="423">
        <v>0</v>
      </c>
      <c r="AV270" s="423">
        <v>0</v>
      </c>
      <c r="AW270" s="423">
        <v>0</v>
      </c>
      <c r="AX270" s="423">
        <v>0</v>
      </c>
      <c r="AY270" s="423">
        <v>0</v>
      </c>
      <c r="AZ270" s="423">
        <v>0</v>
      </c>
      <c r="BA270" s="42">
        <v>0</v>
      </c>
    </row>
    <row r="271" spans="1:53">
      <c r="A271" t="s">
        <v>589</v>
      </c>
      <c r="B271" t="s">
        <v>590</v>
      </c>
      <c r="C271" t="s">
        <v>157</v>
      </c>
      <c r="D271" t="s">
        <v>634</v>
      </c>
      <c r="E271" s="8">
        <v>2498</v>
      </c>
      <c r="F271" s="8">
        <v>416</v>
      </c>
      <c r="G271" s="8">
        <v>105.62325593337326</v>
      </c>
      <c r="H271" s="8">
        <v>1415.5263157894738</v>
      </c>
      <c r="I271" s="8">
        <v>202.30879295016928</v>
      </c>
      <c r="J271" s="8">
        <v>300.02257580511184</v>
      </c>
      <c r="K271" s="8">
        <v>0</v>
      </c>
      <c r="L271" s="8">
        <v>96.3072468334409</v>
      </c>
      <c r="M271" s="8">
        <v>105.00790153178914</v>
      </c>
      <c r="N271" s="6" cm="1">
        <f t="array" ref="N271">_xlfn.XLOOKUP(Table8[[#This Row],[Admin2PCODE]:[Admin2PCODE]],tblPiNAnalysis[[Admin2PCODE]:[Admin2PCODE]],tblPiNAnalysis[% SAMV],0,0)</f>
        <v>0.15000000000000002</v>
      </c>
      <c r="O271" s="6" cm="1">
        <f t="array" ref="O271">_xlfn.XLOOKUP(Table8[[#This Row],[Admin2PCODE]:[Admin2PCODE]],tblPiNAnalysis[[Admin2PCODE]:[Admin2PCODE]],tblPiNAnalysis[% NUT],0,0)</f>
        <v>0.05</v>
      </c>
      <c r="P271" s="6" cm="1">
        <f t="array" ref="P271">_xlfn.XLOOKUP(Table8[[#This Row],[Admin2PCODE]:[Admin2PCODE]],tblPiNAnalysis[[Admin2PCODE]:[Admin2PCODE]],tblPiNAnalysis[% SAL],0,0)</f>
        <v>0.55000000000000004</v>
      </c>
      <c r="Q271" s="6" cm="1">
        <f t="array" ref="Q271">_xlfn.XLOOKUP(Table8[[#This Row],[Admin2PCODE]:[Admin2PCODE]],tblPiNAnalysis[[Admin2PCODE]:[Admin2PCODE]],tblPiNAnalysis[% EDU],0,0)</f>
        <v>0.1</v>
      </c>
      <c r="R271" s="6" cm="1">
        <f t="array" ref="R271">_xlfn.XLOOKUP(Table8[[#This Row],[Admin2PCODE]:[Admin2PCODE]],tblPiNAnalysis[[Admin2PCODE]:[Admin2PCODE]],tblPiNAnalysis[% PRO],0,0)</f>
        <v>0.1</v>
      </c>
      <c r="S271" s="6" cm="1">
        <f t="array" ref="S271">_xlfn.XLOOKUP(Table8[[#This Row],[Admin2PCODE]:[Admin2PCODE]],tblPiNAnalysis[[Admin2PCODE]:[Admin2PCODE]],tblPiNAnalysis[% WASH],0,0)</f>
        <v>0</v>
      </c>
      <c r="T271" s="6" cm="1">
        <f t="array" ref="T271">_xlfn.XLOOKUP(Table8[[#This Row],[Admin2PCODE]:[Admin2PCODE]],tblPiNAnalysis[[Admin2PCODE]:[Admin2PCODE]],tblPiNAnalysis[% NNA],0,0)</f>
        <v>0.05</v>
      </c>
      <c r="U271" s="6" cm="1">
        <f t="array" ref="U271">_xlfn.XLOOKUP(Table8[[#This Row],[Admin2PCODE]:[Admin2PCODE]],tblPiNAnalysis[[Admin2PCODE]:[Admin2PCODE]],tblPiNAnalysis[% VBG],0,0)</f>
        <v>0.05</v>
      </c>
      <c r="V271" s="8" cm="1">
        <f t="array" ref="V271">_xlfn.XLOOKUP(Table8[[#This Row],[Admin2PCODE]:[Admin2PCODE]],tblPiNAnalysis[[Admin2PCODE]:[Admin2PCODE]],tblPiNAnalysis[PiN preliminar],0,0)</f>
        <v>0</v>
      </c>
      <c r="W271" s="308" cm="1">
        <f t="array" ref="W271">_xlfn.XLOOKUP(Table8[[#This Row],[Admin2PCODE]],tblPiNAnalysis[Admin2PCODE],tblSeverityAnalysis[Severidad media],0,0)</f>
        <v>2.6666666666666665</v>
      </c>
      <c r="X271" s="42">
        <f>Table8[[#This Row],[Severidad media]]*6</f>
        <v>16</v>
      </c>
      <c r="Y271" s="6" cm="1">
        <f t="array" ref="Y271">_xlfn.XLOOKUP(Table8[[#This Row],[Admin2PCODE]],tblPiNAnalysis[Admin2PCODE],tblPiNAnalysis[% PiN Sectores más altos],0,0)</f>
        <v>0.56666385740171088</v>
      </c>
      <c r="Z271" s="42" cm="1">
        <f t="array" ref="Z271">_xlfn.XLOOKUP(Table8[[#This Row],[Admin2PCODE]:[Admin2PCODE]],tblPiNAnalysis[[Admin2PCODE]:[Admin2PCODE]],tblPiNAnalysis[Severidad],0,0)</f>
        <v>2</v>
      </c>
      <c r="AA271">
        <f>_xlfn.XLOOKUP(Table8[[#This Row],[Admin2PCODE]],tblSeverityAnalysis[Admin 2 Código P],tblSeverityAnalysis[Severidad Ttotal 2025],0,0)</f>
        <v>3</v>
      </c>
      <c r="AB271" t="str">
        <f>_xlfn.XLOOKUP(Table8[[#This Row],[Admin2PCODE]],tblSeverityAnalysis[Admin 2 Código P],tblSeverityAnalysis[Priorización Final 2025],0,0)</f>
        <v>No</v>
      </c>
      <c r="AC271">
        <v>0</v>
      </c>
      <c r="AD271">
        <v>0</v>
      </c>
      <c r="AE271">
        <v>0</v>
      </c>
      <c r="AF271">
        <v>0</v>
      </c>
      <c r="AG271">
        <v>0</v>
      </c>
      <c r="AH271">
        <v>0</v>
      </c>
      <c r="AI271">
        <v>0</v>
      </c>
      <c r="AJ271">
        <v>0</v>
      </c>
      <c r="AK271">
        <v>0</v>
      </c>
      <c r="AL271">
        <v>0</v>
      </c>
      <c r="AM271">
        <v>0</v>
      </c>
      <c r="AN271">
        <v>0</v>
      </c>
      <c r="AO271" s="314" t="e">
        <f>Table8[[#This Row],[N° Clústeres con respuesta]]/Table8[[#This Row],[Org Total]]</f>
        <v>#DIV/0!</v>
      </c>
      <c r="AP271" s="313">
        <v>561</v>
      </c>
      <c r="AQ271" s="313">
        <v>0</v>
      </c>
      <c r="AR271" s="312">
        <f>Table8[[#This Row],[Alcanzados Oct 2025]]/Table8[[#This Row],[Meta 2025]]</f>
        <v>0</v>
      </c>
      <c r="AS271" s="423">
        <v>0</v>
      </c>
      <c r="AT271" s="423">
        <v>0</v>
      </c>
      <c r="AU271" s="423">
        <v>0</v>
      </c>
      <c r="AV271" s="423">
        <v>0</v>
      </c>
      <c r="AW271" s="423">
        <v>0</v>
      </c>
      <c r="AX271" s="423">
        <v>0</v>
      </c>
      <c r="AY271" s="423">
        <v>0</v>
      </c>
      <c r="AZ271" s="423">
        <v>0</v>
      </c>
      <c r="BA271" s="42">
        <v>0</v>
      </c>
    </row>
    <row r="272" spans="1:53">
      <c r="A272" t="s">
        <v>589</v>
      </c>
      <c r="B272" t="s">
        <v>590</v>
      </c>
      <c r="C272" t="s">
        <v>203</v>
      </c>
      <c r="D272" t="s">
        <v>635</v>
      </c>
      <c r="E272" s="8">
        <v>7480</v>
      </c>
      <c r="F272" s="8">
        <v>623</v>
      </c>
      <c r="G272" s="8">
        <v>252.1395101639344</v>
      </c>
      <c r="H272" s="8">
        <v>2883.6363636363635</v>
      </c>
      <c r="I272" s="8">
        <v>671.37460056665236</v>
      </c>
      <c r="J272" s="8">
        <v>898.38625581354472</v>
      </c>
      <c r="K272" s="8">
        <v>0</v>
      </c>
      <c r="L272" s="8">
        <v>287.48360186033426</v>
      </c>
      <c r="M272" s="8">
        <v>314.43518953474063</v>
      </c>
      <c r="N272" s="6" cm="1">
        <f t="array" ref="N272">_xlfn.XLOOKUP(Table8[[#This Row],[Admin2PCODE]:[Admin2PCODE]],tblPiNAnalysis[[Admin2PCODE]:[Admin2PCODE]],tblPiNAnalysis[% SAMV],0,0)</f>
        <v>0.1</v>
      </c>
      <c r="O272" s="6" cm="1">
        <f t="array" ref="O272">_xlfn.XLOOKUP(Table8[[#This Row],[Admin2PCODE]:[Admin2PCODE]],tblPiNAnalysis[[Admin2PCODE]:[Admin2PCODE]],tblPiNAnalysis[% NUT],0,0)</f>
        <v>0.05</v>
      </c>
      <c r="P272" s="6" cm="1">
        <f t="array" ref="P272">_xlfn.XLOOKUP(Table8[[#This Row],[Admin2PCODE]:[Admin2PCODE]],tblPiNAnalysis[[Admin2PCODE]:[Admin2PCODE]],tblPiNAnalysis[% SAL],0,0)</f>
        <v>0.4</v>
      </c>
      <c r="Q272" s="6" cm="1">
        <f t="array" ref="Q272">_xlfn.XLOOKUP(Table8[[#This Row],[Admin2PCODE]:[Admin2PCODE]],tblPiNAnalysis[[Admin2PCODE]:[Admin2PCODE]],tblPiNAnalysis[% EDU],0,0)</f>
        <v>0.1</v>
      </c>
      <c r="R272" s="6" cm="1">
        <f t="array" ref="R272">_xlfn.XLOOKUP(Table8[[#This Row],[Admin2PCODE]:[Admin2PCODE]],tblPiNAnalysis[[Admin2PCODE]:[Admin2PCODE]],tblPiNAnalysis[% PRO],0,0)</f>
        <v>0.1</v>
      </c>
      <c r="S272" s="6" cm="1">
        <f t="array" ref="S272">_xlfn.XLOOKUP(Table8[[#This Row],[Admin2PCODE]:[Admin2PCODE]],tblPiNAnalysis[[Admin2PCODE]:[Admin2PCODE]],tblPiNAnalysis[% WASH],0,0)</f>
        <v>0</v>
      </c>
      <c r="T272" s="6" cm="1">
        <f t="array" ref="T272">_xlfn.XLOOKUP(Table8[[#This Row],[Admin2PCODE]:[Admin2PCODE]],tblPiNAnalysis[[Admin2PCODE]:[Admin2PCODE]],tblPiNAnalysis[% NNA],0,0)</f>
        <v>0.05</v>
      </c>
      <c r="U272" s="6" cm="1">
        <f t="array" ref="U272">_xlfn.XLOOKUP(Table8[[#This Row],[Admin2PCODE]:[Admin2PCODE]],tblPiNAnalysis[[Admin2PCODE]:[Admin2PCODE]],tblPiNAnalysis[% VBG],0,0)</f>
        <v>0.05</v>
      </c>
      <c r="V272" s="8" cm="1">
        <f t="array" ref="V272">_xlfn.XLOOKUP(Table8[[#This Row],[Admin2PCODE]:[Admin2PCODE]],tblPiNAnalysis[[Admin2PCODE]:[Admin2PCODE]],tblPiNAnalysis[PiN preliminar],0,0)</f>
        <v>0</v>
      </c>
      <c r="W272" s="308" cm="1">
        <f t="array" ref="W272">_xlfn.XLOOKUP(Table8[[#This Row],[Admin2PCODE]],tblPiNAnalysis[Admin2PCODE],tblSeverityAnalysis[Severidad media],0,0)</f>
        <v>3.5</v>
      </c>
      <c r="X272" s="42">
        <f>Table8[[#This Row],[Severidad media]]*6</f>
        <v>21</v>
      </c>
      <c r="Y272" s="6" cm="1">
        <f t="array" ref="Y272">_xlfn.XLOOKUP(Table8[[#This Row],[Admin2PCODE]],tblPiNAnalysis[Admin2PCODE],tblPiNAnalysis[% PiN Sectores más altos],0,0)</f>
        <v>0.38551288283908602</v>
      </c>
      <c r="Z272" s="42" cm="1">
        <f t="array" ref="Z272">_xlfn.XLOOKUP(Table8[[#This Row],[Admin2PCODE]:[Admin2PCODE]],tblPiNAnalysis[[Admin2PCODE]:[Admin2PCODE]],tblPiNAnalysis[Severidad],0,0)</f>
        <v>1</v>
      </c>
      <c r="AA272">
        <f>_xlfn.XLOOKUP(Table8[[#This Row],[Admin2PCODE]],tblSeverityAnalysis[Admin 2 Código P],tblSeverityAnalysis[Severidad Ttotal 2025],0,0)</f>
        <v>3</v>
      </c>
      <c r="AB272" t="str">
        <f>_xlfn.XLOOKUP(Table8[[#This Row],[Admin2PCODE]],tblSeverityAnalysis[Admin 2 Código P],tblSeverityAnalysis[Priorización Final 2025],0,0)</f>
        <v>No</v>
      </c>
      <c r="AC272">
        <v>0</v>
      </c>
      <c r="AD272">
        <v>0</v>
      </c>
      <c r="AE272">
        <v>0</v>
      </c>
      <c r="AF272">
        <v>0</v>
      </c>
      <c r="AG272">
        <v>0</v>
      </c>
      <c r="AH272">
        <v>0</v>
      </c>
      <c r="AI272">
        <v>0</v>
      </c>
      <c r="AJ272">
        <v>0</v>
      </c>
      <c r="AK272">
        <v>0</v>
      </c>
      <c r="AL272">
        <v>0</v>
      </c>
      <c r="AM272">
        <v>0</v>
      </c>
      <c r="AN272">
        <v>0</v>
      </c>
      <c r="AO272" s="314" t="e">
        <f>Table8[[#This Row],[N° Clústeres con respuesta]]/Table8[[#This Row],[Org Total]]</f>
        <v>#DIV/0!</v>
      </c>
      <c r="AP272" s="313">
        <v>1679</v>
      </c>
      <c r="AQ272" s="313">
        <v>0</v>
      </c>
      <c r="AR272" s="312">
        <f>Table8[[#This Row],[Alcanzados Oct 2025]]/Table8[[#This Row],[Meta 2025]]</f>
        <v>0</v>
      </c>
      <c r="AS272" s="423">
        <v>0</v>
      </c>
      <c r="AT272" s="423">
        <v>0</v>
      </c>
      <c r="AU272" s="423">
        <v>0</v>
      </c>
      <c r="AV272" s="423">
        <v>0</v>
      </c>
      <c r="AW272" s="423">
        <v>0</v>
      </c>
      <c r="AX272" s="423">
        <v>0</v>
      </c>
      <c r="AY272" s="423">
        <v>0</v>
      </c>
      <c r="AZ272" s="423">
        <v>0</v>
      </c>
      <c r="BA272" s="42">
        <v>0</v>
      </c>
    </row>
    <row r="273" spans="1:53">
      <c r="A273" t="s">
        <v>589</v>
      </c>
      <c r="B273" t="s">
        <v>590</v>
      </c>
      <c r="C273" t="s">
        <v>636</v>
      </c>
      <c r="D273" t="s">
        <v>637</v>
      </c>
      <c r="E273" s="8">
        <v>50693</v>
      </c>
      <c r="F273" s="8">
        <v>9985</v>
      </c>
      <c r="G273" s="8">
        <v>3359.3773568367869</v>
      </c>
      <c r="H273" s="8">
        <v>18502.945</v>
      </c>
      <c r="I273" s="8">
        <v>7907.3921391003178</v>
      </c>
      <c r="J273" s="8">
        <v>10147.48094161231</v>
      </c>
      <c r="K273" s="8">
        <v>3421.7775000000001</v>
      </c>
      <c r="L273" s="8">
        <v>3257.3413822575512</v>
      </c>
      <c r="M273" s="8">
        <v>3551.6183295643077</v>
      </c>
      <c r="N273" s="6" cm="1">
        <f t="array" ref="N273">_xlfn.XLOOKUP(Table8[[#This Row],[Admin2PCODE]:[Admin2PCODE]],tblPiNAnalysis[[Admin2PCODE]:[Admin2PCODE]],tblPiNAnalysis[% SAMV],0,0)</f>
        <v>0.2</v>
      </c>
      <c r="O273" s="6" cm="1">
        <f t="array" ref="O273">_xlfn.XLOOKUP(Table8[[#This Row],[Admin2PCODE]:[Admin2PCODE]],tblPiNAnalysis[[Admin2PCODE]:[Admin2PCODE]],tblPiNAnalysis[% NUT],0,0)</f>
        <v>0.05</v>
      </c>
      <c r="P273" s="6" cm="1">
        <f t="array" ref="P273">_xlfn.XLOOKUP(Table8[[#This Row],[Admin2PCODE]:[Admin2PCODE]],tblPiNAnalysis[[Admin2PCODE]:[Admin2PCODE]],tblPiNAnalysis[% SAL],0,0)</f>
        <v>0.35000000000000003</v>
      </c>
      <c r="Q273" s="6" cm="1">
        <f t="array" ref="Q273">_xlfn.XLOOKUP(Table8[[#This Row],[Admin2PCODE]:[Admin2PCODE]],tblPiNAnalysis[[Admin2PCODE]:[Admin2PCODE]],tblPiNAnalysis[% EDU],0,0)</f>
        <v>0.15000000000000002</v>
      </c>
      <c r="R273" s="6" cm="1">
        <f t="array" ref="R273">_xlfn.XLOOKUP(Table8[[#This Row],[Admin2PCODE]:[Admin2PCODE]],tblPiNAnalysis[[Admin2PCODE]:[Admin2PCODE]],tblPiNAnalysis[% PRO],0,0)</f>
        <v>0.2</v>
      </c>
      <c r="S273" s="6" cm="1">
        <f t="array" ref="S273">_xlfn.XLOOKUP(Table8[[#This Row],[Admin2PCODE]:[Admin2PCODE]],tblPiNAnalysis[[Admin2PCODE]:[Admin2PCODE]],tblPiNAnalysis[% WASH],0,0)</f>
        <v>0.05</v>
      </c>
      <c r="T273" s="6" cm="1">
        <f t="array" ref="T273">_xlfn.XLOOKUP(Table8[[#This Row],[Admin2PCODE]:[Admin2PCODE]],tblPiNAnalysis[[Admin2PCODE]:[Admin2PCODE]],tblPiNAnalysis[% NNA],0,0)</f>
        <v>0.05</v>
      </c>
      <c r="U273" s="6" cm="1">
        <f t="array" ref="U273">_xlfn.XLOOKUP(Table8[[#This Row],[Admin2PCODE]:[Admin2PCODE]],tblPiNAnalysis[[Admin2PCODE]:[Admin2PCODE]],tblPiNAnalysis[% VBG],0,0)</f>
        <v>0.05</v>
      </c>
      <c r="V273" s="8" cm="1">
        <f t="array" ref="V273">_xlfn.XLOOKUP(Table8[[#This Row],[Admin2PCODE]:[Admin2PCODE]],tblPiNAnalysis[[Admin2PCODE]:[Admin2PCODE]],tblPiNAnalysis[PiN preliminar],0,0)</f>
        <v>18502.945</v>
      </c>
      <c r="W273" s="308" cm="1">
        <f t="array" ref="W273">_xlfn.XLOOKUP(Table8[[#This Row],[Admin2PCODE]],tblPiNAnalysis[Admin2PCODE],tblSeverityAnalysis[Severidad media],0,0)</f>
        <v>3.1666666666666665</v>
      </c>
      <c r="X273" s="42">
        <f>Table8[[#This Row],[Severidad media]]*6</f>
        <v>19</v>
      </c>
      <c r="Y273" s="6" cm="1">
        <f t="array" ref="Y273">_xlfn.XLOOKUP(Table8[[#This Row],[Admin2PCODE]],tblPiNAnalysis[Admin2PCODE],tblPiNAnalysis[% PiN Sectores más altos],0,0)</f>
        <v>0.36499999999999999</v>
      </c>
      <c r="Z273" s="42" cm="1">
        <f t="array" ref="Z273">_xlfn.XLOOKUP(Table8[[#This Row],[Admin2PCODE]:[Admin2PCODE]],tblPiNAnalysis[[Admin2PCODE]:[Admin2PCODE]],tblPiNAnalysis[Severidad],0,0)</f>
        <v>3</v>
      </c>
      <c r="AA273">
        <f>_xlfn.XLOOKUP(Table8[[#This Row],[Admin2PCODE]],tblSeverityAnalysis[Admin 2 Código P],tblSeverityAnalysis[Severidad Ttotal 2025],0,0)</f>
        <v>3</v>
      </c>
      <c r="AB273" t="str">
        <f>_xlfn.XLOOKUP(Table8[[#This Row],[Admin2PCODE]],tblSeverityAnalysis[Admin 2 Código P],tblSeverityAnalysis[Priorización Final 2025],0,0)</f>
        <v>No</v>
      </c>
      <c r="AC273">
        <v>9</v>
      </c>
      <c r="AD273" t="s">
        <v>1103</v>
      </c>
      <c r="AE273">
        <v>14</v>
      </c>
      <c r="AF273">
        <v>2</v>
      </c>
      <c r="AG273">
        <v>6</v>
      </c>
      <c r="AH273">
        <v>1</v>
      </c>
      <c r="AI273">
        <v>1</v>
      </c>
      <c r="AJ273">
        <v>9</v>
      </c>
      <c r="AK273">
        <v>7</v>
      </c>
      <c r="AL273">
        <v>9</v>
      </c>
      <c r="AM273">
        <v>6</v>
      </c>
      <c r="AN273">
        <v>4</v>
      </c>
      <c r="AO273" s="314">
        <f>Table8[[#This Row],[N° Clústeres con respuesta]]/Table8[[#This Row],[Org Total]]</f>
        <v>0.6428571428571429</v>
      </c>
      <c r="AP273" s="313">
        <v>8329</v>
      </c>
      <c r="AQ273" s="313">
        <v>6641</v>
      </c>
      <c r="AR273" s="312">
        <f>Table8[[#This Row],[Alcanzados Oct 2025]]/Table8[[#This Row],[Meta 2025]]</f>
        <v>0.79733461399927963</v>
      </c>
      <c r="AS273" s="423">
        <v>103</v>
      </c>
      <c r="AT273" s="423">
        <v>6010</v>
      </c>
      <c r="AU273" s="423">
        <v>230</v>
      </c>
      <c r="AV273" s="423">
        <v>910</v>
      </c>
      <c r="AW273" s="423">
        <v>4220</v>
      </c>
      <c r="AX273" s="423">
        <v>4677</v>
      </c>
      <c r="AY273" s="423">
        <v>3377</v>
      </c>
      <c r="AZ273" s="423">
        <v>1011</v>
      </c>
      <c r="BA273" s="42">
        <v>905</v>
      </c>
    </row>
    <row r="274" spans="1:53">
      <c r="A274" t="s">
        <v>589</v>
      </c>
      <c r="B274" t="s">
        <v>590</v>
      </c>
      <c r="C274" t="s">
        <v>638</v>
      </c>
      <c r="D274" t="s">
        <v>639</v>
      </c>
      <c r="E274" s="8">
        <v>20562</v>
      </c>
      <c r="F274" s="8">
        <v>343</v>
      </c>
      <c r="G274" s="8">
        <v>856.51694393951448</v>
      </c>
      <c r="H274" s="8">
        <v>7505.13</v>
      </c>
      <c r="I274" s="8">
        <v>2268.489856391257</v>
      </c>
      <c r="J274" s="8">
        <v>2469.6013625719402</v>
      </c>
      <c r="K274" s="8">
        <v>0</v>
      </c>
      <c r="L274" s="8">
        <v>790.27243602302087</v>
      </c>
      <c r="M274" s="8">
        <v>864.36047690017892</v>
      </c>
      <c r="N274" s="6" cm="1">
        <f t="array" ref="N274">_xlfn.XLOOKUP(Table8[[#This Row],[Admin2PCODE]:[Admin2PCODE]],tblPiNAnalysis[[Admin2PCODE]:[Admin2PCODE]],tblPiNAnalysis[% SAMV],0,0)</f>
        <v>0</v>
      </c>
      <c r="O274" s="6" cm="1">
        <f t="array" ref="O274">_xlfn.XLOOKUP(Table8[[#This Row],[Admin2PCODE]:[Admin2PCODE]],tblPiNAnalysis[[Admin2PCODE]:[Admin2PCODE]],tblPiNAnalysis[% NUT],0,0)</f>
        <v>0.05</v>
      </c>
      <c r="P274" s="6" cm="1">
        <f t="array" ref="P274">_xlfn.XLOOKUP(Table8[[#This Row],[Admin2PCODE]:[Admin2PCODE]],tblPiNAnalysis[[Admin2PCODE]:[Admin2PCODE]],tblPiNAnalysis[% SAL],0,0)</f>
        <v>0.35000000000000003</v>
      </c>
      <c r="Q274" s="6" cm="1">
        <f t="array" ref="Q274">_xlfn.XLOOKUP(Table8[[#This Row],[Admin2PCODE]:[Admin2PCODE]],tblPiNAnalysis[[Admin2PCODE]:[Admin2PCODE]],tblPiNAnalysis[% EDU],0,0)</f>
        <v>0.1</v>
      </c>
      <c r="R274" s="6" cm="1">
        <f t="array" ref="R274">_xlfn.XLOOKUP(Table8[[#This Row],[Admin2PCODE]:[Admin2PCODE]],tblPiNAnalysis[[Admin2PCODE]:[Admin2PCODE]],tblPiNAnalysis[% PRO],0,0)</f>
        <v>0.1</v>
      </c>
      <c r="S274" s="6" cm="1">
        <f t="array" ref="S274">_xlfn.XLOOKUP(Table8[[#This Row],[Admin2PCODE]:[Admin2PCODE]],tblPiNAnalysis[[Admin2PCODE]:[Admin2PCODE]],tblPiNAnalysis[% WASH],0,0)</f>
        <v>0</v>
      </c>
      <c r="T274" s="6" cm="1">
        <f t="array" ref="T274">_xlfn.XLOOKUP(Table8[[#This Row],[Admin2PCODE]:[Admin2PCODE]],tblPiNAnalysis[[Admin2PCODE]:[Admin2PCODE]],tblPiNAnalysis[% NNA],0,0)</f>
        <v>0.05</v>
      </c>
      <c r="U274" s="6" cm="1">
        <f t="array" ref="U274">_xlfn.XLOOKUP(Table8[[#This Row],[Admin2PCODE]:[Admin2PCODE]],tblPiNAnalysis[[Admin2PCODE]:[Admin2PCODE]],tblPiNAnalysis[% VBG],0,0)</f>
        <v>0.05</v>
      </c>
      <c r="V274" s="8" cm="1">
        <f t="array" ref="V274">_xlfn.XLOOKUP(Table8[[#This Row],[Admin2PCODE]:[Admin2PCODE]],tblPiNAnalysis[[Admin2PCODE]:[Admin2PCODE]],tblPiNAnalysis[PiN preliminar],0,0)</f>
        <v>0</v>
      </c>
      <c r="W274" s="308" cm="1">
        <f t="array" ref="W274">_xlfn.XLOOKUP(Table8[[#This Row],[Admin2PCODE]],tblPiNAnalysis[Admin2PCODE],tblSeverityAnalysis[Severidad media],0,0)</f>
        <v>3</v>
      </c>
      <c r="X274" s="42">
        <f>Table8[[#This Row],[Severidad media]]*6</f>
        <v>18</v>
      </c>
      <c r="Y274" s="6" cm="1">
        <f t="array" ref="Y274">_xlfn.XLOOKUP(Table8[[#This Row],[Admin2PCODE]],tblPiNAnalysis[Admin2PCODE],tblPiNAnalysis[% PiN Sectores más altos],0,0)</f>
        <v>0.36499999999999999</v>
      </c>
      <c r="Z274" s="42" cm="1">
        <f t="array" ref="Z274">_xlfn.XLOOKUP(Table8[[#This Row],[Admin2PCODE]:[Admin2PCODE]],tblPiNAnalysis[[Admin2PCODE]:[Admin2PCODE]],tblPiNAnalysis[Severidad],0,0)</f>
        <v>2</v>
      </c>
      <c r="AA274">
        <f>_xlfn.XLOOKUP(Table8[[#This Row],[Admin2PCODE]],tblSeverityAnalysis[Admin 2 Código P],tblSeverityAnalysis[Severidad Ttotal 2025],0,0)</f>
        <v>3</v>
      </c>
      <c r="AB274" t="str">
        <f>_xlfn.XLOOKUP(Table8[[#This Row],[Admin2PCODE]],tblSeverityAnalysis[Admin 2 Código P],tblSeverityAnalysis[Priorización Final 2025],0,0)</f>
        <v>No</v>
      </c>
      <c r="AC274">
        <v>0</v>
      </c>
      <c r="AD274">
        <v>0</v>
      </c>
      <c r="AE274">
        <v>0</v>
      </c>
      <c r="AF274">
        <v>0</v>
      </c>
      <c r="AG274">
        <v>0</v>
      </c>
      <c r="AH274">
        <v>0</v>
      </c>
      <c r="AI274">
        <v>0</v>
      </c>
      <c r="AJ274">
        <v>0</v>
      </c>
      <c r="AK274">
        <v>0</v>
      </c>
      <c r="AL274">
        <v>0</v>
      </c>
      <c r="AM274">
        <v>0</v>
      </c>
      <c r="AN274">
        <v>0</v>
      </c>
      <c r="AO274" s="314" t="e">
        <f>Table8[[#This Row],[N° Clústeres con respuesta]]/Table8[[#This Row],[Org Total]]</f>
        <v>#DIV/0!</v>
      </c>
      <c r="AP274" s="313">
        <v>4799</v>
      </c>
      <c r="AQ274" s="313">
        <v>0</v>
      </c>
      <c r="AR274" s="312">
        <f>Table8[[#This Row],[Alcanzados Oct 2025]]/Table8[[#This Row],[Meta 2025]]</f>
        <v>0</v>
      </c>
      <c r="AS274" s="423">
        <v>0</v>
      </c>
      <c r="AT274" s="423">
        <v>0</v>
      </c>
      <c r="AU274" s="423">
        <v>0</v>
      </c>
      <c r="AV274" s="423">
        <v>0</v>
      </c>
      <c r="AW274" s="423">
        <v>0</v>
      </c>
      <c r="AX274" s="423">
        <v>0</v>
      </c>
      <c r="AY274" s="423">
        <v>0</v>
      </c>
      <c r="AZ274" s="423">
        <v>0</v>
      </c>
      <c r="BA274" s="42">
        <v>0</v>
      </c>
    </row>
    <row r="275" spans="1:53">
      <c r="A275" t="s">
        <v>589</v>
      </c>
      <c r="B275" t="s">
        <v>590</v>
      </c>
      <c r="C275" t="s">
        <v>640</v>
      </c>
      <c r="D275" t="s">
        <v>641</v>
      </c>
      <c r="E275" s="8">
        <v>7826</v>
      </c>
      <c r="F275" s="8">
        <v>3261</v>
      </c>
      <c r="G275" s="8">
        <v>210.86653352856581</v>
      </c>
      <c r="H275" s="8">
        <v>2856.49</v>
      </c>
      <c r="I275" s="8">
        <v>531.95229840460456</v>
      </c>
      <c r="J275" s="8">
        <v>939.9426254006421</v>
      </c>
      <c r="K275" s="8">
        <v>0</v>
      </c>
      <c r="L275" s="8">
        <v>300.78164012820548</v>
      </c>
      <c r="M275" s="8">
        <v>328.97991889022472</v>
      </c>
      <c r="N275" s="6" cm="1">
        <f t="array" ref="N275">_xlfn.XLOOKUP(Table8[[#This Row],[Admin2PCODE]:[Admin2PCODE]],tblPiNAnalysis[[Admin2PCODE]:[Admin2PCODE]],tblPiNAnalysis[% SAMV],0,0)</f>
        <v>0.4</v>
      </c>
      <c r="O275" s="6" cm="1">
        <f t="array" ref="O275">_xlfn.XLOOKUP(Table8[[#This Row],[Admin2PCODE]:[Admin2PCODE]],tblPiNAnalysis[[Admin2PCODE]:[Admin2PCODE]],tblPiNAnalysis[% NUT],0,0)</f>
        <v>0.05</v>
      </c>
      <c r="P275" s="6" cm="1">
        <f t="array" ref="P275">_xlfn.XLOOKUP(Table8[[#This Row],[Admin2PCODE]:[Admin2PCODE]],tblPiNAnalysis[[Admin2PCODE]:[Admin2PCODE]],tblPiNAnalysis[% SAL],0,0)</f>
        <v>0.35000000000000003</v>
      </c>
      <c r="Q275" s="6" cm="1">
        <f t="array" ref="Q275">_xlfn.XLOOKUP(Table8[[#This Row],[Admin2PCODE]:[Admin2PCODE]],tblPiNAnalysis[[Admin2PCODE]:[Admin2PCODE]],tblPiNAnalysis[% EDU],0,0)</f>
        <v>0.05</v>
      </c>
      <c r="R275" s="6" cm="1">
        <f t="array" ref="R275">_xlfn.XLOOKUP(Table8[[#This Row],[Admin2PCODE]:[Admin2PCODE]],tblPiNAnalysis[[Admin2PCODE]:[Admin2PCODE]],tblPiNAnalysis[% PRO],0,0)</f>
        <v>0.1</v>
      </c>
      <c r="S275" s="6" cm="1">
        <f t="array" ref="S275">_xlfn.XLOOKUP(Table8[[#This Row],[Admin2PCODE]:[Admin2PCODE]],tblPiNAnalysis[[Admin2PCODE]:[Admin2PCODE]],tblPiNAnalysis[% WASH],0,0)</f>
        <v>0</v>
      </c>
      <c r="T275" s="6" cm="1">
        <f t="array" ref="T275">_xlfn.XLOOKUP(Table8[[#This Row],[Admin2PCODE]:[Admin2PCODE]],tblPiNAnalysis[[Admin2PCODE]:[Admin2PCODE]],tblPiNAnalysis[% NNA],0,0)</f>
        <v>0.05</v>
      </c>
      <c r="U275" s="6" cm="1">
        <f t="array" ref="U275">_xlfn.XLOOKUP(Table8[[#This Row],[Admin2PCODE]:[Admin2PCODE]],tblPiNAnalysis[[Admin2PCODE]:[Admin2PCODE]],tblPiNAnalysis[% VBG],0,0)</f>
        <v>0.05</v>
      </c>
      <c r="V275" s="8" cm="1">
        <f t="array" ref="V275">_xlfn.XLOOKUP(Table8[[#This Row],[Admin2PCODE]:[Admin2PCODE]],tblPiNAnalysis[[Admin2PCODE]:[Admin2PCODE]],tblPiNAnalysis[PiN preliminar],0,0)</f>
        <v>0</v>
      </c>
      <c r="W275" s="308" cm="1">
        <f t="array" ref="W275">_xlfn.XLOOKUP(Table8[[#This Row],[Admin2PCODE]],tblPiNAnalysis[Admin2PCODE],tblSeverityAnalysis[Severidad media],0,0)</f>
        <v>3.1666666666666665</v>
      </c>
      <c r="X275" s="42">
        <f>Table8[[#This Row],[Severidad media]]*6</f>
        <v>19</v>
      </c>
      <c r="Y275" s="6" cm="1">
        <f t="array" ref="Y275">_xlfn.XLOOKUP(Table8[[#This Row],[Admin2PCODE]],tblPiNAnalysis[Admin2PCODE],tblPiNAnalysis[% PiN Sectores más altos],0,0)</f>
        <v>0.41668796319959112</v>
      </c>
      <c r="Z275" s="42" cm="1">
        <f t="array" ref="Z275">_xlfn.XLOOKUP(Table8[[#This Row],[Admin2PCODE]:[Admin2PCODE]],tblPiNAnalysis[[Admin2PCODE]:[Admin2PCODE]],tblPiNAnalysis[Severidad],0,0)</f>
        <v>2</v>
      </c>
      <c r="AA275">
        <f>_xlfn.XLOOKUP(Table8[[#This Row],[Admin2PCODE]],tblSeverityAnalysis[Admin 2 Código P],tblSeverityAnalysis[Severidad Ttotal 2025],0,0)</f>
        <v>3</v>
      </c>
      <c r="AB275" t="str">
        <f>_xlfn.XLOOKUP(Table8[[#This Row],[Admin2PCODE]],tblSeverityAnalysis[Admin 2 Código P],tblSeverityAnalysis[Priorización Final 2025],0,0)</f>
        <v>No</v>
      </c>
      <c r="AC275">
        <v>0</v>
      </c>
      <c r="AD275">
        <v>0</v>
      </c>
      <c r="AE275">
        <v>0</v>
      </c>
      <c r="AF275">
        <v>0</v>
      </c>
      <c r="AG275">
        <v>0</v>
      </c>
      <c r="AH275">
        <v>0</v>
      </c>
      <c r="AI275">
        <v>0</v>
      </c>
      <c r="AJ275">
        <v>0</v>
      </c>
      <c r="AK275">
        <v>0</v>
      </c>
      <c r="AL275">
        <v>0</v>
      </c>
      <c r="AM275">
        <v>0</v>
      </c>
      <c r="AN275">
        <v>0</v>
      </c>
      <c r="AO275" s="314" t="e">
        <f>Table8[[#This Row],[N° Clústeres con respuesta]]/Table8[[#This Row],[Org Total]]</f>
        <v>#DIV/0!</v>
      </c>
      <c r="AP275" s="313">
        <v>1754</v>
      </c>
      <c r="AQ275" s="313">
        <v>0</v>
      </c>
      <c r="AR275" s="312">
        <f>Table8[[#This Row],[Alcanzados Oct 2025]]/Table8[[#This Row],[Meta 2025]]</f>
        <v>0</v>
      </c>
      <c r="AS275" s="423">
        <v>0</v>
      </c>
      <c r="AT275" s="423">
        <v>0</v>
      </c>
      <c r="AU275" s="423">
        <v>0</v>
      </c>
      <c r="AV275" s="423">
        <v>0</v>
      </c>
      <c r="AW275" s="423">
        <v>0</v>
      </c>
      <c r="AX275" s="423">
        <v>0</v>
      </c>
      <c r="AY275" s="423">
        <v>0</v>
      </c>
      <c r="AZ275" s="423">
        <v>0</v>
      </c>
      <c r="BA275" s="42">
        <v>0</v>
      </c>
    </row>
    <row r="276" spans="1:53">
      <c r="A276" t="s">
        <v>642</v>
      </c>
      <c r="B276" t="s">
        <v>643</v>
      </c>
      <c r="C276" t="s">
        <v>415</v>
      </c>
      <c r="D276" t="s">
        <v>644</v>
      </c>
      <c r="E276" s="8">
        <v>15030</v>
      </c>
      <c r="F276" s="8">
        <v>939</v>
      </c>
      <c r="G276" s="8">
        <v>511.81434141098032</v>
      </c>
      <c r="H276" s="8">
        <v>8300</v>
      </c>
      <c r="I276" s="8">
        <v>754.88110316700897</v>
      </c>
      <c r="J276" s="8">
        <v>1818.061279817965</v>
      </c>
      <c r="K276" s="8">
        <v>0</v>
      </c>
      <c r="L276" s="8">
        <v>581.77960954174887</v>
      </c>
      <c r="M276" s="8">
        <v>636.32144793628777</v>
      </c>
      <c r="N276" s="6" cm="1">
        <f t="array" ref="N276">_xlfn.XLOOKUP(Table8[[#This Row],[Admin2PCODE]:[Admin2PCODE]],tblPiNAnalysis[[Admin2PCODE]:[Admin2PCODE]],tblPiNAnalysis[% SAMV],0,0)</f>
        <v>0.05</v>
      </c>
      <c r="O276" s="6" cm="1">
        <f t="array" ref="O276">_xlfn.XLOOKUP(Table8[[#This Row],[Admin2PCODE]:[Admin2PCODE]],tblPiNAnalysis[[Admin2PCODE]:[Admin2PCODE]],tblPiNAnalysis[% NUT],0,0)</f>
        <v>0.05</v>
      </c>
      <c r="P276" s="6" cm="1">
        <f t="array" ref="P276">_xlfn.XLOOKUP(Table8[[#This Row],[Admin2PCODE]:[Admin2PCODE]],tblPiNAnalysis[[Admin2PCODE]:[Admin2PCODE]],tblPiNAnalysis[% SAL],0,0)</f>
        <v>0.55000000000000004</v>
      </c>
      <c r="Q276" s="6" cm="1">
        <f t="array" ref="Q276">_xlfn.XLOOKUP(Table8[[#This Row],[Admin2PCODE]:[Admin2PCODE]],tblPiNAnalysis[[Admin2PCODE]:[Admin2PCODE]],tblPiNAnalysis[% EDU],0,0)</f>
        <v>0.05</v>
      </c>
      <c r="R276" s="6" cm="1">
        <f t="array" ref="R276">_xlfn.XLOOKUP(Table8[[#This Row],[Admin2PCODE]:[Admin2PCODE]],tblPiNAnalysis[[Admin2PCODE]:[Admin2PCODE]],tblPiNAnalysis[% PRO],0,0)</f>
        <v>0.1</v>
      </c>
      <c r="S276" s="6" cm="1">
        <f t="array" ref="S276">_xlfn.XLOOKUP(Table8[[#This Row],[Admin2PCODE]:[Admin2PCODE]],tblPiNAnalysis[[Admin2PCODE]:[Admin2PCODE]],tblPiNAnalysis[% WASH],0,0)</f>
        <v>0</v>
      </c>
      <c r="T276" s="6" cm="1">
        <f t="array" ref="T276">_xlfn.XLOOKUP(Table8[[#This Row],[Admin2PCODE]:[Admin2PCODE]],tblPiNAnalysis[[Admin2PCODE]:[Admin2PCODE]],tblPiNAnalysis[% NNA],0,0)</f>
        <v>0.05</v>
      </c>
      <c r="U276" s="6" cm="1">
        <f t="array" ref="U276">_xlfn.XLOOKUP(Table8[[#This Row],[Admin2PCODE]:[Admin2PCODE]],tblPiNAnalysis[[Admin2PCODE]:[Admin2PCODE]],tblPiNAnalysis[% VBG],0,0)</f>
        <v>0.05</v>
      </c>
      <c r="V276" s="8" cm="1">
        <f t="array" ref="V276">_xlfn.XLOOKUP(Table8[[#This Row],[Admin2PCODE]:[Admin2PCODE]],tblPiNAnalysis[[Admin2PCODE]:[Admin2PCODE]],tblPiNAnalysis[PiN preliminar],0,0)</f>
        <v>0</v>
      </c>
      <c r="W276" s="308" cm="1">
        <f t="array" ref="W276">_xlfn.XLOOKUP(Table8[[#This Row],[Admin2PCODE]],tblPiNAnalysis[Admin2PCODE],tblSeverityAnalysis[Severidad media],0,0)</f>
        <v>3.8333333333333335</v>
      </c>
      <c r="X276" s="42">
        <f>Table8[[#This Row],[Severidad media]]*6</f>
        <v>23</v>
      </c>
      <c r="Y276" s="6" cm="1">
        <f t="array" ref="Y276">_xlfn.XLOOKUP(Table8[[#This Row],[Admin2PCODE]],tblPiNAnalysis[Admin2PCODE],tblPiNAnalysis[% PiN Sectores más altos],0,0)</f>
        <v>0.55222887558216904</v>
      </c>
      <c r="Z276" s="42" cm="1">
        <f t="array" ref="Z276">_xlfn.XLOOKUP(Table8[[#This Row],[Admin2PCODE]:[Admin2PCODE]],tblPiNAnalysis[[Admin2PCODE]:[Admin2PCODE]],tblPiNAnalysis[Severidad],0,0)</f>
        <v>2</v>
      </c>
      <c r="AA276">
        <f>_xlfn.XLOOKUP(Table8[[#This Row],[Admin2PCODE]],tblSeverityAnalysis[Admin 2 Código P],tblSeverityAnalysis[Severidad Ttotal 2025],0,0)</f>
        <v>3</v>
      </c>
      <c r="AB276" t="str">
        <f>_xlfn.XLOOKUP(Table8[[#This Row],[Admin2PCODE]],tblSeverityAnalysis[Admin 2 Código P],tblSeverityAnalysis[Priorización Final 2025],0,0)</f>
        <v>No</v>
      </c>
      <c r="AC276">
        <v>1</v>
      </c>
      <c r="AD276" t="s">
        <v>92</v>
      </c>
      <c r="AE276">
        <v>3</v>
      </c>
      <c r="AF276">
        <v>0</v>
      </c>
      <c r="AG276">
        <v>0</v>
      </c>
      <c r="AH276">
        <v>0</v>
      </c>
      <c r="AI276">
        <v>0</v>
      </c>
      <c r="AJ276">
        <v>0</v>
      </c>
      <c r="AK276">
        <v>0</v>
      </c>
      <c r="AL276">
        <v>0</v>
      </c>
      <c r="AM276">
        <v>0</v>
      </c>
      <c r="AN276">
        <v>3</v>
      </c>
      <c r="AO276" s="314">
        <f>Table8[[#This Row],[N° Clústeres con respuesta]]/Table8[[#This Row],[Org Total]]</f>
        <v>0.33333333333333331</v>
      </c>
      <c r="AP276" s="313">
        <v>3510</v>
      </c>
      <c r="AQ276" s="313">
        <v>3546</v>
      </c>
      <c r="AR276" s="312">
        <f>Table8[[#This Row],[Alcanzados Oct 2025]]/Table8[[#This Row],[Meta 2025]]</f>
        <v>1.0102564102564102</v>
      </c>
      <c r="AS276" s="423">
        <v>0</v>
      </c>
      <c r="AT276" s="423">
        <v>0</v>
      </c>
      <c r="AU276" s="423">
        <v>0</v>
      </c>
      <c r="AV276" s="423">
        <v>0</v>
      </c>
      <c r="AW276" s="423">
        <v>0</v>
      </c>
      <c r="AX276" s="423">
        <v>0</v>
      </c>
      <c r="AY276" s="423">
        <v>0</v>
      </c>
      <c r="AZ276" s="423">
        <v>0</v>
      </c>
      <c r="BA276" s="42">
        <v>3546</v>
      </c>
    </row>
    <row r="277" spans="1:53">
      <c r="A277" t="s">
        <v>642</v>
      </c>
      <c r="B277" t="s">
        <v>643</v>
      </c>
      <c r="C277" t="s">
        <v>645</v>
      </c>
      <c r="D277" t="s">
        <v>646</v>
      </c>
      <c r="E277" s="8">
        <v>85054</v>
      </c>
      <c r="F277" s="8">
        <v>8743</v>
      </c>
      <c r="G277" s="8">
        <v>2879.0113153763104</v>
      </c>
      <c r="H277" s="8">
        <v>37100</v>
      </c>
      <c r="I277" s="8">
        <v>7406.9908114573846</v>
      </c>
      <c r="J277" s="8">
        <v>20576.631283251783</v>
      </c>
      <c r="K277" s="8">
        <v>0</v>
      </c>
      <c r="L277" s="8">
        <v>6605.0986419238225</v>
      </c>
      <c r="M277" s="8">
        <v>7201.820949138124</v>
      </c>
      <c r="N277" s="6" cm="1">
        <f t="array" ref="N277">_xlfn.XLOOKUP(Table8[[#This Row],[Admin2PCODE]:[Admin2PCODE]],tblPiNAnalysis[[Admin2PCODE]:[Admin2PCODE]],tblPiNAnalysis[% SAMV],0,0)</f>
        <v>0.1</v>
      </c>
      <c r="O277" s="6" cm="1">
        <f t="array" ref="O277">_xlfn.XLOOKUP(Table8[[#This Row],[Admin2PCODE]:[Admin2PCODE]],tblPiNAnalysis[[Admin2PCODE]:[Admin2PCODE]],tblPiNAnalysis[% NUT],0,0)</f>
        <v>0.05</v>
      </c>
      <c r="P277" s="6" cm="1">
        <f t="array" ref="P277">_xlfn.XLOOKUP(Table8[[#This Row],[Admin2PCODE]:[Admin2PCODE]],tblPiNAnalysis[[Admin2PCODE]:[Admin2PCODE]],tblPiNAnalysis[% SAL],0,0)</f>
        <v>0.45</v>
      </c>
      <c r="Q277" s="6" cm="1">
        <f t="array" ref="Q277">_xlfn.XLOOKUP(Table8[[#This Row],[Admin2PCODE]:[Admin2PCODE]],tblPiNAnalysis[[Admin2PCODE]:[Admin2PCODE]],tblPiNAnalysis[% EDU],0,0)</f>
        <v>0.1</v>
      </c>
      <c r="R277" s="6" cm="1">
        <f t="array" ref="R277">_xlfn.XLOOKUP(Table8[[#This Row],[Admin2PCODE]:[Admin2PCODE]],tblPiNAnalysis[[Admin2PCODE]:[Admin2PCODE]],tblPiNAnalysis[% PRO],0,0)</f>
        <v>0.25</v>
      </c>
      <c r="S277" s="6" cm="1">
        <f t="array" ref="S277">_xlfn.XLOOKUP(Table8[[#This Row],[Admin2PCODE]:[Admin2PCODE]],tblPiNAnalysis[[Admin2PCODE]:[Admin2PCODE]],tblPiNAnalysis[% WASH],0,0)</f>
        <v>0</v>
      </c>
      <c r="T277" s="6" cm="1">
        <f t="array" ref="T277">_xlfn.XLOOKUP(Table8[[#This Row],[Admin2PCODE]:[Admin2PCODE]],tblPiNAnalysis[[Admin2PCODE]:[Admin2PCODE]],tblPiNAnalysis[% NNA],0,0)</f>
        <v>0.1</v>
      </c>
      <c r="U277" s="6" cm="1">
        <f t="array" ref="U277">_xlfn.XLOOKUP(Table8[[#This Row],[Admin2PCODE]:[Admin2PCODE]],tblPiNAnalysis[[Admin2PCODE]:[Admin2PCODE]],tblPiNAnalysis[% VBG],0,0)</f>
        <v>0.1</v>
      </c>
      <c r="V277" s="8" cm="1">
        <f t="array" ref="V277">_xlfn.XLOOKUP(Table8[[#This Row],[Admin2PCODE]:[Admin2PCODE]],tblPiNAnalysis[[Admin2PCODE]:[Admin2PCODE]],tblPiNAnalysis[PiN preliminar],0,0)</f>
        <v>0</v>
      </c>
      <c r="W277" s="308" cm="1">
        <f t="array" ref="W277">_xlfn.XLOOKUP(Table8[[#This Row],[Admin2PCODE]],tblPiNAnalysis[Admin2PCODE],tblSeverityAnalysis[Severidad media],0,0)</f>
        <v>3.6666666666666665</v>
      </c>
      <c r="X277" s="42">
        <f>Table8[[#This Row],[Severidad media]]*6</f>
        <v>22</v>
      </c>
      <c r="Y277" s="6" cm="1">
        <f t="array" ref="Y277">_xlfn.XLOOKUP(Table8[[#This Row],[Admin2PCODE]],tblPiNAnalysis[Admin2PCODE],tblPiNAnalysis[% PiN Sectores más altos],0,0)</f>
        <v>0.43619347708514589</v>
      </c>
      <c r="Z277" s="42" cm="1">
        <f t="array" ref="Z277">_xlfn.XLOOKUP(Table8[[#This Row],[Admin2PCODE]:[Admin2PCODE]],tblPiNAnalysis[[Admin2PCODE]:[Admin2PCODE]],tblPiNAnalysis[Severidad],0,0)</f>
        <v>2</v>
      </c>
      <c r="AA277">
        <f>_xlfn.XLOOKUP(Table8[[#This Row],[Admin2PCODE]],tblSeverityAnalysis[Admin 2 Código P],tblSeverityAnalysis[Severidad Ttotal 2025],0,0)</f>
        <v>3</v>
      </c>
      <c r="AB277" t="str">
        <f>_xlfn.XLOOKUP(Table8[[#This Row],[Admin2PCODE]],tblSeverityAnalysis[Admin 2 Código P],tblSeverityAnalysis[Priorización Final 2025],0,0)</f>
        <v>No</v>
      </c>
      <c r="AC277">
        <v>4</v>
      </c>
      <c r="AD277" t="s">
        <v>1070</v>
      </c>
      <c r="AE277">
        <v>7</v>
      </c>
      <c r="AF277">
        <v>0</v>
      </c>
      <c r="AG277">
        <v>0</v>
      </c>
      <c r="AH277">
        <v>0</v>
      </c>
      <c r="AI277">
        <v>2</v>
      </c>
      <c r="AJ277">
        <v>2</v>
      </c>
      <c r="AK277">
        <v>0</v>
      </c>
      <c r="AL277">
        <v>0</v>
      </c>
      <c r="AM277">
        <v>1</v>
      </c>
      <c r="AN277">
        <v>3</v>
      </c>
      <c r="AO277" s="314">
        <f>Table8[[#This Row],[N° Clústeres con respuesta]]/Table8[[#This Row],[Org Total]]</f>
        <v>0.5714285714285714</v>
      </c>
      <c r="AP277" s="313">
        <v>13973</v>
      </c>
      <c r="AQ277" s="313">
        <v>10210</v>
      </c>
      <c r="AR277" s="312">
        <f>Table8[[#This Row],[Alcanzados Oct 2025]]/Table8[[#This Row],[Meta 2025]]</f>
        <v>0.73069491161525801</v>
      </c>
      <c r="AS277" s="423">
        <v>0</v>
      </c>
      <c r="AT277" s="423">
        <v>0</v>
      </c>
      <c r="AU277" s="423">
        <v>0</v>
      </c>
      <c r="AV277" s="423">
        <v>190</v>
      </c>
      <c r="AW277" s="423">
        <v>87</v>
      </c>
      <c r="AX277" s="423">
        <v>0</v>
      </c>
      <c r="AY277" s="423">
        <v>0</v>
      </c>
      <c r="AZ277" s="423">
        <v>1</v>
      </c>
      <c r="BA277" s="42">
        <v>10210</v>
      </c>
    </row>
    <row r="278" spans="1:53">
      <c r="A278" t="s">
        <v>642</v>
      </c>
      <c r="B278" t="s">
        <v>643</v>
      </c>
      <c r="C278" t="s">
        <v>180</v>
      </c>
      <c r="D278" t="s">
        <v>647</v>
      </c>
      <c r="E278" s="8">
        <v>15635</v>
      </c>
      <c r="F278" s="8">
        <v>1563</v>
      </c>
      <c r="G278" s="8">
        <v>574.09574535819434</v>
      </c>
      <c r="H278" s="8">
        <v>5706.7749999999996</v>
      </c>
      <c r="I278" s="8">
        <v>888.82925459418493</v>
      </c>
      <c r="J278" s="8">
        <v>1891.2433872224806</v>
      </c>
      <c r="K278" s="8">
        <v>1055.3625</v>
      </c>
      <c r="L278" s="8">
        <v>605.1978839111938</v>
      </c>
      <c r="M278" s="8">
        <v>661.93518552786816</v>
      </c>
      <c r="N278" s="6" cm="1">
        <f t="array" ref="N278">_xlfn.XLOOKUP(Table8[[#This Row],[Admin2PCODE]:[Admin2PCODE]],tblPiNAnalysis[[Admin2PCODE]:[Admin2PCODE]],tblPiNAnalysis[% SAMV],0,0)</f>
        <v>0.1</v>
      </c>
      <c r="O278" s="6" cm="1">
        <f t="array" ref="O278">_xlfn.XLOOKUP(Table8[[#This Row],[Admin2PCODE]:[Admin2PCODE]],tblPiNAnalysis[[Admin2PCODE]:[Admin2PCODE]],tblPiNAnalysis[% NUT],0,0)</f>
        <v>0.05</v>
      </c>
      <c r="P278" s="6" cm="1">
        <f t="array" ref="P278">_xlfn.XLOOKUP(Table8[[#This Row],[Admin2PCODE]:[Admin2PCODE]],tblPiNAnalysis[[Admin2PCODE]:[Admin2PCODE]],tblPiNAnalysis[% SAL],0,0)</f>
        <v>0.35000000000000003</v>
      </c>
      <c r="Q278" s="6" cm="1">
        <f t="array" ref="Q278">_xlfn.XLOOKUP(Table8[[#This Row],[Admin2PCODE]:[Admin2PCODE]],tblPiNAnalysis[[Admin2PCODE]:[Admin2PCODE]],tblPiNAnalysis[% EDU],0,0)</f>
        <v>0.05</v>
      </c>
      <c r="R278" s="6" cm="1">
        <f t="array" ref="R278">_xlfn.XLOOKUP(Table8[[#This Row],[Admin2PCODE]:[Admin2PCODE]],tblPiNAnalysis[[Admin2PCODE]:[Admin2PCODE]],tblPiNAnalysis[% PRO],0,0)</f>
        <v>0.1</v>
      </c>
      <c r="S278" s="6" cm="1">
        <f t="array" ref="S278">_xlfn.XLOOKUP(Table8[[#This Row],[Admin2PCODE]:[Admin2PCODE]],tblPiNAnalysis[[Admin2PCODE]:[Admin2PCODE]],tblPiNAnalysis[% WASH],0,0)</f>
        <v>0.05</v>
      </c>
      <c r="T278" s="6" cm="1">
        <f t="array" ref="T278">_xlfn.XLOOKUP(Table8[[#This Row],[Admin2PCODE]:[Admin2PCODE]],tblPiNAnalysis[[Admin2PCODE]:[Admin2PCODE]],tblPiNAnalysis[% NNA],0,0)</f>
        <v>0.05</v>
      </c>
      <c r="U278" s="6" cm="1">
        <f t="array" ref="U278">_xlfn.XLOOKUP(Table8[[#This Row],[Admin2PCODE]:[Admin2PCODE]],tblPiNAnalysis[[Admin2PCODE]:[Admin2PCODE]],tblPiNAnalysis[% VBG],0,0)</f>
        <v>0.05</v>
      </c>
      <c r="V278" s="8" cm="1">
        <f t="array" ref="V278">_xlfn.XLOOKUP(Table8[[#This Row],[Admin2PCODE]:[Admin2PCODE]],tblPiNAnalysis[[Admin2PCODE]:[Admin2PCODE]],tblPiNAnalysis[PiN preliminar],0,0)</f>
        <v>5706.7749999999996</v>
      </c>
      <c r="W278" s="308" cm="1">
        <f t="array" ref="W278">_xlfn.XLOOKUP(Table8[[#This Row],[Admin2PCODE]],tblPiNAnalysis[Admin2PCODE],tblSeverityAnalysis[Severidad media],0,0)</f>
        <v>2.8333333333333335</v>
      </c>
      <c r="X278" s="42">
        <f>Table8[[#This Row],[Severidad media]]*6</f>
        <v>17</v>
      </c>
      <c r="Y278" s="6" cm="1">
        <f t="array" ref="Y278">_xlfn.XLOOKUP(Table8[[#This Row],[Admin2PCODE]],tblPiNAnalysis[Admin2PCODE],tblPiNAnalysis[% PiN Sectores más altos],0,0)</f>
        <v>0.36499999999999999</v>
      </c>
      <c r="Z278" s="42" cm="1">
        <f t="array" ref="Z278">_xlfn.XLOOKUP(Table8[[#This Row],[Admin2PCODE]:[Admin2PCODE]],tblPiNAnalysis[[Admin2PCODE]:[Admin2PCODE]],tblPiNAnalysis[Severidad],0,0)</f>
        <v>3</v>
      </c>
      <c r="AA278">
        <f>_xlfn.XLOOKUP(Table8[[#This Row],[Admin2PCODE]],tblSeverityAnalysis[Admin 2 Código P],tblSeverityAnalysis[Severidad Ttotal 2025],0,0)</f>
        <v>3</v>
      </c>
      <c r="AB278" t="str">
        <f>_xlfn.XLOOKUP(Table8[[#This Row],[Admin2PCODE]],tblSeverityAnalysis[Admin 2 Código P],tblSeverityAnalysis[Priorización Final 2025],0,0)</f>
        <v>No</v>
      </c>
      <c r="AC278">
        <v>1</v>
      </c>
      <c r="AD278" t="s">
        <v>92</v>
      </c>
      <c r="AE278">
        <v>3</v>
      </c>
      <c r="AF278">
        <v>0</v>
      </c>
      <c r="AG278">
        <v>0</v>
      </c>
      <c r="AH278">
        <v>0</v>
      </c>
      <c r="AI278">
        <v>0</v>
      </c>
      <c r="AJ278">
        <v>0</v>
      </c>
      <c r="AK278">
        <v>0</v>
      </c>
      <c r="AL278">
        <v>0</v>
      </c>
      <c r="AM278">
        <v>0</v>
      </c>
      <c r="AN278">
        <v>3</v>
      </c>
      <c r="AO278" s="314">
        <f>Table8[[#This Row],[N° Clústeres con respuesta]]/Table8[[#This Row],[Org Total]]</f>
        <v>0.33333333333333331</v>
      </c>
      <c r="AP278" s="313">
        <v>3649</v>
      </c>
      <c r="AQ278" s="313">
        <v>4084</v>
      </c>
      <c r="AR278" s="312">
        <f>Table8[[#This Row],[Alcanzados Oct 2025]]/Table8[[#This Row],[Meta 2025]]</f>
        <v>1.1192107426692244</v>
      </c>
      <c r="AS278" s="423">
        <v>0</v>
      </c>
      <c r="AT278" s="423">
        <v>0</v>
      </c>
      <c r="AU278" s="423">
        <v>0</v>
      </c>
      <c r="AV278" s="423">
        <v>0</v>
      </c>
      <c r="AW278" s="423">
        <v>0</v>
      </c>
      <c r="AX278" s="423">
        <v>0</v>
      </c>
      <c r="AY278" s="423">
        <v>0</v>
      </c>
      <c r="AZ278" s="423">
        <v>0</v>
      </c>
      <c r="BA278" s="42">
        <v>4084</v>
      </c>
    </row>
    <row r="279" spans="1:53">
      <c r="A279" t="s">
        <v>642</v>
      </c>
      <c r="B279" t="s">
        <v>643</v>
      </c>
      <c r="C279" t="s">
        <v>648</v>
      </c>
      <c r="D279" t="s">
        <v>649</v>
      </c>
      <c r="E279" s="8">
        <v>28441</v>
      </c>
      <c r="F279" s="8">
        <v>7657</v>
      </c>
      <c r="G279" s="8">
        <v>1001.228516096149</v>
      </c>
      <c r="H279" s="8">
        <v>10380.965</v>
      </c>
      <c r="I279" s="8">
        <v>2668.9726598559719</v>
      </c>
      <c r="J279" s="8">
        <v>3440.2848209782264</v>
      </c>
      <c r="K279" s="8">
        <v>0</v>
      </c>
      <c r="L279" s="8">
        <v>1104.3314275340108</v>
      </c>
      <c r="M279" s="8">
        <v>1204.0996873423794</v>
      </c>
      <c r="N279" s="6" cm="1">
        <f t="array" ref="N279">_xlfn.XLOOKUP(Table8[[#This Row],[Admin2PCODE]:[Admin2PCODE]],tblPiNAnalysis[[Admin2PCODE]:[Admin2PCODE]],tblPiNAnalysis[% SAMV],0,0)</f>
        <v>0.25</v>
      </c>
      <c r="O279" s="6" cm="1">
        <f t="array" ref="O279">_xlfn.XLOOKUP(Table8[[#This Row],[Admin2PCODE]:[Admin2PCODE]],tblPiNAnalysis[[Admin2PCODE]:[Admin2PCODE]],tblPiNAnalysis[% NUT],0,0)</f>
        <v>0.05</v>
      </c>
      <c r="P279" s="6" cm="1">
        <f t="array" ref="P279">_xlfn.XLOOKUP(Table8[[#This Row],[Admin2PCODE]:[Admin2PCODE]],tblPiNAnalysis[[Admin2PCODE]:[Admin2PCODE]],tblPiNAnalysis[% SAL],0,0)</f>
        <v>0.35000000000000003</v>
      </c>
      <c r="Q279" s="6" cm="1">
        <f t="array" ref="Q279">_xlfn.XLOOKUP(Table8[[#This Row],[Admin2PCODE]:[Admin2PCODE]],tblPiNAnalysis[[Admin2PCODE]:[Admin2PCODE]],tblPiNAnalysis[% EDU],0,0)</f>
        <v>0.1</v>
      </c>
      <c r="R279" s="6" cm="1">
        <f t="array" ref="R279">_xlfn.XLOOKUP(Table8[[#This Row],[Admin2PCODE]:[Admin2PCODE]],tblPiNAnalysis[[Admin2PCODE]:[Admin2PCODE]],tblPiNAnalysis[% PRO],0,0)</f>
        <v>0.1</v>
      </c>
      <c r="S279" s="6" cm="1">
        <f t="array" ref="S279">_xlfn.XLOOKUP(Table8[[#This Row],[Admin2PCODE]:[Admin2PCODE]],tblPiNAnalysis[[Admin2PCODE]:[Admin2PCODE]],tblPiNAnalysis[% WASH],0,0)</f>
        <v>0</v>
      </c>
      <c r="T279" s="6" cm="1">
        <f t="array" ref="T279">_xlfn.XLOOKUP(Table8[[#This Row],[Admin2PCODE]:[Admin2PCODE]],tblPiNAnalysis[[Admin2PCODE]:[Admin2PCODE]],tblPiNAnalysis[% NNA],0,0)</f>
        <v>0.05</v>
      </c>
      <c r="U279" s="6" cm="1">
        <f t="array" ref="U279">_xlfn.XLOOKUP(Table8[[#This Row],[Admin2PCODE]:[Admin2PCODE]],tblPiNAnalysis[[Admin2PCODE]:[Admin2PCODE]],tblPiNAnalysis[% VBG],0,0)</f>
        <v>0.05</v>
      </c>
      <c r="V279" s="8" cm="1">
        <f t="array" ref="V279">_xlfn.XLOOKUP(Table8[[#This Row],[Admin2PCODE]:[Admin2PCODE]],tblPiNAnalysis[[Admin2PCODE]:[Admin2PCODE]],tblPiNAnalysis[PiN preliminar],0,0)</f>
        <v>0</v>
      </c>
      <c r="W279" s="308" cm="1">
        <f t="array" ref="W279">_xlfn.XLOOKUP(Table8[[#This Row],[Admin2PCODE]],tblPiNAnalysis[Admin2PCODE],tblSeverityAnalysis[Severidad media],0,0)</f>
        <v>2.8333333333333335</v>
      </c>
      <c r="X279" s="42">
        <f>Table8[[#This Row],[Severidad media]]*6</f>
        <v>17</v>
      </c>
      <c r="Y279" s="6" cm="1">
        <f t="array" ref="Y279">_xlfn.XLOOKUP(Table8[[#This Row],[Admin2PCODE]],tblPiNAnalysis[Admin2PCODE],tblPiNAnalysis[% PiN Sectores más altos],0,0)</f>
        <v>0.36499999999999999</v>
      </c>
      <c r="Z279" s="42" cm="1">
        <f t="array" ref="Z279">_xlfn.XLOOKUP(Table8[[#This Row],[Admin2PCODE]:[Admin2PCODE]],tblPiNAnalysis[[Admin2PCODE]:[Admin2PCODE]],tblPiNAnalysis[Severidad],0,0)</f>
        <v>2</v>
      </c>
      <c r="AA279">
        <f>_xlfn.XLOOKUP(Table8[[#This Row],[Admin2PCODE]],tblSeverityAnalysis[Admin 2 Código P],tblSeverityAnalysis[Severidad Ttotal 2025],0,0)</f>
        <v>3</v>
      </c>
      <c r="AB279" t="str">
        <f>_xlfn.XLOOKUP(Table8[[#This Row],[Admin2PCODE]],tblSeverityAnalysis[Admin 2 Código P],tblSeverityAnalysis[Priorización Final 2025],0,0)</f>
        <v>No</v>
      </c>
      <c r="AC279">
        <v>2</v>
      </c>
      <c r="AD279" t="s">
        <v>1008</v>
      </c>
      <c r="AE279">
        <v>4</v>
      </c>
      <c r="AF279">
        <v>0</v>
      </c>
      <c r="AG279">
        <v>0</v>
      </c>
      <c r="AH279">
        <v>0</v>
      </c>
      <c r="AI279">
        <v>0</v>
      </c>
      <c r="AJ279">
        <v>0</v>
      </c>
      <c r="AK279">
        <v>0</v>
      </c>
      <c r="AL279">
        <v>0</v>
      </c>
      <c r="AM279">
        <v>1</v>
      </c>
      <c r="AN279">
        <v>3</v>
      </c>
      <c r="AO279" s="314">
        <f>Table8[[#This Row],[N° Clústeres con respuesta]]/Table8[[#This Row],[Org Total]]</f>
        <v>0.5</v>
      </c>
      <c r="AP279" s="313">
        <v>4672</v>
      </c>
      <c r="AQ279" s="313">
        <v>320</v>
      </c>
      <c r="AR279" s="312">
        <f>Table8[[#This Row],[Alcanzados Oct 2025]]/Table8[[#This Row],[Meta 2025]]</f>
        <v>6.8493150684931503E-2</v>
      </c>
      <c r="AS279" s="423">
        <v>0</v>
      </c>
      <c r="AT279" s="423">
        <v>0</v>
      </c>
      <c r="AU279" s="423">
        <v>0</v>
      </c>
      <c r="AV279" s="423">
        <v>0</v>
      </c>
      <c r="AW279" s="423">
        <v>0</v>
      </c>
      <c r="AX279" s="423">
        <v>0</v>
      </c>
      <c r="AY279" s="423">
        <v>0</v>
      </c>
      <c r="AZ279" s="423">
        <v>1</v>
      </c>
      <c r="BA279" s="42">
        <v>320</v>
      </c>
    </row>
    <row r="280" spans="1:53">
      <c r="A280" t="s">
        <v>642</v>
      </c>
      <c r="B280" t="s">
        <v>643</v>
      </c>
      <c r="C280" t="s">
        <v>650</v>
      </c>
      <c r="D280" t="s">
        <v>651</v>
      </c>
      <c r="E280" s="8">
        <v>27976</v>
      </c>
      <c r="F280" s="8">
        <v>2564</v>
      </c>
      <c r="G280" s="8">
        <v>961.64863789458286</v>
      </c>
      <c r="H280" s="8">
        <v>11400</v>
      </c>
      <c r="I280" s="8">
        <v>2688.4705912453178</v>
      </c>
      <c r="J280" s="8">
        <v>6768.0748322271966</v>
      </c>
      <c r="K280" s="8">
        <v>0</v>
      </c>
      <c r="L280" s="8">
        <v>2165.7839463127029</v>
      </c>
      <c r="M280" s="8">
        <v>2368.8261912795188</v>
      </c>
      <c r="N280" s="6" cm="1">
        <f t="array" ref="N280">_xlfn.XLOOKUP(Table8[[#This Row],[Admin2PCODE]:[Admin2PCODE]],tblPiNAnalysis[[Admin2PCODE]:[Admin2PCODE]],tblPiNAnalysis[% SAMV],0,0)</f>
        <v>0.1</v>
      </c>
      <c r="O280" s="6" cm="1">
        <f t="array" ref="O280">_xlfn.XLOOKUP(Table8[[#This Row],[Admin2PCODE]:[Admin2PCODE]],tblPiNAnalysis[[Admin2PCODE]:[Admin2PCODE]],tblPiNAnalysis[% NUT],0,0)</f>
        <v>0.05</v>
      </c>
      <c r="P280" s="6" cm="1">
        <f t="array" ref="P280">_xlfn.XLOOKUP(Table8[[#This Row],[Admin2PCODE]:[Admin2PCODE]],tblPiNAnalysis[[Admin2PCODE]:[Admin2PCODE]],tblPiNAnalysis[% SAL],0,0)</f>
        <v>0.4</v>
      </c>
      <c r="Q280" s="6" cm="1">
        <f t="array" ref="Q280">_xlfn.XLOOKUP(Table8[[#This Row],[Admin2PCODE]:[Admin2PCODE]],tblPiNAnalysis[[Admin2PCODE]:[Admin2PCODE]],tblPiNAnalysis[% EDU],0,0)</f>
        <v>0.1</v>
      </c>
      <c r="R280" s="6" cm="1">
        <f t="array" ref="R280">_xlfn.XLOOKUP(Table8[[#This Row],[Admin2PCODE]:[Admin2PCODE]],tblPiNAnalysis[[Admin2PCODE]:[Admin2PCODE]],tblPiNAnalysis[% PRO],0,0)</f>
        <v>0.25</v>
      </c>
      <c r="S280" s="6" cm="1">
        <f t="array" ref="S280">_xlfn.XLOOKUP(Table8[[#This Row],[Admin2PCODE]:[Admin2PCODE]],tblPiNAnalysis[[Admin2PCODE]:[Admin2PCODE]],tblPiNAnalysis[% WASH],0,0)</f>
        <v>0</v>
      </c>
      <c r="T280" s="6" cm="1">
        <f t="array" ref="T280">_xlfn.XLOOKUP(Table8[[#This Row],[Admin2PCODE]:[Admin2PCODE]],tblPiNAnalysis[[Admin2PCODE]:[Admin2PCODE]],tblPiNAnalysis[% NNA],0,0)</f>
        <v>0.1</v>
      </c>
      <c r="U280" s="6" cm="1">
        <f t="array" ref="U280">_xlfn.XLOOKUP(Table8[[#This Row],[Admin2PCODE]:[Admin2PCODE]],tblPiNAnalysis[[Admin2PCODE]:[Admin2PCODE]],tblPiNAnalysis[% VBG],0,0)</f>
        <v>0.1</v>
      </c>
      <c r="V280" s="8" cm="1">
        <f t="array" ref="V280">_xlfn.XLOOKUP(Table8[[#This Row],[Admin2PCODE]:[Admin2PCODE]],tblPiNAnalysis[[Admin2PCODE]:[Admin2PCODE]],tblPiNAnalysis[PiN preliminar],0,0)</f>
        <v>11400</v>
      </c>
      <c r="W280" s="308" cm="1">
        <f t="array" ref="W280">_xlfn.XLOOKUP(Table8[[#This Row],[Admin2PCODE]],tblPiNAnalysis[Admin2PCODE],tblSeverityAnalysis[Severidad media],0,0)</f>
        <v>2.1666666666666665</v>
      </c>
      <c r="X280" s="42">
        <f>Table8[[#This Row],[Severidad media]]*6</f>
        <v>13</v>
      </c>
      <c r="Y280" s="6" cm="1">
        <f t="array" ref="Y280">_xlfn.XLOOKUP(Table8[[#This Row],[Admin2PCODE]],tblPiNAnalysis[Admin2PCODE],tblPiNAnalysis[% PiN Sectores más altos],0,0)</f>
        <v>0.40749213611667146</v>
      </c>
      <c r="Z280" s="42" cm="1">
        <f t="array" ref="Z280">_xlfn.XLOOKUP(Table8[[#This Row],[Admin2PCODE]:[Admin2PCODE]],tblPiNAnalysis[[Admin2PCODE]:[Admin2PCODE]],tblPiNAnalysis[Severidad],0,0)</f>
        <v>3</v>
      </c>
      <c r="AA280">
        <f>_xlfn.XLOOKUP(Table8[[#This Row],[Admin2PCODE]],tblSeverityAnalysis[Admin 2 Código P],tblSeverityAnalysis[Severidad Ttotal 2025],0,0)</f>
        <v>3</v>
      </c>
      <c r="AB280" t="str">
        <f>_xlfn.XLOOKUP(Table8[[#This Row],[Admin2PCODE]],tblSeverityAnalysis[Admin 2 Código P],tblSeverityAnalysis[Priorización Final 2025],0,0)</f>
        <v>No</v>
      </c>
      <c r="AC280">
        <v>3</v>
      </c>
      <c r="AD280" t="s">
        <v>1104</v>
      </c>
      <c r="AE280">
        <v>4</v>
      </c>
      <c r="AF280">
        <v>0</v>
      </c>
      <c r="AG280">
        <v>0</v>
      </c>
      <c r="AH280">
        <v>1</v>
      </c>
      <c r="AI280">
        <v>0</v>
      </c>
      <c r="AJ280">
        <v>0</v>
      </c>
      <c r="AK280">
        <v>0</v>
      </c>
      <c r="AL280">
        <v>0</v>
      </c>
      <c r="AM280">
        <v>1</v>
      </c>
      <c r="AN280">
        <v>2</v>
      </c>
      <c r="AO280" s="314">
        <f>Table8[[#This Row],[N° Clústeres con respuesta]]/Table8[[#This Row],[Org Total]]</f>
        <v>0.75</v>
      </c>
      <c r="AP280" s="313">
        <v>5965</v>
      </c>
      <c r="AQ280" s="313">
        <v>328</v>
      </c>
      <c r="AR280" s="312">
        <f>Table8[[#This Row],[Alcanzados Oct 2025]]/Table8[[#This Row],[Meta 2025]]</f>
        <v>5.4987426655490362E-2</v>
      </c>
      <c r="AS280" s="423">
        <v>0</v>
      </c>
      <c r="AT280" s="423">
        <v>0</v>
      </c>
      <c r="AU280" s="423">
        <v>174</v>
      </c>
      <c r="AV280" s="423">
        <v>0</v>
      </c>
      <c r="AW280" s="423">
        <v>0</v>
      </c>
      <c r="AX280" s="423">
        <v>0</v>
      </c>
      <c r="AY280" s="423">
        <v>0</v>
      </c>
      <c r="AZ280" s="423">
        <v>1</v>
      </c>
      <c r="BA280" s="42">
        <v>328</v>
      </c>
    </row>
    <row r="281" spans="1:53">
      <c r="A281" t="s">
        <v>642</v>
      </c>
      <c r="B281" t="s">
        <v>643</v>
      </c>
      <c r="C281" t="s">
        <v>652</v>
      </c>
      <c r="D281" t="s">
        <v>653</v>
      </c>
      <c r="E281" s="8">
        <v>27739</v>
      </c>
      <c r="F281" s="8">
        <v>3536</v>
      </c>
      <c r="G281" s="8">
        <v>898.455174473238</v>
      </c>
      <c r="H281" s="8">
        <v>10124.735000000001</v>
      </c>
      <c r="I281" s="8">
        <v>3330.8621270632366</v>
      </c>
      <c r="J281" s="8">
        <v>6710.7387679135736</v>
      </c>
      <c r="K281" s="8">
        <v>0</v>
      </c>
      <c r="L281" s="8">
        <v>2154.1471445002571</v>
      </c>
      <c r="M281" s="8">
        <v>2348.7585687697506</v>
      </c>
      <c r="N281" s="6" cm="1">
        <f t="array" ref="N281">_xlfn.XLOOKUP(Table8[[#This Row],[Admin2PCODE]:[Admin2PCODE]],tblPiNAnalysis[[Admin2PCODE]:[Admin2PCODE]],tblPiNAnalysis[% SAMV],0,0)</f>
        <v>0.15000000000000002</v>
      </c>
      <c r="O281" s="6" cm="1">
        <f t="array" ref="O281">_xlfn.XLOOKUP(Table8[[#This Row],[Admin2PCODE]:[Admin2PCODE]],tblPiNAnalysis[[Admin2PCODE]:[Admin2PCODE]],tblPiNAnalysis[% NUT],0,0)</f>
        <v>0.05</v>
      </c>
      <c r="P281" s="6" cm="1">
        <f t="array" ref="P281">_xlfn.XLOOKUP(Table8[[#This Row],[Admin2PCODE]:[Admin2PCODE]],tblPiNAnalysis[[Admin2PCODE]:[Admin2PCODE]],tblPiNAnalysis[% SAL],0,0)</f>
        <v>0.35000000000000003</v>
      </c>
      <c r="Q281" s="6" cm="1">
        <f t="array" ref="Q281">_xlfn.XLOOKUP(Table8[[#This Row],[Admin2PCODE]:[Admin2PCODE]],tblPiNAnalysis[[Admin2PCODE]:[Admin2PCODE]],tblPiNAnalysis[% EDU],0,0)</f>
        <v>0.1</v>
      </c>
      <c r="R281" s="6" cm="1">
        <f t="array" ref="R281">_xlfn.XLOOKUP(Table8[[#This Row],[Admin2PCODE]:[Admin2PCODE]],tblPiNAnalysis[[Admin2PCODE]:[Admin2PCODE]],tblPiNAnalysis[% PRO],0,0)</f>
        <v>0.25</v>
      </c>
      <c r="S281" s="6" cm="1">
        <f t="array" ref="S281">_xlfn.XLOOKUP(Table8[[#This Row],[Admin2PCODE]:[Admin2PCODE]],tblPiNAnalysis[[Admin2PCODE]:[Admin2PCODE]],tblPiNAnalysis[% WASH],0,0)</f>
        <v>0</v>
      </c>
      <c r="T281" s="6" cm="1">
        <f t="array" ref="T281">_xlfn.XLOOKUP(Table8[[#This Row],[Admin2PCODE]:[Admin2PCODE]],tblPiNAnalysis[[Admin2PCODE]:[Admin2PCODE]],tblPiNAnalysis[% NNA],0,0)</f>
        <v>0.1</v>
      </c>
      <c r="U281" s="6" cm="1">
        <f t="array" ref="U281">_xlfn.XLOOKUP(Table8[[#This Row],[Admin2PCODE]:[Admin2PCODE]],tblPiNAnalysis[[Admin2PCODE]:[Admin2PCODE]],tblPiNAnalysis[% VBG],0,0)</f>
        <v>0.1</v>
      </c>
      <c r="V281" s="8" cm="1">
        <f t="array" ref="V281">_xlfn.XLOOKUP(Table8[[#This Row],[Admin2PCODE]:[Admin2PCODE]],tblPiNAnalysis[[Admin2PCODE]:[Admin2PCODE]],tblPiNAnalysis[PiN preliminar],0,0)</f>
        <v>10124.735000000001</v>
      </c>
      <c r="W281" s="308" cm="1">
        <f t="array" ref="W281">_xlfn.XLOOKUP(Table8[[#This Row],[Admin2PCODE]],tblPiNAnalysis[Admin2PCODE],tblSeverityAnalysis[Severidad media],0,0)</f>
        <v>2.3333333333333335</v>
      </c>
      <c r="X281" s="42">
        <f>Table8[[#This Row],[Severidad media]]*6</f>
        <v>14</v>
      </c>
      <c r="Y281" s="6" cm="1">
        <f t="array" ref="Y281">_xlfn.XLOOKUP(Table8[[#This Row],[Admin2PCODE]],tblPiNAnalysis[Admin2PCODE],tblPiNAnalysis[% PiN Sectores más altos],0,0)</f>
        <v>0.36500000000000005</v>
      </c>
      <c r="Z281" s="42" cm="1">
        <f t="array" ref="Z281">_xlfn.XLOOKUP(Table8[[#This Row],[Admin2PCODE]:[Admin2PCODE]],tblPiNAnalysis[[Admin2PCODE]:[Admin2PCODE]],tblPiNAnalysis[Severidad],0,0)</f>
        <v>3</v>
      </c>
      <c r="AA281">
        <f>_xlfn.XLOOKUP(Table8[[#This Row],[Admin2PCODE]],tblSeverityAnalysis[Admin 2 Código P],tblSeverityAnalysis[Severidad Ttotal 2025],0,0)</f>
        <v>3</v>
      </c>
      <c r="AB281" t="str">
        <f>_xlfn.XLOOKUP(Table8[[#This Row],[Admin2PCODE]],tblSeverityAnalysis[Admin 2 Código P],tblSeverityAnalysis[Priorización Final 2025],0,0)</f>
        <v>No</v>
      </c>
      <c r="AC281">
        <v>2</v>
      </c>
      <c r="AD281" t="s">
        <v>968</v>
      </c>
      <c r="AE281">
        <v>4</v>
      </c>
      <c r="AF281">
        <v>0</v>
      </c>
      <c r="AG281">
        <v>0</v>
      </c>
      <c r="AH281">
        <v>0</v>
      </c>
      <c r="AI281">
        <v>0</v>
      </c>
      <c r="AJ281">
        <v>0</v>
      </c>
      <c r="AK281">
        <v>0</v>
      </c>
      <c r="AL281">
        <v>1</v>
      </c>
      <c r="AM281">
        <v>0</v>
      </c>
      <c r="AN281">
        <v>3</v>
      </c>
      <c r="AO281" s="314">
        <f>Table8[[#This Row],[N° Clústeres con respuesta]]/Table8[[#This Row],[Org Total]]</f>
        <v>0.5</v>
      </c>
      <c r="AP281" s="313">
        <v>5965</v>
      </c>
      <c r="AQ281" s="313">
        <v>4212</v>
      </c>
      <c r="AR281" s="312">
        <f>Table8[[#This Row],[Alcanzados Oct 2025]]/Table8[[#This Row],[Meta 2025]]</f>
        <v>0.70611902766135792</v>
      </c>
      <c r="AS281" s="423">
        <v>0</v>
      </c>
      <c r="AT281" s="423">
        <v>0</v>
      </c>
      <c r="AU281" s="423">
        <v>0</v>
      </c>
      <c r="AV281" s="423">
        <v>0</v>
      </c>
      <c r="AW281" s="423">
        <v>0</v>
      </c>
      <c r="AX281" s="423">
        <v>0</v>
      </c>
      <c r="AY281" s="423">
        <v>3</v>
      </c>
      <c r="AZ281" s="423">
        <v>0</v>
      </c>
      <c r="BA281" s="42">
        <v>4212</v>
      </c>
    </row>
    <row r="282" spans="1:53">
      <c r="A282" t="s">
        <v>642</v>
      </c>
      <c r="B282" t="s">
        <v>643</v>
      </c>
      <c r="C282" t="s">
        <v>654</v>
      </c>
      <c r="D282" t="s">
        <v>655</v>
      </c>
      <c r="E282" s="8">
        <v>4656</v>
      </c>
      <c r="F282" s="8">
        <v>1108</v>
      </c>
      <c r="G282" s="8">
        <v>154.43348450889914</v>
      </c>
      <c r="H282" s="8">
        <v>1699.44</v>
      </c>
      <c r="I282" s="8">
        <v>937.93561225383792</v>
      </c>
      <c r="J282" s="8">
        <v>563.19982161227165</v>
      </c>
      <c r="K282" s="8">
        <v>0</v>
      </c>
      <c r="L282" s="8">
        <v>180.22394291592693</v>
      </c>
      <c r="M282" s="8">
        <v>197.11993756429504</v>
      </c>
      <c r="N282" s="6" cm="1">
        <f t="array" ref="N282">_xlfn.XLOOKUP(Table8[[#This Row],[Admin2PCODE]:[Admin2PCODE]],tblPiNAnalysis[[Admin2PCODE]:[Admin2PCODE]],tblPiNAnalysis[% SAMV],0,0)</f>
        <v>0.25</v>
      </c>
      <c r="O282" s="6" cm="1">
        <f t="array" ref="O282">_xlfn.XLOOKUP(Table8[[#This Row],[Admin2PCODE]:[Admin2PCODE]],tblPiNAnalysis[[Admin2PCODE]:[Admin2PCODE]],tblPiNAnalysis[% NUT],0,0)</f>
        <v>0.05</v>
      </c>
      <c r="P282" s="6" cm="1">
        <f t="array" ref="P282">_xlfn.XLOOKUP(Table8[[#This Row],[Admin2PCODE]:[Admin2PCODE]],tblPiNAnalysis[[Admin2PCODE]:[Admin2PCODE]],tblPiNAnalysis[% SAL],0,0)</f>
        <v>0.35000000000000003</v>
      </c>
      <c r="Q282" s="6" cm="1">
        <f t="array" ref="Q282">_xlfn.XLOOKUP(Table8[[#This Row],[Admin2PCODE]:[Admin2PCODE]],tblPiNAnalysis[[Admin2PCODE]:[Admin2PCODE]],tblPiNAnalysis[% EDU],0,0)</f>
        <v>0.2</v>
      </c>
      <c r="R282" s="6" cm="1">
        <f t="array" ref="R282">_xlfn.XLOOKUP(Table8[[#This Row],[Admin2PCODE]:[Admin2PCODE]],tblPiNAnalysis[[Admin2PCODE]:[Admin2PCODE]],tblPiNAnalysis[% PRO],0,0)</f>
        <v>0.1</v>
      </c>
      <c r="S282" s="6" cm="1">
        <f t="array" ref="S282">_xlfn.XLOOKUP(Table8[[#This Row],[Admin2PCODE]:[Admin2PCODE]],tblPiNAnalysis[[Admin2PCODE]:[Admin2PCODE]],tblPiNAnalysis[% WASH],0,0)</f>
        <v>0</v>
      </c>
      <c r="T282" s="6" cm="1">
        <f t="array" ref="T282">_xlfn.XLOOKUP(Table8[[#This Row],[Admin2PCODE]:[Admin2PCODE]],tblPiNAnalysis[[Admin2PCODE]:[Admin2PCODE]],tblPiNAnalysis[% NNA],0,0)</f>
        <v>0.05</v>
      </c>
      <c r="U282" s="6" cm="1">
        <f t="array" ref="U282">_xlfn.XLOOKUP(Table8[[#This Row],[Admin2PCODE]:[Admin2PCODE]],tblPiNAnalysis[[Admin2PCODE]:[Admin2PCODE]],tblPiNAnalysis[% VBG],0,0)</f>
        <v>0.05</v>
      </c>
      <c r="V282" s="8" cm="1">
        <f t="array" ref="V282">_xlfn.XLOOKUP(Table8[[#This Row],[Admin2PCODE]:[Admin2PCODE]],tblPiNAnalysis[[Admin2PCODE]:[Admin2PCODE]],tblPiNAnalysis[PiN preliminar],0,0)</f>
        <v>0</v>
      </c>
      <c r="W282" s="308" cm="1">
        <f t="array" ref="W282">_xlfn.XLOOKUP(Table8[[#This Row],[Admin2PCODE]],tblPiNAnalysis[Admin2PCODE],tblSeverityAnalysis[Severidad media],0,0)</f>
        <v>3.5</v>
      </c>
      <c r="X282" s="42">
        <f>Table8[[#This Row],[Severidad media]]*6</f>
        <v>21</v>
      </c>
      <c r="Y282" s="6" cm="1">
        <f t="array" ref="Y282">_xlfn.XLOOKUP(Table8[[#This Row],[Admin2PCODE]],tblPiNAnalysis[Admin2PCODE],tblPiNAnalysis[% PiN Sectores más altos],0,0)</f>
        <v>0.36499999999999999</v>
      </c>
      <c r="Z282" s="42" cm="1">
        <f t="array" ref="Z282">_xlfn.XLOOKUP(Table8[[#This Row],[Admin2PCODE]:[Admin2PCODE]],tblPiNAnalysis[[Admin2PCODE]:[Admin2PCODE]],tblPiNAnalysis[Severidad],0,0)</f>
        <v>2</v>
      </c>
      <c r="AA282">
        <f>_xlfn.XLOOKUP(Table8[[#This Row],[Admin2PCODE]],tblSeverityAnalysis[Admin 2 Código P],tblSeverityAnalysis[Severidad Ttotal 2025],0,0)</f>
        <v>3</v>
      </c>
      <c r="AB282" t="str">
        <f>_xlfn.XLOOKUP(Table8[[#This Row],[Admin2PCODE]],tblSeverityAnalysis[Admin 2 Código P],tblSeverityAnalysis[Priorización Final 2025],0,0)</f>
        <v>No</v>
      </c>
      <c r="AC282">
        <v>0</v>
      </c>
      <c r="AD282">
        <v>0</v>
      </c>
      <c r="AE282">
        <v>0</v>
      </c>
      <c r="AF282">
        <v>0</v>
      </c>
      <c r="AG282">
        <v>0</v>
      </c>
      <c r="AH282">
        <v>0</v>
      </c>
      <c r="AI282">
        <v>0</v>
      </c>
      <c r="AJ282">
        <v>0</v>
      </c>
      <c r="AK282">
        <v>0</v>
      </c>
      <c r="AL282">
        <v>0</v>
      </c>
      <c r="AM282">
        <v>0</v>
      </c>
      <c r="AN282">
        <v>0</v>
      </c>
      <c r="AO282" s="314" t="e">
        <f>Table8[[#This Row],[N° Clústeres con respuesta]]/Table8[[#This Row],[Org Total]]</f>
        <v>#DIV/0!</v>
      </c>
      <c r="AP282" s="313">
        <v>1044</v>
      </c>
      <c r="AQ282" s="313">
        <v>0</v>
      </c>
      <c r="AR282" s="312">
        <f>Table8[[#This Row],[Alcanzados Oct 2025]]/Table8[[#This Row],[Meta 2025]]</f>
        <v>0</v>
      </c>
      <c r="AS282" s="423">
        <v>0</v>
      </c>
      <c r="AT282" s="423">
        <v>0</v>
      </c>
      <c r="AU282" s="423">
        <v>0</v>
      </c>
      <c r="AV282" s="423">
        <v>0</v>
      </c>
      <c r="AW282" s="423">
        <v>0</v>
      </c>
      <c r="AX282" s="423">
        <v>0</v>
      </c>
      <c r="AY282" s="423">
        <v>0</v>
      </c>
      <c r="AZ282" s="423">
        <v>0</v>
      </c>
      <c r="BA282" s="42">
        <v>0</v>
      </c>
    </row>
    <row r="283" spans="1:53">
      <c r="A283" t="s">
        <v>642</v>
      </c>
      <c r="B283" t="s">
        <v>643</v>
      </c>
      <c r="C283" t="s">
        <v>656</v>
      </c>
      <c r="D283" t="s">
        <v>657</v>
      </c>
      <c r="E283" s="8">
        <v>5449</v>
      </c>
      <c r="F283" s="8">
        <v>665</v>
      </c>
      <c r="G283" s="8">
        <v>191.19198544738322</v>
      </c>
      <c r="H283" s="8">
        <v>1988.885</v>
      </c>
      <c r="I283" s="8">
        <v>423.40729764383741</v>
      </c>
      <c r="J283" s="8">
        <v>659.12281528463677</v>
      </c>
      <c r="K283" s="8">
        <v>0</v>
      </c>
      <c r="L283" s="8">
        <v>210.91930089108376</v>
      </c>
      <c r="M283" s="8">
        <v>230.69298534962286</v>
      </c>
      <c r="N283" s="6" cm="1">
        <f t="array" ref="N283">_xlfn.XLOOKUP(Table8[[#This Row],[Admin2PCODE]:[Admin2PCODE]],tblPiNAnalysis[[Admin2PCODE]:[Admin2PCODE]],tblPiNAnalysis[% SAMV],0,0)</f>
        <v>0.1</v>
      </c>
      <c r="O283" s="6" cm="1">
        <f t="array" ref="O283">_xlfn.XLOOKUP(Table8[[#This Row],[Admin2PCODE]:[Admin2PCODE]],tblPiNAnalysis[[Admin2PCODE]:[Admin2PCODE]],tblPiNAnalysis[% NUT],0,0)</f>
        <v>0.05</v>
      </c>
      <c r="P283" s="6" cm="1">
        <f t="array" ref="P283">_xlfn.XLOOKUP(Table8[[#This Row],[Admin2PCODE]:[Admin2PCODE]],tblPiNAnalysis[[Admin2PCODE]:[Admin2PCODE]],tblPiNAnalysis[% SAL],0,0)</f>
        <v>0.35000000000000003</v>
      </c>
      <c r="Q283" s="6" cm="1">
        <f t="array" ref="Q283">_xlfn.XLOOKUP(Table8[[#This Row],[Admin2PCODE]:[Admin2PCODE]],tblPiNAnalysis[[Admin2PCODE]:[Admin2PCODE]],tblPiNAnalysis[% EDU],0,0)</f>
        <v>0.1</v>
      </c>
      <c r="R283" s="6" cm="1">
        <f t="array" ref="R283">_xlfn.XLOOKUP(Table8[[#This Row],[Admin2PCODE]:[Admin2PCODE]],tblPiNAnalysis[[Admin2PCODE]:[Admin2PCODE]],tblPiNAnalysis[% PRO],0,0)</f>
        <v>0.1</v>
      </c>
      <c r="S283" s="6" cm="1">
        <f t="array" ref="S283">_xlfn.XLOOKUP(Table8[[#This Row],[Admin2PCODE]:[Admin2PCODE]],tblPiNAnalysis[[Admin2PCODE]:[Admin2PCODE]],tblPiNAnalysis[% WASH],0,0)</f>
        <v>0</v>
      </c>
      <c r="T283" s="6" cm="1">
        <f t="array" ref="T283">_xlfn.XLOOKUP(Table8[[#This Row],[Admin2PCODE]:[Admin2PCODE]],tblPiNAnalysis[[Admin2PCODE]:[Admin2PCODE]],tblPiNAnalysis[% NNA],0,0)</f>
        <v>0.05</v>
      </c>
      <c r="U283" s="6" cm="1">
        <f t="array" ref="U283">_xlfn.XLOOKUP(Table8[[#This Row],[Admin2PCODE]:[Admin2PCODE]],tblPiNAnalysis[[Admin2PCODE]:[Admin2PCODE]],tblPiNAnalysis[% VBG],0,0)</f>
        <v>0.05</v>
      </c>
      <c r="V283" s="8" cm="1">
        <f t="array" ref="V283">_xlfn.XLOOKUP(Table8[[#This Row],[Admin2PCODE]:[Admin2PCODE]],tblPiNAnalysis[[Admin2PCODE]:[Admin2PCODE]],tblPiNAnalysis[PiN preliminar],0,0)</f>
        <v>0</v>
      </c>
      <c r="W283" s="308" cm="1">
        <f t="array" ref="W283">_xlfn.XLOOKUP(Table8[[#This Row],[Admin2PCODE]],tblPiNAnalysis[Admin2PCODE],tblSeverityAnalysis[Severidad media],0,0)</f>
        <v>3.6666666666666665</v>
      </c>
      <c r="X283" s="42">
        <f>Table8[[#This Row],[Severidad media]]*6</f>
        <v>22</v>
      </c>
      <c r="Y283" s="6" cm="1">
        <f t="array" ref="Y283">_xlfn.XLOOKUP(Table8[[#This Row],[Admin2PCODE]],tblPiNAnalysis[Admin2PCODE],tblPiNAnalysis[% PiN Sectores más altos],0,0)</f>
        <v>0.36499999999999999</v>
      </c>
      <c r="Z283" s="42" cm="1">
        <f t="array" ref="Z283">_xlfn.XLOOKUP(Table8[[#This Row],[Admin2PCODE]:[Admin2PCODE]],tblPiNAnalysis[[Admin2PCODE]:[Admin2PCODE]],tblPiNAnalysis[Severidad],0,0)</f>
        <v>2</v>
      </c>
      <c r="AA283">
        <f>_xlfn.XLOOKUP(Table8[[#This Row],[Admin2PCODE]],tblSeverityAnalysis[Admin 2 Código P],tblSeverityAnalysis[Severidad Ttotal 2025],0,0)</f>
        <v>3</v>
      </c>
      <c r="AB283" t="str">
        <f>_xlfn.XLOOKUP(Table8[[#This Row],[Admin2PCODE]],tblSeverityAnalysis[Admin 2 Código P],tblSeverityAnalysis[Priorización Final 2025],0,0)</f>
        <v>No</v>
      </c>
      <c r="AC283">
        <v>1</v>
      </c>
      <c r="AD283" t="s">
        <v>92</v>
      </c>
      <c r="AE283">
        <v>3</v>
      </c>
      <c r="AF283">
        <v>0</v>
      </c>
      <c r="AG283">
        <v>0</v>
      </c>
      <c r="AH283">
        <v>0</v>
      </c>
      <c r="AI283">
        <v>0</v>
      </c>
      <c r="AJ283">
        <v>0</v>
      </c>
      <c r="AK283">
        <v>0</v>
      </c>
      <c r="AL283">
        <v>0</v>
      </c>
      <c r="AM283">
        <v>0</v>
      </c>
      <c r="AN283">
        <v>3</v>
      </c>
      <c r="AO283" s="314">
        <f>Table8[[#This Row],[N° Clústeres con respuesta]]/Table8[[#This Row],[Org Total]]</f>
        <v>0.33333333333333331</v>
      </c>
      <c r="AP283" s="313">
        <v>1223</v>
      </c>
      <c r="AQ283" s="313">
        <v>1448</v>
      </c>
      <c r="AR283" s="312">
        <f>Table8[[#This Row],[Alcanzados Oct 2025]]/Table8[[#This Row],[Meta 2025]]</f>
        <v>1.1839738348323794</v>
      </c>
      <c r="AS283" s="423">
        <v>0</v>
      </c>
      <c r="AT283" s="423">
        <v>0</v>
      </c>
      <c r="AU283" s="423">
        <v>0</v>
      </c>
      <c r="AV283" s="423">
        <v>0</v>
      </c>
      <c r="AW283" s="423">
        <v>0</v>
      </c>
      <c r="AX283" s="423">
        <v>0</v>
      </c>
      <c r="AY283" s="423">
        <v>0</v>
      </c>
      <c r="AZ283" s="423">
        <v>0</v>
      </c>
      <c r="BA283" s="42">
        <v>1448</v>
      </c>
    </row>
    <row r="284" spans="1:53">
      <c r="A284" t="s">
        <v>642</v>
      </c>
      <c r="B284" t="s">
        <v>643</v>
      </c>
      <c r="C284" t="s">
        <v>658</v>
      </c>
      <c r="D284" t="s">
        <v>659</v>
      </c>
      <c r="E284" s="8">
        <v>19460</v>
      </c>
      <c r="F284" s="8">
        <v>1441</v>
      </c>
      <c r="G284" s="8">
        <v>694.48460611633641</v>
      </c>
      <c r="H284" s="8">
        <v>7102.9</v>
      </c>
      <c r="I284" s="8">
        <v>592.15632997733667</v>
      </c>
      <c r="J284" s="8">
        <v>4707.8473060888346</v>
      </c>
      <c r="K284" s="8">
        <v>0</v>
      </c>
      <c r="L284" s="8">
        <v>1511.2189852545159</v>
      </c>
      <c r="M284" s="8">
        <v>1647.7465571310918</v>
      </c>
      <c r="N284" s="6" cm="1">
        <f t="array" ref="N284">_xlfn.XLOOKUP(Table8[[#This Row],[Admin2PCODE]:[Admin2PCODE]],tblPiNAnalysis[[Admin2PCODE]:[Admin2PCODE]],tblPiNAnalysis[% SAMV],0,0)</f>
        <v>0.05</v>
      </c>
      <c r="O284" s="6" cm="1">
        <f t="array" ref="O284">_xlfn.XLOOKUP(Table8[[#This Row],[Admin2PCODE]:[Admin2PCODE]],tblPiNAnalysis[[Admin2PCODE]:[Admin2PCODE]],tblPiNAnalysis[% NUT],0,0)</f>
        <v>0.05</v>
      </c>
      <c r="P284" s="6" cm="1">
        <f t="array" ref="P284">_xlfn.XLOOKUP(Table8[[#This Row],[Admin2PCODE]:[Admin2PCODE]],tblPiNAnalysis[[Admin2PCODE]:[Admin2PCODE]],tblPiNAnalysis[% SAL],0,0)</f>
        <v>0.35000000000000003</v>
      </c>
      <c r="Q284" s="6" cm="1">
        <f t="array" ref="Q284">_xlfn.XLOOKUP(Table8[[#This Row],[Admin2PCODE]:[Admin2PCODE]],tblPiNAnalysis[[Admin2PCODE]:[Admin2PCODE]],tblPiNAnalysis[% EDU],0,0)</f>
        <v>0.05</v>
      </c>
      <c r="R284" s="6" cm="1">
        <f t="array" ref="R284">_xlfn.XLOOKUP(Table8[[#This Row],[Admin2PCODE]:[Admin2PCODE]],tblPiNAnalysis[[Admin2PCODE]:[Admin2PCODE]],tblPiNAnalysis[% PRO],0,0)</f>
        <v>0.25</v>
      </c>
      <c r="S284" s="6" cm="1">
        <f t="array" ref="S284">_xlfn.XLOOKUP(Table8[[#This Row],[Admin2PCODE]:[Admin2PCODE]],tblPiNAnalysis[[Admin2PCODE]:[Admin2PCODE]],tblPiNAnalysis[% WASH],0,0)</f>
        <v>0</v>
      </c>
      <c r="T284" s="6" cm="1">
        <f t="array" ref="T284">_xlfn.XLOOKUP(Table8[[#This Row],[Admin2PCODE]:[Admin2PCODE]],tblPiNAnalysis[[Admin2PCODE]:[Admin2PCODE]],tblPiNAnalysis[% NNA],0,0)</f>
        <v>0.1</v>
      </c>
      <c r="U284" s="6" cm="1">
        <f t="array" ref="U284">_xlfn.XLOOKUP(Table8[[#This Row],[Admin2PCODE]:[Admin2PCODE]],tblPiNAnalysis[[Admin2PCODE]:[Admin2PCODE]],tblPiNAnalysis[% VBG],0,0)</f>
        <v>0.1</v>
      </c>
      <c r="V284" s="8" cm="1">
        <f t="array" ref="V284">_xlfn.XLOOKUP(Table8[[#This Row],[Admin2PCODE]:[Admin2PCODE]],tblPiNAnalysis[[Admin2PCODE]:[Admin2PCODE]],tblPiNAnalysis[PiN preliminar],0,0)</f>
        <v>7102.9</v>
      </c>
      <c r="W284" s="308" cm="1">
        <f t="array" ref="W284">_xlfn.XLOOKUP(Table8[[#This Row],[Admin2PCODE]],tblPiNAnalysis[Admin2PCODE],tblSeverityAnalysis[Severidad media],0,0)</f>
        <v>2.8333333333333335</v>
      </c>
      <c r="X284" s="42">
        <f>Table8[[#This Row],[Severidad media]]*6</f>
        <v>17</v>
      </c>
      <c r="Y284" s="6" cm="1">
        <f t="array" ref="Y284">_xlfn.XLOOKUP(Table8[[#This Row],[Admin2PCODE]],tblPiNAnalysis[Admin2PCODE],tblPiNAnalysis[% PiN Sectores más altos],0,0)</f>
        <v>0.36499999999999999</v>
      </c>
      <c r="Z284" s="42" cm="1">
        <f t="array" ref="Z284">_xlfn.XLOOKUP(Table8[[#This Row],[Admin2PCODE]:[Admin2PCODE]],tblPiNAnalysis[[Admin2PCODE]:[Admin2PCODE]],tblPiNAnalysis[Severidad],0,0)</f>
        <v>3</v>
      </c>
      <c r="AA284">
        <f>_xlfn.XLOOKUP(Table8[[#This Row],[Admin2PCODE]],tblSeverityAnalysis[Admin 2 Código P],tblSeverityAnalysis[Severidad Ttotal 2025],0,0)</f>
        <v>3</v>
      </c>
      <c r="AB284" t="str">
        <f>_xlfn.XLOOKUP(Table8[[#This Row],[Admin2PCODE]],tblSeverityAnalysis[Admin 2 Código P],tblSeverityAnalysis[Priorización Final 2025],0,0)</f>
        <v>No</v>
      </c>
      <c r="AC284">
        <v>1</v>
      </c>
      <c r="AD284" t="s">
        <v>92</v>
      </c>
      <c r="AE284">
        <v>3</v>
      </c>
      <c r="AF284">
        <v>0</v>
      </c>
      <c r="AG284">
        <v>0</v>
      </c>
      <c r="AH284">
        <v>0</v>
      </c>
      <c r="AI284">
        <v>0</v>
      </c>
      <c r="AJ284">
        <v>0</v>
      </c>
      <c r="AK284">
        <v>0</v>
      </c>
      <c r="AL284">
        <v>0</v>
      </c>
      <c r="AM284">
        <v>0</v>
      </c>
      <c r="AN284">
        <v>3</v>
      </c>
      <c r="AO284" s="314">
        <f>Table8[[#This Row],[N° Clústeres con respuesta]]/Table8[[#This Row],[Org Total]]</f>
        <v>0.33333333333333331</v>
      </c>
      <c r="AP284" s="313">
        <v>4543</v>
      </c>
      <c r="AQ284" s="313">
        <v>372</v>
      </c>
      <c r="AR284" s="312">
        <f>Table8[[#This Row],[Alcanzados Oct 2025]]/Table8[[#This Row],[Meta 2025]]</f>
        <v>8.1884217477437821E-2</v>
      </c>
      <c r="AS284" s="423">
        <v>0</v>
      </c>
      <c r="AT284" s="423">
        <v>0</v>
      </c>
      <c r="AU284" s="423">
        <v>0</v>
      </c>
      <c r="AV284" s="423">
        <v>0</v>
      </c>
      <c r="AW284" s="423">
        <v>0</v>
      </c>
      <c r="AX284" s="423">
        <v>0</v>
      </c>
      <c r="AY284" s="423">
        <v>0</v>
      </c>
      <c r="AZ284" s="423">
        <v>0</v>
      </c>
      <c r="BA284" s="42">
        <v>372</v>
      </c>
    </row>
    <row r="285" spans="1:53">
      <c r="A285" t="s">
        <v>642</v>
      </c>
      <c r="B285" t="s">
        <v>643</v>
      </c>
      <c r="C285" t="s">
        <v>276</v>
      </c>
      <c r="D285" t="s">
        <v>660</v>
      </c>
      <c r="E285" s="8">
        <v>21776</v>
      </c>
      <c r="F285" s="8">
        <v>259</v>
      </c>
      <c r="G285" s="8">
        <v>743.2191414822812</v>
      </c>
      <c r="H285" s="8">
        <v>7948.24</v>
      </c>
      <c r="I285" s="8">
        <v>1742.9427233950278</v>
      </c>
      <c r="J285" s="8">
        <v>2634.0720179185632</v>
      </c>
      <c r="K285" s="8">
        <v>0</v>
      </c>
      <c r="L285" s="8">
        <v>842.90304573394019</v>
      </c>
      <c r="M285" s="8">
        <v>921.92520627149713</v>
      </c>
      <c r="N285" s="6" cm="1">
        <f t="array" ref="N285">_xlfn.XLOOKUP(Table8[[#This Row],[Admin2PCODE]:[Admin2PCODE]],tblPiNAnalysis[[Admin2PCODE]:[Admin2PCODE]],tblPiNAnalysis[% SAMV],0,0)</f>
        <v>0</v>
      </c>
      <c r="O285" s="6" cm="1">
        <f t="array" ref="O285">_xlfn.XLOOKUP(Table8[[#This Row],[Admin2PCODE]:[Admin2PCODE]],tblPiNAnalysis[[Admin2PCODE]:[Admin2PCODE]],tblPiNAnalysis[% NUT],0,0)</f>
        <v>0.05</v>
      </c>
      <c r="P285" s="6" cm="1">
        <f t="array" ref="P285">_xlfn.XLOOKUP(Table8[[#This Row],[Admin2PCODE]:[Admin2PCODE]],tblPiNAnalysis[[Admin2PCODE]:[Admin2PCODE]],tblPiNAnalysis[% SAL],0,0)</f>
        <v>0.35000000000000003</v>
      </c>
      <c r="Q285" s="6" cm="1">
        <f t="array" ref="Q285">_xlfn.XLOOKUP(Table8[[#This Row],[Admin2PCODE]:[Admin2PCODE]],tblPiNAnalysis[[Admin2PCODE]:[Admin2PCODE]],tblPiNAnalysis[% EDU],0,0)</f>
        <v>0.1</v>
      </c>
      <c r="R285" s="6" cm="1">
        <f t="array" ref="R285">_xlfn.XLOOKUP(Table8[[#This Row],[Admin2PCODE]:[Admin2PCODE]],tblPiNAnalysis[[Admin2PCODE]:[Admin2PCODE]],tblPiNAnalysis[% PRO],0,0)</f>
        <v>0.1</v>
      </c>
      <c r="S285" s="6" cm="1">
        <f t="array" ref="S285">_xlfn.XLOOKUP(Table8[[#This Row],[Admin2PCODE]:[Admin2PCODE]],tblPiNAnalysis[[Admin2PCODE]:[Admin2PCODE]],tblPiNAnalysis[% WASH],0,0)</f>
        <v>0</v>
      </c>
      <c r="T285" s="6" cm="1">
        <f t="array" ref="T285">_xlfn.XLOOKUP(Table8[[#This Row],[Admin2PCODE]:[Admin2PCODE]],tblPiNAnalysis[[Admin2PCODE]:[Admin2PCODE]],tblPiNAnalysis[% NNA],0,0)</f>
        <v>0.05</v>
      </c>
      <c r="U285" s="6" cm="1">
        <f t="array" ref="U285">_xlfn.XLOOKUP(Table8[[#This Row],[Admin2PCODE]:[Admin2PCODE]],tblPiNAnalysis[[Admin2PCODE]:[Admin2PCODE]],tblPiNAnalysis[% VBG],0,0)</f>
        <v>0.05</v>
      </c>
      <c r="V285" s="8" cm="1">
        <f t="array" ref="V285">_xlfn.XLOOKUP(Table8[[#This Row],[Admin2PCODE]:[Admin2PCODE]],tblPiNAnalysis[[Admin2PCODE]:[Admin2PCODE]],tblPiNAnalysis[PiN preliminar],0,0)</f>
        <v>0</v>
      </c>
      <c r="W285" s="308" cm="1">
        <f t="array" ref="W285">_xlfn.XLOOKUP(Table8[[#This Row],[Admin2PCODE]],tblPiNAnalysis[Admin2PCODE],tblSeverityAnalysis[Severidad media],0,0)</f>
        <v>3.3333333333333335</v>
      </c>
      <c r="X285" s="42">
        <f>Table8[[#This Row],[Severidad media]]*6</f>
        <v>20</v>
      </c>
      <c r="Y285" s="6" cm="1">
        <f t="array" ref="Y285">_xlfn.XLOOKUP(Table8[[#This Row],[Admin2PCODE]],tblPiNAnalysis[Admin2PCODE],tblPiNAnalysis[% PiN Sectores más altos],0,0)</f>
        <v>0.36499999999999999</v>
      </c>
      <c r="Z285" s="42" cm="1">
        <f t="array" ref="Z285">_xlfn.XLOOKUP(Table8[[#This Row],[Admin2PCODE]:[Admin2PCODE]],tblPiNAnalysis[[Admin2PCODE]:[Admin2PCODE]],tblPiNAnalysis[Severidad],0,0)</f>
        <v>2</v>
      </c>
      <c r="AA285">
        <f>_xlfn.XLOOKUP(Table8[[#This Row],[Admin2PCODE]],tblSeverityAnalysis[Admin 2 Código P],tblSeverityAnalysis[Severidad Ttotal 2025],0,0)</f>
        <v>3</v>
      </c>
      <c r="AB285" t="str">
        <f>_xlfn.XLOOKUP(Table8[[#This Row],[Admin2PCODE]],tblSeverityAnalysis[Admin 2 Código P],tblSeverityAnalysis[Priorización Final 2025],0,0)</f>
        <v>No</v>
      </c>
      <c r="AC285">
        <v>1</v>
      </c>
      <c r="AD285" t="s">
        <v>92</v>
      </c>
      <c r="AE285">
        <v>3</v>
      </c>
      <c r="AF285">
        <v>0</v>
      </c>
      <c r="AG285">
        <v>0</v>
      </c>
      <c r="AH285">
        <v>0</v>
      </c>
      <c r="AI285">
        <v>0</v>
      </c>
      <c r="AJ285">
        <v>0</v>
      </c>
      <c r="AK285">
        <v>0</v>
      </c>
      <c r="AL285">
        <v>0</v>
      </c>
      <c r="AM285">
        <v>0</v>
      </c>
      <c r="AN285">
        <v>3</v>
      </c>
      <c r="AO285" s="314">
        <f>Table8[[#This Row],[N° Clústeres con respuesta]]/Table8[[#This Row],[Org Total]]</f>
        <v>0.33333333333333331</v>
      </c>
      <c r="AP285" s="313">
        <v>5086</v>
      </c>
      <c r="AQ285" s="313">
        <v>4460</v>
      </c>
      <c r="AR285" s="312">
        <f>Table8[[#This Row],[Alcanzados Oct 2025]]/Table8[[#This Row],[Meta 2025]]</f>
        <v>0.8769170271333071</v>
      </c>
      <c r="AS285" s="423">
        <v>0</v>
      </c>
      <c r="AT285" s="423">
        <v>0</v>
      </c>
      <c r="AU285" s="423">
        <v>0</v>
      </c>
      <c r="AV285" s="423">
        <v>0</v>
      </c>
      <c r="AW285" s="423">
        <v>0</v>
      </c>
      <c r="AX285" s="423">
        <v>0</v>
      </c>
      <c r="AY285" s="423">
        <v>0</v>
      </c>
      <c r="AZ285" s="423">
        <v>0</v>
      </c>
      <c r="BA285" s="42">
        <v>4460</v>
      </c>
    </row>
    <row r="286" spans="1:53">
      <c r="A286" t="s">
        <v>642</v>
      </c>
      <c r="B286" t="s">
        <v>643</v>
      </c>
      <c r="C286" t="s">
        <v>661</v>
      </c>
      <c r="D286" t="s">
        <v>662</v>
      </c>
      <c r="E286" s="8">
        <v>12891</v>
      </c>
      <c r="F286" s="8">
        <v>2241</v>
      </c>
      <c r="G286" s="8">
        <v>474.06319783198478</v>
      </c>
      <c r="H286" s="8">
        <v>9850</v>
      </c>
      <c r="I286" s="8">
        <v>1690.5300263777835</v>
      </c>
      <c r="J286" s="8">
        <v>1559.3232174406776</v>
      </c>
      <c r="K286" s="8">
        <v>870.14249999999993</v>
      </c>
      <c r="L286" s="8">
        <v>498.98342958101682</v>
      </c>
      <c r="M286" s="8">
        <v>545.76312610423713</v>
      </c>
      <c r="N286" s="6" cm="1">
        <f t="array" ref="N286">_xlfn.XLOOKUP(Table8[[#This Row],[Admin2PCODE]:[Admin2PCODE]],tblPiNAnalysis[[Admin2PCODE]:[Admin2PCODE]],tblPiNAnalysis[% SAMV],0,0)</f>
        <v>0.15000000000000002</v>
      </c>
      <c r="O286" s="6" cm="1">
        <f t="array" ref="O286">_xlfn.XLOOKUP(Table8[[#This Row],[Admin2PCODE]:[Admin2PCODE]],tblPiNAnalysis[[Admin2PCODE]:[Admin2PCODE]],tblPiNAnalysis[% NUT],0,0)</f>
        <v>0.05</v>
      </c>
      <c r="P286" s="6" cm="1">
        <f t="array" ref="P286">_xlfn.XLOOKUP(Table8[[#This Row],[Admin2PCODE]:[Admin2PCODE]],tblPiNAnalysis[[Admin2PCODE]:[Admin2PCODE]],tblPiNAnalysis[% SAL],0,0)</f>
        <v>0.75</v>
      </c>
      <c r="Q286" s="6" cm="1">
        <f t="array" ref="Q286">_xlfn.XLOOKUP(Table8[[#This Row],[Admin2PCODE]:[Admin2PCODE]],tblPiNAnalysis[[Admin2PCODE]:[Admin2PCODE]],tblPiNAnalysis[% EDU],0,0)</f>
        <v>0.15000000000000002</v>
      </c>
      <c r="R286" s="6" cm="1">
        <f t="array" ref="R286">_xlfn.XLOOKUP(Table8[[#This Row],[Admin2PCODE]:[Admin2PCODE]],tblPiNAnalysis[[Admin2PCODE]:[Admin2PCODE]],tblPiNAnalysis[% PRO],0,0)</f>
        <v>0.1</v>
      </c>
      <c r="S286" s="6" cm="1">
        <f t="array" ref="S286">_xlfn.XLOOKUP(Table8[[#This Row],[Admin2PCODE]:[Admin2PCODE]],tblPiNAnalysis[[Admin2PCODE]:[Admin2PCODE]],tblPiNAnalysis[% WASH],0,0)</f>
        <v>0.05</v>
      </c>
      <c r="T286" s="6" cm="1">
        <f t="array" ref="T286">_xlfn.XLOOKUP(Table8[[#This Row],[Admin2PCODE]:[Admin2PCODE]],tblPiNAnalysis[[Admin2PCODE]:[Admin2PCODE]],tblPiNAnalysis[% NNA],0,0)</f>
        <v>0.05</v>
      </c>
      <c r="U286" s="6" cm="1">
        <f t="array" ref="U286">_xlfn.XLOOKUP(Table8[[#This Row],[Admin2PCODE]:[Admin2PCODE]],tblPiNAnalysis[[Admin2PCODE]:[Admin2PCODE]],tblPiNAnalysis[% VBG],0,0)</f>
        <v>0.05</v>
      </c>
      <c r="V286" s="8" cm="1">
        <f t="array" ref="V286">_xlfn.XLOOKUP(Table8[[#This Row],[Admin2PCODE]:[Admin2PCODE]],tblPiNAnalysis[[Admin2PCODE]:[Admin2PCODE]],tblPiNAnalysis[PiN preliminar],0,0)</f>
        <v>0</v>
      </c>
      <c r="W286" s="308" cm="1">
        <f t="array" ref="W286">_xlfn.XLOOKUP(Table8[[#This Row],[Admin2PCODE]],tblPiNAnalysis[Admin2PCODE],tblSeverityAnalysis[Severidad media],0,0)</f>
        <v>3</v>
      </c>
      <c r="X286" s="42">
        <f>Table8[[#This Row],[Severidad media]]*6</f>
        <v>18</v>
      </c>
      <c r="Y286" s="6" cm="1">
        <f t="array" ref="Y286">_xlfn.XLOOKUP(Table8[[#This Row],[Admin2PCODE]],tblPiNAnalysis[Admin2PCODE],tblPiNAnalysis[% PiN Sectores más altos],0,0)</f>
        <v>0.76409898378713836</v>
      </c>
      <c r="Z286" s="42" cm="1">
        <f t="array" ref="Z286">_xlfn.XLOOKUP(Table8[[#This Row],[Admin2PCODE]:[Admin2PCODE]],tblPiNAnalysis[[Admin2PCODE]:[Admin2PCODE]],tblPiNAnalysis[Severidad],0,0)</f>
        <v>2</v>
      </c>
      <c r="AA286">
        <f>_xlfn.XLOOKUP(Table8[[#This Row],[Admin2PCODE]],tblSeverityAnalysis[Admin 2 Código P],tblSeverityAnalysis[Severidad Ttotal 2025],0,0)</f>
        <v>3</v>
      </c>
      <c r="AB286" t="str">
        <f>_xlfn.XLOOKUP(Table8[[#This Row],[Admin2PCODE]],tblSeverityAnalysis[Admin 2 Código P],tblSeverityAnalysis[Priorización Final 2025],0,0)</f>
        <v>No</v>
      </c>
      <c r="AC286">
        <v>1</v>
      </c>
      <c r="AD286" t="s">
        <v>92</v>
      </c>
      <c r="AE286">
        <v>3</v>
      </c>
      <c r="AF286">
        <v>0</v>
      </c>
      <c r="AG286">
        <v>0</v>
      </c>
      <c r="AH286">
        <v>0</v>
      </c>
      <c r="AI286">
        <v>0</v>
      </c>
      <c r="AJ286">
        <v>0</v>
      </c>
      <c r="AK286">
        <v>0</v>
      </c>
      <c r="AL286">
        <v>0</v>
      </c>
      <c r="AM286">
        <v>0</v>
      </c>
      <c r="AN286">
        <v>3</v>
      </c>
      <c r="AO286" s="314">
        <f>Table8[[#This Row],[N° Clústeres con respuesta]]/Table8[[#This Row],[Org Total]]</f>
        <v>0.33333333333333331</v>
      </c>
      <c r="AP286" s="313">
        <v>2892</v>
      </c>
      <c r="AQ286" s="313">
        <v>4532</v>
      </c>
      <c r="AR286" s="312">
        <f>Table8[[#This Row],[Alcanzados Oct 2025]]/Table8[[#This Row],[Meta 2025]]</f>
        <v>1.5670816044260027</v>
      </c>
      <c r="AS286" s="423">
        <v>0</v>
      </c>
      <c r="AT286" s="423">
        <v>0</v>
      </c>
      <c r="AU286" s="423">
        <v>0</v>
      </c>
      <c r="AV286" s="423">
        <v>0</v>
      </c>
      <c r="AW286" s="423">
        <v>0</v>
      </c>
      <c r="AX286" s="423">
        <v>0</v>
      </c>
      <c r="AY286" s="423">
        <v>0</v>
      </c>
      <c r="AZ286" s="423">
        <v>0</v>
      </c>
      <c r="BA286" s="42">
        <v>4532</v>
      </c>
    </row>
    <row r="287" spans="1:53">
      <c r="A287" t="s">
        <v>642</v>
      </c>
      <c r="B287" t="s">
        <v>643</v>
      </c>
      <c r="C287" t="s">
        <v>663</v>
      </c>
      <c r="D287" t="s">
        <v>664</v>
      </c>
      <c r="E287" s="8">
        <v>20218</v>
      </c>
      <c r="F287" s="8">
        <v>749</v>
      </c>
      <c r="G287" s="8">
        <v>642.5012691935076</v>
      </c>
      <c r="H287" s="8">
        <v>7379.57</v>
      </c>
      <c r="I287" s="8">
        <v>1976.8928440547584</v>
      </c>
      <c r="J287" s="8">
        <v>4891.2259421636199</v>
      </c>
      <c r="K287" s="8">
        <v>0</v>
      </c>
      <c r="L287" s="8">
        <v>1565.1923014923584</v>
      </c>
      <c r="M287" s="8">
        <v>1711.9290797572671</v>
      </c>
      <c r="N287" s="6" cm="1">
        <f t="array" ref="N287">_xlfn.XLOOKUP(Table8[[#This Row],[Admin2PCODE]:[Admin2PCODE]],tblPiNAnalysis[[Admin2PCODE]:[Admin2PCODE]],tblPiNAnalysis[% SAMV],0,0)</f>
        <v>0.05</v>
      </c>
      <c r="O287" s="6" cm="1">
        <f t="array" ref="O287">_xlfn.XLOOKUP(Table8[[#This Row],[Admin2PCODE]:[Admin2PCODE]],tblPiNAnalysis[[Admin2PCODE]:[Admin2PCODE]],tblPiNAnalysis[% NUT],0,0)</f>
        <v>0.05</v>
      </c>
      <c r="P287" s="6" cm="1">
        <f t="array" ref="P287">_xlfn.XLOOKUP(Table8[[#This Row],[Admin2PCODE]:[Admin2PCODE]],tblPiNAnalysis[[Admin2PCODE]:[Admin2PCODE]],tblPiNAnalysis[% SAL],0,0)</f>
        <v>0.35000000000000003</v>
      </c>
      <c r="Q287" s="6" cm="1">
        <f t="array" ref="Q287">_xlfn.XLOOKUP(Table8[[#This Row],[Admin2PCODE]:[Admin2PCODE]],tblPiNAnalysis[[Admin2PCODE]:[Admin2PCODE]],tblPiNAnalysis[% EDU],0,0)</f>
        <v>0.1</v>
      </c>
      <c r="R287" s="6" cm="1">
        <f t="array" ref="R287">_xlfn.XLOOKUP(Table8[[#This Row],[Admin2PCODE]:[Admin2PCODE]],tblPiNAnalysis[[Admin2PCODE]:[Admin2PCODE]],tblPiNAnalysis[% PRO],0,0)</f>
        <v>0.25</v>
      </c>
      <c r="S287" s="6" cm="1">
        <f t="array" ref="S287">_xlfn.XLOOKUP(Table8[[#This Row],[Admin2PCODE]:[Admin2PCODE]],tblPiNAnalysis[[Admin2PCODE]:[Admin2PCODE]],tblPiNAnalysis[% WASH],0,0)</f>
        <v>0</v>
      </c>
      <c r="T287" s="6" cm="1">
        <f t="array" ref="T287">_xlfn.XLOOKUP(Table8[[#This Row],[Admin2PCODE]:[Admin2PCODE]],tblPiNAnalysis[[Admin2PCODE]:[Admin2PCODE]],tblPiNAnalysis[% NNA],0,0)</f>
        <v>0.1</v>
      </c>
      <c r="U287" s="6" cm="1">
        <f t="array" ref="U287">_xlfn.XLOOKUP(Table8[[#This Row],[Admin2PCODE]:[Admin2PCODE]],tblPiNAnalysis[[Admin2PCODE]:[Admin2PCODE]],tblPiNAnalysis[% VBG],0,0)</f>
        <v>0.1</v>
      </c>
      <c r="V287" s="8" cm="1">
        <f t="array" ref="V287">_xlfn.XLOOKUP(Table8[[#This Row],[Admin2PCODE]:[Admin2PCODE]],tblPiNAnalysis[[Admin2PCODE]:[Admin2PCODE]],tblPiNAnalysis[PiN preliminar],0,0)</f>
        <v>7379.57</v>
      </c>
      <c r="W287" s="308" cm="1">
        <f t="array" ref="W287">_xlfn.XLOOKUP(Table8[[#This Row],[Admin2PCODE]],tblPiNAnalysis[Admin2PCODE],tblSeverityAnalysis[Severidad media],0,0)</f>
        <v>2.8333333333333335</v>
      </c>
      <c r="X287" s="42">
        <f>Table8[[#This Row],[Severidad media]]*6</f>
        <v>17</v>
      </c>
      <c r="Y287" s="6" cm="1">
        <f t="array" ref="Y287">_xlfn.XLOOKUP(Table8[[#This Row],[Admin2PCODE]],tblPiNAnalysis[Admin2PCODE],tblPiNAnalysis[% PiN Sectores más altos],0,0)</f>
        <v>0.36499999999999999</v>
      </c>
      <c r="Z287" s="42" cm="1">
        <f t="array" ref="Z287">_xlfn.XLOOKUP(Table8[[#This Row],[Admin2PCODE]:[Admin2PCODE]],tblPiNAnalysis[[Admin2PCODE]:[Admin2PCODE]],tblPiNAnalysis[Severidad],0,0)</f>
        <v>3</v>
      </c>
      <c r="AA287">
        <f>_xlfn.XLOOKUP(Table8[[#This Row],[Admin2PCODE]],tblSeverityAnalysis[Admin 2 Código P],tblSeverityAnalysis[Severidad Ttotal 2025],0,0)</f>
        <v>3</v>
      </c>
      <c r="AB287" t="str">
        <f>_xlfn.XLOOKUP(Table8[[#This Row],[Admin2PCODE]],tblSeverityAnalysis[Admin 2 Código P],tblSeverityAnalysis[Priorización Final 2025],0,0)</f>
        <v>No</v>
      </c>
      <c r="AC287">
        <v>1</v>
      </c>
      <c r="AD287" t="s">
        <v>92</v>
      </c>
      <c r="AE287">
        <v>3</v>
      </c>
      <c r="AF287">
        <v>0</v>
      </c>
      <c r="AG287">
        <v>0</v>
      </c>
      <c r="AH287">
        <v>0</v>
      </c>
      <c r="AI287">
        <v>0</v>
      </c>
      <c r="AJ287">
        <v>0</v>
      </c>
      <c r="AK287">
        <v>0</v>
      </c>
      <c r="AL287">
        <v>0</v>
      </c>
      <c r="AM287">
        <v>0</v>
      </c>
      <c r="AN287">
        <v>3</v>
      </c>
      <c r="AO287" s="314">
        <f>Table8[[#This Row],[N° Clústeres con respuesta]]/Table8[[#This Row],[Org Total]]</f>
        <v>0.33333333333333331</v>
      </c>
      <c r="AP287" s="313">
        <v>4721</v>
      </c>
      <c r="AQ287" s="313">
        <v>4097</v>
      </c>
      <c r="AR287" s="312">
        <f>Table8[[#This Row],[Alcanzados Oct 2025]]/Table8[[#This Row],[Meta 2025]]</f>
        <v>0.86782461342935824</v>
      </c>
      <c r="AS287" s="423">
        <v>0</v>
      </c>
      <c r="AT287" s="423">
        <v>0</v>
      </c>
      <c r="AU287" s="423">
        <v>0</v>
      </c>
      <c r="AV287" s="423">
        <v>0</v>
      </c>
      <c r="AW287" s="423">
        <v>0</v>
      </c>
      <c r="AX287" s="423">
        <v>0</v>
      </c>
      <c r="AY287" s="423">
        <v>0</v>
      </c>
      <c r="AZ287" s="423">
        <v>0</v>
      </c>
      <c r="BA287" s="42">
        <v>4097</v>
      </c>
    </row>
    <row r="288" spans="1:53">
      <c r="A288" t="s">
        <v>642</v>
      </c>
      <c r="B288" t="s">
        <v>643</v>
      </c>
      <c r="C288" t="s">
        <v>665</v>
      </c>
      <c r="D288" t="s">
        <v>666</v>
      </c>
      <c r="E288" s="8">
        <v>48623</v>
      </c>
      <c r="F288" s="8">
        <v>2917</v>
      </c>
      <c r="G288" s="8">
        <v>1571.4522412250521</v>
      </c>
      <c r="H288" s="8">
        <v>17747.395</v>
      </c>
      <c r="I288" s="8">
        <v>4229.6640949479497</v>
      </c>
      <c r="J288" s="8">
        <v>5881.5431542640636</v>
      </c>
      <c r="K288" s="8">
        <v>0</v>
      </c>
      <c r="L288" s="8">
        <v>1882.0938093645004</v>
      </c>
      <c r="M288" s="8">
        <v>2058.5401039924218</v>
      </c>
      <c r="N288" s="6" cm="1">
        <f t="array" ref="N288">_xlfn.XLOOKUP(Table8[[#This Row],[Admin2PCODE]:[Admin2PCODE]],tblPiNAnalysis[[Admin2PCODE]:[Admin2PCODE]],tblPiNAnalysis[% SAMV],0,0)</f>
        <v>0.05</v>
      </c>
      <c r="O288" s="6" cm="1">
        <f t="array" ref="O288">_xlfn.XLOOKUP(Table8[[#This Row],[Admin2PCODE]:[Admin2PCODE]],tblPiNAnalysis[[Admin2PCODE]:[Admin2PCODE]],tblPiNAnalysis[% NUT],0,0)</f>
        <v>0.05</v>
      </c>
      <c r="P288" s="6" cm="1">
        <f t="array" ref="P288">_xlfn.XLOOKUP(Table8[[#This Row],[Admin2PCODE]:[Admin2PCODE]],tblPiNAnalysis[[Admin2PCODE]:[Admin2PCODE]],tblPiNAnalysis[% SAL],0,0)</f>
        <v>0.35000000000000003</v>
      </c>
      <c r="Q288" s="6" cm="1">
        <f t="array" ref="Q288">_xlfn.XLOOKUP(Table8[[#This Row],[Admin2PCODE]:[Admin2PCODE]],tblPiNAnalysis[[Admin2PCODE]:[Admin2PCODE]],tblPiNAnalysis[% EDU],0,0)</f>
        <v>0.1</v>
      </c>
      <c r="R288" s="6" cm="1">
        <f t="array" ref="R288">_xlfn.XLOOKUP(Table8[[#This Row],[Admin2PCODE]:[Admin2PCODE]],tblPiNAnalysis[[Admin2PCODE]:[Admin2PCODE]],tblPiNAnalysis[% PRO],0,0)</f>
        <v>0.1</v>
      </c>
      <c r="S288" s="6" cm="1">
        <f t="array" ref="S288">_xlfn.XLOOKUP(Table8[[#This Row],[Admin2PCODE]:[Admin2PCODE]],tblPiNAnalysis[[Admin2PCODE]:[Admin2PCODE]],tblPiNAnalysis[% WASH],0,0)</f>
        <v>0</v>
      </c>
      <c r="T288" s="6" cm="1">
        <f t="array" ref="T288">_xlfn.XLOOKUP(Table8[[#This Row],[Admin2PCODE]:[Admin2PCODE]],tblPiNAnalysis[[Admin2PCODE]:[Admin2PCODE]],tblPiNAnalysis[% NNA],0,0)</f>
        <v>0.05</v>
      </c>
      <c r="U288" s="6" cm="1">
        <f t="array" ref="U288">_xlfn.XLOOKUP(Table8[[#This Row],[Admin2PCODE]:[Admin2PCODE]],tblPiNAnalysis[[Admin2PCODE]:[Admin2PCODE]],tblPiNAnalysis[% VBG],0,0)</f>
        <v>0.05</v>
      </c>
      <c r="V288" s="8" cm="1">
        <f t="array" ref="V288">_xlfn.XLOOKUP(Table8[[#This Row],[Admin2PCODE]:[Admin2PCODE]],tblPiNAnalysis[[Admin2PCODE]:[Admin2PCODE]],tblPiNAnalysis[PiN preliminar],0,0)</f>
        <v>0</v>
      </c>
      <c r="W288" s="308" cm="1">
        <f t="array" ref="W288">_xlfn.XLOOKUP(Table8[[#This Row],[Admin2PCODE]],tblPiNAnalysis[Admin2PCODE],tblSeverityAnalysis[Severidad media],0,0)</f>
        <v>3.3333333333333335</v>
      </c>
      <c r="X288" s="42">
        <f>Table8[[#This Row],[Severidad media]]*6</f>
        <v>20</v>
      </c>
      <c r="Y288" s="6" cm="1">
        <f t="array" ref="Y288">_xlfn.XLOOKUP(Table8[[#This Row],[Admin2PCODE]],tblPiNAnalysis[Admin2PCODE],tblPiNAnalysis[% PiN Sectores más altos],0,0)</f>
        <v>0.36499999999999999</v>
      </c>
      <c r="Z288" s="42" cm="1">
        <f t="array" ref="Z288">_xlfn.XLOOKUP(Table8[[#This Row],[Admin2PCODE]:[Admin2PCODE]],tblPiNAnalysis[[Admin2PCODE]:[Admin2PCODE]],tblPiNAnalysis[Severidad],0,0)</f>
        <v>2</v>
      </c>
      <c r="AA288">
        <f>_xlfn.XLOOKUP(Table8[[#This Row],[Admin2PCODE]],tblSeverityAnalysis[Admin 2 Código P],tblSeverityAnalysis[Severidad Ttotal 2025],0,0)</f>
        <v>3</v>
      </c>
      <c r="AB288" t="str">
        <f>_xlfn.XLOOKUP(Table8[[#This Row],[Admin2PCODE]],tblSeverityAnalysis[Admin 2 Código P],tblSeverityAnalysis[Priorización Final 2025],0,0)</f>
        <v>No</v>
      </c>
      <c r="AC288">
        <v>1</v>
      </c>
      <c r="AD288" t="s">
        <v>92</v>
      </c>
      <c r="AE288">
        <v>3</v>
      </c>
      <c r="AF288">
        <v>0</v>
      </c>
      <c r="AG288">
        <v>0</v>
      </c>
      <c r="AH288">
        <v>0</v>
      </c>
      <c r="AI288">
        <v>0</v>
      </c>
      <c r="AJ288">
        <v>0</v>
      </c>
      <c r="AK288">
        <v>0</v>
      </c>
      <c r="AL288">
        <v>0</v>
      </c>
      <c r="AM288">
        <v>0</v>
      </c>
      <c r="AN288">
        <v>3</v>
      </c>
      <c r="AO288" s="314">
        <f>Table8[[#This Row],[N° Clústeres con respuesta]]/Table8[[#This Row],[Org Total]]</f>
        <v>0.33333333333333331</v>
      </c>
      <c r="AP288" s="313">
        <v>7988</v>
      </c>
      <c r="AQ288" s="313">
        <v>1256</v>
      </c>
      <c r="AR288" s="312">
        <f>Table8[[#This Row],[Alcanzados Oct 2025]]/Table8[[#This Row],[Meta 2025]]</f>
        <v>0.15723585378067101</v>
      </c>
      <c r="AS288" s="423">
        <v>0</v>
      </c>
      <c r="AT288" s="423">
        <v>0</v>
      </c>
      <c r="AU288" s="423">
        <v>0</v>
      </c>
      <c r="AV288" s="423">
        <v>0</v>
      </c>
      <c r="AW288" s="423">
        <v>0</v>
      </c>
      <c r="AX288" s="423">
        <v>0</v>
      </c>
      <c r="AY288" s="423">
        <v>0</v>
      </c>
      <c r="AZ288" s="423">
        <v>0</v>
      </c>
      <c r="BA288" s="42">
        <v>1256</v>
      </c>
    </row>
    <row r="289" spans="1:53">
      <c r="A289" t="s">
        <v>642</v>
      </c>
      <c r="B289" t="s">
        <v>643</v>
      </c>
      <c r="C289" t="s">
        <v>667</v>
      </c>
      <c r="D289" t="s">
        <v>668</v>
      </c>
      <c r="E289" s="8">
        <v>29160</v>
      </c>
      <c r="F289" s="8">
        <v>663</v>
      </c>
      <c r="G289" s="8">
        <v>869.01905017355637</v>
      </c>
      <c r="H289" s="8">
        <v>10643.4</v>
      </c>
      <c r="I289" s="8">
        <v>3570.5693405609359</v>
      </c>
      <c r="J289" s="8">
        <v>5878.7610245610849</v>
      </c>
      <c r="K289" s="8">
        <v>0</v>
      </c>
      <c r="L289" s="8">
        <v>1887.0822888841083</v>
      </c>
      <c r="M289" s="8">
        <v>2057.5663585963794</v>
      </c>
      <c r="N289" s="6" cm="1">
        <f t="array" ref="N289">_xlfn.XLOOKUP(Table8[[#This Row],[Admin2PCODE]:[Admin2PCODE]],tblPiNAnalysis[[Admin2PCODE]:[Admin2PCODE]],tblPiNAnalysis[% SAMV],0,0)</f>
        <v>0</v>
      </c>
      <c r="O289" s="6" cm="1">
        <f t="array" ref="O289">_xlfn.XLOOKUP(Table8[[#This Row],[Admin2PCODE]:[Admin2PCODE]],tblPiNAnalysis[[Admin2PCODE]:[Admin2PCODE]],tblPiNAnalysis[% NUT],0,0)</f>
        <v>0.05</v>
      </c>
      <c r="P289" s="6" cm="1">
        <f t="array" ref="P289">_xlfn.XLOOKUP(Table8[[#This Row],[Admin2PCODE]:[Admin2PCODE]],tblPiNAnalysis[[Admin2PCODE]:[Admin2PCODE]],tblPiNAnalysis[% SAL],0,0)</f>
        <v>0.35000000000000003</v>
      </c>
      <c r="Q289" s="6" cm="1">
        <f t="array" ref="Q289">_xlfn.XLOOKUP(Table8[[#This Row],[Admin2PCODE]:[Admin2PCODE]],tblPiNAnalysis[[Admin2PCODE]:[Admin2PCODE]],tblPiNAnalysis[% EDU],0,0)</f>
        <v>0.1</v>
      </c>
      <c r="R289" s="6" cm="1">
        <f t="array" ref="R289">_xlfn.XLOOKUP(Table8[[#This Row],[Admin2PCODE]:[Admin2PCODE]],tblPiNAnalysis[[Admin2PCODE]:[Admin2PCODE]],tblPiNAnalysis[% PRO],0,0)</f>
        <v>0.2</v>
      </c>
      <c r="S289" s="6" cm="1">
        <f t="array" ref="S289">_xlfn.XLOOKUP(Table8[[#This Row],[Admin2PCODE]:[Admin2PCODE]],tblPiNAnalysis[[Admin2PCODE]:[Admin2PCODE]],tblPiNAnalysis[% WASH],0,0)</f>
        <v>0</v>
      </c>
      <c r="T289" s="6" cm="1">
        <f t="array" ref="T289">_xlfn.XLOOKUP(Table8[[#This Row],[Admin2PCODE]:[Admin2PCODE]],tblPiNAnalysis[[Admin2PCODE]:[Admin2PCODE]],tblPiNAnalysis[% NNA],0,0)</f>
        <v>0.05</v>
      </c>
      <c r="U289" s="6" cm="1">
        <f t="array" ref="U289">_xlfn.XLOOKUP(Table8[[#This Row],[Admin2PCODE]:[Admin2PCODE]],tblPiNAnalysis[[Admin2PCODE]:[Admin2PCODE]],tblPiNAnalysis[% VBG],0,0)</f>
        <v>0.05</v>
      </c>
      <c r="V289" s="8" cm="1">
        <f t="array" ref="V289">_xlfn.XLOOKUP(Table8[[#This Row],[Admin2PCODE]:[Admin2PCODE]],tblPiNAnalysis[[Admin2PCODE]:[Admin2PCODE]],tblPiNAnalysis[PiN preliminar],0,0)</f>
        <v>0</v>
      </c>
      <c r="W289" s="308" cm="1">
        <f t="array" ref="W289">_xlfn.XLOOKUP(Table8[[#This Row],[Admin2PCODE]],tblPiNAnalysis[Admin2PCODE],tblSeverityAnalysis[Severidad media],0,0)</f>
        <v>3.6666666666666665</v>
      </c>
      <c r="X289" s="42">
        <f>Table8[[#This Row],[Severidad media]]*6</f>
        <v>22</v>
      </c>
      <c r="Y289" s="6" cm="1">
        <f t="array" ref="Y289">_xlfn.XLOOKUP(Table8[[#This Row],[Admin2PCODE]],tblPiNAnalysis[Admin2PCODE],tblPiNAnalysis[% PiN Sectores más altos],0,0)</f>
        <v>0.36499999999999999</v>
      </c>
      <c r="Z289" s="42" cm="1">
        <f t="array" ref="Z289">_xlfn.XLOOKUP(Table8[[#This Row],[Admin2PCODE]:[Admin2PCODE]],tblPiNAnalysis[[Admin2PCODE]:[Admin2PCODE]],tblPiNAnalysis[Severidad],0,0)</f>
        <v>2</v>
      </c>
      <c r="AA289">
        <f>_xlfn.XLOOKUP(Table8[[#This Row],[Admin2PCODE]],tblSeverityAnalysis[Admin 2 Código P],tblSeverityAnalysis[Severidad Ttotal 2025],0,0)</f>
        <v>3</v>
      </c>
      <c r="AB289" t="str">
        <f>_xlfn.XLOOKUP(Table8[[#This Row],[Admin2PCODE]],tblSeverityAnalysis[Admin 2 Código P],tblSeverityAnalysis[Priorización Final 2025],0,0)</f>
        <v>No</v>
      </c>
      <c r="AC289">
        <v>1</v>
      </c>
      <c r="AD289" t="s">
        <v>92</v>
      </c>
      <c r="AE289">
        <v>2</v>
      </c>
      <c r="AF289">
        <v>0</v>
      </c>
      <c r="AG289">
        <v>0</v>
      </c>
      <c r="AH289">
        <v>0</v>
      </c>
      <c r="AI289">
        <v>0</v>
      </c>
      <c r="AJ289">
        <v>0</v>
      </c>
      <c r="AK289">
        <v>0</v>
      </c>
      <c r="AL289">
        <v>0</v>
      </c>
      <c r="AM289">
        <v>0</v>
      </c>
      <c r="AN289">
        <v>2</v>
      </c>
      <c r="AO289" s="314">
        <f>Table8[[#This Row],[N° Clústeres con respuesta]]/Table8[[#This Row],[Org Total]]</f>
        <v>0.5</v>
      </c>
      <c r="AP289" s="313">
        <v>4792</v>
      </c>
      <c r="AQ289" s="313">
        <v>524</v>
      </c>
      <c r="AR289" s="312">
        <f>Table8[[#This Row],[Alcanzados Oct 2025]]/Table8[[#This Row],[Meta 2025]]</f>
        <v>0.10934891485809682</v>
      </c>
      <c r="AS289" s="423">
        <v>0</v>
      </c>
      <c r="AT289" s="423">
        <v>0</v>
      </c>
      <c r="AU289" s="423">
        <v>0</v>
      </c>
      <c r="AV289" s="423">
        <v>0</v>
      </c>
      <c r="AW289" s="423">
        <v>0</v>
      </c>
      <c r="AX289" s="423">
        <v>0</v>
      </c>
      <c r="AY289" s="423">
        <v>0</v>
      </c>
      <c r="AZ289" s="423">
        <v>0</v>
      </c>
      <c r="BA289" s="42">
        <v>524</v>
      </c>
    </row>
    <row r="290" spans="1:53">
      <c r="A290" t="s">
        <v>642</v>
      </c>
      <c r="B290" t="s">
        <v>643</v>
      </c>
      <c r="C290" t="s">
        <v>669</v>
      </c>
      <c r="D290" t="s">
        <v>670</v>
      </c>
      <c r="E290" s="8">
        <v>22649</v>
      </c>
      <c r="F290" s="8">
        <v>3303</v>
      </c>
      <c r="G290" s="8">
        <v>741.48890425405136</v>
      </c>
      <c r="H290" s="8">
        <v>8266.8850000000002</v>
      </c>
      <c r="I290" s="8">
        <v>2372.8880785709603</v>
      </c>
      <c r="J290" s="8">
        <v>4566.1199741181063</v>
      </c>
      <c r="K290" s="8">
        <v>0</v>
      </c>
      <c r="L290" s="8">
        <v>1461.1583917177941</v>
      </c>
      <c r="M290" s="8">
        <v>1598.1419909413371</v>
      </c>
      <c r="N290" s="6" cm="1">
        <f t="array" ref="N290">_xlfn.XLOOKUP(Table8[[#This Row],[Admin2PCODE]:[Admin2PCODE]],tblPiNAnalysis[[Admin2PCODE]:[Admin2PCODE]],tblPiNAnalysis[% SAMV],0,0)</f>
        <v>0.15000000000000002</v>
      </c>
      <c r="O290" s="6" cm="1">
        <f t="array" ref="O290">_xlfn.XLOOKUP(Table8[[#This Row],[Admin2PCODE]:[Admin2PCODE]],tblPiNAnalysis[[Admin2PCODE]:[Admin2PCODE]],tblPiNAnalysis[% NUT],0,0)</f>
        <v>0.05</v>
      </c>
      <c r="P290" s="6" cm="1">
        <f t="array" ref="P290">_xlfn.XLOOKUP(Table8[[#This Row],[Admin2PCODE]:[Admin2PCODE]],tblPiNAnalysis[[Admin2PCODE]:[Admin2PCODE]],tblPiNAnalysis[% SAL],0,0)</f>
        <v>0.35000000000000003</v>
      </c>
      <c r="Q290" s="6" cm="1">
        <f t="array" ref="Q290">_xlfn.XLOOKUP(Table8[[#This Row],[Admin2PCODE]:[Admin2PCODE]],tblPiNAnalysis[[Admin2PCODE]:[Admin2PCODE]],tblPiNAnalysis[% EDU],0,0)</f>
        <v>0.1</v>
      </c>
      <c r="R290" s="6" cm="1">
        <f t="array" ref="R290">_xlfn.XLOOKUP(Table8[[#This Row],[Admin2PCODE]:[Admin2PCODE]],tblPiNAnalysis[[Admin2PCODE]:[Admin2PCODE]],tblPiNAnalysis[% PRO],0,0)</f>
        <v>0.2</v>
      </c>
      <c r="S290" s="6" cm="1">
        <f t="array" ref="S290">_xlfn.XLOOKUP(Table8[[#This Row],[Admin2PCODE]:[Admin2PCODE]],tblPiNAnalysis[[Admin2PCODE]:[Admin2PCODE]],tblPiNAnalysis[% WASH],0,0)</f>
        <v>0</v>
      </c>
      <c r="T290" s="6" cm="1">
        <f t="array" ref="T290">_xlfn.XLOOKUP(Table8[[#This Row],[Admin2PCODE]:[Admin2PCODE]],tblPiNAnalysis[[Admin2PCODE]:[Admin2PCODE]],tblPiNAnalysis[% NNA],0,0)</f>
        <v>0.05</v>
      </c>
      <c r="U290" s="6" cm="1">
        <f t="array" ref="U290">_xlfn.XLOOKUP(Table8[[#This Row],[Admin2PCODE]:[Admin2PCODE]],tblPiNAnalysis[[Admin2PCODE]:[Admin2PCODE]],tblPiNAnalysis[% VBG],0,0)</f>
        <v>0.05</v>
      </c>
      <c r="V290" s="8" cm="1">
        <f t="array" ref="V290">_xlfn.XLOOKUP(Table8[[#This Row],[Admin2PCODE]:[Admin2PCODE]],tblPiNAnalysis[[Admin2PCODE]:[Admin2PCODE]],tblPiNAnalysis[PiN preliminar],0,0)</f>
        <v>8266.8850000000002</v>
      </c>
      <c r="W290" s="308" cm="1">
        <f t="array" ref="W290">_xlfn.XLOOKUP(Table8[[#This Row],[Admin2PCODE]],tblPiNAnalysis[Admin2PCODE],tblSeverityAnalysis[Severidad media],0,0)</f>
        <v>3</v>
      </c>
      <c r="X290" s="42">
        <f>Table8[[#This Row],[Severidad media]]*6</f>
        <v>18</v>
      </c>
      <c r="Y290" s="6" cm="1">
        <f t="array" ref="Y290">_xlfn.XLOOKUP(Table8[[#This Row],[Admin2PCODE]],tblPiNAnalysis[Admin2PCODE],tblPiNAnalysis[% PiN Sectores más altos],0,0)</f>
        <v>0.36499999999999999</v>
      </c>
      <c r="Z290" s="42" cm="1">
        <f t="array" ref="Z290">_xlfn.XLOOKUP(Table8[[#This Row],[Admin2PCODE]:[Admin2PCODE]],tblPiNAnalysis[[Admin2PCODE]:[Admin2PCODE]],tblPiNAnalysis[Severidad],0,0)</f>
        <v>3</v>
      </c>
      <c r="AA290">
        <f>_xlfn.XLOOKUP(Table8[[#This Row],[Admin2PCODE]],tblSeverityAnalysis[Admin 2 Código P],tblSeverityAnalysis[Severidad Ttotal 2025],0,0)</f>
        <v>3</v>
      </c>
      <c r="AB290" t="str">
        <f>_xlfn.XLOOKUP(Table8[[#This Row],[Admin2PCODE]],tblSeverityAnalysis[Admin 2 Código P],tblSeverityAnalysis[Priorización Final 2025],0,0)</f>
        <v>No</v>
      </c>
      <c r="AC290">
        <v>1</v>
      </c>
      <c r="AD290" t="s">
        <v>92</v>
      </c>
      <c r="AE290">
        <v>3</v>
      </c>
      <c r="AF290">
        <v>0</v>
      </c>
      <c r="AG290">
        <v>0</v>
      </c>
      <c r="AH290">
        <v>0</v>
      </c>
      <c r="AI290">
        <v>0</v>
      </c>
      <c r="AJ290">
        <v>0</v>
      </c>
      <c r="AK290">
        <v>0</v>
      </c>
      <c r="AL290">
        <v>0</v>
      </c>
      <c r="AM290">
        <v>0</v>
      </c>
      <c r="AN290">
        <v>3</v>
      </c>
      <c r="AO290" s="314">
        <f>Table8[[#This Row],[N° Clústeres con respuesta]]/Table8[[#This Row],[Org Total]]</f>
        <v>0.33333333333333331</v>
      </c>
      <c r="AP290" s="313">
        <v>4338</v>
      </c>
      <c r="AQ290" s="313">
        <v>320</v>
      </c>
      <c r="AR290" s="312">
        <f>Table8[[#This Row],[Alcanzados Oct 2025]]/Table8[[#This Row],[Meta 2025]]</f>
        <v>7.376671277086215E-2</v>
      </c>
      <c r="AS290" s="423">
        <v>0</v>
      </c>
      <c r="AT290" s="423">
        <v>0</v>
      </c>
      <c r="AU290" s="423">
        <v>0</v>
      </c>
      <c r="AV290" s="423">
        <v>0</v>
      </c>
      <c r="AW290" s="423">
        <v>0</v>
      </c>
      <c r="AX290" s="423">
        <v>0</v>
      </c>
      <c r="AY290" s="423">
        <v>0</v>
      </c>
      <c r="AZ290" s="423">
        <v>0</v>
      </c>
      <c r="BA290" s="42">
        <v>320</v>
      </c>
    </row>
    <row r="291" spans="1:53">
      <c r="A291" t="s">
        <v>642</v>
      </c>
      <c r="B291" t="s">
        <v>643</v>
      </c>
      <c r="C291" t="s">
        <v>836</v>
      </c>
      <c r="D291" t="s">
        <v>672</v>
      </c>
      <c r="E291" s="8">
        <v>56658</v>
      </c>
      <c r="F291" s="8">
        <v>1836</v>
      </c>
      <c r="G291" s="8">
        <v>2694.311065042511</v>
      </c>
      <c r="H291" s="8">
        <v>20680.169999999998</v>
      </c>
      <c r="I291" s="8">
        <v>8724.4156836071579</v>
      </c>
      <c r="J291" s="8">
        <v>13706.948235785261</v>
      </c>
      <c r="K291" s="8">
        <v>0</v>
      </c>
      <c r="L291" s="8">
        <v>4386.2234354512839</v>
      </c>
      <c r="M291" s="8">
        <v>4797.4318825248411</v>
      </c>
      <c r="N291" s="6" cm="1">
        <f t="array" ref="N291">_xlfn.XLOOKUP(Table8[[#This Row],[Admin2PCODE]:[Admin2PCODE]],tblPiNAnalysis[[Admin2PCODE]:[Admin2PCODE]],tblPiNAnalysis[% SAMV],0,0)</f>
        <v>0.05</v>
      </c>
      <c r="O291" s="6" cm="1">
        <f t="array" ref="O291">_xlfn.XLOOKUP(Table8[[#This Row],[Admin2PCODE]:[Admin2PCODE]],tblPiNAnalysis[[Admin2PCODE]:[Admin2PCODE]],tblPiNAnalysis[% NUT],0,0)</f>
        <v>0.05</v>
      </c>
      <c r="P291" s="6" cm="1">
        <f t="array" ref="P291">_xlfn.XLOOKUP(Table8[[#This Row],[Admin2PCODE]:[Admin2PCODE]],tblPiNAnalysis[[Admin2PCODE]:[Admin2PCODE]],tblPiNAnalysis[% SAL],0,0)</f>
        <v>0.35000000000000003</v>
      </c>
      <c r="Q291" s="6" cm="1">
        <f t="array" ref="Q291">_xlfn.XLOOKUP(Table8[[#This Row],[Admin2PCODE]:[Admin2PCODE]],tblPiNAnalysis[[Admin2PCODE]:[Admin2PCODE]],tblPiNAnalysis[% EDU],0,0)</f>
        <v>0.15000000000000002</v>
      </c>
      <c r="R291" s="6" cm="1">
        <f t="array" ref="R291">_xlfn.XLOOKUP(Table8[[#This Row],[Admin2PCODE]:[Admin2PCODE]],tblPiNAnalysis[[Admin2PCODE]:[Admin2PCODE]],tblPiNAnalysis[% PRO],0,0)</f>
        <v>0.25</v>
      </c>
      <c r="S291" s="6" cm="1">
        <f t="array" ref="S291">_xlfn.XLOOKUP(Table8[[#This Row],[Admin2PCODE]:[Admin2PCODE]],tblPiNAnalysis[[Admin2PCODE]:[Admin2PCODE]],tblPiNAnalysis[% WASH],0,0)</f>
        <v>0</v>
      </c>
      <c r="T291" s="6" cm="1">
        <f t="array" ref="T291">_xlfn.XLOOKUP(Table8[[#This Row],[Admin2PCODE]:[Admin2PCODE]],tblPiNAnalysis[[Admin2PCODE]:[Admin2PCODE]],tblPiNAnalysis[% NNA],0,0)</f>
        <v>0.1</v>
      </c>
      <c r="U291" s="6" cm="1">
        <f t="array" ref="U291">_xlfn.XLOOKUP(Table8[[#This Row],[Admin2PCODE]:[Admin2PCODE]],tblPiNAnalysis[[Admin2PCODE]:[Admin2PCODE]],tblPiNAnalysis[% VBG],0,0)</f>
        <v>0.1</v>
      </c>
      <c r="V291" s="8" cm="1">
        <f t="array" ref="V291">_xlfn.XLOOKUP(Table8[[#This Row],[Admin2PCODE]:[Admin2PCODE]],tblPiNAnalysis[[Admin2PCODE]:[Admin2PCODE]],tblPiNAnalysis[PiN preliminar],0,0)</f>
        <v>0</v>
      </c>
      <c r="W291" s="308" cm="1">
        <f t="array" ref="W291">_xlfn.XLOOKUP(Table8[[#This Row],[Admin2PCODE]],tblPiNAnalysis[Admin2PCODE],tblSeverityAnalysis[Severidad media],0,0)</f>
        <v>3.1666666666666665</v>
      </c>
      <c r="X291" s="42">
        <f>Table8[[#This Row],[Severidad media]]*6</f>
        <v>19</v>
      </c>
      <c r="Y291" s="6" cm="1">
        <f t="array" ref="Y291">_xlfn.XLOOKUP(Table8[[#This Row],[Admin2PCODE]],tblPiNAnalysis[Admin2PCODE],tblPiNAnalysis[% PiN Sectores más altos],0,0)</f>
        <v>0.36499999999999999</v>
      </c>
      <c r="Z291" s="42" cm="1">
        <f t="array" ref="Z291">_xlfn.XLOOKUP(Table8[[#This Row],[Admin2PCODE]:[Admin2PCODE]],tblPiNAnalysis[[Admin2PCODE]:[Admin2PCODE]],tblPiNAnalysis[Severidad],0,0)</f>
        <v>2</v>
      </c>
      <c r="AA291">
        <f>_xlfn.XLOOKUP(Table8[[#This Row],[Admin2PCODE]],tblSeverityAnalysis[Admin 2 Código P],tblSeverityAnalysis[Severidad Ttotal 2025],0,0)</f>
        <v>3</v>
      </c>
      <c r="AB291" t="str">
        <f>_xlfn.XLOOKUP(Table8[[#This Row],[Admin2PCODE]],tblSeverityAnalysis[Admin 2 Código P],tblSeverityAnalysis[Priorización Final 2025],0,0)</f>
        <v>No</v>
      </c>
      <c r="AC291">
        <v>2</v>
      </c>
      <c r="AD291" t="s">
        <v>990</v>
      </c>
      <c r="AE291">
        <v>4</v>
      </c>
      <c r="AF291">
        <v>0</v>
      </c>
      <c r="AG291">
        <v>0</v>
      </c>
      <c r="AH291">
        <v>0</v>
      </c>
      <c r="AI291">
        <v>2</v>
      </c>
      <c r="AJ291">
        <v>0</v>
      </c>
      <c r="AK291">
        <v>0</v>
      </c>
      <c r="AL291">
        <v>0</v>
      </c>
      <c r="AM291">
        <v>0</v>
      </c>
      <c r="AN291">
        <v>2</v>
      </c>
      <c r="AO291" s="314">
        <f>Table8[[#This Row],[N° Clústeres con respuesta]]/Table8[[#This Row],[Org Total]]</f>
        <v>0.5</v>
      </c>
      <c r="AP291" s="313">
        <v>9308</v>
      </c>
      <c r="AQ291" s="313">
        <v>1101</v>
      </c>
      <c r="AR291" s="312">
        <f>Table8[[#This Row],[Alcanzados Oct 2025]]/Table8[[#This Row],[Meta 2025]]</f>
        <v>0.11828534593897723</v>
      </c>
      <c r="AS291" s="423">
        <v>0</v>
      </c>
      <c r="AT291" s="423">
        <v>0</v>
      </c>
      <c r="AU291" s="423">
        <v>0</v>
      </c>
      <c r="AV291" s="423">
        <v>1063</v>
      </c>
      <c r="AW291" s="423">
        <v>0</v>
      </c>
      <c r="AX291" s="423">
        <v>0</v>
      </c>
      <c r="AY291" s="423">
        <v>0</v>
      </c>
      <c r="AZ291" s="423">
        <v>0</v>
      </c>
      <c r="BA291" s="42">
        <v>300</v>
      </c>
    </row>
    <row r="292" spans="1:53">
      <c r="A292" t="s">
        <v>642</v>
      </c>
      <c r="B292" t="s">
        <v>643</v>
      </c>
      <c r="C292" t="s">
        <v>203</v>
      </c>
      <c r="D292" t="s">
        <v>673</v>
      </c>
      <c r="E292" s="8">
        <v>31412</v>
      </c>
      <c r="F292" s="8">
        <v>2443</v>
      </c>
      <c r="G292" s="8">
        <v>1032.2732347856095</v>
      </c>
      <c r="H292" s="8">
        <v>11465.38</v>
      </c>
      <c r="I292" s="8">
        <v>2214.0888526971544</v>
      </c>
      <c r="J292" s="8">
        <v>3799.6634013068465</v>
      </c>
      <c r="K292" s="8">
        <v>2120.31</v>
      </c>
      <c r="L292" s="8">
        <v>1219.6919518194977</v>
      </c>
      <c r="M292" s="8">
        <v>1329.8821904573963</v>
      </c>
      <c r="N292" s="6" cm="1">
        <f t="array" ref="N292">_xlfn.XLOOKUP(Table8[[#This Row],[Admin2PCODE]:[Admin2PCODE]],tblPiNAnalysis[[Admin2PCODE]:[Admin2PCODE]],tblPiNAnalysis[% SAMV],0,0)</f>
        <v>0.1</v>
      </c>
      <c r="O292" s="6" cm="1">
        <f t="array" ref="O292">_xlfn.XLOOKUP(Table8[[#This Row],[Admin2PCODE]:[Admin2PCODE]],tblPiNAnalysis[[Admin2PCODE]:[Admin2PCODE]],tblPiNAnalysis[% NUT],0,0)</f>
        <v>0.05</v>
      </c>
      <c r="P292" s="6" cm="1">
        <f t="array" ref="P292">_xlfn.XLOOKUP(Table8[[#This Row],[Admin2PCODE]:[Admin2PCODE]],tblPiNAnalysis[[Admin2PCODE]:[Admin2PCODE]],tblPiNAnalysis[% SAL],0,0)</f>
        <v>0.35000000000000003</v>
      </c>
      <c r="Q292" s="6" cm="1">
        <f t="array" ref="Q292">_xlfn.XLOOKUP(Table8[[#This Row],[Admin2PCODE]:[Admin2PCODE]],tblPiNAnalysis[[Admin2PCODE]:[Admin2PCODE]],tblPiNAnalysis[% EDU],0,0)</f>
        <v>0.05</v>
      </c>
      <c r="R292" s="6" cm="1">
        <f t="array" ref="R292">_xlfn.XLOOKUP(Table8[[#This Row],[Admin2PCODE]:[Admin2PCODE]],tblPiNAnalysis[[Admin2PCODE]:[Admin2PCODE]],tblPiNAnalysis[% PRO],0,0)</f>
        <v>0.1</v>
      </c>
      <c r="S292" s="6" cm="1">
        <f t="array" ref="S292">_xlfn.XLOOKUP(Table8[[#This Row],[Admin2PCODE]:[Admin2PCODE]],tblPiNAnalysis[[Admin2PCODE]:[Admin2PCODE]],tblPiNAnalysis[% WASH],0,0)</f>
        <v>0.05</v>
      </c>
      <c r="T292" s="6" cm="1">
        <f t="array" ref="T292">_xlfn.XLOOKUP(Table8[[#This Row],[Admin2PCODE]:[Admin2PCODE]],tblPiNAnalysis[[Admin2PCODE]:[Admin2PCODE]],tblPiNAnalysis[% NNA],0,0)</f>
        <v>0.05</v>
      </c>
      <c r="U292" s="6" cm="1">
        <f t="array" ref="U292">_xlfn.XLOOKUP(Table8[[#This Row],[Admin2PCODE]:[Admin2PCODE]],tblPiNAnalysis[[Admin2PCODE]:[Admin2PCODE]],tblPiNAnalysis[% VBG],0,0)</f>
        <v>0.05</v>
      </c>
      <c r="V292" s="8" cm="1">
        <f t="array" ref="V292">_xlfn.XLOOKUP(Table8[[#This Row],[Admin2PCODE]:[Admin2PCODE]],tblPiNAnalysis[[Admin2PCODE]:[Admin2PCODE]],tblPiNAnalysis[PiN preliminar],0,0)</f>
        <v>11465.38</v>
      </c>
      <c r="W292" s="308" cm="1">
        <f t="array" ref="W292">_xlfn.XLOOKUP(Table8[[#This Row],[Admin2PCODE]],tblPiNAnalysis[Admin2PCODE],tblSeverityAnalysis[Severidad media],0,0)</f>
        <v>2.3333333333333335</v>
      </c>
      <c r="X292" s="42">
        <f>Table8[[#This Row],[Severidad media]]*6</f>
        <v>14</v>
      </c>
      <c r="Y292" s="6" cm="1">
        <f t="array" ref="Y292">_xlfn.XLOOKUP(Table8[[#This Row],[Admin2PCODE]],tblPiNAnalysis[Admin2PCODE],tblPiNAnalysis[% PiN Sectores más altos],0,0)</f>
        <v>0.36499999999999999</v>
      </c>
      <c r="Z292" s="42" cm="1">
        <f t="array" ref="Z292">_xlfn.XLOOKUP(Table8[[#This Row],[Admin2PCODE]:[Admin2PCODE]],tblPiNAnalysis[[Admin2PCODE]:[Admin2PCODE]],tblPiNAnalysis[Severidad],0,0)</f>
        <v>3</v>
      </c>
      <c r="AA292">
        <f>_xlfn.XLOOKUP(Table8[[#This Row],[Admin2PCODE]],tblSeverityAnalysis[Admin 2 Código P],tblSeverityAnalysis[Severidad Ttotal 2025],0,0)</f>
        <v>3</v>
      </c>
      <c r="AB292" t="str">
        <f>_xlfn.XLOOKUP(Table8[[#This Row],[Admin2PCODE]],tblSeverityAnalysis[Admin 2 Código P],tblSeverityAnalysis[Priorización Final 2025],0,0)</f>
        <v>No</v>
      </c>
      <c r="AC292">
        <v>1</v>
      </c>
      <c r="AD292" t="s">
        <v>92</v>
      </c>
      <c r="AE292">
        <v>3</v>
      </c>
      <c r="AF292">
        <v>0</v>
      </c>
      <c r="AG292">
        <v>0</v>
      </c>
      <c r="AH292">
        <v>0</v>
      </c>
      <c r="AI292">
        <v>0</v>
      </c>
      <c r="AJ292">
        <v>0</v>
      </c>
      <c r="AK292">
        <v>0</v>
      </c>
      <c r="AL292">
        <v>0</v>
      </c>
      <c r="AM292">
        <v>0</v>
      </c>
      <c r="AN292">
        <v>3</v>
      </c>
      <c r="AO292" s="314">
        <f>Table8[[#This Row],[N° Clústeres con respuesta]]/Table8[[#This Row],[Org Total]]</f>
        <v>0.33333333333333331</v>
      </c>
      <c r="AP292" s="313">
        <v>5965</v>
      </c>
      <c r="AQ292" s="313">
        <v>3428</v>
      </c>
      <c r="AR292" s="312">
        <f>Table8[[#This Row],[Alcanzados Oct 2025]]/Table8[[#This Row],[Meta 2025]]</f>
        <v>0.57468566638725904</v>
      </c>
      <c r="AS292" s="423">
        <v>0</v>
      </c>
      <c r="AT292" s="423">
        <v>0</v>
      </c>
      <c r="AU292" s="423">
        <v>0</v>
      </c>
      <c r="AV292" s="423">
        <v>0</v>
      </c>
      <c r="AW292" s="423">
        <v>0</v>
      </c>
      <c r="AX292" s="423">
        <v>0</v>
      </c>
      <c r="AY292" s="423">
        <v>0</v>
      </c>
      <c r="AZ292" s="423">
        <v>0</v>
      </c>
      <c r="BA292" s="42">
        <v>3428</v>
      </c>
    </row>
    <row r="293" spans="1:53">
      <c r="A293" t="s">
        <v>642</v>
      </c>
      <c r="B293" t="s">
        <v>643</v>
      </c>
      <c r="C293" t="s">
        <v>642</v>
      </c>
      <c r="D293" t="s">
        <v>674</v>
      </c>
      <c r="E293" s="8">
        <v>55431</v>
      </c>
      <c r="F293" s="8">
        <v>9366</v>
      </c>
      <c r="G293" s="8">
        <v>2478.0140410177223</v>
      </c>
      <c r="H293" s="8">
        <v>20232.314999999999</v>
      </c>
      <c r="I293" s="8">
        <v>6118.5979452721185</v>
      </c>
      <c r="J293" s="8">
        <v>6705.0535463466149</v>
      </c>
      <c r="K293" s="8">
        <v>0</v>
      </c>
      <c r="L293" s="8">
        <v>2145.6171348309172</v>
      </c>
      <c r="M293" s="8">
        <v>2346.7687412213149</v>
      </c>
      <c r="N293" s="6" cm="1">
        <f t="array" ref="N293">_xlfn.XLOOKUP(Table8[[#This Row],[Admin2PCODE]:[Admin2PCODE]],tblPiNAnalysis[[Admin2PCODE]:[Admin2PCODE]],tblPiNAnalysis[% SAMV],0,0)</f>
        <v>0.15000000000000002</v>
      </c>
      <c r="O293" s="6" cm="1">
        <f t="array" ref="O293">_xlfn.XLOOKUP(Table8[[#This Row],[Admin2PCODE]:[Admin2PCODE]],tblPiNAnalysis[[Admin2PCODE]:[Admin2PCODE]],tblPiNAnalysis[% NUT],0,0)</f>
        <v>0.05</v>
      </c>
      <c r="P293" s="6" cm="1">
        <f t="array" ref="P293">_xlfn.XLOOKUP(Table8[[#This Row],[Admin2PCODE]:[Admin2PCODE]],tblPiNAnalysis[[Admin2PCODE]:[Admin2PCODE]],tblPiNAnalysis[% SAL],0,0)</f>
        <v>0.35000000000000003</v>
      </c>
      <c r="Q293" s="6" cm="1">
        <f t="array" ref="Q293">_xlfn.XLOOKUP(Table8[[#This Row],[Admin2PCODE]:[Admin2PCODE]],tblPiNAnalysis[[Admin2PCODE]:[Admin2PCODE]],tblPiNAnalysis[% EDU],0,0)</f>
        <v>0.1</v>
      </c>
      <c r="R293" s="6" cm="1">
        <f t="array" ref="R293">_xlfn.XLOOKUP(Table8[[#This Row],[Admin2PCODE]:[Admin2PCODE]],tblPiNAnalysis[[Admin2PCODE]:[Admin2PCODE]],tblPiNAnalysis[% PRO],0,0)</f>
        <v>0.1</v>
      </c>
      <c r="S293" s="6" cm="1">
        <f t="array" ref="S293">_xlfn.XLOOKUP(Table8[[#This Row],[Admin2PCODE]:[Admin2PCODE]],tblPiNAnalysis[[Admin2PCODE]:[Admin2PCODE]],tblPiNAnalysis[% WASH],0,0)</f>
        <v>0</v>
      </c>
      <c r="T293" s="6" cm="1">
        <f t="array" ref="T293">_xlfn.XLOOKUP(Table8[[#This Row],[Admin2PCODE]:[Admin2PCODE]],tblPiNAnalysis[[Admin2PCODE]:[Admin2PCODE]],tblPiNAnalysis[% NNA],0,0)</f>
        <v>0.05</v>
      </c>
      <c r="U293" s="6" cm="1">
        <f t="array" ref="U293">_xlfn.XLOOKUP(Table8[[#This Row],[Admin2PCODE]:[Admin2PCODE]],tblPiNAnalysis[[Admin2PCODE]:[Admin2PCODE]],tblPiNAnalysis[% VBG],0,0)</f>
        <v>0.05</v>
      </c>
      <c r="V293" s="8" cm="1">
        <f t="array" ref="V293">_xlfn.XLOOKUP(Table8[[#This Row],[Admin2PCODE]:[Admin2PCODE]],tblPiNAnalysis[[Admin2PCODE]:[Admin2PCODE]],tblPiNAnalysis[PiN preliminar],0,0)</f>
        <v>20232.314999999999</v>
      </c>
      <c r="W293" s="308" cm="1">
        <f t="array" ref="W293">_xlfn.XLOOKUP(Table8[[#This Row],[Admin2PCODE]],tblPiNAnalysis[Admin2PCODE],tblSeverityAnalysis[Severidad media],0,0)</f>
        <v>4</v>
      </c>
      <c r="X293" s="42">
        <f>Table8[[#This Row],[Severidad media]]*6</f>
        <v>24</v>
      </c>
      <c r="Y293" s="6" cm="1">
        <f t="array" ref="Y293">_xlfn.XLOOKUP(Table8[[#This Row],[Admin2PCODE]],tblPiNAnalysis[Admin2PCODE],tblPiNAnalysis[% PiN Sectores más altos],0,0)</f>
        <v>0.36499999999999999</v>
      </c>
      <c r="Z293" s="42" cm="1">
        <f t="array" ref="Z293">_xlfn.XLOOKUP(Table8[[#This Row],[Admin2PCODE]:[Admin2PCODE]],tblPiNAnalysis[[Admin2PCODE]:[Admin2PCODE]],tblPiNAnalysis[Severidad],0,0)</f>
        <v>3</v>
      </c>
      <c r="AA293">
        <f>_xlfn.XLOOKUP(Table8[[#This Row],[Admin2PCODE]],tblSeverityAnalysis[Admin 2 Código P],tblSeverityAnalysis[Severidad Ttotal 2025],0,0)</f>
        <v>3</v>
      </c>
      <c r="AB293" t="str">
        <f>_xlfn.XLOOKUP(Table8[[#This Row],[Admin2PCODE]],tblSeverityAnalysis[Admin 2 Código P],tblSeverityAnalysis[Priorización Final 2025],0,0)</f>
        <v>No</v>
      </c>
      <c r="AC293">
        <v>5</v>
      </c>
      <c r="AD293" t="s">
        <v>1105</v>
      </c>
      <c r="AE293">
        <v>8</v>
      </c>
      <c r="AF293">
        <v>0</v>
      </c>
      <c r="AG293">
        <v>0</v>
      </c>
      <c r="AH293">
        <v>0</v>
      </c>
      <c r="AI293">
        <v>1</v>
      </c>
      <c r="AJ293">
        <v>2</v>
      </c>
      <c r="AK293">
        <v>0</v>
      </c>
      <c r="AL293">
        <v>2</v>
      </c>
      <c r="AM293">
        <v>1</v>
      </c>
      <c r="AN293">
        <v>3</v>
      </c>
      <c r="AO293" s="314">
        <f>Table8[[#This Row],[N° Clústeres con respuesta]]/Table8[[#This Row],[Org Total]]</f>
        <v>0.625</v>
      </c>
      <c r="AP293" s="313">
        <v>9108</v>
      </c>
      <c r="AQ293" s="313">
        <v>11008</v>
      </c>
      <c r="AR293" s="312">
        <f>Table8[[#This Row],[Alcanzados Oct 2025]]/Table8[[#This Row],[Meta 2025]]</f>
        <v>1.2086078173034696</v>
      </c>
      <c r="AS293" s="423">
        <v>0</v>
      </c>
      <c r="AT293" s="423">
        <v>0</v>
      </c>
      <c r="AU293" s="423">
        <v>0</v>
      </c>
      <c r="AV293" s="423">
        <v>882</v>
      </c>
      <c r="AW293" s="423">
        <v>10</v>
      </c>
      <c r="AX293" s="423">
        <v>0</v>
      </c>
      <c r="AY293" s="423">
        <v>1</v>
      </c>
      <c r="AZ293" s="423">
        <v>3643</v>
      </c>
      <c r="BA293" s="42">
        <v>11008</v>
      </c>
    </row>
    <row r="294" spans="1:53">
      <c r="A294" t="s">
        <v>642</v>
      </c>
      <c r="B294" t="s">
        <v>643</v>
      </c>
      <c r="C294" t="s">
        <v>207</v>
      </c>
      <c r="D294" t="s">
        <v>675</v>
      </c>
      <c r="E294" s="8">
        <v>34380</v>
      </c>
      <c r="F294" s="8">
        <v>12824</v>
      </c>
      <c r="G294" s="8">
        <v>1187.199274164188</v>
      </c>
      <c r="H294" s="8">
        <v>12548.7</v>
      </c>
      <c r="I294" s="8">
        <v>2620.5657708745589</v>
      </c>
      <c r="J294" s="8">
        <v>8317.358190304938</v>
      </c>
      <c r="K294" s="8">
        <v>0</v>
      </c>
      <c r="L294" s="8">
        <v>2661.5546208975802</v>
      </c>
      <c r="M294" s="8">
        <v>2911.075366606728</v>
      </c>
      <c r="N294" s="6" cm="1">
        <f t="array" ref="N294">_xlfn.XLOOKUP(Table8[[#This Row],[Admin2PCODE]:[Admin2PCODE]],tblPiNAnalysis[[Admin2PCODE]:[Admin2PCODE]],tblPiNAnalysis[% SAMV],0,0)</f>
        <v>0.35000000000000003</v>
      </c>
      <c r="O294" s="6" cm="1">
        <f t="array" ref="O294">_xlfn.XLOOKUP(Table8[[#This Row],[Admin2PCODE]:[Admin2PCODE]],tblPiNAnalysis[[Admin2PCODE]:[Admin2PCODE]],tblPiNAnalysis[% NUT],0,0)</f>
        <v>0.05</v>
      </c>
      <c r="P294" s="6" cm="1">
        <f t="array" ref="P294">_xlfn.XLOOKUP(Table8[[#This Row],[Admin2PCODE]:[Admin2PCODE]],tblPiNAnalysis[[Admin2PCODE]:[Admin2PCODE]],tblPiNAnalysis[% SAL],0,0)</f>
        <v>0.35000000000000003</v>
      </c>
      <c r="Q294" s="6" cm="1">
        <f t="array" ref="Q294">_xlfn.XLOOKUP(Table8[[#This Row],[Admin2PCODE]:[Admin2PCODE]],tblPiNAnalysis[[Admin2PCODE]:[Admin2PCODE]],tblPiNAnalysis[% EDU],0,0)</f>
        <v>0.1</v>
      </c>
      <c r="R294" s="6" cm="1">
        <f t="array" ref="R294">_xlfn.XLOOKUP(Table8[[#This Row],[Admin2PCODE]:[Admin2PCODE]],tblPiNAnalysis[[Admin2PCODE]:[Admin2PCODE]],tblPiNAnalysis[% PRO],0,0)</f>
        <v>0.25</v>
      </c>
      <c r="S294" s="6" cm="1">
        <f t="array" ref="S294">_xlfn.XLOOKUP(Table8[[#This Row],[Admin2PCODE]:[Admin2PCODE]],tblPiNAnalysis[[Admin2PCODE]:[Admin2PCODE]],tblPiNAnalysis[% WASH],0,0)</f>
        <v>0</v>
      </c>
      <c r="T294" s="6" cm="1">
        <f t="array" ref="T294">_xlfn.XLOOKUP(Table8[[#This Row],[Admin2PCODE]:[Admin2PCODE]],tblPiNAnalysis[[Admin2PCODE]:[Admin2PCODE]],tblPiNAnalysis[% NNA],0,0)</f>
        <v>0.1</v>
      </c>
      <c r="U294" s="6" cm="1">
        <f t="array" ref="U294">_xlfn.XLOOKUP(Table8[[#This Row],[Admin2PCODE]:[Admin2PCODE]],tblPiNAnalysis[[Admin2PCODE]:[Admin2PCODE]],tblPiNAnalysis[% VBG],0,0)</f>
        <v>0.1</v>
      </c>
      <c r="V294" s="8" cm="1">
        <f t="array" ref="V294">_xlfn.XLOOKUP(Table8[[#This Row],[Admin2PCODE]:[Admin2PCODE]],tblPiNAnalysis[[Admin2PCODE]:[Admin2PCODE]],tblPiNAnalysis[PiN preliminar],0,0)</f>
        <v>0</v>
      </c>
      <c r="W294" s="308" cm="1">
        <f t="array" ref="W294">_xlfn.XLOOKUP(Table8[[#This Row],[Admin2PCODE]],tblPiNAnalysis[Admin2PCODE],tblSeverityAnalysis[Severidad media],0,0)</f>
        <v>3.1666666666666665</v>
      </c>
      <c r="X294" s="42">
        <f>Table8[[#This Row],[Severidad media]]*6</f>
        <v>19</v>
      </c>
      <c r="Y294" s="6" cm="1">
        <f t="array" ref="Y294">_xlfn.XLOOKUP(Table8[[#This Row],[Admin2PCODE]],tblPiNAnalysis[Admin2PCODE],tblPiNAnalysis[% PiN Sectores más altos],0,0)</f>
        <v>0.37300756253635836</v>
      </c>
      <c r="Z294" s="42" cm="1">
        <f t="array" ref="Z294">_xlfn.XLOOKUP(Table8[[#This Row],[Admin2PCODE]:[Admin2PCODE]],tblPiNAnalysis[[Admin2PCODE]:[Admin2PCODE]],tblPiNAnalysis[Severidad],0,0)</f>
        <v>2</v>
      </c>
      <c r="AA294">
        <f>_xlfn.XLOOKUP(Table8[[#This Row],[Admin2PCODE]],tblSeverityAnalysis[Admin 2 Código P],tblSeverityAnalysis[Severidad Ttotal 2025],0,0)</f>
        <v>3</v>
      </c>
      <c r="AB294" t="str">
        <f>_xlfn.XLOOKUP(Table8[[#This Row],[Admin2PCODE]],tblSeverityAnalysis[Admin 2 Código P],tblSeverityAnalysis[Priorización Final 2025],0,0)</f>
        <v>No</v>
      </c>
      <c r="AC294">
        <v>1</v>
      </c>
      <c r="AD294" t="s">
        <v>92</v>
      </c>
      <c r="AE294">
        <v>3</v>
      </c>
      <c r="AF294">
        <v>0</v>
      </c>
      <c r="AG294">
        <v>0</v>
      </c>
      <c r="AH294">
        <v>0</v>
      </c>
      <c r="AI294">
        <v>0</v>
      </c>
      <c r="AJ294">
        <v>0</v>
      </c>
      <c r="AK294">
        <v>0</v>
      </c>
      <c r="AL294">
        <v>0</v>
      </c>
      <c r="AM294">
        <v>0</v>
      </c>
      <c r="AN294">
        <v>3</v>
      </c>
      <c r="AO294" s="314">
        <f>Table8[[#This Row],[N° Clústeres con respuesta]]/Table8[[#This Row],[Org Total]]</f>
        <v>0.33333333333333331</v>
      </c>
      <c r="AP294" s="313">
        <v>5649</v>
      </c>
      <c r="AQ294" s="313">
        <v>655</v>
      </c>
      <c r="AR294" s="312">
        <f>Table8[[#This Row],[Alcanzados Oct 2025]]/Table8[[#This Row],[Meta 2025]]</f>
        <v>0.11594972561515313</v>
      </c>
      <c r="AS294" s="423">
        <v>0</v>
      </c>
      <c r="AT294" s="423">
        <v>0</v>
      </c>
      <c r="AU294" s="423">
        <v>0</v>
      </c>
      <c r="AV294" s="423">
        <v>0</v>
      </c>
      <c r="AW294" s="423">
        <v>0</v>
      </c>
      <c r="AX294" s="423">
        <v>0</v>
      </c>
      <c r="AY294" s="423">
        <v>0</v>
      </c>
      <c r="AZ294" s="423">
        <v>0</v>
      </c>
      <c r="BA294" s="42">
        <v>655</v>
      </c>
    </row>
    <row r="295" spans="1:53">
      <c r="A295" t="s">
        <v>306</v>
      </c>
      <c r="B295" t="s">
        <v>307</v>
      </c>
      <c r="C295" t="s">
        <v>314</v>
      </c>
      <c r="D295" t="s">
        <v>315</v>
      </c>
      <c r="E295" s="8">
        <v>105202</v>
      </c>
      <c r="F295" s="8">
        <v>41026</v>
      </c>
      <c r="G295" s="8">
        <v>5893.3736835116115</v>
      </c>
      <c r="H295" s="8">
        <v>43800</v>
      </c>
      <c r="I295" s="8">
        <v>18662.554054976968</v>
      </c>
      <c r="J295" s="8">
        <v>25122.889304806355</v>
      </c>
      <c r="K295" s="8">
        <v>14202.27</v>
      </c>
      <c r="L295" s="8">
        <v>8039.3245775380328</v>
      </c>
      <c r="M295" s="8">
        <v>8793.0112566822227</v>
      </c>
      <c r="N295" s="6" cm="1">
        <f t="array" ref="N295">_xlfn.XLOOKUP(Table8[[#This Row],[Admin2PCODE]:[Admin2PCODE]],tblPiNAnalysis[[Admin2PCODE]:[Admin2PCODE]],tblPiNAnalysis[% SAMV],0,0)</f>
        <v>0.4</v>
      </c>
      <c r="O295" s="6" cm="1">
        <f t="array" ref="O295">_xlfn.XLOOKUP(Table8[[#This Row],[Admin2PCODE]:[Admin2PCODE]],tblPiNAnalysis[[Admin2PCODE]:[Admin2PCODE]],tblPiNAnalysis[% NUT],0,0)</f>
        <v>0.05</v>
      </c>
      <c r="P295" s="6" cm="1">
        <f t="array" ref="P295">_xlfn.XLOOKUP(Table8[[#This Row],[Admin2PCODE]:[Admin2PCODE]],tblPiNAnalysis[[Admin2PCODE]:[Admin2PCODE]],tblPiNAnalysis[% SAL],0,0)</f>
        <v>0.4</v>
      </c>
      <c r="Q295" s="6" cm="1">
        <f t="array" ref="Q295">_xlfn.XLOOKUP(Table8[[#This Row],[Admin2PCODE]:[Admin2PCODE]],tblPiNAnalysis[[Admin2PCODE]:[Admin2PCODE]],tblPiNAnalysis[% EDU],0,0)</f>
        <v>0.2</v>
      </c>
      <c r="R295" s="6" cm="1">
        <f t="array" ref="R295">_xlfn.XLOOKUP(Table8[[#This Row],[Admin2PCODE]:[Admin2PCODE]],tblPiNAnalysis[[Admin2PCODE]:[Admin2PCODE]],tblPiNAnalysis[% PRO],0,0)</f>
        <v>0.25</v>
      </c>
      <c r="S295" s="6" cm="1">
        <f t="array" ref="S295">_xlfn.XLOOKUP(Table8[[#This Row],[Admin2PCODE]:[Admin2PCODE]],tblPiNAnalysis[[Admin2PCODE]:[Admin2PCODE]],tblPiNAnalysis[% WASH],0,0)</f>
        <v>0.15000000000000002</v>
      </c>
      <c r="T295" s="6" cm="1">
        <f t="array" ref="T295">_xlfn.XLOOKUP(Table8[[#This Row],[Admin2PCODE]:[Admin2PCODE]],tblPiNAnalysis[[Admin2PCODE]:[Admin2PCODE]],tblPiNAnalysis[% NNA],0,0)</f>
        <v>0.1</v>
      </c>
      <c r="U295" s="6" cm="1">
        <f t="array" ref="U295">_xlfn.XLOOKUP(Table8[[#This Row],[Admin2PCODE]:[Admin2PCODE]],tblPiNAnalysis[[Admin2PCODE]:[Admin2PCODE]],tblPiNAnalysis[% VBG],0,0)</f>
        <v>0.1</v>
      </c>
      <c r="V295" s="8" cm="1">
        <f t="array" ref="V295">_xlfn.XLOOKUP(Table8[[#This Row],[Admin2PCODE]:[Admin2PCODE]],tblPiNAnalysis[[Admin2PCODE]:[Admin2PCODE]],tblPiNAnalysis[PiN preliminar],0,0)</f>
        <v>43800</v>
      </c>
      <c r="W295" s="308" cm="1">
        <f t="array" ref="W295">_xlfn.XLOOKUP(Table8[[#This Row],[Admin2PCODE]],tblPiNAnalysis[Admin2PCODE],tblSeverityAnalysis[Severidad media],0,0)</f>
        <v>2.5</v>
      </c>
      <c r="X295" s="42">
        <f>Table8[[#This Row],[Severidad media]]*6</f>
        <v>15</v>
      </c>
      <c r="Y295" s="6" cm="1">
        <f t="array" ref="Y295">_xlfn.XLOOKUP(Table8[[#This Row],[Admin2PCODE]],tblPiNAnalysis[Admin2PCODE],tblPiNAnalysis[% PiN Sectores más altos],0,0)</f>
        <v>0.4163418946407863</v>
      </c>
      <c r="Z295" s="42" cm="1">
        <f t="array" ref="Z295">_xlfn.XLOOKUP(Table8[[#This Row],[Admin2PCODE]:[Admin2PCODE]],tblPiNAnalysis[[Admin2PCODE]:[Admin2PCODE]],tblPiNAnalysis[Severidad],0,0)</f>
        <v>3</v>
      </c>
      <c r="AA295">
        <f>_xlfn.XLOOKUP(Table8[[#This Row],[Admin2PCODE]],tblSeverityAnalysis[Admin 2 Código P],tblSeverityAnalysis[Severidad Ttotal 2025],0,0)</f>
        <v>3</v>
      </c>
      <c r="AB295" t="str">
        <f>_xlfn.XLOOKUP(Table8[[#This Row],[Admin2PCODE]],tblSeverityAnalysis[Admin 2 Código P],tblSeverityAnalysis[Priorización Final 2025],0,0)</f>
        <v>Sí</v>
      </c>
      <c r="AC295">
        <v>9</v>
      </c>
      <c r="AD295" t="s">
        <v>1106</v>
      </c>
      <c r="AE295">
        <v>32</v>
      </c>
      <c r="AF295">
        <v>1</v>
      </c>
      <c r="AG295">
        <v>14</v>
      </c>
      <c r="AH295">
        <v>5</v>
      </c>
      <c r="AI295">
        <v>6</v>
      </c>
      <c r="AJ295">
        <v>14</v>
      </c>
      <c r="AK295">
        <v>10</v>
      </c>
      <c r="AL295">
        <v>9</v>
      </c>
      <c r="AM295">
        <v>15</v>
      </c>
      <c r="AN295">
        <v>9</v>
      </c>
      <c r="AO295" s="314">
        <f>Table8[[#This Row],[N° Clústeres con respuesta]]/Table8[[#This Row],[Org Total]]</f>
        <v>0.28125</v>
      </c>
      <c r="AP295" s="313">
        <v>17283</v>
      </c>
      <c r="AQ295" s="313">
        <v>44061</v>
      </c>
      <c r="AR295" s="312">
        <f>Table8[[#This Row],[Alcanzados Oct 2025]]/Table8[[#This Row],[Meta 2025]]</f>
        <v>2.5493837875368861</v>
      </c>
      <c r="AS295" s="423">
        <v>0</v>
      </c>
      <c r="AT295" s="423">
        <v>2355</v>
      </c>
      <c r="AU295" s="423">
        <v>5305</v>
      </c>
      <c r="AV295" s="423">
        <v>4597</v>
      </c>
      <c r="AW295" s="423">
        <v>7272</v>
      </c>
      <c r="AX295" s="423">
        <v>964</v>
      </c>
      <c r="AY295" s="423">
        <v>7259</v>
      </c>
      <c r="AZ295" s="423">
        <v>23696</v>
      </c>
      <c r="BA295" s="42">
        <v>44061</v>
      </c>
    </row>
    <row r="296" spans="1:53">
      <c r="A296" t="s">
        <v>678</v>
      </c>
      <c r="B296" t="s">
        <v>679</v>
      </c>
      <c r="C296" t="s">
        <v>680</v>
      </c>
      <c r="D296" t="s">
        <v>681</v>
      </c>
      <c r="E296" s="8">
        <v>20943</v>
      </c>
      <c r="F296" s="8">
        <v>4654</v>
      </c>
      <c r="G296" s="8">
        <v>575.83036183599347</v>
      </c>
      <c r="H296" s="8">
        <v>9830</v>
      </c>
      <c r="I296" s="8">
        <v>1494.9659260213348</v>
      </c>
      <c r="J296" s="8">
        <v>4163.1709137784565</v>
      </c>
      <c r="K296" s="8">
        <v>0</v>
      </c>
      <c r="L296" s="8">
        <v>1332.2146924091062</v>
      </c>
      <c r="M296" s="8">
        <v>1457.1098198224595</v>
      </c>
      <c r="N296" s="6" cm="1">
        <f t="array" ref="N296">_xlfn.XLOOKUP(Table8[[#This Row],[Admin2PCODE]:[Admin2PCODE]],tblPiNAnalysis[[Admin2PCODE]:[Admin2PCODE]],tblPiNAnalysis[% SAMV],0,0)</f>
        <v>0.2</v>
      </c>
      <c r="O296" s="6" cm="1">
        <f t="array" ref="O296">_xlfn.XLOOKUP(Table8[[#This Row],[Admin2PCODE]:[Admin2PCODE]],tblPiNAnalysis[[Admin2PCODE]:[Admin2PCODE]],tblPiNAnalysis[% NUT],0,0)</f>
        <v>0.05</v>
      </c>
      <c r="P296" s="6" cm="1">
        <f t="array" ref="P296">_xlfn.XLOOKUP(Table8[[#This Row],[Admin2PCODE]:[Admin2PCODE]],tblPiNAnalysis[[Admin2PCODE]:[Admin2PCODE]],tblPiNAnalysis[% SAL],0,0)</f>
        <v>0.45</v>
      </c>
      <c r="Q296" s="6" cm="1">
        <f t="array" ref="Q296">_xlfn.XLOOKUP(Table8[[#This Row],[Admin2PCODE]:[Admin2PCODE]],tblPiNAnalysis[[Admin2PCODE]:[Admin2PCODE]],tblPiNAnalysis[% EDU],0,0)</f>
        <v>0.05</v>
      </c>
      <c r="R296" s="6" cm="1">
        <f t="array" ref="R296">_xlfn.XLOOKUP(Table8[[#This Row],[Admin2PCODE]:[Admin2PCODE]],tblPiNAnalysis[[Admin2PCODE]:[Admin2PCODE]],tblPiNAnalysis[% PRO],0,0)</f>
        <v>0.2</v>
      </c>
      <c r="S296" s="6" cm="1">
        <f t="array" ref="S296">_xlfn.XLOOKUP(Table8[[#This Row],[Admin2PCODE]:[Admin2PCODE]],tblPiNAnalysis[[Admin2PCODE]:[Admin2PCODE]],tblPiNAnalysis[% WASH],0,0)</f>
        <v>0</v>
      </c>
      <c r="T296" s="6" cm="1">
        <f t="array" ref="T296">_xlfn.XLOOKUP(Table8[[#This Row],[Admin2PCODE]:[Admin2PCODE]],tblPiNAnalysis[[Admin2PCODE]:[Admin2PCODE]],tblPiNAnalysis[% NNA],0,0)</f>
        <v>0.05</v>
      </c>
      <c r="U296" s="6" cm="1">
        <f t="array" ref="U296">_xlfn.XLOOKUP(Table8[[#This Row],[Admin2PCODE]:[Admin2PCODE]],tblPiNAnalysis[[Admin2PCODE]:[Admin2PCODE]],tblPiNAnalysis[% VBG],0,0)</f>
        <v>0.05</v>
      </c>
      <c r="V296" s="8" cm="1">
        <f t="array" ref="V296">_xlfn.XLOOKUP(Table8[[#This Row],[Admin2PCODE]:[Admin2PCODE]],tblPiNAnalysis[[Admin2PCODE]:[Admin2PCODE]],tblPiNAnalysis[PiN preliminar],0,0)</f>
        <v>0</v>
      </c>
      <c r="W296" s="308" cm="1">
        <f t="array" ref="W296">_xlfn.XLOOKUP(Table8[[#This Row],[Admin2PCODE]],tblPiNAnalysis[Admin2PCODE],tblSeverityAnalysis[Severidad media],0,0)</f>
        <v>3.6666666666666665</v>
      </c>
      <c r="X296" s="42">
        <f>Table8[[#This Row],[Severidad media]]*6</f>
        <v>22</v>
      </c>
      <c r="Y296" s="6" cm="1">
        <f t="array" ref="Y296">_xlfn.XLOOKUP(Table8[[#This Row],[Admin2PCODE]],tblPiNAnalysis[Admin2PCODE],tblPiNAnalysis[% PiN Sectores más altos],0,0)</f>
        <v>0.46936924031896099</v>
      </c>
      <c r="Z296" s="42" cm="1">
        <f t="array" ref="Z296">_xlfn.XLOOKUP(Table8[[#This Row],[Admin2PCODE]:[Admin2PCODE]],tblPiNAnalysis[[Admin2PCODE]:[Admin2PCODE]],tblPiNAnalysis[Severidad],0,0)</f>
        <v>2</v>
      </c>
      <c r="AA296">
        <f>_xlfn.XLOOKUP(Table8[[#This Row],[Admin2PCODE]],tblSeverityAnalysis[Admin 2 Código P],tblSeverityAnalysis[Severidad Ttotal 2025],0,0)</f>
        <v>3</v>
      </c>
      <c r="AB296" t="str">
        <f>_xlfn.XLOOKUP(Table8[[#This Row],[Admin2PCODE]],tblSeverityAnalysis[Admin 2 Código P],tblSeverityAnalysis[Priorización Final 2025],0,0)</f>
        <v>No</v>
      </c>
      <c r="AC296">
        <v>2</v>
      </c>
      <c r="AD296" t="s">
        <v>1107</v>
      </c>
      <c r="AE296">
        <v>4</v>
      </c>
      <c r="AF296">
        <v>0</v>
      </c>
      <c r="AG296">
        <v>1</v>
      </c>
      <c r="AH296">
        <v>0</v>
      </c>
      <c r="AI296">
        <v>0</v>
      </c>
      <c r="AJ296">
        <v>0</v>
      </c>
      <c r="AK296">
        <v>0</v>
      </c>
      <c r="AL296">
        <v>0</v>
      </c>
      <c r="AM296">
        <v>0</v>
      </c>
      <c r="AN296">
        <v>3</v>
      </c>
      <c r="AO296" s="314">
        <f>Table8[[#This Row],[N° Clústeres con respuesta]]/Table8[[#This Row],[Org Total]]</f>
        <v>0.5</v>
      </c>
      <c r="AP296" s="313">
        <v>4699</v>
      </c>
      <c r="AQ296" s="313">
        <v>2931</v>
      </c>
      <c r="AR296" s="312">
        <f>Table8[[#This Row],[Alcanzados Oct 2025]]/Table8[[#This Row],[Meta 2025]]</f>
        <v>0.62374973398595446</v>
      </c>
      <c r="AS296" s="423">
        <v>0</v>
      </c>
      <c r="AT296" s="423">
        <v>733</v>
      </c>
      <c r="AU296" s="423">
        <v>0</v>
      </c>
      <c r="AV296" s="423">
        <v>0</v>
      </c>
      <c r="AW296" s="423">
        <v>0</v>
      </c>
      <c r="AX296" s="423">
        <v>0</v>
      </c>
      <c r="AY296" s="423">
        <v>0</v>
      </c>
      <c r="AZ296" s="423">
        <v>0</v>
      </c>
      <c r="BA296" s="42">
        <v>2792</v>
      </c>
    </row>
    <row r="297" spans="1:53">
      <c r="A297" t="s">
        <v>678</v>
      </c>
      <c r="B297" t="s">
        <v>679</v>
      </c>
      <c r="C297" t="s">
        <v>180</v>
      </c>
      <c r="D297" t="s">
        <v>682</v>
      </c>
      <c r="E297" s="8">
        <v>31883</v>
      </c>
      <c r="F297" s="8">
        <v>4637</v>
      </c>
      <c r="G297" s="8">
        <v>817.84521050715773</v>
      </c>
      <c r="H297" s="8">
        <v>11637.295</v>
      </c>
      <c r="I297" s="8">
        <v>1700.2718086262826</v>
      </c>
      <c r="J297" s="8">
        <v>6337.8875158286055</v>
      </c>
      <c r="K297" s="8">
        <v>0</v>
      </c>
      <c r="L297" s="8">
        <v>2028.1240050651536</v>
      </c>
      <c r="M297" s="8">
        <v>2218.2606305400118</v>
      </c>
      <c r="N297" s="6" cm="1">
        <f t="array" ref="N297">_xlfn.XLOOKUP(Table8[[#This Row],[Admin2PCODE]:[Admin2PCODE]],tblPiNAnalysis[[Admin2PCODE]:[Admin2PCODE]],tblPiNAnalysis[% SAMV],0,0)</f>
        <v>0.15000000000000002</v>
      </c>
      <c r="O297" s="6" cm="1">
        <f t="array" ref="O297">_xlfn.XLOOKUP(Table8[[#This Row],[Admin2PCODE]:[Admin2PCODE]],tblPiNAnalysis[[Admin2PCODE]:[Admin2PCODE]],tblPiNAnalysis[% NUT],0,0)</f>
        <v>0.05</v>
      </c>
      <c r="P297" s="6" cm="1">
        <f t="array" ref="P297">_xlfn.XLOOKUP(Table8[[#This Row],[Admin2PCODE]:[Admin2PCODE]],tblPiNAnalysis[[Admin2PCODE]:[Admin2PCODE]],tblPiNAnalysis[% SAL],0,0)</f>
        <v>0.35000000000000003</v>
      </c>
      <c r="Q297" s="6" cm="1">
        <f t="array" ref="Q297">_xlfn.XLOOKUP(Table8[[#This Row],[Admin2PCODE]:[Admin2PCODE]],tblPiNAnalysis[[Admin2PCODE]:[Admin2PCODE]],tblPiNAnalysis[% EDU],0,0)</f>
        <v>0.05</v>
      </c>
      <c r="R297" s="6" cm="1">
        <f t="array" ref="R297">_xlfn.XLOOKUP(Table8[[#This Row],[Admin2PCODE]:[Admin2PCODE]],tblPiNAnalysis[[Admin2PCODE]:[Admin2PCODE]],tblPiNAnalysis[% PRO],0,0)</f>
        <v>0.2</v>
      </c>
      <c r="S297" s="6" cm="1">
        <f t="array" ref="S297">_xlfn.XLOOKUP(Table8[[#This Row],[Admin2PCODE]:[Admin2PCODE]],tblPiNAnalysis[[Admin2PCODE]:[Admin2PCODE]],tblPiNAnalysis[% WASH],0,0)</f>
        <v>0</v>
      </c>
      <c r="T297" s="6" cm="1">
        <f t="array" ref="T297">_xlfn.XLOOKUP(Table8[[#This Row],[Admin2PCODE]:[Admin2PCODE]],tblPiNAnalysis[[Admin2PCODE]:[Admin2PCODE]],tblPiNAnalysis[% NNA],0,0)</f>
        <v>0.05</v>
      </c>
      <c r="U297" s="6" cm="1">
        <f t="array" ref="U297">_xlfn.XLOOKUP(Table8[[#This Row],[Admin2PCODE]:[Admin2PCODE]],tblPiNAnalysis[[Admin2PCODE]:[Admin2PCODE]],tblPiNAnalysis[% VBG],0,0)</f>
        <v>0.05</v>
      </c>
      <c r="V297" s="8" cm="1">
        <f t="array" ref="V297">_xlfn.XLOOKUP(Table8[[#This Row],[Admin2PCODE]:[Admin2PCODE]],tblPiNAnalysis[[Admin2PCODE]:[Admin2PCODE]],tblPiNAnalysis[PiN preliminar],0,0)</f>
        <v>0</v>
      </c>
      <c r="W297" s="308" cm="1">
        <f t="array" ref="W297">_xlfn.XLOOKUP(Table8[[#This Row],[Admin2PCODE]],tblPiNAnalysis[Admin2PCODE],tblSeverityAnalysis[Severidad media],0,0)</f>
        <v>3.6666666666666665</v>
      </c>
      <c r="X297" s="42">
        <f>Table8[[#This Row],[Severidad media]]*6</f>
        <v>22</v>
      </c>
      <c r="Y297" s="6" cm="1">
        <f t="array" ref="Y297">_xlfn.XLOOKUP(Table8[[#This Row],[Admin2PCODE]],tblPiNAnalysis[Admin2PCODE],tblPiNAnalysis[% PiN Sectores más altos],0,0)</f>
        <v>0.36499999999999999</v>
      </c>
      <c r="Z297" s="42" cm="1">
        <f t="array" ref="Z297">_xlfn.XLOOKUP(Table8[[#This Row],[Admin2PCODE]:[Admin2PCODE]],tblPiNAnalysis[[Admin2PCODE]:[Admin2PCODE]],tblPiNAnalysis[Severidad],0,0)</f>
        <v>2</v>
      </c>
      <c r="AA297">
        <f>_xlfn.XLOOKUP(Table8[[#This Row],[Admin2PCODE]],tblSeverityAnalysis[Admin 2 Código P],tblSeverityAnalysis[Severidad Ttotal 2025],0,0)</f>
        <v>3</v>
      </c>
      <c r="AB297" t="str">
        <f>_xlfn.XLOOKUP(Table8[[#This Row],[Admin2PCODE]],tblSeverityAnalysis[Admin 2 Código P],tblSeverityAnalysis[Priorización Final 2025],0,0)</f>
        <v>No</v>
      </c>
      <c r="AC297">
        <v>2</v>
      </c>
      <c r="AD297" t="s">
        <v>1008</v>
      </c>
      <c r="AE297">
        <v>4</v>
      </c>
      <c r="AF297">
        <v>0</v>
      </c>
      <c r="AG297">
        <v>0</v>
      </c>
      <c r="AH297">
        <v>0</v>
      </c>
      <c r="AI297">
        <v>0</v>
      </c>
      <c r="AJ297">
        <v>0</v>
      </c>
      <c r="AK297">
        <v>0</v>
      </c>
      <c r="AL297">
        <v>0</v>
      </c>
      <c r="AM297">
        <v>1</v>
      </c>
      <c r="AN297">
        <v>3</v>
      </c>
      <c r="AO297" s="314">
        <f>Table8[[#This Row],[N° Clústeres con respuesta]]/Table8[[#This Row],[Org Total]]</f>
        <v>0.5</v>
      </c>
      <c r="AP297" s="313">
        <v>5239</v>
      </c>
      <c r="AQ297" s="313">
        <v>3621</v>
      </c>
      <c r="AR297" s="312">
        <f>Table8[[#This Row],[Alcanzados Oct 2025]]/Table8[[#This Row],[Meta 2025]]</f>
        <v>0.69116243557930901</v>
      </c>
      <c r="AS297" s="423">
        <v>0</v>
      </c>
      <c r="AT297" s="423">
        <v>0</v>
      </c>
      <c r="AU297" s="423">
        <v>0</v>
      </c>
      <c r="AV297" s="423">
        <v>0</v>
      </c>
      <c r="AW297" s="423">
        <v>0</v>
      </c>
      <c r="AX297" s="423">
        <v>0</v>
      </c>
      <c r="AY297" s="423">
        <v>0</v>
      </c>
      <c r="AZ297" s="423">
        <v>0</v>
      </c>
      <c r="BA297" s="42">
        <v>3621</v>
      </c>
    </row>
    <row r="298" spans="1:53">
      <c r="A298" t="s">
        <v>678</v>
      </c>
      <c r="B298" t="s">
        <v>679</v>
      </c>
      <c r="C298" t="s">
        <v>683</v>
      </c>
      <c r="D298" t="s">
        <v>684</v>
      </c>
      <c r="E298" s="8">
        <v>71311</v>
      </c>
      <c r="F298" s="8">
        <v>11299</v>
      </c>
      <c r="G298" s="8">
        <v>1690.1065796166481</v>
      </c>
      <c r="H298" s="8">
        <v>26028.514999999999</v>
      </c>
      <c r="I298" s="8">
        <v>6297.3319012244301</v>
      </c>
      <c r="J298" s="8">
        <v>14175.613858208251</v>
      </c>
      <c r="K298" s="8">
        <v>0</v>
      </c>
      <c r="L298" s="8">
        <v>4536.1964346266404</v>
      </c>
      <c r="M298" s="8">
        <v>4961.4648503728877</v>
      </c>
      <c r="N298" s="6" cm="1">
        <f t="array" ref="N298">_xlfn.XLOOKUP(Table8[[#This Row],[Admin2PCODE]:[Admin2PCODE]],tblPiNAnalysis[[Admin2PCODE]:[Admin2PCODE]],tblPiNAnalysis[% SAMV],0,0)</f>
        <v>0.15000000000000002</v>
      </c>
      <c r="O298" s="6" cm="1">
        <f t="array" ref="O298">_xlfn.XLOOKUP(Table8[[#This Row],[Admin2PCODE]:[Admin2PCODE]],tblPiNAnalysis[[Admin2PCODE]:[Admin2PCODE]],tblPiNAnalysis[% NUT],0,0)</f>
        <v>0</v>
      </c>
      <c r="P298" s="6" cm="1">
        <f t="array" ref="P298">_xlfn.XLOOKUP(Table8[[#This Row],[Admin2PCODE]:[Admin2PCODE]],tblPiNAnalysis[[Admin2PCODE]:[Admin2PCODE]],tblPiNAnalysis[% SAL],0,0)</f>
        <v>0.35000000000000003</v>
      </c>
      <c r="Q298" s="6" cm="1">
        <f t="array" ref="Q298">_xlfn.XLOOKUP(Table8[[#This Row],[Admin2PCODE]:[Admin2PCODE]],tblPiNAnalysis[[Admin2PCODE]:[Admin2PCODE]],tblPiNAnalysis[% EDU],0,0)</f>
        <v>0.1</v>
      </c>
      <c r="R298" s="6" cm="1">
        <f t="array" ref="R298">_xlfn.XLOOKUP(Table8[[#This Row],[Admin2PCODE]:[Admin2PCODE]],tblPiNAnalysis[[Admin2PCODE]:[Admin2PCODE]],tblPiNAnalysis[% PRO],0,0)</f>
        <v>0.2</v>
      </c>
      <c r="S298" s="6" cm="1">
        <f t="array" ref="S298">_xlfn.XLOOKUP(Table8[[#This Row],[Admin2PCODE]:[Admin2PCODE]],tblPiNAnalysis[[Admin2PCODE]:[Admin2PCODE]],tblPiNAnalysis[% WASH],0,0)</f>
        <v>0</v>
      </c>
      <c r="T298" s="6" cm="1">
        <f t="array" ref="T298">_xlfn.XLOOKUP(Table8[[#This Row],[Admin2PCODE]:[Admin2PCODE]],tblPiNAnalysis[[Admin2PCODE]:[Admin2PCODE]],tblPiNAnalysis[% NNA],0,0)</f>
        <v>0.05</v>
      </c>
      <c r="U298" s="6" cm="1">
        <f t="array" ref="U298">_xlfn.XLOOKUP(Table8[[#This Row],[Admin2PCODE]:[Admin2PCODE]],tblPiNAnalysis[[Admin2PCODE]:[Admin2PCODE]],tblPiNAnalysis[% VBG],0,0)</f>
        <v>0.05</v>
      </c>
      <c r="V298" s="8" cm="1">
        <f t="array" ref="V298">_xlfn.XLOOKUP(Table8[[#This Row],[Admin2PCODE]:[Admin2PCODE]],tblPiNAnalysis[[Admin2PCODE]:[Admin2PCODE]],tblPiNAnalysis[PiN preliminar],0,0)</f>
        <v>26028.514999999999</v>
      </c>
      <c r="W298" s="308" cm="1">
        <f t="array" ref="W298">_xlfn.XLOOKUP(Table8[[#This Row],[Admin2PCODE]],tblPiNAnalysis[Admin2PCODE],tblSeverityAnalysis[Severidad media],0,0)</f>
        <v>2.6666666666666665</v>
      </c>
      <c r="X298" s="42">
        <f>Table8[[#This Row],[Severidad media]]*6</f>
        <v>16</v>
      </c>
      <c r="Y298" s="6" cm="1">
        <f t="array" ref="Y298">_xlfn.XLOOKUP(Table8[[#This Row],[Admin2PCODE]],tblPiNAnalysis[Admin2PCODE],tblPiNAnalysis[% PiN Sectores más altos],0,0)</f>
        <v>0.36499999999999999</v>
      </c>
      <c r="Z298" s="42" cm="1">
        <f t="array" ref="Z298">_xlfn.XLOOKUP(Table8[[#This Row],[Admin2PCODE]:[Admin2PCODE]],tblPiNAnalysis[[Admin2PCODE]:[Admin2PCODE]],tblPiNAnalysis[Severidad],0,0)</f>
        <v>3</v>
      </c>
      <c r="AA298">
        <f>_xlfn.XLOOKUP(Table8[[#This Row],[Admin2PCODE]],tblSeverityAnalysis[Admin 2 Código P],tblSeverityAnalysis[Severidad Ttotal 2025],0,0)</f>
        <v>3</v>
      </c>
      <c r="AB298" t="str">
        <f>_xlfn.XLOOKUP(Table8[[#This Row],[Admin2PCODE]],tblSeverityAnalysis[Admin 2 Código P],tblSeverityAnalysis[Priorización Final 2025],0,0)</f>
        <v>No</v>
      </c>
      <c r="AC298">
        <v>4</v>
      </c>
      <c r="AD298" t="s">
        <v>1108</v>
      </c>
      <c r="AE298">
        <v>6</v>
      </c>
      <c r="AF298">
        <v>0</v>
      </c>
      <c r="AG298">
        <v>1</v>
      </c>
      <c r="AH298">
        <v>1</v>
      </c>
      <c r="AI298">
        <v>0</v>
      </c>
      <c r="AJ298">
        <v>0</v>
      </c>
      <c r="AK298">
        <v>0</v>
      </c>
      <c r="AL298">
        <v>0</v>
      </c>
      <c r="AM298">
        <v>1</v>
      </c>
      <c r="AN298">
        <v>3</v>
      </c>
      <c r="AO298" s="314">
        <f>Table8[[#This Row],[N° Clústeres con respuesta]]/Table8[[#This Row],[Org Total]]</f>
        <v>0.66666666666666663</v>
      </c>
      <c r="AP298" s="313">
        <v>11714</v>
      </c>
      <c r="AQ298" s="313">
        <v>9644</v>
      </c>
      <c r="AR298" s="312">
        <f>Table8[[#This Row],[Alcanzados Oct 2025]]/Table8[[#This Row],[Meta 2025]]</f>
        <v>0.82328837288714363</v>
      </c>
      <c r="AS298" s="423">
        <v>0</v>
      </c>
      <c r="AT298" s="423">
        <v>0</v>
      </c>
      <c r="AU298" s="423">
        <v>790</v>
      </c>
      <c r="AV298" s="423">
        <v>0</v>
      </c>
      <c r="AW298" s="423">
        <v>2</v>
      </c>
      <c r="AX298" s="423">
        <v>0</v>
      </c>
      <c r="AY298" s="423">
        <v>0</v>
      </c>
      <c r="AZ298" s="423">
        <v>5</v>
      </c>
      <c r="BA298" s="42">
        <v>9644</v>
      </c>
    </row>
    <row r="299" spans="1:53">
      <c r="A299" t="s">
        <v>678</v>
      </c>
      <c r="B299" t="s">
        <v>679</v>
      </c>
      <c r="C299" t="s">
        <v>685</v>
      </c>
      <c r="D299" t="s">
        <v>686</v>
      </c>
      <c r="E299" s="8">
        <v>42416</v>
      </c>
      <c r="F299" s="8">
        <v>2693</v>
      </c>
      <c r="G299" s="8">
        <v>1058.7697482615831</v>
      </c>
      <c r="H299" s="8">
        <v>19200</v>
      </c>
      <c r="I299" s="8">
        <v>4953.3977725632158</v>
      </c>
      <c r="J299" s="8">
        <v>8431.6982991370351</v>
      </c>
      <c r="K299" s="8">
        <v>0</v>
      </c>
      <c r="L299" s="8">
        <v>2698.1434557238513</v>
      </c>
      <c r="M299" s="8">
        <v>2951.0944046979625</v>
      </c>
      <c r="N299" s="6" cm="1">
        <f t="array" ref="N299">_xlfn.XLOOKUP(Table8[[#This Row],[Admin2PCODE]:[Admin2PCODE]],tblPiNAnalysis[[Admin2PCODE]:[Admin2PCODE]],tblPiNAnalysis[% SAMV],0,0)</f>
        <v>0.05</v>
      </c>
      <c r="O299" s="6" cm="1">
        <f t="array" ref="O299">_xlfn.XLOOKUP(Table8[[#This Row],[Admin2PCODE]:[Admin2PCODE]],tblPiNAnalysis[[Admin2PCODE]:[Admin2PCODE]],tblPiNAnalysis[% NUT],0,0)</f>
        <v>0</v>
      </c>
      <c r="P299" s="6" cm="1">
        <f t="array" ref="P299">_xlfn.XLOOKUP(Table8[[#This Row],[Admin2PCODE]:[Admin2PCODE]],tblPiNAnalysis[[Admin2PCODE]:[Admin2PCODE]],tblPiNAnalysis[% SAL],0,0)</f>
        <v>0.45</v>
      </c>
      <c r="Q299" s="6" cm="1">
        <f t="array" ref="Q299">_xlfn.XLOOKUP(Table8[[#This Row],[Admin2PCODE]:[Admin2PCODE]],tblPiNAnalysis[[Admin2PCODE]:[Admin2PCODE]],tblPiNAnalysis[% EDU],0,0)</f>
        <v>0.1</v>
      </c>
      <c r="R299" s="6" cm="1">
        <f t="array" ref="R299">_xlfn.XLOOKUP(Table8[[#This Row],[Admin2PCODE]:[Admin2PCODE]],tblPiNAnalysis[[Admin2PCODE]:[Admin2PCODE]],tblPiNAnalysis[% PRO],0,0)</f>
        <v>0.2</v>
      </c>
      <c r="S299" s="6" cm="1">
        <f t="array" ref="S299">_xlfn.XLOOKUP(Table8[[#This Row],[Admin2PCODE]:[Admin2PCODE]],tblPiNAnalysis[[Admin2PCODE]:[Admin2PCODE]],tblPiNAnalysis[% WASH],0,0)</f>
        <v>0</v>
      </c>
      <c r="T299" s="6" cm="1">
        <f t="array" ref="T299">_xlfn.XLOOKUP(Table8[[#This Row],[Admin2PCODE]:[Admin2PCODE]],tblPiNAnalysis[[Admin2PCODE]:[Admin2PCODE]],tblPiNAnalysis[% NNA],0,0)</f>
        <v>0.05</v>
      </c>
      <c r="U299" s="6" cm="1">
        <f t="array" ref="U299">_xlfn.XLOOKUP(Table8[[#This Row],[Admin2PCODE]:[Admin2PCODE]],tblPiNAnalysis[[Admin2PCODE]:[Admin2PCODE]],tblPiNAnalysis[% VBG],0,0)</f>
        <v>0.05</v>
      </c>
      <c r="V299" s="8" cm="1">
        <f t="array" ref="V299">_xlfn.XLOOKUP(Table8[[#This Row],[Admin2PCODE]:[Admin2PCODE]],tblPiNAnalysis[[Admin2PCODE]:[Admin2PCODE]],tblPiNAnalysis[PiN preliminar],0,0)</f>
        <v>0</v>
      </c>
      <c r="W299" s="308" cm="1">
        <f t="array" ref="W299">_xlfn.XLOOKUP(Table8[[#This Row],[Admin2PCODE]],tblPiNAnalysis[Admin2PCODE],tblSeverityAnalysis[Severidad media],0,0)</f>
        <v>3.1666666666666665</v>
      </c>
      <c r="X299" s="42">
        <f>Table8[[#This Row],[Severidad media]]*6</f>
        <v>19</v>
      </c>
      <c r="Y299" s="6" cm="1">
        <f t="array" ref="Y299">_xlfn.XLOOKUP(Table8[[#This Row],[Admin2PCODE]],tblPiNAnalysis[Admin2PCODE],tblPiNAnalysis[% PiN Sectores más altos],0,0)</f>
        <v>0.45265937382119953</v>
      </c>
      <c r="Z299" s="42" cm="1">
        <f t="array" ref="Z299">_xlfn.XLOOKUP(Table8[[#This Row],[Admin2PCODE]:[Admin2PCODE]],tblPiNAnalysis[[Admin2PCODE]:[Admin2PCODE]],tblPiNAnalysis[Severidad],0,0)</f>
        <v>2</v>
      </c>
      <c r="AA299">
        <f>_xlfn.XLOOKUP(Table8[[#This Row],[Admin2PCODE]],tblSeverityAnalysis[Admin 2 Código P],tblSeverityAnalysis[Severidad Ttotal 2025],0,0)</f>
        <v>3</v>
      </c>
      <c r="AB299" t="str">
        <f>_xlfn.XLOOKUP(Table8[[#This Row],[Admin2PCODE]],tblSeverityAnalysis[Admin 2 Código P],tblSeverityAnalysis[Priorización Final 2025],0,0)</f>
        <v>No</v>
      </c>
      <c r="AC299">
        <v>3</v>
      </c>
      <c r="AD299" t="s">
        <v>1109</v>
      </c>
      <c r="AE299">
        <v>4</v>
      </c>
      <c r="AF299">
        <v>0</v>
      </c>
      <c r="AG299">
        <v>1</v>
      </c>
      <c r="AH299">
        <v>0</v>
      </c>
      <c r="AI299">
        <v>0</v>
      </c>
      <c r="AJ299">
        <v>0</v>
      </c>
      <c r="AK299">
        <v>0</v>
      </c>
      <c r="AL299">
        <v>0</v>
      </c>
      <c r="AM299">
        <v>1</v>
      </c>
      <c r="AN299">
        <v>2</v>
      </c>
      <c r="AO299" s="314">
        <f>Table8[[#This Row],[N° Clústeres con respuesta]]/Table8[[#This Row],[Org Total]]</f>
        <v>0.75</v>
      </c>
      <c r="AP299" s="313">
        <v>6969</v>
      </c>
      <c r="AQ299" s="313">
        <v>408</v>
      </c>
      <c r="AR299" s="312">
        <f>Table8[[#This Row],[Alcanzados Oct 2025]]/Table8[[#This Row],[Meta 2025]]</f>
        <v>5.8544984933275937E-2</v>
      </c>
      <c r="AS299" s="423">
        <v>0</v>
      </c>
      <c r="AT299" s="423">
        <v>19</v>
      </c>
      <c r="AU299" s="423">
        <v>0</v>
      </c>
      <c r="AV299" s="423">
        <v>0</v>
      </c>
      <c r="AW299" s="423">
        <v>3</v>
      </c>
      <c r="AX299" s="423">
        <v>0</v>
      </c>
      <c r="AY299" s="423">
        <v>0</v>
      </c>
      <c r="AZ299" s="423">
        <v>3</v>
      </c>
      <c r="BA299" s="42">
        <v>408</v>
      </c>
    </row>
    <row r="300" spans="1:53">
      <c r="A300" t="s">
        <v>678</v>
      </c>
      <c r="B300" t="s">
        <v>679</v>
      </c>
      <c r="C300" t="s">
        <v>133</v>
      </c>
      <c r="D300" t="s">
        <v>687</v>
      </c>
      <c r="E300" s="8">
        <v>59114</v>
      </c>
      <c r="F300" s="8">
        <v>11709</v>
      </c>
      <c r="G300" s="8">
        <v>1176.967145846462</v>
      </c>
      <c r="H300" s="8">
        <v>21576.61</v>
      </c>
      <c r="I300" s="8">
        <v>10136.559796715932</v>
      </c>
      <c r="J300" s="8">
        <v>14101.228213556771</v>
      </c>
      <c r="K300" s="8">
        <v>0</v>
      </c>
      <c r="L300" s="8">
        <v>4512.3930283381669</v>
      </c>
      <c r="M300" s="8">
        <v>4935.4298747448702</v>
      </c>
      <c r="N300" s="6" cm="1">
        <f t="array" ref="N300">_xlfn.XLOOKUP(Table8[[#This Row],[Admin2PCODE]:[Admin2PCODE]],tblPiNAnalysis[[Admin2PCODE]:[Admin2PCODE]],tblPiNAnalysis[% SAMV],0,0)</f>
        <v>0.2</v>
      </c>
      <c r="O300" s="6" cm="1">
        <f t="array" ref="O300">_xlfn.XLOOKUP(Table8[[#This Row],[Admin2PCODE]:[Admin2PCODE]],tblPiNAnalysis[[Admin2PCODE]:[Admin2PCODE]],tblPiNAnalysis[% NUT],0,0)</f>
        <v>0</v>
      </c>
      <c r="P300" s="6" cm="1">
        <f t="array" ref="P300">_xlfn.XLOOKUP(Table8[[#This Row],[Admin2PCODE]:[Admin2PCODE]],tblPiNAnalysis[[Admin2PCODE]:[Admin2PCODE]],tblPiNAnalysis[% SAL],0,0)</f>
        <v>0.35000000000000003</v>
      </c>
      <c r="Q300" s="6" cm="1">
        <f t="array" ref="Q300">_xlfn.XLOOKUP(Table8[[#This Row],[Admin2PCODE]:[Admin2PCODE]],tblPiNAnalysis[[Admin2PCODE]:[Admin2PCODE]],tblPiNAnalysis[% EDU],0,0)</f>
        <v>0.15000000000000002</v>
      </c>
      <c r="R300" s="6" cm="1">
        <f t="array" ref="R300">_xlfn.XLOOKUP(Table8[[#This Row],[Admin2PCODE]:[Admin2PCODE]],tblPiNAnalysis[[Admin2PCODE]:[Admin2PCODE]],tblPiNAnalysis[% PRO],0,0)</f>
        <v>0.25</v>
      </c>
      <c r="S300" s="6" cm="1">
        <f t="array" ref="S300">_xlfn.XLOOKUP(Table8[[#This Row],[Admin2PCODE]:[Admin2PCODE]],tblPiNAnalysis[[Admin2PCODE]:[Admin2PCODE]],tblPiNAnalysis[% WASH],0,0)</f>
        <v>0</v>
      </c>
      <c r="T300" s="6" cm="1">
        <f t="array" ref="T300">_xlfn.XLOOKUP(Table8[[#This Row],[Admin2PCODE]:[Admin2PCODE]],tblPiNAnalysis[[Admin2PCODE]:[Admin2PCODE]],tblPiNAnalysis[% NNA],0,0)</f>
        <v>0.1</v>
      </c>
      <c r="U300" s="6" cm="1">
        <f t="array" ref="U300">_xlfn.XLOOKUP(Table8[[#This Row],[Admin2PCODE]:[Admin2PCODE]],tblPiNAnalysis[[Admin2PCODE]:[Admin2PCODE]],tblPiNAnalysis[% VBG],0,0)</f>
        <v>0.1</v>
      </c>
      <c r="V300" s="8" cm="1">
        <f t="array" ref="V300">_xlfn.XLOOKUP(Table8[[#This Row],[Admin2PCODE]:[Admin2PCODE]],tblPiNAnalysis[[Admin2PCODE]:[Admin2PCODE]],tblPiNAnalysis[PiN preliminar],0,0)</f>
        <v>21576.61</v>
      </c>
      <c r="W300" s="308" cm="1">
        <f t="array" ref="W300">_xlfn.XLOOKUP(Table8[[#This Row],[Admin2PCODE]],tblPiNAnalysis[Admin2PCODE],tblSeverityAnalysis[Severidad media],0,0)</f>
        <v>2.6666666666666665</v>
      </c>
      <c r="X300" s="42">
        <f>Table8[[#This Row],[Severidad media]]*6</f>
        <v>16</v>
      </c>
      <c r="Y300" s="6" cm="1">
        <f t="array" ref="Y300">_xlfn.XLOOKUP(Table8[[#This Row],[Admin2PCODE]],tblPiNAnalysis[Admin2PCODE],tblPiNAnalysis[% PiN Sectores más altos],0,0)</f>
        <v>0.36499999999999999</v>
      </c>
      <c r="Z300" s="42" cm="1">
        <f t="array" ref="Z300">_xlfn.XLOOKUP(Table8[[#This Row],[Admin2PCODE]:[Admin2PCODE]],tblPiNAnalysis[[Admin2PCODE]:[Admin2PCODE]],tblPiNAnalysis[Severidad],0,0)</f>
        <v>3</v>
      </c>
      <c r="AA300">
        <f>_xlfn.XLOOKUP(Table8[[#This Row],[Admin2PCODE]],tblSeverityAnalysis[Admin 2 Código P],tblSeverityAnalysis[Severidad Ttotal 2025],0,0)</f>
        <v>3</v>
      </c>
      <c r="AB300" t="str">
        <f>_xlfn.XLOOKUP(Table8[[#This Row],[Admin2PCODE]],tblSeverityAnalysis[Admin 2 Código P],tblSeverityAnalysis[Priorización Final 2025],0,0)</f>
        <v>No</v>
      </c>
      <c r="AC300">
        <v>3</v>
      </c>
      <c r="AD300" t="s">
        <v>1073</v>
      </c>
      <c r="AE300">
        <v>5</v>
      </c>
      <c r="AF300">
        <v>0</v>
      </c>
      <c r="AG300">
        <v>0</v>
      </c>
      <c r="AH300">
        <v>0</v>
      </c>
      <c r="AI300">
        <v>1</v>
      </c>
      <c r="AJ300">
        <v>0</v>
      </c>
      <c r="AK300">
        <v>0</v>
      </c>
      <c r="AL300">
        <v>0</v>
      </c>
      <c r="AM300">
        <v>2</v>
      </c>
      <c r="AN300">
        <v>2</v>
      </c>
      <c r="AO300" s="314">
        <f>Table8[[#This Row],[N° Clústeres con respuesta]]/Table8[[#This Row],[Org Total]]</f>
        <v>0.6</v>
      </c>
      <c r="AP300" s="313">
        <v>9712</v>
      </c>
      <c r="AQ300" s="313">
        <v>7215</v>
      </c>
      <c r="AR300" s="312">
        <f>Table8[[#This Row],[Alcanzados Oct 2025]]/Table8[[#This Row],[Meta 2025]]</f>
        <v>0.74289538714991765</v>
      </c>
      <c r="AS300" s="423">
        <v>0</v>
      </c>
      <c r="AT300" s="423">
        <v>0</v>
      </c>
      <c r="AU300" s="423">
        <v>0</v>
      </c>
      <c r="AV300" s="423">
        <v>1824</v>
      </c>
      <c r="AW300" s="423">
        <v>0</v>
      </c>
      <c r="AX300" s="423">
        <v>0</v>
      </c>
      <c r="AY300" s="423">
        <v>0</v>
      </c>
      <c r="AZ300" s="423">
        <v>3</v>
      </c>
      <c r="BA300" s="42">
        <v>7215</v>
      </c>
    </row>
    <row r="301" spans="1:53">
      <c r="A301" t="s">
        <v>678</v>
      </c>
      <c r="B301" t="s">
        <v>679</v>
      </c>
      <c r="C301" t="s">
        <v>688</v>
      </c>
      <c r="D301" t="s">
        <v>689</v>
      </c>
      <c r="E301" s="8">
        <v>20113</v>
      </c>
      <c r="F301" s="8">
        <v>7822</v>
      </c>
      <c r="G301" s="8">
        <v>1011.0992329205294</v>
      </c>
      <c r="H301" s="8">
        <v>9600</v>
      </c>
      <c r="I301" s="8">
        <v>1116.9085374350739</v>
      </c>
      <c r="J301" s="8">
        <v>3998.1787035680691</v>
      </c>
      <c r="K301" s="8">
        <v>0</v>
      </c>
      <c r="L301" s="8">
        <v>1279.4171851417823</v>
      </c>
      <c r="M301" s="8">
        <v>1399.3625462488242</v>
      </c>
      <c r="N301" s="6" cm="1">
        <f t="array" ref="N301">_xlfn.XLOOKUP(Table8[[#This Row],[Admin2PCODE]:[Admin2PCODE]],tblPiNAnalysis[[Admin2PCODE]:[Admin2PCODE]],tblPiNAnalysis[% SAMV],0,0)</f>
        <v>0.4</v>
      </c>
      <c r="O301" s="6" cm="1">
        <f t="array" ref="O301">_xlfn.XLOOKUP(Table8[[#This Row],[Admin2PCODE]:[Admin2PCODE]],tblPiNAnalysis[[Admin2PCODE]:[Admin2PCODE]],tblPiNAnalysis[% NUT],0,0)</f>
        <v>0.05</v>
      </c>
      <c r="P301" s="6" cm="1">
        <f t="array" ref="P301">_xlfn.XLOOKUP(Table8[[#This Row],[Admin2PCODE]:[Admin2PCODE]],tblPiNAnalysis[[Admin2PCODE]:[Admin2PCODE]],tblPiNAnalysis[% SAL],0,0)</f>
        <v>0.5</v>
      </c>
      <c r="Q301" s="6" cm="1">
        <f t="array" ref="Q301">_xlfn.XLOOKUP(Table8[[#This Row],[Admin2PCODE]:[Admin2PCODE]],tblPiNAnalysis[[Admin2PCODE]:[Admin2PCODE]],tblPiNAnalysis[% EDU],0,0)</f>
        <v>0.05</v>
      </c>
      <c r="R301" s="6" cm="1">
        <f t="array" ref="R301">_xlfn.XLOOKUP(Table8[[#This Row],[Admin2PCODE]:[Admin2PCODE]],tblPiNAnalysis[[Admin2PCODE]:[Admin2PCODE]],tblPiNAnalysis[% PRO],0,0)</f>
        <v>0.2</v>
      </c>
      <c r="S301" s="6" cm="1">
        <f t="array" ref="S301">_xlfn.XLOOKUP(Table8[[#This Row],[Admin2PCODE]:[Admin2PCODE]],tblPiNAnalysis[[Admin2PCODE]:[Admin2PCODE]],tblPiNAnalysis[% WASH],0,0)</f>
        <v>0</v>
      </c>
      <c r="T301" s="6" cm="1">
        <f t="array" ref="T301">_xlfn.XLOOKUP(Table8[[#This Row],[Admin2PCODE]:[Admin2PCODE]],tblPiNAnalysis[[Admin2PCODE]:[Admin2PCODE]],tblPiNAnalysis[% NNA],0,0)</f>
        <v>0.05</v>
      </c>
      <c r="U301" s="6" cm="1">
        <f t="array" ref="U301">_xlfn.XLOOKUP(Table8[[#This Row],[Admin2PCODE]:[Admin2PCODE]],tblPiNAnalysis[[Admin2PCODE]:[Admin2PCODE]],tblPiNAnalysis[% VBG],0,0)</f>
        <v>0.05</v>
      </c>
      <c r="V301" s="8" cm="1">
        <f t="array" ref="V301">_xlfn.XLOOKUP(Table8[[#This Row],[Admin2PCODE]:[Admin2PCODE]],tblPiNAnalysis[[Admin2PCODE]:[Admin2PCODE]],tblPiNAnalysis[PiN preliminar],0,0)</f>
        <v>9600</v>
      </c>
      <c r="W301" s="308" cm="1">
        <f t="array" ref="W301">_xlfn.XLOOKUP(Table8[[#This Row],[Admin2PCODE]],tblPiNAnalysis[Admin2PCODE],tblSeverityAnalysis[Severidad media],0,0)</f>
        <v>3</v>
      </c>
      <c r="X301" s="42">
        <f>Table8[[#This Row],[Severidad media]]*6</f>
        <v>18</v>
      </c>
      <c r="Y301" s="6" cm="1">
        <f t="array" ref="Y301">_xlfn.XLOOKUP(Table8[[#This Row],[Admin2PCODE]],tblPiNAnalysis[Admin2PCODE],tblPiNAnalysis[% PiN Sectores más altos],0,0)</f>
        <v>0.47730323671257396</v>
      </c>
      <c r="Z301" s="42" cm="1">
        <f t="array" ref="Z301">_xlfn.XLOOKUP(Table8[[#This Row],[Admin2PCODE]:[Admin2PCODE]],tblPiNAnalysis[[Admin2PCODE]:[Admin2PCODE]],tblPiNAnalysis[Severidad],0,0)</f>
        <v>3</v>
      </c>
      <c r="AA301">
        <f>_xlfn.XLOOKUP(Table8[[#This Row],[Admin2PCODE]],tblSeverityAnalysis[Admin 2 Código P],tblSeverityAnalysis[Severidad Ttotal 2025],0,0)</f>
        <v>3</v>
      </c>
      <c r="AB301" t="str">
        <f>_xlfn.XLOOKUP(Table8[[#This Row],[Admin2PCODE]],tblSeverityAnalysis[Admin 2 Código P],tblSeverityAnalysis[Priorización Final 2025],0,0)</f>
        <v>No</v>
      </c>
      <c r="AC301">
        <v>2</v>
      </c>
      <c r="AD301" t="s">
        <v>1008</v>
      </c>
      <c r="AE301">
        <v>4</v>
      </c>
      <c r="AF301">
        <v>0</v>
      </c>
      <c r="AG301">
        <v>0</v>
      </c>
      <c r="AH301">
        <v>0</v>
      </c>
      <c r="AI301">
        <v>0</v>
      </c>
      <c r="AJ301">
        <v>0</v>
      </c>
      <c r="AK301">
        <v>0</v>
      </c>
      <c r="AL301">
        <v>0</v>
      </c>
      <c r="AM301">
        <v>1</v>
      </c>
      <c r="AN301">
        <v>3</v>
      </c>
      <c r="AO301" s="314">
        <f>Table8[[#This Row],[N° Clústeres con respuesta]]/Table8[[#This Row],[Org Total]]</f>
        <v>0.5</v>
      </c>
      <c r="AP301" s="313">
        <v>4697</v>
      </c>
      <c r="AQ301" s="313">
        <v>5140</v>
      </c>
      <c r="AR301" s="312">
        <f>Table8[[#This Row],[Alcanzados Oct 2025]]/Table8[[#This Row],[Meta 2025]]</f>
        <v>1.0943155205450288</v>
      </c>
      <c r="AS301" s="423">
        <v>0</v>
      </c>
      <c r="AT301" s="423">
        <v>0</v>
      </c>
      <c r="AU301" s="423">
        <v>0</v>
      </c>
      <c r="AV301" s="423">
        <v>0</v>
      </c>
      <c r="AW301" s="423">
        <v>0</v>
      </c>
      <c r="AX301" s="423">
        <v>0</v>
      </c>
      <c r="AY301" s="423">
        <v>0</v>
      </c>
      <c r="AZ301" s="423">
        <v>0</v>
      </c>
      <c r="BA301" s="42">
        <v>5140</v>
      </c>
    </row>
    <row r="302" spans="1:53">
      <c r="A302" t="s">
        <v>678</v>
      </c>
      <c r="B302" t="s">
        <v>679</v>
      </c>
      <c r="C302" t="s">
        <v>690</v>
      </c>
      <c r="D302" t="s">
        <v>691</v>
      </c>
      <c r="E302" s="8">
        <v>17586</v>
      </c>
      <c r="F302" s="8">
        <v>3908</v>
      </c>
      <c r="G302" s="8">
        <v>978.79765969788377</v>
      </c>
      <c r="H302" s="8">
        <v>6418.89</v>
      </c>
      <c r="I302" s="8">
        <v>1504.7730863603952</v>
      </c>
      <c r="J302" s="8">
        <v>3495.846998505845</v>
      </c>
      <c r="K302" s="8">
        <v>0</v>
      </c>
      <c r="L302" s="8">
        <v>1122.1668865203762</v>
      </c>
      <c r="M302" s="8">
        <v>1223.5464494770456</v>
      </c>
      <c r="N302" s="6" cm="1">
        <f t="array" ref="N302">_xlfn.XLOOKUP(Table8[[#This Row],[Admin2PCODE]:[Admin2PCODE]],tblPiNAnalysis[[Admin2PCODE]:[Admin2PCODE]],tblPiNAnalysis[% SAMV],0,0)</f>
        <v>0.2</v>
      </c>
      <c r="O302" s="6" cm="1">
        <f t="array" ref="O302">_xlfn.XLOOKUP(Table8[[#This Row],[Admin2PCODE]:[Admin2PCODE]],tblPiNAnalysis[[Admin2PCODE]:[Admin2PCODE]],tblPiNAnalysis[% NUT],0,0)</f>
        <v>0.05</v>
      </c>
      <c r="P302" s="6" cm="1">
        <f t="array" ref="P302">_xlfn.XLOOKUP(Table8[[#This Row],[Admin2PCODE]:[Admin2PCODE]],tblPiNAnalysis[[Admin2PCODE]:[Admin2PCODE]],tblPiNAnalysis[% SAL],0,0)</f>
        <v>0.35000000000000003</v>
      </c>
      <c r="Q302" s="6" cm="1">
        <f t="array" ref="Q302">_xlfn.XLOOKUP(Table8[[#This Row],[Admin2PCODE]:[Admin2PCODE]],tblPiNAnalysis[[Admin2PCODE]:[Admin2PCODE]],tblPiNAnalysis[% EDU],0,0)</f>
        <v>0.1</v>
      </c>
      <c r="R302" s="6" cm="1">
        <f t="array" ref="R302">_xlfn.XLOOKUP(Table8[[#This Row],[Admin2PCODE]:[Admin2PCODE]],tblPiNAnalysis[[Admin2PCODE]:[Admin2PCODE]],tblPiNAnalysis[% PRO],0,0)</f>
        <v>0.2</v>
      </c>
      <c r="S302" s="6" cm="1">
        <f t="array" ref="S302">_xlfn.XLOOKUP(Table8[[#This Row],[Admin2PCODE]:[Admin2PCODE]],tblPiNAnalysis[[Admin2PCODE]:[Admin2PCODE]],tblPiNAnalysis[% WASH],0,0)</f>
        <v>0</v>
      </c>
      <c r="T302" s="6" cm="1">
        <f t="array" ref="T302">_xlfn.XLOOKUP(Table8[[#This Row],[Admin2PCODE]:[Admin2PCODE]],tblPiNAnalysis[[Admin2PCODE]:[Admin2PCODE]],tblPiNAnalysis[% NNA],0,0)</f>
        <v>0.05</v>
      </c>
      <c r="U302" s="6" cm="1">
        <f t="array" ref="U302">_xlfn.XLOOKUP(Table8[[#This Row],[Admin2PCODE]:[Admin2PCODE]],tblPiNAnalysis[[Admin2PCODE]:[Admin2PCODE]],tblPiNAnalysis[% VBG],0,0)</f>
        <v>0.05</v>
      </c>
      <c r="V302" s="8" cm="1">
        <f t="array" ref="V302">_xlfn.XLOOKUP(Table8[[#This Row],[Admin2PCODE]:[Admin2PCODE]],tblPiNAnalysis[[Admin2PCODE]:[Admin2PCODE]],tblPiNAnalysis[PiN preliminar],0,0)</f>
        <v>6418.89</v>
      </c>
      <c r="W302" s="308" cm="1">
        <f t="array" ref="W302">_xlfn.XLOOKUP(Table8[[#This Row],[Admin2PCODE]],tblPiNAnalysis[Admin2PCODE],tblSeverityAnalysis[Severidad media],0,0)</f>
        <v>2.5</v>
      </c>
      <c r="X302" s="42">
        <f>Table8[[#This Row],[Severidad media]]*6</f>
        <v>15</v>
      </c>
      <c r="Y302" s="6" cm="1">
        <f t="array" ref="Y302">_xlfn.XLOOKUP(Table8[[#This Row],[Admin2PCODE]],tblPiNAnalysis[Admin2PCODE],tblPiNAnalysis[% PiN Sectores más altos],0,0)</f>
        <v>0.36499999999999999</v>
      </c>
      <c r="Z302" s="42" cm="1">
        <f t="array" ref="Z302">_xlfn.XLOOKUP(Table8[[#This Row],[Admin2PCODE]:[Admin2PCODE]],tblPiNAnalysis[[Admin2PCODE]:[Admin2PCODE]],tblPiNAnalysis[Severidad],0,0)</f>
        <v>3</v>
      </c>
      <c r="AA302">
        <f>_xlfn.XLOOKUP(Table8[[#This Row],[Admin2PCODE]],tblSeverityAnalysis[Admin 2 Código P],tblSeverityAnalysis[Severidad Ttotal 2025],0,0)</f>
        <v>3</v>
      </c>
      <c r="AB302" t="str">
        <f>_xlfn.XLOOKUP(Table8[[#This Row],[Admin2PCODE]],tblSeverityAnalysis[Admin 2 Código P],tblSeverityAnalysis[Priorización Final 2025],0,0)</f>
        <v>No</v>
      </c>
      <c r="AC302">
        <v>1</v>
      </c>
      <c r="AD302" t="s">
        <v>92</v>
      </c>
      <c r="AE302">
        <v>3</v>
      </c>
      <c r="AF302">
        <v>0</v>
      </c>
      <c r="AG302">
        <v>0</v>
      </c>
      <c r="AH302">
        <v>0</v>
      </c>
      <c r="AI302">
        <v>0</v>
      </c>
      <c r="AJ302">
        <v>0</v>
      </c>
      <c r="AK302">
        <v>0</v>
      </c>
      <c r="AL302">
        <v>0</v>
      </c>
      <c r="AM302">
        <v>0</v>
      </c>
      <c r="AN302">
        <v>3</v>
      </c>
      <c r="AO302" s="314">
        <f>Table8[[#This Row],[N° Clústeres con respuesta]]/Table8[[#This Row],[Org Total]]</f>
        <v>0.33333333333333331</v>
      </c>
      <c r="AP302" s="313">
        <v>4106</v>
      </c>
      <c r="AQ302" s="313">
        <v>324</v>
      </c>
      <c r="AR302" s="312">
        <f>Table8[[#This Row],[Alcanzados Oct 2025]]/Table8[[#This Row],[Meta 2025]]</f>
        <v>7.8908913784705312E-2</v>
      </c>
      <c r="AS302" s="423">
        <v>0</v>
      </c>
      <c r="AT302" s="423">
        <v>0</v>
      </c>
      <c r="AU302" s="423">
        <v>0</v>
      </c>
      <c r="AV302" s="423">
        <v>0</v>
      </c>
      <c r="AW302" s="423">
        <v>0</v>
      </c>
      <c r="AX302" s="423">
        <v>0</v>
      </c>
      <c r="AY302" s="423">
        <v>0</v>
      </c>
      <c r="AZ302" s="423">
        <v>0</v>
      </c>
      <c r="BA302" s="42">
        <v>324</v>
      </c>
    </row>
    <row r="303" spans="1:53">
      <c r="A303" t="s">
        <v>678</v>
      </c>
      <c r="B303" t="s">
        <v>679</v>
      </c>
      <c r="C303" t="s">
        <v>692</v>
      </c>
      <c r="D303" t="s">
        <v>693</v>
      </c>
      <c r="E303" s="8">
        <v>13474</v>
      </c>
      <c r="F303" s="8">
        <v>1892</v>
      </c>
      <c r="G303" s="8">
        <v>315.33108204809508</v>
      </c>
      <c r="H303" s="8">
        <v>11600</v>
      </c>
      <c r="I303" s="8">
        <v>1779.1048479114643</v>
      </c>
      <c r="J303" s="8">
        <v>3214.1277692164963</v>
      </c>
      <c r="K303" s="8">
        <v>0</v>
      </c>
      <c r="L303" s="8">
        <v>1031.7350139184955</v>
      </c>
      <c r="M303" s="8">
        <v>1124.9447192257737</v>
      </c>
      <c r="N303" s="6" cm="1">
        <f t="array" ref="N303">_xlfn.XLOOKUP(Table8[[#This Row],[Admin2PCODE]:[Admin2PCODE]],tblPiNAnalysis[[Admin2PCODE]:[Admin2PCODE]],tblPiNAnalysis[% SAMV],0,0)</f>
        <v>0.15000000000000002</v>
      </c>
      <c r="O303" s="6" cm="1">
        <f t="array" ref="O303">_xlfn.XLOOKUP(Table8[[#This Row],[Admin2PCODE]:[Admin2PCODE]],tblPiNAnalysis[[Admin2PCODE]:[Admin2PCODE]],tblPiNAnalysis[% NUT],0,0)</f>
        <v>0</v>
      </c>
      <c r="P303" s="6" cm="1">
        <f t="array" ref="P303">_xlfn.XLOOKUP(Table8[[#This Row],[Admin2PCODE]:[Admin2PCODE]],tblPiNAnalysis[[Admin2PCODE]:[Admin2PCODE]],tblPiNAnalysis[% SAL],0,0)</f>
        <v>0.85000000000000009</v>
      </c>
      <c r="Q303" s="6" cm="1">
        <f t="array" ref="Q303">_xlfn.XLOOKUP(Table8[[#This Row],[Admin2PCODE]:[Admin2PCODE]],tblPiNAnalysis[[Admin2PCODE]:[Admin2PCODE]],tblPiNAnalysis[% EDU],0,0)</f>
        <v>0.15000000000000002</v>
      </c>
      <c r="R303" s="6" cm="1">
        <f t="array" ref="R303">_xlfn.XLOOKUP(Table8[[#This Row],[Admin2PCODE]:[Admin2PCODE]],tblPiNAnalysis[[Admin2PCODE]:[Admin2PCODE]],tblPiNAnalysis[% PRO],0,0)</f>
        <v>0.25</v>
      </c>
      <c r="S303" s="6" cm="1">
        <f t="array" ref="S303">_xlfn.XLOOKUP(Table8[[#This Row],[Admin2PCODE]:[Admin2PCODE]],tblPiNAnalysis[[Admin2PCODE]:[Admin2PCODE]],tblPiNAnalysis[% WASH],0,0)</f>
        <v>0</v>
      </c>
      <c r="T303" s="6" cm="1">
        <f t="array" ref="T303">_xlfn.XLOOKUP(Table8[[#This Row],[Admin2PCODE]:[Admin2PCODE]],tblPiNAnalysis[[Admin2PCODE]:[Admin2PCODE]],tblPiNAnalysis[% NNA],0,0)</f>
        <v>0.1</v>
      </c>
      <c r="U303" s="6" cm="1">
        <f t="array" ref="U303">_xlfn.XLOOKUP(Table8[[#This Row],[Admin2PCODE]:[Admin2PCODE]],tblPiNAnalysis[[Admin2PCODE]:[Admin2PCODE]],tblPiNAnalysis[% VBG],0,0)</f>
        <v>0.1</v>
      </c>
      <c r="V303" s="8" cm="1">
        <f t="array" ref="V303">_xlfn.XLOOKUP(Table8[[#This Row],[Admin2PCODE]:[Admin2PCODE]],tblPiNAnalysis[[Admin2PCODE]:[Admin2PCODE]],tblPiNAnalysis[PiN preliminar],0,0)</f>
        <v>0</v>
      </c>
      <c r="W303" s="308" cm="1">
        <f t="array" ref="W303">_xlfn.XLOOKUP(Table8[[#This Row],[Admin2PCODE]],tblPiNAnalysis[Admin2PCODE],tblSeverityAnalysis[Severidad media],0,0)</f>
        <v>3.1666666666666665</v>
      </c>
      <c r="X303" s="42">
        <f>Table8[[#This Row],[Severidad media]]*6</f>
        <v>19</v>
      </c>
      <c r="Y303" s="6" cm="1">
        <f t="array" ref="Y303">_xlfn.XLOOKUP(Table8[[#This Row],[Admin2PCODE]],tblPiNAnalysis[Admin2PCODE],tblPiNAnalysis[% PiN Sectores más altos],0,0)</f>
        <v>0.86091732225025974</v>
      </c>
      <c r="Z303" s="42" cm="1">
        <f t="array" ref="Z303">_xlfn.XLOOKUP(Table8[[#This Row],[Admin2PCODE]:[Admin2PCODE]],tblPiNAnalysis[[Admin2PCODE]:[Admin2PCODE]],tblPiNAnalysis[Severidad],0,0)</f>
        <v>2</v>
      </c>
      <c r="AA303">
        <f>_xlfn.XLOOKUP(Table8[[#This Row],[Admin2PCODE]],tblSeverityAnalysis[Admin 2 Código P],tblSeverityAnalysis[Severidad Ttotal 2025],0,0)</f>
        <v>3</v>
      </c>
      <c r="AB303" t="str">
        <f>_xlfn.XLOOKUP(Table8[[#This Row],[Admin2PCODE]],tblSeverityAnalysis[Admin 2 Código P],tblSeverityAnalysis[Priorización Final 2025],0,0)</f>
        <v>No</v>
      </c>
      <c r="AC303">
        <v>1</v>
      </c>
      <c r="AD303" t="s">
        <v>92</v>
      </c>
      <c r="AE303">
        <v>3</v>
      </c>
      <c r="AF303">
        <v>0</v>
      </c>
      <c r="AG303">
        <v>0</v>
      </c>
      <c r="AH303">
        <v>0</v>
      </c>
      <c r="AI303">
        <v>0</v>
      </c>
      <c r="AJ303">
        <v>0</v>
      </c>
      <c r="AK303">
        <v>0</v>
      </c>
      <c r="AL303">
        <v>0</v>
      </c>
      <c r="AM303">
        <v>0</v>
      </c>
      <c r="AN303">
        <v>3</v>
      </c>
      <c r="AO303" s="314">
        <f>Table8[[#This Row],[N° Clústeres con respuesta]]/Table8[[#This Row],[Org Total]]</f>
        <v>0.33333333333333331</v>
      </c>
      <c r="AP303" s="313">
        <v>3147</v>
      </c>
      <c r="AQ303" s="313">
        <v>4667</v>
      </c>
      <c r="AR303" s="312">
        <f>Table8[[#This Row],[Alcanzados Oct 2025]]/Table8[[#This Row],[Meta 2025]]</f>
        <v>1.4829996822370513</v>
      </c>
      <c r="AS303" s="423">
        <v>0</v>
      </c>
      <c r="AT303" s="423">
        <v>0</v>
      </c>
      <c r="AU303" s="423">
        <v>0</v>
      </c>
      <c r="AV303" s="423">
        <v>0</v>
      </c>
      <c r="AW303" s="423">
        <v>0</v>
      </c>
      <c r="AX303" s="423">
        <v>0</v>
      </c>
      <c r="AY303" s="423">
        <v>0</v>
      </c>
      <c r="AZ303" s="423">
        <v>0</v>
      </c>
      <c r="BA303" s="42">
        <v>4667</v>
      </c>
    </row>
    <row r="304" spans="1:53">
      <c r="A304" t="s">
        <v>678</v>
      </c>
      <c r="B304" t="s">
        <v>679</v>
      </c>
      <c r="C304" t="s">
        <v>694</v>
      </c>
      <c r="D304" t="s">
        <v>695</v>
      </c>
      <c r="E304" s="8">
        <v>60255</v>
      </c>
      <c r="F304" s="8">
        <v>15063</v>
      </c>
      <c r="G304" s="8">
        <v>3140.3300244250358</v>
      </c>
      <c r="H304" s="8">
        <v>21993.075000000001</v>
      </c>
      <c r="I304" s="8">
        <v>6639.3574819902069</v>
      </c>
      <c r="J304" s="8">
        <v>14373.405724665281</v>
      </c>
      <c r="K304" s="8">
        <v>0</v>
      </c>
      <c r="L304" s="8">
        <v>4613.8632376175556</v>
      </c>
      <c r="M304" s="8">
        <v>5030.6920036328484</v>
      </c>
      <c r="N304" s="6" cm="1">
        <f t="array" ref="N304">_xlfn.XLOOKUP(Table8[[#This Row],[Admin2PCODE]:[Admin2PCODE]],tblPiNAnalysis[[Admin2PCODE]:[Admin2PCODE]],tblPiNAnalysis[% SAMV],0,0)</f>
        <v>0.25</v>
      </c>
      <c r="O304" s="6" cm="1">
        <f t="array" ref="O304">_xlfn.XLOOKUP(Table8[[#This Row],[Admin2PCODE]:[Admin2PCODE]],tblPiNAnalysis[[Admin2PCODE]:[Admin2PCODE]],tblPiNAnalysis[% NUT],0,0)</f>
        <v>0.05</v>
      </c>
      <c r="P304" s="6" cm="1">
        <f t="array" ref="P304">_xlfn.XLOOKUP(Table8[[#This Row],[Admin2PCODE]:[Admin2PCODE]],tblPiNAnalysis[[Admin2PCODE]:[Admin2PCODE]],tblPiNAnalysis[% SAL],0,0)</f>
        <v>0.35000000000000003</v>
      </c>
      <c r="Q304" s="6" cm="1">
        <f t="array" ref="Q304">_xlfn.XLOOKUP(Table8[[#This Row],[Admin2PCODE]:[Admin2PCODE]],tblPiNAnalysis[[Admin2PCODE]:[Admin2PCODE]],tblPiNAnalysis[% EDU],0,0)</f>
        <v>0.1</v>
      </c>
      <c r="R304" s="6" cm="1">
        <f t="array" ref="R304">_xlfn.XLOOKUP(Table8[[#This Row],[Admin2PCODE]:[Admin2PCODE]],tblPiNAnalysis[[Admin2PCODE]:[Admin2PCODE]],tblPiNAnalysis[% PRO],0,0)</f>
        <v>0.25</v>
      </c>
      <c r="S304" s="6" cm="1">
        <f t="array" ref="S304">_xlfn.XLOOKUP(Table8[[#This Row],[Admin2PCODE]:[Admin2PCODE]],tblPiNAnalysis[[Admin2PCODE]:[Admin2PCODE]],tblPiNAnalysis[% WASH],0,0)</f>
        <v>0</v>
      </c>
      <c r="T304" s="6" cm="1">
        <f t="array" ref="T304">_xlfn.XLOOKUP(Table8[[#This Row],[Admin2PCODE]:[Admin2PCODE]],tblPiNAnalysis[[Admin2PCODE]:[Admin2PCODE]],tblPiNAnalysis[% NNA],0,0)</f>
        <v>0.1</v>
      </c>
      <c r="U304" s="6" cm="1">
        <f t="array" ref="U304">_xlfn.XLOOKUP(Table8[[#This Row],[Admin2PCODE]:[Admin2PCODE]],tblPiNAnalysis[[Admin2PCODE]:[Admin2PCODE]],tblPiNAnalysis[% VBG],0,0)</f>
        <v>0.1</v>
      </c>
      <c r="V304" s="8" cm="1">
        <f t="array" ref="V304">_xlfn.XLOOKUP(Table8[[#This Row],[Admin2PCODE]:[Admin2PCODE]],tblPiNAnalysis[[Admin2PCODE]:[Admin2PCODE]],tblPiNAnalysis[PiN preliminar],0,0)</f>
        <v>21993.075000000001</v>
      </c>
      <c r="W304" s="308" cm="1">
        <f t="array" ref="W304">_xlfn.XLOOKUP(Table8[[#This Row],[Admin2PCODE]],tblPiNAnalysis[Admin2PCODE],tblSeverityAnalysis[Severidad media],0,0)</f>
        <v>2.5</v>
      </c>
      <c r="X304" s="42">
        <f>Table8[[#This Row],[Severidad media]]*6</f>
        <v>15</v>
      </c>
      <c r="Y304" s="6" cm="1">
        <f t="array" ref="Y304">_xlfn.XLOOKUP(Table8[[#This Row],[Admin2PCODE]],tblPiNAnalysis[Admin2PCODE],tblPiNAnalysis[% PiN Sectores más altos],0,0)</f>
        <v>0.36499999999999999</v>
      </c>
      <c r="Z304" s="42" cm="1">
        <f t="array" ref="Z304">_xlfn.XLOOKUP(Table8[[#This Row],[Admin2PCODE]:[Admin2PCODE]],tblPiNAnalysis[[Admin2PCODE]:[Admin2PCODE]],tblPiNAnalysis[Severidad],0,0)</f>
        <v>3</v>
      </c>
      <c r="AA304">
        <f>_xlfn.XLOOKUP(Table8[[#This Row],[Admin2PCODE]],tblSeverityAnalysis[Admin 2 Código P],tblSeverityAnalysis[Severidad Ttotal 2025],0,0)</f>
        <v>3</v>
      </c>
      <c r="AB304" t="str">
        <f>_xlfn.XLOOKUP(Table8[[#This Row],[Admin2PCODE]],tblSeverityAnalysis[Admin 2 Código P],tblSeverityAnalysis[Priorización Final 2025],0,0)</f>
        <v>No</v>
      </c>
      <c r="AC304">
        <v>2</v>
      </c>
      <c r="AD304" t="s">
        <v>1008</v>
      </c>
      <c r="AE304">
        <v>4</v>
      </c>
      <c r="AF304">
        <v>0</v>
      </c>
      <c r="AG304">
        <v>0</v>
      </c>
      <c r="AH304">
        <v>0</v>
      </c>
      <c r="AI304">
        <v>0</v>
      </c>
      <c r="AJ304">
        <v>0</v>
      </c>
      <c r="AK304">
        <v>0</v>
      </c>
      <c r="AL304">
        <v>0</v>
      </c>
      <c r="AM304">
        <v>1</v>
      </c>
      <c r="AN304">
        <v>3</v>
      </c>
      <c r="AO304" s="314">
        <f>Table8[[#This Row],[N° Clústeres con respuesta]]/Table8[[#This Row],[Org Total]]</f>
        <v>0.5</v>
      </c>
      <c r="AP304" s="313">
        <v>9900</v>
      </c>
      <c r="AQ304" s="313">
        <v>848</v>
      </c>
      <c r="AR304" s="312">
        <f>Table8[[#This Row],[Alcanzados Oct 2025]]/Table8[[#This Row],[Meta 2025]]</f>
        <v>8.5656565656565653E-2</v>
      </c>
      <c r="AS304" s="423">
        <v>0</v>
      </c>
      <c r="AT304" s="423">
        <v>0</v>
      </c>
      <c r="AU304" s="423">
        <v>0</v>
      </c>
      <c r="AV304" s="423">
        <v>0</v>
      </c>
      <c r="AW304" s="423">
        <v>0</v>
      </c>
      <c r="AX304" s="423">
        <v>0</v>
      </c>
      <c r="AY304" s="423">
        <v>0</v>
      </c>
      <c r="AZ304" s="423">
        <v>1</v>
      </c>
      <c r="BA304" s="42">
        <v>848</v>
      </c>
    </row>
    <row r="305" spans="1:53">
      <c r="A305" t="s">
        <v>678</v>
      </c>
      <c r="B305" t="s">
        <v>679</v>
      </c>
      <c r="C305" t="s">
        <v>696</v>
      </c>
      <c r="D305" t="s">
        <v>697</v>
      </c>
      <c r="E305" s="8">
        <v>103917</v>
      </c>
      <c r="F305" s="8">
        <v>32561</v>
      </c>
      <c r="G305" s="8">
        <v>3623.5597150443477</v>
      </c>
      <c r="H305" s="8">
        <v>37929.705000000002</v>
      </c>
      <c r="I305" s="8">
        <v>11254.360580322158</v>
      </c>
      <c r="J305" s="8">
        <v>24788.668204962938</v>
      </c>
      <c r="K305" s="8">
        <v>0</v>
      </c>
      <c r="L305" s="8">
        <v>7932.3738255881408</v>
      </c>
      <c r="M305" s="8">
        <v>8676.0338717370269</v>
      </c>
      <c r="N305" s="6" cm="1">
        <f t="array" ref="N305">_xlfn.XLOOKUP(Table8[[#This Row],[Admin2PCODE]:[Admin2PCODE]],tblPiNAnalysis[[Admin2PCODE]:[Admin2PCODE]],tblPiNAnalysis[% SAMV],0,0)</f>
        <v>0.30000000000000004</v>
      </c>
      <c r="O305" s="6" cm="1">
        <f t="array" ref="O305">_xlfn.XLOOKUP(Table8[[#This Row],[Admin2PCODE]:[Admin2PCODE]],tblPiNAnalysis[[Admin2PCODE]:[Admin2PCODE]],tblPiNAnalysis[% NUT],0,0)</f>
        <v>0.05</v>
      </c>
      <c r="P305" s="6" cm="1">
        <f t="array" ref="P305">_xlfn.XLOOKUP(Table8[[#This Row],[Admin2PCODE]:[Admin2PCODE]],tblPiNAnalysis[[Admin2PCODE]:[Admin2PCODE]],tblPiNAnalysis[% SAL],0,0)</f>
        <v>0.35000000000000003</v>
      </c>
      <c r="Q305" s="6" cm="1">
        <f t="array" ref="Q305">_xlfn.XLOOKUP(Table8[[#This Row],[Admin2PCODE]:[Admin2PCODE]],tblPiNAnalysis[[Admin2PCODE]:[Admin2PCODE]],tblPiNAnalysis[% EDU],0,0)</f>
        <v>0.1</v>
      </c>
      <c r="R305" s="6" cm="1">
        <f t="array" ref="R305">_xlfn.XLOOKUP(Table8[[#This Row],[Admin2PCODE]:[Admin2PCODE]],tblPiNAnalysis[[Admin2PCODE]:[Admin2PCODE]],tblPiNAnalysis[% PRO],0,0)</f>
        <v>0.25</v>
      </c>
      <c r="S305" s="6" cm="1">
        <f t="array" ref="S305">_xlfn.XLOOKUP(Table8[[#This Row],[Admin2PCODE]:[Admin2PCODE]],tblPiNAnalysis[[Admin2PCODE]:[Admin2PCODE]],tblPiNAnalysis[% WASH],0,0)</f>
        <v>0</v>
      </c>
      <c r="T305" s="6" cm="1">
        <f t="array" ref="T305">_xlfn.XLOOKUP(Table8[[#This Row],[Admin2PCODE]:[Admin2PCODE]],tblPiNAnalysis[[Admin2PCODE]:[Admin2PCODE]],tblPiNAnalysis[% NNA],0,0)</f>
        <v>0.1</v>
      </c>
      <c r="U305" s="6" cm="1">
        <f t="array" ref="U305">_xlfn.XLOOKUP(Table8[[#This Row],[Admin2PCODE]:[Admin2PCODE]],tblPiNAnalysis[[Admin2PCODE]:[Admin2PCODE]],tblPiNAnalysis[% VBG],0,0)</f>
        <v>0.1</v>
      </c>
      <c r="V305" s="8" cm="1">
        <f t="array" ref="V305">_xlfn.XLOOKUP(Table8[[#This Row],[Admin2PCODE]:[Admin2PCODE]],tblPiNAnalysis[[Admin2PCODE]:[Admin2PCODE]],tblPiNAnalysis[PiN preliminar],0,0)</f>
        <v>0</v>
      </c>
      <c r="W305" s="308" cm="1">
        <f t="array" ref="W305">_xlfn.XLOOKUP(Table8[[#This Row],[Admin2PCODE]],tblPiNAnalysis[Admin2PCODE],tblSeverityAnalysis[Severidad media],0,0)</f>
        <v>3</v>
      </c>
      <c r="X305" s="42">
        <f>Table8[[#This Row],[Severidad media]]*6</f>
        <v>18</v>
      </c>
      <c r="Y305" s="6" cm="1">
        <f t="array" ref="Y305">_xlfn.XLOOKUP(Table8[[#This Row],[Admin2PCODE]],tblPiNAnalysis[Admin2PCODE],tblPiNAnalysis[% PiN Sectores más altos],0,0)</f>
        <v>0.36499999999999999</v>
      </c>
      <c r="Z305" s="42" cm="1">
        <f t="array" ref="Z305">_xlfn.XLOOKUP(Table8[[#This Row],[Admin2PCODE]:[Admin2PCODE]],tblPiNAnalysis[[Admin2PCODE]:[Admin2PCODE]],tblPiNAnalysis[Severidad],0,0)</f>
        <v>2</v>
      </c>
      <c r="AA305">
        <f>_xlfn.XLOOKUP(Table8[[#This Row],[Admin2PCODE]],tblSeverityAnalysis[Admin 2 Código P],tblSeverityAnalysis[Severidad Ttotal 2025],0,0)</f>
        <v>3</v>
      </c>
      <c r="AB305" t="str">
        <f>_xlfn.XLOOKUP(Table8[[#This Row],[Admin2PCODE]],tblSeverityAnalysis[Admin 2 Código P],tblSeverityAnalysis[Priorización Final 2025],0,0)</f>
        <v>No</v>
      </c>
      <c r="AC305">
        <v>2</v>
      </c>
      <c r="AD305" t="s">
        <v>1008</v>
      </c>
      <c r="AE305">
        <v>4</v>
      </c>
      <c r="AF305">
        <v>0</v>
      </c>
      <c r="AG305">
        <v>0</v>
      </c>
      <c r="AH305">
        <v>0</v>
      </c>
      <c r="AI305">
        <v>0</v>
      </c>
      <c r="AJ305">
        <v>0</v>
      </c>
      <c r="AK305">
        <v>0</v>
      </c>
      <c r="AL305">
        <v>0</v>
      </c>
      <c r="AM305">
        <v>1</v>
      </c>
      <c r="AN305">
        <v>3</v>
      </c>
      <c r="AO305" s="314">
        <f>Table8[[#This Row],[N° Clústeres con respuesta]]/Table8[[#This Row],[Org Total]]</f>
        <v>0.5</v>
      </c>
      <c r="AP305" s="313">
        <v>17071</v>
      </c>
      <c r="AQ305" s="313">
        <v>8520</v>
      </c>
      <c r="AR305" s="312">
        <f>Table8[[#This Row],[Alcanzados Oct 2025]]/Table8[[#This Row],[Meta 2025]]</f>
        <v>0.49909202741491421</v>
      </c>
      <c r="AS305" s="423">
        <v>0</v>
      </c>
      <c r="AT305" s="423">
        <v>0</v>
      </c>
      <c r="AU305" s="423">
        <v>0</v>
      </c>
      <c r="AV305" s="423">
        <v>0</v>
      </c>
      <c r="AW305" s="423">
        <v>0</v>
      </c>
      <c r="AX305" s="423">
        <v>0</v>
      </c>
      <c r="AY305" s="423">
        <v>0</v>
      </c>
      <c r="AZ305" s="423">
        <v>16</v>
      </c>
      <c r="BA305" s="42">
        <v>8520</v>
      </c>
    </row>
    <row r="306" spans="1:53">
      <c r="A306" t="s">
        <v>678</v>
      </c>
      <c r="B306" t="s">
        <v>679</v>
      </c>
      <c r="C306" t="s">
        <v>698</v>
      </c>
      <c r="D306" t="s">
        <v>699</v>
      </c>
      <c r="E306" s="8">
        <v>103036</v>
      </c>
      <c r="F306" s="8">
        <v>1762</v>
      </c>
      <c r="G306" s="8">
        <v>3848.9964002932934</v>
      </c>
      <c r="H306" s="8">
        <v>37608.14</v>
      </c>
      <c r="I306" s="8">
        <v>4886.9141415836402</v>
      </c>
      <c r="J306" s="8">
        <v>24578.511862029907</v>
      </c>
      <c r="K306" s="8">
        <v>0</v>
      </c>
      <c r="L306" s="8">
        <v>7889.702307711601</v>
      </c>
      <c r="M306" s="8">
        <v>8602.4791517104677</v>
      </c>
      <c r="N306" s="6" cm="1">
        <f t="array" ref="N306">_xlfn.XLOOKUP(Table8[[#This Row],[Admin2PCODE]:[Admin2PCODE]],tblPiNAnalysis[[Admin2PCODE]:[Admin2PCODE]],tblPiNAnalysis[% SAMV],0,0)</f>
        <v>0</v>
      </c>
      <c r="O306" s="6" cm="1">
        <f t="array" ref="O306">_xlfn.XLOOKUP(Table8[[#This Row],[Admin2PCODE]:[Admin2PCODE]],tblPiNAnalysis[[Admin2PCODE]:[Admin2PCODE]],tblPiNAnalysis[% NUT],0,0)</f>
        <v>0.05</v>
      </c>
      <c r="P306" s="6" cm="1">
        <f t="array" ref="P306">_xlfn.XLOOKUP(Table8[[#This Row],[Admin2PCODE]:[Admin2PCODE]],tblPiNAnalysis[[Admin2PCODE]:[Admin2PCODE]],tblPiNAnalysis[% SAL],0,0)</f>
        <v>0.35000000000000003</v>
      </c>
      <c r="Q306" s="6" cm="1">
        <f t="array" ref="Q306">_xlfn.XLOOKUP(Table8[[#This Row],[Admin2PCODE]:[Admin2PCODE]],tblPiNAnalysis[[Admin2PCODE]:[Admin2PCODE]],tblPiNAnalysis[% EDU],0,0)</f>
        <v>0.05</v>
      </c>
      <c r="R306" s="6" cm="1">
        <f t="array" ref="R306">_xlfn.XLOOKUP(Table8[[#This Row],[Admin2PCODE]:[Admin2PCODE]],tblPiNAnalysis[[Admin2PCODE]:[Admin2PCODE]],tblPiNAnalysis[% PRO],0,0)</f>
        <v>0.25</v>
      </c>
      <c r="S306" s="6" cm="1">
        <f t="array" ref="S306">_xlfn.XLOOKUP(Table8[[#This Row],[Admin2PCODE]:[Admin2PCODE]],tblPiNAnalysis[[Admin2PCODE]:[Admin2PCODE]],tblPiNAnalysis[% WASH],0,0)</f>
        <v>0</v>
      </c>
      <c r="T306" s="6" cm="1">
        <f t="array" ref="T306">_xlfn.XLOOKUP(Table8[[#This Row],[Admin2PCODE]:[Admin2PCODE]],tblPiNAnalysis[[Admin2PCODE]:[Admin2PCODE]],tblPiNAnalysis[% NNA],0,0)</f>
        <v>0.1</v>
      </c>
      <c r="U306" s="6" cm="1">
        <f t="array" ref="U306">_xlfn.XLOOKUP(Table8[[#This Row],[Admin2PCODE]:[Admin2PCODE]],tblPiNAnalysis[[Admin2PCODE]:[Admin2PCODE]],tblPiNAnalysis[% VBG],0,0)</f>
        <v>0.1</v>
      </c>
      <c r="V306" s="8" cm="1">
        <f t="array" ref="V306">_xlfn.XLOOKUP(Table8[[#This Row],[Admin2PCODE]:[Admin2PCODE]],tblPiNAnalysis[[Admin2PCODE]:[Admin2PCODE]],tblPiNAnalysis[PiN preliminar],0,0)</f>
        <v>0</v>
      </c>
      <c r="W306" s="308" cm="1">
        <f t="array" ref="W306">_xlfn.XLOOKUP(Table8[[#This Row],[Admin2PCODE]],tblPiNAnalysis[Admin2PCODE],tblSeverityAnalysis[Severidad media],0,0)</f>
        <v>3.1666666666666665</v>
      </c>
      <c r="X306" s="42">
        <f>Table8[[#This Row],[Severidad media]]*6</f>
        <v>19</v>
      </c>
      <c r="Y306" s="6" cm="1">
        <f t="array" ref="Y306">_xlfn.XLOOKUP(Table8[[#This Row],[Admin2PCODE]],tblPiNAnalysis[Admin2PCODE],tblPiNAnalysis[% PiN Sectores más altos],0,0)</f>
        <v>0.36499999999999999</v>
      </c>
      <c r="Z306" s="42" cm="1">
        <f t="array" ref="Z306">_xlfn.XLOOKUP(Table8[[#This Row],[Admin2PCODE]:[Admin2PCODE]],tblPiNAnalysis[[Admin2PCODE]:[Admin2PCODE]],tblPiNAnalysis[Severidad],0,0)</f>
        <v>2</v>
      </c>
      <c r="AA306">
        <f>_xlfn.XLOOKUP(Table8[[#This Row],[Admin2PCODE]],tblSeverityAnalysis[Admin 2 Código P],tblSeverityAnalysis[Severidad Ttotal 2025],0,0)</f>
        <v>3</v>
      </c>
      <c r="AB306" t="str">
        <f>_xlfn.XLOOKUP(Table8[[#This Row],[Admin2PCODE]],tblSeverityAnalysis[Admin 2 Código P],tblSeverityAnalysis[Priorización Final 2025],0,0)</f>
        <v>No</v>
      </c>
      <c r="AC306">
        <v>6</v>
      </c>
      <c r="AD306" t="s">
        <v>1087</v>
      </c>
      <c r="AE306">
        <v>13</v>
      </c>
      <c r="AF306">
        <v>0</v>
      </c>
      <c r="AG306">
        <v>1</v>
      </c>
      <c r="AH306">
        <v>0</v>
      </c>
      <c r="AI306">
        <v>2</v>
      </c>
      <c r="AJ306">
        <v>3</v>
      </c>
      <c r="AK306">
        <v>0</v>
      </c>
      <c r="AL306">
        <v>2</v>
      </c>
      <c r="AM306">
        <v>3</v>
      </c>
      <c r="AN306">
        <v>4</v>
      </c>
      <c r="AO306" s="314">
        <f>Table8[[#This Row],[N° Clústeres con respuesta]]/Table8[[#This Row],[Org Total]]</f>
        <v>0.46153846153846156</v>
      </c>
      <c r="AP306" s="313">
        <v>16927</v>
      </c>
      <c r="AQ306" s="313">
        <v>11265</v>
      </c>
      <c r="AR306" s="312">
        <f>Table8[[#This Row],[Alcanzados Oct 2025]]/Table8[[#This Row],[Meta 2025]]</f>
        <v>0.66550481479293433</v>
      </c>
      <c r="AS306" s="423">
        <v>0</v>
      </c>
      <c r="AT306" s="423">
        <v>568</v>
      </c>
      <c r="AU306" s="423">
        <v>0</v>
      </c>
      <c r="AV306" s="423">
        <v>1407</v>
      </c>
      <c r="AW306" s="423">
        <v>4</v>
      </c>
      <c r="AX306" s="423">
        <v>0</v>
      </c>
      <c r="AY306" s="423">
        <v>29</v>
      </c>
      <c r="AZ306" s="423">
        <v>272</v>
      </c>
      <c r="BA306" s="42">
        <v>11265</v>
      </c>
    </row>
    <row r="307" spans="1:53">
      <c r="A307" t="s">
        <v>678</v>
      </c>
      <c r="B307" t="s">
        <v>679</v>
      </c>
      <c r="C307" t="s">
        <v>203</v>
      </c>
      <c r="D307" t="s">
        <v>700</v>
      </c>
      <c r="E307" s="8">
        <v>19418</v>
      </c>
      <c r="F307" s="8">
        <v>3236</v>
      </c>
      <c r="G307" s="8">
        <v>719.34171979746759</v>
      </c>
      <c r="H307" s="8">
        <v>8600</v>
      </c>
      <c r="I307" s="8">
        <v>1718.854180887447</v>
      </c>
      <c r="J307" s="8">
        <v>3860.0225757413</v>
      </c>
      <c r="K307" s="8">
        <v>0</v>
      </c>
      <c r="L307" s="8">
        <v>1239.0672468129574</v>
      </c>
      <c r="M307" s="8">
        <v>1351.0079015094548</v>
      </c>
      <c r="N307" s="6" cm="1">
        <f t="array" ref="N307">_xlfn.XLOOKUP(Table8[[#This Row],[Admin2PCODE]:[Admin2PCODE]],tblPiNAnalysis[[Admin2PCODE]:[Admin2PCODE]],tblPiNAnalysis[% SAMV],0,0)</f>
        <v>0.15000000000000002</v>
      </c>
      <c r="O307" s="6" cm="1">
        <f t="array" ref="O307">_xlfn.XLOOKUP(Table8[[#This Row],[Admin2PCODE]:[Admin2PCODE]],tblPiNAnalysis[[Admin2PCODE]:[Admin2PCODE]],tblPiNAnalysis[% NUT],0,0)</f>
        <v>0.05</v>
      </c>
      <c r="P307" s="6" cm="1">
        <f t="array" ref="P307">_xlfn.XLOOKUP(Table8[[#This Row],[Admin2PCODE]:[Admin2PCODE]],tblPiNAnalysis[[Admin2PCODE]:[Admin2PCODE]],tblPiNAnalysis[% SAL],0,0)</f>
        <v>0.45</v>
      </c>
      <c r="Q307" s="6" cm="1">
        <f t="array" ref="Q307">_xlfn.XLOOKUP(Table8[[#This Row],[Admin2PCODE]:[Admin2PCODE]],tblPiNAnalysis[[Admin2PCODE]:[Admin2PCODE]],tblPiNAnalysis[% EDU],0,0)</f>
        <v>0.1</v>
      </c>
      <c r="R307" s="6" cm="1">
        <f t="array" ref="R307">_xlfn.XLOOKUP(Table8[[#This Row],[Admin2PCODE]:[Admin2PCODE]],tblPiNAnalysis[[Admin2PCODE]:[Admin2PCODE]],tblPiNAnalysis[% PRO],0,0)</f>
        <v>0.2</v>
      </c>
      <c r="S307" s="6" cm="1">
        <f t="array" ref="S307">_xlfn.XLOOKUP(Table8[[#This Row],[Admin2PCODE]:[Admin2PCODE]],tblPiNAnalysis[[Admin2PCODE]:[Admin2PCODE]],tblPiNAnalysis[% WASH],0,0)</f>
        <v>0</v>
      </c>
      <c r="T307" s="6" cm="1">
        <f t="array" ref="T307">_xlfn.XLOOKUP(Table8[[#This Row],[Admin2PCODE]:[Admin2PCODE]],tblPiNAnalysis[[Admin2PCODE]:[Admin2PCODE]],tblPiNAnalysis[% NNA],0,0)</f>
        <v>0.05</v>
      </c>
      <c r="U307" s="6" cm="1">
        <f t="array" ref="U307">_xlfn.XLOOKUP(Table8[[#This Row],[Admin2PCODE]:[Admin2PCODE]],tblPiNAnalysis[[Admin2PCODE]:[Admin2PCODE]],tblPiNAnalysis[% VBG],0,0)</f>
        <v>0.05</v>
      </c>
      <c r="V307" s="8" cm="1">
        <f t="array" ref="V307">_xlfn.XLOOKUP(Table8[[#This Row],[Admin2PCODE]:[Admin2PCODE]],tblPiNAnalysis[[Admin2PCODE]:[Admin2PCODE]],tblPiNAnalysis[PiN preliminar],0,0)</f>
        <v>8600</v>
      </c>
      <c r="W307" s="308" cm="1">
        <f t="array" ref="W307">_xlfn.XLOOKUP(Table8[[#This Row],[Admin2PCODE]],tblPiNAnalysis[Admin2PCODE],tblSeverityAnalysis[Severidad media],0,0)</f>
        <v>2.5</v>
      </c>
      <c r="X307" s="42">
        <f>Table8[[#This Row],[Severidad media]]*6</f>
        <v>15</v>
      </c>
      <c r="Y307" s="6" cm="1">
        <f t="array" ref="Y307">_xlfn.XLOOKUP(Table8[[#This Row],[Admin2PCODE]],tblPiNAnalysis[Admin2PCODE],tblPiNAnalysis[% PiN Sectores más altos],0,0)</f>
        <v>0.44288804202286536</v>
      </c>
      <c r="Z307" s="42" cm="1">
        <f t="array" ref="Z307">_xlfn.XLOOKUP(Table8[[#This Row],[Admin2PCODE]:[Admin2PCODE]],tblPiNAnalysis[[Admin2PCODE]:[Admin2PCODE]],tblPiNAnalysis[Severidad],0,0)</f>
        <v>3</v>
      </c>
      <c r="AA307">
        <f>_xlfn.XLOOKUP(Table8[[#This Row],[Admin2PCODE]],tblSeverityAnalysis[Admin 2 Código P],tblSeverityAnalysis[Severidad Ttotal 2025],0,0)</f>
        <v>3</v>
      </c>
      <c r="AB307" t="str">
        <f>_xlfn.XLOOKUP(Table8[[#This Row],[Admin2PCODE]],tblSeverityAnalysis[Admin 2 Código P],tblSeverityAnalysis[Priorización Final 2025],0,0)</f>
        <v>No</v>
      </c>
      <c r="AC307">
        <v>1</v>
      </c>
      <c r="AD307" t="s">
        <v>92</v>
      </c>
      <c r="AE307">
        <v>3</v>
      </c>
      <c r="AF307">
        <v>0</v>
      </c>
      <c r="AG307">
        <v>0</v>
      </c>
      <c r="AH307">
        <v>0</v>
      </c>
      <c r="AI307">
        <v>0</v>
      </c>
      <c r="AJ307">
        <v>0</v>
      </c>
      <c r="AK307">
        <v>0</v>
      </c>
      <c r="AL307">
        <v>0</v>
      </c>
      <c r="AM307">
        <v>0</v>
      </c>
      <c r="AN307">
        <v>3</v>
      </c>
      <c r="AO307" s="314">
        <f>Table8[[#This Row],[N° Clústeres con respuesta]]/Table8[[#This Row],[Org Total]]</f>
        <v>0.33333333333333331</v>
      </c>
      <c r="AP307" s="313">
        <v>4534</v>
      </c>
      <c r="AQ307" s="313">
        <v>2751</v>
      </c>
      <c r="AR307" s="312">
        <f>Table8[[#This Row],[Alcanzados Oct 2025]]/Table8[[#This Row],[Meta 2025]]</f>
        <v>0.60674900749889726</v>
      </c>
      <c r="AS307" s="423">
        <v>0</v>
      </c>
      <c r="AT307" s="423">
        <v>0</v>
      </c>
      <c r="AU307" s="423">
        <v>0</v>
      </c>
      <c r="AV307" s="423">
        <v>0</v>
      </c>
      <c r="AW307" s="423">
        <v>0</v>
      </c>
      <c r="AX307" s="423">
        <v>0</v>
      </c>
      <c r="AY307" s="423">
        <v>0</v>
      </c>
      <c r="AZ307" s="423">
        <v>0</v>
      </c>
      <c r="BA307" s="42">
        <v>2751</v>
      </c>
    </row>
    <row r="308" spans="1:53">
      <c r="A308" t="s">
        <v>678</v>
      </c>
      <c r="B308" t="s">
        <v>679</v>
      </c>
      <c r="C308" t="s">
        <v>701</v>
      </c>
      <c r="D308" t="s">
        <v>702</v>
      </c>
      <c r="E308" s="8">
        <v>22462</v>
      </c>
      <c r="F308" s="8">
        <v>3816</v>
      </c>
      <c r="G308" s="8">
        <v>1776.5089459650733</v>
      </c>
      <c r="H308" s="8">
        <v>8198.6299999999992</v>
      </c>
      <c r="I308" s="8">
        <v>1709.8437548794254</v>
      </c>
      <c r="J308" s="8">
        <v>5358.1518444516068</v>
      </c>
      <c r="K308" s="8">
        <v>10107.9</v>
      </c>
      <c r="L308" s="8">
        <v>1714.6085902245143</v>
      </c>
      <c r="M308" s="8">
        <v>1875.3531455580624</v>
      </c>
      <c r="N308" s="6" cm="1">
        <f t="array" ref="N308">_xlfn.XLOOKUP(Table8[[#This Row],[Admin2PCODE]:[Admin2PCODE]],tblPiNAnalysis[[Admin2PCODE]:[Admin2PCODE]],tblPiNAnalysis[% SAMV],0,0)</f>
        <v>0.15000000000000002</v>
      </c>
      <c r="O308" s="6" cm="1">
        <f t="array" ref="O308">_xlfn.XLOOKUP(Table8[[#This Row],[Admin2PCODE]:[Admin2PCODE]],tblPiNAnalysis[[Admin2PCODE]:[Admin2PCODE]],tblPiNAnalysis[% NUT],0,0)</f>
        <v>0.1</v>
      </c>
      <c r="P308" s="6" cm="1">
        <f t="array" ref="P308">_xlfn.XLOOKUP(Table8[[#This Row],[Admin2PCODE]:[Admin2PCODE]],tblPiNAnalysis[[Admin2PCODE]:[Admin2PCODE]],tblPiNAnalysis[% SAL],0,0)</f>
        <v>0.35000000000000003</v>
      </c>
      <c r="Q308" s="6" cm="1">
        <f t="array" ref="Q308">_xlfn.XLOOKUP(Table8[[#This Row],[Admin2PCODE]:[Admin2PCODE]],tblPiNAnalysis[[Admin2PCODE]:[Admin2PCODE]],tblPiNAnalysis[% EDU],0,0)</f>
        <v>0.1</v>
      </c>
      <c r="R308" s="6" cm="1">
        <f t="array" ref="R308">_xlfn.XLOOKUP(Table8[[#This Row],[Admin2PCODE]:[Admin2PCODE]],tblPiNAnalysis[[Admin2PCODE]:[Admin2PCODE]],tblPiNAnalysis[% PRO],0,0)</f>
        <v>0.25</v>
      </c>
      <c r="S308" s="6" cm="1">
        <f t="array" ref="S308">_xlfn.XLOOKUP(Table8[[#This Row],[Admin2PCODE]:[Admin2PCODE]],tblPiNAnalysis[[Admin2PCODE]:[Admin2PCODE]],tblPiNAnalysis[% WASH],0,0)</f>
        <v>0.45</v>
      </c>
      <c r="T308" s="6" cm="1">
        <f t="array" ref="T308">_xlfn.XLOOKUP(Table8[[#This Row],[Admin2PCODE]:[Admin2PCODE]],tblPiNAnalysis[[Admin2PCODE]:[Admin2PCODE]],tblPiNAnalysis[% NNA],0,0)</f>
        <v>0.1</v>
      </c>
      <c r="U308" s="6" cm="1">
        <f t="array" ref="U308">_xlfn.XLOOKUP(Table8[[#This Row],[Admin2PCODE]:[Admin2PCODE]],tblPiNAnalysis[[Admin2PCODE]:[Admin2PCODE]],tblPiNAnalysis[% VBG],0,0)</f>
        <v>0.1</v>
      </c>
      <c r="V308" s="8" cm="1">
        <f t="array" ref="V308">_xlfn.XLOOKUP(Table8[[#This Row],[Admin2PCODE]:[Admin2PCODE]],tblPiNAnalysis[[Admin2PCODE]:[Admin2PCODE]],tblPiNAnalysis[PiN preliminar],0,0)</f>
        <v>10107.9</v>
      </c>
      <c r="W308" s="308" cm="1">
        <f t="array" ref="W308">_xlfn.XLOOKUP(Table8[[#This Row],[Admin2PCODE]],tblPiNAnalysis[Admin2PCODE],tblSeverityAnalysis[Severidad media],0,0)</f>
        <v>2.8333333333333335</v>
      </c>
      <c r="X308" s="42">
        <f>Table8[[#This Row],[Severidad media]]*6</f>
        <v>17</v>
      </c>
      <c r="Y308" s="6" cm="1">
        <f t="array" ref="Y308">_xlfn.XLOOKUP(Table8[[#This Row],[Admin2PCODE]],tblPiNAnalysis[Admin2PCODE],tblPiNAnalysis[% PiN Sectores más altos],0,0)</f>
        <v>0.45</v>
      </c>
      <c r="Z308" s="42" cm="1">
        <f t="array" ref="Z308">_xlfn.XLOOKUP(Table8[[#This Row],[Admin2PCODE]:[Admin2PCODE]],tblPiNAnalysis[[Admin2PCODE]:[Admin2PCODE]],tblPiNAnalysis[Severidad],0,0)</f>
        <v>3</v>
      </c>
      <c r="AA308">
        <f>_xlfn.XLOOKUP(Table8[[#This Row],[Admin2PCODE]],tblSeverityAnalysis[Admin 2 Código P],tblSeverityAnalysis[Severidad Ttotal 2025],0,0)</f>
        <v>3</v>
      </c>
      <c r="AB308" t="str">
        <f>_xlfn.XLOOKUP(Table8[[#This Row],[Admin2PCODE]],tblSeverityAnalysis[Admin 2 Código P],tblSeverityAnalysis[Priorización Final 2025],0,0)</f>
        <v>No</v>
      </c>
      <c r="AC308">
        <v>1</v>
      </c>
      <c r="AD308" t="s">
        <v>92</v>
      </c>
      <c r="AE308">
        <v>3</v>
      </c>
      <c r="AF308">
        <v>0</v>
      </c>
      <c r="AG308">
        <v>0</v>
      </c>
      <c r="AH308">
        <v>0</v>
      </c>
      <c r="AI308">
        <v>0</v>
      </c>
      <c r="AJ308">
        <v>0</v>
      </c>
      <c r="AK308">
        <v>0</v>
      </c>
      <c r="AL308">
        <v>0</v>
      </c>
      <c r="AM308">
        <v>0</v>
      </c>
      <c r="AN308">
        <v>3</v>
      </c>
      <c r="AO308" s="314">
        <f>Table8[[#This Row],[N° Clústeres con respuesta]]/Table8[[#This Row],[Org Total]]</f>
        <v>0.33333333333333331</v>
      </c>
      <c r="AP308" s="313">
        <v>5244</v>
      </c>
      <c r="AQ308" s="313">
        <v>2841</v>
      </c>
      <c r="AR308" s="312">
        <f>Table8[[#This Row],[Alcanzados Oct 2025]]/Table8[[#This Row],[Meta 2025]]</f>
        <v>0.54176201372997712</v>
      </c>
      <c r="AS308" s="423">
        <v>0</v>
      </c>
      <c r="AT308" s="423">
        <v>0</v>
      </c>
      <c r="AU308" s="423">
        <v>0</v>
      </c>
      <c r="AV308" s="423">
        <v>0</v>
      </c>
      <c r="AW308" s="423">
        <v>0</v>
      </c>
      <c r="AX308" s="423">
        <v>0</v>
      </c>
      <c r="AY308" s="423">
        <v>0</v>
      </c>
      <c r="AZ308" s="423">
        <v>0</v>
      </c>
      <c r="BA308" s="42">
        <v>2841</v>
      </c>
    </row>
    <row r="309" spans="1:53">
      <c r="A309" t="s">
        <v>705</v>
      </c>
      <c r="B309" t="s">
        <v>706</v>
      </c>
      <c r="C309" t="s">
        <v>709</v>
      </c>
      <c r="D309" t="s">
        <v>710</v>
      </c>
      <c r="E309" s="8">
        <v>91875</v>
      </c>
      <c r="F309" s="8">
        <v>13497</v>
      </c>
      <c r="G309" s="8">
        <v>3796.9556356222247</v>
      </c>
      <c r="H309" s="8">
        <v>33534.375</v>
      </c>
      <c r="I309" s="8">
        <v>12126.705141717055</v>
      </c>
      <c r="J309" s="8">
        <v>18248.105096642761</v>
      </c>
      <c r="K309" s="8">
        <v>55125</v>
      </c>
      <c r="L309" s="8">
        <v>5857.6417360223268</v>
      </c>
      <c r="M309" s="8">
        <v>6386.836783824966</v>
      </c>
      <c r="N309" s="6" cm="1">
        <f t="array" ref="N309">_xlfn.XLOOKUP(Table8[[#This Row],[Admin2PCODE]:[Admin2PCODE]],tblPiNAnalysis[[Admin2PCODE]:[Admin2PCODE]],tblPiNAnalysis[% SAMV],0,0)</f>
        <v>0.15000000000000002</v>
      </c>
      <c r="O309" s="6" cm="1">
        <f t="array" ref="O309">_xlfn.XLOOKUP(Table8[[#This Row],[Admin2PCODE]:[Admin2PCODE]],tblPiNAnalysis[[Admin2PCODE]:[Admin2PCODE]],tblPiNAnalysis[% NUT],0,0)</f>
        <v>0.05</v>
      </c>
      <c r="P309" s="6" cm="1">
        <f t="array" ref="P309">_xlfn.XLOOKUP(Table8[[#This Row],[Admin2PCODE]:[Admin2PCODE]],tblPiNAnalysis[[Admin2PCODE]:[Admin2PCODE]],tblPiNAnalysis[% SAL],0,0)</f>
        <v>0.35000000000000003</v>
      </c>
      <c r="Q309" s="6" cm="1">
        <f t="array" ref="Q309">_xlfn.XLOOKUP(Table8[[#This Row],[Admin2PCODE]:[Admin2PCODE]],tblPiNAnalysis[[Admin2PCODE]:[Admin2PCODE]],tblPiNAnalysis[% EDU],0,0)</f>
        <v>0.15000000000000002</v>
      </c>
      <c r="R309" s="6" cm="1">
        <f t="array" ref="R309">_xlfn.XLOOKUP(Table8[[#This Row],[Admin2PCODE]:[Admin2PCODE]],tblPiNAnalysis[[Admin2PCODE]:[Admin2PCODE]],tblPiNAnalysis[% PRO],0,0)</f>
        <v>0.2</v>
      </c>
      <c r="S309" s="6" cm="1">
        <f t="array" ref="S309">_xlfn.XLOOKUP(Table8[[#This Row],[Admin2PCODE]:[Admin2PCODE]],tblPiNAnalysis[[Admin2PCODE]:[Admin2PCODE]],tblPiNAnalysis[% WASH],0,0)</f>
        <v>0.60000000000000009</v>
      </c>
      <c r="T309" s="6" cm="1">
        <f t="array" ref="T309">_xlfn.XLOOKUP(Table8[[#This Row],[Admin2PCODE]:[Admin2PCODE]],tblPiNAnalysis[[Admin2PCODE]:[Admin2PCODE]],tblPiNAnalysis[% NNA],0,0)</f>
        <v>0.05</v>
      </c>
      <c r="U309" s="6" cm="1">
        <f t="array" ref="U309">_xlfn.XLOOKUP(Table8[[#This Row],[Admin2PCODE]:[Admin2PCODE]],tblPiNAnalysis[[Admin2PCODE]:[Admin2PCODE]],tblPiNAnalysis[% VBG],0,0)</f>
        <v>0.05</v>
      </c>
      <c r="V309" s="8" cm="1">
        <f t="array" ref="V309">_xlfn.XLOOKUP(Table8[[#This Row],[Admin2PCODE]:[Admin2PCODE]],tblPiNAnalysis[[Admin2PCODE]:[Admin2PCODE]],tblPiNAnalysis[PiN preliminar],0,0)</f>
        <v>55125</v>
      </c>
      <c r="W309" s="308" cm="1">
        <f t="array" ref="W309">_xlfn.XLOOKUP(Table8[[#This Row],[Admin2PCODE]],tblPiNAnalysis[Admin2PCODE],tblSeverityAnalysis[Severidad media],0,0)</f>
        <v>4.166666666666667</v>
      </c>
      <c r="X309" s="42">
        <f>Table8[[#This Row],[Severidad media]]*6</f>
        <v>25</v>
      </c>
      <c r="Y309" s="6" cm="1">
        <f t="array" ref="Y309">_xlfn.XLOOKUP(Table8[[#This Row],[Admin2PCODE]],tblPiNAnalysis[Admin2PCODE],tblPiNAnalysis[% PiN Sectores más altos],0,0)</f>
        <v>0.6</v>
      </c>
      <c r="Z309" s="42" cm="1">
        <f t="array" ref="Z309">_xlfn.XLOOKUP(Table8[[#This Row],[Admin2PCODE]:[Admin2PCODE]],tblPiNAnalysis[[Admin2PCODE]:[Admin2PCODE]],tblPiNAnalysis[Severidad],0,0)</f>
        <v>3</v>
      </c>
      <c r="AA309">
        <f>_xlfn.XLOOKUP(Table8[[#This Row],[Admin2PCODE]],tblSeverityAnalysis[Admin 2 Código P],tblSeverityAnalysis[Severidad Ttotal 2025],0,0)</f>
        <v>3</v>
      </c>
      <c r="AB309" t="str">
        <f>_xlfn.XLOOKUP(Table8[[#This Row],[Admin2PCODE]],tblSeverityAnalysis[Admin 2 Código P],tblSeverityAnalysis[Priorización Final 2025],0,0)</f>
        <v>No</v>
      </c>
      <c r="AC309">
        <v>2</v>
      </c>
      <c r="AD309" t="s">
        <v>1008</v>
      </c>
      <c r="AE309">
        <v>4</v>
      </c>
      <c r="AF309">
        <v>0</v>
      </c>
      <c r="AG309">
        <v>0</v>
      </c>
      <c r="AH309">
        <v>0</v>
      </c>
      <c r="AI309">
        <v>0</v>
      </c>
      <c r="AJ309">
        <v>0</v>
      </c>
      <c r="AK309">
        <v>0</v>
      </c>
      <c r="AL309">
        <v>0</v>
      </c>
      <c r="AM309">
        <v>1</v>
      </c>
      <c r="AN309">
        <v>3</v>
      </c>
      <c r="AO309" s="314">
        <f>Table8[[#This Row],[N° Clústeres con respuesta]]/Table8[[#This Row],[Org Total]]</f>
        <v>0.5</v>
      </c>
      <c r="AP309" s="313">
        <v>21450</v>
      </c>
      <c r="AQ309" s="313">
        <v>20228</v>
      </c>
      <c r="AR309" s="312">
        <f>Table8[[#This Row],[Alcanzados Oct 2025]]/Table8[[#This Row],[Meta 2025]]</f>
        <v>0.943030303030303</v>
      </c>
      <c r="AS309" s="423">
        <v>0</v>
      </c>
      <c r="AT309" s="423">
        <v>0</v>
      </c>
      <c r="AU309" s="423">
        <v>0</v>
      </c>
      <c r="AV309" s="423">
        <v>0</v>
      </c>
      <c r="AW309" s="423">
        <v>0</v>
      </c>
      <c r="AX309" s="423">
        <v>0</v>
      </c>
      <c r="AY309" s="423">
        <v>0</v>
      </c>
      <c r="AZ309" s="423">
        <v>0</v>
      </c>
      <c r="BA309" s="42">
        <v>20228</v>
      </c>
    </row>
    <row r="310" spans="1:53">
      <c r="A310" t="s">
        <v>705</v>
      </c>
      <c r="B310" t="s">
        <v>706</v>
      </c>
      <c r="C310" t="s">
        <v>711</v>
      </c>
      <c r="D310" t="s">
        <v>712</v>
      </c>
      <c r="E310" s="8">
        <v>268988</v>
      </c>
      <c r="F310" s="8">
        <v>14759</v>
      </c>
      <c r="G310" s="8">
        <v>12650.699210643514</v>
      </c>
      <c r="H310" s="8">
        <v>98180.62</v>
      </c>
      <c r="I310" s="8">
        <v>45790.255526923123</v>
      </c>
      <c r="J310" s="8">
        <v>64111.298530426022</v>
      </c>
      <c r="K310" s="8">
        <v>161392.79999999999</v>
      </c>
      <c r="L310" s="8">
        <v>20579.726828266754</v>
      </c>
      <c r="M310" s="8">
        <v>22438.954485649108</v>
      </c>
      <c r="N310" s="6" cm="1">
        <f t="array" ref="N310">_xlfn.XLOOKUP(Table8[[#This Row],[Admin2PCODE]:[Admin2PCODE]],tblPiNAnalysis[[Admin2PCODE]:[Admin2PCODE]],tblPiNAnalysis[% SAMV],0,0)</f>
        <v>0.05</v>
      </c>
      <c r="O310" s="6" cm="1">
        <f t="array" ref="O310">_xlfn.XLOOKUP(Table8[[#This Row],[Admin2PCODE]:[Admin2PCODE]],tblPiNAnalysis[[Admin2PCODE]:[Admin2PCODE]],tblPiNAnalysis[% NUT],0,0)</f>
        <v>0.05</v>
      </c>
      <c r="P310" s="6" cm="1">
        <f t="array" ref="P310">_xlfn.XLOOKUP(Table8[[#This Row],[Admin2PCODE]:[Admin2PCODE]],tblPiNAnalysis[[Admin2PCODE]:[Admin2PCODE]],tblPiNAnalysis[% SAL],0,0)</f>
        <v>0.35000000000000003</v>
      </c>
      <c r="Q310" s="6" cm="1">
        <f t="array" ref="Q310">_xlfn.XLOOKUP(Table8[[#This Row],[Admin2PCODE]:[Admin2PCODE]],tblPiNAnalysis[[Admin2PCODE]:[Admin2PCODE]],tblPiNAnalysis[% EDU],0,0)</f>
        <v>0.15000000000000002</v>
      </c>
      <c r="R310" s="6" cm="1">
        <f t="array" ref="R310">_xlfn.XLOOKUP(Table8[[#This Row],[Admin2PCODE]:[Admin2PCODE]],tblPiNAnalysis[[Admin2PCODE]:[Admin2PCODE]],tblPiNAnalysis[% PRO],0,0)</f>
        <v>0.25</v>
      </c>
      <c r="S310" s="6" cm="1">
        <f t="array" ref="S310">_xlfn.XLOOKUP(Table8[[#This Row],[Admin2PCODE]:[Admin2PCODE]],tblPiNAnalysis[[Admin2PCODE]:[Admin2PCODE]],tblPiNAnalysis[% WASH],0,0)</f>
        <v>0.60000000000000009</v>
      </c>
      <c r="T310" s="6" cm="1">
        <f t="array" ref="T310">_xlfn.XLOOKUP(Table8[[#This Row],[Admin2PCODE]:[Admin2PCODE]],tblPiNAnalysis[[Admin2PCODE]:[Admin2PCODE]],tblPiNAnalysis[% NNA],0,0)</f>
        <v>0.1</v>
      </c>
      <c r="U310" s="6" cm="1">
        <f t="array" ref="U310">_xlfn.XLOOKUP(Table8[[#This Row],[Admin2PCODE]:[Admin2PCODE]],tblPiNAnalysis[[Admin2PCODE]:[Admin2PCODE]],tblPiNAnalysis[% VBG],0,0)</f>
        <v>0.1</v>
      </c>
      <c r="V310" s="8" cm="1">
        <f t="array" ref="V310">_xlfn.XLOOKUP(Table8[[#This Row],[Admin2PCODE]:[Admin2PCODE]],tblPiNAnalysis[[Admin2PCODE]:[Admin2PCODE]],tblPiNAnalysis[PiN preliminar],0,0)</f>
        <v>161392.79999999999</v>
      </c>
      <c r="W310" s="308" cm="1">
        <f t="array" ref="W310">_xlfn.XLOOKUP(Table8[[#This Row],[Admin2PCODE]],tblPiNAnalysis[Admin2PCODE],tblSeverityAnalysis[Severidad media],0,0)</f>
        <v>2.5</v>
      </c>
      <c r="X310" s="42">
        <f>Table8[[#This Row],[Severidad media]]*6</f>
        <v>15</v>
      </c>
      <c r="Y310" s="6" cm="1">
        <f t="array" ref="Y310">_xlfn.XLOOKUP(Table8[[#This Row],[Admin2PCODE]],tblPiNAnalysis[Admin2PCODE],tblPiNAnalysis[% PiN Sectores más altos],0,0)</f>
        <v>0.6</v>
      </c>
      <c r="Z310" s="42" cm="1">
        <f t="array" ref="Z310">_xlfn.XLOOKUP(Table8[[#This Row],[Admin2PCODE]:[Admin2PCODE]],tblPiNAnalysis[[Admin2PCODE]:[Admin2PCODE]],tblPiNAnalysis[Severidad],0,0)</f>
        <v>3</v>
      </c>
      <c r="AA310">
        <f>_xlfn.XLOOKUP(Table8[[#This Row],[Admin2PCODE]],tblSeverityAnalysis[Admin 2 Código P],tblSeverityAnalysis[Severidad Ttotal 2025],0,0)</f>
        <v>3</v>
      </c>
      <c r="AB310" t="str">
        <f>_xlfn.XLOOKUP(Table8[[#This Row],[Admin2PCODE]],tblSeverityAnalysis[Admin 2 Código P],tblSeverityAnalysis[Priorización Final 2025],0,0)</f>
        <v>No</v>
      </c>
      <c r="AC310">
        <v>5</v>
      </c>
      <c r="AD310" t="s">
        <v>1110</v>
      </c>
      <c r="AE310">
        <v>11</v>
      </c>
      <c r="AF310">
        <v>0</v>
      </c>
      <c r="AG310">
        <v>0</v>
      </c>
      <c r="AH310">
        <v>0</v>
      </c>
      <c r="AI310">
        <v>1</v>
      </c>
      <c r="AJ310">
        <v>5</v>
      </c>
      <c r="AK310">
        <v>1</v>
      </c>
      <c r="AL310">
        <v>0</v>
      </c>
      <c r="AM310">
        <v>3</v>
      </c>
      <c r="AN310">
        <v>3</v>
      </c>
      <c r="AO310" s="314">
        <f>Table8[[#This Row],[N° Clústeres con respuesta]]/Table8[[#This Row],[Org Total]]</f>
        <v>0.45454545454545453</v>
      </c>
      <c r="AP310" s="313">
        <v>44192</v>
      </c>
      <c r="AQ310" s="313">
        <v>41290</v>
      </c>
      <c r="AR310" s="312">
        <f>Table8[[#This Row],[Alcanzados Oct 2025]]/Table8[[#This Row],[Meta 2025]]</f>
        <v>0.93433200579290365</v>
      </c>
      <c r="AS310" s="423">
        <v>0</v>
      </c>
      <c r="AT310" s="423">
        <v>0</v>
      </c>
      <c r="AU310" s="423">
        <v>0</v>
      </c>
      <c r="AV310" s="423">
        <v>1705</v>
      </c>
      <c r="AW310" s="423">
        <v>252</v>
      </c>
      <c r="AX310" s="423">
        <v>1</v>
      </c>
      <c r="AY310" s="423">
        <v>0</v>
      </c>
      <c r="AZ310" s="423">
        <v>3881</v>
      </c>
      <c r="BA310" s="42">
        <v>41290</v>
      </c>
    </row>
    <row r="311" spans="1:53">
      <c r="A311" t="s">
        <v>316</v>
      </c>
      <c r="B311" t="s">
        <v>317</v>
      </c>
      <c r="C311" t="s">
        <v>276</v>
      </c>
      <c r="D311" t="s">
        <v>342</v>
      </c>
      <c r="E311" s="8">
        <v>216316</v>
      </c>
      <c r="F311" s="8">
        <v>60234</v>
      </c>
      <c r="G311" s="8">
        <v>13084.568833454498</v>
      </c>
      <c r="H311" s="8">
        <v>78955.34</v>
      </c>
      <c r="I311" s="8">
        <v>18116.337224203919</v>
      </c>
      <c r="J311" s="8">
        <v>51769.906793867834</v>
      </c>
      <c r="K311" s="8">
        <v>0</v>
      </c>
      <c r="L311" s="8">
        <v>16566.370174037707</v>
      </c>
      <c r="M311" s="8">
        <v>18119.46737785374</v>
      </c>
      <c r="N311" s="6" cm="1">
        <f t="array" ref="N311">_xlfn.XLOOKUP(Table8[[#This Row],[Admin2PCODE]:[Admin2PCODE]],tblPiNAnalysis[[Admin2PCODE]:[Admin2PCODE]],tblPiNAnalysis[% SAMV],0,0)</f>
        <v>0.30000000000000004</v>
      </c>
      <c r="O311" s="6" cm="1">
        <f t="array" ref="O311">_xlfn.XLOOKUP(Table8[[#This Row],[Admin2PCODE]:[Admin2PCODE]],tblPiNAnalysis[[Admin2PCODE]:[Admin2PCODE]],tblPiNAnalysis[% NUT],0,0)</f>
        <v>0.05</v>
      </c>
      <c r="P311" s="6" cm="1">
        <f t="array" ref="P311">_xlfn.XLOOKUP(Table8[[#This Row],[Admin2PCODE]:[Admin2PCODE]],tblPiNAnalysis[[Admin2PCODE]:[Admin2PCODE]],tblPiNAnalysis[% SAL],0,0)</f>
        <v>0.35000000000000003</v>
      </c>
      <c r="Q311" s="6" cm="1">
        <f t="array" ref="Q311">_xlfn.XLOOKUP(Table8[[#This Row],[Admin2PCODE]:[Admin2PCODE]],tblPiNAnalysis[[Admin2PCODE]:[Admin2PCODE]],tblPiNAnalysis[% EDU],0,0)</f>
        <v>0.1</v>
      </c>
      <c r="R311" s="6" cm="1">
        <f t="array" ref="R311">_xlfn.XLOOKUP(Table8[[#This Row],[Admin2PCODE]:[Admin2PCODE]],tblPiNAnalysis[[Admin2PCODE]:[Admin2PCODE]],tblPiNAnalysis[% PRO],0,0)</f>
        <v>0.25</v>
      </c>
      <c r="S311" s="6" cm="1">
        <f t="array" ref="S311">_xlfn.XLOOKUP(Table8[[#This Row],[Admin2PCODE]:[Admin2PCODE]],tblPiNAnalysis[[Admin2PCODE]:[Admin2PCODE]],tblPiNAnalysis[% WASH],0,0)</f>
        <v>0</v>
      </c>
      <c r="T311" s="6" cm="1">
        <f t="array" ref="T311">_xlfn.XLOOKUP(Table8[[#This Row],[Admin2PCODE]:[Admin2PCODE]],tblPiNAnalysis[[Admin2PCODE]:[Admin2PCODE]],tblPiNAnalysis[% NNA],0,0)</f>
        <v>0.1</v>
      </c>
      <c r="U311" s="6" cm="1">
        <f t="array" ref="U311">_xlfn.XLOOKUP(Table8[[#This Row],[Admin2PCODE]:[Admin2PCODE]],tblPiNAnalysis[[Admin2PCODE]:[Admin2PCODE]],tblPiNAnalysis[% VBG],0,0)</f>
        <v>0.1</v>
      </c>
      <c r="V311" s="8" cm="1">
        <f t="array" ref="V311">_xlfn.XLOOKUP(Table8[[#This Row],[Admin2PCODE]:[Admin2PCODE]],tblPiNAnalysis[[Admin2PCODE]:[Admin2PCODE]],tblPiNAnalysis[PiN preliminar],0,0)</f>
        <v>78955.34</v>
      </c>
      <c r="W311" s="308" cm="1">
        <f t="array" ref="W311">_xlfn.XLOOKUP(Table8[[#This Row],[Admin2PCODE]],tblPiNAnalysis[Admin2PCODE],tblSeverityAnalysis[Severidad media],0,0)</f>
        <v>2.5</v>
      </c>
      <c r="X311" s="42">
        <f>Table8[[#This Row],[Severidad media]]*6</f>
        <v>15</v>
      </c>
      <c r="Y311" s="6" cm="1">
        <f t="array" ref="Y311">_xlfn.XLOOKUP(Table8[[#This Row],[Admin2PCODE]],tblPiNAnalysis[Admin2PCODE],tblPiNAnalysis[% PiN Sectores más altos],0,0)</f>
        <v>0.36499999999999999</v>
      </c>
      <c r="Z311" s="42" cm="1">
        <f t="array" ref="Z311">_xlfn.XLOOKUP(Table8[[#This Row],[Admin2PCODE]:[Admin2PCODE]],tblPiNAnalysis[[Admin2PCODE]:[Admin2PCODE]],tblPiNAnalysis[Severidad],0,0)</f>
        <v>3</v>
      </c>
      <c r="AA311">
        <f>_xlfn.XLOOKUP(Table8[[#This Row],[Admin2PCODE]],tblSeverityAnalysis[Admin 2 Código P],tblSeverityAnalysis[Severidad Ttotal 2025],0,0)</f>
        <v>3</v>
      </c>
      <c r="AB311" t="str">
        <f>_xlfn.XLOOKUP(Table8[[#This Row],[Admin2PCODE]],tblSeverityAnalysis[Admin 2 Código P],tblSeverityAnalysis[Priorización Final 2025],0,0)</f>
        <v>Sí</v>
      </c>
      <c r="AC311">
        <v>8</v>
      </c>
      <c r="AD311" t="s">
        <v>1111</v>
      </c>
      <c r="AE311">
        <v>22</v>
      </c>
      <c r="AF311">
        <v>0</v>
      </c>
      <c r="AG311">
        <v>2</v>
      </c>
      <c r="AH311">
        <v>2</v>
      </c>
      <c r="AI311">
        <v>3</v>
      </c>
      <c r="AJ311">
        <v>12</v>
      </c>
      <c r="AK311">
        <v>7</v>
      </c>
      <c r="AL311">
        <v>7</v>
      </c>
      <c r="AM311">
        <v>7</v>
      </c>
      <c r="AN311">
        <v>8</v>
      </c>
      <c r="AO311" s="314">
        <f>Table8[[#This Row],[N° Clústeres con respuesta]]/Table8[[#This Row],[Org Total]]</f>
        <v>0.36363636363636365</v>
      </c>
      <c r="AP311" s="313">
        <v>35537</v>
      </c>
      <c r="AQ311" s="313">
        <v>26255</v>
      </c>
      <c r="AR311" s="312">
        <f>Table8[[#This Row],[Alcanzados Oct 2025]]/Table8[[#This Row],[Meta 2025]]</f>
        <v>0.73880744013281929</v>
      </c>
      <c r="AS311" s="423">
        <v>0</v>
      </c>
      <c r="AT311" s="423">
        <v>0</v>
      </c>
      <c r="AU311" s="423">
        <v>523</v>
      </c>
      <c r="AV311" s="423">
        <v>3314</v>
      </c>
      <c r="AW311" s="423">
        <v>689</v>
      </c>
      <c r="AX311" s="423">
        <v>476</v>
      </c>
      <c r="AY311" s="423">
        <v>584</v>
      </c>
      <c r="AZ311" s="423">
        <v>5237</v>
      </c>
      <c r="BA311" s="42">
        <v>26255</v>
      </c>
    </row>
    <row r="312" spans="1:53">
      <c r="A312" t="s">
        <v>276</v>
      </c>
      <c r="B312" t="s">
        <v>455</v>
      </c>
      <c r="C312" t="s">
        <v>461</v>
      </c>
      <c r="D312" t="s">
        <v>462</v>
      </c>
      <c r="E312" s="8">
        <v>60274</v>
      </c>
      <c r="F312" s="8">
        <v>2184</v>
      </c>
      <c r="G312" s="8">
        <v>3179.7856799341707</v>
      </c>
      <c r="H312" s="8">
        <v>22500</v>
      </c>
      <c r="I312" s="8">
        <v>5643.4249558007468</v>
      </c>
      <c r="J312" s="8">
        <v>14419.322928066102</v>
      </c>
      <c r="K312" s="8">
        <v>0</v>
      </c>
      <c r="L312" s="8">
        <v>4614.183336981152</v>
      </c>
      <c r="M312" s="8">
        <v>5046.7630248231353</v>
      </c>
      <c r="N312" s="6" cm="1">
        <f t="array" ref="N312">_xlfn.XLOOKUP(Table8[[#This Row],[Admin2PCODE]:[Admin2PCODE]],tblPiNAnalysis[[Admin2PCODE]:[Admin2PCODE]],tblPiNAnalysis[% SAMV],0,0)</f>
        <v>0.05</v>
      </c>
      <c r="O312" s="6" cm="1">
        <f t="array" ref="O312">_xlfn.XLOOKUP(Table8[[#This Row],[Admin2PCODE]:[Admin2PCODE]],tblPiNAnalysis[[Admin2PCODE]:[Admin2PCODE]],tblPiNAnalysis[% NUT],0,0)</f>
        <v>0.05</v>
      </c>
      <c r="P312" s="6" cm="1">
        <f t="array" ref="P312">_xlfn.XLOOKUP(Table8[[#This Row],[Admin2PCODE]:[Admin2PCODE]],tblPiNAnalysis[[Admin2PCODE]:[Admin2PCODE]],tblPiNAnalysis[% SAL],0,0)</f>
        <v>0.35000000000000003</v>
      </c>
      <c r="Q312" s="6" cm="1">
        <f t="array" ref="Q312">_xlfn.XLOOKUP(Table8[[#This Row],[Admin2PCODE]:[Admin2PCODE]],tblPiNAnalysis[[Admin2PCODE]:[Admin2PCODE]],tblPiNAnalysis[% EDU],0,0)</f>
        <v>0.1</v>
      </c>
      <c r="R312" s="6" cm="1">
        <f t="array" ref="R312">_xlfn.XLOOKUP(Table8[[#This Row],[Admin2PCODE]:[Admin2PCODE]],tblPiNAnalysis[[Admin2PCODE]:[Admin2PCODE]],tblPiNAnalysis[% PRO],0,0)</f>
        <v>0.25</v>
      </c>
      <c r="S312" s="6" cm="1">
        <f t="array" ref="S312">_xlfn.XLOOKUP(Table8[[#This Row],[Admin2PCODE]:[Admin2PCODE]],tblPiNAnalysis[[Admin2PCODE]:[Admin2PCODE]],tblPiNAnalysis[% WASH],0,0)</f>
        <v>0</v>
      </c>
      <c r="T312" s="6" cm="1">
        <f t="array" ref="T312">_xlfn.XLOOKUP(Table8[[#This Row],[Admin2PCODE]:[Admin2PCODE]],tblPiNAnalysis[[Admin2PCODE]:[Admin2PCODE]],tblPiNAnalysis[% NNA],0,0)</f>
        <v>0.1</v>
      </c>
      <c r="U312" s="6" cm="1">
        <f t="array" ref="U312">_xlfn.XLOOKUP(Table8[[#This Row],[Admin2PCODE]:[Admin2PCODE]],tblPiNAnalysis[[Admin2PCODE]:[Admin2PCODE]],tblPiNAnalysis[% VBG],0,0)</f>
        <v>0.1</v>
      </c>
      <c r="V312" s="8" cm="1">
        <f t="array" ref="V312">_xlfn.XLOOKUP(Table8[[#This Row],[Admin2PCODE]:[Admin2PCODE]],tblPiNAnalysis[[Admin2PCODE]:[Admin2PCODE]],tblPiNAnalysis[PiN preliminar],0,0)</f>
        <v>22500</v>
      </c>
      <c r="W312" s="308" cm="1">
        <f t="array" ref="W312">_xlfn.XLOOKUP(Table8[[#This Row],[Admin2PCODE]],tblPiNAnalysis[Admin2PCODE],tblSeverityAnalysis[Severidad media],0,0)</f>
        <v>2.8333333333333335</v>
      </c>
      <c r="X312" s="42">
        <f>Table8[[#This Row],[Severidad media]]*6</f>
        <v>17</v>
      </c>
      <c r="Y312" s="6" cm="1">
        <f t="array" ref="Y312">_xlfn.XLOOKUP(Table8[[#This Row],[Admin2PCODE]],tblPiNAnalysis[Admin2PCODE],tblPiNAnalysis[% PiN Sectores más altos],0,0)</f>
        <v>0.37329528486577962</v>
      </c>
      <c r="Z312" s="42" cm="1">
        <f t="array" ref="Z312">_xlfn.XLOOKUP(Table8[[#This Row],[Admin2PCODE]:[Admin2PCODE]],tblPiNAnalysis[[Admin2PCODE]:[Admin2PCODE]],tblPiNAnalysis[Severidad],0,0)</f>
        <v>3</v>
      </c>
      <c r="AA312">
        <f>_xlfn.XLOOKUP(Table8[[#This Row],[Admin2PCODE]],tblSeverityAnalysis[Admin 2 Código P],tblSeverityAnalysis[Severidad Ttotal 2025],0,0)</f>
        <v>3</v>
      </c>
      <c r="AB312" t="str">
        <f>_xlfn.XLOOKUP(Table8[[#This Row],[Admin2PCODE]],tblSeverityAnalysis[Admin 2 Código P],tblSeverityAnalysis[Priorización Final 2025],0,0)</f>
        <v>Sí</v>
      </c>
      <c r="AC312">
        <v>7</v>
      </c>
      <c r="AD312" t="s">
        <v>1112</v>
      </c>
      <c r="AE312">
        <v>12</v>
      </c>
      <c r="AF312">
        <v>0</v>
      </c>
      <c r="AG312">
        <v>1</v>
      </c>
      <c r="AH312">
        <v>1</v>
      </c>
      <c r="AI312">
        <v>2</v>
      </c>
      <c r="AJ312">
        <v>4</v>
      </c>
      <c r="AK312">
        <v>2</v>
      </c>
      <c r="AL312">
        <v>2</v>
      </c>
      <c r="AM312">
        <v>6</v>
      </c>
      <c r="AN312">
        <v>0</v>
      </c>
      <c r="AO312" s="314">
        <f>Table8[[#This Row],[N° Clústeres con respuesta]]/Table8[[#This Row],[Org Total]]</f>
        <v>0.58333333333333337</v>
      </c>
      <c r="AP312" s="313">
        <v>14072</v>
      </c>
      <c r="AQ312" s="313">
        <v>4309</v>
      </c>
      <c r="AR312" s="312">
        <f>Table8[[#This Row],[Alcanzados Oct 2025]]/Table8[[#This Row],[Meta 2025]]</f>
        <v>0.30621091529277999</v>
      </c>
      <c r="AS312" s="423">
        <v>0</v>
      </c>
      <c r="AT312" s="423">
        <v>2037</v>
      </c>
      <c r="AU312" s="423">
        <v>46</v>
      </c>
      <c r="AV312" s="423">
        <v>99</v>
      </c>
      <c r="AW312" s="423">
        <v>30</v>
      </c>
      <c r="AX312" s="423">
        <v>126</v>
      </c>
      <c r="AY312" s="423">
        <v>178</v>
      </c>
      <c r="AZ312" s="423">
        <v>4006</v>
      </c>
      <c r="BA312" s="42">
        <v>0</v>
      </c>
    </row>
    <row r="313" spans="1:53">
      <c r="A313" t="s">
        <v>705</v>
      </c>
      <c r="B313" t="s">
        <v>706</v>
      </c>
      <c r="C313" t="s">
        <v>717</v>
      </c>
      <c r="D313" t="s">
        <v>718</v>
      </c>
      <c r="E313" s="8">
        <v>34710</v>
      </c>
      <c r="F313" s="8">
        <v>14463</v>
      </c>
      <c r="G313" s="8">
        <v>1496.6943562930883</v>
      </c>
      <c r="H313" s="8">
        <v>12669.15</v>
      </c>
      <c r="I313" s="8">
        <v>5524.6626052729607</v>
      </c>
      <c r="J313" s="8">
        <v>6894.0596234500163</v>
      </c>
      <c r="K313" s="8">
        <v>4685.8499999999995</v>
      </c>
      <c r="L313" s="8">
        <v>2212.9931391274549</v>
      </c>
      <c r="M313" s="8">
        <v>2412.9208682075055</v>
      </c>
      <c r="N313" s="6" cm="1">
        <f t="array" ref="N313">_xlfn.XLOOKUP(Table8[[#This Row],[Admin2PCODE]:[Admin2PCODE]],tblPiNAnalysis[[Admin2PCODE]:[Admin2PCODE]],tblPiNAnalysis[% SAMV],0,0)</f>
        <v>0.4</v>
      </c>
      <c r="O313" s="6" cm="1">
        <f t="array" ref="O313">_xlfn.XLOOKUP(Table8[[#This Row],[Admin2PCODE]:[Admin2PCODE]],tblPiNAnalysis[[Admin2PCODE]:[Admin2PCODE]],tblPiNAnalysis[% NUT],0,0)</f>
        <v>0.05</v>
      </c>
      <c r="P313" s="6" cm="1">
        <f t="array" ref="P313">_xlfn.XLOOKUP(Table8[[#This Row],[Admin2PCODE]:[Admin2PCODE]],tblPiNAnalysis[[Admin2PCODE]:[Admin2PCODE]],tblPiNAnalysis[% SAL],0,0)</f>
        <v>0.35000000000000003</v>
      </c>
      <c r="Q313" s="6" cm="1">
        <f t="array" ref="Q313">_xlfn.XLOOKUP(Table8[[#This Row],[Admin2PCODE]:[Admin2PCODE]],tblPiNAnalysis[[Admin2PCODE]:[Admin2PCODE]],tblPiNAnalysis[% EDU],0,0)</f>
        <v>0.15000000000000002</v>
      </c>
      <c r="R313" s="6" cm="1">
        <f t="array" ref="R313">_xlfn.XLOOKUP(Table8[[#This Row],[Admin2PCODE]:[Admin2PCODE]],tblPiNAnalysis[[Admin2PCODE]:[Admin2PCODE]],tblPiNAnalysis[% PRO],0,0)</f>
        <v>0.2</v>
      </c>
      <c r="S313" s="6" cm="1">
        <f t="array" ref="S313">_xlfn.XLOOKUP(Table8[[#This Row],[Admin2PCODE]:[Admin2PCODE]],tblPiNAnalysis[[Admin2PCODE]:[Admin2PCODE]],tblPiNAnalysis[% WASH],0,0)</f>
        <v>0.15000000000000002</v>
      </c>
      <c r="T313" s="6" cm="1">
        <f t="array" ref="T313">_xlfn.XLOOKUP(Table8[[#This Row],[Admin2PCODE]:[Admin2PCODE]],tblPiNAnalysis[[Admin2PCODE]:[Admin2PCODE]],tblPiNAnalysis[% NNA],0,0)</f>
        <v>0.05</v>
      </c>
      <c r="U313" s="6" cm="1">
        <f t="array" ref="U313">_xlfn.XLOOKUP(Table8[[#This Row],[Admin2PCODE]:[Admin2PCODE]],tblPiNAnalysis[[Admin2PCODE]:[Admin2PCODE]],tblPiNAnalysis[% VBG],0,0)</f>
        <v>0.05</v>
      </c>
      <c r="V313" s="8" cm="1">
        <f t="array" ref="V313">_xlfn.XLOOKUP(Table8[[#This Row],[Admin2PCODE]:[Admin2PCODE]],tblPiNAnalysis[[Admin2PCODE]:[Admin2PCODE]],tblPiNAnalysis[PiN preliminar],0,0)</f>
        <v>14463</v>
      </c>
      <c r="W313" s="308" cm="1">
        <f t="array" ref="W313">_xlfn.XLOOKUP(Table8[[#This Row],[Admin2PCODE]],tblPiNAnalysis[Admin2PCODE],tblSeverityAnalysis[Severidad media],0,0)</f>
        <v>3.3333333333333335</v>
      </c>
      <c r="X313" s="42">
        <f>Table8[[#This Row],[Severidad media]]*6</f>
        <v>20</v>
      </c>
      <c r="Y313" s="6" cm="1">
        <f t="array" ref="Y313">_xlfn.XLOOKUP(Table8[[#This Row],[Admin2PCODE]],tblPiNAnalysis[Admin2PCODE],tblPiNAnalysis[% PiN Sectores más altos],0,0)</f>
        <v>0.4166810717372515</v>
      </c>
      <c r="Z313" s="42" cm="1">
        <f t="array" ref="Z313">_xlfn.XLOOKUP(Table8[[#This Row],[Admin2PCODE]:[Admin2PCODE]],tblPiNAnalysis[[Admin2PCODE]:[Admin2PCODE]],tblPiNAnalysis[Severidad],0,0)</f>
        <v>3</v>
      </c>
      <c r="AA313">
        <f>_xlfn.XLOOKUP(Table8[[#This Row],[Admin2PCODE]],tblSeverityAnalysis[Admin 2 Código P],tblSeverityAnalysis[Severidad Ttotal 2025],0,0)</f>
        <v>3</v>
      </c>
      <c r="AB313" t="str">
        <f>_xlfn.XLOOKUP(Table8[[#This Row],[Admin2PCODE]],tblSeverityAnalysis[Admin 2 Código P],tblSeverityAnalysis[Priorización Final 2025],0,0)</f>
        <v>No</v>
      </c>
      <c r="AC313">
        <v>2</v>
      </c>
      <c r="AD313" t="s">
        <v>1051</v>
      </c>
      <c r="AE313">
        <v>5</v>
      </c>
      <c r="AF313">
        <v>0</v>
      </c>
      <c r="AG313">
        <v>0</v>
      </c>
      <c r="AH313">
        <v>0</v>
      </c>
      <c r="AI313">
        <v>0</v>
      </c>
      <c r="AJ313">
        <v>4</v>
      </c>
      <c r="AK313">
        <v>0</v>
      </c>
      <c r="AL313">
        <v>0</v>
      </c>
      <c r="AM313">
        <v>1</v>
      </c>
      <c r="AN313">
        <v>0</v>
      </c>
      <c r="AO313" s="314">
        <f>Table8[[#This Row],[N° Clústeres con respuesta]]/Table8[[#This Row],[Org Total]]</f>
        <v>0.4</v>
      </c>
      <c r="AP313" s="313">
        <v>8104</v>
      </c>
      <c r="AQ313" s="313">
        <v>1626</v>
      </c>
      <c r="AR313" s="312">
        <f>Table8[[#This Row],[Alcanzados Oct 2025]]/Table8[[#This Row],[Meta 2025]]</f>
        <v>0.2006416584402764</v>
      </c>
      <c r="AS313" s="423">
        <v>0</v>
      </c>
      <c r="AT313" s="423">
        <v>0</v>
      </c>
      <c r="AU313" s="423">
        <v>0</v>
      </c>
      <c r="AV313" s="423">
        <v>0</v>
      </c>
      <c r="AW313" s="423">
        <v>79</v>
      </c>
      <c r="AX313" s="423">
        <v>0</v>
      </c>
      <c r="AY313" s="423">
        <v>0</v>
      </c>
      <c r="AZ313" s="423">
        <v>1593</v>
      </c>
      <c r="BA313" s="42">
        <v>0</v>
      </c>
    </row>
    <row r="314" spans="1:53">
      <c r="A314" t="s">
        <v>705</v>
      </c>
      <c r="B314" t="s">
        <v>706</v>
      </c>
      <c r="C314" t="s">
        <v>805</v>
      </c>
      <c r="D314" t="s">
        <v>720</v>
      </c>
      <c r="E314" s="8">
        <v>121430</v>
      </c>
      <c r="F314" s="8">
        <v>8260</v>
      </c>
      <c r="G314" s="8">
        <v>12507.198520837803</v>
      </c>
      <c r="H314" s="8">
        <v>44321.95</v>
      </c>
      <c r="I314" s="8">
        <v>18768.889521901765</v>
      </c>
      <c r="J314" s="8">
        <v>28941.941575645134</v>
      </c>
      <c r="K314" s="8">
        <v>72858</v>
      </c>
      <c r="L314" s="8">
        <v>9290.3632457820895</v>
      </c>
      <c r="M314" s="8">
        <v>10129.679551475796</v>
      </c>
      <c r="N314" s="6" cm="1">
        <f t="array" ref="N314">_xlfn.XLOOKUP(Table8[[#This Row],[Admin2PCODE]:[Admin2PCODE]],tblPiNAnalysis[[Admin2PCODE]:[Admin2PCODE]],tblPiNAnalysis[% SAMV],0,0)</f>
        <v>0.05</v>
      </c>
      <c r="O314" s="6" cm="1">
        <f t="array" ref="O314">_xlfn.XLOOKUP(Table8[[#This Row],[Admin2PCODE]:[Admin2PCODE]],tblPiNAnalysis[[Admin2PCODE]:[Admin2PCODE]],tblPiNAnalysis[% NUT],0,0)</f>
        <v>0.1</v>
      </c>
      <c r="P314" s="6" cm="1">
        <f t="array" ref="P314">_xlfn.XLOOKUP(Table8[[#This Row],[Admin2PCODE]:[Admin2PCODE]],tblPiNAnalysis[[Admin2PCODE]:[Admin2PCODE]],tblPiNAnalysis[% SAL],0,0)</f>
        <v>0.35000000000000003</v>
      </c>
      <c r="Q314" s="6" cm="1">
        <f t="array" ref="Q314">_xlfn.XLOOKUP(Table8[[#This Row],[Admin2PCODE]:[Admin2PCODE]],tblPiNAnalysis[[Admin2PCODE]:[Admin2PCODE]],tblPiNAnalysis[% EDU],0,0)</f>
        <v>0.15000000000000002</v>
      </c>
      <c r="R314" s="6" cm="1">
        <f t="array" ref="R314">_xlfn.XLOOKUP(Table8[[#This Row],[Admin2PCODE]:[Admin2PCODE]],tblPiNAnalysis[[Admin2PCODE]:[Admin2PCODE]],tblPiNAnalysis[% PRO],0,0)</f>
        <v>0.25</v>
      </c>
      <c r="S314" s="6" cm="1">
        <f t="array" ref="S314">_xlfn.XLOOKUP(Table8[[#This Row],[Admin2PCODE]:[Admin2PCODE]],tblPiNAnalysis[[Admin2PCODE]:[Admin2PCODE]],tblPiNAnalysis[% WASH],0,0)</f>
        <v>0.60000000000000009</v>
      </c>
      <c r="T314" s="6" cm="1">
        <f t="array" ref="T314">_xlfn.XLOOKUP(Table8[[#This Row],[Admin2PCODE]:[Admin2PCODE]],tblPiNAnalysis[[Admin2PCODE]:[Admin2PCODE]],tblPiNAnalysis[% NNA],0,0)</f>
        <v>0.1</v>
      </c>
      <c r="U314" s="6" cm="1">
        <f t="array" ref="U314">_xlfn.XLOOKUP(Table8[[#This Row],[Admin2PCODE]:[Admin2PCODE]],tblPiNAnalysis[[Admin2PCODE]:[Admin2PCODE]],tblPiNAnalysis[% VBG],0,0)</f>
        <v>0.1</v>
      </c>
      <c r="V314" s="8" cm="1">
        <f t="array" ref="V314">_xlfn.XLOOKUP(Table8[[#This Row],[Admin2PCODE]:[Admin2PCODE]],tblPiNAnalysis[[Admin2PCODE]:[Admin2PCODE]],tblPiNAnalysis[PiN preliminar],0,0)</f>
        <v>72858</v>
      </c>
      <c r="W314" s="308" cm="1">
        <f t="array" ref="W314">_xlfn.XLOOKUP(Table8[[#This Row],[Admin2PCODE]],tblPiNAnalysis[Admin2PCODE],tblSeverityAnalysis[Severidad media],0,0)</f>
        <v>3.3333333333333335</v>
      </c>
      <c r="X314" s="42">
        <f>Table8[[#This Row],[Severidad media]]*6</f>
        <v>20</v>
      </c>
      <c r="Y314" s="6" cm="1">
        <f t="array" ref="Y314">_xlfn.XLOOKUP(Table8[[#This Row],[Admin2PCODE]],tblPiNAnalysis[Admin2PCODE],tblPiNAnalysis[% PiN Sectores más altos],0,0)</f>
        <v>0.6</v>
      </c>
      <c r="Z314" s="42" cm="1">
        <f t="array" ref="Z314">_xlfn.XLOOKUP(Table8[[#This Row],[Admin2PCODE]:[Admin2PCODE]],tblPiNAnalysis[[Admin2PCODE]:[Admin2PCODE]],tblPiNAnalysis[Severidad],0,0)</f>
        <v>3</v>
      </c>
      <c r="AA314">
        <f>_xlfn.XLOOKUP(Table8[[#This Row],[Admin2PCODE]],tblSeverityAnalysis[Admin 2 Código P],tblSeverityAnalysis[Severidad Ttotal 2025],0,0)</f>
        <v>3</v>
      </c>
      <c r="AB314" t="str">
        <f>_xlfn.XLOOKUP(Table8[[#This Row],[Admin2PCODE]],tblSeverityAnalysis[Admin 2 Código P],tblSeverityAnalysis[Priorización Final 2025],0,0)</f>
        <v>No</v>
      </c>
      <c r="AC314">
        <v>6</v>
      </c>
      <c r="AD314" t="s">
        <v>1113</v>
      </c>
      <c r="AE314">
        <v>9</v>
      </c>
      <c r="AF314">
        <v>0</v>
      </c>
      <c r="AG314">
        <v>3</v>
      </c>
      <c r="AH314">
        <v>1</v>
      </c>
      <c r="AI314">
        <v>5</v>
      </c>
      <c r="AJ314">
        <v>3</v>
      </c>
      <c r="AK314">
        <v>1</v>
      </c>
      <c r="AL314">
        <v>0</v>
      </c>
      <c r="AM314">
        <v>4</v>
      </c>
      <c r="AN314">
        <v>2</v>
      </c>
      <c r="AO314" s="314">
        <f>Table8[[#This Row],[N° Clústeres con respuesta]]/Table8[[#This Row],[Org Total]]</f>
        <v>0.66666666666666663</v>
      </c>
      <c r="AP314" s="313">
        <v>28352</v>
      </c>
      <c r="AQ314" s="313">
        <v>10691</v>
      </c>
      <c r="AR314" s="312">
        <f>Table8[[#This Row],[Alcanzados Oct 2025]]/Table8[[#This Row],[Meta 2025]]</f>
        <v>0.37708098194130923</v>
      </c>
      <c r="AS314" s="423">
        <v>0</v>
      </c>
      <c r="AT314" s="423">
        <v>74</v>
      </c>
      <c r="AU314" s="423">
        <v>371</v>
      </c>
      <c r="AV314" s="423">
        <v>3627</v>
      </c>
      <c r="AW314" s="423">
        <v>482</v>
      </c>
      <c r="AX314" s="423">
        <v>83</v>
      </c>
      <c r="AY314" s="423">
        <v>4</v>
      </c>
      <c r="AZ314" s="423">
        <v>10691</v>
      </c>
      <c r="BA314" s="42">
        <v>4964</v>
      </c>
    </row>
    <row r="315" spans="1:53">
      <c r="A315" t="s">
        <v>276</v>
      </c>
      <c r="B315" t="s">
        <v>455</v>
      </c>
      <c r="C315" t="s">
        <v>203</v>
      </c>
      <c r="D315" t="s">
        <v>488</v>
      </c>
      <c r="E315" s="8">
        <v>613902</v>
      </c>
      <c r="F315" s="8">
        <v>95637</v>
      </c>
      <c r="G315" s="8">
        <v>32923.262776657502</v>
      </c>
      <c r="H315" s="8">
        <v>224074.23</v>
      </c>
      <c r="I315" s="8">
        <v>89542.975049871617</v>
      </c>
      <c r="J315" s="8">
        <v>146863.50970875725</v>
      </c>
      <c r="K315" s="8">
        <v>276255.90000000002</v>
      </c>
      <c r="L315" s="8">
        <v>46996.323106802316</v>
      </c>
      <c r="M315" s="8">
        <v>51402.228398065039</v>
      </c>
      <c r="N315" s="6" cm="1">
        <f t="array" ref="N315">_xlfn.XLOOKUP(Table8[[#This Row],[Admin2PCODE]:[Admin2PCODE]],tblPiNAnalysis[[Admin2PCODE]:[Admin2PCODE]],tblPiNAnalysis[% SAMV],0,0)</f>
        <v>0.15000000000000002</v>
      </c>
      <c r="O315" s="6" cm="1">
        <f t="array" ref="O315">_xlfn.XLOOKUP(Table8[[#This Row],[Admin2PCODE]:[Admin2PCODE]],tblPiNAnalysis[[Admin2PCODE]:[Admin2PCODE]],tblPiNAnalysis[% NUT],0,0)</f>
        <v>0.05</v>
      </c>
      <c r="P315" s="6" cm="1">
        <f t="array" ref="P315">_xlfn.XLOOKUP(Table8[[#This Row],[Admin2PCODE]:[Admin2PCODE]],tblPiNAnalysis[[Admin2PCODE]:[Admin2PCODE]],tblPiNAnalysis[% SAL],0,0)</f>
        <v>0.35000000000000003</v>
      </c>
      <c r="Q315" s="6" cm="1">
        <f t="array" ref="Q315">_xlfn.XLOOKUP(Table8[[#This Row],[Admin2PCODE]:[Admin2PCODE]],tblPiNAnalysis[[Admin2PCODE]:[Admin2PCODE]],tblPiNAnalysis[% EDU],0,0)</f>
        <v>0.15000000000000002</v>
      </c>
      <c r="R315" s="6" cm="1">
        <f t="array" ref="R315">_xlfn.XLOOKUP(Table8[[#This Row],[Admin2PCODE]:[Admin2PCODE]],tblPiNAnalysis[[Admin2PCODE]:[Admin2PCODE]],tblPiNAnalysis[% PRO],0,0)</f>
        <v>0.25</v>
      </c>
      <c r="S315" s="6" cm="1">
        <f t="array" ref="S315">_xlfn.XLOOKUP(Table8[[#This Row],[Admin2PCODE]:[Admin2PCODE]],tblPiNAnalysis[[Admin2PCODE]:[Admin2PCODE]],tblPiNAnalysis[% WASH],0,0)</f>
        <v>0.45</v>
      </c>
      <c r="T315" s="6" cm="1">
        <f t="array" ref="T315">_xlfn.XLOOKUP(Table8[[#This Row],[Admin2PCODE]:[Admin2PCODE]],tblPiNAnalysis[[Admin2PCODE]:[Admin2PCODE]],tblPiNAnalysis[% NNA],0,0)</f>
        <v>0.1</v>
      </c>
      <c r="U315" s="6" cm="1">
        <f t="array" ref="U315">_xlfn.XLOOKUP(Table8[[#This Row],[Admin2PCODE]:[Admin2PCODE]],tblPiNAnalysis[[Admin2PCODE]:[Admin2PCODE]],tblPiNAnalysis[% VBG],0,0)</f>
        <v>0.1</v>
      </c>
      <c r="V315" s="8" cm="1">
        <f t="array" ref="V315">_xlfn.XLOOKUP(Table8[[#This Row],[Admin2PCODE]:[Admin2PCODE]],tblPiNAnalysis[[Admin2PCODE]:[Admin2PCODE]],tblPiNAnalysis[PiN preliminar],0,0)</f>
        <v>276255.90000000002</v>
      </c>
      <c r="W315" s="308" cm="1">
        <f t="array" ref="W315">_xlfn.XLOOKUP(Table8[[#This Row],[Admin2PCODE]],tblPiNAnalysis[Admin2PCODE],tblSeverityAnalysis[Severidad media],0,0)</f>
        <v>3.6666666666666665</v>
      </c>
      <c r="X315" s="42">
        <f>Table8[[#This Row],[Severidad media]]*6</f>
        <v>22</v>
      </c>
      <c r="Y315" s="6" cm="1">
        <f t="array" ref="Y315">_xlfn.XLOOKUP(Table8[[#This Row],[Admin2PCODE]],tblPiNAnalysis[Admin2PCODE],tblPiNAnalysis[% PiN Sectores más altos],0,0)</f>
        <v>0.45</v>
      </c>
      <c r="Z315" s="42" cm="1">
        <f t="array" ref="Z315">_xlfn.XLOOKUP(Table8[[#This Row],[Admin2PCODE]:[Admin2PCODE]],tblPiNAnalysis[[Admin2PCODE]:[Admin2PCODE]],tblPiNAnalysis[Severidad],0,0)</f>
        <v>3</v>
      </c>
      <c r="AA315">
        <f>_xlfn.XLOOKUP(Table8[[#This Row],[Admin2PCODE]],tblSeverityAnalysis[Admin 2 Código P],tblSeverityAnalysis[Severidad Ttotal 2025],0,0)</f>
        <v>3</v>
      </c>
      <c r="AB315" t="str">
        <f>_xlfn.XLOOKUP(Table8[[#This Row],[Admin2PCODE]],tblSeverityAnalysis[Admin 2 Código P],tblSeverityAnalysis[Priorización Final 2025],0,0)</f>
        <v>Sí</v>
      </c>
      <c r="AC315">
        <v>9</v>
      </c>
      <c r="AD315" t="s">
        <v>1114</v>
      </c>
      <c r="AE315">
        <v>40</v>
      </c>
      <c r="AF315">
        <v>4</v>
      </c>
      <c r="AG315">
        <v>9</v>
      </c>
      <c r="AH315">
        <v>5</v>
      </c>
      <c r="AI315">
        <v>7</v>
      </c>
      <c r="AJ315">
        <v>18</v>
      </c>
      <c r="AK315">
        <v>7</v>
      </c>
      <c r="AL315">
        <v>14</v>
      </c>
      <c r="AM315">
        <v>14</v>
      </c>
      <c r="AN315">
        <v>7</v>
      </c>
      <c r="AO315" s="314">
        <f>Table8[[#This Row],[N° Clústeres con respuesta]]/Table8[[#This Row],[Org Total]]</f>
        <v>0.22500000000000001</v>
      </c>
      <c r="AP315" s="313">
        <v>100857</v>
      </c>
      <c r="AQ315" s="313">
        <v>37905</v>
      </c>
      <c r="AR315" s="312">
        <f>Table8[[#This Row],[Alcanzados Oct 2025]]/Table8[[#This Row],[Meta 2025]]</f>
        <v>0.37582914423391534</v>
      </c>
      <c r="AS315" s="423">
        <v>109</v>
      </c>
      <c r="AT315" s="423">
        <v>4842</v>
      </c>
      <c r="AU315" s="423">
        <v>6321</v>
      </c>
      <c r="AV315" s="423">
        <v>4066</v>
      </c>
      <c r="AW315" s="423">
        <v>25244</v>
      </c>
      <c r="AX315" s="423">
        <v>2755</v>
      </c>
      <c r="AY315" s="423">
        <v>5840</v>
      </c>
      <c r="AZ315" s="423">
        <v>32036</v>
      </c>
      <c r="BA315" s="42">
        <v>498</v>
      </c>
    </row>
    <row r="316" spans="1:53">
      <c r="A316" t="s">
        <v>705</v>
      </c>
      <c r="B316" t="s">
        <v>706</v>
      </c>
      <c r="C316" t="s">
        <v>808</v>
      </c>
      <c r="D316" t="s">
        <v>724</v>
      </c>
      <c r="E316" s="8">
        <v>84064</v>
      </c>
      <c r="F316" s="8">
        <v>43129</v>
      </c>
      <c r="G316" s="8">
        <v>4837.3462624284148</v>
      </c>
      <c r="H316" s="8">
        <v>30683.360000000001</v>
      </c>
      <c r="I316" s="8">
        <v>15186.218220147404</v>
      </c>
      <c r="J316" s="8">
        <v>20036.032089393328</v>
      </c>
      <c r="K316" s="8">
        <v>37828.800000000003</v>
      </c>
      <c r="L316" s="8">
        <v>6411.5302686058649</v>
      </c>
      <c r="M316" s="8">
        <v>7012.6112312876639</v>
      </c>
      <c r="N316" s="6" cm="1">
        <f t="array" ref="N316">_xlfn.XLOOKUP(Table8[[#This Row],[Admin2PCODE]:[Admin2PCODE]],tblPiNAnalysis[[Admin2PCODE]:[Admin2PCODE]],tblPiNAnalysis[% SAMV],0,0)</f>
        <v>0.5</v>
      </c>
      <c r="O316" s="6" cm="1">
        <f t="array" ref="O316">_xlfn.XLOOKUP(Table8[[#This Row],[Admin2PCODE]:[Admin2PCODE]],tblPiNAnalysis[[Admin2PCODE]:[Admin2PCODE]],tblPiNAnalysis[% NUT],0,0)</f>
        <v>0.05</v>
      </c>
      <c r="P316" s="6" cm="1">
        <f t="array" ref="P316">_xlfn.XLOOKUP(Table8[[#This Row],[Admin2PCODE]:[Admin2PCODE]],tblPiNAnalysis[[Admin2PCODE]:[Admin2PCODE]],tblPiNAnalysis[% SAL],0,0)</f>
        <v>0.35000000000000003</v>
      </c>
      <c r="Q316" s="6" cm="1">
        <f t="array" ref="Q316">_xlfn.XLOOKUP(Table8[[#This Row],[Admin2PCODE]:[Admin2PCODE]],tblPiNAnalysis[[Admin2PCODE]:[Admin2PCODE]],tblPiNAnalysis[% EDU],0,0)</f>
        <v>0.2</v>
      </c>
      <c r="R316" s="6" cm="1">
        <f t="array" ref="R316">_xlfn.XLOOKUP(Table8[[#This Row],[Admin2PCODE]:[Admin2PCODE]],tblPiNAnalysis[[Admin2PCODE]:[Admin2PCODE]],tblPiNAnalysis[% PRO],0,0)</f>
        <v>0.25</v>
      </c>
      <c r="S316" s="6" cm="1">
        <f t="array" ref="S316">_xlfn.XLOOKUP(Table8[[#This Row],[Admin2PCODE]:[Admin2PCODE]],tblPiNAnalysis[[Admin2PCODE]:[Admin2PCODE]],tblPiNAnalysis[% WASH],0,0)</f>
        <v>0.45</v>
      </c>
      <c r="T316" s="6" cm="1">
        <f t="array" ref="T316">_xlfn.XLOOKUP(Table8[[#This Row],[Admin2PCODE]:[Admin2PCODE]],tblPiNAnalysis[[Admin2PCODE]:[Admin2PCODE]],tblPiNAnalysis[% NNA],0,0)</f>
        <v>0.1</v>
      </c>
      <c r="U316" s="6" cm="1">
        <f t="array" ref="U316">_xlfn.XLOOKUP(Table8[[#This Row],[Admin2PCODE]:[Admin2PCODE]],tblPiNAnalysis[[Admin2PCODE]:[Admin2PCODE]],tblPiNAnalysis[% VBG],0,0)</f>
        <v>0.1</v>
      </c>
      <c r="V316" s="8" cm="1">
        <f t="array" ref="V316">_xlfn.XLOOKUP(Table8[[#This Row],[Admin2PCODE]:[Admin2PCODE]],tblPiNAnalysis[[Admin2PCODE]:[Admin2PCODE]],tblPiNAnalysis[PiN preliminar],0,0)</f>
        <v>43129</v>
      </c>
      <c r="W316" s="308" cm="1">
        <f t="array" ref="W316">_xlfn.XLOOKUP(Table8[[#This Row],[Admin2PCODE]],tblPiNAnalysis[Admin2PCODE],tblSeverityAnalysis[Severidad media],0,0)</f>
        <v>2.3333333333333335</v>
      </c>
      <c r="X316" s="42">
        <f>Table8[[#This Row],[Severidad media]]*6</f>
        <v>14</v>
      </c>
      <c r="Y316" s="6" cm="1">
        <f t="array" ref="Y316">_xlfn.XLOOKUP(Table8[[#This Row],[Admin2PCODE]],tblPiNAnalysis[Admin2PCODE],tblPiNAnalysis[% PiN Sectores más altos],0,0)</f>
        <v>0.5130495812714122</v>
      </c>
      <c r="Z316" s="42" cm="1">
        <f t="array" ref="Z316">_xlfn.XLOOKUP(Table8[[#This Row],[Admin2PCODE]:[Admin2PCODE]],tblPiNAnalysis[[Admin2PCODE]:[Admin2PCODE]],tblPiNAnalysis[Severidad],0,0)</f>
        <v>3</v>
      </c>
      <c r="AA316">
        <f>_xlfn.XLOOKUP(Table8[[#This Row],[Admin2PCODE]],tblSeverityAnalysis[Admin 2 Código P],tblSeverityAnalysis[Severidad Ttotal 2025],0,0)</f>
        <v>3</v>
      </c>
      <c r="AB316" t="str">
        <f>_xlfn.XLOOKUP(Table8[[#This Row],[Admin2PCODE]],tblSeverityAnalysis[Admin 2 Código P],tblSeverityAnalysis[Priorización Final 2025],0,0)</f>
        <v>No</v>
      </c>
      <c r="AC316">
        <v>8</v>
      </c>
      <c r="AD316" t="s">
        <v>1115</v>
      </c>
      <c r="AE316">
        <v>9</v>
      </c>
      <c r="AF316">
        <v>0</v>
      </c>
      <c r="AG316">
        <v>3</v>
      </c>
      <c r="AH316">
        <v>2</v>
      </c>
      <c r="AI316">
        <v>5</v>
      </c>
      <c r="AJ316">
        <v>3</v>
      </c>
      <c r="AK316">
        <v>1</v>
      </c>
      <c r="AL316">
        <v>2</v>
      </c>
      <c r="AM316">
        <v>3</v>
      </c>
      <c r="AN316">
        <v>2</v>
      </c>
      <c r="AO316" s="314">
        <f>Table8[[#This Row],[N° Clústeres con respuesta]]/Table8[[#This Row],[Org Total]]</f>
        <v>0.88888888888888884</v>
      </c>
      <c r="AP316" s="313">
        <v>19627</v>
      </c>
      <c r="AQ316" s="313">
        <v>14153</v>
      </c>
      <c r="AR316" s="312">
        <f>Table8[[#This Row],[Alcanzados Oct 2025]]/Table8[[#This Row],[Meta 2025]]</f>
        <v>0.72109848677841748</v>
      </c>
      <c r="AS316" s="423">
        <v>0</v>
      </c>
      <c r="AT316" s="423">
        <v>47</v>
      </c>
      <c r="AU316" s="423">
        <v>1274</v>
      </c>
      <c r="AV316" s="423">
        <v>2602</v>
      </c>
      <c r="AW316" s="423">
        <v>407</v>
      </c>
      <c r="AX316" s="423">
        <v>0</v>
      </c>
      <c r="AY316" s="423">
        <v>359</v>
      </c>
      <c r="AZ316" s="423">
        <v>8189</v>
      </c>
      <c r="BA316" s="42">
        <v>13048</v>
      </c>
    </row>
    <row r="317" spans="1:53">
      <c r="A317" t="s">
        <v>705</v>
      </c>
      <c r="B317" t="s">
        <v>706</v>
      </c>
      <c r="C317" t="s">
        <v>725</v>
      </c>
      <c r="D317" t="s">
        <v>726</v>
      </c>
      <c r="E317" s="8">
        <v>208025</v>
      </c>
      <c r="F317" s="8">
        <v>30285</v>
      </c>
      <c r="G317" s="8">
        <v>9525.9719389903403</v>
      </c>
      <c r="H317" s="8">
        <v>75929.125</v>
      </c>
      <c r="I317" s="8">
        <v>36216.495686004047</v>
      </c>
      <c r="J317" s="8">
        <v>49581.218778502669</v>
      </c>
      <c r="K317" s="8">
        <v>28083.375</v>
      </c>
      <c r="L317" s="8">
        <v>15865.990009120855</v>
      </c>
      <c r="M317" s="8">
        <v>17353.426572475935</v>
      </c>
      <c r="N317" s="6" cm="1">
        <f t="array" ref="N317">_xlfn.XLOOKUP(Table8[[#This Row],[Admin2PCODE]:[Admin2PCODE]],tblPiNAnalysis[[Admin2PCODE]:[Admin2PCODE]],tblPiNAnalysis[% SAMV],0,0)</f>
        <v>0.15000000000000002</v>
      </c>
      <c r="O317" s="6" cm="1">
        <f t="array" ref="O317">_xlfn.XLOOKUP(Table8[[#This Row],[Admin2PCODE]:[Admin2PCODE]],tblPiNAnalysis[[Admin2PCODE]:[Admin2PCODE]],tblPiNAnalysis[% NUT],0,0)</f>
        <v>0.05</v>
      </c>
      <c r="P317" s="6" cm="1">
        <f t="array" ref="P317">_xlfn.XLOOKUP(Table8[[#This Row],[Admin2PCODE]:[Admin2PCODE]],tblPiNAnalysis[[Admin2PCODE]:[Admin2PCODE]],tblPiNAnalysis[% SAL],0,0)</f>
        <v>0.35000000000000003</v>
      </c>
      <c r="Q317" s="6" cm="1">
        <f t="array" ref="Q317">_xlfn.XLOOKUP(Table8[[#This Row],[Admin2PCODE]:[Admin2PCODE]],tblPiNAnalysis[[Admin2PCODE]:[Admin2PCODE]],tblPiNAnalysis[% EDU],0,0)</f>
        <v>0.15000000000000002</v>
      </c>
      <c r="R317" s="6" cm="1">
        <f t="array" ref="R317">_xlfn.XLOOKUP(Table8[[#This Row],[Admin2PCODE]:[Admin2PCODE]],tblPiNAnalysis[[Admin2PCODE]:[Admin2PCODE]],tblPiNAnalysis[% PRO],0,0)</f>
        <v>0.25</v>
      </c>
      <c r="S317" s="6" cm="1">
        <f t="array" ref="S317">_xlfn.XLOOKUP(Table8[[#This Row],[Admin2PCODE]:[Admin2PCODE]],tblPiNAnalysis[[Admin2PCODE]:[Admin2PCODE]],tblPiNAnalysis[% WASH],0,0)</f>
        <v>0.15000000000000002</v>
      </c>
      <c r="T317" s="6" cm="1">
        <f t="array" ref="T317">_xlfn.XLOOKUP(Table8[[#This Row],[Admin2PCODE]:[Admin2PCODE]],tblPiNAnalysis[[Admin2PCODE]:[Admin2PCODE]],tblPiNAnalysis[% NNA],0,0)</f>
        <v>0.1</v>
      </c>
      <c r="U317" s="6" cm="1">
        <f t="array" ref="U317">_xlfn.XLOOKUP(Table8[[#This Row],[Admin2PCODE]:[Admin2PCODE]],tblPiNAnalysis[[Admin2PCODE]:[Admin2PCODE]],tblPiNAnalysis[% VBG],0,0)</f>
        <v>0.1</v>
      </c>
      <c r="V317" s="8" cm="1">
        <f t="array" ref="V317">_xlfn.XLOOKUP(Table8[[#This Row],[Admin2PCODE]:[Admin2PCODE]],tblPiNAnalysis[[Admin2PCODE]:[Admin2PCODE]],tblPiNAnalysis[PiN preliminar],0,0)</f>
        <v>75929.125</v>
      </c>
      <c r="W317" s="308" cm="1">
        <f t="array" ref="W317">_xlfn.XLOOKUP(Table8[[#This Row],[Admin2PCODE]],tblPiNAnalysis[Admin2PCODE],tblSeverityAnalysis[Severidad media],0,0)</f>
        <v>2.6666666666666665</v>
      </c>
      <c r="X317" s="42">
        <f>Table8[[#This Row],[Severidad media]]*6</f>
        <v>16</v>
      </c>
      <c r="Y317" s="6" cm="1">
        <f t="array" ref="Y317">_xlfn.XLOOKUP(Table8[[#This Row],[Admin2PCODE]],tblPiNAnalysis[Admin2PCODE],tblPiNAnalysis[% PiN Sectores más altos],0,0)</f>
        <v>0.36499999999999999</v>
      </c>
      <c r="Z317" s="42" cm="1">
        <f t="array" ref="Z317">_xlfn.XLOOKUP(Table8[[#This Row],[Admin2PCODE]:[Admin2PCODE]],tblPiNAnalysis[[Admin2PCODE]:[Admin2PCODE]],tblPiNAnalysis[Severidad],0,0)</f>
        <v>3</v>
      </c>
      <c r="AA317">
        <f>_xlfn.XLOOKUP(Table8[[#This Row],[Admin2PCODE]],tblSeverityAnalysis[Admin 2 Código P],tblSeverityAnalysis[Severidad Ttotal 2025],0,0)</f>
        <v>3</v>
      </c>
      <c r="AB317" t="str">
        <f>_xlfn.XLOOKUP(Table8[[#This Row],[Admin2PCODE]],tblSeverityAnalysis[Admin 2 Código P],tblSeverityAnalysis[Priorización Final 2025],0,0)</f>
        <v>No</v>
      </c>
      <c r="AC317">
        <v>4</v>
      </c>
      <c r="AD317" t="s">
        <v>1116</v>
      </c>
      <c r="AE317">
        <v>8</v>
      </c>
      <c r="AF317">
        <v>0</v>
      </c>
      <c r="AG317">
        <v>0</v>
      </c>
      <c r="AH317">
        <v>0</v>
      </c>
      <c r="AI317">
        <v>4</v>
      </c>
      <c r="AJ317">
        <v>3</v>
      </c>
      <c r="AK317">
        <v>0</v>
      </c>
      <c r="AL317">
        <v>0</v>
      </c>
      <c r="AM317">
        <v>1</v>
      </c>
      <c r="AN317">
        <v>4</v>
      </c>
      <c r="AO317" s="314">
        <f>Table8[[#This Row],[N° Clústeres con respuesta]]/Table8[[#This Row],[Org Total]]</f>
        <v>0.5</v>
      </c>
      <c r="AP317" s="313">
        <v>34176</v>
      </c>
      <c r="AQ317" s="313">
        <v>19087</v>
      </c>
      <c r="AR317" s="312">
        <f>Table8[[#This Row],[Alcanzados Oct 2025]]/Table8[[#This Row],[Meta 2025]]</f>
        <v>0.55849133895131087</v>
      </c>
      <c r="AS317" s="423">
        <v>0</v>
      </c>
      <c r="AT317" s="423">
        <v>0</v>
      </c>
      <c r="AU317" s="423">
        <v>0</v>
      </c>
      <c r="AV317" s="423">
        <v>27</v>
      </c>
      <c r="AW317" s="423">
        <v>37</v>
      </c>
      <c r="AX317" s="423">
        <v>0</v>
      </c>
      <c r="AY317" s="423">
        <v>0</v>
      </c>
      <c r="AZ317" s="423">
        <v>1653</v>
      </c>
      <c r="BA317" s="42">
        <v>19087</v>
      </c>
    </row>
    <row r="318" spans="1:53">
      <c r="A318" t="s">
        <v>203</v>
      </c>
      <c r="B318" t="s">
        <v>564</v>
      </c>
      <c r="C318" t="s">
        <v>571</v>
      </c>
      <c r="D318" t="s">
        <v>572</v>
      </c>
      <c r="E318" s="8">
        <v>141932</v>
      </c>
      <c r="F318" s="8">
        <v>28066</v>
      </c>
      <c r="G318" s="8">
        <v>13156.614991851757</v>
      </c>
      <c r="H318" s="8">
        <v>51805.18</v>
      </c>
      <c r="I318" s="8">
        <v>10767.604768487316</v>
      </c>
      <c r="J318" s="8">
        <v>33976.424893455449</v>
      </c>
      <c r="K318" s="8">
        <v>85159.2</v>
      </c>
      <c r="L318" s="8">
        <v>10872.455965905743</v>
      </c>
      <c r="M318" s="8">
        <v>11891.748712709406</v>
      </c>
      <c r="N318" s="6" cm="1">
        <f t="array" ref="N318">_xlfn.XLOOKUP(Table8[[#This Row],[Admin2PCODE]:[Admin2PCODE]],tblPiNAnalysis[[Admin2PCODE]:[Admin2PCODE]],tblPiNAnalysis[% SAMV],0,0)</f>
        <v>0.2</v>
      </c>
      <c r="O318" s="6" cm="1">
        <f t="array" ref="O318">_xlfn.XLOOKUP(Table8[[#This Row],[Admin2PCODE]:[Admin2PCODE]],tblPiNAnalysis[[Admin2PCODE]:[Admin2PCODE]],tblPiNAnalysis[% NUT],0,0)</f>
        <v>0.1</v>
      </c>
      <c r="P318" s="6" cm="1">
        <f t="array" ref="P318">_xlfn.XLOOKUP(Table8[[#This Row],[Admin2PCODE]:[Admin2PCODE]],tblPiNAnalysis[[Admin2PCODE]:[Admin2PCODE]],tblPiNAnalysis[% SAL],0,0)</f>
        <v>0.35000000000000003</v>
      </c>
      <c r="Q318" s="6" cm="1">
        <f t="array" ref="Q318">_xlfn.XLOOKUP(Table8[[#This Row],[Admin2PCODE]:[Admin2PCODE]],tblPiNAnalysis[[Admin2PCODE]:[Admin2PCODE]],tblPiNAnalysis[% EDU],0,0)</f>
        <v>0.1</v>
      </c>
      <c r="R318" s="6" cm="1">
        <f t="array" ref="R318">_xlfn.XLOOKUP(Table8[[#This Row],[Admin2PCODE]:[Admin2PCODE]],tblPiNAnalysis[[Admin2PCODE]:[Admin2PCODE]],tblPiNAnalysis[% PRO],0,0)</f>
        <v>0.25</v>
      </c>
      <c r="S318" s="6" cm="1">
        <f t="array" ref="S318">_xlfn.XLOOKUP(Table8[[#This Row],[Admin2PCODE]:[Admin2PCODE]],tblPiNAnalysis[[Admin2PCODE]:[Admin2PCODE]],tblPiNAnalysis[% WASH],0,0)</f>
        <v>0.60000000000000009</v>
      </c>
      <c r="T318" s="6" cm="1">
        <f t="array" ref="T318">_xlfn.XLOOKUP(Table8[[#This Row],[Admin2PCODE]:[Admin2PCODE]],tblPiNAnalysis[[Admin2PCODE]:[Admin2PCODE]],tblPiNAnalysis[% NNA],0,0)</f>
        <v>0.1</v>
      </c>
      <c r="U318" s="6" cm="1">
        <f t="array" ref="U318">_xlfn.XLOOKUP(Table8[[#This Row],[Admin2PCODE]:[Admin2PCODE]],tblPiNAnalysis[[Admin2PCODE]:[Admin2PCODE]],tblPiNAnalysis[% VBG],0,0)</f>
        <v>0.1</v>
      </c>
      <c r="V318" s="8" cm="1">
        <f t="array" ref="V318">_xlfn.XLOOKUP(Table8[[#This Row],[Admin2PCODE]:[Admin2PCODE]],tblPiNAnalysis[[Admin2PCODE]:[Admin2PCODE]],tblPiNAnalysis[PiN preliminar],0,0)</f>
        <v>85159.2</v>
      </c>
      <c r="W318" s="308" cm="1">
        <f t="array" ref="W318">_xlfn.XLOOKUP(Table8[[#This Row],[Admin2PCODE]],tblPiNAnalysis[Admin2PCODE],tblSeverityAnalysis[Severidad media],0,0)</f>
        <v>3.1666666666666665</v>
      </c>
      <c r="X318" s="42">
        <f>Table8[[#This Row],[Severidad media]]*6</f>
        <v>19</v>
      </c>
      <c r="Y318" s="6" cm="1">
        <f t="array" ref="Y318">_xlfn.XLOOKUP(Table8[[#This Row],[Admin2PCODE]],tblPiNAnalysis[Admin2PCODE],tblPiNAnalysis[% PiN Sectores más altos],0,0)</f>
        <v>0.6</v>
      </c>
      <c r="Z318" s="42" cm="1">
        <f t="array" ref="Z318">_xlfn.XLOOKUP(Table8[[#This Row],[Admin2PCODE]:[Admin2PCODE]],tblPiNAnalysis[[Admin2PCODE]:[Admin2PCODE]],tblPiNAnalysis[Severidad],0,0)</f>
        <v>3</v>
      </c>
      <c r="AA318">
        <f>_xlfn.XLOOKUP(Table8[[#This Row],[Admin2PCODE]],tblSeverityAnalysis[Admin 2 Código P],tblSeverityAnalysis[Severidad Ttotal 2025],0,0)</f>
        <v>3</v>
      </c>
      <c r="AB318" t="str">
        <f>_xlfn.XLOOKUP(Table8[[#This Row],[Admin2PCODE]],tblSeverityAnalysis[Admin 2 Código P],tblSeverityAnalysis[Priorización Final 2025],0,0)</f>
        <v>Sí</v>
      </c>
      <c r="AC318">
        <v>8</v>
      </c>
      <c r="AD318" t="s">
        <v>1117</v>
      </c>
      <c r="AE318">
        <v>19</v>
      </c>
      <c r="AF318">
        <v>3</v>
      </c>
      <c r="AG318">
        <v>7</v>
      </c>
      <c r="AH318">
        <v>0</v>
      </c>
      <c r="AI318">
        <v>4</v>
      </c>
      <c r="AJ318">
        <v>7</v>
      </c>
      <c r="AK318">
        <v>4</v>
      </c>
      <c r="AL318">
        <v>7</v>
      </c>
      <c r="AM318">
        <v>11</v>
      </c>
      <c r="AN318">
        <v>6</v>
      </c>
      <c r="AO318" s="314">
        <f>Table8[[#This Row],[N° Clústeres con respuesta]]/Table8[[#This Row],[Org Total]]</f>
        <v>0.42105263157894735</v>
      </c>
      <c r="AP318" s="313">
        <v>23317</v>
      </c>
      <c r="AQ318" s="313">
        <v>21788</v>
      </c>
      <c r="AR318" s="312">
        <f>Table8[[#This Row],[Alcanzados Oct 2025]]/Table8[[#This Row],[Meta 2025]]</f>
        <v>0.93442552643993648</v>
      </c>
      <c r="AS318" s="423">
        <v>11</v>
      </c>
      <c r="AT318" s="423">
        <v>118</v>
      </c>
      <c r="AU318" s="423">
        <v>0</v>
      </c>
      <c r="AV318" s="423">
        <v>17168</v>
      </c>
      <c r="AW318" s="423">
        <v>8314</v>
      </c>
      <c r="AX318" s="423">
        <v>415</v>
      </c>
      <c r="AY318" s="423">
        <v>6067</v>
      </c>
      <c r="AZ318" s="423">
        <v>10658</v>
      </c>
      <c r="BA318" s="42">
        <v>11887</v>
      </c>
    </row>
    <row r="319" spans="1:53">
      <c r="A319" t="s">
        <v>203</v>
      </c>
      <c r="B319" t="s">
        <v>564</v>
      </c>
      <c r="C319" t="s">
        <v>203</v>
      </c>
      <c r="D319" t="s">
        <v>586</v>
      </c>
      <c r="E319" s="8">
        <v>367023</v>
      </c>
      <c r="F319" s="8">
        <v>65550</v>
      </c>
      <c r="G319" s="8">
        <v>18143.747461477506</v>
      </c>
      <c r="H319" s="8">
        <v>133963.39499999999</v>
      </c>
      <c r="I319" s="8">
        <v>30150.587126316201</v>
      </c>
      <c r="J319" s="8">
        <v>87859.886379891061</v>
      </c>
      <c r="K319" s="8">
        <v>49548.105000000003</v>
      </c>
      <c r="L319" s="8">
        <v>28203.023527945032</v>
      </c>
      <c r="M319" s="8">
        <v>30750.960232961868</v>
      </c>
      <c r="N319" s="6" cm="1">
        <f t="array" ref="N319">_xlfn.XLOOKUP(Table8[[#This Row],[Admin2PCODE]:[Admin2PCODE]],tblPiNAnalysis[[Admin2PCODE]:[Admin2PCODE]],tblPiNAnalysis[% SAMV],0,0)</f>
        <v>0.2</v>
      </c>
      <c r="O319" s="6" cm="1">
        <f t="array" ref="O319">_xlfn.XLOOKUP(Table8[[#This Row],[Admin2PCODE]:[Admin2PCODE]],tblPiNAnalysis[[Admin2PCODE]:[Admin2PCODE]],tblPiNAnalysis[% NUT],0,0)</f>
        <v>0.05</v>
      </c>
      <c r="P319" s="6" cm="1">
        <f t="array" ref="P319">_xlfn.XLOOKUP(Table8[[#This Row],[Admin2PCODE]:[Admin2PCODE]],tblPiNAnalysis[[Admin2PCODE]:[Admin2PCODE]],tblPiNAnalysis[% SAL],0,0)</f>
        <v>0.35000000000000003</v>
      </c>
      <c r="Q319" s="6" cm="1">
        <f t="array" ref="Q319">_xlfn.XLOOKUP(Table8[[#This Row],[Admin2PCODE]:[Admin2PCODE]],tblPiNAnalysis[[Admin2PCODE]:[Admin2PCODE]],tblPiNAnalysis[% EDU],0,0)</f>
        <v>0.1</v>
      </c>
      <c r="R319" s="6" cm="1">
        <f t="array" ref="R319">_xlfn.XLOOKUP(Table8[[#This Row],[Admin2PCODE]:[Admin2PCODE]],tblPiNAnalysis[[Admin2PCODE]:[Admin2PCODE]],tblPiNAnalysis[% PRO],0,0)</f>
        <v>0.25</v>
      </c>
      <c r="S319" s="6" cm="1">
        <f t="array" ref="S319">_xlfn.XLOOKUP(Table8[[#This Row],[Admin2PCODE]:[Admin2PCODE]],tblPiNAnalysis[[Admin2PCODE]:[Admin2PCODE]],tblPiNAnalysis[% WASH],0,0)</f>
        <v>0.15000000000000002</v>
      </c>
      <c r="T319" s="6" cm="1">
        <f t="array" ref="T319">_xlfn.XLOOKUP(Table8[[#This Row],[Admin2PCODE]:[Admin2PCODE]],tblPiNAnalysis[[Admin2PCODE]:[Admin2PCODE]],tblPiNAnalysis[% NNA],0,0)</f>
        <v>0.1</v>
      </c>
      <c r="U319" s="6" cm="1">
        <f t="array" ref="U319">_xlfn.XLOOKUP(Table8[[#This Row],[Admin2PCODE]:[Admin2PCODE]],tblPiNAnalysis[[Admin2PCODE]:[Admin2PCODE]],tblPiNAnalysis[% VBG],0,0)</f>
        <v>0.1</v>
      </c>
      <c r="V319" s="8" cm="1">
        <f t="array" ref="V319">_xlfn.XLOOKUP(Table8[[#This Row],[Admin2PCODE]:[Admin2PCODE]],tblPiNAnalysis[[Admin2PCODE]:[Admin2PCODE]],tblPiNAnalysis[PiN preliminar],0,0)</f>
        <v>133963.39499999999</v>
      </c>
      <c r="W319" s="308" cm="1">
        <f t="array" ref="W319">_xlfn.XLOOKUP(Table8[[#This Row],[Admin2PCODE]],tblPiNAnalysis[Admin2PCODE],tblSeverityAnalysis[Severidad media],0,0)</f>
        <v>2.6666666666666665</v>
      </c>
      <c r="X319" s="42">
        <f>Table8[[#This Row],[Severidad media]]*6</f>
        <v>16</v>
      </c>
      <c r="Y319" s="6" cm="1">
        <f t="array" ref="Y319">_xlfn.XLOOKUP(Table8[[#This Row],[Admin2PCODE]],tblPiNAnalysis[Admin2PCODE],tblPiNAnalysis[% PiN Sectores más altos],0,0)</f>
        <v>0.36499999999999999</v>
      </c>
      <c r="Z319" s="42" cm="1">
        <f t="array" ref="Z319">_xlfn.XLOOKUP(Table8[[#This Row],[Admin2PCODE]:[Admin2PCODE]],tblPiNAnalysis[[Admin2PCODE]:[Admin2PCODE]],tblPiNAnalysis[Severidad],0,0)</f>
        <v>3</v>
      </c>
      <c r="AA319">
        <f>_xlfn.XLOOKUP(Table8[[#This Row],[Admin2PCODE]],tblSeverityAnalysis[Admin 2 Código P],tblSeverityAnalysis[Severidad Ttotal 2025],0,0)</f>
        <v>3</v>
      </c>
      <c r="AB319" t="str">
        <f>_xlfn.XLOOKUP(Table8[[#This Row],[Admin2PCODE]],tblSeverityAnalysis[Admin 2 Código P],tblSeverityAnalysis[Priorización Final 2025],0,0)</f>
        <v>Sí</v>
      </c>
      <c r="AC319">
        <v>9</v>
      </c>
      <c r="AD319" t="s">
        <v>1118</v>
      </c>
      <c r="AE319">
        <v>34</v>
      </c>
      <c r="AF319">
        <v>2</v>
      </c>
      <c r="AG319">
        <v>11</v>
      </c>
      <c r="AH319">
        <v>3</v>
      </c>
      <c r="AI319">
        <v>9</v>
      </c>
      <c r="AJ319">
        <v>13</v>
      </c>
      <c r="AK319">
        <v>2</v>
      </c>
      <c r="AL319">
        <v>15</v>
      </c>
      <c r="AM319">
        <v>10</v>
      </c>
      <c r="AN319">
        <v>10</v>
      </c>
      <c r="AO319" s="314">
        <f>Table8[[#This Row],[N° Clústeres con respuesta]]/Table8[[#This Row],[Org Total]]</f>
        <v>0.26470588235294118</v>
      </c>
      <c r="AP319" s="313">
        <v>60297</v>
      </c>
      <c r="AQ319" s="313">
        <v>29148</v>
      </c>
      <c r="AR319" s="312">
        <f>Table8[[#This Row],[Alcanzados Oct 2025]]/Table8[[#This Row],[Meta 2025]]</f>
        <v>0.48340713468331759</v>
      </c>
      <c r="AS319" s="423">
        <v>2695</v>
      </c>
      <c r="AT319" s="423">
        <v>3935</v>
      </c>
      <c r="AU319" s="423">
        <v>1702</v>
      </c>
      <c r="AV319" s="423">
        <v>9726</v>
      </c>
      <c r="AW319" s="423">
        <v>3199</v>
      </c>
      <c r="AX319" s="423">
        <v>218</v>
      </c>
      <c r="AY319" s="423">
        <v>5063</v>
      </c>
      <c r="AZ319" s="423">
        <v>20806</v>
      </c>
      <c r="BA319" s="42">
        <v>28814</v>
      </c>
    </row>
    <row r="320" spans="1:53">
      <c r="A320" t="s">
        <v>203</v>
      </c>
      <c r="B320" t="s">
        <v>564</v>
      </c>
      <c r="C320" t="s">
        <v>587</v>
      </c>
      <c r="D320" t="s">
        <v>588</v>
      </c>
      <c r="E320" s="8">
        <v>39377</v>
      </c>
      <c r="F320" s="8">
        <v>11398</v>
      </c>
      <c r="G320" s="8">
        <v>2531.4080645362196</v>
      </c>
      <c r="H320" s="8">
        <v>14372.605</v>
      </c>
      <c r="I320" s="8">
        <v>2065.9507327970409</v>
      </c>
      <c r="J320" s="8">
        <v>7855.226933963655</v>
      </c>
      <c r="K320" s="8">
        <v>23626.2</v>
      </c>
      <c r="L320" s="8">
        <v>2513.6726188683697</v>
      </c>
      <c r="M320" s="8">
        <v>2749.3294268872792</v>
      </c>
      <c r="N320" s="6" cm="1">
        <f t="array" ref="N320">_xlfn.XLOOKUP(Table8[[#This Row],[Admin2PCODE]:[Admin2PCODE]],tblPiNAnalysis[[Admin2PCODE]:[Admin2PCODE]],tblPiNAnalysis[% SAMV],0,0)</f>
        <v>0.30000000000000004</v>
      </c>
      <c r="O320" s="6" cm="1">
        <f t="array" ref="O320">_xlfn.XLOOKUP(Table8[[#This Row],[Admin2PCODE]:[Admin2PCODE]],tblPiNAnalysis[[Admin2PCODE]:[Admin2PCODE]],tblPiNAnalysis[% NUT],0,0)</f>
        <v>0.05</v>
      </c>
      <c r="P320" s="6" cm="1">
        <f t="array" ref="P320">_xlfn.XLOOKUP(Table8[[#This Row],[Admin2PCODE]:[Admin2PCODE]],tblPiNAnalysis[[Admin2PCODE]:[Admin2PCODE]],tblPiNAnalysis[% SAL],0,0)</f>
        <v>0.35000000000000003</v>
      </c>
      <c r="Q320" s="6" cm="1">
        <f t="array" ref="Q320">_xlfn.XLOOKUP(Table8[[#This Row],[Admin2PCODE]:[Admin2PCODE]],tblPiNAnalysis[[Admin2PCODE]:[Admin2PCODE]],tblPiNAnalysis[% EDU],0,0)</f>
        <v>0.05</v>
      </c>
      <c r="R320" s="6" cm="1">
        <f t="array" ref="R320">_xlfn.XLOOKUP(Table8[[#This Row],[Admin2PCODE]:[Admin2PCODE]],tblPiNAnalysis[[Admin2PCODE]:[Admin2PCODE]],tblPiNAnalysis[% PRO],0,0)</f>
        <v>0.2</v>
      </c>
      <c r="S320" s="6" cm="1">
        <f t="array" ref="S320">_xlfn.XLOOKUP(Table8[[#This Row],[Admin2PCODE]:[Admin2PCODE]],tblPiNAnalysis[[Admin2PCODE]:[Admin2PCODE]],tblPiNAnalysis[% WASH],0,0)</f>
        <v>0.60000000000000009</v>
      </c>
      <c r="T320" s="6" cm="1">
        <f t="array" ref="T320">_xlfn.XLOOKUP(Table8[[#This Row],[Admin2PCODE]:[Admin2PCODE]],tblPiNAnalysis[[Admin2PCODE]:[Admin2PCODE]],tblPiNAnalysis[% NNA],0,0)</f>
        <v>0.05</v>
      </c>
      <c r="U320" s="6" cm="1">
        <f t="array" ref="U320">_xlfn.XLOOKUP(Table8[[#This Row],[Admin2PCODE]:[Admin2PCODE]],tblPiNAnalysis[[Admin2PCODE]:[Admin2PCODE]],tblPiNAnalysis[% VBG],0,0)</f>
        <v>0.05</v>
      </c>
      <c r="V320" s="8" cm="1">
        <f t="array" ref="V320">_xlfn.XLOOKUP(Table8[[#This Row],[Admin2PCODE]:[Admin2PCODE]],tblPiNAnalysis[[Admin2PCODE]:[Admin2PCODE]],tblPiNAnalysis[PiN preliminar],0,0)</f>
        <v>23626.2</v>
      </c>
      <c r="W320" s="308" cm="1">
        <f t="array" ref="W320">_xlfn.XLOOKUP(Table8[[#This Row],[Admin2PCODE]],tblPiNAnalysis[Admin2PCODE],tblSeverityAnalysis[Severidad media],0,0)</f>
        <v>2.6666666666666665</v>
      </c>
      <c r="X320" s="42">
        <f>Table8[[#This Row],[Severidad media]]*6</f>
        <v>16</v>
      </c>
      <c r="Y320" s="6" cm="1">
        <f t="array" ref="Y320">_xlfn.XLOOKUP(Table8[[#This Row],[Admin2PCODE]],tblPiNAnalysis[Admin2PCODE],tblPiNAnalysis[% PiN Sectores más altos],0,0)</f>
        <v>0.6</v>
      </c>
      <c r="Z320" s="42" cm="1">
        <f t="array" ref="Z320">_xlfn.XLOOKUP(Table8[[#This Row],[Admin2PCODE]:[Admin2PCODE]],tblPiNAnalysis[[Admin2PCODE]:[Admin2PCODE]],tblPiNAnalysis[Severidad],0,0)</f>
        <v>4</v>
      </c>
      <c r="AA320">
        <f>_xlfn.XLOOKUP(Table8[[#This Row],[Admin2PCODE]],tblSeverityAnalysis[Admin 2 Código P],tblSeverityAnalysis[Severidad Ttotal 2025],0,0)</f>
        <v>3</v>
      </c>
      <c r="AB320" t="str">
        <f>_xlfn.XLOOKUP(Table8[[#This Row],[Admin2PCODE]],tblSeverityAnalysis[Admin 2 Código P],tblSeverityAnalysis[Priorización Final 2025],0,0)</f>
        <v>Sí</v>
      </c>
      <c r="AC320">
        <v>9</v>
      </c>
      <c r="AD320" t="s">
        <v>1119</v>
      </c>
      <c r="AE320">
        <v>18</v>
      </c>
      <c r="AF320">
        <v>1</v>
      </c>
      <c r="AG320">
        <v>5</v>
      </c>
      <c r="AH320">
        <v>2</v>
      </c>
      <c r="AI320">
        <v>3</v>
      </c>
      <c r="AJ320">
        <v>8</v>
      </c>
      <c r="AK320">
        <v>4</v>
      </c>
      <c r="AL320">
        <v>5</v>
      </c>
      <c r="AM320">
        <v>5</v>
      </c>
      <c r="AN320">
        <v>8</v>
      </c>
      <c r="AO320" s="314">
        <f>Table8[[#This Row],[N° Clústeres con respuesta]]/Table8[[#This Row],[Org Total]]</f>
        <v>0.5</v>
      </c>
      <c r="AP320" s="313">
        <v>9194</v>
      </c>
      <c r="AQ320" s="313">
        <v>12535</v>
      </c>
      <c r="AR320" s="312">
        <f>Table8[[#This Row],[Alcanzados Oct 2025]]/Table8[[#This Row],[Meta 2025]]</f>
        <v>1.3633891668479443</v>
      </c>
      <c r="AS320" s="423">
        <v>1498</v>
      </c>
      <c r="AT320" s="423">
        <v>1112</v>
      </c>
      <c r="AU320" s="423">
        <v>565</v>
      </c>
      <c r="AV320" s="423">
        <v>4185</v>
      </c>
      <c r="AW320" s="423">
        <v>8120</v>
      </c>
      <c r="AX320" s="423">
        <v>1565</v>
      </c>
      <c r="AY320" s="423">
        <v>32</v>
      </c>
      <c r="AZ320" s="423">
        <v>1956</v>
      </c>
      <c r="BA320" s="42">
        <v>11349</v>
      </c>
    </row>
    <row r="321" spans="1:53">
      <c r="A321" t="s">
        <v>705</v>
      </c>
      <c r="B321" t="s">
        <v>706</v>
      </c>
      <c r="C321" t="s">
        <v>276</v>
      </c>
      <c r="D321" t="s">
        <v>733</v>
      </c>
      <c r="E321" s="8">
        <v>99665</v>
      </c>
      <c r="F321" s="8">
        <v>16834</v>
      </c>
      <c r="G321" s="8">
        <v>4756.3259010896445</v>
      </c>
      <c r="H321" s="8">
        <v>36377.724999999999</v>
      </c>
      <c r="I321" s="8">
        <v>14982.530651763009</v>
      </c>
      <c r="J321" s="8">
        <v>23754.414948008503</v>
      </c>
      <c r="K321" s="8">
        <v>13454.775</v>
      </c>
      <c r="L321" s="8">
        <v>7601.4127833627208</v>
      </c>
      <c r="M321" s="8">
        <v>8314.0452318029766</v>
      </c>
      <c r="N321" s="6" cm="1">
        <f t="array" ref="N321">_xlfn.XLOOKUP(Table8[[#This Row],[Admin2PCODE]:[Admin2PCODE]],tblPiNAnalysis[[Admin2PCODE]:[Admin2PCODE]],tblPiNAnalysis[% SAMV],0,0)</f>
        <v>0.15000000000000002</v>
      </c>
      <c r="O321" s="6" cm="1">
        <f t="array" ref="O321">_xlfn.XLOOKUP(Table8[[#This Row],[Admin2PCODE]:[Admin2PCODE]],tblPiNAnalysis[[Admin2PCODE]:[Admin2PCODE]],tblPiNAnalysis[% NUT],0,0)</f>
        <v>0.05</v>
      </c>
      <c r="P321" s="6" cm="1">
        <f t="array" ref="P321">_xlfn.XLOOKUP(Table8[[#This Row],[Admin2PCODE]:[Admin2PCODE]],tblPiNAnalysis[[Admin2PCODE]:[Admin2PCODE]],tblPiNAnalysis[% SAL],0,0)</f>
        <v>0.35000000000000003</v>
      </c>
      <c r="Q321" s="6" cm="1">
        <f t="array" ref="Q321">_xlfn.XLOOKUP(Table8[[#This Row],[Admin2PCODE]:[Admin2PCODE]],tblPiNAnalysis[[Admin2PCODE]:[Admin2PCODE]],tblPiNAnalysis[% EDU],0,0)</f>
        <v>0.15000000000000002</v>
      </c>
      <c r="R321" s="6" cm="1">
        <f t="array" ref="R321">_xlfn.XLOOKUP(Table8[[#This Row],[Admin2PCODE]:[Admin2PCODE]],tblPiNAnalysis[[Admin2PCODE]:[Admin2PCODE]],tblPiNAnalysis[% PRO],0,0)</f>
        <v>0.25</v>
      </c>
      <c r="S321" s="6" cm="1">
        <f t="array" ref="S321">_xlfn.XLOOKUP(Table8[[#This Row],[Admin2PCODE]:[Admin2PCODE]],tblPiNAnalysis[[Admin2PCODE]:[Admin2PCODE]],tblPiNAnalysis[% WASH],0,0)</f>
        <v>0.15000000000000002</v>
      </c>
      <c r="T321" s="6" cm="1">
        <f t="array" ref="T321">_xlfn.XLOOKUP(Table8[[#This Row],[Admin2PCODE]:[Admin2PCODE]],tblPiNAnalysis[[Admin2PCODE]:[Admin2PCODE]],tblPiNAnalysis[% NNA],0,0)</f>
        <v>0.1</v>
      </c>
      <c r="U321" s="6" cm="1">
        <f t="array" ref="U321">_xlfn.XLOOKUP(Table8[[#This Row],[Admin2PCODE]:[Admin2PCODE]],tblPiNAnalysis[[Admin2PCODE]:[Admin2PCODE]],tblPiNAnalysis[% VBG],0,0)</f>
        <v>0.1</v>
      </c>
      <c r="V321" s="8" cm="1">
        <f t="array" ref="V321">_xlfn.XLOOKUP(Table8[[#This Row],[Admin2PCODE]:[Admin2PCODE]],tblPiNAnalysis[[Admin2PCODE]:[Admin2PCODE]],tblPiNAnalysis[PiN preliminar],0,0)</f>
        <v>36377.724999999999</v>
      </c>
      <c r="W321" s="308" cm="1">
        <f t="array" ref="W321">_xlfn.XLOOKUP(Table8[[#This Row],[Admin2PCODE]],tblPiNAnalysis[Admin2PCODE],tblSeverityAnalysis[Severidad media],0,0)</f>
        <v>2.3333333333333335</v>
      </c>
      <c r="X321" s="42">
        <f>Table8[[#This Row],[Severidad media]]*6</f>
        <v>14</v>
      </c>
      <c r="Y321" s="6" cm="1">
        <f t="array" ref="Y321">_xlfn.XLOOKUP(Table8[[#This Row],[Admin2PCODE]],tblPiNAnalysis[Admin2PCODE],tblPiNAnalysis[% PiN Sectores más altos],0,0)</f>
        <v>0.36499999999999999</v>
      </c>
      <c r="Z321" s="42" cm="1">
        <f t="array" ref="Z321">_xlfn.XLOOKUP(Table8[[#This Row],[Admin2PCODE]:[Admin2PCODE]],tblPiNAnalysis[[Admin2PCODE]:[Admin2PCODE]],tblPiNAnalysis[Severidad],0,0)</f>
        <v>3</v>
      </c>
      <c r="AA321">
        <f>_xlfn.XLOOKUP(Table8[[#This Row],[Admin2PCODE]],tblSeverityAnalysis[Admin 2 Código P],tblSeverityAnalysis[Severidad Ttotal 2025],0,0)</f>
        <v>3</v>
      </c>
      <c r="AB321" t="str">
        <f>_xlfn.XLOOKUP(Table8[[#This Row],[Admin2PCODE]],tblSeverityAnalysis[Admin 2 Código P],tblSeverityAnalysis[Priorización Final 2025],0,0)</f>
        <v>No</v>
      </c>
      <c r="AC321">
        <v>1</v>
      </c>
      <c r="AD321" t="s">
        <v>92</v>
      </c>
      <c r="AE321">
        <v>2</v>
      </c>
      <c r="AF321">
        <v>0</v>
      </c>
      <c r="AG321">
        <v>0</v>
      </c>
      <c r="AH321">
        <v>0</v>
      </c>
      <c r="AI321">
        <v>0</v>
      </c>
      <c r="AJ321">
        <v>0</v>
      </c>
      <c r="AK321">
        <v>0</v>
      </c>
      <c r="AL321">
        <v>0</v>
      </c>
      <c r="AM321">
        <v>0</v>
      </c>
      <c r="AN321">
        <v>2</v>
      </c>
      <c r="AO321" s="314">
        <f>Table8[[#This Row],[N° Clústeres con respuesta]]/Table8[[#This Row],[Org Total]]</f>
        <v>0.5</v>
      </c>
      <c r="AP321" s="313">
        <v>23268</v>
      </c>
      <c r="AQ321" s="313">
        <v>14938</v>
      </c>
      <c r="AR321" s="312">
        <f>Table8[[#This Row],[Alcanzados Oct 2025]]/Table8[[#This Row],[Meta 2025]]</f>
        <v>0.64199759326113115</v>
      </c>
      <c r="AS321" s="423">
        <v>0</v>
      </c>
      <c r="AT321" s="423">
        <v>0</v>
      </c>
      <c r="AU321" s="423">
        <v>0</v>
      </c>
      <c r="AV321" s="423">
        <v>0</v>
      </c>
      <c r="AW321" s="423">
        <v>14</v>
      </c>
      <c r="AX321" s="423">
        <v>0</v>
      </c>
      <c r="AY321" s="423">
        <v>0</v>
      </c>
      <c r="AZ321" s="423">
        <v>0</v>
      </c>
      <c r="BA321" s="42">
        <v>14938</v>
      </c>
    </row>
    <row r="322" spans="1:53">
      <c r="A322" t="s">
        <v>589</v>
      </c>
      <c r="B322" t="s">
        <v>590</v>
      </c>
      <c r="C322" t="s">
        <v>180</v>
      </c>
      <c r="D322" t="s">
        <v>597</v>
      </c>
      <c r="E322" s="8">
        <v>63020</v>
      </c>
      <c r="F322" s="8">
        <v>21357</v>
      </c>
      <c r="G322" s="8">
        <v>6500.6362125534288</v>
      </c>
      <c r="H322" s="8">
        <v>23002.3</v>
      </c>
      <c r="I322" s="8">
        <v>8705.1525610777862</v>
      </c>
      <c r="J322" s="8">
        <v>15138.048620687057</v>
      </c>
      <c r="K322" s="8">
        <v>37812</v>
      </c>
      <c r="L322" s="8">
        <v>4844.1755586198578</v>
      </c>
      <c r="M322" s="8">
        <v>5298.3170172404698</v>
      </c>
      <c r="N322" s="6" cm="1">
        <f t="array" ref="N322">_xlfn.XLOOKUP(Table8[[#This Row],[Admin2PCODE]:[Admin2PCODE]],tblPiNAnalysis[[Admin2PCODE]:[Admin2PCODE]],tblPiNAnalysis[% SAMV],0,0)</f>
        <v>0.35000000000000003</v>
      </c>
      <c r="O322" s="6" cm="1">
        <f t="array" ref="O322">_xlfn.XLOOKUP(Table8[[#This Row],[Admin2PCODE]:[Admin2PCODE]],tblPiNAnalysis[[Admin2PCODE]:[Admin2PCODE]],tblPiNAnalysis[% NUT],0,0)</f>
        <v>0.1</v>
      </c>
      <c r="P322" s="6" cm="1">
        <f t="array" ref="P322">_xlfn.XLOOKUP(Table8[[#This Row],[Admin2PCODE]:[Admin2PCODE]],tblPiNAnalysis[[Admin2PCODE]:[Admin2PCODE]],tblPiNAnalysis[% SAL],0,0)</f>
        <v>0.35000000000000003</v>
      </c>
      <c r="Q322" s="6" cm="1">
        <f t="array" ref="Q322">_xlfn.XLOOKUP(Table8[[#This Row],[Admin2PCODE]:[Admin2PCODE]],tblPiNAnalysis[[Admin2PCODE]:[Admin2PCODE]],tblPiNAnalysis[% EDU],0,0)</f>
        <v>0.15000000000000002</v>
      </c>
      <c r="R322" s="6" cm="1">
        <f t="array" ref="R322">_xlfn.XLOOKUP(Table8[[#This Row],[Admin2PCODE]:[Admin2PCODE]],tblPiNAnalysis[[Admin2PCODE]:[Admin2PCODE]],tblPiNAnalysis[% PRO],0,0)</f>
        <v>0.25</v>
      </c>
      <c r="S322" s="6" cm="1">
        <f t="array" ref="S322">_xlfn.XLOOKUP(Table8[[#This Row],[Admin2PCODE]:[Admin2PCODE]],tblPiNAnalysis[[Admin2PCODE]:[Admin2PCODE]],tblPiNAnalysis[% WASH],0,0)</f>
        <v>0.60000000000000009</v>
      </c>
      <c r="T322" s="6" cm="1">
        <f t="array" ref="T322">_xlfn.XLOOKUP(Table8[[#This Row],[Admin2PCODE]:[Admin2PCODE]],tblPiNAnalysis[[Admin2PCODE]:[Admin2PCODE]],tblPiNAnalysis[% NNA],0,0)</f>
        <v>0.1</v>
      </c>
      <c r="U322" s="6" cm="1">
        <f t="array" ref="U322">_xlfn.XLOOKUP(Table8[[#This Row],[Admin2PCODE]:[Admin2PCODE]],tblPiNAnalysis[[Admin2PCODE]:[Admin2PCODE]],tblPiNAnalysis[% VBG],0,0)</f>
        <v>0.1</v>
      </c>
      <c r="V322" s="8" cm="1">
        <f t="array" ref="V322">_xlfn.XLOOKUP(Table8[[#This Row],[Admin2PCODE]:[Admin2PCODE]],tblPiNAnalysis[[Admin2PCODE]:[Admin2PCODE]],tblPiNAnalysis[PiN preliminar],0,0)</f>
        <v>37812</v>
      </c>
      <c r="W322" s="308" cm="1">
        <f t="array" ref="W322">_xlfn.XLOOKUP(Table8[[#This Row],[Admin2PCODE]],tblPiNAnalysis[Admin2PCODE],tblSeverityAnalysis[Severidad media],0,0)</f>
        <v>2.6666666666666665</v>
      </c>
      <c r="X322" s="42">
        <f>Table8[[#This Row],[Severidad media]]*6</f>
        <v>16</v>
      </c>
      <c r="Y322" s="6" cm="1">
        <f t="array" ref="Y322">_xlfn.XLOOKUP(Table8[[#This Row],[Admin2PCODE]],tblPiNAnalysis[Admin2PCODE],tblPiNAnalysis[% PiN Sectores más altos],0,0)</f>
        <v>0.6</v>
      </c>
      <c r="Z322" s="42" cm="1">
        <f t="array" ref="Z322">_xlfn.XLOOKUP(Table8[[#This Row],[Admin2PCODE]:[Admin2PCODE]],tblPiNAnalysis[[Admin2PCODE]:[Admin2PCODE]],tblPiNAnalysis[Severidad],0,0)</f>
        <v>4</v>
      </c>
      <c r="AA322">
        <f>_xlfn.XLOOKUP(Table8[[#This Row],[Admin2PCODE]],tblSeverityAnalysis[Admin 2 Código P],tblSeverityAnalysis[Severidad Ttotal 2025],0,0)</f>
        <v>3</v>
      </c>
      <c r="AB322" t="str">
        <f>_xlfn.XLOOKUP(Table8[[#This Row],[Admin2PCODE]],tblSeverityAnalysis[Admin 2 Código P],tblSeverityAnalysis[Priorización Final 2025],0,0)</f>
        <v>Sí</v>
      </c>
      <c r="AC322">
        <v>8</v>
      </c>
      <c r="AD322" t="s">
        <v>1120</v>
      </c>
      <c r="AE322">
        <v>16</v>
      </c>
      <c r="AF322">
        <v>4</v>
      </c>
      <c r="AG322">
        <v>6</v>
      </c>
      <c r="AH322">
        <v>0</v>
      </c>
      <c r="AI322">
        <v>3</v>
      </c>
      <c r="AJ322">
        <v>11</v>
      </c>
      <c r="AK322">
        <v>8</v>
      </c>
      <c r="AL322">
        <v>5</v>
      </c>
      <c r="AM322">
        <v>8</v>
      </c>
      <c r="AN322">
        <v>2</v>
      </c>
      <c r="AO322" s="314">
        <f>Table8[[#This Row],[N° Clústeres con respuesta]]/Table8[[#This Row],[Org Total]]</f>
        <v>0.5</v>
      </c>
      <c r="AP322" s="313">
        <v>10354</v>
      </c>
      <c r="AQ322" s="313">
        <v>8199</v>
      </c>
      <c r="AR322" s="312">
        <f>Table8[[#This Row],[Alcanzados Oct 2025]]/Table8[[#This Row],[Meta 2025]]</f>
        <v>0.79186787714892792</v>
      </c>
      <c r="AS322" s="423">
        <v>2418</v>
      </c>
      <c r="AT322" s="423">
        <v>3585</v>
      </c>
      <c r="AU322" s="423">
        <v>0</v>
      </c>
      <c r="AV322" s="423">
        <v>213</v>
      </c>
      <c r="AW322" s="423">
        <v>3442</v>
      </c>
      <c r="AX322" s="423">
        <v>5784</v>
      </c>
      <c r="AY322" s="423">
        <v>260</v>
      </c>
      <c r="AZ322" s="423">
        <v>3700</v>
      </c>
      <c r="BA322" s="42">
        <v>5574</v>
      </c>
    </row>
    <row r="323" spans="1:53">
      <c r="A323" t="s">
        <v>705</v>
      </c>
      <c r="B323" t="s">
        <v>706</v>
      </c>
      <c r="C323" t="s">
        <v>731</v>
      </c>
      <c r="D323" t="s">
        <v>732</v>
      </c>
      <c r="E323" s="8">
        <v>1492399</v>
      </c>
      <c r="F323" s="8">
        <v>236854</v>
      </c>
      <c r="G323" s="8">
        <v>74440.982456016151</v>
      </c>
      <c r="H323" s="8">
        <v>544725.63500000001</v>
      </c>
      <c r="I323" s="8">
        <v>276989.54409941752</v>
      </c>
      <c r="J323" s="8">
        <v>355702.25368979014</v>
      </c>
      <c r="K323" s="8">
        <v>201473.86500000002</v>
      </c>
      <c r="L323" s="8">
        <v>114180.42343442264</v>
      </c>
      <c r="M323" s="8">
        <v>124495.78879142654</v>
      </c>
      <c r="N323" s="6" cm="1">
        <f t="array" ref="N323">_xlfn.XLOOKUP(Table8[[#This Row],[Admin2PCODE]:[Admin2PCODE]],tblPiNAnalysis[[Admin2PCODE]:[Admin2PCODE]],tblPiNAnalysis[% SAMV],0,0)</f>
        <v>0.15000000000000002</v>
      </c>
      <c r="O323" s="6" cm="1">
        <f t="array" ref="O323">_xlfn.XLOOKUP(Table8[[#This Row],[Admin2PCODE]:[Admin2PCODE]],tblPiNAnalysis[[Admin2PCODE]:[Admin2PCODE]],tblPiNAnalysis[% NUT],0,0)</f>
        <v>0.05</v>
      </c>
      <c r="P323" s="6" cm="1">
        <f t="array" ref="P323">_xlfn.XLOOKUP(Table8[[#This Row],[Admin2PCODE]:[Admin2PCODE]],tblPiNAnalysis[[Admin2PCODE]:[Admin2PCODE]],tblPiNAnalysis[% SAL],0,0)</f>
        <v>0.35000000000000003</v>
      </c>
      <c r="Q323" s="6" cm="1">
        <f t="array" ref="Q323">_xlfn.XLOOKUP(Table8[[#This Row],[Admin2PCODE]:[Admin2PCODE]],tblPiNAnalysis[[Admin2PCODE]:[Admin2PCODE]],tblPiNAnalysis[% EDU],0,0)</f>
        <v>0.2</v>
      </c>
      <c r="R323" s="6" cm="1">
        <f t="array" ref="R323">_xlfn.XLOOKUP(Table8[[#This Row],[Admin2PCODE]:[Admin2PCODE]],tblPiNAnalysis[[Admin2PCODE]:[Admin2PCODE]],tblPiNAnalysis[% PRO],0,0)</f>
        <v>0.25</v>
      </c>
      <c r="S323" s="6" cm="1">
        <f t="array" ref="S323">_xlfn.XLOOKUP(Table8[[#This Row],[Admin2PCODE]:[Admin2PCODE]],tblPiNAnalysis[[Admin2PCODE]:[Admin2PCODE]],tblPiNAnalysis[% WASH],0,0)</f>
        <v>0.15000000000000002</v>
      </c>
      <c r="T323" s="6" cm="1">
        <f t="array" ref="T323">_xlfn.XLOOKUP(Table8[[#This Row],[Admin2PCODE]:[Admin2PCODE]],tblPiNAnalysis[[Admin2PCODE]:[Admin2PCODE]],tblPiNAnalysis[% NNA],0,0)</f>
        <v>0.1</v>
      </c>
      <c r="U323" s="6" cm="1">
        <f t="array" ref="U323">_xlfn.XLOOKUP(Table8[[#This Row],[Admin2PCODE]:[Admin2PCODE]],tblPiNAnalysis[[Admin2PCODE]:[Admin2PCODE]],tblPiNAnalysis[% VBG],0,0)</f>
        <v>0.1</v>
      </c>
      <c r="V323" s="8" cm="1">
        <f t="array" ref="V323">_xlfn.XLOOKUP(Table8[[#This Row],[Admin2PCODE]:[Admin2PCODE]],tblPiNAnalysis[[Admin2PCODE]:[Admin2PCODE]],tblPiNAnalysis[PiN preliminar],0,0)</f>
        <v>544725.63500000001</v>
      </c>
      <c r="W323" s="308" cm="1">
        <f t="array" ref="W323">_xlfn.XLOOKUP(Table8[[#This Row],[Admin2PCODE]],tblPiNAnalysis[Admin2PCODE],tblSeverityAnalysis[Severidad media],0,0)</f>
        <v>3.3333333333333335</v>
      </c>
      <c r="X323" s="42">
        <f>Table8[[#This Row],[Severidad media]]*6</f>
        <v>20</v>
      </c>
      <c r="Y323" s="6" cm="1">
        <f t="array" ref="Y323">_xlfn.XLOOKUP(Table8[[#This Row],[Admin2PCODE]],tblPiNAnalysis[Admin2PCODE],tblPiNAnalysis[% PiN Sectores más altos],0,0)</f>
        <v>0.36499999999999999</v>
      </c>
      <c r="Z323" s="42" cm="1">
        <f t="array" ref="Z323">_xlfn.XLOOKUP(Table8[[#This Row],[Admin2PCODE]:[Admin2PCODE]],tblPiNAnalysis[[Admin2PCODE]:[Admin2PCODE]],tblPiNAnalysis[Severidad],0,0)</f>
        <v>3</v>
      </c>
      <c r="AA323">
        <f>_xlfn.XLOOKUP(Table8[[#This Row],[Admin2PCODE]],tblSeverityAnalysis[Admin 2 Código P],tblSeverityAnalysis[Severidad Ttotal 2025],0,0)</f>
        <v>3</v>
      </c>
      <c r="AB323" t="str">
        <f>_xlfn.XLOOKUP(Table8[[#This Row],[Admin2PCODE]],tblSeverityAnalysis[Admin 2 Código P],tblSeverityAnalysis[Priorización Final 2025],0,0)</f>
        <v>Sí</v>
      </c>
      <c r="AC323">
        <v>9</v>
      </c>
      <c r="AD323" t="s">
        <v>1121</v>
      </c>
      <c r="AE323">
        <v>44</v>
      </c>
      <c r="AF323">
        <v>4</v>
      </c>
      <c r="AG323">
        <v>12</v>
      </c>
      <c r="AH323">
        <v>7</v>
      </c>
      <c r="AI323">
        <v>9</v>
      </c>
      <c r="AJ323">
        <v>26</v>
      </c>
      <c r="AK323">
        <v>13</v>
      </c>
      <c r="AL323">
        <v>14</v>
      </c>
      <c r="AM323">
        <v>13</v>
      </c>
      <c r="AN323">
        <v>12</v>
      </c>
      <c r="AO323" s="314">
        <f>Table8[[#This Row],[N° Clústeres con respuesta]]/Table8[[#This Row],[Org Total]]</f>
        <v>0.20454545454545456</v>
      </c>
      <c r="AP323" s="313">
        <v>245181</v>
      </c>
      <c r="AQ323" s="313">
        <v>71075</v>
      </c>
      <c r="AR323" s="312">
        <f>Table8[[#This Row],[Alcanzados Oct 2025]]/Table8[[#This Row],[Meta 2025]]</f>
        <v>0.28988787875080041</v>
      </c>
      <c r="AS323" s="423">
        <v>171</v>
      </c>
      <c r="AT323" s="423">
        <v>631</v>
      </c>
      <c r="AU323" s="423">
        <v>4646</v>
      </c>
      <c r="AV323" s="423">
        <v>28866</v>
      </c>
      <c r="AW323" s="423">
        <v>14367</v>
      </c>
      <c r="AX323" s="423">
        <v>4205</v>
      </c>
      <c r="AY323" s="423">
        <v>2505</v>
      </c>
      <c r="AZ323" s="423">
        <v>71075</v>
      </c>
      <c r="BA323" s="42">
        <v>4442</v>
      </c>
    </row>
    <row r="324" spans="1:53">
      <c r="A324" t="s">
        <v>705</v>
      </c>
      <c r="B324" t="s">
        <v>706</v>
      </c>
      <c r="C324" t="s">
        <v>350</v>
      </c>
      <c r="D324" t="s">
        <v>738</v>
      </c>
      <c r="E324" s="8">
        <v>456843</v>
      </c>
      <c r="F324" s="8">
        <v>137605</v>
      </c>
      <c r="G324" s="8">
        <v>27277.488562299386</v>
      </c>
      <c r="H324" s="8">
        <v>166747.69500000001</v>
      </c>
      <c r="I324" s="8">
        <v>78557.706051057874</v>
      </c>
      <c r="J324" s="8">
        <v>108885.14712379516</v>
      </c>
      <c r="K324" s="8">
        <v>61673.805</v>
      </c>
      <c r="L324" s="8">
        <v>34843.247079614448</v>
      </c>
      <c r="M324" s="8">
        <v>38109.801493328305</v>
      </c>
      <c r="N324" s="6" cm="1">
        <f t="array" ref="N324">_xlfn.XLOOKUP(Table8[[#This Row],[Admin2PCODE]:[Admin2PCODE]],tblPiNAnalysis[[Admin2PCODE]:[Admin2PCODE]],tblPiNAnalysis[% SAMV],0,0)</f>
        <v>0.30000000000000004</v>
      </c>
      <c r="O324" s="6" cm="1">
        <f t="array" ref="O324">_xlfn.XLOOKUP(Table8[[#This Row],[Admin2PCODE]:[Admin2PCODE]],tblPiNAnalysis[[Admin2PCODE]:[Admin2PCODE]],tblPiNAnalysis[% NUT],0,0)</f>
        <v>0.05</v>
      </c>
      <c r="P324" s="6" cm="1">
        <f t="array" ref="P324">_xlfn.XLOOKUP(Table8[[#This Row],[Admin2PCODE]:[Admin2PCODE]],tblPiNAnalysis[[Admin2PCODE]:[Admin2PCODE]],tblPiNAnalysis[% SAL],0,0)</f>
        <v>0.35000000000000003</v>
      </c>
      <c r="Q324" s="6" cm="1">
        <f t="array" ref="Q324">_xlfn.XLOOKUP(Table8[[#This Row],[Admin2PCODE]:[Admin2PCODE]],tblPiNAnalysis[[Admin2PCODE]:[Admin2PCODE]],tblPiNAnalysis[% EDU],0,0)</f>
        <v>0.15000000000000002</v>
      </c>
      <c r="R324" s="6" cm="1">
        <f t="array" ref="R324">_xlfn.XLOOKUP(Table8[[#This Row],[Admin2PCODE]:[Admin2PCODE]],tblPiNAnalysis[[Admin2PCODE]:[Admin2PCODE]],tblPiNAnalysis[% PRO],0,0)</f>
        <v>0.25</v>
      </c>
      <c r="S324" s="6" cm="1">
        <f t="array" ref="S324">_xlfn.XLOOKUP(Table8[[#This Row],[Admin2PCODE]:[Admin2PCODE]],tblPiNAnalysis[[Admin2PCODE]:[Admin2PCODE]],tblPiNAnalysis[% WASH],0,0)</f>
        <v>0.15000000000000002</v>
      </c>
      <c r="T324" s="6" cm="1">
        <f t="array" ref="T324">_xlfn.XLOOKUP(Table8[[#This Row],[Admin2PCODE]:[Admin2PCODE]],tblPiNAnalysis[[Admin2PCODE]:[Admin2PCODE]],tblPiNAnalysis[% NNA],0,0)</f>
        <v>0.1</v>
      </c>
      <c r="U324" s="6" cm="1">
        <f t="array" ref="U324">_xlfn.XLOOKUP(Table8[[#This Row],[Admin2PCODE]:[Admin2PCODE]],tblPiNAnalysis[[Admin2PCODE]:[Admin2PCODE]],tblPiNAnalysis[% VBG],0,0)</f>
        <v>0.1</v>
      </c>
      <c r="V324" s="8" cm="1">
        <f t="array" ref="V324">_xlfn.XLOOKUP(Table8[[#This Row],[Admin2PCODE]:[Admin2PCODE]],tblPiNAnalysis[[Admin2PCODE]:[Admin2PCODE]],tblPiNAnalysis[PiN preliminar],0,0)</f>
        <v>166747.69500000001</v>
      </c>
      <c r="W324" s="308" cm="1">
        <f t="array" ref="W324">_xlfn.XLOOKUP(Table8[[#This Row],[Admin2PCODE]],tblPiNAnalysis[Admin2PCODE],tblSeverityAnalysis[Severidad media],0,0)</f>
        <v>2.6666666666666665</v>
      </c>
      <c r="X324" s="42">
        <f>Table8[[#This Row],[Severidad media]]*6</f>
        <v>16</v>
      </c>
      <c r="Y324" s="6" cm="1">
        <f t="array" ref="Y324">_xlfn.XLOOKUP(Table8[[#This Row],[Admin2PCODE]],tblPiNAnalysis[Admin2PCODE],tblPiNAnalysis[% PiN Sectores más altos],0,0)</f>
        <v>0.36499999999999999</v>
      </c>
      <c r="Z324" s="42" cm="1">
        <f t="array" ref="Z324">_xlfn.XLOOKUP(Table8[[#This Row],[Admin2PCODE]:[Admin2PCODE]],tblPiNAnalysis[[Admin2PCODE]:[Admin2PCODE]],tblPiNAnalysis[Severidad],0,0)</f>
        <v>3</v>
      </c>
      <c r="AA324">
        <f>_xlfn.XLOOKUP(Table8[[#This Row],[Admin2PCODE]],tblSeverityAnalysis[Admin 2 Código P],tblSeverityAnalysis[Severidad Ttotal 2025],0,0)</f>
        <v>3</v>
      </c>
      <c r="AB324" t="str">
        <f>_xlfn.XLOOKUP(Table8[[#This Row],[Admin2PCODE]],tblSeverityAnalysis[Admin 2 Código P],tblSeverityAnalysis[Priorización Final 2025],0,0)</f>
        <v>No</v>
      </c>
      <c r="AC324">
        <v>8</v>
      </c>
      <c r="AD324" t="s">
        <v>1122</v>
      </c>
      <c r="AE324">
        <v>23</v>
      </c>
      <c r="AF324">
        <v>0</v>
      </c>
      <c r="AG324">
        <v>5</v>
      </c>
      <c r="AH324">
        <v>2</v>
      </c>
      <c r="AI324">
        <v>5</v>
      </c>
      <c r="AJ324">
        <v>9</v>
      </c>
      <c r="AK324">
        <v>8</v>
      </c>
      <c r="AL324">
        <v>4</v>
      </c>
      <c r="AM324">
        <v>7</v>
      </c>
      <c r="AN324">
        <v>4</v>
      </c>
      <c r="AO324" s="314">
        <f>Table8[[#This Row],[N° Clústeres con respuesta]]/Table8[[#This Row],[Org Total]]</f>
        <v>0.34782608695652173</v>
      </c>
      <c r="AP324" s="313">
        <v>75053</v>
      </c>
      <c r="AQ324" s="313">
        <v>25716</v>
      </c>
      <c r="AR324" s="312">
        <f>Table8[[#This Row],[Alcanzados Oct 2025]]/Table8[[#This Row],[Meta 2025]]</f>
        <v>0.34263786923907108</v>
      </c>
      <c r="AS324" s="423">
        <v>0</v>
      </c>
      <c r="AT324" s="423">
        <v>62</v>
      </c>
      <c r="AU324" s="423">
        <v>26</v>
      </c>
      <c r="AV324" s="423">
        <v>9319</v>
      </c>
      <c r="AW324" s="423">
        <v>2797</v>
      </c>
      <c r="AX324" s="423">
        <v>513</v>
      </c>
      <c r="AY324" s="423">
        <v>420</v>
      </c>
      <c r="AZ324" s="423">
        <v>24908</v>
      </c>
      <c r="BA324" s="42">
        <v>4443</v>
      </c>
    </row>
    <row r="325" spans="1:53">
      <c r="A325" t="s">
        <v>705</v>
      </c>
      <c r="B325" t="s">
        <v>706</v>
      </c>
      <c r="C325" t="s">
        <v>739</v>
      </c>
      <c r="D325" t="s">
        <v>740</v>
      </c>
      <c r="E325" s="8">
        <v>61213</v>
      </c>
      <c r="F325" s="8">
        <v>29382</v>
      </c>
      <c r="G325" s="8">
        <v>2910.0553634650723</v>
      </c>
      <c r="H325" s="8">
        <v>22342.744999999999</v>
      </c>
      <c r="I325" s="8">
        <v>10800.898750522818</v>
      </c>
      <c r="J325" s="8">
        <v>14589.665401218521</v>
      </c>
      <c r="K325" s="8">
        <v>36727.799999999996</v>
      </c>
      <c r="L325" s="8">
        <v>4668.6929283899262</v>
      </c>
      <c r="M325" s="8">
        <v>5106.3828904264819</v>
      </c>
      <c r="N325" s="6" cm="1">
        <f t="array" ref="N325">_xlfn.XLOOKUP(Table8[[#This Row],[Admin2PCODE]:[Admin2PCODE]],tblPiNAnalysis[[Admin2PCODE]:[Admin2PCODE]],tblPiNAnalysis[% SAMV],0,0)</f>
        <v>0.5</v>
      </c>
      <c r="O325" s="6" cm="1">
        <f t="array" ref="O325">_xlfn.XLOOKUP(Table8[[#This Row],[Admin2PCODE]:[Admin2PCODE]],tblPiNAnalysis[[Admin2PCODE]:[Admin2PCODE]],tblPiNAnalysis[% NUT],0,0)</f>
        <v>0.05</v>
      </c>
      <c r="P325" s="6" cm="1">
        <f t="array" ref="P325">_xlfn.XLOOKUP(Table8[[#This Row],[Admin2PCODE]:[Admin2PCODE]],tblPiNAnalysis[[Admin2PCODE]:[Admin2PCODE]],tblPiNAnalysis[% SAL],0,0)</f>
        <v>0.35000000000000003</v>
      </c>
      <c r="Q325" s="6" cm="1">
        <f t="array" ref="Q325">_xlfn.XLOOKUP(Table8[[#This Row],[Admin2PCODE]:[Admin2PCODE]],tblPiNAnalysis[[Admin2PCODE]:[Admin2PCODE]],tblPiNAnalysis[% EDU],0,0)</f>
        <v>0.2</v>
      </c>
      <c r="R325" s="6" cm="1">
        <f t="array" ref="R325">_xlfn.XLOOKUP(Table8[[#This Row],[Admin2PCODE]:[Admin2PCODE]],tblPiNAnalysis[[Admin2PCODE]:[Admin2PCODE]],tblPiNAnalysis[% PRO],0,0)</f>
        <v>0.25</v>
      </c>
      <c r="S325" s="6" cm="1">
        <f t="array" ref="S325">_xlfn.XLOOKUP(Table8[[#This Row],[Admin2PCODE]:[Admin2PCODE]],tblPiNAnalysis[[Admin2PCODE]:[Admin2PCODE]],tblPiNAnalysis[% WASH],0,0)</f>
        <v>0.60000000000000009</v>
      </c>
      <c r="T325" s="6" cm="1">
        <f t="array" ref="T325">_xlfn.XLOOKUP(Table8[[#This Row],[Admin2PCODE]:[Admin2PCODE]],tblPiNAnalysis[[Admin2PCODE]:[Admin2PCODE]],tblPiNAnalysis[% NNA],0,0)</f>
        <v>0.1</v>
      </c>
      <c r="U325" s="6" cm="1">
        <f t="array" ref="U325">_xlfn.XLOOKUP(Table8[[#This Row],[Admin2PCODE]:[Admin2PCODE]],tblPiNAnalysis[[Admin2PCODE]:[Admin2PCODE]],tblPiNAnalysis[% VBG],0,0)</f>
        <v>0.1</v>
      </c>
      <c r="V325" s="8" cm="1">
        <f t="array" ref="V325">_xlfn.XLOOKUP(Table8[[#This Row],[Admin2PCODE]:[Admin2PCODE]],tblPiNAnalysis[[Admin2PCODE]:[Admin2PCODE]],tblPiNAnalysis[PiN preliminar],0,0)</f>
        <v>36727.799999999996</v>
      </c>
      <c r="W325" s="308" cm="1">
        <f t="array" ref="W325">_xlfn.XLOOKUP(Table8[[#This Row],[Admin2PCODE]],tblPiNAnalysis[Admin2PCODE],tblSeverityAnalysis[Severidad media],0,0)</f>
        <v>2.6666666666666665</v>
      </c>
      <c r="X325" s="42">
        <f>Table8[[#This Row],[Severidad media]]*6</f>
        <v>16</v>
      </c>
      <c r="Y325" s="6" cm="1">
        <f t="array" ref="Y325">_xlfn.XLOOKUP(Table8[[#This Row],[Admin2PCODE]],tblPiNAnalysis[Admin2PCODE],tblPiNAnalysis[% PiN Sectores más altos],0,0)</f>
        <v>0.6</v>
      </c>
      <c r="Z325" s="42" cm="1">
        <f t="array" ref="Z325">_xlfn.XLOOKUP(Table8[[#This Row],[Admin2PCODE]:[Admin2PCODE]],tblPiNAnalysis[[Admin2PCODE]:[Admin2PCODE]],tblPiNAnalysis[Severidad],0,0)</f>
        <v>3</v>
      </c>
      <c r="AA325">
        <f>_xlfn.XLOOKUP(Table8[[#This Row],[Admin2PCODE]],tblSeverityAnalysis[Admin 2 Código P],tblSeverityAnalysis[Severidad Ttotal 2025],0,0)</f>
        <v>3</v>
      </c>
      <c r="AB325" t="str">
        <f>_xlfn.XLOOKUP(Table8[[#This Row],[Admin2PCODE]],tblSeverityAnalysis[Admin 2 Código P],tblSeverityAnalysis[Priorización Final 2025],0,0)</f>
        <v>No</v>
      </c>
      <c r="AC325">
        <v>2</v>
      </c>
      <c r="AD325" t="s">
        <v>1123</v>
      </c>
      <c r="AE325">
        <v>2</v>
      </c>
      <c r="AF325">
        <v>0</v>
      </c>
      <c r="AG325">
        <v>0</v>
      </c>
      <c r="AH325">
        <v>0</v>
      </c>
      <c r="AI325">
        <v>1</v>
      </c>
      <c r="AJ325">
        <v>0</v>
      </c>
      <c r="AK325">
        <v>0</v>
      </c>
      <c r="AL325">
        <v>0</v>
      </c>
      <c r="AM325">
        <v>1</v>
      </c>
      <c r="AN325">
        <v>0</v>
      </c>
      <c r="AO325" s="314">
        <f>Table8[[#This Row],[N° Clústeres con respuesta]]/Table8[[#This Row],[Org Total]]</f>
        <v>1</v>
      </c>
      <c r="AP325" s="313">
        <v>14292</v>
      </c>
      <c r="AQ325" s="313">
        <v>2</v>
      </c>
      <c r="AR325" s="312">
        <f>Table8[[#This Row],[Alcanzados Oct 2025]]/Table8[[#This Row],[Meta 2025]]</f>
        <v>1.3993842709207949E-4</v>
      </c>
      <c r="AS325" s="423">
        <v>0</v>
      </c>
      <c r="AT325" s="423">
        <v>0</v>
      </c>
      <c r="AU325" s="423">
        <v>0</v>
      </c>
      <c r="AV325" s="423">
        <v>0</v>
      </c>
      <c r="AW325" s="423">
        <v>2</v>
      </c>
      <c r="AX325" s="423">
        <v>0</v>
      </c>
      <c r="AY325" s="423">
        <v>0</v>
      </c>
      <c r="AZ325" s="423">
        <v>0</v>
      </c>
      <c r="BA325" s="42">
        <v>0</v>
      </c>
    </row>
    <row r="326" spans="1:53">
      <c r="A326" t="s">
        <v>705</v>
      </c>
      <c r="B326" t="s">
        <v>706</v>
      </c>
      <c r="C326" t="s">
        <v>155</v>
      </c>
      <c r="D326" t="s">
        <v>741</v>
      </c>
      <c r="E326" s="8">
        <v>44823</v>
      </c>
      <c r="F326" s="8">
        <v>13368</v>
      </c>
      <c r="G326" s="8">
        <v>1852.225308282038</v>
      </c>
      <c r="H326" s="8">
        <v>18000</v>
      </c>
      <c r="I326" s="8">
        <v>6940.3432415920124</v>
      </c>
      <c r="J326" s="8">
        <v>10683.230233427832</v>
      </c>
      <c r="K326" s="8">
        <v>6051.1050000000005</v>
      </c>
      <c r="L326" s="8">
        <v>3418.6336746969064</v>
      </c>
      <c r="M326" s="8">
        <v>3739.1305816997406</v>
      </c>
      <c r="N326" s="6" cm="1">
        <f t="array" ref="N326">_xlfn.XLOOKUP(Table8[[#This Row],[Admin2PCODE]:[Admin2PCODE]],tblPiNAnalysis[[Admin2PCODE]:[Admin2PCODE]],tblPiNAnalysis[% SAMV],0,0)</f>
        <v>0.30000000000000004</v>
      </c>
      <c r="O326" s="6" cm="1">
        <f t="array" ref="O326">_xlfn.XLOOKUP(Table8[[#This Row],[Admin2PCODE]:[Admin2PCODE]],tblPiNAnalysis[[Admin2PCODE]:[Admin2PCODE]],tblPiNAnalysis[% NUT],0,0)</f>
        <v>0.05</v>
      </c>
      <c r="P326" s="6" cm="1">
        <f t="array" ref="P326">_xlfn.XLOOKUP(Table8[[#This Row],[Admin2PCODE]:[Admin2PCODE]],tblPiNAnalysis[[Admin2PCODE]:[Admin2PCODE]],tblPiNAnalysis[% SAL],0,0)</f>
        <v>0.4</v>
      </c>
      <c r="Q326" s="6" cm="1">
        <f t="array" ref="Q326">_xlfn.XLOOKUP(Table8[[#This Row],[Admin2PCODE]:[Admin2PCODE]],tblPiNAnalysis[[Admin2PCODE]:[Admin2PCODE]],tblPiNAnalysis[% EDU],0,0)</f>
        <v>0.15000000000000002</v>
      </c>
      <c r="R326" s="6" cm="1">
        <f t="array" ref="R326">_xlfn.XLOOKUP(Table8[[#This Row],[Admin2PCODE]:[Admin2PCODE]],tblPiNAnalysis[[Admin2PCODE]:[Admin2PCODE]],tblPiNAnalysis[% PRO],0,0)</f>
        <v>0.25</v>
      </c>
      <c r="S326" s="6" cm="1">
        <f t="array" ref="S326">_xlfn.XLOOKUP(Table8[[#This Row],[Admin2PCODE]:[Admin2PCODE]],tblPiNAnalysis[[Admin2PCODE]:[Admin2PCODE]],tblPiNAnalysis[% WASH],0,0)</f>
        <v>0.15000000000000002</v>
      </c>
      <c r="T326" s="6" cm="1">
        <f t="array" ref="T326">_xlfn.XLOOKUP(Table8[[#This Row],[Admin2PCODE]:[Admin2PCODE]],tblPiNAnalysis[[Admin2PCODE]:[Admin2PCODE]],tblPiNAnalysis[% NNA],0,0)</f>
        <v>0.1</v>
      </c>
      <c r="U326" s="6" cm="1">
        <f t="array" ref="U326">_xlfn.XLOOKUP(Table8[[#This Row],[Admin2PCODE]:[Admin2PCODE]],tblPiNAnalysis[[Admin2PCODE]:[Admin2PCODE]],tblPiNAnalysis[% VBG],0,0)</f>
        <v>0.1</v>
      </c>
      <c r="V326" s="8" cm="1">
        <f t="array" ref="V326">_xlfn.XLOOKUP(Table8[[#This Row],[Admin2PCODE]:[Admin2PCODE]],tblPiNAnalysis[[Admin2PCODE]:[Admin2PCODE]],tblPiNAnalysis[PiN preliminar],0,0)</f>
        <v>18000</v>
      </c>
      <c r="W326" s="308" cm="1">
        <f t="array" ref="W326">_xlfn.XLOOKUP(Table8[[#This Row],[Admin2PCODE]],tblPiNAnalysis[Admin2PCODE],tblSeverityAnalysis[Severidad media],0,0)</f>
        <v>2.6666666666666665</v>
      </c>
      <c r="X326" s="42">
        <f>Table8[[#This Row],[Severidad media]]*6</f>
        <v>16</v>
      </c>
      <c r="Y326" s="6" cm="1">
        <f t="array" ref="Y326">_xlfn.XLOOKUP(Table8[[#This Row],[Admin2PCODE]],tblPiNAnalysis[Admin2PCODE],tblPiNAnalysis[% PiN Sectores más altos],0,0)</f>
        <v>0.40157954621511277</v>
      </c>
      <c r="Z326" s="42" cm="1">
        <f t="array" ref="Z326">_xlfn.XLOOKUP(Table8[[#This Row],[Admin2PCODE]:[Admin2PCODE]],tblPiNAnalysis[[Admin2PCODE]:[Admin2PCODE]],tblPiNAnalysis[Severidad],0,0)</f>
        <v>3</v>
      </c>
      <c r="AA326">
        <f>_xlfn.XLOOKUP(Table8[[#This Row],[Admin2PCODE]],tblSeverityAnalysis[Admin 2 Código P],tblSeverityAnalysis[Severidad Ttotal 2025],0,0)</f>
        <v>3</v>
      </c>
      <c r="AB326" t="str">
        <f>_xlfn.XLOOKUP(Table8[[#This Row],[Admin2PCODE]],tblSeverityAnalysis[Admin 2 Código P],tblSeverityAnalysis[Priorización Final 2025],0,0)</f>
        <v>No</v>
      </c>
      <c r="AC326">
        <v>0</v>
      </c>
      <c r="AD326">
        <v>0</v>
      </c>
      <c r="AE326">
        <v>0</v>
      </c>
      <c r="AF326">
        <v>0</v>
      </c>
      <c r="AG326">
        <v>0</v>
      </c>
      <c r="AH326">
        <v>0</v>
      </c>
      <c r="AI326">
        <v>0</v>
      </c>
      <c r="AJ326">
        <v>0</v>
      </c>
      <c r="AK326">
        <v>0</v>
      </c>
      <c r="AL326">
        <v>0</v>
      </c>
      <c r="AM326">
        <v>0</v>
      </c>
      <c r="AN326">
        <v>0</v>
      </c>
      <c r="AO326" s="314" t="e">
        <f>Table8[[#This Row],[N° Clústeres con respuesta]]/Table8[[#This Row],[Org Total]]</f>
        <v>#DIV/0!</v>
      </c>
      <c r="AP326" s="313">
        <v>10464</v>
      </c>
      <c r="AQ326" s="313">
        <v>0</v>
      </c>
      <c r="AR326" s="312">
        <f>Table8[[#This Row],[Alcanzados Oct 2025]]/Table8[[#This Row],[Meta 2025]]</f>
        <v>0</v>
      </c>
      <c r="AS326" s="423">
        <v>0</v>
      </c>
      <c r="AT326" s="423">
        <v>0</v>
      </c>
      <c r="AU326" s="423">
        <v>0</v>
      </c>
      <c r="AV326" s="423">
        <v>0</v>
      </c>
      <c r="AW326" s="423">
        <v>0</v>
      </c>
      <c r="AX326" s="423">
        <v>0</v>
      </c>
      <c r="AY326" s="423">
        <v>0</v>
      </c>
      <c r="AZ326" s="423">
        <v>0</v>
      </c>
      <c r="BA326" s="42">
        <v>0</v>
      </c>
    </row>
    <row r="327" spans="1:53">
      <c r="A327" t="s">
        <v>705</v>
      </c>
      <c r="B327" t="s">
        <v>706</v>
      </c>
      <c r="C327" t="s">
        <v>203</v>
      </c>
      <c r="D327" t="s">
        <v>742</v>
      </c>
      <c r="E327" s="8">
        <v>62202</v>
      </c>
      <c r="F327" s="8">
        <v>691</v>
      </c>
      <c r="G327" s="8">
        <v>2649.657498886203</v>
      </c>
      <c r="H327" s="8">
        <v>22703.73</v>
      </c>
      <c r="I327" s="8">
        <v>8064.0540727214702</v>
      </c>
      <c r="J327" s="8">
        <v>14825.386229830176</v>
      </c>
      <c r="K327" s="8">
        <v>0</v>
      </c>
      <c r="L327" s="8">
        <v>4758.9489797754868</v>
      </c>
      <c r="M327" s="8">
        <v>5188.8851804405604</v>
      </c>
      <c r="N327" s="6" cm="1">
        <f t="array" ref="N327">_xlfn.XLOOKUP(Table8[[#This Row],[Admin2PCODE]:[Admin2PCODE]],tblPiNAnalysis[[Admin2PCODE]:[Admin2PCODE]],tblPiNAnalysis[% SAMV],0,0)</f>
        <v>0</v>
      </c>
      <c r="O327" s="6" cm="1">
        <f t="array" ref="O327">_xlfn.XLOOKUP(Table8[[#This Row],[Admin2PCODE]:[Admin2PCODE]],tblPiNAnalysis[[Admin2PCODE]:[Admin2PCODE]],tblPiNAnalysis[% NUT],0,0)</f>
        <v>0.05</v>
      </c>
      <c r="P327" s="6" cm="1">
        <f t="array" ref="P327">_xlfn.XLOOKUP(Table8[[#This Row],[Admin2PCODE]:[Admin2PCODE]],tblPiNAnalysis[[Admin2PCODE]:[Admin2PCODE]],tblPiNAnalysis[% SAL],0,0)</f>
        <v>0.35000000000000003</v>
      </c>
      <c r="Q327" s="6" cm="1">
        <f t="array" ref="Q327">_xlfn.XLOOKUP(Table8[[#This Row],[Admin2PCODE]:[Admin2PCODE]],tblPiNAnalysis[[Admin2PCODE]:[Admin2PCODE]],tblPiNAnalysis[% EDU],0,0)</f>
        <v>0.15000000000000002</v>
      </c>
      <c r="R327" s="6" cm="1">
        <f t="array" ref="R327">_xlfn.XLOOKUP(Table8[[#This Row],[Admin2PCODE]:[Admin2PCODE]],tblPiNAnalysis[[Admin2PCODE]:[Admin2PCODE]],tblPiNAnalysis[% PRO],0,0)</f>
        <v>0.25</v>
      </c>
      <c r="S327" s="6" cm="1">
        <f t="array" ref="S327">_xlfn.XLOOKUP(Table8[[#This Row],[Admin2PCODE]:[Admin2PCODE]],tblPiNAnalysis[[Admin2PCODE]:[Admin2PCODE]],tblPiNAnalysis[% WASH],0,0)</f>
        <v>0</v>
      </c>
      <c r="T327" s="6" cm="1">
        <f t="array" ref="T327">_xlfn.XLOOKUP(Table8[[#This Row],[Admin2PCODE]:[Admin2PCODE]],tblPiNAnalysis[[Admin2PCODE]:[Admin2PCODE]],tblPiNAnalysis[% NNA],0,0)</f>
        <v>0.1</v>
      </c>
      <c r="U327" s="6" cm="1">
        <f t="array" ref="U327">_xlfn.XLOOKUP(Table8[[#This Row],[Admin2PCODE]:[Admin2PCODE]],tblPiNAnalysis[[Admin2PCODE]:[Admin2PCODE]],tblPiNAnalysis[% VBG],0,0)</f>
        <v>0.1</v>
      </c>
      <c r="V327" s="8" cm="1">
        <f t="array" ref="V327">_xlfn.XLOOKUP(Table8[[#This Row],[Admin2PCODE]:[Admin2PCODE]],tblPiNAnalysis[[Admin2PCODE]:[Admin2PCODE]],tblPiNAnalysis[PiN preliminar],0,0)</f>
        <v>22703.73</v>
      </c>
      <c r="W327" s="308" cm="1">
        <f t="array" ref="W327">_xlfn.XLOOKUP(Table8[[#This Row],[Admin2PCODE]],tblPiNAnalysis[Admin2PCODE],tblSeverityAnalysis[Severidad media],0,0)</f>
        <v>3.1666666666666665</v>
      </c>
      <c r="X327" s="42">
        <f>Table8[[#This Row],[Severidad media]]*6</f>
        <v>19</v>
      </c>
      <c r="Y327" s="6" cm="1">
        <f t="array" ref="Y327">_xlfn.XLOOKUP(Table8[[#This Row],[Admin2PCODE]],tblPiNAnalysis[Admin2PCODE],tblPiNAnalysis[% PiN Sectores más altos],0,0)</f>
        <v>0.36499999999999999</v>
      </c>
      <c r="Z327" s="42" cm="1">
        <f t="array" ref="Z327">_xlfn.XLOOKUP(Table8[[#This Row],[Admin2PCODE]:[Admin2PCODE]],tblPiNAnalysis[[Admin2PCODE]:[Admin2PCODE]],tblPiNAnalysis[Severidad],0,0)</f>
        <v>3</v>
      </c>
      <c r="AA327">
        <f>_xlfn.XLOOKUP(Table8[[#This Row],[Admin2PCODE]],tblSeverityAnalysis[Admin 2 Código P],tblSeverityAnalysis[Severidad Ttotal 2025],0,0)</f>
        <v>3</v>
      </c>
      <c r="AB327" t="str">
        <f>_xlfn.XLOOKUP(Table8[[#This Row],[Admin2PCODE]],tblSeverityAnalysis[Admin 2 Código P],tblSeverityAnalysis[Priorización Final 2025],0,0)</f>
        <v>No</v>
      </c>
      <c r="AC327">
        <v>3</v>
      </c>
      <c r="AD327" t="s">
        <v>1124</v>
      </c>
      <c r="AE327">
        <v>2</v>
      </c>
      <c r="AF327">
        <v>0</v>
      </c>
      <c r="AG327">
        <v>0</v>
      </c>
      <c r="AH327">
        <v>0</v>
      </c>
      <c r="AI327">
        <v>0</v>
      </c>
      <c r="AJ327">
        <v>0</v>
      </c>
      <c r="AK327">
        <v>0</v>
      </c>
      <c r="AL327">
        <v>1</v>
      </c>
      <c r="AM327">
        <v>1</v>
      </c>
      <c r="AN327">
        <v>1</v>
      </c>
      <c r="AO327" s="314">
        <f>Table8[[#This Row],[N° Clústeres con respuesta]]/Table8[[#This Row],[Org Total]]</f>
        <v>1.5</v>
      </c>
      <c r="AP327" s="313">
        <v>14520</v>
      </c>
      <c r="AQ327" s="313">
        <v>4947</v>
      </c>
      <c r="AR327" s="312">
        <f>Table8[[#This Row],[Alcanzados Oct 2025]]/Table8[[#This Row],[Meta 2025]]</f>
        <v>0.34070247933884296</v>
      </c>
      <c r="AS327" s="423">
        <v>0</v>
      </c>
      <c r="AT327" s="423">
        <v>0</v>
      </c>
      <c r="AU327" s="423">
        <v>0</v>
      </c>
      <c r="AV327" s="423">
        <v>0</v>
      </c>
      <c r="AW327" s="423">
        <v>3</v>
      </c>
      <c r="AX327" s="423">
        <v>0</v>
      </c>
      <c r="AY327" s="423">
        <v>216</v>
      </c>
      <c r="AZ327" s="423">
        <v>4080</v>
      </c>
      <c r="BA327" s="42">
        <v>1984</v>
      </c>
    </row>
    <row r="328" spans="1:53">
      <c r="A328" t="s">
        <v>705</v>
      </c>
      <c r="B328" t="s">
        <v>706</v>
      </c>
      <c r="C328" t="s">
        <v>743</v>
      </c>
      <c r="D328" t="s">
        <v>744</v>
      </c>
      <c r="E328" s="8">
        <v>53812</v>
      </c>
      <c r="F328" s="8">
        <v>0</v>
      </c>
      <c r="G328" s="8">
        <v>2216.227866304348</v>
      </c>
      <c r="H328" s="8">
        <v>19641.38</v>
      </c>
      <c r="I328" s="8">
        <v>7118.3492301004626</v>
      </c>
      <c r="J328" s="8">
        <v>12825.691839484609</v>
      </c>
      <c r="K328" s="8">
        <v>7264.62</v>
      </c>
      <c r="L328" s="8">
        <v>4117.0470804745601</v>
      </c>
      <c r="M328" s="8">
        <v>4488.9921438196125</v>
      </c>
      <c r="N328" s="6" cm="1">
        <f t="array" ref="N328">_xlfn.XLOOKUP(Table8[[#This Row],[Admin2PCODE]:[Admin2PCODE]],tblPiNAnalysis[[Admin2PCODE]:[Admin2PCODE]],tblPiNAnalysis[% SAMV],0,0)</f>
        <v>0</v>
      </c>
      <c r="O328" s="6" cm="1">
        <f t="array" ref="O328">_xlfn.XLOOKUP(Table8[[#This Row],[Admin2PCODE]:[Admin2PCODE]],tblPiNAnalysis[[Admin2PCODE]:[Admin2PCODE]],tblPiNAnalysis[% NUT],0,0)</f>
        <v>0.05</v>
      </c>
      <c r="P328" s="6" cm="1">
        <f t="array" ref="P328">_xlfn.XLOOKUP(Table8[[#This Row],[Admin2PCODE]:[Admin2PCODE]],tblPiNAnalysis[[Admin2PCODE]:[Admin2PCODE]],tblPiNAnalysis[% SAL],0,0)</f>
        <v>0.35000000000000003</v>
      </c>
      <c r="Q328" s="6" cm="1">
        <f t="array" ref="Q328">_xlfn.XLOOKUP(Table8[[#This Row],[Admin2PCODE]:[Admin2PCODE]],tblPiNAnalysis[[Admin2PCODE]:[Admin2PCODE]],tblPiNAnalysis[% EDU],0,0)</f>
        <v>0.15000000000000002</v>
      </c>
      <c r="R328" s="6" cm="1">
        <f t="array" ref="R328">_xlfn.XLOOKUP(Table8[[#This Row],[Admin2PCODE]:[Admin2PCODE]],tblPiNAnalysis[[Admin2PCODE]:[Admin2PCODE]],tblPiNAnalysis[% PRO],0,0)</f>
        <v>0.25</v>
      </c>
      <c r="S328" s="6" cm="1">
        <f t="array" ref="S328">_xlfn.XLOOKUP(Table8[[#This Row],[Admin2PCODE]:[Admin2PCODE]],tblPiNAnalysis[[Admin2PCODE]:[Admin2PCODE]],tblPiNAnalysis[% WASH],0,0)</f>
        <v>0.15000000000000002</v>
      </c>
      <c r="T328" s="6" cm="1">
        <f t="array" ref="T328">_xlfn.XLOOKUP(Table8[[#This Row],[Admin2PCODE]:[Admin2PCODE]],tblPiNAnalysis[[Admin2PCODE]:[Admin2PCODE]],tblPiNAnalysis[% NNA],0,0)</f>
        <v>0.1</v>
      </c>
      <c r="U328" s="6" cm="1">
        <f t="array" ref="U328">_xlfn.XLOOKUP(Table8[[#This Row],[Admin2PCODE]:[Admin2PCODE]],tblPiNAnalysis[[Admin2PCODE]:[Admin2PCODE]],tblPiNAnalysis[% VBG],0,0)</f>
        <v>0.1</v>
      </c>
      <c r="V328" s="8" cm="1">
        <f t="array" ref="V328">_xlfn.XLOOKUP(Table8[[#This Row],[Admin2PCODE]:[Admin2PCODE]],tblPiNAnalysis[[Admin2PCODE]:[Admin2PCODE]],tblPiNAnalysis[PiN preliminar],0,0)</f>
        <v>19641.38</v>
      </c>
      <c r="W328" s="308" cm="1">
        <f t="array" ref="W328">_xlfn.XLOOKUP(Table8[[#This Row],[Admin2PCODE]],tblPiNAnalysis[Admin2PCODE],tblSeverityAnalysis[Severidad media],0,0)</f>
        <v>2.8333333333333335</v>
      </c>
      <c r="X328" s="42">
        <f>Table8[[#This Row],[Severidad media]]*6</f>
        <v>17</v>
      </c>
      <c r="Y328" s="6" cm="1">
        <f t="array" ref="Y328">_xlfn.XLOOKUP(Table8[[#This Row],[Admin2PCODE]],tblPiNAnalysis[Admin2PCODE],tblPiNAnalysis[% PiN Sectores más altos],0,0)</f>
        <v>0.36500000000000005</v>
      </c>
      <c r="Z328" s="42" cm="1">
        <f t="array" ref="Z328">_xlfn.XLOOKUP(Table8[[#This Row],[Admin2PCODE]:[Admin2PCODE]],tblPiNAnalysis[[Admin2PCODE]:[Admin2PCODE]],tblPiNAnalysis[Severidad],0,0)</f>
        <v>3</v>
      </c>
      <c r="AA328">
        <f>_xlfn.XLOOKUP(Table8[[#This Row],[Admin2PCODE]],tblSeverityAnalysis[Admin 2 Código P],tblSeverityAnalysis[Severidad Ttotal 2025],0,0)</f>
        <v>3</v>
      </c>
      <c r="AB328" t="str">
        <f>_xlfn.XLOOKUP(Table8[[#This Row],[Admin2PCODE]],tblSeverityAnalysis[Admin 2 Código P],tblSeverityAnalysis[Priorización Final 2025],0,0)</f>
        <v>No</v>
      </c>
      <c r="AC328">
        <v>2</v>
      </c>
      <c r="AD328" t="s">
        <v>1051</v>
      </c>
      <c r="AE328">
        <v>2</v>
      </c>
      <c r="AF328">
        <v>0</v>
      </c>
      <c r="AG328">
        <v>0</v>
      </c>
      <c r="AH328">
        <v>0</v>
      </c>
      <c r="AI328">
        <v>0</v>
      </c>
      <c r="AJ328">
        <v>1</v>
      </c>
      <c r="AK328">
        <v>0</v>
      </c>
      <c r="AL328">
        <v>0</v>
      </c>
      <c r="AM328">
        <v>1</v>
      </c>
      <c r="AN328">
        <v>0</v>
      </c>
      <c r="AO328" s="314">
        <f>Table8[[#This Row],[N° Clústeres con respuesta]]/Table8[[#This Row],[Org Total]]</f>
        <v>1</v>
      </c>
      <c r="AP328" s="313">
        <v>12564</v>
      </c>
      <c r="AQ328" s="313">
        <v>120</v>
      </c>
      <c r="AR328" s="312">
        <f>Table8[[#This Row],[Alcanzados Oct 2025]]/Table8[[#This Row],[Meta 2025]]</f>
        <v>9.5510983763132766E-3</v>
      </c>
      <c r="AS328" s="423">
        <v>0</v>
      </c>
      <c r="AT328" s="423">
        <v>0</v>
      </c>
      <c r="AU328" s="423">
        <v>0</v>
      </c>
      <c r="AV328" s="423">
        <v>0</v>
      </c>
      <c r="AW328" s="423">
        <v>5</v>
      </c>
      <c r="AX328" s="423">
        <v>0</v>
      </c>
      <c r="AY328" s="423">
        <v>0</v>
      </c>
      <c r="AZ328" s="423">
        <v>120</v>
      </c>
      <c r="BA328" s="42">
        <v>0</v>
      </c>
    </row>
    <row r="329" spans="1:53">
      <c r="A329" t="s">
        <v>745</v>
      </c>
      <c r="B329" t="s">
        <v>746</v>
      </c>
      <c r="C329" t="s">
        <v>747</v>
      </c>
      <c r="D329" t="s">
        <v>748</v>
      </c>
      <c r="E329" s="8">
        <v>360888</v>
      </c>
      <c r="F329" s="8">
        <v>16275</v>
      </c>
      <c r="G329" s="8">
        <v>18458.621817052488</v>
      </c>
      <c r="H329" s="8">
        <v>131724.12</v>
      </c>
      <c r="I329" s="8">
        <v>30713.05727595514</v>
      </c>
      <c r="J329" s="8">
        <v>143848.22999999998</v>
      </c>
      <c r="K329" s="8">
        <v>162399.6</v>
      </c>
      <c r="L329" s="8">
        <v>46031.433599999997</v>
      </c>
      <c r="M329" s="8">
        <v>50346.880499999999</v>
      </c>
      <c r="N329" s="6" cm="1">
        <f t="array" ref="N329">_xlfn.XLOOKUP(Table8[[#This Row],[Admin2PCODE]:[Admin2PCODE]],tblPiNAnalysis[[Admin2PCODE]:[Admin2PCODE]],tblPiNAnalysis[% SAMV],0,0)</f>
        <v>0.05</v>
      </c>
      <c r="O329" s="6" cm="1">
        <f t="array" ref="O329">_xlfn.XLOOKUP(Table8[[#This Row],[Admin2PCODE]:[Admin2PCODE]],tblPiNAnalysis[[Admin2PCODE]:[Admin2PCODE]],tblPiNAnalysis[% NUT],0,0)</f>
        <v>0.05</v>
      </c>
      <c r="P329" s="6" cm="1">
        <f t="array" ref="P329">_xlfn.XLOOKUP(Table8[[#This Row],[Admin2PCODE]:[Admin2PCODE]],tblPiNAnalysis[[Admin2PCODE]:[Admin2PCODE]],tblPiNAnalysis[% SAL],0,0)</f>
        <v>0.35000000000000003</v>
      </c>
      <c r="Q329" s="6" cm="1">
        <f t="array" ref="Q329">_xlfn.XLOOKUP(Table8[[#This Row],[Admin2PCODE]:[Admin2PCODE]],tblPiNAnalysis[[Admin2PCODE]:[Admin2PCODE]],tblPiNAnalysis[% EDU],0,0)</f>
        <v>0.1</v>
      </c>
      <c r="R329" s="6" cm="1">
        <f t="array" ref="R329">_xlfn.XLOOKUP(Table8[[#This Row],[Admin2PCODE]:[Admin2PCODE]],tblPiNAnalysis[[Admin2PCODE]:[Admin2PCODE]],tblPiNAnalysis[% PRO],0,0)</f>
        <v>0.4</v>
      </c>
      <c r="S329" s="6" cm="1">
        <f t="array" ref="S329">_xlfn.XLOOKUP(Table8[[#This Row],[Admin2PCODE]:[Admin2PCODE]],tblPiNAnalysis[[Admin2PCODE]:[Admin2PCODE]],tblPiNAnalysis[% WASH],0,0)</f>
        <v>0.45</v>
      </c>
      <c r="T329" s="6" cm="1">
        <f t="array" ref="T329">_xlfn.XLOOKUP(Table8[[#This Row],[Admin2PCODE]:[Admin2PCODE]],tblPiNAnalysis[[Admin2PCODE]:[Admin2PCODE]],tblPiNAnalysis[% NNA],0,0)</f>
        <v>0.15000000000000002</v>
      </c>
      <c r="U329" s="6" cm="1">
        <f t="array" ref="U329">_xlfn.XLOOKUP(Table8[[#This Row],[Admin2PCODE]:[Admin2PCODE]],tblPiNAnalysis[[Admin2PCODE]:[Admin2PCODE]],tblPiNAnalysis[% VBG],0,0)</f>
        <v>0.15000000000000002</v>
      </c>
      <c r="V329" s="8" cm="1">
        <f t="array" ref="V329">_xlfn.XLOOKUP(Table8[[#This Row],[Admin2PCODE]:[Admin2PCODE]],tblPiNAnalysis[[Admin2PCODE]:[Admin2PCODE]],tblPiNAnalysis[PiN preliminar],0,0)</f>
        <v>162399.6</v>
      </c>
      <c r="W329" s="308" cm="1">
        <f t="array" ref="W329">_xlfn.XLOOKUP(Table8[[#This Row],[Admin2PCODE]],tblPiNAnalysis[Admin2PCODE],tblSeverityAnalysis[Severidad media],0,0)</f>
        <v>3</v>
      </c>
      <c r="X329" s="42">
        <f>Table8[[#This Row],[Severidad media]]*6</f>
        <v>18</v>
      </c>
      <c r="Y329" s="6" cm="1">
        <f t="array" ref="Y329">_xlfn.XLOOKUP(Table8[[#This Row],[Admin2PCODE]],tblPiNAnalysis[Admin2PCODE],tblPiNAnalysis[% PiN Sectores más altos],0,0)</f>
        <v>0.45</v>
      </c>
      <c r="Z329" s="42" cm="1">
        <f t="array" ref="Z329">_xlfn.XLOOKUP(Table8[[#This Row],[Admin2PCODE]:[Admin2PCODE]],tblPiNAnalysis[[Admin2PCODE]:[Admin2PCODE]],tblPiNAnalysis[Severidad],0,0)</f>
        <v>3</v>
      </c>
      <c r="AA329">
        <f>_xlfn.XLOOKUP(Table8[[#This Row],[Admin2PCODE]],tblSeverityAnalysis[Admin 2 Código P],tblSeverityAnalysis[Severidad Ttotal 2025],0,0)</f>
        <v>3</v>
      </c>
      <c r="AB329" t="str">
        <f>_xlfn.XLOOKUP(Table8[[#This Row],[Admin2PCODE]],tblSeverityAnalysis[Admin 2 Código P],tblSeverityAnalysis[Priorización Final 2025],0,0)</f>
        <v>No</v>
      </c>
      <c r="AC329">
        <v>8</v>
      </c>
      <c r="AD329" t="s">
        <v>1125</v>
      </c>
      <c r="AE329">
        <v>20</v>
      </c>
      <c r="AF329">
        <v>2</v>
      </c>
      <c r="AG329">
        <v>4</v>
      </c>
      <c r="AH329">
        <v>2</v>
      </c>
      <c r="AI329">
        <v>3</v>
      </c>
      <c r="AJ329">
        <v>9</v>
      </c>
      <c r="AK329">
        <v>2</v>
      </c>
      <c r="AL329">
        <v>4</v>
      </c>
      <c r="AM329">
        <v>6</v>
      </c>
      <c r="AN329">
        <v>1</v>
      </c>
      <c r="AO329" s="314">
        <f>Table8[[#This Row],[N° Clústeres con respuesta]]/Table8[[#This Row],[Org Total]]</f>
        <v>0.4</v>
      </c>
      <c r="AP329" s="313">
        <v>61121</v>
      </c>
      <c r="AQ329" s="313">
        <v>7737</v>
      </c>
      <c r="AR329" s="312">
        <f>Table8[[#This Row],[Alcanzados Oct 2025]]/Table8[[#This Row],[Meta 2025]]</f>
        <v>0.12658497079563488</v>
      </c>
      <c r="AS329" s="423">
        <v>0</v>
      </c>
      <c r="AT329" s="423">
        <v>359</v>
      </c>
      <c r="AU329" s="423">
        <v>279</v>
      </c>
      <c r="AV329" s="423">
        <v>7569</v>
      </c>
      <c r="AW329" s="423">
        <v>933</v>
      </c>
      <c r="AX329" s="423">
        <v>1</v>
      </c>
      <c r="AY329" s="423">
        <v>48</v>
      </c>
      <c r="AZ329" s="423">
        <v>5630</v>
      </c>
      <c r="BA329" s="42">
        <v>615</v>
      </c>
    </row>
    <row r="330" spans="1:53">
      <c r="A330" t="s">
        <v>290</v>
      </c>
      <c r="B330" t="s">
        <v>291</v>
      </c>
      <c r="C330" t="s">
        <v>293</v>
      </c>
      <c r="D330" t="s">
        <v>294</v>
      </c>
      <c r="E330" s="8">
        <v>99893</v>
      </c>
      <c r="F330" s="8">
        <v>0</v>
      </c>
      <c r="G330" s="8">
        <v>2746.9106472440089</v>
      </c>
      <c r="H330" s="8">
        <v>36460.945</v>
      </c>
      <c r="I330" s="8">
        <v>6729.1439243947816</v>
      </c>
      <c r="J330" s="8">
        <v>25705.486702254173</v>
      </c>
      <c r="K330" s="8">
        <v>0</v>
      </c>
      <c r="L330" s="8">
        <v>8225.7557447213348</v>
      </c>
      <c r="M330" s="8">
        <v>8996.9203457889598</v>
      </c>
      <c r="N330" s="6" cm="1">
        <f t="array" ref="N330">_xlfn.XLOOKUP(Table8[[#This Row],[Admin2PCODE]:[Admin2PCODE]],tblPiNAnalysis[[Admin2PCODE]:[Admin2PCODE]],tblPiNAnalysis[% SAMV],0,0)</f>
        <v>0</v>
      </c>
      <c r="O330" s="6" cm="1">
        <f t="array" ref="O330">_xlfn.XLOOKUP(Table8[[#This Row],[Admin2PCODE]:[Admin2PCODE]],tblPiNAnalysis[[Admin2PCODE]:[Admin2PCODE]],tblPiNAnalysis[% NUT],0,0)</f>
        <v>0.05</v>
      </c>
      <c r="P330" s="6" cm="1">
        <f t="array" ref="P330">_xlfn.XLOOKUP(Table8[[#This Row],[Admin2PCODE]:[Admin2PCODE]],tblPiNAnalysis[[Admin2PCODE]:[Admin2PCODE]],tblPiNAnalysis[% SAL],0,0)</f>
        <v>0.35000000000000003</v>
      </c>
      <c r="Q330" s="6" cm="1">
        <f t="array" ref="Q330">_xlfn.XLOOKUP(Table8[[#This Row],[Admin2PCODE]:[Admin2PCODE]],tblPiNAnalysis[[Admin2PCODE]:[Admin2PCODE]],tblPiNAnalysis[% EDU],0,0)</f>
        <v>0.05</v>
      </c>
      <c r="R330" s="6" cm="1">
        <f t="array" ref="R330">_xlfn.XLOOKUP(Table8[[#This Row],[Admin2PCODE]:[Admin2PCODE]],tblPiNAnalysis[[Admin2PCODE]:[Admin2PCODE]],tblPiNAnalysis[% PRO],0,0)</f>
        <v>0.25</v>
      </c>
      <c r="S330" s="6" cm="1">
        <f t="array" ref="S330">_xlfn.XLOOKUP(Table8[[#This Row],[Admin2PCODE]:[Admin2PCODE]],tblPiNAnalysis[[Admin2PCODE]:[Admin2PCODE]],tblPiNAnalysis[% WASH],0,0)</f>
        <v>0</v>
      </c>
      <c r="T330" s="6" cm="1">
        <f t="array" ref="T330">_xlfn.XLOOKUP(Table8[[#This Row],[Admin2PCODE]:[Admin2PCODE]],tblPiNAnalysis[[Admin2PCODE]:[Admin2PCODE]],tblPiNAnalysis[% NNA],0,0)</f>
        <v>0.1</v>
      </c>
      <c r="U330" s="6" cm="1">
        <f t="array" ref="U330">_xlfn.XLOOKUP(Table8[[#This Row],[Admin2PCODE]:[Admin2PCODE]],tblPiNAnalysis[[Admin2PCODE]:[Admin2PCODE]],tblPiNAnalysis[% VBG],0,0)</f>
        <v>0.1</v>
      </c>
      <c r="V330" s="8" cm="1">
        <f t="array" ref="V330">_xlfn.XLOOKUP(Table8[[#This Row],[Admin2PCODE]:[Admin2PCODE]],tblPiNAnalysis[[Admin2PCODE]:[Admin2PCODE]],tblPiNAnalysis[PiN preliminar],0,0)</f>
        <v>0</v>
      </c>
      <c r="W330" s="308" cm="1">
        <f t="array" ref="W330">_xlfn.XLOOKUP(Table8[[#This Row],[Admin2PCODE]],tblPiNAnalysis[Admin2PCODE],tblSeverityAnalysis[Severidad media],0,0)</f>
        <v>2.6666666666666665</v>
      </c>
      <c r="X330" s="42">
        <f>Table8[[#This Row],[Severidad media]]*6</f>
        <v>16</v>
      </c>
      <c r="Y330" s="6" cm="1">
        <f t="array" ref="Y330">_xlfn.XLOOKUP(Table8[[#This Row],[Admin2PCODE]],tblPiNAnalysis[Admin2PCODE],tblPiNAnalysis[% PiN Sectores más altos],0,0)</f>
        <v>0.36499999999999999</v>
      </c>
      <c r="Z330" s="42" cm="1">
        <f t="array" ref="Z330">_xlfn.XLOOKUP(Table8[[#This Row],[Admin2PCODE]:[Admin2PCODE]],tblPiNAnalysis[[Admin2PCODE]:[Admin2PCODE]],tblPiNAnalysis[Severidad],0,0)</f>
        <v>2</v>
      </c>
      <c r="AA330">
        <f>_xlfn.XLOOKUP(Table8[[#This Row],[Admin2PCODE]],tblSeverityAnalysis[Admin 2 Código P],tblSeverityAnalysis[Severidad Ttotal 2025],0,0)</f>
        <v>2</v>
      </c>
      <c r="AB330" t="str">
        <f>_xlfn.XLOOKUP(Table8[[#This Row],[Admin2PCODE]],tblSeverityAnalysis[Admin 2 Código P],tblSeverityAnalysis[Priorización Final 2025],0,0)</f>
        <v>No</v>
      </c>
      <c r="AC330">
        <v>4</v>
      </c>
      <c r="AD330" t="s">
        <v>1126</v>
      </c>
      <c r="AE330">
        <v>3</v>
      </c>
      <c r="AF330">
        <v>0</v>
      </c>
      <c r="AG330">
        <v>0</v>
      </c>
      <c r="AH330">
        <v>0</v>
      </c>
      <c r="AI330">
        <v>1</v>
      </c>
      <c r="AJ330">
        <v>1</v>
      </c>
      <c r="AK330">
        <v>1</v>
      </c>
      <c r="AL330">
        <v>0</v>
      </c>
      <c r="AM330">
        <v>1</v>
      </c>
      <c r="AN330">
        <v>0</v>
      </c>
      <c r="AO330" s="314">
        <f>Table8[[#This Row],[N° Clústeres con respuesta]]/Table8[[#This Row],[Org Total]]</f>
        <v>1.3333333333333333</v>
      </c>
      <c r="AP330" s="313">
        <v>16411</v>
      </c>
      <c r="AQ330" s="313">
        <v>4823</v>
      </c>
      <c r="AR330" s="312">
        <f>Table8[[#This Row],[Alcanzados Oct 2025]]/Table8[[#This Row],[Meta 2025]]</f>
        <v>0.29388824568886723</v>
      </c>
      <c r="AS330" s="423">
        <v>0</v>
      </c>
      <c r="AT330" s="423">
        <v>0</v>
      </c>
      <c r="AU330" s="423">
        <v>0</v>
      </c>
      <c r="AV330" s="423">
        <v>4823</v>
      </c>
      <c r="AW330" s="423">
        <v>0</v>
      </c>
      <c r="AX330" s="423">
        <v>2</v>
      </c>
      <c r="AY330" s="423">
        <v>0</v>
      </c>
      <c r="AZ330" s="423">
        <v>27</v>
      </c>
      <c r="BA330" s="42">
        <v>0</v>
      </c>
    </row>
    <row r="331" spans="1:53">
      <c r="A331" t="s">
        <v>411</v>
      </c>
      <c r="B331" t="s">
        <v>412</v>
      </c>
      <c r="C331" t="s">
        <v>423</v>
      </c>
      <c r="D331" t="s">
        <v>424</v>
      </c>
      <c r="E331" s="8">
        <v>102133</v>
      </c>
      <c r="F331" s="8">
        <v>4642</v>
      </c>
      <c r="G331" s="8">
        <v>2466.1111424030519</v>
      </c>
      <c r="H331" s="8">
        <v>37278.544999999998</v>
      </c>
      <c r="I331" s="8">
        <v>13344.091291575234</v>
      </c>
      <c r="J331" s="8">
        <v>17084.053400253753</v>
      </c>
      <c r="K331" s="8">
        <v>0</v>
      </c>
      <c r="L331" s="8">
        <v>5483.9811414814549</v>
      </c>
      <c r="M331" s="8">
        <v>5979.4186900888135</v>
      </c>
      <c r="N331" s="6" cm="1">
        <f t="array" ref="N331">_xlfn.XLOOKUP(Table8[[#This Row],[Admin2PCODE]:[Admin2PCODE]],tblPiNAnalysis[[Admin2PCODE]:[Admin2PCODE]],tblPiNAnalysis[% SAMV],0,0)</f>
        <v>0.05</v>
      </c>
      <c r="O331" s="6" cm="1">
        <f t="array" ref="O331">_xlfn.XLOOKUP(Table8[[#This Row],[Admin2PCODE]:[Admin2PCODE]],tblPiNAnalysis[[Admin2PCODE]:[Admin2PCODE]],tblPiNAnalysis[% NUT],0,0)</f>
        <v>0</v>
      </c>
      <c r="P331" s="6" cm="1">
        <f t="array" ref="P331">_xlfn.XLOOKUP(Table8[[#This Row],[Admin2PCODE]:[Admin2PCODE]],tblPiNAnalysis[[Admin2PCODE]:[Admin2PCODE]],tblPiNAnalysis[% SAL],0,0)</f>
        <v>0.35000000000000003</v>
      </c>
      <c r="Q331" s="6" cm="1">
        <f t="array" ref="Q331">_xlfn.XLOOKUP(Table8[[#This Row],[Admin2PCODE]:[Admin2PCODE]],tblPiNAnalysis[[Admin2PCODE]:[Admin2PCODE]],tblPiNAnalysis[% EDU],0,0)</f>
        <v>0.15000000000000002</v>
      </c>
      <c r="R331" s="6" cm="1">
        <f t="array" ref="R331">_xlfn.XLOOKUP(Table8[[#This Row],[Admin2PCODE]:[Admin2PCODE]],tblPiNAnalysis[[Admin2PCODE]:[Admin2PCODE]],tblPiNAnalysis[% PRO],0,0)</f>
        <v>0.15000000000000002</v>
      </c>
      <c r="S331" s="6" cm="1">
        <f t="array" ref="S331">_xlfn.XLOOKUP(Table8[[#This Row],[Admin2PCODE]:[Admin2PCODE]],tblPiNAnalysis[[Admin2PCODE]:[Admin2PCODE]],tblPiNAnalysis[% WASH],0,0)</f>
        <v>0</v>
      </c>
      <c r="T331" s="6" cm="1">
        <f t="array" ref="T331">_xlfn.XLOOKUP(Table8[[#This Row],[Admin2PCODE]:[Admin2PCODE]],tblPiNAnalysis[[Admin2PCODE]:[Admin2PCODE]],tblPiNAnalysis[% NNA],0,0)</f>
        <v>0.05</v>
      </c>
      <c r="U331" s="6" cm="1">
        <f t="array" ref="U331">_xlfn.XLOOKUP(Table8[[#This Row],[Admin2PCODE]:[Admin2PCODE]],tblPiNAnalysis[[Admin2PCODE]:[Admin2PCODE]],tblPiNAnalysis[% VBG],0,0)</f>
        <v>0.05</v>
      </c>
      <c r="V331" s="8" cm="1">
        <f t="array" ref="V331">_xlfn.XLOOKUP(Table8[[#This Row],[Admin2PCODE]:[Admin2PCODE]],tblPiNAnalysis[[Admin2PCODE]:[Admin2PCODE]],tblPiNAnalysis[PiN preliminar],0,0)</f>
        <v>0</v>
      </c>
      <c r="W331" s="308" cm="1">
        <f t="array" ref="W331">_xlfn.XLOOKUP(Table8[[#This Row],[Admin2PCODE]],tblPiNAnalysis[Admin2PCODE],tblSeverityAnalysis[Severidad media],0,0)</f>
        <v>2.1666666666666665</v>
      </c>
      <c r="X331" s="42">
        <f>Table8[[#This Row],[Severidad media]]*6</f>
        <v>13</v>
      </c>
      <c r="Y331" s="6" cm="1">
        <f t="array" ref="Y331">_xlfn.XLOOKUP(Table8[[#This Row],[Admin2PCODE]],tblPiNAnalysis[Admin2PCODE],tblPiNAnalysis[% PiN Sectores más altos],0,0)</f>
        <v>0.36499999999999999</v>
      </c>
      <c r="Z331" s="42" cm="1">
        <f t="array" ref="Z331">_xlfn.XLOOKUP(Table8[[#This Row],[Admin2PCODE]:[Admin2PCODE]],tblPiNAnalysis[[Admin2PCODE]:[Admin2PCODE]],tblPiNAnalysis[Severidad],0,0)</f>
        <v>2</v>
      </c>
      <c r="AA331">
        <f>_xlfn.XLOOKUP(Table8[[#This Row],[Admin2PCODE]],tblSeverityAnalysis[Admin 2 Código P],tblSeverityAnalysis[Severidad Ttotal 2025],0,0)</f>
        <v>2</v>
      </c>
      <c r="AB331" t="str">
        <f>_xlfn.XLOOKUP(Table8[[#This Row],[Admin2PCODE]],tblSeverityAnalysis[Admin 2 Código P],tblSeverityAnalysis[Priorización Final 2025],0,0)</f>
        <v>No</v>
      </c>
      <c r="AC331">
        <v>1</v>
      </c>
      <c r="AD331" t="s">
        <v>94</v>
      </c>
      <c r="AE331">
        <v>1</v>
      </c>
      <c r="AF331">
        <v>0</v>
      </c>
      <c r="AG331">
        <v>0</v>
      </c>
      <c r="AH331">
        <v>0</v>
      </c>
      <c r="AI331">
        <v>0</v>
      </c>
      <c r="AJ331">
        <v>0</v>
      </c>
      <c r="AK331">
        <v>0</v>
      </c>
      <c r="AL331">
        <v>0</v>
      </c>
      <c r="AM331">
        <v>1</v>
      </c>
      <c r="AN331">
        <v>0</v>
      </c>
      <c r="AO331" s="314">
        <f>Table8[[#This Row],[N° Clústeres con respuesta]]/Table8[[#This Row],[Org Total]]</f>
        <v>1</v>
      </c>
      <c r="AP331" s="313">
        <v>16778</v>
      </c>
      <c r="AQ331" s="313">
        <v>331</v>
      </c>
      <c r="AR331" s="312">
        <f>Table8[[#This Row],[Alcanzados Oct 2025]]/Table8[[#This Row],[Meta 2025]]</f>
        <v>1.9728215520324235E-2</v>
      </c>
      <c r="AS331" s="423">
        <v>0</v>
      </c>
      <c r="AT331" s="423">
        <v>0</v>
      </c>
      <c r="AU331" s="423">
        <v>331</v>
      </c>
      <c r="AV331" s="423">
        <v>0</v>
      </c>
      <c r="AW331" s="423">
        <v>2</v>
      </c>
      <c r="AX331" s="423">
        <v>0</v>
      </c>
      <c r="AY331" s="423">
        <v>13</v>
      </c>
      <c r="AZ331" s="423">
        <v>11</v>
      </c>
      <c r="BA331" s="42">
        <v>7</v>
      </c>
    </row>
    <row r="332" spans="1:53">
      <c r="A332" t="s">
        <v>411</v>
      </c>
      <c r="B332" t="s">
        <v>412</v>
      </c>
      <c r="C332" t="s">
        <v>100</v>
      </c>
      <c r="D332" t="s">
        <v>435</v>
      </c>
      <c r="E332" s="8">
        <v>222451</v>
      </c>
      <c r="F332" s="8">
        <v>48872</v>
      </c>
      <c r="G332" s="8">
        <v>7548.0190967110184</v>
      </c>
      <c r="H332" s="8">
        <v>81194.615000000005</v>
      </c>
      <c r="I332" s="8">
        <v>29208.222446137479</v>
      </c>
      <c r="J332" s="8">
        <v>37209.959199669524</v>
      </c>
      <c r="K332" s="8">
        <v>0</v>
      </c>
      <c r="L332" s="8">
        <v>11944.396903093917</v>
      </c>
      <c r="M332" s="8">
        <v>13023.485719884333</v>
      </c>
      <c r="N332" s="6" cm="1">
        <f t="array" ref="N332">_xlfn.XLOOKUP(Table8[[#This Row],[Admin2PCODE]:[Admin2PCODE]],tblPiNAnalysis[[Admin2PCODE]:[Admin2PCODE]],tblPiNAnalysis[% SAMV],0,0)</f>
        <v>0.2</v>
      </c>
      <c r="O332" s="6" cm="1">
        <f t="array" ref="O332">_xlfn.XLOOKUP(Table8[[#This Row],[Admin2PCODE]:[Admin2PCODE]],tblPiNAnalysis[[Admin2PCODE]:[Admin2PCODE]],tblPiNAnalysis[% NUT],0,0)</f>
        <v>0.05</v>
      </c>
      <c r="P332" s="6" cm="1">
        <f t="array" ref="P332">_xlfn.XLOOKUP(Table8[[#This Row],[Admin2PCODE]:[Admin2PCODE]],tblPiNAnalysis[[Admin2PCODE]:[Admin2PCODE]],tblPiNAnalysis[% SAL],0,0)</f>
        <v>0.35000000000000003</v>
      </c>
      <c r="Q332" s="6" cm="1">
        <f t="array" ref="Q332">_xlfn.XLOOKUP(Table8[[#This Row],[Admin2PCODE]:[Admin2PCODE]],tblPiNAnalysis[[Admin2PCODE]:[Admin2PCODE]],tblPiNAnalysis[% EDU],0,0)</f>
        <v>0.15000000000000002</v>
      </c>
      <c r="R332" s="6" cm="1">
        <f t="array" ref="R332">_xlfn.XLOOKUP(Table8[[#This Row],[Admin2PCODE]:[Admin2PCODE]],tblPiNAnalysis[[Admin2PCODE]:[Admin2PCODE]],tblPiNAnalysis[% PRO],0,0)</f>
        <v>0.15000000000000002</v>
      </c>
      <c r="S332" s="6" cm="1">
        <f t="array" ref="S332">_xlfn.XLOOKUP(Table8[[#This Row],[Admin2PCODE]:[Admin2PCODE]],tblPiNAnalysis[[Admin2PCODE]:[Admin2PCODE]],tblPiNAnalysis[% WASH],0,0)</f>
        <v>0</v>
      </c>
      <c r="T332" s="6" cm="1">
        <f t="array" ref="T332">_xlfn.XLOOKUP(Table8[[#This Row],[Admin2PCODE]:[Admin2PCODE]],tblPiNAnalysis[[Admin2PCODE]:[Admin2PCODE]],tblPiNAnalysis[% NNA],0,0)</f>
        <v>0.05</v>
      </c>
      <c r="U332" s="6" cm="1">
        <f t="array" ref="U332">_xlfn.XLOOKUP(Table8[[#This Row],[Admin2PCODE]:[Admin2PCODE]],tblPiNAnalysis[[Admin2PCODE]:[Admin2PCODE]],tblPiNAnalysis[% VBG],0,0)</f>
        <v>0.05</v>
      </c>
      <c r="V332" s="8" cm="1">
        <f t="array" ref="V332">_xlfn.XLOOKUP(Table8[[#This Row],[Admin2PCODE]:[Admin2PCODE]],tblPiNAnalysis[[Admin2PCODE]:[Admin2PCODE]],tblPiNAnalysis[PiN preliminar],0,0)</f>
        <v>81194.615000000005</v>
      </c>
      <c r="W332" s="308" cm="1">
        <f t="array" ref="W332">_xlfn.XLOOKUP(Table8[[#This Row],[Admin2PCODE]],tblPiNAnalysis[Admin2PCODE],tblSeverityAnalysis[Severidad media],0,0)</f>
        <v>2.6666666666666665</v>
      </c>
      <c r="X332" s="42">
        <f>Table8[[#This Row],[Severidad media]]*6</f>
        <v>16</v>
      </c>
      <c r="Y332" s="6" cm="1">
        <f t="array" ref="Y332">_xlfn.XLOOKUP(Table8[[#This Row],[Admin2PCODE]],tblPiNAnalysis[Admin2PCODE],tblPiNAnalysis[% PiN Sectores más altos],0,0)</f>
        <v>0.36500000000000005</v>
      </c>
      <c r="Z332" s="42" cm="1">
        <f t="array" ref="Z332">_xlfn.XLOOKUP(Table8[[#This Row],[Admin2PCODE]:[Admin2PCODE]],tblPiNAnalysis[[Admin2PCODE]:[Admin2PCODE]],tblPiNAnalysis[Severidad],0,0)</f>
        <v>3</v>
      </c>
      <c r="AA332">
        <f>_xlfn.XLOOKUP(Table8[[#This Row],[Admin2PCODE]],tblSeverityAnalysis[Admin 2 Código P],tblSeverityAnalysis[Severidad Ttotal 2025],0,0)</f>
        <v>2</v>
      </c>
      <c r="AB332" t="str">
        <f>_xlfn.XLOOKUP(Table8[[#This Row],[Admin2PCODE]],tblSeverityAnalysis[Admin 2 Código P],tblSeverityAnalysis[Priorización Final 2025],0,0)</f>
        <v>No</v>
      </c>
      <c r="AC332">
        <v>8</v>
      </c>
      <c r="AD332" t="s">
        <v>1127</v>
      </c>
      <c r="AE332">
        <v>14</v>
      </c>
      <c r="AF332">
        <v>1</v>
      </c>
      <c r="AG332">
        <v>2</v>
      </c>
      <c r="AH332">
        <v>0</v>
      </c>
      <c r="AI332">
        <v>2</v>
      </c>
      <c r="AJ332">
        <v>7</v>
      </c>
      <c r="AK332">
        <v>2</v>
      </c>
      <c r="AL332">
        <v>4</v>
      </c>
      <c r="AM332">
        <v>5</v>
      </c>
      <c r="AN332">
        <v>1</v>
      </c>
      <c r="AO332" s="314">
        <f>Table8[[#This Row],[N° Clústeres con respuesta]]/Table8[[#This Row],[Org Total]]</f>
        <v>0.5714285714285714</v>
      </c>
      <c r="AP332" s="313">
        <v>36546</v>
      </c>
      <c r="AQ332" s="313">
        <v>1796</v>
      </c>
      <c r="AR332" s="312">
        <f>Table8[[#This Row],[Alcanzados Oct 2025]]/Table8[[#This Row],[Meta 2025]]</f>
        <v>4.9143545121217096E-2</v>
      </c>
      <c r="AS332" s="423">
        <v>0</v>
      </c>
      <c r="AT332" s="423">
        <v>0</v>
      </c>
      <c r="AU332" s="423">
        <v>413</v>
      </c>
      <c r="AV332" s="423">
        <v>1183</v>
      </c>
      <c r="AW332" s="423">
        <v>43</v>
      </c>
      <c r="AX332" s="423">
        <v>20</v>
      </c>
      <c r="AY332" s="423">
        <v>180</v>
      </c>
      <c r="AZ332" s="423">
        <v>1301</v>
      </c>
      <c r="BA332" s="42">
        <v>76</v>
      </c>
    </row>
    <row r="333" spans="1:53">
      <c r="A333" t="s">
        <v>411</v>
      </c>
      <c r="B333" t="s">
        <v>412</v>
      </c>
      <c r="C333" t="s">
        <v>447</v>
      </c>
      <c r="D333" t="s">
        <v>448</v>
      </c>
      <c r="E333" s="8">
        <v>18439</v>
      </c>
      <c r="F333" s="8">
        <v>307</v>
      </c>
      <c r="G333" s="8">
        <v>442.62210821644396</v>
      </c>
      <c r="H333" s="8">
        <v>7700</v>
      </c>
      <c r="I333" s="8">
        <v>2817.5361394400416</v>
      </c>
      <c r="J333" s="8">
        <v>1850.6037851464991</v>
      </c>
      <c r="K333" s="8">
        <v>0</v>
      </c>
      <c r="L333" s="8">
        <v>592.19321124687974</v>
      </c>
      <c r="M333" s="8">
        <v>647.71132480127471</v>
      </c>
      <c r="N333" s="6" cm="1">
        <f t="array" ref="N333">_xlfn.XLOOKUP(Table8[[#This Row],[Admin2PCODE]:[Admin2PCODE]],tblPiNAnalysis[[Admin2PCODE]:[Admin2PCODE]],tblPiNAnalysis[% SAMV],0,0)</f>
        <v>0</v>
      </c>
      <c r="O333" s="6" cm="1">
        <f t="array" ref="O333">_xlfn.XLOOKUP(Table8[[#This Row],[Admin2PCODE]:[Admin2PCODE]],tblPiNAnalysis[[Admin2PCODE]:[Admin2PCODE]],tblPiNAnalysis[% NUT],0,0)</f>
        <v>0</v>
      </c>
      <c r="P333" s="6" cm="1">
        <f t="array" ref="P333">_xlfn.XLOOKUP(Table8[[#This Row],[Admin2PCODE]:[Admin2PCODE]],tblPiNAnalysis[[Admin2PCODE]:[Admin2PCODE]],tblPiNAnalysis[% SAL],0,0)</f>
        <v>0.4</v>
      </c>
      <c r="Q333" s="6" cm="1">
        <f t="array" ref="Q333">_xlfn.XLOOKUP(Table8[[#This Row],[Admin2PCODE]:[Admin2PCODE]],tblPiNAnalysis[[Admin2PCODE]:[Admin2PCODE]],tblPiNAnalysis[% EDU],0,0)</f>
        <v>0.15000000000000002</v>
      </c>
      <c r="R333" s="6" cm="1">
        <f t="array" ref="R333">_xlfn.XLOOKUP(Table8[[#This Row],[Admin2PCODE]:[Admin2PCODE]],tblPiNAnalysis[[Admin2PCODE]:[Admin2PCODE]],tblPiNAnalysis[% PRO],0,0)</f>
        <v>0.1</v>
      </c>
      <c r="S333" s="6" cm="1">
        <f t="array" ref="S333">_xlfn.XLOOKUP(Table8[[#This Row],[Admin2PCODE]:[Admin2PCODE]],tblPiNAnalysis[[Admin2PCODE]:[Admin2PCODE]],tblPiNAnalysis[% WASH],0,0)</f>
        <v>0</v>
      </c>
      <c r="T333" s="6" cm="1">
        <f t="array" ref="T333">_xlfn.XLOOKUP(Table8[[#This Row],[Admin2PCODE]:[Admin2PCODE]],tblPiNAnalysis[[Admin2PCODE]:[Admin2PCODE]],tblPiNAnalysis[% NNA],0,0)</f>
        <v>0.05</v>
      </c>
      <c r="U333" s="6" cm="1">
        <f t="array" ref="U333">_xlfn.XLOOKUP(Table8[[#This Row],[Admin2PCODE]:[Admin2PCODE]],tblPiNAnalysis[[Admin2PCODE]:[Admin2PCODE]],tblPiNAnalysis[% VBG],0,0)</f>
        <v>0.05</v>
      </c>
      <c r="V333" s="8" cm="1">
        <f t="array" ref="V333">_xlfn.XLOOKUP(Table8[[#This Row],[Admin2PCODE]:[Admin2PCODE]],tblPiNAnalysis[[Admin2PCODE]:[Admin2PCODE]],tblPiNAnalysis[PiN preliminar],0,0)</f>
        <v>0</v>
      </c>
      <c r="W333" s="308" cm="1">
        <f t="array" ref="W333">_xlfn.XLOOKUP(Table8[[#This Row],[Admin2PCODE]],tblPiNAnalysis[Admin2PCODE],tblSeverityAnalysis[Severidad media],0,0)</f>
        <v>2.6666666666666665</v>
      </c>
      <c r="X333" s="42">
        <f>Table8[[#This Row],[Severidad media]]*6</f>
        <v>16</v>
      </c>
      <c r="Y333" s="6" cm="1">
        <f t="array" ref="Y333">_xlfn.XLOOKUP(Table8[[#This Row],[Admin2PCODE]],tblPiNAnalysis[Admin2PCODE],tblPiNAnalysis[% PiN Sectores más altos],0,0)</f>
        <v>0.41759314496447747</v>
      </c>
      <c r="Z333" s="42" cm="1">
        <f t="array" ref="Z333">_xlfn.XLOOKUP(Table8[[#This Row],[Admin2PCODE]:[Admin2PCODE]],tblPiNAnalysis[[Admin2PCODE]:[Admin2PCODE]],tblPiNAnalysis[Severidad],0,0)</f>
        <v>2</v>
      </c>
      <c r="AA333">
        <f>_xlfn.XLOOKUP(Table8[[#This Row],[Admin2PCODE]],tblSeverityAnalysis[Admin 2 Código P],tblSeverityAnalysis[Severidad Ttotal 2025],0,0)</f>
        <v>2</v>
      </c>
      <c r="AB333" t="str">
        <f>_xlfn.XLOOKUP(Table8[[#This Row],[Admin2PCODE]],tblSeverityAnalysis[Admin 2 Código P],tblSeverityAnalysis[Priorización Final 2025],0,0)</f>
        <v>No</v>
      </c>
      <c r="AC333">
        <v>3</v>
      </c>
      <c r="AD333" t="s">
        <v>1128</v>
      </c>
      <c r="AE333">
        <v>4</v>
      </c>
      <c r="AF333">
        <v>0</v>
      </c>
      <c r="AG333">
        <v>1</v>
      </c>
      <c r="AH333">
        <v>0</v>
      </c>
      <c r="AI333">
        <v>0</v>
      </c>
      <c r="AJ333">
        <v>2</v>
      </c>
      <c r="AK333">
        <v>0</v>
      </c>
      <c r="AL333">
        <v>0</v>
      </c>
      <c r="AM333">
        <v>1</v>
      </c>
      <c r="AN333">
        <v>0</v>
      </c>
      <c r="AO333" s="314">
        <f>Table8[[#This Row],[N° Clústeres con respuesta]]/Table8[[#This Row],[Org Total]]</f>
        <v>0.75</v>
      </c>
      <c r="AP333" s="313">
        <v>4138</v>
      </c>
      <c r="AQ333" s="313">
        <v>217</v>
      </c>
      <c r="AR333" s="312">
        <f>Table8[[#This Row],[Alcanzados Oct 2025]]/Table8[[#This Row],[Meta 2025]]</f>
        <v>5.2440792653455776E-2</v>
      </c>
      <c r="AS333" s="423">
        <v>0</v>
      </c>
      <c r="AT333" s="423">
        <v>217</v>
      </c>
      <c r="AU333" s="423">
        <v>0</v>
      </c>
      <c r="AV333" s="423">
        <v>0</v>
      </c>
      <c r="AW333" s="423">
        <v>1</v>
      </c>
      <c r="AX333" s="423">
        <v>0</v>
      </c>
      <c r="AY333" s="423">
        <v>0</v>
      </c>
      <c r="AZ333" s="423">
        <v>0</v>
      </c>
      <c r="BA333" s="42">
        <v>0</v>
      </c>
    </row>
    <row r="334" spans="1:53">
      <c r="A334" t="s">
        <v>276</v>
      </c>
      <c r="B334" t="s">
        <v>455</v>
      </c>
      <c r="C334" t="s">
        <v>485</v>
      </c>
      <c r="D334" t="s">
        <v>486</v>
      </c>
      <c r="E334" s="8">
        <v>214736</v>
      </c>
      <c r="F334" s="8">
        <v>5423</v>
      </c>
      <c r="G334" s="8">
        <v>5456.6570784762444</v>
      </c>
      <c r="H334" s="8">
        <v>78378.64</v>
      </c>
      <c r="I334" s="8">
        <v>30147.151139031852</v>
      </c>
      <c r="J334" s="8">
        <v>51371.200323210702</v>
      </c>
      <c r="K334" s="8">
        <v>0</v>
      </c>
      <c r="L334" s="8">
        <v>16438.784103427424</v>
      </c>
      <c r="M334" s="8">
        <v>17979.920113123746</v>
      </c>
      <c r="N334" s="6" cm="1">
        <f t="array" ref="N334">_xlfn.XLOOKUP(Table8[[#This Row],[Admin2PCODE]:[Admin2PCODE]],tblPiNAnalysis[[Admin2PCODE]:[Admin2PCODE]],tblPiNAnalysis[% SAMV],0,0)</f>
        <v>0.05</v>
      </c>
      <c r="O334" s="6" cm="1">
        <f t="array" ref="O334">_xlfn.XLOOKUP(Table8[[#This Row],[Admin2PCODE]:[Admin2PCODE]],tblPiNAnalysis[[Admin2PCODE]:[Admin2PCODE]],tblPiNAnalysis[% NUT],0,0)</f>
        <v>0.05</v>
      </c>
      <c r="P334" s="6" cm="1">
        <f t="array" ref="P334">_xlfn.XLOOKUP(Table8[[#This Row],[Admin2PCODE]:[Admin2PCODE]],tblPiNAnalysis[[Admin2PCODE]:[Admin2PCODE]],tblPiNAnalysis[% SAL],0,0)</f>
        <v>0.35000000000000003</v>
      </c>
      <c r="Q334" s="6" cm="1">
        <f t="array" ref="Q334">_xlfn.XLOOKUP(Table8[[#This Row],[Admin2PCODE]:[Admin2PCODE]],tblPiNAnalysis[[Admin2PCODE]:[Admin2PCODE]],tblPiNAnalysis[% EDU],0,0)</f>
        <v>0.15000000000000002</v>
      </c>
      <c r="R334" s="6" cm="1">
        <f t="array" ref="R334">_xlfn.XLOOKUP(Table8[[#This Row],[Admin2PCODE]:[Admin2PCODE]],tblPiNAnalysis[[Admin2PCODE]:[Admin2PCODE]],tblPiNAnalysis[% PRO],0,0)</f>
        <v>0.25</v>
      </c>
      <c r="S334" s="6" cm="1">
        <f t="array" ref="S334">_xlfn.XLOOKUP(Table8[[#This Row],[Admin2PCODE]:[Admin2PCODE]],tblPiNAnalysis[[Admin2PCODE]:[Admin2PCODE]],tblPiNAnalysis[% WASH],0,0)</f>
        <v>0</v>
      </c>
      <c r="T334" s="6" cm="1">
        <f t="array" ref="T334">_xlfn.XLOOKUP(Table8[[#This Row],[Admin2PCODE]:[Admin2PCODE]],tblPiNAnalysis[[Admin2PCODE]:[Admin2PCODE]],tblPiNAnalysis[% NNA],0,0)</f>
        <v>0.1</v>
      </c>
      <c r="U334" s="6" cm="1">
        <f t="array" ref="U334">_xlfn.XLOOKUP(Table8[[#This Row],[Admin2PCODE]:[Admin2PCODE]],tblPiNAnalysis[[Admin2PCODE]:[Admin2PCODE]],tblPiNAnalysis[% VBG],0,0)</f>
        <v>0.1</v>
      </c>
      <c r="V334" s="8" cm="1">
        <f t="array" ref="V334">_xlfn.XLOOKUP(Table8[[#This Row],[Admin2PCODE]:[Admin2PCODE]],tblPiNAnalysis[[Admin2PCODE]:[Admin2PCODE]],tblPiNAnalysis[PiN preliminar],0,0)</f>
        <v>0</v>
      </c>
      <c r="W334" s="308" cm="1">
        <f t="array" ref="W334">_xlfn.XLOOKUP(Table8[[#This Row],[Admin2PCODE]],tblPiNAnalysis[Admin2PCODE],tblSeverityAnalysis[Severidad media],0,0)</f>
        <v>2</v>
      </c>
      <c r="X334" s="42">
        <f>Table8[[#This Row],[Severidad media]]*6</f>
        <v>12</v>
      </c>
      <c r="Y334" s="6" cm="1">
        <f t="array" ref="Y334">_xlfn.XLOOKUP(Table8[[#This Row],[Admin2PCODE]],tblPiNAnalysis[Admin2PCODE],tblPiNAnalysis[% PiN Sectores más altos],0,0)</f>
        <v>0.36499999999999999</v>
      </c>
      <c r="Z334" s="42" cm="1">
        <f t="array" ref="Z334">_xlfn.XLOOKUP(Table8[[#This Row],[Admin2PCODE]:[Admin2PCODE]],tblPiNAnalysis[[Admin2PCODE]:[Admin2PCODE]],tblPiNAnalysis[Severidad],0,0)</f>
        <v>2</v>
      </c>
      <c r="AA334">
        <f>_xlfn.XLOOKUP(Table8[[#This Row],[Admin2PCODE]],tblSeverityAnalysis[Admin 2 Código P],tblSeverityAnalysis[Severidad Ttotal 2025],0,0)</f>
        <v>2</v>
      </c>
      <c r="AB334" t="str">
        <f>_xlfn.XLOOKUP(Table8[[#This Row],[Admin2PCODE]],tblSeverityAnalysis[Admin 2 Código P],tblSeverityAnalysis[Priorización Final 2025],0,0)</f>
        <v>No</v>
      </c>
      <c r="AC334">
        <v>6</v>
      </c>
      <c r="AD334" t="s">
        <v>1129</v>
      </c>
      <c r="AE334">
        <v>14</v>
      </c>
      <c r="AF334">
        <v>0</v>
      </c>
      <c r="AG334">
        <v>2</v>
      </c>
      <c r="AH334">
        <v>0</v>
      </c>
      <c r="AI334">
        <v>5</v>
      </c>
      <c r="AJ334">
        <v>4</v>
      </c>
      <c r="AK334">
        <v>3</v>
      </c>
      <c r="AL334">
        <v>3</v>
      </c>
      <c r="AM334">
        <v>3</v>
      </c>
      <c r="AN334">
        <v>0</v>
      </c>
      <c r="AO334" s="314">
        <f>Table8[[#This Row],[N° Clústeres con respuesta]]/Table8[[#This Row],[Org Total]]</f>
        <v>0.42857142857142855</v>
      </c>
      <c r="AP334" s="313">
        <v>35277</v>
      </c>
      <c r="AQ334" s="313">
        <v>154122</v>
      </c>
      <c r="AR334" s="312">
        <f>Table8[[#This Row],[Alcanzados Oct 2025]]/Table8[[#This Row],[Meta 2025]]</f>
        <v>4.368908920826601</v>
      </c>
      <c r="AS334" s="423">
        <v>0</v>
      </c>
      <c r="AT334" s="423">
        <v>154122</v>
      </c>
      <c r="AU334" s="423">
        <v>0</v>
      </c>
      <c r="AV334" s="423">
        <v>1411</v>
      </c>
      <c r="AW334" s="423">
        <v>181</v>
      </c>
      <c r="AX334" s="423">
        <v>4</v>
      </c>
      <c r="AY334" s="423">
        <v>22</v>
      </c>
      <c r="AZ334" s="423">
        <v>458</v>
      </c>
      <c r="BA334" s="42">
        <v>0</v>
      </c>
    </row>
    <row r="335" spans="1:53">
      <c r="A335" t="s">
        <v>513</v>
      </c>
      <c r="B335" t="s">
        <v>514</v>
      </c>
      <c r="C335" t="s">
        <v>534</v>
      </c>
      <c r="D335" t="s">
        <v>535</v>
      </c>
      <c r="E335" s="8">
        <v>9182</v>
      </c>
      <c r="F335" s="8">
        <v>874</v>
      </c>
      <c r="G335" s="8">
        <v>283.07551045075127</v>
      </c>
      <c r="H335" s="8">
        <v>4800</v>
      </c>
      <c r="I335" s="8">
        <v>548.50316720818068</v>
      </c>
      <c r="J335" s="8">
        <v>368.70546341625953</v>
      </c>
      <c r="K335" s="8">
        <v>5509.2</v>
      </c>
      <c r="L335" s="8">
        <v>117.98574829320305</v>
      </c>
      <c r="M335" s="8">
        <v>129.04691219569082</v>
      </c>
      <c r="N335" s="6" cm="1">
        <f t="array" ref="N335">_xlfn.XLOOKUP(Table8[[#This Row],[Admin2PCODE]:[Admin2PCODE]],tblPiNAnalysis[[Admin2PCODE]:[Admin2PCODE]],tblPiNAnalysis[% SAMV],0,0)</f>
        <v>0.1</v>
      </c>
      <c r="O335" s="6" cm="1">
        <f t="array" ref="O335">_xlfn.XLOOKUP(Table8[[#This Row],[Admin2PCODE]:[Admin2PCODE]],tblPiNAnalysis[[Admin2PCODE]:[Admin2PCODE]],tblPiNAnalysis[% NUT],0,0)</f>
        <v>0.05</v>
      </c>
      <c r="P335" s="6" cm="1">
        <f t="array" ref="P335">_xlfn.XLOOKUP(Table8[[#This Row],[Admin2PCODE]:[Admin2PCODE]],tblPiNAnalysis[[Admin2PCODE]:[Admin2PCODE]],tblPiNAnalysis[% SAL],0,0)</f>
        <v>0.5</v>
      </c>
      <c r="Q335" s="6" cm="1">
        <f t="array" ref="Q335">_xlfn.XLOOKUP(Table8[[#This Row],[Admin2PCODE]:[Admin2PCODE]],tblPiNAnalysis[[Admin2PCODE]:[Admin2PCODE]],tblPiNAnalysis[% EDU],0,0)</f>
        <v>0.05</v>
      </c>
      <c r="R335" s="6" cm="1">
        <f t="array" ref="R335">_xlfn.XLOOKUP(Table8[[#This Row],[Admin2PCODE]:[Admin2PCODE]],tblPiNAnalysis[[Admin2PCODE]:[Admin2PCODE]],tblPiNAnalysis[% PRO],0,0)</f>
        <v>0.05</v>
      </c>
      <c r="S335" s="6" cm="1">
        <f t="array" ref="S335">_xlfn.XLOOKUP(Table8[[#This Row],[Admin2PCODE]:[Admin2PCODE]],tblPiNAnalysis[[Admin2PCODE]:[Admin2PCODE]],tblPiNAnalysis[% WASH],0,0)</f>
        <v>0.60000000000000009</v>
      </c>
      <c r="T335" s="6" cm="1">
        <f t="array" ref="T335">_xlfn.XLOOKUP(Table8[[#This Row],[Admin2PCODE]:[Admin2PCODE]],tblPiNAnalysis[[Admin2PCODE]:[Admin2PCODE]],tblPiNAnalysis[% NNA],0,0)</f>
        <v>0</v>
      </c>
      <c r="U335" s="6" cm="1">
        <f t="array" ref="U335">_xlfn.XLOOKUP(Table8[[#This Row],[Admin2PCODE]:[Admin2PCODE]],tblPiNAnalysis[[Admin2PCODE]:[Admin2PCODE]],tblPiNAnalysis[% VBG],0,0)</f>
        <v>0</v>
      </c>
      <c r="V335" s="8" cm="1">
        <f t="array" ref="V335">_xlfn.XLOOKUP(Table8[[#This Row],[Admin2PCODE]:[Admin2PCODE]],tblPiNAnalysis[[Admin2PCODE]:[Admin2PCODE]],tblPiNAnalysis[PiN preliminar],0,0)</f>
        <v>5509.2</v>
      </c>
      <c r="W335" s="308" cm="1">
        <f t="array" ref="W335">_xlfn.XLOOKUP(Table8[[#This Row],[Admin2PCODE]],tblPiNAnalysis[Admin2PCODE],tblSeverityAnalysis[Severidad media],0,0)</f>
        <v>2.3333333333333335</v>
      </c>
      <c r="X335" s="42">
        <f>Table8[[#This Row],[Severidad media]]*6</f>
        <v>14</v>
      </c>
      <c r="Y335" s="6" cm="1">
        <f t="array" ref="Y335">_xlfn.XLOOKUP(Table8[[#This Row],[Admin2PCODE]],tblPiNAnalysis[Admin2PCODE],tblPiNAnalysis[% PiN Sectores más altos],0,0)</f>
        <v>0.6</v>
      </c>
      <c r="Z335" s="42" cm="1">
        <f t="array" ref="Z335">_xlfn.XLOOKUP(Table8[[#This Row],[Admin2PCODE]:[Admin2PCODE]],tblPiNAnalysis[[Admin2PCODE]:[Admin2PCODE]],tblPiNAnalysis[Severidad],0,0)</f>
        <v>3</v>
      </c>
      <c r="AA335">
        <f>_xlfn.XLOOKUP(Table8[[#This Row],[Admin2PCODE]],tblSeverityAnalysis[Admin 2 Código P],tblSeverityAnalysis[Severidad Ttotal 2025],0,0)</f>
        <v>2</v>
      </c>
      <c r="AB335" t="str">
        <f>_xlfn.XLOOKUP(Table8[[#This Row],[Admin2PCODE]],tblSeverityAnalysis[Admin 2 Código P],tblSeverityAnalysis[Priorización Final 2025],0,0)</f>
        <v>No</v>
      </c>
      <c r="AC335">
        <v>2</v>
      </c>
      <c r="AD335" t="s">
        <v>991</v>
      </c>
      <c r="AE335">
        <v>1</v>
      </c>
      <c r="AF335">
        <v>0</v>
      </c>
      <c r="AG335">
        <v>0</v>
      </c>
      <c r="AH335">
        <v>0</v>
      </c>
      <c r="AI335">
        <v>0</v>
      </c>
      <c r="AJ335">
        <v>1</v>
      </c>
      <c r="AK335">
        <v>0</v>
      </c>
      <c r="AL335">
        <v>1</v>
      </c>
      <c r="AM335">
        <v>0</v>
      </c>
      <c r="AN335">
        <v>0</v>
      </c>
      <c r="AO335" s="314">
        <f>Table8[[#This Row],[N° Clústeres con respuesta]]/Table8[[#This Row],[Org Total]]</f>
        <v>2</v>
      </c>
      <c r="AP335" s="313">
        <v>2061</v>
      </c>
      <c r="AQ335" s="313">
        <v>10</v>
      </c>
      <c r="AR335" s="312">
        <f>Table8[[#This Row],[Alcanzados Oct 2025]]/Table8[[#This Row],[Meta 2025]]</f>
        <v>4.8520135856380394E-3</v>
      </c>
      <c r="AS335" s="423">
        <v>0</v>
      </c>
      <c r="AT335" s="423">
        <v>0</v>
      </c>
      <c r="AU335" s="423">
        <v>0</v>
      </c>
      <c r="AV335" s="423">
        <v>0</v>
      </c>
      <c r="AW335" s="423">
        <v>10</v>
      </c>
      <c r="AX335" s="423">
        <v>0</v>
      </c>
      <c r="AY335" s="423">
        <v>1</v>
      </c>
      <c r="AZ335" s="423">
        <v>0</v>
      </c>
      <c r="BA335" s="42">
        <v>0</v>
      </c>
    </row>
    <row r="336" spans="1:53">
      <c r="A336" t="s">
        <v>589</v>
      </c>
      <c r="B336" t="s">
        <v>590</v>
      </c>
      <c r="C336" t="s">
        <v>133</v>
      </c>
      <c r="D336" t="s">
        <v>609</v>
      </c>
      <c r="E336" s="8">
        <v>37797</v>
      </c>
      <c r="F336" s="8">
        <v>18199</v>
      </c>
      <c r="G336" s="8">
        <v>1084.5786496147603</v>
      </c>
      <c r="H336" s="8">
        <v>13795.905000000001</v>
      </c>
      <c r="I336" s="8">
        <v>5616.0317417153929</v>
      </c>
      <c r="J336" s="8">
        <v>9079.2260189798271</v>
      </c>
      <c r="K336" s="8">
        <v>0</v>
      </c>
      <c r="L336" s="8">
        <v>2905.3523260735446</v>
      </c>
      <c r="M336" s="8">
        <v>3177.7291066429393</v>
      </c>
      <c r="N336" s="6" cm="1">
        <f t="array" ref="N336">_xlfn.XLOOKUP(Table8[[#This Row],[Admin2PCODE]:[Admin2PCODE]],tblPiNAnalysis[[Admin2PCODE]:[Admin2PCODE]],tblPiNAnalysis[% SAMV],0,0)</f>
        <v>0.5</v>
      </c>
      <c r="O336" s="6" cm="1">
        <f t="array" ref="O336">_xlfn.XLOOKUP(Table8[[#This Row],[Admin2PCODE]:[Admin2PCODE]],tblPiNAnalysis[[Admin2PCODE]:[Admin2PCODE]],tblPiNAnalysis[% NUT],0,0)</f>
        <v>0.05</v>
      </c>
      <c r="P336" s="6" cm="1">
        <f t="array" ref="P336">_xlfn.XLOOKUP(Table8[[#This Row],[Admin2PCODE]:[Admin2PCODE]],tblPiNAnalysis[[Admin2PCODE]:[Admin2PCODE]],tblPiNAnalysis[% SAL],0,0)</f>
        <v>0.35000000000000003</v>
      </c>
      <c r="Q336" s="6" cm="1">
        <f t="array" ref="Q336">_xlfn.XLOOKUP(Table8[[#This Row],[Admin2PCODE]:[Admin2PCODE]],tblPiNAnalysis[[Admin2PCODE]:[Admin2PCODE]],tblPiNAnalysis[% EDU],0,0)</f>
        <v>0.15000000000000002</v>
      </c>
      <c r="R336" s="6" cm="1">
        <f t="array" ref="R336">_xlfn.XLOOKUP(Table8[[#This Row],[Admin2PCODE]:[Admin2PCODE]],tblPiNAnalysis[[Admin2PCODE]:[Admin2PCODE]],tblPiNAnalysis[% PRO],0,0)</f>
        <v>0.25</v>
      </c>
      <c r="S336" s="6" cm="1">
        <f t="array" ref="S336">_xlfn.XLOOKUP(Table8[[#This Row],[Admin2PCODE]:[Admin2PCODE]],tblPiNAnalysis[[Admin2PCODE]:[Admin2PCODE]],tblPiNAnalysis[% WASH],0,0)</f>
        <v>0</v>
      </c>
      <c r="T336" s="6" cm="1">
        <f t="array" ref="T336">_xlfn.XLOOKUP(Table8[[#This Row],[Admin2PCODE]:[Admin2PCODE]],tblPiNAnalysis[[Admin2PCODE]:[Admin2PCODE]],tblPiNAnalysis[% NNA],0,0)</f>
        <v>0.1</v>
      </c>
      <c r="U336" s="6" cm="1">
        <f t="array" ref="U336">_xlfn.XLOOKUP(Table8[[#This Row],[Admin2PCODE]:[Admin2PCODE]],tblPiNAnalysis[[Admin2PCODE]:[Admin2PCODE]],tblPiNAnalysis[% VBG],0,0)</f>
        <v>0.1</v>
      </c>
      <c r="V336" s="8" cm="1">
        <f t="array" ref="V336">_xlfn.XLOOKUP(Table8[[#This Row],[Admin2PCODE]:[Admin2PCODE]],tblPiNAnalysis[[Admin2PCODE]:[Admin2PCODE]],tblPiNAnalysis[PiN preliminar],0,0)</f>
        <v>18199</v>
      </c>
      <c r="W336" s="308" cm="1">
        <f t="array" ref="W336">_xlfn.XLOOKUP(Table8[[#This Row],[Admin2PCODE]],tblPiNAnalysis[Admin2PCODE],tblSeverityAnalysis[Severidad media],0,0)</f>
        <v>3.6666666666666665</v>
      </c>
      <c r="X336" s="42">
        <f>Table8[[#This Row],[Severidad media]]*6</f>
        <v>22</v>
      </c>
      <c r="Y336" s="6" cm="1">
        <f t="array" ref="Y336">_xlfn.XLOOKUP(Table8[[#This Row],[Admin2PCODE]],tblPiNAnalysis[Admin2PCODE],tblPiNAnalysis[% PiN Sectores más altos],0,0)</f>
        <v>0.481493240204249</v>
      </c>
      <c r="Z336" s="42" cm="1">
        <f t="array" ref="Z336">_xlfn.XLOOKUP(Table8[[#This Row],[Admin2PCODE]:[Admin2PCODE]],tblPiNAnalysis[[Admin2PCODE]:[Admin2PCODE]],tblPiNAnalysis[Severidad],0,0)</f>
        <v>3</v>
      </c>
      <c r="AA336">
        <f>_xlfn.XLOOKUP(Table8[[#This Row],[Admin2PCODE]],tblSeverityAnalysis[Admin 2 Código P],tblSeverityAnalysis[Severidad Ttotal 2025],0,0)</f>
        <v>2</v>
      </c>
      <c r="AB336" t="str">
        <f>_xlfn.XLOOKUP(Table8[[#This Row],[Admin2PCODE]],tblSeverityAnalysis[Admin 2 Código P],tblSeverityAnalysis[Priorización Final 2025],0,0)</f>
        <v>No</v>
      </c>
      <c r="AC336">
        <v>7</v>
      </c>
      <c r="AD336" t="s">
        <v>1130</v>
      </c>
      <c r="AE336">
        <v>7</v>
      </c>
      <c r="AF336">
        <v>2</v>
      </c>
      <c r="AG336">
        <v>2</v>
      </c>
      <c r="AH336">
        <v>0</v>
      </c>
      <c r="AI336">
        <v>0</v>
      </c>
      <c r="AJ336">
        <v>4</v>
      </c>
      <c r="AK336">
        <v>2</v>
      </c>
      <c r="AL336">
        <v>1</v>
      </c>
      <c r="AM336">
        <v>5</v>
      </c>
      <c r="AN336">
        <v>2</v>
      </c>
      <c r="AO336" s="314">
        <f>Table8[[#This Row],[N° Clústeres con respuesta]]/Table8[[#This Row],[Org Total]]</f>
        <v>1</v>
      </c>
      <c r="AP336" s="313">
        <v>6210</v>
      </c>
      <c r="AQ336" s="313">
        <v>4433</v>
      </c>
      <c r="AR336" s="312">
        <f>Table8[[#This Row],[Alcanzados Oct 2025]]/Table8[[#This Row],[Meta 2025]]</f>
        <v>0.71384863123993558</v>
      </c>
      <c r="AS336" s="423">
        <v>1286</v>
      </c>
      <c r="AT336" s="423">
        <v>7</v>
      </c>
      <c r="AU336" s="423">
        <v>0</v>
      </c>
      <c r="AV336" s="423">
        <v>0</v>
      </c>
      <c r="AW336" s="423">
        <v>598</v>
      </c>
      <c r="AX336" s="423">
        <v>2246</v>
      </c>
      <c r="AY336" s="423">
        <v>76</v>
      </c>
      <c r="AZ336" s="423">
        <v>986</v>
      </c>
      <c r="BA336" s="42">
        <v>4433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3FB0-14C3-4E11-AE85-44665BFB3519}">
  <sheetPr>
    <tabColor rgb="FFBDD7EE"/>
  </sheetPr>
  <dimension ref="B1:W70"/>
  <sheetViews>
    <sheetView workbookViewId="0"/>
  </sheetViews>
  <sheetFormatPr defaultRowHeight="14.45"/>
  <cols>
    <col min="2" max="2" width="13.140625" customWidth="1"/>
    <col min="3" max="3" width="12" bestFit="1" customWidth="1"/>
    <col min="4" max="4" width="13" bestFit="1" customWidth="1"/>
    <col min="5" max="9" width="12" bestFit="1" customWidth="1"/>
    <col min="11" max="11" width="14.140625" customWidth="1"/>
    <col min="12" max="13" width="11.5703125" customWidth="1"/>
    <col min="14" max="14" width="11.42578125" customWidth="1"/>
    <col min="15" max="15" width="10.140625" bestFit="1" customWidth="1"/>
    <col min="16" max="16" width="10.7109375" customWidth="1"/>
    <col min="17" max="17" width="10.140625" bestFit="1" customWidth="1"/>
    <col min="18" max="18" width="5.7109375" bestFit="1" customWidth="1"/>
    <col min="19" max="19" width="11.85546875" customWidth="1"/>
    <col min="20" max="20" width="8.42578125" customWidth="1"/>
    <col min="21" max="21" width="9.140625" customWidth="1"/>
    <col min="22" max="22" width="10.140625" bestFit="1" customWidth="1"/>
    <col min="23" max="23" width="9.42578125" customWidth="1"/>
    <col min="24" max="24" width="14.7109375" bestFit="1" customWidth="1"/>
    <col min="25" max="25" width="4.28515625" bestFit="1" customWidth="1"/>
    <col min="26" max="26" width="3.7109375" bestFit="1" customWidth="1"/>
    <col min="27" max="27" width="10.140625" bestFit="1" customWidth="1"/>
    <col min="28" max="28" width="20.5703125" bestFit="1" customWidth="1"/>
    <col min="29" max="29" width="22.85546875" bestFit="1" customWidth="1"/>
    <col min="30" max="30" width="25.140625" bestFit="1" customWidth="1"/>
    <col min="31" max="31" width="20.5703125" bestFit="1" customWidth="1"/>
    <col min="32" max="32" width="18.28515625" bestFit="1" customWidth="1"/>
    <col min="33" max="33" width="20.5703125" bestFit="1" customWidth="1"/>
    <col min="34" max="34" width="22.85546875" bestFit="1" customWidth="1"/>
    <col min="35" max="35" width="25.140625" bestFit="1" customWidth="1"/>
    <col min="36" max="36" width="20.5703125" bestFit="1" customWidth="1"/>
    <col min="37" max="37" width="21.7109375" bestFit="1" customWidth="1"/>
    <col min="38" max="38" width="24" bestFit="1" customWidth="1"/>
    <col min="39" max="42" width="20.5703125" bestFit="1" customWidth="1"/>
    <col min="43" max="43" width="23.7109375" bestFit="1" customWidth="1"/>
    <col min="44" max="44" width="26" bestFit="1" customWidth="1"/>
    <col min="45" max="45" width="22.85546875" bestFit="1" customWidth="1"/>
    <col min="46" max="46" width="25.140625" bestFit="1" customWidth="1"/>
    <col min="47" max="350" width="14.7109375" bestFit="1" customWidth="1"/>
    <col min="351" max="351" width="11.42578125" bestFit="1" customWidth="1"/>
    <col min="352" max="352" width="9.140625" bestFit="1" customWidth="1"/>
    <col min="353" max="353" width="12.85546875" bestFit="1" customWidth="1"/>
    <col min="354" max="354" width="9.140625" bestFit="1" customWidth="1"/>
    <col min="355" max="355" width="12.85546875" bestFit="1" customWidth="1"/>
    <col min="356" max="356" width="9.140625" bestFit="1" customWidth="1"/>
    <col min="357" max="357" width="12.85546875" bestFit="1" customWidth="1"/>
    <col min="358" max="358" width="9.140625" bestFit="1" customWidth="1"/>
    <col min="359" max="359" width="12.85546875" bestFit="1" customWidth="1"/>
    <col min="360" max="360" width="9.140625" bestFit="1" customWidth="1"/>
    <col min="361" max="361" width="12.85546875" bestFit="1" customWidth="1"/>
    <col min="362" max="362" width="9.140625" bestFit="1" customWidth="1"/>
    <col min="363" max="363" width="12.85546875" bestFit="1" customWidth="1"/>
    <col min="364" max="364" width="9.140625" bestFit="1" customWidth="1"/>
    <col min="365" max="365" width="12.85546875" bestFit="1" customWidth="1"/>
    <col min="366" max="367" width="9.140625" bestFit="1" customWidth="1"/>
    <col min="368" max="368" width="12.85546875" bestFit="1" customWidth="1"/>
    <col min="369" max="369" width="9.140625" bestFit="1" customWidth="1"/>
    <col min="370" max="370" width="12.85546875" bestFit="1" customWidth="1"/>
    <col min="371" max="371" width="9.140625" bestFit="1" customWidth="1"/>
    <col min="372" max="372" width="12.85546875" bestFit="1" customWidth="1"/>
    <col min="373" max="373" width="9.140625" bestFit="1" customWidth="1"/>
    <col min="374" max="374" width="12.85546875" bestFit="1" customWidth="1"/>
    <col min="375" max="375" width="9.140625" bestFit="1" customWidth="1"/>
    <col min="376" max="376" width="12.85546875" bestFit="1" customWidth="1"/>
    <col min="377" max="377" width="9.140625" bestFit="1" customWidth="1"/>
    <col min="378" max="378" width="12.85546875" bestFit="1" customWidth="1"/>
    <col min="379" max="379" width="9.140625" bestFit="1" customWidth="1"/>
    <col min="380" max="380" width="12.85546875" bestFit="1" customWidth="1"/>
    <col min="381" max="381" width="9.140625" bestFit="1" customWidth="1"/>
    <col min="382" max="382" width="12.85546875" bestFit="1" customWidth="1"/>
    <col min="383" max="383" width="9.140625" bestFit="1" customWidth="1"/>
    <col min="384" max="384" width="12.85546875" bestFit="1" customWidth="1"/>
    <col min="385" max="385" width="9.140625" bestFit="1" customWidth="1"/>
    <col min="386" max="386" width="12.85546875" bestFit="1" customWidth="1"/>
    <col min="387" max="387" width="9.140625" bestFit="1" customWidth="1"/>
    <col min="388" max="388" width="12.85546875" bestFit="1" customWidth="1"/>
    <col min="389" max="389" width="9.140625" bestFit="1" customWidth="1"/>
    <col min="390" max="390" width="12.85546875" bestFit="1" customWidth="1"/>
    <col min="391" max="391" width="9.140625" bestFit="1" customWidth="1"/>
    <col min="392" max="392" width="12.85546875" bestFit="1" customWidth="1"/>
    <col min="393" max="393" width="9.140625" bestFit="1" customWidth="1"/>
    <col min="394" max="394" width="12.85546875" bestFit="1" customWidth="1"/>
    <col min="395" max="395" width="9.140625" bestFit="1" customWidth="1"/>
    <col min="396" max="396" width="12.85546875" bestFit="1" customWidth="1"/>
    <col min="397" max="397" width="9.140625" bestFit="1" customWidth="1"/>
    <col min="398" max="398" width="12.85546875" bestFit="1" customWidth="1"/>
    <col min="399" max="399" width="9.140625" bestFit="1" customWidth="1"/>
    <col min="400" max="400" width="12.85546875" bestFit="1" customWidth="1"/>
    <col min="401" max="401" width="9.140625" bestFit="1" customWidth="1"/>
    <col min="402" max="402" width="12.85546875" bestFit="1" customWidth="1"/>
    <col min="403" max="403" width="9.140625" bestFit="1" customWidth="1"/>
    <col min="404" max="404" width="12.85546875" bestFit="1" customWidth="1"/>
    <col min="405" max="405" width="9.140625" bestFit="1" customWidth="1"/>
    <col min="406" max="406" width="12.85546875" bestFit="1" customWidth="1"/>
    <col min="407" max="407" width="9.140625" bestFit="1" customWidth="1"/>
    <col min="408" max="408" width="12.85546875" bestFit="1" customWidth="1"/>
    <col min="409" max="409" width="9.140625" bestFit="1" customWidth="1"/>
    <col min="410" max="410" width="12.85546875" bestFit="1" customWidth="1"/>
    <col min="411" max="411" width="9.140625" bestFit="1" customWidth="1"/>
    <col min="412" max="412" width="12.85546875" bestFit="1" customWidth="1"/>
    <col min="413" max="413" width="9.140625" bestFit="1" customWidth="1"/>
    <col min="414" max="414" width="12.85546875" bestFit="1" customWidth="1"/>
    <col min="415" max="415" width="9.140625" bestFit="1" customWidth="1"/>
    <col min="416" max="416" width="12.85546875" bestFit="1" customWidth="1"/>
    <col min="417" max="417" width="9.140625" bestFit="1" customWidth="1"/>
    <col min="418" max="418" width="12.85546875" bestFit="1" customWidth="1"/>
    <col min="419" max="419" width="9.140625" bestFit="1" customWidth="1"/>
    <col min="420" max="420" width="12.85546875" bestFit="1" customWidth="1"/>
    <col min="421" max="421" width="9.140625" bestFit="1" customWidth="1"/>
    <col min="422" max="422" width="12.85546875" bestFit="1" customWidth="1"/>
    <col min="423" max="423" width="9.140625" bestFit="1" customWidth="1"/>
    <col min="424" max="424" width="12.85546875" bestFit="1" customWidth="1"/>
    <col min="425" max="425" width="9.140625" bestFit="1" customWidth="1"/>
    <col min="426" max="426" width="12.85546875" bestFit="1" customWidth="1"/>
    <col min="427" max="427" width="9.140625" bestFit="1" customWidth="1"/>
    <col min="428" max="428" width="12.85546875" bestFit="1" customWidth="1"/>
    <col min="429" max="429" width="9.140625" bestFit="1" customWidth="1"/>
    <col min="430" max="430" width="12.85546875" bestFit="1" customWidth="1"/>
    <col min="431" max="431" width="9.140625" bestFit="1" customWidth="1"/>
    <col min="432" max="432" width="12.85546875" bestFit="1" customWidth="1"/>
    <col min="433" max="433" width="9.140625" bestFit="1" customWidth="1"/>
    <col min="434" max="434" width="12.85546875" bestFit="1" customWidth="1"/>
    <col min="435" max="435" width="9.140625" bestFit="1" customWidth="1"/>
    <col min="436" max="436" width="12.85546875" bestFit="1" customWidth="1"/>
    <col min="437" max="437" width="9.140625" bestFit="1" customWidth="1"/>
    <col min="438" max="438" width="12.85546875" bestFit="1" customWidth="1"/>
    <col min="439" max="439" width="9.140625" bestFit="1" customWidth="1"/>
    <col min="440" max="440" width="12.85546875" bestFit="1" customWidth="1"/>
    <col min="441" max="441" width="9.140625" bestFit="1" customWidth="1"/>
    <col min="442" max="442" width="12.85546875" bestFit="1" customWidth="1"/>
    <col min="443" max="443" width="9.140625" bestFit="1" customWidth="1"/>
    <col min="444" max="444" width="12.85546875" bestFit="1" customWidth="1"/>
    <col min="445" max="445" width="9.140625" bestFit="1" customWidth="1"/>
    <col min="446" max="446" width="12.85546875" bestFit="1" customWidth="1"/>
    <col min="447" max="447" width="9.140625" bestFit="1" customWidth="1"/>
    <col min="448" max="448" width="12.85546875" bestFit="1" customWidth="1"/>
    <col min="449" max="449" width="9.140625" bestFit="1" customWidth="1"/>
    <col min="450" max="450" width="12.85546875" bestFit="1" customWidth="1"/>
    <col min="451" max="451" width="9.140625" bestFit="1" customWidth="1"/>
    <col min="452" max="452" width="12.85546875" bestFit="1" customWidth="1"/>
    <col min="453" max="453" width="9.140625" bestFit="1" customWidth="1"/>
    <col min="454" max="454" width="12.85546875" bestFit="1" customWidth="1"/>
    <col min="455" max="455" width="9.140625" bestFit="1" customWidth="1"/>
    <col min="456" max="456" width="12.85546875" bestFit="1" customWidth="1"/>
    <col min="457" max="457" width="9.140625" bestFit="1" customWidth="1"/>
    <col min="458" max="458" width="12.85546875" bestFit="1" customWidth="1"/>
    <col min="459" max="459" width="9.140625" bestFit="1" customWidth="1"/>
    <col min="460" max="460" width="12.85546875" bestFit="1" customWidth="1"/>
    <col min="461" max="461" width="9.140625" bestFit="1" customWidth="1"/>
    <col min="462" max="462" width="12.85546875" bestFit="1" customWidth="1"/>
    <col min="463" max="463" width="9.140625" bestFit="1" customWidth="1"/>
    <col min="464" max="464" width="12.85546875" bestFit="1" customWidth="1"/>
    <col min="465" max="465" width="9.140625" bestFit="1" customWidth="1"/>
    <col min="466" max="466" width="12.85546875" bestFit="1" customWidth="1"/>
    <col min="467" max="467" width="9.140625" bestFit="1" customWidth="1"/>
    <col min="468" max="468" width="12.85546875" bestFit="1" customWidth="1"/>
    <col min="469" max="469" width="9.140625" bestFit="1" customWidth="1"/>
    <col min="470" max="470" width="12.85546875" bestFit="1" customWidth="1"/>
    <col min="471" max="471" width="9.140625" bestFit="1" customWidth="1"/>
    <col min="472" max="472" width="12.85546875" bestFit="1" customWidth="1"/>
    <col min="473" max="473" width="9.140625" bestFit="1" customWidth="1"/>
    <col min="474" max="474" width="12.85546875" bestFit="1" customWidth="1"/>
    <col min="475" max="475" width="9.140625" bestFit="1" customWidth="1"/>
    <col min="476" max="476" width="12.85546875" bestFit="1" customWidth="1"/>
    <col min="477" max="477" width="9.140625" bestFit="1" customWidth="1"/>
    <col min="478" max="478" width="12.85546875" bestFit="1" customWidth="1"/>
    <col min="479" max="479" width="9.140625" bestFit="1" customWidth="1"/>
    <col min="480" max="480" width="12.85546875" bestFit="1" customWidth="1"/>
    <col min="481" max="481" width="9.140625" bestFit="1" customWidth="1"/>
    <col min="482" max="482" width="12.85546875" bestFit="1" customWidth="1"/>
    <col min="483" max="483" width="9.140625" bestFit="1" customWidth="1"/>
    <col min="484" max="484" width="12.85546875" bestFit="1" customWidth="1"/>
    <col min="485" max="485" width="9.140625" bestFit="1" customWidth="1"/>
    <col min="486" max="486" width="12.85546875" bestFit="1" customWidth="1"/>
    <col min="487" max="487" width="9.140625" bestFit="1" customWidth="1"/>
    <col min="488" max="488" width="12.85546875" bestFit="1" customWidth="1"/>
    <col min="489" max="489" width="9.140625" bestFit="1" customWidth="1"/>
    <col min="490" max="490" width="12.85546875" bestFit="1" customWidth="1"/>
    <col min="491" max="491" width="9.140625" bestFit="1" customWidth="1"/>
    <col min="492" max="492" width="12.85546875" bestFit="1" customWidth="1"/>
    <col min="493" max="493" width="9.140625" bestFit="1" customWidth="1"/>
    <col min="494" max="494" width="12.85546875" bestFit="1" customWidth="1"/>
    <col min="495" max="495" width="9.140625" bestFit="1" customWidth="1"/>
    <col min="496" max="496" width="12.85546875" bestFit="1" customWidth="1"/>
    <col min="497" max="497" width="9.140625" bestFit="1" customWidth="1"/>
    <col min="498" max="498" width="12.85546875" bestFit="1" customWidth="1"/>
    <col min="499" max="499" width="9.140625" bestFit="1" customWidth="1"/>
    <col min="500" max="500" width="12.85546875" bestFit="1" customWidth="1"/>
    <col min="501" max="501" width="9.140625" bestFit="1" customWidth="1"/>
    <col min="502" max="502" width="12.85546875" bestFit="1" customWidth="1"/>
    <col min="503" max="503" width="9.140625" bestFit="1" customWidth="1"/>
    <col min="504" max="504" width="12.85546875" bestFit="1" customWidth="1"/>
    <col min="505" max="505" width="9.140625" bestFit="1" customWidth="1"/>
    <col min="506" max="506" width="12.85546875" bestFit="1" customWidth="1"/>
    <col min="507" max="507" width="9.140625" bestFit="1" customWidth="1"/>
    <col min="508" max="508" width="12.85546875" bestFit="1" customWidth="1"/>
    <col min="509" max="509" width="9.140625" bestFit="1" customWidth="1"/>
    <col min="510" max="510" width="12.85546875" bestFit="1" customWidth="1"/>
    <col min="511" max="511" width="9.140625" bestFit="1" customWidth="1"/>
    <col min="512" max="512" width="12.85546875" bestFit="1" customWidth="1"/>
    <col min="513" max="513" width="9.140625" bestFit="1" customWidth="1"/>
    <col min="514" max="514" width="12.85546875" bestFit="1" customWidth="1"/>
    <col min="515" max="515" width="9.140625" bestFit="1" customWidth="1"/>
    <col min="516" max="516" width="12.85546875" bestFit="1" customWidth="1"/>
    <col min="517" max="517" width="9.140625" bestFit="1" customWidth="1"/>
    <col min="518" max="518" width="12.85546875" bestFit="1" customWidth="1"/>
    <col min="519" max="519" width="9.140625" bestFit="1" customWidth="1"/>
    <col min="520" max="520" width="12.85546875" bestFit="1" customWidth="1"/>
    <col min="521" max="521" width="9.140625" bestFit="1" customWidth="1"/>
    <col min="522" max="522" width="12.85546875" bestFit="1" customWidth="1"/>
    <col min="523" max="523" width="9.140625" bestFit="1" customWidth="1"/>
    <col min="524" max="524" width="12.85546875" bestFit="1" customWidth="1"/>
    <col min="525" max="525" width="9.140625" bestFit="1" customWidth="1"/>
    <col min="526" max="526" width="12.85546875" bestFit="1" customWidth="1"/>
    <col min="527" max="527" width="9.140625" bestFit="1" customWidth="1"/>
    <col min="528" max="528" width="12.85546875" bestFit="1" customWidth="1"/>
    <col min="529" max="529" width="9.140625" bestFit="1" customWidth="1"/>
    <col min="530" max="530" width="12.85546875" bestFit="1" customWidth="1"/>
    <col min="531" max="531" width="9.140625" bestFit="1" customWidth="1"/>
    <col min="532" max="532" width="12.85546875" bestFit="1" customWidth="1"/>
    <col min="533" max="533" width="9.140625" bestFit="1" customWidth="1"/>
    <col min="534" max="534" width="12.85546875" bestFit="1" customWidth="1"/>
    <col min="535" max="535" width="9.140625" bestFit="1" customWidth="1"/>
    <col min="536" max="536" width="12.85546875" bestFit="1" customWidth="1"/>
    <col min="537" max="537" width="9.140625" bestFit="1" customWidth="1"/>
    <col min="538" max="538" width="12.85546875" bestFit="1" customWidth="1"/>
    <col min="539" max="539" width="9.140625" bestFit="1" customWidth="1"/>
    <col min="540" max="540" width="12.85546875" bestFit="1" customWidth="1"/>
    <col min="541" max="541" width="9.140625" bestFit="1" customWidth="1"/>
    <col min="542" max="542" width="12.85546875" bestFit="1" customWidth="1"/>
    <col min="543" max="543" width="9.140625" bestFit="1" customWidth="1"/>
    <col min="544" max="544" width="12.85546875" bestFit="1" customWidth="1"/>
    <col min="545" max="545" width="9.140625" bestFit="1" customWidth="1"/>
    <col min="546" max="546" width="12.85546875" bestFit="1" customWidth="1"/>
    <col min="547" max="547" width="9.140625" bestFit="1" customWidth="1"/>
    <col min="548" max="548" width="12.85546875" bestFit="1" customWidth="1"/>
    <col min="549" max="549" width="9.140625" bestFit="1" customWidth="1"/>
    <col min="550" max="550" width="12.85546875" bestFit="1" customWidth="1"/>
    <col min="551" max="551" width="9.140625" bestFit="1" customWidth="1"/>
    <col min="552" max="552" width="12.85546875" bestFit="1" customWidth="1"/>
    <col min="553" max="553" width="9.140625" bestFit="1" customWidth="1"/>
    <col min="554" max="554" width="12.85546875" bestFit="1" customWidth="1"/>
    <col min="555" max="555" width="9.140625" bestFit="1" customWidth="1"/>
    <col min="556" max="556" width="12.85546875" bestFit="1" customWidth="1"/>
    <col min="557" max="557" width="9.140625" bestFit="1" customWidth="1"/>
    <col min="558" max="558" width="12.85546875" bestFit="1" customWidth="1"/>
    <col min="559" max="559" width="9.140625" bestFit="1" customWidth="1"/>
    <col min="560" max="560" width="12.85546875" bestFit="1" customWidth="1"/>
    <col min="561" max="561" width="9.140625" bestFit="1" customWidth="1"/>
    <col min="562" max="562" width="12.85546875" bestFit="1" customWidth="1"/>
    <col min="563" max="563" width="9.140625" bestFit="1" customWidth="1"/>
    <col min="564" max="564" width="12.85546875" bestFit="1" customWidth="1"/>
    <col min="565" max="565" width="9.140625" bestFit="1" customWidth="1"/>
    <col min="566" max="566" width="12.85546875" bestFit="1" customWidth="1"/>
    <col min="567" max="567" width="9.140625" bestFit="1" customWidth="1"/>
    <col min="568" max="568" width="12.85546875" bestFit="1" customWidth="1"/>
    <col min="569" max="569" width="9.140625" bestFit="1" customWidth="1"/>
    <col min="570" max="570" width="12.85546875" bestFit="1" customWidth="1"/>
    <col min="571" max="571" width="9.140625" bestFit="1" customWidth="1"/>
    <col min="572" max="572" width="12.85546875" bestFit="1" customWidth="1"/>
    <col min="573" max="573" width="9.140625" bestFit="1" customWidth="1"/>
    <col min="574" max="574" width="12.85546875" bestFit="1" customWidth="1"/>
    <col min="575" max="575" width="9.140625" bestFit="1" customWidth="1"/>
    <col min="576" max="576" width="12.85546875" bestFit="1" customWidth="1"/>
    <col min="577" max="577" width="9.140625" bestFit="1" customWidth="1"/>
    <col min="578" max="578" width="12.85546875" bestFit="1" customWidth="1"/>
    <col min="579" max="579" width="9.140625" bestFit="1" customWidth="1"/>
    <col min="580" max="580" width="12.85546875" bestFit="1" customWidth="1"/>
    <col min="581" max="581" width="9.140625" bestFit="1" customWidth="1"/>
    <col min="582" max="582" width="12.85546875" bestFit="1" customWidth="1"/>
    <col min="583" max="583" width="9.140625" bestFit="1" customWidth="1"/>
    <col min="584" max="584" width="12.85546875" bestFit="1" customWidth="1"/>
    <col min="585" max="585" width="9.140625" bestFit="1" customWidth="1"/>
    <col min="586" max="586" width="12.85546875" bestFit="1" customWidth="1"/>
    <col min="587" max="587" width="9.140625" bestFit="1" customWidth="1"/>
    <col min="588" max="588" width="12.85546875" bestFit="1" customWidth="1"/>
    <col min="589" max="589" width="9.140625" bestFit="1" customWidth="1"/>
    <col min="590" max="590" width="12.85546875" bestFit="1" customWidth="1"/>
    <col min="591" max="591" width="9.140625" bestFit="1" customWidth="1"/>
    <col min="592" max="592" width="12.85546875" bestFit="1" customWidth="1"/>
    <col min="593" max="593" width="9.140625" bestFit="1" customWidth="1"/>
    <col min="594" max="594" width="12.85546875" bestFit="1" customWidth="1"/>
    <col min="595" max="595" width="9.140625" bestFit="1" customWidth="1"/>
    <col min="596" max="596" width="12.85546875" bestFit="1" customWidth="1"/>
    <col min="597" max="597" width="9.140625" bestFit="1" customWidth="1"/>
    <col min="598" max="598" width="12.85546875" bestFit="1" customWidth="1"/>
    <col min="599" max="599" width="9.140625" bestFit="1" customWidth="1"/>
    <col min="600" max="600" width="12.85546875" bestFit="1" customWidth="1"/>
    <col min="601" max="601" width="9.140625" bestFit="1" customWidth="1"/>
    <col min="602" max="602" width="12.85546875" bestFit="1" customWidth="1"/>
    <col min="603" max="603" width="9.140625" bestFit="1" customWidth="1"/>
    <col min="604" max="604" width="12.85546875" bestFit="1" customWidth="1"/>
    <col min="605" max="605" width="9.140625" bestFit="1" customWidth="1"/>
    <col min="606" max="606" width="12.85546875" bestFit="1" customWidth="1"/>
    <col min="607" max="607" width="9.140625" bestFit="1" customWidth="1"/>
    <col min="608" max="608" width="12.85546875" bestFit="1" customWidth="1"/>
    <col min="609" max="609" width="9.140625" bestFit="1" customWidth="1"/>
    <col min="610" max="610" width="12.85546875" bestFit="1" customWidth="1"/>
    <col min="611" max="611" width="9.140625" bestFit="1" customWidth="1"/>
    <col min="612" max="612" width="12.85546875" bestFit="1" customWidth="1"/>
    <col min="613" max="613" width="9.140625" bestFit="1" customWidth="1"/>
    <col min="614" max="614" width="12.85546875" bestFit="1" customWidth="1"/>
    <col min="615" max="615" width="10.140625" bestFit="1" customWidth="1"/>
    <col min="616" max="616" width="13.85546875" bestFit="1" customWidth="1"/>
    <col min="617" max="617" width="10.140625" bestFit="1" customWidth="1"/>
    <col min="618" max="618" width="13.85546875" bestFit="1" customWidth="1"/>
    <col min="619" max="619" width="10.140625" bestFit="1" customWidth="1"/>
    <col min="620" max="620" width="13.85546875" bestFit="1" customWidth="1"/>
    <col min="621" max="621" width="10.140625" bestFit="1" customWidth="1"/>
    <col min="622" max="622" width="13.85546875" bestFit="1" customWidth="1"/>
    <col min="623" max="623" width="10.140625" bestFit="1" customWidth="1"/>
    <col min="624" max="624" width="13.85546875" bestFit="1" customWidth="1"/>
    <col min="625" max="625" width="10.140625" bestFit="1" customWidth="1"/>
    <col min="626" max="626" width="13.85546875" bestFit="1" customWidth="1"/>
    <col min="627" max="627" width="10.140625" bestFit="1" customWidth="1"/>
    <col min="628" max="628" width="13.85546875" bestFit="1" customWidth="1"/>
    <col min="629" max="629" width="10.140625" bestFit="1" customWidth="1"/>
    <col min="630" max="630" width="13.85546875" bestFit="1" customWidth="1"/>
    <col min="631" max="631" width="10.140625" bestFit="1" customWidth="1"/>
    <col min="632" max="632" width="13.85546875" bestFit="1" customWidth="1"/>
    <col min="633" max="633" width="10.140625" bestFit="1" customWidth="1"/>
    <col min="634" max="634" width="13.85546875" bestFit="1" customWidth="1"/>
    <col min="635" max="635" width="10.140625" bestFit="1" customWidth="1"/>
    <col min="636" max="636" width="13.85546875" bestFit="1" customWidth="1"/>
    <col min="637" max="637" width="10.140625" bestFit="1" customWidth="1"/>
    <col min="638" max="638" width="13.85546875" bestFit="1" customWidth="1"/>
    <col min="639" max="639" width="10.140625" bestFit="1" customWidth="1"/>
    <col min="640" max="640" width="13.85546875" bestFit="1" customWidth="1"/>
    <col min="641" max="641" width="10.140625" bestFit="1" customWidth="1"/>
    <col min="642" max="642" width="13.85546875" bestFit="1" customWidth="1"/>
    <col min="643" max="643" width="10.140625" bestFit="1" customWidth="1"/>
    <col min="644" max="644" width="13.85546875" bestFit="1" customWidth="1"/>
    <col min="645" max="645" width="10.140625" bestFit="1" customWidth="1"/>
    <col min="646" max="646" width="13.85546875" bestFit="1" customWidth="1"/>
    <col min="647" max="647" width="10.140625" bestFit="1" customWidth="1"/>
    <col min="648" max="648" width="13.85546875" bestFit="1" customWidth="1"/>
    <col min="649" max="649" width="10.140625" bestFit="1" customWidth="1"/>
    <col min="650" max="650" width="13.85546875" bestFit="1" customWidth="1"/>
    <col min="651" max="651" width="10.140625" bestFit="1" customWidth="1"/>
    <col min="652" max="652" width="13.85546875" bestFit="1" customWidth="1"/>
    <col min="653" max="653" width="10.140625" bestFit="1" customWidth="1"/>
    <col min="654" max="654" width="13.85546875" bestFit="1" customWidth="1"/>
    <col min="655" max="655" width="10.140625" bestFit="1" customWidth="1"/>
    <col min="656" max="656" width="13.85546875" bestFit="1" customWidth="1"/>
    <col min="657" max="657" width="10.140625" bestFit="1" customWidth="1"/>
    <col min="658" max="658" width="13.85546875" bestFit="1" customWidth="1"/>
    <col min="659" max="659" width="10.140625" bestFit="1" customWidth="1"/>
    <col min="660" max="660" width="13.85546875" bestFit="1" customWidth="1"/>
    <col min="661" max="661" width="10.140625" bestFit="1" customWidth="1"/>
    <col min="662" max="662" width="13.85546875" bestFit="1" customWidth="1"/>
    <col min="663" max="663" width="10.140625" bestFit="1" customWidth="1"/>
    <col min="664" max="664" width="13.85546875" bestFit="1" customWidth="1"/>
    <col min="665" max="665" width="10.140625" bestFit="1" customWidth="1"/>
    <col min="666" max="666" width="13.85546875" bestFit="1" customWidth="1"/>
    <col min="667" max="667" width="10.140625" bestFit="1" customWidth="1"/>
    <col min="668" max="668" width="13.85546875" bestFit="1" customWidth="1"/>
    <col min="669" max="669" width="10.140625" bestFit="1" customWidth="1"/>
    <col min="670" max="670" width="13.85546875" bestFit="1" customWidth="1"/>
    <col min="671" max="671" width="10.140625" bestFit="1" customWidth="1"/>
    <col min="672" max="672" width="13.85546875" bestFit="1" customWidth="1"/>
    <col min="673" max="673" width="10.140625" bestFit="1" customWidth="1"/>
    <col min="674" max="674" width="13.85546875" bestFit="1" customWidth="1"/>
    <col min="675" max="675" width="10.140625" bestFit="1" customWidth="1"/>
    <col min="676" max="676" width="13.85546875" bestFit="1" customWidth="1"/>
    <col min="677" max="677" width="10.140625" bestFit="1" customWidth="1"/>
    <col min="678" max="678" width="13.85546875" bestFit="1" customWidth="1"/>
    <col min="679" max="679" width="10.140625" bestFit="1" customWidth="1"/>
    <col min="680" max="680" width="13.85546875" bestFit="1" customWidth="1"/>
    <col min="681" max="681" width="10.140625" bestFit="1" customWidth="1"/>
    <col min="682" max="682" width="13.85546875" bestFit="1" customWidth="1"/>
    <col min="683" max="683" width="11.7109375" bestFit="1" customWidth="1"/>
    <col min="684" max="684" width="15.28515625" bestFit="1" customWidth="1"/>
    <col min="685" max="685" width="11.42578125" bestFit="1" customWidth="1"/>
  </cols>
  <sheetData>
    <row r="1" spans="2:23" ht="15" thickBot="1">
      <c r="B1" s="502" t="s">
        <v>1131</v>
      </c>
      <c r="C1" s="502"/>
      <c r="D1" s="502"/>
      <c r="E1" s="502"/>
      <c r="F1" s="502"/>
      <c r="G1" s="502"/>
      <c r="H1" s="502"/>
      <c r="I1" s="502"/>
      <c r="J1" s="502"/>
    </row>
    <row r="2" spans="2:23">
      <c r="B2" s="291" t="s">
        <v>794</v>
      </c>
      <c r="C2" s="291" t="s">
        <v>92</v>
      </c>
      <c r="D2" s="291" t="s">
        <v>93</v>
      </c>
      <c r="E2" s="291" t="s">
        <v>94</v>
      </c>
      <c r="F2" s="291" t="s">
        <v>95</v>
      </c>
      <c r="G2" s="291" t="s">
        <v>96</v>
      </c>
      <c r="H2" s="291" t="s">
        <v>97</v>
      </c>
      <c r="I2" s="291" t="s">
        <v>766</v>
      </c>
      <c r="J2" s="291" t="s">
        <v>767</v>
      </c>
      <c r="L2" s="272" t="s">
        <v>1132</v>
      </c>
      <c r="M2" s="273"/>
      <c r="N2" s="273"/>
      <c r="O2" s="275"/>
    </row>
    <row r="3" spans="2:23">
      <c r="B3" s="290" cm="1">
        <f t="array" ref="B3:B7">_xlfn.UNIQUE(_xlfn._xlws.SORT('WS - 3.2 Severidad Intersector'!V4:V338))</f>
        <v>1</v>
      </c>
      <c r="C3" s="290">
        <f>COUNTIF('WS - 3.2 Severidad Intersector'!I4:I338,Analysis!$B3)</f>
        <v>8</v>
      </c>
      <c r="D3" s="290">
        <f>COUNTIF('WS - 3.2 Severidad Intersector'!J4:J338,Analysis!$B3)</f>
        <v>107</v>
      </c>
      <c r="E3" s="290">
        <f>COUNTIF('WS - 3.2 Severidad Intersector'!K4:K338,Analysis!$B3)</f>
        <v>0</v>
      </c>
      <c r="F3" s="290">
        <f>COUNTIF('WS - 3.2 Severidad Intersector'!L4:L338,Analysis!$B3)</f>
        <v>0</v>
      </c>
      <c r="G3" s="290">
        <f>COUNTIF('WS - 3.2 Severidad Intersector'!M4:M338,Analysis!$B3)</f>
        <v>9</v>
      </c>
      <c r="H3" s="290">
        <f>COUNTIF('WS - 3.2 Severidad Intersector'!N4:N338,Analysis!$B3)</f>
        <v>12</v>
      </c>
      <c r="I3" s="290">
        <f>COUNTIF('WS - 3.2 Severidad Intersector'!O4:O338,Analysis!$B3)</f>
        <v>9</v>
      </c>
      <c r="J3" s="290">
        <f>COUNTIF('WS - 3.2 Severidad Intersector'!P4:P338,Analysis!$B3)</f>
        <v>9</v>
      </c>
      <c r="L3" s="276"/>
      <c r="M3" s="271" t="s">
        <v>1133</v>
      </c>
      <c r="N3" s="269"/>
      <c r="O3" s="277"/>
    </row>
    <row r="4" spans="2:23">
      <c r="B4" s="290">
        <v>2</v>
      </c>
      <c r="C4" s="290">
        <f>COUNTIF('WS - 3.2 Severidad Intersector'!I5:I339,Analysis!$B4)</f>
        <v>88</v>
      </c>
      <c r="D4" s="290">
        <f>COUNTIF('WS - 3.2 Severidad Intersector'!J5:J339,Analysis!$B4)</f>
        <v>173</v>
      </c>
      <c r="E4" s="290">
        <f>COUNTIF('WS - 3.2 Severidad Intersector'!K5:K339,Analysis!$B4)</f>
        <v>0</v>
      </c>
      <c r="F4" s="290">
        <f>COUNTIF('WS - 3.2 Severidad Intersector'!L5:L339,Analysis!$B4)</f>
        <v>6</v>
      </c>
      <c r="G4" s="290">
        <f>COUNTIF('WS - 3.2 Severidad Intersector'!M5:M339,Analysis!$B4)</f>
        <v>77</v>
      </c>
      <c r="H4" s="290">
        <f>COUNTIF('WS - 3.2 Severidad Intersector'!N5:N339,Analysis!$B4)</f>
        <v>166</v>
      </c>
      <c r="I4" s="290">
        <f>COUNTIF('WS - 3.2 Severidad Intersector'!O5:O339,Analysis!$B4)</f>
        <v>77</v>
      </c>
      <c r="J4" s="290">
        <f>COUNTIF('WS - 3.2 Severidad Intersector'!P5:P339,Analysis!$B4)</f>
        <v>77</v>
      </c>
      <c r="L4" s="278"/>
      <c r="M4" s="270">
        <v>5</v>
      </c>
      <c r="N4" s="270">
        <v>2</v>
      </c>
      <c r="O4" s="279">
        <v>4</v>
      </c>
    </row>
    <row r="5" spans="2:23">
      <c r="B5" s="290">
        <v>3</v>
      </c>
      <c r="C5" s="290">
        <f>COUNTIF('WS - 3.2 Severidad Intersector'!I6:I340,Analysis!$B5)</f>
        <v>184</v>
      </c>
      <c r="D5" s="290">
        <f>COUNTIF('WS - 3.2 Severidad Intersector'!J6:J340,Analysis!$B5)</f>
        <v>45</v>
      </c>
      <c r="E5" s="290">
        <f>COUNTIF('WS - 3.2 Severidad Intersector'!K6:K340,Analysis!$B5)</f>
        <v>256</v>
      </c>
      <c r="F5" s="290">
        <f>COUNTIF('WS - 3.2 Severidad Intersector'!L6:L340,Analysis!$B5)</f>
        <v>232</v>
      </c>
      <c r="G5" s="290">
        <f>COUNTIF('WS - 3.2 Severidad Intersector'!M6:M340,Analysis!$B5)</f>
        <v>121</v>
      </c>
      <c r="H5" s="290">
        <f>COUNTIF('WS - 3.2 Severidad Intersector'!N6:N340,Analysis!$B5)</f>
        <v>91</v>
      </c>
      <c r="I5" s="290">
        <f>COUNTIF('WS - 3.2 Severidad Intersector'!O6:O340,Analysis!$B5)</f>
        <v>121</v>
      </c>
      <c r="J5" s="290">
        <f>COUNTIF('WS - 3.2 Severidad Intersector'!P6:P340,Analysis!$B5)</f>
        <v>121</v>
      </c>
      <c r="L5" s="278"/>
      <c r="M5" s="270">
        <v>4</v>
      </c>
      <c r="N5" s="270">
        <v>4</v>
      </c>
      <c r="O5" s="279"/>
    </row>
    <row r="6" spans="2:23">
      <c r="B6" s="290">
        <v>4</v>
      </c>
      <c r="C6" s="290">
        <f>COUNTIF('WS - 3.2 Severidad Intersector'!I7:I341,Analysis!$B6)</f>
        <v>53</v>
      </c>
      <c r="D6" s="290">
        <f>COUNTIF('WS - 3.2 Severidad Intersector'!J7:J341,Analysis!$B6)</f>
        <v>9</v>
      </c>
      <c r="E6" s="290">
        <f>COUNTIF('WS - 3.2 Severidad Intersector'!K7:K341,Analysis!$B6)</f>
        <v>76</v>
      </c>
      <c r="F6" s="290">
        <f>COUNTIF('WS - 3.2 Severidad Intersector'!L7:L341,Analysis!$B6)</f>
        <v>86</v>
      </c>
      <c r="G6" s="290">
        <f>COUNTIF('WS - 3.2 Severidad Intersector'!M7:M341,Analysis!$B6)</f>
        <v>118</v>
      </c>
      <c r="H6" s="290">
        <f>COUNTIF('WS - 3.2 Severidad Intersector'!N7:N341,Analysis!$B6)</f>
        <v>58</v>
      </c>
      <c r="I6" s="290">
        <f>COUNTIF('WS - 3.2 Severidad Intersector'!O7:O341,Analysis!$B6)</f>
        <v>118</v>
      </c>
      <c r="J6" s="290">
        <f>COUNTIF('WS - 3.2 Severidad Intersector'!P7:P341,Analysis!$B6)</f>
        <v>118</v>
      </c>
      <c r="L6" s="278"/>
      <c r="M6" s="270">
        <v>3</v>
      </c>
      <c r="N6" s="270">
        <v>4</v>
      </c>
      <c r="O6" s="279"/>
    </row>
    <row r="7" spans="2:23">
      <c r="B7" s="290">
        <v>5</v>
      </c>
      <c r="C7" s="290">
        <f>COUNTIF('WS - 3.2 Severidad Intersector'!I8:I342,Analysis!$B7)</f>
        <v>0</v>
      </c>
      <c r="D7" s="290">
        <f>COUNTIF('WS - 3.2 Severidad Intersector'!J8:J342,Analysis!$B7)</f>
        <v>0</v>
      </c>
      <c r="E7" s="290">
        <f>COUNTIF('WS - 3.2 Severidad Intersector'!K8:K342,Analysis!$B7)</f>
        <v>0</v>
      </c>
      <c r="F7" s="290">
        <f>COUNTIF('WS - 3.2 Severidad Intersector'!L8:L342,Analysis!$B7)</f>
        <v>9</v>
      </c>
      <c r="G7" s="290">
        <f>COUNTIF('WS - 3.2 Severidad Intersector'!M8:M342,Analysis!$B7)</f>
        <v>7</v>
      </c>
      <c r="H7" s="290">
        <f>COUNTIF('WS - 3.2 Severidad Intersector'!N8:N342,Analysis!$B7)</f>
        <v>5</v>
      </c>
      <c r="I7" s="290">
        <f>COUNTIF('WS - 3.2 Severidad Intersector'!O8:O342,Analysis!$B7)</f>
        <v>7</v>
      </c>
      <c r="J7" s="290">
        <f>COUNTIF('WS - 3.2 Severidad Intersector'!P8:P342,Analysis!$B7)</f>
        <v>7</v>
      </c>
      <c r="L7" s="278"/>
      <c r="M7" s="270">
        <v>2</v>
      </c>
      <c r="N7" s="270">
        <v>4</v>
      </c>
      <c r="O7" s="279"/>
      <c r="T7" t="s">
        <v>1134</v>
      </c>
      <c r="U7" t="s">
        <v>1135</v>
      </c>
      <c r="V7" t="s">
        <v>1136</v>
      </c>
      <c r="W7" t="s">
        <v>1137</v>
      </c>
    </row>
    <row r="8" spans="2:23" ht="15" thickBot="1">
      <c r="L8" s="280"/>
      <c r="M8" s="281">
        <v>1</v>
      </c>
      <c r="N8" s="281">
        <v>4</v>
      </c>
      <c r="O8" s="282"/>
      <c r="T8" t="s">
        <v>92</v>
      </c>
      <c r="U8" s="159">
        <f>SUM(tblPiNHistorical[SAMV25])</f>
        <v>4384836</v>
      </c>
      <c r="V8" s="159">
        <f>SUM(tblPiNHistorical[SAMV26])</f>
        <v>5099878.6878000004</v>
      </c>
      <c r="W8" s="6">
        <f>(Table4[[#This Row],[2026]]-Table4[[#This Row],[2025]])/Table4[[#This Row],[2025]]</f>
        <v>0.16307170617099487</v>
      </c>
    </row>
    <row r="9" spans="2:23" ht="15" thickBot="1">
      <c r="T9" t="s">
        <v>93</v>
      </c>
      <c r="U9" s="159">
        <f>SUM(tblPiNHistorical[NUT25])</f>
        <v>1172289</v>
      </c>
      <c r="V9" s="159">
        <f>SUM(tblPiNHistorical[NUT26])</f>
        <v>1282418.3584067647</v>
      </c>
      <c r="W9" s="6">
        <f>(Table4[[#This Row],[2026]]-Table4[[#This Row],[2025]])/Table4[[#This Row],[2025]]</f>
        <v>9.394386401882529E-2</v>
      </c>
    </row>
    <row r="10" spans="2:23">
      <c r="L10" s="272" t="s">
        <v>794</v>
      </c>
      <c r="M10" s="274" t="s">
        <v>1138</v>
      </c>
      <c r="N10" s="286" t="s">
        <v>1139</v>
      </c>
      <c r="T10" t="s">
        <v>94</v>
      </c>
      <c r="U10" s="159">
        <f>SUM(tblPiNHistorical[SAL25])</f>
        <v>7088468.9999999925</v>
      </c>
      <c r="V10" s="159">
        <f>SUM(tblPiNHistorical[SAL26])</f>
        <v>10537415.136965141</v>
      </c>
      <c r="W10" s="6">
        <f>(Table4[[#This Row],[2026]]-Table4[[#This Row],[2025]])/Table4[[#This Row],[2025]]</f>
        <v>0.48655727167109736</v>
      </c>
    </row>
    <row r="11" spans="2:23">
      <c r="B11" s="235" t="s">
        <v>1140</v>
      </c>
      <c r="L11" s="278">
        <v>5</v>
      </c>
      <c r="M11" s="283">
        <f>COUNTIF(tblSeverityAnalysis[Severidad preliminar basada en la superposición de privaciones sectoriales],L11)</f>
        <v>2</v>
      </c>
      <c r="N11" s="287">
        <f>SUMIF(tblPiNAnalysis[Severidad],L11,tblPiNAnalysis[PiN final])</f>
        <v>40210.400000000001</v>
      </c>
      <c r="P11" s="422"/>
      <c r="T11" t="s">
        <v>95</v>
      </c>
      <c r="U11" s="159">
        <f>SUM(tblPiNHistorical[EDU25])</f>
        <v>2757468.0836028205</v>
      </c>
      <c r="V11" s="159">
        <f>SUM(tblPiNHistorical[EDU26])</f>
        <v>3254789.6794520281</v>
      </c>
      <c r="W11" s="6">
        <f>(Table4[[#This Row],[2026]]-Table4[[#This Row],[2025]])/Table4[[#This Row],[2025]]</f>
        <v>0.18035443412981336</v>
      </c>
    </row>
    <row r="12" spans="2:23">
      <c r="C12" s="234" t="s">
        <v>92</v>
      </c>
      <c r="D12" s="232" t="s">
        <v>93</v>
      </c>
      <c r="E12" s="232" t="s">
        <v>94</v>
      </c>
      <c r="F12" s="232" t="s">
        <v>95</v>
      </c>
      <c r="G12" s="232" t="s">
        <v>96</v>
      </c>
      <c r="H12" s="232" t="s">
        <v>97</v>
      </c>
      <c r="I12" s="233" t="s">
        <v>766</v>
      </c>
      <c r="J12" s="233" t="s">
        <v>767</v>
      </c>
      <c r="L12" s="278">
        <v>4</v>
      </c>
      <c r="M12" s="270">
        <f>COUNTIF(tblSeverityAnalysis[Severidad preliminar basada en la superposición de privaciones sectoriales],L12)</f>
        <v>31</v>
      </c>
      <c r="N12" s="287">
        <f>SUMIF(tblPiNAnalysis[Severidad],L12,tblPiNAnalysis[PiN final])</f>
        <v>1267570.1550000003</v>
      </c>
      <c r="P12" s="316"/>
      <c r="T12" t="s">
        <v>96</v>
      </c>
      <c r="U12" s="159">
        <f>SUM(tblPiNHistorical[PRO25])</f>
        <v>5499999.9999999963</v>
      </c>
      <c r="V12" s="159">
        <f>SUM(tblPiNHistorical[PRO26])</f>
        <v>5969598.3836873844</v>
      </c>
      <c r="W12" s="6">
        <f>(Table4[[#This Row],[2026]]-Table4[[#This Row],[2025]])/Table4[[#This Row],[2025]]</f>
        <v>8.5381524306797907E-2</v>
      </c>
    </row>
    <row r="13" spans="2:23">
      <c r="B13" s="232" t="s">
        <v>92</v>
      </c>
      <c r="C13" s="236">
        <f>CORREL(tblSeverityAnalysis[SAMV],tblSeverityAnalysis[SAMV])</f>
        <v>1</v>
      </c>
      <c r="D13" s="236"/>
      <c r="E13" s="264"/>
      <c r="F13" s="236"/>
      <c r="G13" s="236"/>
      <c r="H13" s="236"/>
      <c r="I13" s="236"/>
      <c r="J13" s="236"/>
      <c r="L13" s="278">
        <v>3</v>
      </c>
      <c r="M13" s="270">
        <f>COUNTIF(tblSeverityAnalysis[Severidad preliminar basada en la superposición de privaciones sectoriales],L13)</f>
        <v>199</v>
      </c>
      <c r="N13" s="287">
        <f>SUMIF(tblPiNAnalysis[Severidad],L13,tblPiNAnalysis[PiN final])</f>
        <v>8291593.8416150706</v>
      </c>
      <c r="P13" s="316"/>
      <c r="T13" t="s">
        <v>97</v>
      </c>
      <c r="U13" s="159">
        <f>SUM(tblPiNHistorical[ASH25])</f>
        <v>3616104</v>
      </c>
      <c r="V13" s="159">
        <f>SUM(tblPiNHistorical[ASH26])</f>
        <v>5179743.3924999991</v>
      </c>
      <c r="W13" s="6">
        <f>(Table4[[#This Row],[2026]]-Table4[[#This Row],[2025]])/Table4[[#This Row],[2025]]</f>
        <v>0.43240996179866487</v>
      </c>
    </row>
    <row r="14" spans="2:23">
      <c r="B14" s="232" t="s">
        <v>93</v>
      </c>
      <c r="C14" s="236" cm="1">
        <f t="array" ref="C14">CORREL(_xlfn._xlws.FILTER(tblSeverityAnalysis[NUT],tblSeverityAnalysis[NUT]&lt;&gt;0),_xlfn._xlws.FILTER(tblSeverityAnalysis[SAMV],tblSeverityAnalysis[SAMV]&lt;&gt;0))</f>
        <v>0.19076555354822897</v>
      </c>
      <c r="D14" s="236">
        <f>CORREL(tblSeverityAnalysis[NUT],tblSeverityAnalysis[NUT])</f>
        <v>0.99999999999999978</v>
      </c>
      <c r="E14" s="264"/>
      <c r="F14" s="236"/>
      <c r="G14" s="236"/>
      <c r="H14" s="236"/>
      <c r="I14" s="236"/>
      <c r="J14" s="236"/>
      <c r="L14" s="278">
        <v>2</v>
      </c>
      <c r="M14" s="270">
        <f>COUNTIF(tblSeverityAnalysis[Severidad preliminar basada en la superposición de privaciones sectoriales],L14)</f>
        <v>101</v>
      </c>
      <c r="N14" s="287">
        <f>SUMIF(tblPiNAnalysis[Severidad],L14,tblPiNAnalysis[PiN final])</f>
        <v>0</v>
      </c>
      <c r="P14" s="316"/>
      <c r="T14" t="s">
        <v>767</v>
      </c>
      <c r="U14" s="159">
        <v>1633216.5230384283</v>
      </c>
      <c r="V14" s="159">
        <f>SUM(tblPiNAnalysis[VBG])</f>
        <v>2089359.4342905867</v>
      </c>
      <c r="W14" s="6">
        <f>(Table4[[#This Row],[2026]]-Table4[[#This Row],[2025]])/Table4[[#This Row],[2025]]</f>
        <v>0.27929114408146716</v>
      </c>
    </row>
    <row r="15" spans="2:23">
      <c r="B15" s="232" t="s">
        <v>94</v>
      </c>
      <c r="C15" s="264">
        <f>CORREL(tblSeverityAnalysis[SAL],tblSeverityAnalysis[SAMV])</f>
        <v>0.28864249381140406</v>
      </c>
      <c r="D15" s="264">
        <f>CORREL(tblSeverityAnalysis[SAL],tblSeverityAnalysis[NUT])</f>
        <v>0.21302839306617483</v>
      </c>
      <c r="E15" s="264">
        <f>CORREL(tblSeverityAnalysis[SAL],tblSeverityAnalysis[SAL])</f>
        <v>1.0000000000000002</v>
      </c>
      <c r="F15" s="264"/>
      <c r="G15" s="264"/>
      <c r="H15" s="264"/>
      <c r="I15" s="264"/>
      <c r="J15" s="264"/>
      <c r="L15" s="278">
        <v>1</v>
      </c>
      <c r="M15" s="270">
        <f>COUNTIF(tblSeverityAnalysis[Severidad preliminar basada en la superposición de privaciones sectoriales],L15)</f>
        <v>2</v>
      </c>
      <c r="N15" s="287">
        <f>SUMIF(tblPiNAnalysis[Severidad],L15,tblPiNAnalysis[PiN final])</f>
        <v>0</v>
      </c>
      <c r="P15" s="316"/>
      <c r="T15" t="s">
        <v>766</v>
      </c>
      <c r="U15" s="159">
        <v>1950657</v>
      </c>
      <c r="V15" s="159">
        <f>SUM(tblPiNAnalysis[NNA])</f>
        <v>1912472.5245164516</v>
      </c>
      <c r="W15" s="6">
        <f>(Table4[[#This Row],[2026]]-Table4[[#This Row],[2025]])/Table4[[#This Row],[2025]]</f>
        <v>-1.9575186967031293E-2</v>
      </c>
    </row>
    <row r="16" spans="2:23" ht="15" thickBot="1">
      <c r="B16" s="232" t="s">
        <v>95</v>
      </c>
      <c r="C16" s="236">
        <f>CORREL(tblSeverityAnalysis[EDU],tblSeverityAnalysis[SAMV])</f>
        <v>0.15540908875715898</v>
      </c>
      <c r="D16" s="236">
        <f>CORREL(tblSeverityAnalysis[EDU],tblSeverityAnalysis[NUT])</f>
        <v>0.22254792380307209</v>
      </c>
      <c r="E16" s="264">
        <f>CORREL(tblSeverityAnalysis[EDU],tblSeverityAnalysis[SAL])</f>
        <v>0.15467050124349935</v>
      </c>
      <c r="F16" s="236">
        <f>CORREL(tblSeverityAnalysis[EDU],tblSeverityAnalysis[EDU])</f>
        <v>1</v>
      </c>
      <c r="G16" s="236"/>
      <c r="H16" s="236"/>
      <c r="I16" s="236"/>
      <c r="J16" s="236"/>
      <c r="L16" s="284" t="s">
        <v>1141</v>
      </c>
      <c r="M16" s="285">
        <f>SUM(M11:M15)</f>
        <v>335</v>
      </c>
      <c r="N16" s="288">
        <f>SUM(N11:N15)</f>
        <v>9599374.3966150712</v>
      </c>
      <c r="P16" s="316"/>
    </row>
    <row r="17" spans="2:18">
      <c r="B17" s="232" t="s">
        <v>96</v>
      </c>
      <c r="C17" s="236">
        <f>CORREL(tblSeverityAnalysis[PRO],tblSeverityAnalysis[SAMV])</f>
        <v>0.14455682631655564</v>
      </c>
      <c r="D17" s="236">
        <f>CORREL(tblSeverityAnalysis[PRO],tblSeverityAnalysis[NUT])</f>
        <v>0.27811702036838287</v>
      </c>
      <c r="E17" s="264">
        <f>CORREL(tblSeverityAnalysis[PRO],tblSeverityAnalysis[SAL])</f>
        <v>0.14465135647162988</v>
      </c>
      <c r="F17" s="236">
        <f>CORREL(tblSeverityAnalysis[PRO],tblSeverityAnalysis[EDU])</f>
        <v>0.37811316660451294</v>
      </c>
      <c r="G17" s="236">
        <f>CORREL(tblSeverityAnalysis[PRO],tblSeverityAnalysis[PRO])</f>
        <v>0.99999999999999989</v>
      </c>
      <c r="H17" s="236"/>
      <c r="I17" s="236"/>
      <c r="J17" s="236"/>
    </row>
    <row r="18" spans="2:18">
      <c r="B18" s="232" t="s">
        <v>97</v>
      </c>
      <c r="C18" s="236">
        <f>CORREL(tblSeverityAnalysis[ASH],tblSeverityAnalysis[SAMV])</f>
        <v>0.24272570107955443</v>
      </c>
      <c r="D18" s="236">
        <f>CORREL(tblSeverityAnalysis[ASH],tblSeverityAnalysis[NUT])</f>
        <v>0.32841898844201073</v>
      </c>
      <c r="E18" s="264">
        <f>CORREL(tblSeverityAnalysis[ASH],tblSeverityAnalysis[SAL])</f>
        <v>0.2198169467953931</v>
      </c>
      <c r="F18" s="236">
        <f>CORREL(tblSeverityAnalysis[ASH],tblSeverityAnalysis[EDU])</f>
        <v>0.24939919352139853</v>
      </c>
      <c r="G18" s="236">
        <f>CORREL(tblSeverityAnalysis[ASH],tblSeverityAnalysis[PRO])</f>
        <v>0.23241967418652751</v>
      </c>
      <c r="H18" s="236">
        <f>CORREL(tblSeverityAnalysis[ASH],tblSeverityAnalysis[ASH])</f>
        <v>1</v>
      </c>
      <c r="I18" s="236"/>
      <c r="J18" s="236"/>
    </row>
    <row r="19" spans="2:18">
      <c r="B19" s="233" t="s">
        <v>766</v>
      </c>
      <c r="C19" s="236">
        <f>CORREL(tblSeverityAnalysis[NNA],tblSeverityAnalysis[SAMV])</f>
        <v>0.14455682631655564</v>
      </c>
      <c r="D19" s="236">
        <f>CORREL(tblSeverityAnalysis[NNA],tblSeverityAnalysis[NUT])</f>
        <v>0.27811702036838287</v>
      </c>
      <c r="E19" s="264">
        <f>CORREL(tblSeverityAnalysis[NNA],tblSeverityAnalysis[SAL])</f>
        <v>0.14465135647162988</v>
      </c>
      <c r="F19" s="236">
        <f>CORREL(tblSeverityAnalysis[NNA],tblSeverityAnalysis[EDU])</f>
        <v>0.37811316660451294</v>
      </c>
      <c r="G19" s="236">
        <f>CORREL(tblSeverityAnalysis[NNA],tblSeverityAnalysis[PRO])</f>
        <v>0.99999999999999989</v>
      </c>
      <c r="H19" s="236">
        <f>CORREL(tblSeverityAnalysis[NNA],tblSeverityAnalysis[ASH])</f>
        <v>0.23241967418652751</v>
      </c>
      <c r="I19" s="236">
        <f>CORREL(tblSeverityAnalysis[NNA],tblSeverityAnalysis[NNA])</f>
        <v>0.99999999999999989</v>
      </c>
      <c r="J19" s="236"/>
      <c r="M19" s="236"/>
      <c r="Q19" s="289"/>
      <c r="R19" s="289"/>
    </row>
    <row r="20" spans="2:18">
      <c r="B20" s="233" t="s">
        <v>767</v>
      </c>
      <c r="C20" s="236">
        <f>CORREL(tblSeverityAnalysis[VBG],tblSeverityAnalysis[SAMV])</f>
        <v>0.14455682631655564</v>
      </c>
      <c r="D20" s="236">
        <f>CORREL(tblSeverityAnalysis[VBG],tblSeverityAnalysis[NUT])</f>
        <v>0.27811702036838287</v>
      </c>
      <c r="E20" s="264">
        <f>CORREL(tblSeverityAnalysis[VBG],tblSeverityAnalysis[SAL])</f>
        <v>0.14465135647162988</v>
      </c>
      <c r="F20" s="236">
        <f>CORREL(tblSeverityAnalysis[VBG],tblSeverityAnalysis[EDU])</f>
        <v>0.37811316660451294</v>
      </c>
      <c r="G20" s="236">
        <f>CORREL(tblSeverityAnalysis[VBG],tblSeverityAnalysis[PRO])</f>
        <v>0.99999999999999989</v>
      </c>
      <c r="H20" s="236">
        <f>CORREL(tblSeverityAnalysis[VBG],tblSeverityAnalysis[ASH])</f>
        <v>0.23241967418652751</v>
      </c>
      <c r="I20" s="236">
        <f>CORREL(tblSeverityAnalysis[VBG],tblSeverityAnalysis[NNA])</f>
        <v>0.99999999999999989</v>
      </c>
      <c r="J20" s="236">
        <f>CORREL(tblSeverityAnalysis[VBG],tblSeverityAnalysis[VBG])</f>
        <v>0.99999999999999989</v>
      </c>
      <c r="L20" s="289"/>
      <c r="M20" s="289"/>
      <c r="N20" s="236"/>
    </row>
    <row r="21" spans="2:18">
      <c r="M21" s="294"/>
      <c r="N21" s="236"/>
      <c r="O21" s="236"/>
    </row>
    <row r="22" spans="2:18">
      <c r="M22" s="42"/>
      <c r="N22" s="236"/>
      <c r="O22" s="236"/>
    </row>
    <row r="23" spans="2:18">
      <c r="M23" s="42"/>
      <c r="N23" s="236"/>
      <c r="O23" s="236"/>
      <c r="Q23" s="236"/>
    </row>
    <row r="24" spans="2:18">
      <c r="B24" s="235" t="s">
        <v>1142</v>
      </c>
      <c r="M24" s="42"/>
      <c r="N24" s="236"/>
      <c r="O24" s="236"/>
    </row>
    <row r="25" spans="2:18">
      <c r="C25" s="234" t="s">
        <v>92</v>
      </c>
      <c r="D25" s="232" t="s">
        <v>93</v>
      </c>
      <c r="E25" s="232" t="s">
        <v>94</v>
      </c>
      <c r="F25" s="232" t="s">
        <v>95</v>
      </c>
      <c r="G25" s="232" t="s">
        <v>96</v>
      </c>
      <c r="H25" s="232" t="s">
        <v>97</v>
      </c>
      <c r="I25" s="233" t="s">
        <v>766</v>
      </c>
      <c r="J25" s="233" t="s">
        <v>767</v>
      </c>
      <c r="M25" s="42"/>
      <c r="N25" s="236"/>
      <c r="O25" s="236"/>
    </row>
    <row r="26" spans="2:18">
      <c r="B26" s="232" t="s">
        <v>92</v>
      </c>
      <c r="C26" s="236">
        <f>CORREL(tblPiNAnalysis[SAMV],tblPiNAnalysis[SAMV])</f>
        <v>0.99999999999999978</v>
      </c>
      <c r="D26" s="236"/>
      <c r="E26" s="264"/>
      <c r="F26" s="236"/>
      <c r="G26" s="236"/>
      <c r="H26" s="236"/>
      <c r="I26" s="236"/>
      <c r="J26" s="236"/>
    </row>
    <row r="27" spans="2:18">
      <c r="B27" s="232" t="s">
        <v>93</v>
      </c>
      <c r="C27" s="236" cm="1">
        <f t="array" ref="C27">CORREL(_xlfn._xlws.FILTER(tblPiNAnalysis[SAMV],tblPiNAnalysis[SAMV]&lt;&gt;0),_xlfn._xlws.FILTER(tblPiNAnalysis[NUT],tblPiNAnalysis[SAMV]&lt;&gt;0))</f>
        <v>0.87042140088045161</v>
      </c>
      <c r="D27" s="236">
        <f>CORREL(tblPiNAnalysis[NUT],tblPiNAnalysis[NUT])</f>
        <v>1</v>
      </c>
      <c r="E27" s="264"/>
      <c r="F27" s="236"/>
      <c r="G27" s="236"/>
      <c r="H27" s="236"/>
      <c r="I27" s="236"/>
      <c r="J27" s="236"/>
    </row>
    <row r="28" spans="2:18">
      <c r="B28" s="232" t="s">
        <v>94</v>
      </c>
      <c r="C28" s="236" cm="1">
        <f t="array" ref="C28">CORREL(_xlfn._xlws.FILTER(tblPiNAnalysis[SAMV],tblPiNAnalysis[SAMV]&lt;&gt;0),_xlfn._xlws.FILTER(tblPiNAnalysis[SAL],tblPiNAnalysis[SAMV]&lt;&gt;0))</f>
        <v>0.91711937845333302</v>
      </c>
      <c r="D28" s="264">
        <f>CORREL(tblPiNAnalysis[SAL],tblPiNAnalysis[NUT])</f>
        <v>0.9565655902448047</v>
      </c>
      <c r="E28" s="264">
        <f>CORREL(tblPiNAnalysis[SAL],tblPiNAnalysis[SAL])</f>
        <v>1.0000000000000002</v>
      </c>
      <c r="F28" s="264"/>
      <c r="G28" s="264"/>
      <c r="H28" s="264"/>
      <c r="I28" s="264"/>
      <c r="J28" s="264"/>
    </row>
    <row r="29" spans="2:18">
      <c r="B29" s="232" t="s">
        <v>95</v>
      </c>
      <c r="C29" s="236" cm="1">
        <f t="array" ref="C29">CORREL(_xlfn._xlws.FILTER(tblPiNAnalysis[SAMV],tblPiNAnalysis[SAMV]&lt;&gt;0),_xlfn._xlws.FILTER(tblPiNAnalysis[EDU],tblPiNAnalysis[SAMV]&lt;&gt;0))</f>
        <v>0.87349062566365454</v>
      </c>
      <c r="D29" s="236">
        <f>CORREL(tblPiNAnalysis[EDU],tblPiNAnalysis[NUT])</f>
        <v>0.94005855838152186</v>
      </c>
      <c r="E29" s="264">
        <f>CORREL(tblPiNAnalysis[EDU],tblPiNAnalysis[SAL])</f>
        <v>0.96743203688137502</v>
      </c>
      <c r="F29" s="236">
        <f>CORREL(tblPiNAnalysis[EDU],tblPiNAnalysis[EDU])</f>
        <v>1</v>
      </c>
      <c r="G29" s="236"/>
      <c r="H29" s="236"/>
      <c r="I29" s="236"/>
      <c r="J29" s="236"/>
    </row>
    <row r="30" spans="2:18">
      <c r="B30" s="232" t="s">
        <v>96</v>
      </c>
      <c r="C30" s="236" cm="1">
        <f t="array" ref="C30">CORREL(_xlfn._xlws.FILTER(tblPiNAnalysis[SAMV],tblPiNAnalysis[SAMV]&lt;&gt;0),_xlfn._xlws.FILTER(tblPiNAnalysis[PRO],tblPiNAnalysis[SAMV]&lt;&gt;0))</f>
        <v>0.90266705199489805</v>
      </c>
      <c r="D30" s="236">
        <f>CORREL(tblPiNAnalysis[PRO],tblPiNAnalysis[NUT])</f>
        <v>0.95376726426878156</v>
      </c>
      <c r="E30" s="264">
        <f>CORREL(tblPiNAnalysis[PRO],tblPiNAnalysis[SAL])</f>
        <v>0.98935680127065206</v>
      </c>
      <c r="F30" s="236">
        <f>CORREL(tblPiNAnalysis[PRO],tblPiNAnalysis[EDU])</f>
        <v>0.96405815186893329</v>
      </c>
      <c r="G30" s="236">
        <f>CORREL(tblPiNAnalysis[PRO],tblPiNAnalysis[PRO])</f>
        <v>0.99999999999999989</v>
      </c>
      <c r="H30" s="236"/>
      <c r="I30" s="236"/>
      <c r="J30" s="236"/>
    </row>
    <row r="31" spans="2:18">
      <c r="B31" s="232" t="s">
        <v>97</v>
      </c>
      <c r="C31" s="236" cm="1">
        <f t="array" ref="C31">CORREL(_xlfn._xlws.FILTER(tblPiNAnalysis[SAMV],tblPiNAnalysis[SAMV]&lt;&gt;0),_xlfn._xlws.FILTER(tblPiNAnalysis[ASH],tblPiNAnalysis[SAMV]&lt;&gt;0))</f>
        <v>0.62998719058572228</v>
      </c>
      <c r="D31" s="236" cm="1">
        <f t="array" ref="D31">CORREL(_xlfn._xlws.FILTER(tblPiNAnalysis[ASH],tblPiNAnalysis[ASH]&lt;&gt;0),_xlfn._xlws.FILTER(tblPiNAnalysis[NUT],tblPiNAnalysis[ASH]&lt;&gt;0))</f>
        <v>0.81518346996433633</v>
      </c>
      <c r="E31" s="236" cm="1">
        <f t="array" ref="E31">CORREL(_xlfn._xlws.FILTER(tblPiNAnalysis[ASH],tblPiNAnalysis[ASH]&lt;&gt;0),_xlfn._xlws.FILTER(tblPiNAnalysis[SAL],tblPiNAnalysis[ASH]&lt;&gt;0))</f>
        <v>0.77124288584198331</v>
      </c>
      <c r="F31" s="236" cm="1">
        <f t="array" ref="F31">CORREL(_xlfn._xlws.FILTER(tblPiNAnalysis[ASH],tblPiNAnalysis[ASH]&lt;&gt;0),_xlfn._xlws.FILTER(tblPiNAnalysis[EDU],tblPiNAnalysis[ASH]&lt;&gt;0))</f>
        <v>0.72629970323863302</v>
      </c>
      <c r="G31" s="236" cm="1">
        <f t="array" ref="G31">CORREL(_xlfn._xlws.FILTER(tblPiNAnalysis[ASH],tblPiNAnalysis[ASH]&lt;&gt;0),_xlfn._xlws.FILTER(tblPiNAnalysis[PRO],tblPiNAnalysis[ASH]&lt;&gt;0))</f>
        <v>0.78258422289172425</v>
      </c>
      <c r="H31" s="236">
        <f>CORREL(tblPiNAnalysis[ASH],tblPiNAnalysis[ASH])</f>
        <v>1</v>
      </c>
      <c r="I31" s="236"/>
      <c r="J31" s="236"/>
    </row>
    <row r="32" spans="2:18">
      <c r="B32" s="233" t="s">
        <v>766</v>
      </c>
      <c r="C32" s="236" cm="1">
        <f t="array" ref="C32">CORREL(_xlfn._xlws.FILTER(tblPiNAnalysis[SAMV],tblPiNAnalysis[SAMV]&lt;&gt;0),_xlfn._xlws.FILTER(tblPiNAnalysis[NNA],tblPiNAnalysis[SAMV]&lt;&gt;0))</f>
        <v>0.90243478141510591</v>
      </c>
      <c r="D32" s="236">
        <f>CORREL(tblPiNAnalysis[NNA],tblPiNAnalysis[NUT])</f>
        <v>0.95399368163654497</v>
      </c>
      <c r="E32" s="264">
        <f>CORREL(tblPiNAnalysis[NNA],tblPiNAnalysis[SAL])</f>
        <v>0.98938683073657308</v>
      </c>
      <c r="F32" s="236">
        <f>CORREL(tblPiNAnalysis[NNA],tblPiNAnalysis[EDU])</f>
        <v>0.96426952732630689</v>
      </c>
      <c r="G32" s="236">
        <f>CORREL(tblPiNAnalysis[NNA],tblPiNAnalysis[PRO])</f>
        <v>0.99999858958469756</v>
      </c>
      <c r="H32" s="236" cm="1">
        <f t="array" ref="H32">CORREL(_xlfn._xlws.FILTER(tblPiNAnalysis[ASH],tblPiNAnalysis[ASH]&lt;&gt;0),_xlfn._xlws.FILTER(tblPiNAnalysis[NNA],tblPiNAnalysis[ASH]&lt;&gt;0))</f>
        <v>0.78275898323788873</v>
      </c>
      <c r="I32" s="236">
        <f>CORREL(tblPiNAnalysis[NNA],tblPiNAnalysis[NNA])</f>
        <v>1.0000000000000002</v>
      </c>
      <c r="J32" s="236"/>
      <c r="M32" s="236"/>
    </row>
    <row r="33" spans="2:16">
      <c r="B33" s="233" t="s">
        <v>767</v>
      </c>
      <c r="C33" s="236" cm="1">
        <f t="array" ref="C33">CORREL(_xlfn._xlws.FILTER(tblPiNAnalysis[SAMV],tblPiNAnalysis[SAMV]&lt;&gt;0),_xlfn._xlws.FILTER(tblPiNAnalysis[VBG],tblPiNAnalysis[SAMV]&lt;&gt;0))</f>
        <v>0.90266705199490083</v>
      </c>
      <c r="D33" s="236">
        <f>CORREL(tblPiNAnalysis[VBG],tblPiNAnalysis[NUT])</f>
        <v>0.95376726426878133</v>
      </c>
      <c r="E33" s="264">
        <f>CORREL(tblPiNAnalysis[VBG],tblPiNAnalysis[SAL])</f>
        <v>0.98935680127065406</v>
      </c>
      <c r="F33" s="236">
        <f>CORREL(tblPiNAnalysis[VBG],tblPiNAnalysis[EDU])</f>
        <v>0.9640581518689334</v>
      </c>
      <c r="G33" s="236">
        <f>CORREL(tblPiNAnalysis[VBG],tblPiNAnalysis[PRO])</f>
        <v>1.0000000000000007</v>
      </c>
      <c r="H33" s="236" cm="1">
        <f t="array" ref="H33">CORREL(_xlfn._xlws.FILTER(tblPiNAnalysis[ASH],tblPiNAnalysis[ASH]&lt;&gt;0),_xlfn._xlws.FILTER(tblPiNAnalysis[VBG],tblPiNAnalysis[ASH]&lt;&gt;0))</f>
        <v>0.78258422289172302</v>
      </c>
      <c r="I33" s="236">
        <f>CORREL(tblPiNAnalysis[VBG],tblPiNAnalysis[NNA])</f>
        <v>0.99999858958469801</v>
      </c>
      <c r="J33" s="236">
        <f>CORREL(tblPiNAnalysis[VBG],tblPiNAnalysis[VBG])</f>
        <v>1.0000000000000002</v>
      </c>
      <c r="M33" s="236"/>
    </row>
    <row r="36" spans="2:16">
      <c r="M36" s="236"/>
    </row>
    <row r="37" spans="2:16">
      <c r="B37" t="s">
        <v>92</v>
      </c>
      <c r="C37" t="s">
        <v>93</v>
      </c>
      <c r="D37" t="s">
        <v>94</v>
      </c>
      <c r="E37" t="s">
        <v>95</v>
      </c>
      <c r="F37" t="s">
        <v>96</v>
      </c>
      <c r="G37" t="s">
        <v>97</v>
      </c>
      <c r="H37" t="s">
        <v>766</v>
      </c>
      <c r="I37" t="s">
        <v>767</v>
      </c>
    </row>
    <row r="38" spans="2:16">
      <c r="B38" s="316">
        <f>SUM(tblPiNAnalysis[SAMV])</f>
        <v>5099878.6878000004</v>
      </c>
      <c r="C38" s="316">
        <f>SUM(tblPiNAnalysis[NUT])</f>
        <v>1282418.3584067647</v>
      </c>
      <c r="D38" s="316">
        <f>SUM(tblPiNAnalysis[SAL])</f>
        <v>10537415.136965141</v>
      </c>
      <c r="E38" s="316">
        <f>SUM(tblPiNAnalysis[EDU])</f>
        <v>3254789.6794520281</v>
      </c>
      <c r="F38" s="316">
        <f>SUM(tblPiNAnalysis[PRO])</f>
        <v>5969598.3836873844</v>
      </c>
      <c r="G38" s="316">
        <f>SUM(tblPiNAnalysis[ASH])</f>
        <v>5179743.3924999991</v>
      </c>
      <c r="H38" s="316">
        <f>SUM(tblPiNAnalysis[NNA])</f>
        <v>1912472.5245164516</v>
      </c>
      <c r="I38" s="317">
        <v>2089359.4342905853</v>
      </c>
    </row>
    <row r="41" spans="2:16">
      <c r="C41" s="210"/>
    </row>
    <row r="42" spans="2:16">
      <c r="C42" s="210"/>
    </row>
    <row r="43" spans="2:16">
      <c r="C43" s="210"/>
      <c r="L43" t="s">
        <v>1143</v>
      </c>
    </row>
    <row r="44" spans="2:16">
      <c r="C44" s="210"/>
      <c r="K44" t="s">
        <v>1144</v>
      </c>
      <c r="L44" t="s">
        <v>94</v>
      </c>
      <c r="M44" t="s">
        <v>92</v>
      </c>
      <c r="N44" t="s">
        <v>97</v>
      </c>
      <c r="O44" t="s">
        <v>96</v>
      </c>
      <c r="P44" t="s">
        <v>95</v>
      </c>
    </row>
    <row r="45" spans="2:16">
      <c r="C45" s="210"/>
      <c r="K45" t="s">
        <v>776</v>
      </c>
      <c r="L45">
        <v>247</v>
      </c>
      <c r="M45">
        <v>36</v>
      </c>
      <c r="N45">
        <v>52</v>
      </c>
    </row>
    <row r="46" spans="2:16">
      <c r="C46" s="210"/>
      <c r="K46" t="s">
        <v>780</v>
      </c>
      <c r="L46">
        <v>83</v>
      </c>
      <c r="M46">
        <v>153</v>
      </c>
      <c r="N46">
        <v>35</v>
      </c>
      <c r="O46">
        <v>60</v>
      </c>
      <c r="P46">
        <v>4</v>
      </c>
    </row>
    <row r="47" spans="2:16">
      <c r="C47" s="210"/>
    </row>
    <row r="61" spans="5:6">
      <c r="E61" t="s">
        <v>97</v>
      </c>
      <c r="F61" t="s">
        <v>1145</v>
      </c>
    </row>
    <row r="62" spans="5:6">
      <c r="E62">
        <v>3</v>
      </c>
      <c r="F62">
        <v>2</v>
      </c>
    </row>
    <row r="63" spans="5:6">
      <c r="E63">
        <v>3</v>
      </c>
      <c r="F63">
        <v>4</v>
      </c>
    </row>
    <row r="64" spans="5:6">
      <c r="E64">
        <v>4</v>
      </c>
      <c r="F64">
        <v>4</v>
      </c>
    </row>
    <row r="65" spans="5:7">
      <c r="E65">
        <v>5</v>
      </c>
      <c r="F65">
        <v>5</v>
      </c>
      <c r="G65">
        <f>CORREL(Table5[ASH],Table5[ABC])</f>
        <v>0.65935678151882704</v>
      </c>
    </row>
    <row r="66" spans="5:7">
      <c r="E66">
        <v>0</v>
      </c>
      <c r="F66">
        <v>2</v>
      </c>
    </row>
    <row r="67" spans="5:7">
      <c r="E67">
        <v>4</v>
      </c>
      <c r="F67">
        <v>4</v>
      </c>
      <c r="G67" cm="1">
        <f t="array" ref="G67">CORREL(_xlfn._xlws.FILTER(Table5[ASH],Table5[ASH]&lt;&gt;0),_xlfn._xlws.FILTER(Table5[ABC],Table5[ASH]&lt;&gt;0))</f>
        <v>0.84162541153017356</v>
      </c>
    </row>
    <row r="68" spans="5:7">
      <c r="E68">
        <v>5</v>
      </c>
      <c r="F68">
        <v>5</v>
      </c>
    </row>
    <row r="69" spans="5:7">
      <c r="E69">
        <v>0</v>
      </c>
      <c r="F69">
        <v>4</v>
      </c>
    </row>
    <row r="70" spans="5:7">
      <c r="E70">
        <v>5</v>
      </c>
      <c r="F70">
        <v>5</v>
      </c>
    </row>
  </sheetData>
  <mergeCells count="1">
    <mergeCell ref="B1:J1"/>
  </mergeCells>
  <phoneticPr fontId="8" type="noConversion"/>
  <conditionalFormatting sqref="C13:J20">
    <cfRule type="colorScale" priority="4">
      <colorScale>
        <cfvo type="min"/>
        <cfvo type="percentile" val="50"/>
        <cfvo type="max"/>
        <color rgb="FFF8696B"/>
        <color rgb="FFFFEB84"/>
        <color rgb="FF63BE7B"/>
      </colorScale>
    </cfRule>
  </conditionalFormatting>
  <conditionalFormatting sqref="C26:J33">
    <cfRule type="colorScale" priority="3">
      <colorScale>
        <cfvo type="min"/>
        <cfvo type="percentile" val="50"/>
        <cfvo type="max"/>
        <color rgb="FFF8696B"/>
        <color rgb="FFFFEB84"/>
        <color rgb="FF63BE7B"/>
      </colorScale>
    </cfRule>
  </conditionalFormatting>
  <conditionalFormatting sqref="M18:T19 N20:T25">
    <cfRule type="colorScale" priority="2">
      <colorScale>
        <cfvo type="min"/>
        <cfvo type="percentile" val="50"/>
        <cfvo type="max"/>
        <color rgb="FFF8696B"/>
        <color rgb="FFFFEB84"/>
        <color rgb="FF63BE7B"/>
      </colorScale>
    </cfRule>
  </conditionalFormatting>
  <conditionalFormatting sqref="M31:T38">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ignoredErrors>
    <ignoredError sqref="B3:J7" formulaRange="1"/>
  </ignoredErrors>
  <drawing r:id="rId2"/>
  <tableParts count="3">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06328-64C8-47B8-A2F5-D393341A0AF7}">
  <dimension ref="A1:D8"/>
  <sheetViews>
    <sheetView workbookViewId="0">
      <selection activeCell="G12" sqref="G12"/>
    </sheetView>
  </sheetViews>
  <sheetFormatPr defaultRowHeight="14.45"/>
  <cols>
    <col min="1" max="1" width="11.140625" customWidth="1"/>
    <col min="3" max="3" width="21.140625" customWidth="1"/>
    <col min="4" max="4" width="74.140625" customWidth="1"/>
  </cols>
  <sheetData>
    <row r="1" spans="1:4">
      <c r="A1" s="289" t="s">
        <v>1146</v>
      </c>
      <c r="B1" s="289" t="s">
        <v>1147</v>
      </c>
      <c r="C1" s="289" t="s">
        <v>1148</v>
      </c>
      <c r="D1" s="289" t="s">
        <v>1149</v>
      </c>
    </row>
    <row r="2" spans="1:4">
      <c r="A2" t="s">
        <v>103</v>
      </c>
      <c r="B2" t="s">
        <v>116</v>
      </c>
      <c r="C2" t="s">
        <v>115</v>
      </c>
      <c r="D2" t="s">
        <v>1150</v>
      </c>
    </row>
    <row r="3" spans="1:4">
      <c r="A3" t="s">
        <v>119</v>
      </c>
      <c r="B3" t="s">
        <v>140</v>
      </c>
      <c r="C3" t="s">
        <v>139</v>
      </c>
      <c r="D3" t="s">
        <v>1151</v>
      </c>
    </row>
    <row r="4" spans="1:4">
      <c r="A4" t="s">
        <v>261</v>
      </c>
      <c r="B4" t="s">
        <v>289</v>
      </c>
      <c r="C4" t="s">
        <v>288</v>
      </c>
      <c r="D4" t="s">
        <v>1152</v>
      </c>
    </row>
    <row r="5" spans="1:4">
      <c r="A5" t="s">
        <v>316</v>
      </c>
      <c r="B5" t="s">
        <v>335</v>
      </c>
      <c r="C5" t="s">
        <v>334</v>
      </c>
      <c r="D5" t="s">
        <v>1153</v>
      </c>
    </row>
    <row r="6" spans="1:4">
      <c r="A6" t="s">
        <v>316</v>
      </c>
      <c r="B6" t="s">
        <v>341</v>
      </c>
      <c r="C6" t="s">
        <v>340</v>
      </c>
      <c r="D6" t="s">
        <v>1154</v>
      </c>
    </row>
    <row r="7" spans="1:4">
      <c r="A7" t="s">
        <v>276</v>
      </c>
      <c r="B7" t="s">
        <v>482</v>
      </c>
      <c r="C7" t="s">
        <v>481</v>
      </c>
      <c r="D7" t="s">
        <v>1155</v>
      </c>
    </row>
    <row r="8" spans="1:4">
      <c r="A8" t="s">
        <v>642</v>
      </c>
      <c r="B8" t="s">
        <v>677</v>
      </c>
      <c r="C8" t="s">
        <v>676</v>
      </c>
      <c r="D8" t="s">
        <v>1156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46DA3-233E-4C03-8274-2F57BF3175B7}">
  <sheetPr>
    <tabColor theme="7" tint="0.59999389629810485"/>
  </sheetPr>
  <dimension ref="A1:AA336"/>
  <sheetViews>
    <sheetView workbookViewId="0">
      <selection activeCell="T15" sqref="T15"/>
    </sheetView>
  </sheetViews>
  <sheetFormatPr defaultRowHeight="14.45"/>
  <cols>
    <col min="1" max="1" width="10" customWidth="1"/>
    <col min="2" max="2" width="4.5703125" customWidth="1"/>
    <col min="3" max="3" width="10" customWidth="1"/>
    <col min="4" max="4" width="7.5703125" customWidth="1"/>
    <col min="5" max="5" width="11.85546875" customWidth="1"/>
    <col min="6" max="6" width="9.140625" bestFit="1" customWidth="1"/>
    <col min="7" max="7" width="9.42578125" bestFit="1" customWidth="1"/>
    <col min="8" max="13" width="10.42578125" bestFit="1" customWidth="1"/>
    <col min="14" max="15" width="9.140625" bestFit="1" customWidth="1"/>
    <col min="16" max="16" width="8.85546875" style="318"/>
    <col min="17" max="21" width="9.140625" bestFit="1" customWidth="1"/>
    <col min="27" max="27" width="11.7109375" customWidth="1"/>
  </cols>
  <sheetData>
    <row r="1" spans="1:27" s="359" customFormat="1">
      <c r="A1" s="359" t="s">
        <v>761</v>
      </c>
      <c r="B1" s="359" t="s">
        <v>762</v>
      </c>
      <c r="C1" s="359" t="s">
        <v>763</v>
      </c>
      <c r="D1" s="359" t="s">
        <v>764</v>
      </c>
      <c r="E1" s="359" t="s">
        <v>62</v>
      </c>
      <c r="F1" s="359" t="s">
        <v>92</v>
      </c>
      <c r="G1" s="359" t="s">
        <v>93</v>
      </c>
      <c r="H1" s="359" t="s">
        <v>94</v>
      </c>
      <c r="I1" s="359" t="s">
        <v>95</v>
      </c>
      <c r="J1" s="359" t="s">
        <v>96</v>
      </c>
      <c r="K1" s="359" t="s">
        <v>97</v>
      </c>
      <c r="L1" s="359" t="s">
        <v>766</v>
      </c>
      <c r="M1" s="359" t="s">
        <v>767</v>
      </c>
      <c r="N1" s="359" t="s">
        <v>776</v>
      </c>
      <c r="O1" s="359" t="s">
        <v>753</v>
      </c>
      <c r="P1" s="359" t="s">
        <v>1157</v>
      </c>
      <c r="Q1" s="360" t="s">
        <v>1158</v>
      </c>
      <c r="R1" s="360" t="s">
        <v>1159</v>
      </c>
      <c r="S1" s="360" t="s">
        <v>1160</v>
      </c>
      <c r="T1" s="359" t="s">
        <v>1161</v>
      </c>
      <c r="U1" s="359" t="s">
        <v>1162</v>
      </c>
      <c r="V1" s="359" t="s">
        <v>1163</v>
      </c>
      <c r="W1" s="359" t="s">
        <v>1164</v>
      </c>
      <c r="X1" s="359" t="s">
        <v>1165</v>
      </c>
      <c r="Y1" s="359" t="s">
        <v>1166</v>
      </c>
      <c r="Z1" s="359" t="s">
        <v>1167</v>
      </c>
      <c r="AA1" s="359" t="s">
        <v>1168</v>
      </c>
    </row>
    <row r="2" spans="1:27">
      <c r="A2" t="s">
        <v>98</v>
      </c>
      <c r="B2" t="s">
        <v>99</v>
      </c>
      <c r="C2" s="42" t="s">
        <v>100</v>
      </c>
      <c r="D2" t="s">
        <v>101</v>
      </c>
      <c r="E2" s="8" cm="1">
        <f t="array" aca="1" ref="E2" ca="1">_xlfn.XLOOKUP(Table11[[#This Row],[Admin2PCODE]], tblPiNAnalysis[Admin2PCODE], INDIRECT("tblPiNAnalysis[" &amp; Table11[[#Headers],[Población]] &amp; "]"), "NOT FOUND", 0, 1)</f>
        <v>1987792</v>
      </c>
      <c r="F2" s="8" cm="1">
        <f t="array" aca="1" ref="F2" ca="1">_xlfn.XLOOKUP(Table11[[#This Row],[Admin2PCODE]], tblPiNAnalysis[Admin2PCODE], INDIRECT("tblPiNAnalysis[" &amp; Table11[[#Headers],[SAMV]] &amp; "]"), "NOT FOUND", 0, 1)</f>
        <v>407399</v>
      </c>
      <c r="G2" s="8" cm="1">
        <f t="array" aca="1" ref="G2" ca="1">_xlfn.XLOOKUP(Table11[[#This Row],[Admin2PCODE]], tblPiNAnalysis[Admin2PCODE], INDIRECT("tblPiNAnalysis[" &amp; Table11[[#Headers],[NUT]] &amp; "]"), "NOT FOUND", 0, 1)</f>
        <v>72481.959421549807</v>
      </c>
      <c r="H2" s="8" cm="1">
        <f t="array" aca="1" ref="H2" ca="1">_xlfn.XLOOKUP(Table11[[#This Row],[Admin2PCODE]], tblPiNAnalysis[Admin2PCODE], INDIRECT("tblPiNAnalysis[" &amp; Table11[[#Headers],[SAL]] &amp; "]"), "NOT FOUND", 0, 1)</f>
        <v>725544.08</v>
      </c>
      <c r="I2" s="8" cm="1">
        <f t="array" aca="1" ref="I2" ca="1">_xlfn.XLOOKUP(Table11[[#This Row],[Admin2PCODE]], tblPiNAnalysis[Admin2PCODE], INDIRECT("tblPiNAnalysis[" &amp; Table11[[#Headers],[EDU]] &amp; "]"), "NOT FOUND", 0, 1)</f>
        <v>246169.73099071888</v>
      </c>
      <c r="J2" s="8" cm="1">
        <f t="array" aca="1" ref="J2" ca="1">_xlfn.XLOOKUP(Table11[[#This Row],[Admin2PCODE]], tblPiNAnalysis[Admin2PCODE], INDIRECT("tblPiNAnalysis[" &amp; Table11[[#Headers],[PRO]] &amp; "]"), "NOT FOUND", 0, 1)</f>
        <v>475623.18</v>
      </c>
      <c r="K2" s="8" cm="1">
        <f t="array" aca="1" ref="K2" ca="1">_xlfn.XLOOKUP(Table11[[#This Row],[Admin2PCODE]], tblPiNAnalysis[Admin2PCODE], INDIRECT("tblPiNAnalysis[" &amp; Table11[[#Headers],[ASH]] &amp; "]"), "NOT FOUND", 0, 1)</f>
        <v>268351.92</v>
      </c>
      <c r="L2" s="8" cm="1">
        <f t="array" aca="1" ref="L2" ca="1">_xlfn.XLOOKUP(Table11[[#This Row],[Admin2PCODE]], tblPiNAnalysis[Admin2PCODE], INDIRECT("tblPiNAnalysis[" &amp; Table11[[#Headers],[NNA]] &amp; "]"), "NOT FOUND", 0, 1)</f>
        <v>152199.41759999999</v>
      </c>
      <c r="M2" s="8" cm="1">
        <f t="array" aca="1" ref="M2" ca="1">_xlfn.XLOOKUP(Table11[[#This Row],[Admin2PCODE]], tblPiNAnalysis[Admin2PCODE], INDIRECT("tblPiNAnalysis[" &amp; Table11[[#Headers],[VBG]] &amp; "]"), "NOT FOUND", 0, 1)</f>
        <v>166468.11299999998</v>
      </c>
      <c r="N2" s="8" cm="1">
        <f t="array" aca="1" ref="N2" ca="1">_xlfn.XLOOKUP(Table11[[#This Row],[Admin2PCODE]], tblPiNAnalysis[Admin2PCODE], INDIRECT("tblPiNAnalysis[" &amp; Table11[[#Headers],[PiN más alto]] &amp; "]"), "NOT FOUND", 0, 1)</f>
        <v>725544.08</v>
      </c>
      <c r="O2" t="str" cm="1">
        <f t="array" aca="1" ref="O2" ca="1">_xlfn.XLOOKUP(Table11[[#This Row],[Admin2PCODE]], tblPiNAnalysis[Admin2PCODE], INDIRECT("tblPiNAnalysis[" &amp; Table11[[#Headers],[Sectores más altos]] &amp; "]"), "NOT FOUND", 0, 1)</f>
        <v>SAL</v>
      </c>
      <c r="P2">
        <f>_xlfn.XLOOKUP(Table11[[#This Row],[Admin2PCODE]], tblPiNAnalysis[Admin2PCODE], tblPiNAnalysis[Severidad], "NOT FOUND", 0, 1)</f>
        <v>3</v>
      </c>
      <c r="Q2" s="318">
        <v>0.16974494283201408</v>
      </c>
      <c r="R2" s="318">
        <v>0.37372865093072355</v>
      </c>
      <c r="S2" s="318">
        <v>6.3438548486921417E-2</v>
      </c>
      <c r="T2">
        <v>1</v>
      </c>
      <c r="W2">
        <f>_xlfn.XLOOKUP(Table11[[#This Row],[Admin2PCODE]],tblSeverityAnalysis[Admin 2 Código P],tblSeverityAnalysis[PRO],0,0)</f>
        <v>4</v>
      </c>
      <c r="Y2">
        <v>0</v>
      </c>
      <c r="Z2">
        <v>0</v>
      </c>
      <c r="AA2">
        <f t="shared" ref="AA2:AA65" si="0">ROUND(Z2,0)</f>
        <v>0</v>
      </c>
    </row>
    <row r="3" spans="1:27">
      <c r="A3" t="s">
        <v>103</v>
      </c>
      <c r="B3" t="s">
        <v>104</v>
      </c>
      <c r="C3" s="42" t="s">
        <v>105</v>
      </c>
      <c r="D3" t="s">
        <v>106</v>
      </c>
      <c r="E3" s="8" cm="1">
        <f t="array" aca="1" ref="E3" ca="1">_xlfn.XLOOKUP(Table11[[#This Row],[Admin2PCODE]], tblPiNAnalysis[Admin2PCODE], INDIRECT("tblPiNAnalysis[" &amp; Table11[[#Headers],[Población]] &amp; "]"), "NOT FOUND", 0, 1)</f>
        <v>12973</v>
      </c>
      <c r="F3" s="8" cm="1">
        <f t="array" aca="1" ref="F3" ca="1">_xlfn.XLOOKUP(Table11[[#This Row],[Admin2PCODE]], tblPiNAnalysis[Admin2PCODE], INDIRECT("tblPiNAnalysis[" &amp; Table11[[#Headers],[SAMV]] &amp; "]"), "NOT FOUND", 0, 1)</f>
        <v>3964</v>
      </c>
      <c r="G3" s="8" cm="1">
        <f t="array" aca="1" ref="G3" ca="1">_xlfn.XLOOKUP(Table11[[#This Row],[Admin2PCODE]], tblPiNAnalysis[Admin2PCODE], INDIRECT("tblPiNAnalysis[" &amp; Table11[[#Headers],[NUT]] &amp; "]"), "NOT FOUND", 0, 1)</f>
        <v>982.13525880133534</v>
      </c>
      <c r="H3" s="8" cm="1">
        <f t="array" aca="1" ref="H3" ca="1">_xlfn.XLOOKUP(Table11[[#This Row],[Admin2PCODE]], tblPiNAnalysis[Admin2PCODE], INDIRECT("tblPiNAnalysis[" &amp; Table11[[#Headers],[SAL]] &amp; "]"), "NOT FOUND", 0, 1)</f>
        <v>9100</v>
      </c>
      <c r="I3" s="8" cm="1">
        <f t="array" aca="1" ref="I3" ca="1">_xlfn.XLOOKUP(Table11[[#This Row],[Admin2PCODE]], tblPiNAnalysis[Admin2PCODE], INDIRECT("tblPiNAnalysis[" &amp; Table11[[#Headers],[EDU]] &amp; "]"), "NOT FOUND", 0, 1)</f>
        <v>1347.7145588794669</v>
      </c>
      <c r="J3" s="8" cm="1">
        <f t="array" aca="1" ref="J3" ca="1">_xlfn.XLOOKUP(Table11[[#This Row],[Admin2PCODE]], tblPiNAnalysis[Admin2PCODE], INDIRECT("tblPiNAnalysis[" &amp; Table11[[#Headers],[PRO]] &amp; "]"), "NOT FOUND", 0, 1)</f>
        <v>2586.5263587700383</v>
      </c>
      <c r="K3" s="8" cm="1">
        <f t="array" aca="1" ref="K3" ca="1">_xlfn.XLOOKUP(Table11[[#This Row],[Admin2PCODE]], tblPiNAnalysis[Admin2PCODE], INDIRECT("tblPiNAnalysis[" &amp; Table11[[#Headers],[ASH]] &amp; "]"), "NOT FOUND", 0, 1)</f>
        <v>7783.7999999999993</v>
      </c>
      <c r="L3" s="8" cm="1">
        <f t="array" aca="1" ref="L3" ca="1">_xlfn.XLOOKUP(Table11[[#This Row],[Admin2PCODE]], tblPiNAnalysis[Admin2PCODE], INDIRECT("tblPiNAnalysis[" &amp; Table11[[#Headers],[NNA]] &amp; "]"), "NOT FOUND", 0, 1)</f>
        <v>827.68843480641226</v>
      </c>
      <c r="M3" s="8" cm="1">
        <f t="array" aca="1" ref="M3" ca="1">_xlfn.XLOOKUP(Table11[[#This Row],[Admin2PCODE]], tblPiNAnalysis[Admin2PCODE], INDIRECT("tblPiNAnalysis[" &amp; Table11[[#Headers],[VBG]] &amp; "]"), "NOT FOUND", 0, 1)</f>
        <v>905.28422556951341</v>
      </c>
      <c r="N3" s="8" cm="1">
        <f t="array" aca="1" ref="N3" ca="1">_xlfn.XLOOKUP(Table11[[#This Row],[Admin2PCODE]], tblPiNAnalysis[Admin2PCODE], INDIRECT("tblPiNAnalysis[" &amp; Table11[[#Headers],[PiN más alto]] &amp; "]"), "NOT FOUND", 0, 1)</f>
        <v>9100</v>
      </c>
      <c r="O3" t="str" cm="1">
        <f t="array" aca="1" ref="O3" ca="1">_xlfn.XLOOKUP(Table11[[#This Row],[Admin2PCODE]], tblPiNAnalysis[Admin2PCODE], INDIRECT("tblPiNAnalysis[" &amp; Table11[[#Headers],[Sectores más altos]] &amp; "]"), "NOT FOUND", 0, 1)</f>
        <v>SAL</v>
      </c>
      <c r="P3" cm="1">
        <f t="array" ref="P3">_xlfn.XLOOKUP(Table11[[#This Row],[Admin2PCODE]], tblPiNAnalysis[Admin2PCODE], tblPiNAnalysis[Severidad], "NOT FOUND", 0, 1)</f>
        <v>3</v>
      </c>
      <c r="Q3" s="318">
        <v>0.38709677419354838</v>
      </c>
      <c r="R3" s="318">
        <v>0.36111111111111088</v>
      </c>
      <c r="S3" s="318">
        <v>0.13978494623655904</v>
      </c>
      <c r="T3">
        <v>0</v>
      </c>
      <c r="W3">
        <f>_xlfn.XLOOKUP(Table11[[#This Row],[Admin2PCODE]],tblSeverityAnalysis[Admin 2 Código P],tblSeverityAnalysis[PRO],0,0)</f>
        <v>3</v>
      </c>
      <c r="Y3">
        <v>0</v>
      </c>
      <c r="Z3">
        <v>3.15</v>
      </c>
      <c r="AA3">
        <f t="shared" si="0"/>
        <v>3</v>
      </c>
    </row>
    <row r="4" spans="1:27">
      <c r="A4" t="s">
        <v>103</v>
      </c>
      <c r="B4" t="s">
        <v>104</v>
      </c>
      <c r="C4" s="42" t="s">
        <v>107</v>
      </c>
      <c r="D4" t="s">
        <v>108</v>
      </c>
      <c r="E4" s="8" cm="1">
        <f t="array" aca="1" ref="E4" ca="1">_xlfn.XLOOKUP(Table11[[#This Row],[Admin2PCODE]], tblPiNAnalysis[Admin2PCODE], INDIRECT("tblPiNAnalysis[" &amp; Table11[[#Headers],[Población]] &amp; "]"), "NOT FOUND", 0, 1)</f>
        <v>9377</v>
      </c>
      <c r="F4" s="8" cm="1">
        <f t="array" aca="1" ref="F4" ca="1">_xlfn.XLOOKUP(Table11[[#This Row],[Admin2PCODE]], tblPiNAnalysis[Admin2PCODE], INDIRECT("tblPiNAnalysis[" &amp; Table11[[#Headers],[SAMV]] &amp; "]"), "NOT FOUND", 0, 1)</f>
        <v>1563</v>
      </c>
      <c r="G4" s="8" cm="1">
        <f t="array" aca="1" ref="G4" ca="1">_xlfn.XLOOKUP(Table11[[#This Row],[Admin2PCODE]], tblPiNAnalysis[Admin2PCODE], INDIRECT("tblPiNAnalysis[" &amp; Table11[[#Headers],[NUT]] &amp; "]"), "NOT FOUND", 0, 1)</f>
        <v>509.86292503653624</v>
      </c>
      <c r="H4" s="8" cm="1">
        <f t="array" aca="1" ref="H4" ca="1">_xlfn.XLOOKUP(Table11[[#This Row],[Admin2PCODE]], tblPiNAnalysis[Admin2PCODE], INDIRECT("tblPiNAnalysis[" &amp; Table11[[#Headers],[SAL]] &amp; "]"), "NOT FOUND", 0, 1)</f>
        <v>7700</v>
      </c>
      <c r="I4" s="8" cm="1">
        <f t="array" aca="1" ref="I4" ca="1">_xlfn.XLOOKUP(Table11[[#This Row],[Admin2PCODE]], tblPiNAnalysis[Admin2PCODE], INDIRECT("tblPiNAnalysis[" &amp; Table11[[#Headers],[EDU]] &amp; "]"), "NOT FOUND", 0, 1)</f>
        <v>726.38710305892255</v>
      </c>
      <c r="J4" s="8" cm="1">
        <f t="array" aca="1" ref="J4" ca="1">_xlfn.XLOOKUP(Table11[[#This Row],[Admin2PCODE]], tblPiNAnalysis[Admin2PCODE], INDIRECT("tblPiNAnalysis[" &amp; Table11[[#Headers],[PRO]] &amp; "]"), "NOT FOUND", 0, 1)</f>
        <v>2243.4771602115143</v>
      </c>
      <c r="K4" s="8" cm="1">
        <f t="array" aca="1" ref="K4" ca="1">_xlfn.XLOOKUP(Table11[[#This Row],[Admin2PCODE]], tblPiNAnalysis[Admin2PCODE], INDIRECT("tblPiNAnalysis[" &amp; Table11[[#Headers],[ASH]] &amp; "]"), "NOT FOUND", 0, 1)</f>
        <v>5626.2</v>
      </c>
      <c r="L4" s="8" cm="1">
        <f t="array" aca="1" ref="L4" ca="1">_xlfn.XLOOKUP(Table11[[#This Row],[Admin2PCODE]], tblPiNAnalysis[Admin2PCODE], INDIRECT("tblPiNAnalysis[" &amp; Table11[[#Headers],[NNA]] &amp; "]"), "NOT FOUND", 0, 1)</f>
        <v>717.91269126768452</v>
      </c>
      <c r="M4" s="8" cm="1">
        <f t="array" aca="1" ref="M4" ca="1">_xlfn.XLOOKUP(Table11[[#This Row],[Admin2PCODE]], tblPiNAnalysis[Admin2PCODE], INDIRECT("tblPiNAnalysis[" &amp; Table11[[#Headers],[VBG]] &amp; "]"), "NOT FOUND", 0, 1)</f>
        <v>785.21700607403011</v>
      </c>
      <c r="N4" s="8" cm="1">
        <f t="array" aca="1" ref="N4" ca="1">_xlfn.XLOOKUP(Table11[[#This Row],[Admin2PCODE]], tblPiNAnalysis[Admin2PCODE], INDIRECT("tblPiNAnalysis[" &amp; Table11[[#Headers],[PiN más alto]] &amp; "]"), "NOT FOUND", 0, 1)</f>
        <v>7700</v>
      </c>
      <c r="O4" t="str" cm="1">
        <f t="array" aca="1" ref="O4" ca="1">_xlfn.XLOOKUP(Table11[[#This Row],[Admin2PCODE]], tblPiNAnalysis[Admin2PCODE], INDIRECT("tblPiNAnalysis[" &amp; Table11[[#Headers],[Sectores más altos]] &amp; "]"), "NOT FOUND", 0, 1)</f>
        <v>SAL</v>
      </c>
      <c r="P4" cm="1">
        <f t="array" ref="P4">_xlfn.XLOOKUP(Table11[[#This Row],[Admin2PCODE]], tblPiNAnalysis[Admin2PCODE], tblPiNAnalysis[Severidad], "NOT FOUND", 0, 1)</f>
        <v>3</v>
      </c>
      <c r="Q4" s="318">
        <v>0.18518518518518517</v>
      </c>
      <c r="R4" s="318">
        <v>0.44444444444444431</v>
      </c>
      <c r="S4" s="318">
        <v>8.2304526748971166E-2</v>
      </c>
      <c r="T4">
        <v>1</v>
      </c>
      <c r="W4">
        <f>_xlfn.XLOOKUP(Table11[[#This Row],[Admin2PCODE]],tblSeverityAnalysis[Admin 2 Código P],tblSeverityAnalysis[PRO],0,0)</f>
        <v>4</v>
      </c>
      <c r="Y4">
        <v>0</v>
      </c>
      <c r="Z4">
        <v>4.45</v>
      </c>
      <c r="AA4">
        <f t="shared" si="0"/>
        <v>4</v>
      </c>
    </row>
    <row r="5" spans="1:27">
      <c r="A5" t="s">
        <v>103</v>
      </c>
      <c r="B5" t="s">
        <v>104</v>
      </c>
      <c r="C5" s="42" t="s">
        <v>109</v>
      </c>
      <c r="D5" t="s">
        <v>110</v>
      </c>
      <c r="E5" s="8" cm="1">
        <f t="array" aca="1" ref="E5" ca="1">_xlfn.XLOOKUP(Table11[[#This Row],[Admin2PCODE]], tblPiNAnalysis[Admin2PCODE], INDIRECT("tblPiNAnalysis[" &amp; Table11[[#Headers],[Población]] &amp; "]"), "NOT FOUND", 0, 1)</f>
        <v>106577</v>
      </c>
      <c r="F5" s="8" cm="1">
        <f t="array" aca="1" ref="F5" ca="1">_xlfn.XLOOKUP(Table11[[#This Row],[Admin2PCODE]], tblPiNAnalysis[Admin2PCODE], INDIRECT("tblPiNAnalysis[" &amp; Table11[[#Headers],[SAMV]] &amp; "]"), "NOT FOUND", 0, 1)</f>
        <v>9117</v>
      </c>
      <c r="G5" s="8" cm="1">
        <f t="array" aca="1" ref="G5" ca="1">_xlfn.XLOOKUP(Table11[[#This Row],[Admin2PCODE]], tblPiNAnalysis[Admin2PCODE], INDIRECT("tblPiNAnalysis[" &amp; Table11[[#Headers],[NUT]] &amp; "]"), "NOT FOUND", 0, 1)</f>
        <v>5153.499637808698</v>
      </c>
      <c r="H5" s="8" cm="1">
        <f t="array" aca="1" ref="H5" ca="1">_xlfn.XLOOKUP(Table11[[#This Row],[Admin2PCODE]], tblPiNAnalysis[Admin2PCODE], INDIRECT("tblPiNAnalysis[" &amp; Table11[[#Headers],[SAL]] &amp; "]"), "NOT FOUND", 0, 1)</f>
        <v>38900.605000000003</v>
      </c>
      <c r="I5" s="8" cm="1">
        <f t="array" aca="1" ref="I5" ca="1">_xlfn.XLOOKUP(Table11[[#This Row],[Admin2PCODE]], tblPiNAnalysis[Admin2PCODE], INDIRECT("tblPiNAnalysis[" &amp; Table11[[#Headers],[EDU]] &amp; "]"), "NOT FOUND", 0, 1)</f>
        <v>27513.797680685166</v>
      </c>
      <c r="J5" s="8" cm="1">
        <f t="array" aca="1" ref="J5" ca="1">_xlfn.XLOOKUP(Table11[[#This Row],[Admin2PCODE]], tblPiNAnalysis[Admin2PCODE], INDIRECT("tblPiNAnalysis[" &amp; Table11[[#Headers],[PRO]] &amp; "]"), "NOT FOUND", 0, 1)</f>
        <v>25498.887203142003</v>
      </c>
      <c r="K5" s="8" cm="1">
        <f t="array" aca="1" ref="K5" ca="1">_xlfn.XLOOKUP(Table11[[#This Row],[Admin2PCODE]], tblPiNAnalysis[Admin2PCODE], INDIRECT("tblPiNAnalysis[" &amp; Table11[[#Headers],[ASH]] &amp; "]"), "NOT FOUND", 0, 1)</f>
        <v>14387.895</v>
      </c>
      <c r="L5" s="8" cm="1">
        <f t="array" aca="1" ref="L5" ca="1">_xlfn.XLOOKUP(Table11[[#This Row],[Admin2PCODE]], tblPiNAnalysis[Admin2PCODE], INDIRECT("tblPiNAnalysis[" &amp; Table11[[#Headers],[NNA]] &amp; "]"), "NOT FOUND", 0, 1)</f>
        <v>8159.6439050054414</v>
      </c>
      <c r="M5" s="8" cm="1">
        <f t="array" aca="1" ref="M5" ca="1">_xlfn.XLOOKUP(Table11[[#This Row],[Admin2PCODE]], tblPiNAnalysis[Admin2PCODE], INDIRECT("tblPiNAnalysis[" &amp; Table11[[#Headers],[VBG]] &amp; "]"), "NOT FOUND", 0, 1)</f>
        <v>8924.6105210997011</v>
      </c>
      <c r="N5" s="8" cm="1">
        <f t="array" aca="1" ref="N5" ca="1">_xlfn.XLOOKUP(Table11[[#This Row],[Admin2PCODE]], tblPiNAnalysis[Admin2PCODE], INDIRECT("tblPiNAnalysis[" &amp; Table11[[#Headers],[PiN más alto]] &amp; "]"), "NOT FOUND", 0, 1)</f>
        <v>38900.605000000003</v>
      </c>
      <c r="O5" t="str" cm="1">
        <f t="array" aca="1" ref="O5" ca="1">_xlfn.XLOOKUP(Table11[[#This Row],[Admin2PCODE]], tblPiNAnalysis[Admin2PCODE], INDIRECT("tblPiNAnalysis[" &amp; Table11[[#Headers],[Sectores más altos]] &amp; "]"), "NOT FOUND", 0, 1)</f>
        <v>SAL</v>
      </c>
      <c r="P5" cm="1">
        <f t="array" ref="P5">_xlfn.XLOOKUP(Table11[[#This Row],[Admin2PCODE]], tblPiNAnalysis[Admin2PCODE], tblPiNAnalysis[Severidad], "NOT FOUND", 0, 1)</f>
        <v>3</v>
      </c>
      <c r="Q5" s="318">
        <v>0.15656565656565657</v>
      </c>
      <c r="R5" s="318">
        <v>0.3476702508960573</v>
      </c>
      <c r="S5" s="318">
        <v>5.4433221099887762E-2</v>
      </c>
      <c r="T5">
        <v>0</v>
      </c>
      <c r="W5">
        <f>_xlfn.XLOOKUP(Table11[[#This Row],[Admin2PCODE]],tblSeverityAnalysis[Admin 2 Código P],tblSeverityAnalysis[PRO],0,0)</f>
        <v>4</v>
      </c>
      <c r="Y5">
        <v>0</v>
      </c>
      <c r="Z5">
        <v>4.25</v>
      </c>
      <c r="AA5">
        <f t="shared" si="0"/>
        <v>4</v>
      </c>
    </row>
    <row r="6" spans="1:27">
      <c r="A6" t="s">
        <v>103</v>
      </c>
      <c r="B6" t="s">
        <v>104</v>
      </c>
      <c r="C6" s="42" t="s">
        <v>111</v>
      </c>
      <c r="D6" t="s">
        <v>112</v>
      </c>
      <c r="E6" s="8" cm="1">
        <f t="array" aca="1" ref="E6" ca="1">_xlfn.XLOOKUP(Table11[[#This Row],[Admin2PCODE]], tblPiNAnalysis[Admin2PCODE], INDIRECT("tblPiNAnalysis[" &amp; Table11[[#Headers],[Población]] &amp; "]"), "NOT FOUND", 0, 1)</f>
        <v>8535</v>
      </c>
      <c r="F6" s="8" cm="1">
        <f t="array" aca="1" ref="F6" ca="1">_xlfn.XLOOKUP(Table11[[#This Row],[Admin2PCODE]], tblPiNAnalysis[Admin2PCODE], INDIRECT("tblPiNAnalysis[" &amp; Table11[[#Headers],[SAMV]] &amp; "]"), "NOT FOUND", 0, 1)</f>
        <v>2024</v>
      </c>
      <c r="G6" s="8" cm="1">
        <f t="array" aca="1" ref="G6" ca="1">_xlfn.XLOOKUP(Table11[[#This Row],[Admin2PCODE]], tblPiNAnalysis[Admin2PCODE], INDIRECT("tblPiNAnalysis[" &amp; Table11[[#Headers],[NUT]] &amp; "]"), "NOT FOUND", 0, 1)</f>
        <v>782.46237614377844</v>
      </c>
      <c r="H6" s="8" cm="1">
        <f t="array" aca="1" ref="H6" ca="1">_xlfn.XLOOKUP(Table11[[#This Row],[Admin2PCODE]], tblPiNAnalysis[Admin2PCODE], INDIRECT("tblPiNAnalysis[" &amp; Table11[[#Headers],[SAL]] &amp; "]"), "NOT FOUND", 0, 1)</f>
        <v>7500</v>
      </c>
      <c r="I6" s="8" cm="1">
        <f t="array" aca="1" ref="I6" ca="1">_xlfn.XLOOKUP(Table11[[#This Row],[Admin2PCODE]], tblPiNAnalysis[Admin2PCODE], INDIRECT("tblPiNAnalysis[" &amp; Table11[[#Headers],[EDU]] &amp; "]"), "NOT FOUND", 0, 1)</f>
        <v>2960.1249813816162</v>
      </c>
      <c r="J6" s="8" cm="1">
        <f t="array" aca="1" ref="J6" ca="1">_xlfn.XLOOKUP(Table11[[#This Row],[Admin2PCODE]], tblPiNAnalysis[Admin2PCODE], INDIRECT("tblPiNAnalysis[" &amp; Table11[[#Headers],[PRO]] &amp; "]"), "NOT FOUND", 0, 1)</f>
        <v>2042.0259744486805</v>
      </c>
      <c r="K6" s="8" cm="1">
        <f t="array" aca="1" ref="K6" ca="1">_xlfn.XLOOKUP(Table11[[#This Row],[Admin2PCODE]], tblPiNAnalysis[Admin2PCODE], INDIRECT("tblPiNAnalysis[" &amp; Table11[[#Headers],[ASH]] &amp; "]"), "NOT FOUND", 0, 1)</f>
        <v>1152.2249999999999</v>
      </c>
      <c r="L6" s="8" cm="1">
        <f t="array" aca="1" ref="L6" ca="1">_xlfn.XLOOKUP(Table11[[#This Row],[Admin2PCODE]], tblPiNAnalysis[Admin2PCODE], INDIRECT("tblPiNAnalysis[" &amp; Table11[[#Headers],[NNA]] &amp; "]"), "NOT FOUND", 0, 1)</f>
        <v>655.49033779802642</v>
      </c>
      <c r="M6" s="8" cm="1">
        <f t="array" aca="1" ref="M6" ca="1">_xlfn.XLOOKUP(Table11[[#This Row],[Admin2PCODE]], tblPiNAnalysis[Admin2PCODE], INDIRECT("tblPiNAnalysis[" &amp; Table11[[#Headers],[VBG]] &amp; "]"), "NOT FOUND", 0, 1)</f>
        <v>714.70909105703822</v>
      </c>
      <c r="N6" s="8" cm="1">
        <f t="array" aca="1" ref="N6" ca="1">_xlfn.XLOOKUP(Table11[[#This Row],[Admin2PCODE]], tblPiNAnalysis[Admin2PCODE], INDIRECT("tblPiNAnalysis[" &amp; Table11[[#Headers],[PiN más alto]] &amp; "]"), "NOT FOUND", 0, 1)</f>
        <v>7500</v>
      </c>
      <c r="O6" t="str" cm="1">
        <f t="array" aca="1" ref="O6" ca="1">_xlfn.XLOOKUP(Table11[[#This Row],[Admin2PCODE]], tblPiNAnalysis[Admin2PCODE], INDIRECT("tblPiNAnalysis[" &amp; Table11[[#Headers],[Sectores más altos]] &amp; "]"), "NOT FOUND", 0, 1)</f>
        <v>SAL</v>
      </c>
      <c r="P6" cm="1">
        <f t="array" ref="P6">_xlfn.XLOOKUP(Table11[[#This Row],[Admin2PCODE]], tblPiNAnalysis[Admin2PCODE], tblPiNAnalysis[Severidad], "NOT FOUND", 0, 1)</f>
        <v>3</v>
      </c>
      <c r="Q6" s="318">
        <v>0.29166666666666669</v>
      </c>
      <c r="R6" s="318">
        <v>0.3333333333333332</v>
      </c>
      <c r="S6" s="318">
        <v>9.7222222222222196E-2</v>
      </c>
      <c r="T6">
        <v>0</v>
      </c>
      <c r="W6">
        <f>_xlfn.XLOOKUP(Table11[[#This Row],[Admin2PCODE]],tblSeverityAnalysis[Admin 2 Código P],tblSeverityAnalysis[PRO],0,0)</f>
        <v>4</v>
      </c>
      <c r="Y6">
        <v>0</v>
      </c>
      <c r="Z6">
        <v>2.8</v>
      </c>
      <c r="AA6">
        <f t="shared" si="0"/>
        <v>3</v>
      </c>
    </row>
    <row r="7" spans="1:27">
      <c r="A7" t="s">
        <v>103</v>
      </c>
      <c r="B7" t="s">
        <v>104</v>
      </c>
      <c r="C7" s="42" t="s">
        <v>113</v>
      </c>
      <c r="D7" t="s">
        <v>114</v>
      </c>
      <c r="E7" s="8" cm="1">
        <f t="array" aca="1" ref="E7" ca="1">_xlfn.XLOOKUP(Table11[[#This Row],[Admin2PCODE]], tblPiNAnalysis[Admin2PCODE], INDIRECT("tblPiNAnalysis[" &amp; Table11[[#Headers],[Población]] &amp; "]"), "NOT FOUND", 0, 1)</f>
        <v>2070</v>
      </c>
      <c r="F7" s="8" cm="1">
        <f t="array" aca="1" ref="F7" ca="1">_xlfn.XLOOKUP(Table11[[#This Row],[Admin2PCODE]], tblPiNAnalysis[Admin2PCODE], INDIRECT("tblPiNAnalysis[" &amp; Table11[[#Headers],[SAMV]] &amp; "]"), "NOT FOUND", 0, 1)</f>
        <v>345</v>
      </c>
      <c r="G7" s="8" cm="1">
        <f t="array" aca="1" ref="G7" ca="1">_xlfn.XLOOKUP(Table11[[#This Row],[Admin2PCODE]], tblPiNAnalysis[Admin2PCODE], INDIRECT("tblPiNAnalysis[" &amp; Table11[[#Headers],[NUT]] &amp; "]"), "NOT FOUND", 0, 1)</f>
        <v>140.940754629065</v>
      </c>
      <c r="H7" s="8" cm="1">
        <f t="array" aca="1" ref="H7" ca="1">_xlfn.XLOOKUP(Table11[[#This Row],[Admin2PCODE]], tblPiNAnalysis[Admin2PCODE], INDIRECT("tblPiNAnalysis[" &amp; Table11[[#Headers],[SAL]] &amp; "]"), "NOT FOUND", 0, 1)</f>
        <v>1800</v>
      </c>
      <c r="I7" s="8" cm="1">
        <f t="array" aca="1" ref="I7" ca="1">_xlfn.XLOOKUP(Table11[[#This Row],[Admin2PCODE]], tblPiNAnalysis[Admin2PCODE], INDIRECT("tblPiNAnalysis[" &amp; Table11[[#Headers],[EDU]] &amp; "]"), "NOT FOUND", 0, 1)</f>
        <v>352.52286114586201</v>
      </c>
      <c r="J7" s="8" cm="1">
        <f t="array" aca="1" ref="J7" ca="1">_xlfn.XLOOKUP(Table11[[#This Row],[Admin2PCODE]], tblPiNAnalysis[Admin2PCODE], INDIRECT("tblPiNAnalysis[" &amp; Table11[[#Headers],[PRO]] &amp; "]"), "NOT FOUND", 0, 1)</f>
        <v>495.25410276611228</v>
      </c>
      <c r="K7" s="8" cm="1">
        <f t="array" aca="1" ref="K7" ca="1">_xlfn.XLOOKUP(Table11[[#This Row],[Admin2PCODE]], tblPiNAnalysis[Admin2PCODE], INDIRECT("tblPiNAnalysis[" &amp; Table11[[#Headers],[ASH]] &amp; "]"), "NOT FOUND", 0, 1)</f>
        <v>1656</v>
      </c>
      <c r="L7" s="8" cm="1">
        <f t="array" aca="1" ref="L7" ca="1">_xlfn.XLOOKUP(Table11[[#This Row],[Admin2PCODE]], tblPiNAnalysis[Admin2PCODE], INDIRECT("tblPiNAnalysis[" &amp; Table11[[#Headers],[NNA]] &amp; "]"), "NOT FOUND", 0, 1)</f>
        <v>157.98605878238982</v>
      </c>
      <c r="M7" s="8" cm="1">
        <f t="array" aca="1" ref="M7" ca="1">_xlfn.XLOOKUP(Table11[[#This Row],[Admin2PCODE]], tblPiNAnalysis[Admin2PCODE], INDIRECT("tblPiNAnalysis[" &amp; Table11[[#Headers],[VBG]] &amp; "]"), "NOT FOUND", 0, 1)</f>
        <v>173.33893596813925</v>
      </c>
      <c r="N7" s="8" cm="1">
        <f t="array" aca="1" ref="N7" ca="1">_xlfn.XLOOKUP(Table11[[#This Row],[Admin2PCODE]], tblPiNAnalysis[Admin2PCODE], INDIRECT("tblPiNAnalysis[" &amp; Table11[[#Headers],[PiN más alto]] &amp; "]"), "NOT FOUND", 0, 1)</f>
        <v>1800</v>
      </c>
      <c r="O7" t="str" cm="1">
        <f t="array" aca="1" ref="O7" ca="1">_xlfn.XLOOKUP(Table11[[#This Row],[Admin2PCODE]], tblPiNAnalysis[Admin2PCODE], INDIRECT("tblPiNAnalysis[" &amp; Table11[[#Headers],[Sectores más altos]] &amp; "]"), "NOT FOUND", 0, 1)</f>
        <v>SAL</v>
      </c>
      <c r="P7" cm="1">
        <f t="array" ref="P7">_xlfn.XLOOKUP(Table11[[#This Row],[Admin2PCODE]], tblPiNAnalysis[Admin2PCODE], tblPiNAnalysis[Severidad], "NOT FOUND", 0, 1)</f>
        <v>4</v>
      </c>
      <c r="Q7" s="318">
        <v>0.2608695652173913</v>
      </c>
      <c r="R7" s="318">
        <v>0.44444444444444436</v>
      </c>
      <c r="S7" s="318">
        <v>0.11594202898550722</v>
      </c>
      <c r="T7">
        <v>0</v>
      </c>
      <c r="W7">
        <f>_xlfn.XLOOKUP(Table11[[#This Row],[Admin2PCODE]],tblSeverityAnalysis[Admin 2 Código P],tblSeverityAnalysis[PRO],0,0)</f>
        <v>4</v>
      </c>
      <c r="Y7">
        <v>0</v>
      </c>
      <c r="Z7">
        <v>3.85</v>
      </c>
      <c r="AA7">
        <f t="shared" si="0"/>
        <v>4</v>
      </c>
    </row>
    <row r="8" spans="1:27">
      <c r="A8" t="s">
        <v>103</v>
      </c>
      <c r="B8" t="s">
        <v>104</v>
      </c>
      <c r="C8" s="42" t="s">
        <v>115</v>
      </c>
      <c r="D8" t="s">
        <v>116</v>
      </c>
      <c r="E8" s="8" cm="1">
        <f t="array" aca="1" ref="E8" ca="1">_xlfn.XLOOKUP(Table11[[#This Row],[Admin2PCODE]], tblPiNAnalysis[Admin2PCODE], INDIRECT("tblPiNAnalysis[" &amp; Table11[[#Headers],[Población]] &amp; "]"), "NOT FOUND", 0, 1)</f>
        <v>7896</v>
      </c>
      <c r="F8" s="8" cm="1">
        <f t="array" aca="1" ref="F8" ca="1">_xlfn.XLOOKUP(Table11[[#This Row],[Admin2PCODE]], tblPiNAnalysis[Admin2PCODE], INDIRECT("tblPiNAnalysis[" &amp; Table11[[#Headers],[SAMV]] &amp; "]"), "NOT FOUND", 0, 1)</f>
        <v>2632</v>
      </c>
      <c r="G8" s="8" cm="1">
        <f t="array" aca="1" ref="G8" ca="1">_xlfn.XLOOKUP(Table11[[#This Row],[Admin2PCODE]], tblPiNAnalysis[Admin2PCODE], INDIRECT("tblPiNAnalysis[" &amp; Table11[[#Headers],[NUT]] &amp; "]"), "NOT FOUND", 0, 1)</f>
        <v>1275.4925719681594</v>
      </c>
      <c r="H8" s="8" cm="1">
        <f t="array" aca="1" ref="H8" ca="1">_xlfn.XLOOKUP(Table11[[#This Row],[Admin2PCODE]], tblPiNAnalysis[Admin2PCODE], INDIRECT("tblPiNAnalysis[" &amp; Table11[[#Headers],[SAL]] &amp; "]"), "NOT FOUND", 0, 1)</f>
        <v>2882.04</v>
      </c>
      <c r="I8" s="8" cm="1">
        <f t="array" aca="1" ref="I8" ca="1">_xlfn.XLOOKUP(Table11[[#This Row],[Admin2PCODE]], tblPiNAnalysis[Admin2PCODE], INDIRECT("tblPiNAnalysis[" &amp; Table11[[#Headers],[EDU]] &amp; "]"), "NOT FOUND", 0, 1)</f>
        <v>672.57931585203801</v>
      </c>
      <c r="J8" s="8" cm="1">
        <f t="array" aca="1" ref="J8" ca="1">_xlfn.XLOOKUP(Table11[[#This Row],[Admin2PCODE]], tblPiNAnalysis[Admin2PCODE], INDIRECT("tblPiNAnalysis[" &amp; Table11[[#Headers],[PRO]] &amp; "]"), "NOT FOUND", 0, 1)</f>
        <v>1574.2859885029077</v>
      </c>
      <c r="K8" s="8" cm="1">
        <f t="array" aca="1" ref="K8" ca="1">_xlfn.XLOOKUP(Table11[[#This Row],[Admin2PCODE]], tblPiNAnalysis[Admin2PCODE], INDIRECT("tblPiNAnalysis[" &amp; Table11[[#Headers],[ASH]] &amp; "]"), "NOT FOUND", 0, 1)</f>
        <v>4737.5999999999995</v>
      </c>
      <c r="L8" s="8" cm="1">
        <f t="array" aca="1" ref="L8" ca="1">_xlfn.XLOOKUP(Table11[[#This Row],[Admin2PCODE]], tblPiNAnalysis[Admin2PCODE], INDIRECT("tblPiNAnalysis[" &amp; Table11[[#Headers],[NNA]] &amp; "]"), "NOT FOUND", 0, 1)</f>
        <v>505.3458023094334</v>
      </c>
      <c r="M8" s="8" cm="1">
        <f t="array" aca="1" ref="M8" ca="1">_xlfn.XLOOKUP(Table11[[#This Row],[Admin2PCODE]], tblPiNAnalysis[Admin2PCODE], INDIRECT("tblPiNAnalysis[" &amp; Table11[[#Headers],[VBG]] &amp; "]"), "NOT FOUND", 0, 1)</f>
        <v>551.00009597601763</v>
      </c>
      <c r="N8" s="8" cm="1">
        <f t="array" aca="1" ref="N8" ca="1">_xlfn.XLOOKUP(Table11[[#This Row],[Admin2PCODE]], tblPiNAnalysis[Admin2PCODE], INDIRECT("tblPiNAnalysis[" &amp; Table11[[#Headers],[PiN más alto]] &amp; "]"), "NOT FOUND", 0, 1)</f>
        <v>4737.5999999999995</v>
      </c>
      <c r="O8" t="str" cm="1">
        <f t="array" aca="1" ref="O8" ca="1">_xlfn.XLOOKUP(Table11[[#This Row],[Admin2PCODE]], tblPiNAnalysis[Admin2PCODE], INDIRECT("tblPiNAnalysis[" &amp; Table11[[#Headers],[Sectores más altos]] &amp; "]"), "NOT FOUND", 0, 1)</f>
        <v>ASH</v>
      </c>
      <c r="P8" cm="1">
        <f t="array" ref="P8">_xlfn.XLOOKUP(Table11[[#This Row],[Admin2PCODE]], tblPiNAnalysis[Admin2PCODE], tblPiNAnalysis[Severidad], "NOT FOUND", 0, 1)</f>
        <v>4</v>
      </c>
      <c r="Q8" s="318">
        <v>0.61538461538461542</v>
      </c>
      <c r="R8" s="318">
        <v>0.41666666666666652</v>
      </c>
      <c r="S8" s="318">
        <v>0.25641025641025633</v>
      </c>
      <c r="T8">
        <v>1</v>
      </c>
      <c r="W8">
        <f>_xlfn.XLOOKUP(Table11[[#This Row],[Admin2PCODE]],tblSeverityAnalysis[Admin 2 Código P],tblSeverityAnalysis[PRO],0,0)</f>
        <v>3</v>
      </c>
      <c r="Y8">
        <v>0</v>
      </c>
      <c r="Z8">
        <v>3.25</v>
      </c>
      <c r="AA8">
        <f t="shared" si="0"/>
        <v>3</v>
      </c>
    </row>
    <row r="9" spans="1:27">
      <c r="A9" t="s">
        <v>103</v>
      </c>
      <c r="B9" t="s">
        <v>104</v>
      </c>
      <c r="C9" s="42" t="s">
        <v>117</v>
      </c>
      <c r="D9" t="s">
        <v>118</v>
      </c>
      <c r="E9" s="8" cm="1">
        <f t="array" aca="1" ref="E9" ca="1">_xlfn.XLOOKUP(Table11[[#This Row],[Admin2PCODE]], tblPiNAnalysis[Admin2PCODE], INDIRECT("tblPiNAnalysis[" &amp; Table11[[#Headers],[Población]] &amp; "]"), "NOT FOUND", 0, 1)</f>
        <v>2349</v>
      </c>
      <c r="F9" s="8" cm="1">
        <f t="array" aca="1" ref="F9" ca="1">_xlfn.XLOOKUP(Table11[[#This Row],[Admin2PCODE]], tblPiNAnalysis[Admin2PCODE], INDIRECT("tblPiNAnalysis[" &amp; Table11[[#Headers],[SAMV]] &amp; "]"), "NOT FOUND", 0, 1)</f>
        <v>392</v>
      </c>
      <c r="G9" s="8" cm="1">
        <f t="array" aca="1" ref="G9" ca="1">_xlfn.XLOOKUP(Table11[[#This Row],[Admin2PCODE]], tblPiNAnalysis[Admin2PCODE], INDIRECT("tblPiNAnalysis[" &amp; Table11[[#Headers],[NUT]] &amp; "]"), "NOT FOUND", 0, 1)</f>
        <v>297.91205260869572</v>
      </c>
      <c r="H9" s="8" cm="1">
        <f t="array" aca="1" ref="H9" ca="1">_xlfn.XLOOKUP(Table11[[#This Row],[Admin2PCODE]], tblPiNAnalysis[Admin2PCODE], INDIRECT("tblPiNAnalysis[" &amp; Table11[[#Headers],[SAL]] &amp; "]"), "NOT FOUND", 0, 1)</f>
        <v>2000</v>
      </c>
      <c r="I9" s="8" cm="1">
        <f t="array" aca="1" ref="I9" ca="1">_xlfn.XLOOKUP(Table11[[#This Row],[Admin2PCODE]], tblPiNAnalysis[Admin2PCODE], INDIRECT("tblPiNAnalysis[" &amp; Table11[[#Headers],[EDU]] &amp; "]"), "NOT FOUND", 0, 1)</f>
        <v>209.70964428889977</v>
      </c>
      <c r="J9" s="8" cm="1">
        <f t="array" aca="1" ref="J9" ca="1">_xlfn.XLOOKUP(Table11[[#This Row],[Admin2PCODE]], tblPiNAnalysis[Admin2PCODE], INDIRECT("tblPiNAnalysis[" &amp; Table11[[#Headers],[PRO]] &amp; "]"), "NOT FOUND", 0, 1)</f>
        <v>562.00574270415348</v>
      </c>
      <c r="K9" s="8" cm="1">
        <f t="array" aca="1" ref="K9" ca="1">_xlfn.XLOOKUP(Table11[[#This Row],[Admin2PCODE]], tblPiNAnalysis[Admin2PCODE], INDIRECT("tblPiNAnalysis[" &amp; Table11[[#Headers],[ASH]] &amp; "]"), "NOT FOUND", 0, 1)</f>
        <v>1879.2</v>
      </c>
      <c r="L9" s="8" cm="1">
        <f t="array" aca="1" ref="L9" ca="1">_xlfn.XLOOKUP(Table11[[#This Row],[Admin2PCODE]], tblPiNAnalysis[Admin2PCODE], INDIRECT("tblPiNAnalysis[" &amp; Table11[[#Headers],[NNA]] &amp; "]"), "NOT FOUND", 0, 1)</f>
        <v>180.40384340803325</v>
      </c>
      <c r="M9" s="8" cm="1">
        <f t="array" aca="1" ref="M9" ca="1">_xlfn.XLOOKUP(Table11[[#This Row],[Admin2PCODE]], tblPiNAnalysis[Admin2PCODE], INDIRECT("tblPiNAnalysis[" &amp; Table11[[#Headers],[VBG]] &amp; "]"), "NOT FOUND", 0, 1)</f>
        <v>196.7020099464537</v>
      </c>
      <c r="N9" s="8" cm="1">
        <f t="array" aca="1" ref="N9" ca="1">_xlfn.XLOOKUP(Table11[[#This Row],[Admin2PCODE]], tblPiNAnalysis[Admin2PCODE], INDIRECT("tblPiNAnalysis[" &amp; Table11[[#Headers],[PiN más alto]] &amp; "]"), "NOT FOUND", 0, 1)</f>
        <v>2000</v>
      </c>
      <c r="O9" t="str" cm="1">
        <f t="array" aca="1" ref="O9" ca="1">_xlfn.XLOOKUP(Table11[[#This Row],[Admin2PCODE]], tblPiNAnalysis[Admin2PCODE], INDIRECT("tblPiNAnalysis[" &amp; Table11[[#Headers],[Sectores más altos]] &amp; "]"), "NOT FOUND", 0, 1)</f>
        <v>SAL</v>
      </c>
      <c r="P9" cm="1">
        <f t="array" ref="P9">_xlfn.XLOOKUP(Table11[[#This Row],[Admin2PCODE]], tblPiNAnalysis[Admin2PCODE], tblPiNAnalysis[Severidad], "NOT FOUND", 0, 1)</f>
        <v>4</v>
      </c>
      <c r="Q9" s="318">
        <v>0</v>
      </c>
      <c r="R9" s="318">
        <v>0</v>
      </c>
      <c r="S9" s="318">
        <v>0</v>
      </c>
      <c r="T9">
        <v>1</v>
      </c>
      <c r="W9">
        <f>_xlfn.XLOOKUP(Table11[[#This Row],[Admin2PCODE]],tblSeverityAnalysis[Admin 2 Código P],tblSeverityAnalysis[PRO],0,0)</f>
        <v>4</v>
      </c>
      <c r="Y9">
        <v>0</v>
      </c>
      <c r="Z9">
        <v>3.2</v>
      </c>
      <c r="AA9">
        <f t="shared" si="0"/>
        <v>3</v>
      </c>
    </row>
    <row r="10" spans="1:27">
      <c r="A10" t="s">
        <v>119</v>
      </c>
      <c r="B10" t="s">
        <v>120</v>
      </c>
      <c r="C10" s="42" t="s">
        <v>121</v>
      </c>
      <c r="D10" t="s">
        <v>122</v>
      </c>
      <c r="E10" s="8" cm="1">
        <f t="array" aca="1" ref="E10" ca="1">_xlfn.XLOOKUP(Table11[[#This Row],[Admin2PCODE]], tblPiNAnalysis[Admin2PCODE], INDIRECT("tblPiNAnalysis[" &amp; Table11[[#Headers],[Población]] &amp; "]"), "NOT FOUND", 0, 1)</f>
        <v>125402</v>
      </c>
      <c r="F10" s="8" cm="1">
        <f t="array" aca="1" ref="F10" ca="1">_xlfn.XLOOKUP(Table11[[#This Row],[Admin2PCODE]], tblPiNAnalysis[Admin2PCODE], INDIRECT("tblPiNAnalysis[" &amp; Table11[[#Headers],[SAMV]] &amp; "]"), "NOT FOUND", 0, 1)</f>
        <v>28600</v>
      </c>
      <c r="G10" s="8" cm="1">
        <f t="array" aca="1" ref="G10" ca="1">_xlfn.XLOOKUP(Table11[[#This Row],[Admin2PCODE]], tblPiNAnalysis[Admin2PCODE], INDIRECT("tblPiNAnalysis[" &amp; Table11[[#Headers],[NUT]] &amp; "]"), "NOT FOUND", 0, 1)</f>
        <v>5142.2235047458289</v>
      </c>
      <c r="H10" s="8" cm="1">
        <f t="array" aca="1" ref="H10" ca="1">_xlfn.XLOOKUP(Table11[[#This Row],[Admin2PCODE]], tblPiNAnalysis[Admin2PCODE], INDIRECT("tblPiNAnalysis[" &amp; Table11[[#Headers],[SAL]] &amp; "]"), "NOT FOUND", 0, 1)</f>
        <v>45771.73</v>
      </c>
      <c r="I10" s="8" cm="1">
        <f t="array" aca="1" ref="I10" ca="1">_xlfn.XLOOKUP(Table11[[#This Row],[Admin2PCODE]], tblPiNAnalysis[Admin2PCODE], INDIRECT("tblPiNAnalysis[" &amp; Table11[[#Headers],[EDU]] &amp; "]"), "NOT FOUND", 0, 1)</f>
        <v>14539.779756822465</v>
      </c>
      <c r="J10" s="8" cm="1">
        <f t="array" aca="1" ref="J10" ca="1">_xlfn.XLOOKUP(Table11[[#This Row],[Admin2PCODE]], tblPiNAnalysis[Admin2PCODE], INDIRECT("tblPiNAnalysis[" &amp; Table11[[#Headers],[PRO]] &amp; "]"), "NOT FOUND", 0, 1)</f>
        <v>29930.871562082062</v>
      </c>
      <c r="K10" s="8" cm="1">
        <f t="array" aca="1" ref="K10" ca="1">_xlfn.XLOOKUP(Table11[[#This Row],[Admin2PCODE]], tblPiNAnalysis[Admin2PCODE], INDIRECT("tblPiNAnalysis[" &amp; Table11[[#Headers],[ASH]] &amp; "]"), "NOT FOUND", 0, 1)</f>
        <v>56430.9</v>
      </c>
      <c r="L10" s="8" cm="1">
        <f t="array" aca="1" ref="L10" ca="1">_xlfn.XLOOKUP(Table11[[#This Row],[Admin2PCODE]], tblPiNAnalysis[Admin2PCODE], INDIRECT("tblPiNAnalysis[" &amp; Table11[[#Headers],[NNA]] &amp; "]"), "NOT FOUND", 0, 1)</f>
        <v>9607.8097714283431</v>
      </c>
      <c r="M10" s="8" cm="1">
        <f t="array" aca="1" ref="M10" ca="1">_xlfn.XLOOKUP(Table11[[#This Row],[Admin2PCODE]], tblPiNAnalysis[Admin2PCODE], INDIRECT("tblPiNAnalysis[" &amp; Table11[[#Headers],[VBG]] &amp; "]"), "NOT FOUND", 0, 1)</f>
        <v>10475.805046728723</v>
      </c>
      <c r="N10" s="8" cm="1">
        <f t="array" aca="1" ref="N10" ca="1">_xlfn.XLOOKUP(Table11[[#This Row],[Admin2PCODE]], tblPiNAnalysis[Admin2PCODE], INDIRECT("tblPiNAnalysis[" &amp; Table11[[#Headers],[PiN más alto]] &amp; "]"), "NOT FOUND", 0, 1)</f>
        <v>56430.9</v>
      </c>
      <c r="O10" t="str" cm="1">
        <f t="array" aca="1" ref="O10" ca="1">_xlfn.XLOOKUP(Table11[[#This Row],[Admin2PCODE]], tblPiNAnalysis[Admin2PCODE], INDIRECT("tblPiNAnalysis[" &amp; Table11[[#Headers],[Sectores más altos]] &amp; "]"), "NOT FOUND", 0, 1)</f>
        <v>ASH</v>
      </c>
      <c r="P10" cm="1">
        <f t="array" ref="P10">_xlfn.XLOOKUP(Table11[[#This Row],[Admin2PCODE]], tblPiNAnalysis[Admin2PCODE], tblPiNAnalysis[Severidad], "NOT FOUND", 0, 1)</f>
        <v>3</v>
      </c>
      <c r="Q10" s="318">
        <v>0.69281045751633985</v>
      </c>
      <c r="R10" s="318">
        <v>0.49999999999999989</v>
      </c>
      <c r="S10" s="318">
        <v>0.34640522875816987</v>
      </c>
      <c r="T10">
        <v>1</v>
      </c>
      <c r="W10">
        <f>_xlfn.XLOOKUP(Table11[[#This Row],[Admin2PCODE]],tblSeverityAnalysis[Admin 2 Código P],tblSeverityAnalysis[PRO],0,0)</f>
        <v>4</v>
      </c>
      <c r="Y10">
        <v>0</v>
      </c>
      <c r="Z10">
        <v>0</v>
      </c>
      <c r="AA10">
        <f t="shared" si="0"/>
        <v>0</v>
      </c>
    </row>
    <row r="11" spans="1:27">
      <c r="A11" t="s">
        <v>119</v>
      </c>
      <c r="B11" t="s">
        <v>120</v>
      </c>
      <c r="C11" s="42" t="s">
        <v>123</v>
      </c>
      <c r="D11" t="s">
        <v>124</v>
      </c>
      <c r="E11" s="8" cm="1">
        <f t="array" aca="1" ref="E11" ca="1">_xlfn.XLOOKUP(Table11[[#This Row],[Admin2PCODE]], tblPiNAnalysis[Admin2PCODE], INDIRECT("tblPiNAnalysis[" &amp; Table11[[#Headers],[Población]] &amp; "]"), "NOT FOUND", 0, 1)</f>
        <v>29822</v>
      </c>
      <c r="F11" s="8" cm="1">
        <f t="array" aca="1" ref="F11" ca="1">_xlfn.XLOOKUP(Table11[[#This Row],[Admin2PCODE]], tblPiNAnalysis[Admin2PCODE], INDIRECT("tblPiNAnalysis[" &amp; Table11[[#Headers],[SAMV]] &amp; "]"), "NOT FOUND", 0, 1)</f>
        <v>7455</v>
      </c>
      <c r="G11" s="8" cm="1">
        <f t="array" aca="1" ref="G11" ca="1">_xlfn.XLOOKUP(Table11[[#This Row],[Admin2PCODE]], tblPiNAnalysis[Admin2PCODE], INDIRECT("tblPiNAnalysis[" &amp; Table11[[#Headers],[NUT]] &amp; "]"), "NOT FOUND", 0, 1)</f>
        <v>955.34534042100927</v>
      </c>
      <c r="H11" s="8" cm="1">
        <f t="array" aca="1" ref="H11" ca="1">_xlfn.XLOOKUP(Table11[[#This Row],[Admin2PCODE]], tblPiNAnalysis[Admin2PCODE], INDIRECT("tblPiNAnalysis[" &amp; Table11[[#Headers],[SAL]] &amp; "]"), "NOT FOUND", 0, 1)</f>
        <v>10885.03</v>
      </c>
      <c r="I11" s="8" cm="1">
        <f t="array" aca="1" ref="I11" ca="1">_xlfn.XLOOKUP(Table11[[#This Row],[Admin2PCODE]], tblPiNAnalysis[Admin2PCODE], INDIRECT("tblPiNAnalysis[" &amp; Table11[[#Headers],[EDU]] &amp; "]"), "NOT FOUND", 0, 1)</f>
        <v>2842.855119104549</v>
      </c>
      <c r="J11" s="8" cm="1">
        <f t="array" aca="1" ref="J11" ca="1">_xlfn.XLOOKUP(Table11[[#This Row],[Admin2PCODE]], tblPiNAnalysis[Admin2PCODE], INDIRECT("tblPiNAnalysis[" &amp; Table11[[#Headers],[PRO]] &amp; "]"), "NOT FOUND", 0, 1)</f>
        <v>3558.9482293919218</v>
      </c>
      <c r="K11" s="8" cm="1">
        <f t="array" aca="1" ref="K11" ca="1">_xlfn.XLOOKUP(Table11[[#This Row],[Admin2PCODE]], tblPiNAnalysis[Admin2PCODE], INDIRECT("tblPiNAnalysis[" &amp; Table11[[#Headers],[ASH]] &amp; "]"), "NOT FOUND", 0, 1)</f>
        <v>17893.2</v>
      </c>
      <c r="L11" s="8" cm="1">
        <f t="array" aca="1" ref="L11" ca="1">_xlfn.XLOOKUP(Table11[[#This Row],[Admin2PCODE]], tblPiNAnalysis[Admin2PCODE], INDIRECT("tblPiNAnalysis[" &amp; Table11[[#Headers],[NNA]] &amp; "]"), "NOT FOUND", 0, 1)</f>
        <v>1138.863433405415</v>
      </c>
      <c r="M11" s="8" cm="1">
        <f t="array" aca="1" ref="M11" ca="1">_xlfn.XLOOKUP(Table11[[#This Row],[Admin2PCODE]], tblPiNAnalysis[Admin2PCODE], INDIRECT("tblPiNAnalysis[" &amp; Table11[[#Headers],[VBG]] &amp; "]"), "NOT FOUND", 0, 1)</f>
        <v>1245.6318802871726</v>
      </c>
      <c r="N11" s="8" cm="1">
        <f t="array" aca="1" ref="N11" ca="1">_xlfn.XLOOKUP(Table11[[#This Row],[Admin2PCODE]], tblPiNAnalysis[Admin2PCODE], INDIRECT("tblPiNAnalysis[" &amp; Table11[[#Headers],[PiN más alto]] &amp; "]"), "NOT FOUND", 0, 1)</f>
        <v>17893.2</v>
      </c>
      <c r="O11" t="str" cm="1">
        <f t="array" aca="1" ref="O11" ca="1">_xlfn.XLOOKUP(Table11[[#This Row],[Admin2PCODE]], tblPiNAnalysis[Admin2PCODE], INDIRECT("tblPiNAnalysis[" &amp; Table11[[#Headers],[Sectores más altos]] &amp; "]"), "NOT FOUND", 0, 1)</f>
        <v>ASH</v>
      </c>
      <c r="P11" cm="1">
        <f t="array" ref="P11">_xlfn.XLOOKUP(Table11[[#This Row],[Admin2PCODE]], tblPiNAnalysis[Admin2PCODE], tblPiNAnalysis[Severidad], "NOT FOUND", 0, 1)</f>
        <v>3</v>
      </c>
      <c r="Q11" s="318">
        <v>0.5</v>
      </c>
      <c r="R11" s="318">
        <v>0.37777777777777777</v>
      </c>
      <c r="S11" s="318">
        <v>0.18888888888888888</v>
      </c>
      <c r="T11">
        <v>1</v>
      </c>
      <c r="W11">
        <f>_xlfn.XLOOKUP(Table11[[#This Row],[Admin2PCODE]],tblSeverityAnalysis[Admin 2 Código P],tblSeverityAnalysis[PRO],0,0)</f>
        <v>2</v>
      </c>
      <c r="Y11">
        <v>0</v>
      </c>
      <c r="Z11">
        <v>0.95</v>
      </c>
      <c r="AA11">
        <f t="shared" si="0"/>
        <v>1</v>
      </c>
    </row>
    <row r="12" spans="1:27">
      <c r="A12" t="s">
        <v>119</v>
      </c>
      <c r="B12" t="s">
        <v>120</v>
      </c>
      <c r="C12" s="42" t="s">
        <v>813</v>
      </c>
      <c r="D12" t="s">
        <v>126</v>
      </c>
      <c r="E12" s="8" cm="1">
        <f t="array" aca="1" ref="E12" ca="1">_xlfn.XLOOKUP(Table11[[#This Row],[Admin2PCODE]], tblPiNAnalysis[Admin2PCODE], INDIRECT("tblPiNAnalysis[" &amp; Table11[[#Headers],[Población]] &amp; "]"), "NOT FOUND", 0, 1)</f>
        <v>34186</v>
      </c>
      <c r="F12" s="8" cm="1">
        <f t="array" aca="1" ref="F12" ca="1">_xlfn.XLOOKUP(Table11[[#This Row],[Admin2PCODE]], tblPiNAnalysis[Admin2PCODE], INDIRECT("tblPiNAnalysis[" &amp; Table11[[#Headers],[SAMV]] &amp; "]"), "NOT FOUND", 0, 1)</f>
        <v>9398</v>
      </c>
      <c r="G12" s="8" cm="1">
        <f t="array" aca="1" ref="G12" ca="1">_xlfn.XLOOKUP(Table11[[#This Row],[Admin2PCODE]], tblPiNAnalysis[Admin2PCODE], INDIRECT("tblPiNAnalysis[" &amp; Table11[[#Headers],[NUT]] &amp; "]"), "NOT FOUND", 0, 1)</f>
        <v>1131.4833189646201</v>
      </c>
      <c r="H12" s="8" cm="1">
        <f t="array" aca="1" ref="H12" ca="1">_xlfn.XLOOKUP(Table11[[#This Row],[Admin2PCODE]], tblPiNAnalysis[Admin2PCODE], INDIRECT("tblPiNAnalysis[" &amp; Table11[[#Headers],[SAL]] &amp; "]"), "NOT FOUND", 0, 1)</f>
        <v>12477.89</v>
      </c>
      <c r="I12" s="8" cm="1">
        <f t="array" aca="1" ref="I12" ca="1">_xlfn.XLOOKUP(Table11[[#This Row],[Admin2PCODE]], tblPiNAnalysis[Admin2PCODE], INDIRECT("tblPiNAnalysis[" &amp; Table11[[#Headers],[EDU]] &amp; "]"), "NOT FOUND", 0, 1)</f>
        <v>2675.0067699306851</v>
      </c>
      <c r="J12" s="8" cm="1">
        <f t="array" aca="1" ref="J12" ca="1">_xlfn.XLOOKUP(Table11[[#This Row],[Admin2PCODE]], tblPiNAnalysis[Admin2PCODE], INDIRECT("tblPiNAnalysis[" &amp; Table11[[#Headers],[PRO]] &amp; "]"), "NOT FOUND", 0, 1)</f>
        <v>6799.5777261748708</v>
      </c>
      <c r="K12" s="8" cm="1">
        <f t="array" aca="1" ref="K12" ca="1">_xlfn.XLOOKUP(Table11[[#This Row],[Admin2PCODE]], tblPiNAnalysis[Admin2PCODE], INDIRECT("tblPiNAnalysis[" &amp; Table11[[#Headers],[ASH]] &amp; "]"), "NOT FOUND", 0, 1)</f>
        <v>20511.599999999999</v>
      </c>
      <c r="L12" s="8" cm="1">
        <f t="array" aca="1" ref="L12" ca="1">_xlfn.XLOOKUP(Table11[[#This Row],[Admin2PCODE]], tblPiNAnalysis[Admin2PCODE], INDIRECT("tblPiNAnalysis[" &amp; Table11[[#Headers],[NNA]] &amp; "]"), "NOT FOUND", 0, 1)</f>
        <v>2175.8648723759588</v>
      </c>
      <c r="M12" s="8" cm="1">
        <f t="array" aca="1" ref="M12" ca="1">_xlfn.XLOOKUP(Table11[[#This Row],[Admin2PCODE]], tblPiNAnalysis[Admin2PCODE], INDIRECT("tblPiNAnalysis[" &amp; Table11[[#Headers],[VBG]] &amp; "]"), "NOT FOUND", 0, 1)</f>
        <v>2379.8522041612046</v>
      </c>
      <c r="N12" s="8" cm="1">
        <f t="array" aca="1" ref="N12" ca="1">_xlfn.XLOOKUP(Table11[[#This Row],[Admin2PCODE]], tblPiNAnalysis[Admin2PCODE], INDIRECT("tblPiNAnalysis[" &amp; Table11[[#Headers],[PiN más alto]] &amp; "]"), "NOT FOUND", 0, 1)</f>
        <v>20511.599999999999</v>
      </c>
      <c r="O12" t="str" cm="1">
        <f t="array" aca="1" ref="O12" ca="1">_xlfn.XLOOKUP(Table11[[#This Row],[Admin2PCODE]], tblPiNAnalysis[Admin2PCODE], INDIRECT("tblPiNAnalysis[" &amp; Table11[[#Headers],[Sectores más altos]] &amp; "]"), "NOT FOUND", 0, 1)</f>
        <v>ASH</v>
      </c>
      <c r="P12" cm="1">
        <f t="array" ref="P12">_xlfn.XLOOKUP(Table11[[#This Row],[Admin2PCODE]], tblPiNAnalysis[Admin2PCODE], tblPiNAnalysis[Severidad], "NOT FOUND", 0, 1)</f>
        <v>3</v>
      </c>
      <c r="Q12" s="318">
        <v>0.38461538461538464</v>
      </c>
      <c r="R12" s="318">
        <v>0.37777777777777771</v>
      </c>
      <c r="S12" s="318">
        <v>0.14529914529914528</v>
      </c>
      <c r="T12">
        <v>1</v>
      </c>
      <c r="W12">
        <f>_xlfn.XLOOKUP(Table11[[#This Row],[Admin2PCODE]],tblSeverityAnalysis[Admin 2 Código P],tblSeverityAnalysis[PRO],0,0)</f>
        <v>3</v>
      </c>
      <c r="Y12">
        <v>0</v>
      </c>
      <c r="Z12">
        <v>3.3</v>
      </c>
      <c r="AA12">
        <f t="shared" si="0"/>
        <v>3</v>
      </c>
    </row>
    <row r="13" spans="1:27">
      <c r="A13" t="s">
        <v>119</v>
      </c>
      <c r="B13" t="s">
        <v>120</v>
      </c>
      <c r="C13" s="42" t="s">
        <v>826</v>
      </c>
      <c r="D13" t="s">
        <v>128</v>
      </c>
      <c r="E13" s="8" cm="1">
        <f t="array" aca="1" ref="E13" ca="1">_xlfn.XLOOKUP(Table11[[#This Row],[Admin2PCODE]], tblPiNAnalysis[Admin2PCODE], INDIRECT("tblPiNAnalysis[" &amp; Table11[[#Headers],[Población]] &amp; "]"), "NOT FOUND", 0, 1)</f>
        <v>14981</v>
      </c>
      <c r="F13" s="8" cm="1">
        <f t="array" aca="1" ref="F13" ca="1">_xlfn.XLOOKUP(Table11[[#This Row],[Admin2PCODE]], tblPiNAnalysis[Admin2PCODE], INDIRECT("tblPiNAnalysis[" &amp; Table11[[#Headers],[SAMV]] &amp; "]"), "NOT FOUND", 0, 1)</f>
        <v>6492</v>
      </c>
      <c r="G13" s="8" cm="1">
        <f t="array" aca="1" ref="G13" ca="1">_xlfn.XLOOKUP(Table11[[#This Row],[Admin2PCODE]], tblPiNAnalysis[Admin2PCODE], INDIRECT("tblPiNAnalysis[" &amp; Table11[[#Headers],[NUT]] &amp; "]"), "NOT FOUND", 0, 1)</f>
        <v>501.35654671603083</v>
      </c>
      <c r="H13" s="8" cm="1">
        <f t="array" aca="1" ref="H13" ca="1">_xlfn.XLOOKUP(Table11[[#This Row],[Admin2PCODE]], tblPiNAnalysis[Admin2PCODE], INDIRECT("tblPiNAnalysis[" &amp; Table11[[#Headers],[SAL]] &amp; "]"), "NOT FOUND", 0, 1)</f>
        <v>5600</v>
      </c>
      <c r="I13" s="8" cm="1">
        <f t="array" aca="1" ref="I13" ca="1">_xlfn.XLOOKUP(Table11[[#This Row],[Admin2PCODE]], tblPiNAnalysis[Admin2PCODE], INDIRECT("tblPiNAnalysis[" &amp; Table11[[#Headers],[EDU]] &amp; "]"), "NOT FOUND", 0, 1)</f>
        <v>564.32144762904727</v>
      </c>
      <c r="J13" s="8" cm="1">
        <f t="array" aca="1" ref="J13" ca="1">_xlfn.XLOOKUP(Table11[[#This Row],[Admin2PCODE]], tblPiNAnalysis[Admin2PCODE], INDIRECT("tblPiNAnalysis[" &amp; Table11[[#Headers],[PRO]] &amp; "]"), "NOT FOUND", 0, 1)</f>
        <v>1787.8278929823746</v>
      </c>
      <c r="K13" s="8" cm="1">
        <f t="array" aca="1" ref="K13" ca="1">_xlfn.XLOOKUP(Table11[[#This Row],[Admin2PCODE]], tblPiNAnalysis[Admin2PCODE], INDIRECT("tblPiNAnalysis[" &amp; Table11[[#Headers],[ASH]] &amp; "]"), "NOT FOUND", 0, 1)</f>
        <v>0</v>
      </c>
      <c r="L13" s="8" cm="1">
        <f t="array" aca="1" ref="L13" ca="1">_xlfn.XLOOKUP(Table11[[#This Row],[Admin2PCODE]], tblPiNAnalysis[Admin2PCODE], INDIRECT("tblPiNAnalysis[" &amp; Table11[[#Headers],[NNA]] &amp; "]"), "NOT FOUND", 0, 1)</f>
        <v>572.1049257543599</v>
      </c>
      <c r="M13" s="8" cm="1">
        <f t="array" aca="1" ref="M13" ca="1">_xlfn.XLOOKUP(Table11[[#This Row],[Admin2PCODE]], tblPiNAnalysis[Admin2PCODE], INDIRECT("tblPiNAnalysis[" &amp; Table11[[#Headers],[VBG]] &amp; "]"), "NOT FOUND", 0, 1)</f>
        <v>625.73976254383103</v>
      </c>
      <c r="N13" s="8" cm="1">
        <f t="array" aca="1" ref="N13" ca="1">_xlfn.XLOOKUP(Table11[[#This Row],[Admin2PCODE]], tblPiNAnalysis[Admin2PCODE], INDIRECT("tblPiNAnalysis[" &amp; Table11[[#Headers],[PiN más alto]] &amp; "]"), "NOT FOUND", 0, 1)</f>
        <v>6492</v>
      </c>
      <c r="O13" t="str" cm="1">
        <f t="array" aca="1" ref="O13" ca="1">_xlfn.XLOOKUP(Table11[[#This Row],[Admin2PCODE]], tblPiNAnalysis[Admin2PCODE], INDIRECT("tblPiNAnalysis[" &amp; Table11[[#Headers],[Sectores más altos]] &amp; "]"), "NOT FOUND", 0, 1)</f>
        <v>SAMV</v>
      </c>
      <c r="P13" cm="1">
        <f t="array" ref="P13">_xlfn.XLOOKUP(Table11[[#This Row],[Admin2PCODE]], tblPiNAnalysis[Admin2PCODE], tblPiNAnalysis[Severidad], "NOT FOUND", 0, 1)</f>
        <v>2</v>
      </c>
      <c r="Q13" s="318">
        <v>0</v>
      </c>
      <c r="R13" s="318">
        <v>0</v>
      </c>
      <c r="S13" s="318">
        <v>0</v>
      </c>
      <c r="T13">
        <v>1</v>
      </c>
      <c r="W13">
        <f>_xlfn.XLOOKUP(Table11[[#This Row],[Admin2PCODE]],tblSeverityAnalysis[Admin 2 Código P],tblSeverityAnalysis[PRO],0,0)</f>
        <v>2</v>
      </c>
      <c r="Y13">
        <v>0</v>
      </c>
      <c r="Z13">
        <v>0</v>
      </c>
      <c r="AA13">
        <f t="shared" si="0"/>
        <v>0</v>
      </c>
    </row>
    <row r="14" spans="1:27">
      <c r="A14" t="s">
        <v>119</v>
      </c>
      <c r="B14" t="s">
        <v>120</v>
      </c>
      <c r="C14" s="42" t="s">
        <v>806</v>
      </c>
      <c r="D14" t="s">
        <v>130</v>
      </c>
      <c r="E14" s="8" cm="1">
        <f t="array" aca="1" ref="E14" ca="1">_xlfn.XLOOKUP(Table11[[#This Row],[Admin2PCODE]], tblPiNAnalysis[Admin2PCODE], INDIRECT("tblPiNAnalysis[" &amp; Table11[[#Headers],[Población]] &amp; "]"), "NOT FOUND", 0, 1)</f>
        <v>44142</v>
      </c>
      <c r="F14" s="8" cm="1">
        <f t="array" aca="1" ref="F14" ca="1">_xlfn.XLOOKUP(Table11[[#This Row],[Admin2PCODE]], tblPiNAnalysis[Admin2PCODE], INDIRECT("tblPiNAnalysis[" &amp; Table11[[#Headers],[SAMV]] &amp; "]"), "NOT FOUND", 0, 1)</f>
        <v>15414</v>
      </c>
      <c r="G14" s="8" cm="1">
        <f t="array" aca="1" ref="G14" ca="1">_xlfn.XLOOKUP(Table11[[#This Row],[Admin2PCODE]], tblPiNAnalysis[Admin2PCODE], INDIRECT("tblPiNAnalysis[" &amp; Table11[[#Headers],[NUT]] &amp; "]"), "NOT FOUND", 0, 1)</f>
        <v>1292.0006397623515</v>
      </c>
      <c r="H14" s="8" cm="1">
        <f t="array" aca="1" ref="H14" ca="1">_xlfn.XLOOKUP(Table11[[#This Row],[Admin2PCODE]], tblPiNAnalysis[Admin2PCODE], INDIRECT("tblPiNAnalysis[" &amp; Table11[[#Headers],[SAL]] &amp; "]"), "NOT FOUND", 0, 1)</f>
        <v>16111.83</v>
      </c>
      <c r="I14" s="8" cm="1">
        <f t="array" aca="1" ref="I14" ca="1">_xlfn.XLOOKUP(Table11[[#This Row],[Admin2PCODE]], tblPiNAnalysis[Admin2PCODE], INDIRECT("tblPiNAnalysis[" &amp; Table11[[#Headers],[EDU]] &amp; "]"), "NOT FOUND", 0, 1)</f>
        <v>3788.8571903945158</v>
      </c>
      <c r="J14" s="8" cm="1">
        <f t="array" aca="1" ref="J14" ca="1">_xlfn.XLOOKUP(Table11[[#This Row],[Admin2PCODE]], tblPiNAnalysis[Admin2PCODE], INDIRECT("tblPiNAnalysis[" &amp; Table11[[#Headers],[PRO]] &amp; "]"), "NOT FOUND", 0, 1)</f>
        <v>5267.8925874125889</v>
      </c>
      <c r="K14" s="8" cm="1">
        <f t="array" aca="1" ref="K14" ca="1">_xlfn.XLOOKUP(Table11[[#This Row],[Admin2PCODE]], tblPiNAnalysis[Admin2PCODE], INDIRECT("tblPiNAnalysis[" &amp; Table11[[#Headers],[ASH]] &amp; "]"), "NOT FOUND", 0, 1)</f>
        <v>2979.585</v>
      </c>
      <c r="L14" s="8" cm="1">
        <f t="array" aca="1" ref="L14" ca="1">_xlfn.XLOOKUP(Table11[[#This Row],[Admin2PCODE]], tblPiNAnalysis[Admin2PCODE], INDIRECT("tblPiNAnalysis[" &amp; Table11[[#Headers],[NNA]] &amp; "]"), "NOT FOUND", 0, 1)</f>
        <v>1685.7256279720286</v>
      </c>
      <c r="M14" s="8" cm="1">
        <f t="array" aca="1" ref="M14" ca="1">_xlfn.XLOOKUP(Table11[[#This Row],[Admin2PCODE]], tblPiNAnalysis[Admin2PCODE], INDIRECT("tblPiNAnalysis[" &amp; Table11[[#Headers],[VBG]] &amp; "]"), "NOT FOUND", 0, 1)</f>
        <v>1843.7624055944057</v>
      </c>
      <c r="N14" s="8" cm="1">
        <f t="array" aca="1" ref="N14" ca="1">_xlfn.XLOOKUP(Table11[[#This Row],[Admin2PCODE]], tblPiNAnalysis[Admin2PCODE], INDIRECT("tblPiNAnalysis[" &amp; Table11[[#Headers],[PiN más alto]] &amp; "]"), "NOT FOUND", 0, 1)</f>
        <v>16111.83</v>
      </c>
      <c r="O14" t="str" cm="1">
        <f t="array" aca="1" ref="O14" ca="1">_xlfn.XLOOKUP(Table11[[#This Row],[Admin2PCODE]], tblPiNAnalysis[Admin2PCODE], INDIRECT("tblPiNAnalysis[" &amp; Table11[[#Headers],[Sectores más altos]] &amp; "]"), "NOT FOUND", 0, 1)</f>
        <v>SAL</v>
      </c>
      <c r="P14" cm="1">
        <f t="array" ref="P14">_xlfn.XLOOKUP(Table11[[#This Row],[Admin2PCODE]], tblPiNAnalysis[Admin2PCODE], tblPiNAnalysis[Severidad], "NOT FOUND", 0, 1)</f>
        <v>3</v>
      </c>
      <c r="Q14" s="318">
        <v>0.4606741573033708</v>
      </c>
      <c r="R14" s="318">
        <v>0.63143631436314351</v>
      </c>
      <c r="S14" s="318">
        <v>0.29088639200998745</v>
      </c>
      <c r="T14">
        <v>1</v>
      </c>
      <c r="W14">
        <f>_xlfn.XLOOKUP(Table11[[#This Row],[Admin2PCODE]],tblSeverityAnalysis[Admin 2 Código P],tblSeverityAnalysis[PRO],0,0)</f>
        <v>2</v>
      </c>
      <c r="Y14">
        <v>0</v>
      </c>
      <c r="Z14">
        <v>3.15</v>
      </c>
      <c r="AA14">
        <f t="shared" si="0"/>
        <v>3</v>
      </c>
    </row>
    <row r="15" spans="1:27">
      <c r="A15" t="s">
        <v>119</v>
      </c>
      <c r="B15" t="s">
        <v>120</v>
      </c>
      <c r="C15" s="42" t="s">
        <v>131</v>
      </c>
      <c r="D15" t="s">
        <v>132</v>
      </c>
      <c r="E15" s="8" cm="1">
        <f t="array" aca="1" ref="E15" ca="1">_xlfn.XLOOKUP(Table11[[#This Row],[Admin2PCODE]], tblPiNAnalysis[Admin2PCODE], INDIRECT("tblPiNAnalysis[" &amp; Table11[[#Headers],[Población]] &amp; "]"), "NOT FOUND", 0, 1)</f>
        <v>31591</v>
      </c>
      <c r="F15" s="8" cm="1">
        <f t="array" aca="1" ref="F15" ca="1">_xlfn.XLOOKUP(Table11[[#This Row],[Admin2PCODE]], tblPiNAnalysis[Admin2PCODE], INDIRECT("tblPiNAnalysis[" &amp; Table11[[#Headers],[SAMV]] &amp; "]"), "NOT FOUND", 0, 1)</f>
        <v>8505</v>
      </c>
      <c r="G15" s="8" cm="1">
        <f t="array" aca="1" ref="G15" ca="1">_xlfn.XLOOKUP(Table11[[#This Row],[Admin2PCODE]], tblPiNAnalysis[Admin2PCODE], INDIRECT("tblPiNAnalysis[" &amp; Table11[[#Headers],[NUT]] &amp; "]"), "NOT FOUND", 0, 1)</f>
        <v>1047.3853281418537</v>
      </c>
      <c r="H15" s="8" cm="1">
        <f t="array" aca="1" ref="H15" ca="1">_xlfn.XLOOKUP(Table11[[#This Row],[Admin2PCODE]], tblPiNAnalysis[Admin2PCODE], INDIRECT("tblPiNAnalysis[" &amp; Table11[[#Headers],[SAL]] &amp; "]"), "NOT FOUND", 0, 1)</f>
        <v>11530.715</v>
      </c>
      <c r="I15" s="8" cm="1">
        <f t="array" aca="1" ref="I15" ca="1">_xlfn.XLOOKUP(Table11[[#This Row],[Admin2PCODE]], tblPiNAnalysis[Admin2PCODE], INDIRECT("tblPiNAnalysis[" &amp; Table11[[#Headers],[EDU]] &amp; "]"), "NOT FOUND", 0, 1)</f>
        <v>2827.5996516653167</v>
      </c>
      <c r="J15" s="8" cm="1">
        <f t="array" aca="1" ref="J15" ca="1">_xlfn.XLOOKUP(Table11[[#This Row],[Admin2PCODE]], tblPiNAnalysis[Admin2PCODE], INDIRECT("tblPiNAnalysis[" &amp; Table11[[#Headers],[PRO]] &amp; "]"), "NOT FOUND", 0, 1)</f>
        <v>6283.4335677643003</v>
      </c>
      <c r="K15" s="8" cm="1">
        <f t="array" aca="1" ref="K15" ca="1">_xlfn.XLOOKUP(Table11[[#This Row],[Admin2PCODE]], tblPiNAnalysis[Admin2PCODE], INDIRECT("tblPiNAnalysis[" &amp; Table11[[#Headers],[ASH]] &amp; "]"), "NOT FOUND", 0, 1)</f>
        <v>4264.7849999999999</v>
      </c>
      <c r="L15" s="8" cm="1">
        <f t="array" aca="1" ref="L15" ca="1">_xlfn.XLOOKUP(Table11[[#This Row],[Admin2PCODE]], tblPiNAnalysis[Admin2PCODE], INDIRECT("tblPiNAnalysis[" &amp; Table11[[#Headers],[NNA]] &amp; "]"), "NOT FOUND", 0, 1)</f>
        <v>2010.6987416845761</v>
      </c>
      <c r="M15" s="8" cm="1">
        <f t="array" aca="1" ref="M15" ca="1">_xlfn.XLOOKUP(Table11[[#This Row],[Admin2PCODE]], tblPiNAnalysis[Admin2PCODE], INDIRECT("tblPiNAnalysis[" &amp; Table11[[#Headers],[VBG]] &amp; "]"), "NOT FOUND", 0, 1)</f>
        <v>2199.2017487175049</v>
      </c>
      <c r="N15" s="8" cm="1">
        <f t="array" aca="1" ref="N15" ca="1">_xlfn.XLOOKUP(Table11[[#This Row],[Admin2PCODE]], tblPiNAnalysis[Admin2PCODE], INDIRECT("tblPiNAnalysis[" &amp; Table11[[#Headers],[PiN más alto]] &amp; "]"), "NOT FOUND", 0, 1)</f>
        <v>11530.715</v>
      </c>
      <c r="O15" t="str" cm="1">
        <f t="array" aca="1" ref="O15" ca="1">_xlfn.XLOOKUP(Table11[[#This Row],[Admin2PCODE]], tblPiNAnalysis[Admin2PCODE], INDIRECT("tblPiNAnalysis[" &amp; Table11[[#Headers],[Sectores más altos]] &amp; "]"), "NOT FOUND", 0, 1)</f>
        <v>SAL</v>
      </c>
      <c r="P15" cm="1">
        <f t="array" ref="P15">_xlfn.XLOOKUP(Table11[[#This Row],[Admin2PCODE]], tblPiNAnalysis[Admin2PCODE], tblPiNAnalysis[Severidad], "NOT FOUND", 0, 1)</f>
        <v>3</v>
      </c>
      <c r="Q15" s="318">
        <v>0.81578947368421051</v>
      </c>
      <c r="R15" s="318">
        <v>0.43906810035842286</v>
      </c>
      <c r="S15" s="318">
        <v>0.35818713450292389</v>
      </c>
      <c r="T15">
        <v>0</v>
      </c>
      <c r="W15">
        <f>_xlfn.XLOOKUP(Table11[[#This Row],[Admin2PCODE]],tblSeverityAnalysis[Admin 2 Código P],tblSeverityAnalysis[PRO],0,0)</f>
        <v>3</v>
      </c>
      <c r="Y15">
        <v>0</v>
      </c>
      <c r="Z15">
        <v>0</v>
      </c>
      <c r="AA15">
        <f t="shared" si="0"/>
        <v>0</v>
      </c>
    </row>
    <row r="16" spans="1:27">
      <c r="A16" t="s">
        <v>119</v>
      </c>
      <c r="B16" t="s">
        <v>120</v>
      </c>
      <c r="C16" s="42" t="s">
        <v>133</v>
      </c>
      <c r="D16" t="s">
        <v>134</v>
      </c>
      <c r="E16" s="8" cm="1">
        <f t="array" aca="1" ref="E16" ca="1">_xlfn.XLOOKUP(Table11[[#This Row],[Admin2PCODE]], tblPiNAnalysis[Admin2PCODE], INDIRECT("tblPiNAnalysis[" &amp; Table11[[#Headers],[Población]] &amp; "]"), "NOT FOUND", 0, 1)</f>
        <v>30697</v>
      </c>
      <c r="F16" s="8" cm="1">
        <f t="array" aca="1" ref="F16" ca="1">_xlfn.XLOOKUP(Table11[[#This Row],[Admin2PCODE]], tblPiNAnalysis[Admin2PCODE], INDIRECT("tblPiNAnalysis[" &amp; Table11[[#Headers],[SAMV]] &amp; "]"), "NOT FOUND", 0, 1)</f>
        <v>6806</v>
      </c>
      <c r="G16" s="8" cm="1">
        <f t="array" aca="1" ref="G16" ca="1">_xlfn.XLOOKUP(Table11[[#This Row],[Admin2PCODE]], tblPiNAnalysis[Admin2PCODE], INDIRECT("tblPiNAnalysis[" &amp; Table11[[#Headers],[NUT]] &amp; "]"), "NOT FOUND", 0, 1)</f>
        <v>993.16323685153839</v>
      </c>
      <c r="H16" s="8" cm="1">
        <f t="array" aca="1" ref="H16" ca="1">_xlfn.XLOOKUP(Table11[[#This Row],[Admin2PCODE]], tblPiNAnalysis[Admin2PCODE], INDIRECT("tblPiNAnalysis[" &amp; Table11[[#Headers],[SAL]] &amp; "]"), "NOT FOUND", 0, 1)</f>
        <v>11204.405000000001</v>
      </c>
      <c r="I16" s="8" cm="1">
        <f t="array" aca="1" ref="I16" ca="1">_xlfn.XLOOKUP(Table11[[#This Row],[Admin2PCODE]], tblPiNAnalysis[Admin2PCODE], INDIRECT("tblPiNAnalysis[" &amp; Table11[[#Headers],[EDU]] &amp; "]"), "NOT FOUND", 0, 1)</f>
        <v>2070.5044288934132</v>
      </c>
      <c r="J16" s="8" cm="1">
        <f t="array" aca="1" ref="J16" ca="1">_xlfn.XLOOKUP(Table11[[#This Row],[Admin2PCODE]], tblPiNAnalysis[Admin2PCODE], INDIRECT("tblPiNAnalysis[" &amp; Table11[[#Headers],[PRO]] &amp; "]"), "NOT FOUND", 0, 1)</f>
        <v>6105.6174299534896</v>
      </c>
      <c r="K16" s="8" cm="1">
        <f t="array" aca="1" ref="K16" ca="1">_xlfn.XLOOKUP(Table11[[#This Row],[Admin2PCODE]], tblPiNAnalysis[Admin2PCODE], INDIRECT("tblPiNAnalysis[" &amp; Table11[[#Headers],[ASH]] &amp; "]"), "NOT FOUND", 0, 1)</f>
        <v>0</v>
      </c>
      <c r="L16" s="8" cm="1">
        <f t="array" aca="1" ref="L16" ca="1">_xlfn.XLOOKUP(Table11[[#This Row],[Admin2PCODE]], tblPiNAnalysis[Admin2PCODE], INDIRECT("tblPiNAnalysis[" &amp; Table11[[#Headers],[NNA]] &amp; "]"), "NOT FOUND", 0, 1)</f>
        <v>1953.7975775851169</v>
      </c>
      <c r="M16" s="8" cm="1">
        <f t="array" aca="1" ref="M16" ca="1">_xlfn.XLOOKUP(Table11[[#This Row],[Admin2PCODE]], tblPiNAnalysis[Admin2PCODE], INDIRECT("tblPiNAnalysis[" &amp; Table11[[#Headers],[VBG]] &amp; "]"), "NOT FOUND", 0, 1)</f>
        <v>2136.9661004837212</v>
      </c>
      <c r="N16" s="8" cm="1">
        <f t="array" aca="1" ref="N16" ca="1">_xlfn.XLOOKUP(Table11[[#This Row],[Admin2PCODE]], tblPiNAnalysis[Admin2PCODE], INDIRECT("tblPiNAnalysis[" &amp; Table11[[#Headers],[PiN más alto]] &amp; "]"), "NOT FOUND", 0, 1)</f>
        <v>11204.405000000001</v>
      </c>
      <c r="O16" t="str" cm="1">
        <f t="array" aca="1" ref="O16" ca="1">_xlfn.XLOOKUP(Table11[[#This Row],[Admin2PCODE]], tblPiNAnalysis[Admin2PCODE], INDIRECT("tblPiNAnalysis[" &amp; Table11[[#Headers],[Sectores más altos]] &amp; "]"), "NOT FOUND", 0, 1)</f>
        <v>SAL</v>
      </c>
      <c r="P16" cm="1">
        <f t="array" ref="P16">_xlfn.XLOOKUP(Table11[[#This Row],[Admin2PCODE]], tblPiNAnalysis[Admin2PCODE], tblPiNAnalysis[Severidad], "NOT FOUND", 0, 1)</f>
        <v>3</v>
      </c>
      <c r="Q16" s="318">
        <v>0</v>
      </c>
      <c r="R16" s="318">
        <v>0</v>
      </c>
      <c r="S16" s="318">
        <v>0</v>
      </c>
      <c r="T16">
        <v>0</v>
      </c>
      <c r="W16">
        <f>_xlfn.XLOOKUP(Table11[[#This Row],[Admin2PCODE]],tblSeverityAnalysis[Admin 2 Código P],tblSeverityAnalysis[PRO],0,0)</f>
        <v>3</v>
      </c>
      <c r="Y16">
        <v>0</v>
      </c>
      <c r="Z16">
        <v>3.95</v>
      </c>
      <c r="AA16">
        <f t="shared" si="0"/>
        <v>4</v>
      </c>
    </row>
    <row r="17" spans="1:27">
      <c r="A17" t="s">
        <v>119</v>
      </c>
      <c r="B17" t="s">
        <v>120</v>
      </c>
      <c r="C17" s="42" t="s">
        <v>135</v>
      </c>
      <c r="D17" t="s">
        <v>136</v>
      </c>
      <c r="E17" s="8" cm="1">
        <f t="array" aca="1" ref="E17" ca="1">_xlfn.XLOOKUP(Table11[[#This Row],[Admin2PCODE]], tblPiNAnalysis[Admin2PCODE], INDIRECT("tblPiNAnalysis[" &amp; Table11[[#Headers],[Población]] &amp; "]"), "NOT FOUND", 0, 1)</f>
        <v>250248</v>
      </c>
      <c r="F17" s="8" cm="1">
        <f t="array" aca="1" ref="F17" ca="1">_xlfn.XLOOKUP(Table11[[#This Row],[Admin2PCODE]], tblPiNAnalysis[Admin2PCODE], INDIRECT("tblPiNAnalysis[" &amp; Table11[[#Headers],[SAMV]] &amp; "]"), "NOT FOUND", 0, 1)</f>
        <v>62744</v>
      </c>
      <c r="G17" s="8" cm="1">
        <f t="array" aca="1" ref="G17" ca="1">_xlfn.XLOOKUP(Table11[[#This Row],[Admin2PCODE]], tblPiNAnalysis[Admin2PCODE], INDIRECT("tblPiNAnalysis[" &amp; Table11[[#Headers],[NUT]] &amp; "]"), "NOT FOUND", 0, 1)</f>
        <v>8020.9941589526334</v>
      </c>
      <c r="H17" s="8" cm="1">
        <f t="array" aca="1" ref="H17" ca="1">_xlfn.XLOOKUP(Table11[[#This Row],[Admin2PCODE]], tblPiNAnalysis[Admin2PCODE], INDIRECT("tblPiNAnalysis[" &amp; Table11[[#Headers],[SAL]] &amp; "]"), "NOT FOUND", 0, 1)</f>
        <v>91340.52</v>
      </c>
      <c r="I17" s="8" cm="1">
        <f t="array" aca="1" ref="I17" ca="1">_xlfn.XLOOKUP(Table11[[#This Row],[Admin2PCODE]], tblPiNAnalysis[Admin2PCODE], INDIRECT("tblPiNAnalysis[" &amp; Table11[[#Headers],[EDU]] &amp; "]"), "NOT FOUND", 0, 1)</f>
        <v>24428.471891261637</v>
      </c>
      <c r="J17" s="8" cm="1">
        <f t="array" aca="1" ref="J17" ca="1">_xlfn.XLOOKUP(Table11[[#This Row],[Admin2PCODE]], tblPiNAnalysis[Admin2PCODE], INDIRECT("tblPiNAnalysis[" &amp; Table11[[#Headers],[PRO]] &amp; "]"), "NOT FOUND", 0, 1)</f>
        <v>59729.037389099947</v>
      </c>
      <c r="K17" s="8" cm="1">
        <f t="array" aca="1" ref="K17" ca="1">_xlfn.XLOOKUP(Table11[[#This Row],[Admin2PCODE]], tblPiNAnalysis[Admin2PCODE], INDIRECT("tblPiNAnalysis[" &amp; Table11[[#Headers],[ASH]] &amp; "]"), "NOT FOUND", 0, 1)</f>
        <v>0</v>
      </c>
      <c r="L17" s="8" cm="1">
        <f t="array" aca="1" ref="L17" ca="1">_xlfn.XLOOKUP(Table11[[#This Row],[Admin2PCODE]], tblPiNAnalysis[Admin2PCODE], INDIRECT("tblPiNAnalysis[" &amp; Table11[[#Headers],[NNA]] &amp; "]"), "NOT FOUND", 0, 1)</f>
        <v>19113.291964511984</v>
      </c>
      <c r="M17" s="8" cm="1">
        <f t="array" aca="1" ref="M17" ca="1">_xlfn.XLOOKUP(Table11[[#This Row],[Admin2PCODE]], tblPiNAnalysis[Admin2PCODE], INDIRECT("tblPiNAnalysis[" &amp; Table11[[#Headers],[VBG]] &amp; "]"), "NOT FOUND", 0, 1)</f>
        <v>20905.163086184981</v>
      </c>
      <c r="N17" s="8" cm="1">
        <f t="array" aca="1" ref="N17" ca="1">_xlfn.XLOOKUP(Table11[[#This Row],[Admin2PCODE]], tblPiNAnalysis[Admin2PCODE], INDIRECT("tblPiNAnalysis[" &amp; Table11[[#Headers],[PiN más alto]] &amp; "]"), "NOT FOUND", 0, 1)</f>
        <v>91340.52</v>
      </c>
      <c r="O17" t="str" cm="1">
        <f t="array" aca="1" ref="O17" ca="1">_xlfn.XLOOKUP(Table11[[#This Row],[Admin2PCODE]], tblPiNAnalysis[Admin2PCODE], INDIRECT("tblPiNAnalysis[" &amp; Table11[[#Headers],[Sectores más altos]] &amp; "]"), "NOT FOUND", 0, 1)</f>
        <v>SAL</v>
      </c>
      <c r="P17" cm="1">
        <f t="array" ref="P17">_xlfn.XLOOKUP(Table11[[#This Row],[Admin2PCODE]], tblPiNAnalysis[Admin2PCODE], tblPiNAnalysis[Severidad], "NOT FOUND", 0, 1)</f>
        <v>3</v>
      </c>
      <c r="Q17" s="318">
        <v>0.35588235294117648</v>
      </c>
      <c r="R17" s="318">
        <v>0.37786960514233248</v>
      </c>
      <c r="S17" s="318">
        <v>0.13447712418300656</v>
      </c>
      <c r="T17">
        <v>0</v>
      </c>
      <c r="W17">
        <f>_xlfn.XLOOKUP(Table11[[#This Row],[Admin2PCODE]],tblSeverityAnalysis[Admin 2 Código P],tblSeverityAnalysis[PRO],0,0)</f>
        <v>4</v>
      </c>
      <c r="Y17">
        <v>0</v>
      </c>
      <c r="Z17">
        <v>0</v>
      </c>
      <c r="AA17">
        <f t="shared" si="0"/>
        <v>0</v>
      </c>
    </row>
    <row r="18" spans="1:27">
      <c r="A18" t="s">
        <v>119</v>
      </c>
      <c r="B18" t="s">
        <v>120</v>
      </c>
      <c r="C18" s="42" t="s">
        <v>137</v>
      </c>
      <c r="D18" t="s">
        <v>138</v>
      </c>
      <c r="E18" s="8" cm="1">
        <f t="array" aca="1" ref="E18" ca="1">_xlfn.XLOOKUP(Table11[[#This Row],[Admin2PCODE]], tblPiNAnalysis[Admin2PCODE], INDIRECT("tblPiNAnalysis[" &amp; Table11[[#Headers],[Población]] &amp; "]"), "NOT FOUND", 0, 1)</f>
        <v>13778</v>
      </c>
      <c r="F18" s="8" cm="1">
        <f t="array" aca="1" ref="F18" ca="1">_xlfn.XLOOKUP(Table11[[#This Row],[Admin2PCODE]], tblPiNAnalysis[Admin2PCODE], INDIRECT("tblPiNAnalysis[" &amp; Table11[[#Headers],[SAMV]] &amp; "]"), "NOT FOUND", 0, 1)</f>
        <v>4082</v>
      </c>
      <c r="G18" s="8" cm="1">
        <f t="array" aca="1" ref="G18" ca="1">_xlfn.XLOOKUP(Table11[[#This Row],[Admin2PCODE]], tblPiNAnalysis[Admin2PCODE], INDIRECT("tblPiNAnalysis[" &amp; Table11[[#Headers],[NUT]] &amp; "]"), "NOT FOUND", 0, 1)</f>
        <v>641.18154432629694</v>
      </c>
      <c r="H18" s="8" cm="1">
        <f t="array" aca="1" ref="H18" ca="1">_xlfn.XLOOKUP(Table11[[#This Row],[Admin2PCODE]], tblPiNAnalysis[Admin2PCODE], INDIRECT("tblPiNAnalysis[" &amp; Table11[[#Headers],[SAL]] &amp; "]"), "NOT FOUND", 0, 1)</f>
        <v>11200</v>
      </c>
      <c r="I18" s="8" cm="1">
        <f t="array" aca="1" ref="I18" ca="1">_xlfn.XLOOKUP(Table11[[#This Row],[Admin2PCODE]], tblPiNAnalysis[Admin2PCODE], INDIRECT("tblPiNAnalysis[" &amp; Table11[[#Headers],[EDU]] &amp; "]"), "NOT FOUND", 0, 1)</f>
        <v>1591.1768315739082</v>
      </c>
      <c r="J18" s="8" cm="1">
        <f t="array" aca="1" ref="J18" ca="1">_xlfn.XLOOKUP(Table11[[#This Row],[Admin2PCODE]], tblPiNAnalysis[Admin2PCODE], INDIRECT("tblPiNAnalysis[" &amp; Table11[[#Headers],[PRO]] &amp; "]"), "NOT FOUND", 0, 1)</f>
        <v>1644.2622461458618</v>
      </c>
      <c r="K18" s="8" cm="1">
        <f t="array" aca="1" ref="K18" ca="1">_xlfn.XLOOKUP(Table11[[#This Row],[Admin2PCODE]], tblPiNAnalysis[Admin2PCODE], INDIRECT("tblPiNAnalysis[" &amp; Table11[[#Headers],[ASH]] &amp; "]"), "NOT FOUND", 0, 1)</f>
        <v>6200.1</v>
      </c>
      <c r="L18" s="8" cm="1">
        <f t="array" aca="1" ref="L18" ca="1">_xlfn.XLOOKUP(Table11[[#This Row],[Admin2PCODE]], tblPiNAnalysis[Admin2PCODE], INDIRECT("tblPiNAnalysis[" &amp; Table11[[#Headers],[NNA]] &amp; "]"), "NOT FOUND", 0, 1)</f>
        <v>526.16391876667569</v>
      </c>
      <c r="M18" s="8" cm="1">
        <f t="array" aca="1" ref="M18" ca="1">_xlfn.XLOOKUP(Table11[[#This Row],[Admin2PCODE]], tblPiNAnalysis[Admin2PCODE], INDIRECT("tblPiNAnalysis[" &amp; Table11[[#Headers],[VBG]] &amp; "]"), "NOT FOUND", 0, 1)</f>
        <v>575.49178615105154</v>
      </c>
      <c r="N18" s="8" cm="1">
        <f t="array" aca="1" ref="N18" ca="1">_xlfn.XLOOKUP(Table11[[#This Row],[Admin2PCODE]], tblPiNAnalysis[Admin2PCODE], INDIRECT("tblPiNAnalysis[" &amp; Table11[[#Headers],[PiN más alto]] &amp; "]"), "NOT FOUND", 0, 1)</f>
        <v>11200</v>
      </c>
      <c r="O18" t="str" cm="1">
        <f t="array" aca="1" ref="O18" ca="1">_xlfn.XLOOKUP(Table11[[#This Row],[Admin2PCODE]], tblPiNAnalysis[Admin2PCODE], INDIRECT("tblPiNAnalysis[" &amp; Table11[[#Headers],[Sectores más altos]] &amp; "]"), "NOT FOUND", 0, 1)</f>
        <v>SAL</v>
      </c>
      <c r="P18" cm="1">
        <f t="array" ref="P18">_xlfn.XLOOKUP(Table11[[#This Row],[Admin2PCODE]], tblPiNAnalysis[Admin2PCODE], tblPiNAnalysis[Severidad], "NOT FOUND", 0, 1)</f>
        <v>3</v>
      </c>
      <c r="Q18" s="318">
        <v>0</v>
      </c>
      <c r="R18" s="318">
        <v>0</v>
      </c>
      <c r="S18" s="318">
        <v>0</v>
      </c>
      <c r="T18">
        <v>0</v>
      </c>
      <c r="W18">
        <f>_xlfn.XLOOKUP(Table11[[#This Row],[Admin2PCODE]],tblSeverityAnalysis[Admin 2 Código P],tblSeverityAnalysis[PRO],0,0)</f>
        <v>2</v>
      </c>
      <c r="Y18">
        <v>0</v>
      </c>
      <c r="Z18">
        <v>3.8</v>
      </c>
      <c r="AA18">
        <f t="shared" si="0"/>
        <v>4</v>
      </c>
    </row>
    <row r="19" spans="1:27">
      <c r="A19" t="s">
        <v>119</v>
      </c>
      <c r="B19" t="s">
        <v>120</v>
      </c>
      <c r="C19" s="42" t="s">
        <v>139</v>
      </c>
      <c r="D19" t="s">
        <v>140</v>
      </c>
      <c r="E19" s="8" cm="1">
        <f t="array" aca="1" ref="E19" ca="1">_xlfn.XLOOKUP(Table11[[#This Row],[Admin2PCODE]], tblPiNAnalysis[Admin2PCODE], INDIRECT("tblPiNAnalysis[" &amp; Table11[[#Headers],[Población]] &amp; "]"), "NOT FOUND", 0, 1)</f>
        <v>17933</v>
      </c>
      <c r="F19" s="8" cm="1">
        <f t="array" aca="1" ref="F19" ca="1">_xlfn.XLOOKUP(Table11[[#This Row],[Admin2PCODE]], tblPiNAnalysis[Admin2PCODE], INDIRECT("tblPiNAnalysis[" &amp; Table11[[#Headers],[SAMV]] &amp; "]"), "NOT FOUND", 0, 1)</f>
        <v>2989</v>
      </c>
      <c r="G19" s="8" cm="1">
        <f t="array" aca="1" ref="G19" ca="1">_xlfn.XLOOKUP(Table11[[#This Row],[Admin2PCODE]], tblPiNAnalysis[Admin2PCODE], INDIRECT("tblPiNAnalysis[" &amp; Table11[[#Headers],[NUT]] &amp; "]"), "NOT FOUND", 0, 1)</f>
        <v>1895.5368817451808</v>
      </c>
      <c r="H19" s="8" cm="1">
        <f t="array" aca="1" ref="H19" ca="1">_xlfn.XLOOKUP(Table11[[#This Row],[Admin2PCODE]], tblPiNAnalysis[Admin2PCODE], INDIRECT("tblPiNAnalysis[" &amp; Table11[[#Headers],[SAL]] &amp; "]"), "NOT FOUND", 0, 1)</f>
        <v>14000</v>
      </c>
      <c r="I19" s="8" cm="1">
        <f t="array" aca="1" ref="I19" ca="1">_xlfn.XLOOKUP(Table11[[#This Row],[Admin2PCODE]], tblPiNAnalysis[Admin2PCODE], INDIRECT("tblPiNAnalysis[" &amp; Table11[[#Headers],[EDU]] &amp; "]"), "NOT FOUND", 0, 1)</f>
        <v>2082.8416132481525</v>
      </c>
      <c r="J19" s="8" cm="1">
        <f t="array" aca="1" ref="J19" ca="1">_xlfn.XLOOKUP(Table11[[#This Row],[Admin2PCODE]], tblPiNAnalysis[Admin2PCODE], INDIRECT("tblPiNAnalysis[" &amp; Table11[[#Headers],[PRO]] &amp; "]"), "NOT FOUND", 0, 1)</f>
        <v>2140.118657289428</v>
      </c>
      <c r="K19" s="8" cm="1">
        <f t="array" aca="1" ref="K19" ca="1">_xlfn.XLOOKUP(Table11[[#This Row],[Admin2PCODE]], tblPiNAnalysis[Admin2PCODE], INDIRECT("tblPiNAnalysis[" &amp; Table11[[#Headers],[ASH]] &amp; "]"), "NOT FOUND", 0, 1)</f>
        <v>8069.85</v>
      </c>
      <c r="L19" s="8" cm="1">
        <f t="array" aca="1" ref="L19" ca="1">_xlfn.XLOOKUP(Table11[[#This Row],[Admin2PCODE]], tblPiNAnalysis[Admin2PCODE], INDIRECT("tblPiNAnalysis[" &amp; Table11[[#Headers],[NNA]] &amp; "]"), "NOT FOUND", 0, 1)</f>
        <v>684.83797033261703</v>
      </c>
      <c r="M19" s="8" cm="1">
        <f t="array" aca="1" ref="M19" ca="1">_xlfn.XLOOKUP(Table11[[#This Row],[Admin2PCODE]], tblPiNAnalysis[Admin2PCODE], INDIRECT("tblPiNAnalysis[" &amp; Table11[[#Headers],[VBG]] &amp; "]"), "NOT FOUND", 0, 1)</f>
        <v>749.04153005129967</v>
      </c>
      <c r="N19" s="8" cm="1">
        <f t="array" aca="1" ref="N19" ca="1">_xlfn.XLOOKUP(Table11[[#This Row],[Admin2PCODE]], tblPiNAnalysis[Admin2PCODE], INDIRECT("tblPiNAnalysis[" &amp; Table11[[#Headers],[PiN más alto]] &amp; "]"), "NOT FOUND", 0, 1)</f>
        <v>14000</v>
      </c>
      <c r="O19" t="str" cm="1">
        <f t="array" aca="1" ref="O19" ca="1">_xlfn.XLOOKUP(Table11[[#This Row],[Admin2PCODE]], tblPiNAnalysis[Admin2PCODE], INDIRECT("tblPiNAnalysis[" &amp; Table11[[#Headers],[Sectores más altos]] &amp; "]"), "NOT FOUND", 0, 1)</f>
        <v>SAL</v>
      </c>
      <c r="P19" cm="1">
        <f t="array" ref="P19">_xlfn.XLOOKUP(Table11[[#This Row],[Admin2PCODE]], tblPiNAnalysis[Admin2PCODE], tblPiNAnalysis[Severidad], "NOT FOUND", 0, 1)</f>
        <v>4</v>
      </c>
      <c r="Q19" s="318">
        <v>0.25</v>
      </c>
      <c r="R19" s="318">
        <v>0.44444444444444436</v>
      </c>
      <c r="S19" s="318">
        <v>0.11111111111111109</v>
      </c>
      <c r="T19">
        <v>0</v>
      </c>
      <c r="W19">
        <f>_xlfn.XLOOKUP(Table11[[#This Row],[Admin2PCODE]],tblSeverityAnalysis[Admin 2 Código P],tblSeverityAnalysis[PRO],0,0)</f>
        <v>2</v>
      </c>
      <c r="Y19">
        <v>0</v>
      </c>
      <c r="Z19">
        <v>2.8</v>
      </c>
      <c r="AA19">
        <f t="shared" si="0"/>
        <v>3</v>
      </c>
    </row>
    <row r="20" spans="1:27">
      <c r="A20" t="s">
        <v>119</v>
      </c>
      <c r="B20" t="s">
        <v>120</v>
      </c>
      <c r="C20" s="42" t="s">
        <v>141</v>
      </c>
      <c r="D20" t="s">
        <v>142</v>
      </c>
      <c r="E20" s="8" cm="1">
        <f t="array" aca="1" ref="E20" ca="1">_xlfn.XLOOKUP(Table11[[#This Row],[Admin2PCODE]], tblPiNAnalysis[Admin2PCODE], INDIRECT("tblPiNAnalysis[" &amp; Table11[[#Headers],[Población]] &amp; "]"), "NOT FOUND", 0, 1)</f>
        <v>14766</v>
      </c>
      <c r="F20" s="8" cm="1">
        <f t="array" aca="1" ref="F20" ca="1">_xlfn.XLOOKUP(Table11[[#This Row],[Admin2PCODE]], tblPiNAnalysis[Admin2PCODE], INDIRECT("tblPiNAnalysis[" &amp; Table11[[#Headers],[SAMV]] &amp; "]"), "NOT FOUND", 0, 1)</f>
        <v>4206</v>
      </c>
      <c r="G20" s="8" cm="1">
        <f t="array" aca="1" ref="G20" ca="1">_xlfn.XLOOKUP(Table11[[#This Row],[Admin2PCODE]], tblPiNAnalysis[Admin2PCODE], INDIRECT("tblPiNAnalysis[" &amp; Table11[[#Headers],[NUT]] &amp; "]"), "NOT FOUND", 0, 1)</f>
        <v>536.02058710119832</v>
      </c>
      <c r="H20" s="8" cm="1">
        <f t="array" aca="1" ref="H20" ca="1">_xlfn.XLOOKUP(Table11[[#This Row],[Admin2PCODE]], tblPiNAnalysis[Admin2PCODE], INDIRECT("tblPiNAnalysis[" &amp; Table11[[#Headers],[SAL]] &amp; "]"), "NOT FOUND", 0, 1)</f>
        <v>7000</v>
      </c>
      <c r="I20" s="8" cm="1">
        <f t="array" aca="1" ref="I20" ca="1">_xlfn.XLOOKUP(Table11[[#This Row],[Admin2PCODE]], tblPiNAnalysis[Admin2PCODE], INDIRECT("tblPiNAnalysis[" &amp; Table11[[#Headers],[EDU]] &amp; "]"), "NOT FOUND", 0, 1)</f>
        <v>978.65629612686234</v>
      </c>
      <c r="J20" s="8" cm="1">
        <f t="array" aca="1" ref="J20" ca="1">_xlfn.XLOOKUP(Table11[[#This Row],[Admin2PCODE]], tblPiNAnalysis[Admin2PCODE], INDIRECT("tblPiNAnalysis[" &amp; Table11[[#Headers],[PRO]] &amp; "]"), "NOT FOUND", 0, 1)</f>
        <v>1762.1698596741035</v>
      </c>
      <c r="K20" s="8" cm="1">
        <f t="array" aca="1" ref="K20" ca="1">_xlfn.XLOOKUP(Table11[[#This Row],[Admin2PCODE]], tblPiNAnalysis[Admin2PCODE], INDIRECT("tblPiNAnalysis[" &amp; Table11[[#Headers],[ASH]] &amp; "]"), "NOT FOUND", 0, 1)</f>
        <v>0</v>
      </c>
      <c r="L20" s="8" cm="1">
        <f t="array" aca="1" ref="L20" ca="1">_xlfn.XLOOKUP(Table11[[#This Row],[Admin2PCODE]], tblPiNAnalysis[Admin2PCODE], INDIRECT("tblPiNAnalysis[" &amp; Table11[[#Headers],[NNA]] &amp; "]"), "NOT FOUND", 0, 1)</f>
        <v>565.65652495538723</v>
      </c>
      <c r="M20" s="8" cm="1">
        <f t="array" aca="1" ref="M20" ca="1">_xlfn.XLOOKUP(Table11[[#This Row],[Admin2PCODE]], tblPiNAnalysis[Admin2PCODE], INDIRECT("tblPiNAnalysis[" &amp; Table11[[#Headers],[VBG]] &amp; "]"), "NOT FOUND", 0, 1)</f>
        <v>616.75945088593619</v>
      </c>
      <c r="N20" s="8" cm="1">
        <f t="array" aca="1" ref="N20" ca="1">_xlfn.XLOOKUP(Table11[[#This Row],[Admin2PCODE]], tblPiNAnalysis[Admin2PCODE], INDIRECT("tblPiNAnalysis[" &amp; Table11[[#Headers],[PiN más alto]] &amp; "]"), "NOT FOUND", 0, 1)</f>
        <v>7000</v>
      </c>
      <c r="O20" t="str" cm="1">
        <f t="array" aca="1" ref="O20" ca="1">_xlfn.XLOOKUP(Table11[[#This Row],[Admin2PCODE]], tblPiNAnalysis[Admin2PCODE], INDIRECT("tblPiNAnalysis[" &amp; Table11[[#Headers],[Sectores más altos]] &amp; "]"), "NOT FOUND", 0, 1)</f>
        <v>SAL</v>
      </c>
      <c r="P20" cm="1">
        <f t="array" ref="P20">_xlfn.XLOOKUP(Table11[[#This Row],[Admin2PCODE]], tblPiNAnalysis[Admin2PCODE], tblPiNAnalysis[Severidad], "NOT FOUND", 0, 1)</f>
        <v>2</v>
      </c>
      <c r="Q20" s="318">
        <v>1</v>
      </c>
      <c r="R20" s="318">
        <v>0.52469135802469125</v>
      </c>
      <c r="S20" s="318">
        <v>0.52469135802469125</v>
      </c>
      <c r="T20">
        <v>0</v>
      </c>
      <c r="W20">
        <f>_xlfn.XLOOKUP(Table11[[#This Row],[Admin2PCODE]],tblSeverityAnalysis[Admin 2 Código P],tblSeverityAnalysis[PRO],0,0)</f>
        <v>2</v>
      </c>
      <c r="Y20">
        <v>0</v>
      </c>
      <c r="Z20">
        <v>0</v>
      </c>
      <c r="AA20">
        <f t="shared" si="0"/>
        <v>0</v>
      </c>
    </row>
    <row r="21" spans="1:27">
      <c r="A21" t="s">
        <v>119</v>
      </c>
      <c r="B21" t="s">
        <v>120</v>
      </c>
      <c r="C21" s="42" t="s">
        <v>143</v>
      </c>
      <c r="D21" t="s">
        <v>144</v>
      </c>
      <c r="E21" s="8" cm="1">
        <f t="array" aca="1" ref="E21" ca="1">_xlfn.XLOOKUP(Table11[[#This Row],[Admin2PCODE]], tblPiNAnalysis[Admin2PCODE], INDIRECT("tblPiNAnalysis[" &amp; Table11[[#Headers],[Población]] &amp; "]"), "NOT FOUND", 0, 1)</f>
        <v>33403</v>
      </c>
      <c r="F21" s="8" cm="1">
        <f t="array" aca="1" ref="F21" ca="1">_xlfn.XLOOKUP(Table11[[#This Row],[Admin2PCODE]], tblPiNAnalysis[Admin2PCODE], INDIRECT("tblPiNAnalysis[" &amp; Table11[[#Headers],[SAMV]] &amp; "]"), "NOT FOUND", 0, 1)</f>
        <v>10784</v>
      </c>
      <c r="G21" s="8" cm="1">
        <f t="array" aca="1" ref="G21" ca="1">_xlfn.XLOOKUP(Table11[[#This Row],[Admin2PCODE]], tblPiNAnalysis[Admin2PCODE], INDIRECT("tblPiNAnalysis[" &amp; Table11[[#Headers],[NUT]] &amp; "]"), "NOT FOUND", 0, 1)</f>
        <v>1139.1017697671107</v>
      </c>
      <c r="H21" s="8" cm="1">
        <f t="array" aca="1" ref="H21" ca="1">_xlfn.XLOOKUP(Table11[[#This Row],[Admin2PCODE]], tblPiNAnalysis[Admin2PCODE], INDIRECT("tblPiNAnalysis[" &amp; Table11[[#Headers],[SAL]] &amp; "]"), "NOT FOUND", 0, 1)</f>
        <v>18200</v>
      </c>
      <c r="I21" s="8" cm="1">
        <f t="array" aca="1" ref="I21" ca="1">_xlfn.XLOOKUP(Table11[[#This Row],[Admin2PCODE]], tblPiNAnalysis[Admin2PCODE], INDIRECT("tblPiNAnalysis[" &amp; Table11[[#Headers],[EDU]] &amp; "]"), "NOT FOUND", 0, 1)</f>
        <v>2576.5539253173292</v>
      </c>
      <c r="J21" s="8" cm="1">
        <f t="array" aca="1" ref="J21" ca="1">_xlfn.XLOOKUP(Table11[[#This Row],[Admin2PCODE]], tblPiNAnalysis[Admin2PCODE], INDIRECT("tblPiNAnalysis[" &amp; Table11[[#Headers],[PRO]] &amp; "]"), "NOT FOUND", 0, 1)</f>
        <v>3986.3036585868931</v>
      </c>
      <c r="K21" s="8" cm="1">
        <f t="array" aca="1" ref="K21" ca="1">_xlfn.XLOOKUP(Table11[[#This Row],[Admin2PCODE]], tblPiNAnalysis[Admin2PCODE], INDIRECT("tblPiNAnalysis[" &amp; Table11[[#Headers],[ASH]] &amp; "]"), "NOT FOUND", 0, 1)</f>
        <v>4509.4049999999997</v>
      </c>
      <c r="L21" s="8" cm="1">
        <f t="array" aca="1" ref="L21" ca="1">_xlfn.XLOOKUP(Table11[[#This Row],[Admin2PCODE]], tblPiNAnalysis[Admin2PCODE], INDIRECT("tblPiNAnalysis[" &amp; Table11[[#Headers],[NNA]] &amp; "]"), "NOT FOUND", 0, 1)</f>
        <v>1275.6171707478059</v>
      </c>
      <c r="M21" s="8" cm="1">
        <f t="array" aca="1" ref="M21" ca="1">_xlfn.XLOOKUP(Table11[[#This Row],[Admin2PCODE]], tblPiNAnalysis[Admin2PCODE], INDIRECT("tblPiNAnalysis[" &amp; Table11[[#Headers],[VBG]] &amp; "]"), "NOT FOUND", 0, 1)</f>
        <v>1395.2062805054125</v>
      </c>
      <c r="N21" s="8" cm="1">
        <f t="array" aca="1" ref="N21" ca="1">_xlfn.XLOOKUP(Table11[[#This Row],[Admin2PCODE]], tblPiNAnalysis[Admin2PCODE], INDIRECT("tblPiNAnalysis[" &amp; Table11[[#Headers],[PiN más alto]] &amp; "]"), "NOT FOUND", 0, 1)</f>
        <v>18200</v>
      </c>
      <c r="O21" t="str" cm="1">
        <f t="array" aca="1" ref="O21" ca="1">_xlfn.XLOOKUP(Table11[[#This Row],[Admin2PCODE]], tblPiNAnalysis[Admin2PCODE], INDIRECT("tblPiNAnalysis[" &amp; Table11[[#Headers],[Sectores más altos]] &amp; "]"), "NOT FOUND", 0, 1)</f>
        <v>SAL</v>
      </c>
      <c r="P21" cm="1">
        <f t="array" ref="P21">_xlfn.XLOOKUP(Table11[[#This Row],[Admin2PCODE]], tblPiNAnalysis[Admin2PCODE], tblPiNAnalysis[Severidad], "NOT FOUND", 0, 1)</f>
        <v>3</v>
      </c>
      <c r="Q21" s="318">
        <v>0</v>
      </c>
      <c r="R21" s="318">
        <v>0</v>
      </c>
      <c r="S21" s="318">
        <v>0</v>
      </c>
      <c r="T21">
        <v>1</v>
      </c>
      <c r="W21">
        <f>_xlfn.XLOOKUP(Table11[[#This Row],[Admin2PCODE]],tblSeverityAnalysis[Admin 2 Código P],tblSeverityAnalysis[PRO],0,0)</f>
        <v>2</v>
      </c>
      <c r="Y21">
        <v>0</v>
      </c>
      <c r="Z21">
        <v>5</v>
      </c>
      <c r="AA21">
        <f t="shared" si="0"/>
        <v>5</v>
      </c>
    </row>
    <row r="22" spans="1:27">
      <c r="A22" t="s">
        <v>119</v>
      </c>
      <c r="B22" t="s">
        <v>120</v>
      </c>
      <c r="C22" s="42" t="s">
        <v>812</v>
      </c>
      <c r="D22" t="s">
        <v>146</v>
      </c>
      <c r="E22" s="8" cm="1">
        <f t="array" aca="1" ref="E22" ca="1">_xlfn.XLOOKUP(Table11[[#This Row],[Admin2PCODE]], tblPiNAnalysis[Admin2PCODE], INDIRECT("tblPiNAnalysis[" &amp; Table11[[#Headers],[Población]] &amp; "]"), "NOT FOUND", 0, 1)</f>
        <v>74776</v>
      </c>
      <c r="F22" s="8" cm="1">
        <f t="array" aca="1" ref="F22" ca="1">_xlfn.XLOOKUP(Table11[[#This Row],[Admin2PCODE]], tblPiNAnalysis[Admin2PCODE], INDIRECT("tblPiNAnalysis[" &amp; Table11[[#Headers],[SAMV]] &amp; "]"), "NOT FOUND", 0, 1)</f>
        <v>20215</v>
      </c>
      <c r="G22" s="8" cm="1">
        <f t="array" aca="1" ref="G22" ca="1">_xlfn.XLOOKUP(Table11[[#This Row],[Admin2PCODE]], tblPiNAnalysis[Admin2PCODE], INDIRECT("tblPiNAnalysis[" &amp; Table11[[#Headers],[NUT]] &amp; "]"), "NOT FOUND", 0, 1)</f>
        <v>2763.9128509916441</v>
      </c>
      <c r="H22" s="8" cm="1">
        <f t="array" aca="1" ref="H22" ca="1">_xlfn.XLOOKUP(Table11[[#This Row],[Admin2PCODE]], tblPiNAnalysis[Admin2PCODE], INDIRECT("tblPiNAnalysis[" &amp; Table11[[#Headers],[SAL]] &amp; "]"), "NOT FOUND", 0, 1)</f>
        <v>27293.24</v>
      </c>
      <c r="I22" s="8" cm="1">
        <f t="array" aca="1" ref="I22" ca="1">_xlfn.XLOOKUP(Table11[[#This Row],[Admin2PCODE]], tblPiNAnalysis[Admin2PCODE], INDIRECT("tblPiNAnalysis[" &amp; Table11[[#Headers],[EDU]] &amp; "]"), "NOT FOUND", 0, 1)</f>
        <v>7478.7139998815883</v>
      </c>
      <c r="J22" s="8" cm="1">
        <f t="array" aca="1" ref="J22" ca="1">_xlfn.XLOOKUP(Table11[[#This Row],[Admin2PCODE]], tblPiNAnalysis[Admin2PCODE], INDIRECT("tblPiNAnalysis[" &amp; Table11[[#Headers],[PRO]] &amp; "]"), "NOT FOUND", 0, 1)</f>
        <v>14872.90774154485</v>
      </c>
      <c r="K22" s="8" cm="1">
        <f t="array" aca="1" ref="K22" ca="1">_xlfn.XLOOKUP(Table11[[#This Row],[Admin2PCODE]], tblPiNAnalysis[Admin2PCODE], INDIRECT("tblPiNAnalysis[" &amp; Table11[[#Headers],[ASH]] &amp; "]"), "NOT FOUND", 0, 1)</f>
        <v>10094.76</v>
      </c>
      <c r="L22" s="8" cm="1">
        <f t="array" aca="1" ref="L22" ca="1">_xlfn.XLOOKUP(Table11[[#This Row],[Admin2PCODE]], tblPiNAnalysis[Admin2PCODE], INDIRECT("tblPiNAnalysis[" &amp; Table11[[#Headers],[NNA]] &amp; "]"), "NOT FOUND", 0, 1)</f>
        <v>4759.330477294352</v>
      </c>
      <c r="M22" s="8" cm="1">
        <f t="array" aca="1" ref="M22" ca="1">_xlfn.XLOOKUP(Table11[[#This Row],[Admin2PCODE]], tblPiNAnalysis[Admin2PCODE], INDIRECT("tblPiNAnalysis[" &amp; Table11[[#Headers],[VBG]] &amp; "]"), "NOT FOUND", 0, 1)</f>
        <v>5205.5177095406971</v>
      </c>
      <c r="N22" s="8" cm="1">
        <f t="array" aca="1" ref="N22" ca="1">_xlfn.XLOOKUP(Table11[[#This Row],[Admin2PCODE]], tblPiNAnalysis[Admin2PCODE], INDIRECT("tblPiNAnalysis[" &amp; Table11[[#Headers],[PiN más alto]] &amp; "]"), "NOT FOUND", 0, 1)</f>
        <v>27293.24</v>
      </c>
      <c r="O22" t="str" cm="1">
        <f t="array" aca="1" ref="O22" ca="1">_xlfn.XLOOKUP(Table11[[#This Row],[Admin2PCODE]], tblPiNAnalysis[Admin2PCODE], INDIRECT("tblPiNAnalysis[" &amp; Table11[[#Headers],[Sectores más altos]] &amp; "]"), "NOT FOUND", 0, 1)</f>
        <v>SAL</v>
      </c>
      <c r="P22" cm="1">
        <f t="array" ref="P22">_xlfn.XLOOKUP(Table11[[#This Row],[Admin2PCODE]], tblPiNAnalysis[Admin2PCODE], tblPiNAnalysis[Severidad], "NOT FOUND", 0, 1)</f>
        <v>3</v>
      </c>
      <c r="Q22" s="318">
        <v>0.54782608695652169</v>
      </c>
      <c r="R22" s="318">
        <v>0.50352733686067008</v>
      </c>
      <c r="S22" s="318">
        <v>0.27584541062801926</v>
      </c>
      <c r="T22">
        <v>1</v>
      </c>
      <c r="W22">
        <f>_xlfn.XLOOKUP(Table11[[#This Row],[Admin2PCODE]],tblSeverityAnalysis[Admin 2 Código P],tblSeverityAnalysis[PRO],0,0)</f>
        <v>3</v>
      </c>
      <c r="Y22">
        <v>0</v>
      </c>
      <c r="Z22">
        <v>1.2</v>
      </c>
      <c r="AA22">
        <f t="shared" si="0"/>
        <v>1</v>
      </c>
    </row>
    <row r="23" spans="1:27">
      <c r="A23" t="s">
        <v>119</v>
      </c>
      <c r="B23" t="s">
        <v>120</v>
      </c>
      <c r="C23" s="42" t="s">
        <v>147</v>
      </c>
      <c r="D23" t="s">
        <v>148</v>
      </c>
      <c r="E23" s="8" cm="1">
        <f t="array" aca="1" ref="E23" ca="1">_xlfn.XLOOKUP(Table11[[#This Row],[Admin2PCODE]], tblPiNAnalysis[Admin2PCODE], INDIRECT("tblPiNAnalysis[" &amp; Table11[[#Headers],[Población]] &amp; "]"), "NOT FOUND", 0, 1)</f>
        <v>23779</v>
      </c>
      <c r="F23" s="8" cm="1">
        <f t="array" aca="1" ref="F23" ca="1">_xlfn.XLOOKUP(Table11[[#This Row],[Admin2PCODE]], tblPiNAnalysis[Admin2PCODE], INDIRECT("tblPiNAnalysis[" &amp; Table11[[#Headers],[SAMV]] &amp; "]"), "NOT FOUND", 0, 1)</f>
        <v>2869</v>
      </c>
      <c r="G23" s="8" cm="1">
        <f t="array" aca="1" ref="G23" ca="1">_xlfn.XLOOKUP(Table11[[#This Row],[Admin2PCODE]], tblPiNAnalysis[Admin2PCODE], INDIRECT("tblPiNAnalysis[" &amp; Table11[[#Headers],[NUT]] &amp; "]"), "NOT FOUND", 0, 1)</f>
        <v>732.2190387289229</v>
      </c>
      <c r="H23" s="8" cm="1">
        <f t="array" aca="1" ref="H23" ca="1">_xlfn.XLOOKUP(Table11[[#This Row],[Admin2PCODE]], tblPiNAnalysis[Admin2PCODE], INDIRECT("tblPiNAnalysis[" &amp; Table11[[#Headers],[SAL]] &amp; "]"), "NOT FOUND", 0, 1)</f>
        <v>9800</v>
      </c>
      <c r="I23" s="8" cm="1">
        <f t="array" aca="1" ref="I23" ca="1">_xlfn.XLOOKUP(Table11[[#This Row],[Admin2PCODE]], tblPiNAnalysis[Admin2PCODE], INDIRECT("tblPiNAnalysis[" &amp; Table11[[#Headers],[EDU]] &amp; "]"), "NOT FOUND", 0, 1)</f>
        <v>2156.2087348994664</v>
      </c>
      <c r="J23" s="8" cm="1">
        <f t="array" aca="1" ref="J23" ca="1">_xlfn.XLOOKUP(Table11[[#This Row],[Admin2PCODE]], tblPiNAnalysis[Admin2PCODE], INDIRECT("tblPiNAnalysis[" &amp; Table11[[#Headers],[PRO]] &amp; "]"), "NOT FOUND", 0, 1)</f>
        <v>5675.5569677895837</v>
      </c>
      <c r="K23" s="8" cm="1">
        <f t="array" aca="1" ref="K23" ca="1">_xlfn.XLOOKUP(Table11[[#This Row],[Admin2PCODE]], tblPiNAnalysis[Admin2PCODE], INDIRECT("tblPiNAnalysis[" &amp; Table11[[#Headers],[ASH]] &amp; "]"), "NOT FOUND", 0, 1)</f>
        <v>19023.2</v>
      </c>
      <c r="L23" s="8" cm="1">
        <f t="array" aca="1" ref="L23" ca="1">_xlfn.XLOOKUP(Table11[[#This Row],[Admin2PCODE]], tblPiNAnalysis[Admin2PCODE], INDIRECT("tblPiNAnalysis[" &amp; Table11[[#Headers],[NNA]] &amp; "]"), "NOT FOUND", 0, 1)</f>
        <v>1816.1782296926667</v>
      </c>
      <c r="M23" s="8" cm="1">
        <f t="array" aca="1" ref="M23" ca="1">_xlfn.XLOOKUP(Table11[[#This Row],[Admin2PCODE]], tblPiNAnalysis[Admin2PCODE], INDIRECT("tblPiNAnalysis[" &amp; Table11[[#Headers],[VBG]] &amp; "]"), "NOT FOUND", 0, 1)</f>
        <v>1986.4449387263544</v>
      </c>
      <c r="N23" s="8" cm="1">
        <f t="array" aca="1" ref="N23" ca="1">_xlfn.XLOOKUP(Table11[[#This Row],[Admin2PCODE]], tblPiNAnalysis[Admin2PCODE], INDIRECT("tblPiNAnalysis[" &amp; Table11[[#Headers],[PiN más alto]] &amp; "]"), "NOT FOUND", 0, 1)</f>
        <v>19023.2</v>
      </c>
      <c r="O23" t="str" cm="1">
        <f t="array" aca="1" ref="O23" ca="1">_xlfn.XLOOKUP(Table11[[#This Row],[Admin2PCODE]], tblPiNAnalysis[Admin2PCODE], INDIRECT("tblPiNAnalysis[" &amp; Table11[[#Headers],[Sectores más altos]] &amp; "]"), "NOT FOUND", 0, 1)</f>
        <v>ASH</v>
      </c>
      <c r="P23" cm="1">
        <f t="array" ref="P23">_xlfn.XLOOKUP(Table11[[#This Row],[Admin2PCODE]], tblPiNAnalysis[Admin2PCODE], tblPiNAnalysis[Severidad], "NOT FOUND", 0, 1)</f>
        <v>3</v>
      </c>
      <c r="Q23" s="318">
        <v>0.4642857142857143</v>
      </c>
      <c r="R23" s="318">
        <v>0.47008547008546991</v>
      </c>
      <c r="S23" s="318">
        <v>0.21825396825396817</v>
      </c>
      <c r="T23">
        <v>0</v>
      </c>
      <c r="W23">
        <f>_xlfn.XLOOKUP(Table11[[#This Row],[Admin2PCODE]],tblSeverityAnalysis[Admin 2 Código P],tblSeverityAnalysis[PRO],0,0)</f>
        <v>4</v>
      </c>
      <c r="Y23">
        <v>0</v>
      </c>
      <c r="Z23">
        <v>2.65</v>
      </c>
      <c r="AA23">
        <f t="shared" si="0"/>
        <v>3</v>
      </c>
    </row>
    <row r="24" spans="1:27">
      <c r="A24" t="s">
        <v>119</v>
      </c>
      <c r="B24" t="s">
        <v>120</v>
      </c>
      <c r="C24" s="42" t="s">
        <v>811</v>
      </c>
      <c r="D24" t="s">
        <v>150</v>
      </c>
      <c r="E24" s="8" cm="1">
        <f t="array" aca="1" ref="E24" ca="1">_xlfn.XLOOKUP(Table11[[#This Row],[Admin2PCODE]], tblPiNAnalysis[Admin2PCODE], INDIRECT("tblPiNAnalysis[" &amp; Table11[[#Headers],[Población]] &amp; "]"), "NOT FOUND", 0, 1)</f>
        <v>78118</v>
      </c>
      <c r="F24" s="8" cm="1">
        <f t="array" aca="1" ref="F24" ca="1">_xlfn.XLOOKUP(Table11[[#This Row],[Admin2PCODE]], tblPiNAnalysis[Admin2PCODE], INDIRECT("tblPiNAnalysis[" &amp; Table11[[#Headers],[SAMV]] &amp; "]"), "NOT FOUND", 0, 1)</f>
        <v>15460</v>
      </c>
      <c r="G24" s="8" cm="1">
        <f t="array" aca="1" ref="G24" ca="1">_xlfn.XLOOKUP(Table11[[#This Row],[Admin2PCODE]], tblPiNAnalysis[Admin2PCODE], INDIRECT("tblPiNAnalysis[" &amp; Table11[[#Headers],[NUT]] &amp; "]"), "NOT FOUND", 0, 1)</f>
        <v>2344.6864669370925</v>
      </c>
      <c r="H24" s="8" cm="1">
        <f t="array" aca="1" ref="H24" ca="1">_xlfn.XLOOKUP(Table11[[#This Row],[Admin2PCODE]], tblPiNAnalysis[Admin2PCODE], INDIRECT("tblPiNAnalysis[" &amp; Table11[[#Headers],[SAL]] &amp; "]"), "NOT FOUND", 0, 1)</f>
        <v>28513.07</v>
      </c>
      <c r="I24" s="8" cm="1">
        <f t="array" aca="1" ref="I24" ca="1">_xlfn.XLOOKUP(Table11[[#This Row],[Admin2PCODE]], tblPiNAnalysis[Admin2PCODE], INDIRECT("tblPiNAnalysis[" &amp; Table11[[#Headers],[EDU]] &amp; "]"), "NOT FOUND", 0, 1)</f>
        <v>6144.3072028704237</v>
      </c>
      <c r="J24" s="8" cm="1">
        <f t="array" aca="1" ref="J24" ca="1">_xlfn.XLOOKUP(Table11[[#This Row],[Admin2PCODE]], tblPiNAnalysis[Admin2PCODE], INDIRECT("tblPiNAnalysis[" &amp; Table11[[#Headers],[PRO]] &amp; "]"), "NOT FOUND", 0, 1)</f>
        <v>15537.62981376378</v>
      </c>
      <c r="K24" s="8" cm="1">
        <f t="array" aca="1" ref="K24" ca="1">_xlfn.XLOOKUP(Table11[[#This Row],[Admin2PCODE]], tblPiNAnalysis[Admin2PCODE], INDIRECT("tblPiNAnalysis[" &amp; Table11[[#Headers],[ASH]] &amp; "]"), "NOT FOUND", 0, 1)</f>
        <v>5272.9649999999992</v>
      </c>
      <c r="L24" s="8" cm="1">
        <f t="array" aca="1" ref="L24" ca="1">_xlfn.XLOOKUP(Table11[[#This Row],[Admin2PCODE]], tblPiNAnalysis[Admin2PCODE], INDIRECT("tblPiNAnalysis[" &amp; Table11[[#Headers],[NNA]] &amp; "]"), "NOT FOUND", 0, 1)</f>
        <v>4972.0415404044097</v>
      </c>
      <c r="M24" s="8" cm="1">
        <f t="array" aca="1" ref="M24" ca="1">_xlfn.XLOOKUP(Table11[[#This Row],[Admin2PCODE]], tblPiNAnalysis[Admin2PCODE], INDIRECT("tblPiNAnalysis[" &amp; Table11[[#Headers],[VBG]] &amp; "]"), "NOT FOUND", 0, 1)</f>
        <v>5438.1704348173234</v>
      </c>
      <c r="N24" s="8" cm="1">
        <f t="array" aca="1" ref="N24" ca="1">_xlfn.XLOOKUP(Table11[[#This Row],[Admin2PCODE]], tblPiNAnalysis[Admin2PCODE], INDIRECT("tblPiNAnalysis[" &amp; Table11[[#Headers],[PiN más alto]] &amp; "]"), "NOT FOUND", 0, 1)</f>
        <v>28513.07</v>
      </c>
      <c r="O24" t="str" cm="1">
        <f t="array" aca="1" ref="O24" ca="1">_xlfn.XLOOKUP(Table11[[#This Row],[Admin2PCODE]], tblPiNAnalysis[Admin2PCODE], INDIRECT("tblPiNAnalysis[" &amp; Table11[[#Headers],[Sectores más altos]] &amp; "]"), "NOT FOUND", 0, 1)</f>
        <v>SAL</v>
      </c>
      <c r="P24" cm="1">
        <f t="array" ref="P24">_xlfn.XLOOKUP(Table11[[#This Row],[Admin2PCODE]], tblPiNAnalysis[Admin2PCODE], tblPiNAnalysis[Severidad], "NOT FOUND", 0, 1)</f>
        <v>3</v>
      </c>
      <c r="Q24" s="318">
        <v>0.23214285714285715</v>
      </c>
      <c r="R24" s="318">
        <v>0.41666666666666663</v>
      </c>
      <c r="S24" s="318">
        <v>9.6726190476190466E-2</v>
      </c>
      <c r="T24">
        <v>0</v>
      </c>
      <c r="W24">
        <f>_xlfn.XLOOKUP(Table11[[#This Row],[Admin2PCODE]],tblSeverityAnalysis[Admin 2 Código P],tblSeverityAnalysis[PRO],0,0)</f>
        <v>3</v>
      </c>
      <c r="Y24">
        <v>0</v>
      </c>
      <c r="Z24">
        <v>0</v>
      </c>
      <c r="AA24">
        <f t="shared" si="0"/>
        <v>0</v>
      </c>
    </row>
    <row r="25" spans="1:27">
      <c r="A25" t="s">
        <v>119</v>
      </c>
      <c r="B25" t="s">
        <v>120</v>
      </c>
      <c r="C25" s="42" t="s">
        <v>827</v>
      </c>
      <c r="D25" t="s">
        <v>152</v>
      </c>
      <c r="E25" s="8" cm="1">
        <f t="array" aca="1" ref="E25" ca="1">_xlfn.XLOOKUP(Table11[[#This Row],[Admin2PCODE]], tblPiNAnalysis[Admin2PCODE], INDIRECT("tblPiNAnalysis[" &amp; Table11[[#Headers],[Población]] &amp; "]"), "NOT FOUND", 0, 1)</f>
        <v>9257</v>
      </c>
      <c r="F25" s="8" cm="1">
        <f t="array" aca="1" ref="F25" ca="1">_xlfn.XLOOKUP(Table11[[#This Row],[Admin2PCODE]], tblPiNAnalysis[Admin2PCODE], INDIRECT("tblPiNAnalysis[" &amp; Table11[[#Headers],[SAMV]] &amp; "]"), "NOT FOUND", 0, 1)</f>
        <v>4011</v>
      </c>
      <c r="G25" s="8" cm="1">
        <f t="array" aca="1" ref="G25" ca="1">_xlfn.XLOOKUP(Table11[[#This Row],[Admin2PCODE]], tblPiNAnalysis[Admin2PCODE], INDIRECT("tblPiNAnalysis[" &amp; Table11[[#Headers],[NUT]] &amp; "]"), "NOT FOUND", 0, 1)</f>
        <v>333.36352493202162</v>
      </c>
      <c r="H25" s="8" cm="1">
        <f t="array" aca="1" ref="H25" ca="1">_xlfn.XLOOKUP(Table11[[#This Row],[Admin2PCODE]], tblPiNAnalysis[Admin2PCODE], INDIRECT("tblPiNAnalysis[" &amp; Table11[[#Headers],[SAL]] &amp; "]"), "NOT FOUND", 0, 1)</f>
        <v>3378.8049999999998</v>
      </c>
      <c r="I25" s="8" cm="1">
        <f t="array" aca="1" ref="I25" ca="1">_xlfn.XLOOKUP(Table11[[#This Row],[Admin2PCODE]], tblPiNAnalysis[Admin2PCODE], INDIRECT("tblPiNAnalysis[" &amp; Table11[[#Headers],[EDU]] &amp; "]"), "NOT FOUND", 0, 1)</f>
        <v>1205.5446487473928</v>
      </c>
      <c r="J25" s="8" cm="1">
        <f t="array" aca="1" ref="J25" ca="1">_xlfn.XLOOKUP(Table11[[#This Row],[Admin2PCODE]], tblPiNAnalysis[Admin2PCODE], INDIRECT("tblPiNAnalysis[" &amp; Table11[[#Headers],[PRO]] &amp; "]"), "NOT FOUND", 0, 1)</f>
        <v>1104.7275085333315</v>
      </c>
      <c r="K25" s="8" cm="1">
        <f t="array" aca="1" ref="K25" ca="1">_xlfn.XLOOKUP(Table11[[#This Row],[Admin2PCODE]], tblPiNAnalysis[Admin2PCODE], INDIRECT("tblPiNAnalysis[" &amp; Table11[[#Headers],[ASH]] &amp; "]"), "NOT FOUND", 0, 1)</f>
        <v>0</v>
      </c>
      <c r="L25" s="8" cm="1">
        <f t="array" aca="1" ref="L25" ca="1">_xlfn.XLOOKUP(Table11[[#This Row],[Admin2PCODE]], tblPiNAnalysis[Admin2PCODE], INDIRECT("tblPiNAnalysis[" &amp; Table11[[#Headers],[NNA]] &amp; "]"), "NOT FOUND", 0, 1)</f>
        <v>353.51280273066607</v>
      </c>
      <c r="M25" s="8" cm="1">
        <f t="array" aca="1" ref="M25" ca="1">_xlfn.XLOOKUP(Table11[[#This Row],[Admin2PCODE]], tblPiNAnalysis[Admin2PCODE], INDIRECT("tblPiNAnalysis[" &amp; Table11[[#Headers],[VBG]] &amp; "]"), "NOT FOUND", 0, 1)</f>
        <v>386.65462798666601</v>
      </c>
      <c r="N25" s="8" cm="1">
        <f t="array" aca="1" ref="N25" ca="1">_xlfn.XLOOKUP(Table11[[#This Row],[Admin2PCODE]], tblPiNAnalysis[Admin2PCODE], INDIRECT("tblPiNAnalysis[" &amp; Table11[[#Headers],[PiN más alto]] &amp; "]"), "NOT FOUND", 0, 1)</f>
        <v>4011</v>
      </c>
      <c r="O25" t="str" cm="1">
        <f t="array" aca="1" ref="O25" ca="1">_xlfn.XLOOKUP(Table11[[#This Row],[Admin2PCODE]], tblPiNAnalysis[Admin2PCODE], INDIRECT("tblPiNAnalysis[" &amp; Table11[[#Headers],[Sectores más altos]] &amp; "]"), "NOT FOUND", 0, 1)</f>
        <v>SAMV</v>
      </c>
      <c r="P25" cm="1">
        <f t="array" ref="P25">_xlfn.XLOOKUP(Table11[[#This Row],[Admin2PCODE]], tblPiNAnalysis[Admin2PCODE], tblPiNAnalysis[Severidad], "NOT FOUND", 0, 1)</f>
        <v>2</v>
      </c>
      <c r="Q25" s="318">
        <v>0</v>
      </c>
      <c r="R25" s="318">
        <v>0</v>
      </c>
      <c r="S25" s="318">
        <v>0</v>
      </c>
      <c r="T25">
        <v>0</v>
      </c>
      <c r="W25">
        <f>_xlfn.XLOOKUP(Table11[[#This Row],[Admin2PCODE]],tblSeverityAnalysis[Admin 2 Código P],tblSeverityAnalysis[PRO],0,0)</f>
        <v>2</v>
      </c>
      <c r="Y25">
        <v>0</v>
      </c>
      <c r="Z25">
        <v>0</v>
      </c>
      <c r="AA25">
        <f t="shared" si="0"/>
        <v>0</v>
      </c>
    </row>
    <row r="26" spans="1:27">
      <c r="A26" t="s">
        <v>119</v>
      </c>
      <c r="B26" t="s">
        <v>120</v>
      </c>
      <c r="C26" s="42" t="s">
        <v>153</v>
      </c>
      <c r="D26" t="s">
        <v>154</v>
      </c>
      <c r="E26" s="8" cm="1">
        <f t="array" aca="1" ref="E26" ca="1">_xlfn.XLOOKUP(Table11[[#This Row],[Admin2PCODE]], tblPiNAnalysis[Admin2PCODE], INDIRECT("tblPiNAnalysis[" &amp; Table11[[#Headers],[Población]] &amp; "]"), "NOT FOUND", 0, 1)</f>
        <v>9843</v>
      </c>
      <c r="F26" s="8" cm="1">
        <f t="array" aca="1" ref="F26" ca="1">_xlfn.XLOOKUP(Table11[[#This Row],[Admin2PCODE]], tblPiNAnalysis[Admin2PCODE], INDIRECT("tblPiNAnalysis[" &amp; Table11[[#Headers],[SAMV]] &amp; "]"), "NOT FOUND", 0, 1)</f>
        <v>2691</v>
      </c>
      <c r="G26" s="8" cm="1">
        <f t="array" aca="1" ref="G26" ca="1">_xlfn.XLOOKUP(Table11[[#This Row],[Admin2PCODE]], tblPiNAnalysis[Admin2PCODE], INDIRECT("tblPiNAnalysis[" &amp; Table11[[#Headers],[NUT]] &amp; "]"), "NOT FOUND", 0, 1)</f>
        <v>289.39969787671231</v>
      </c>
      <c r="H26" s="8" cm="1">
        <f t="array" aca="1" ref="H26" ca="1">_xlfn.XLOOKUP(Table11[[#This Row],[Admin2PCODE]], tblPiNAnalysis[Admin2PCODE], INDIRECT("tblPiNAnalysis[" &amp; Table11[[#Headers],[SAL]] &amp; "]"), "NOT FOUND", 0, 1)</f>
        <v>3592.6950000000002</v>
      </c>
      <c r="I26" s="8" cm="1">
        <f t="array" aca="1" ref="I26" ca="1">_xlfn.XLOOKUP(Table11[[#This Row],[Admin2PCODE]], tblPiNAnalysis[Admin2PCODE], INDIRECT("tblPiNAnalysis[" &amp; Table11[[#Headers],[EDU]] &amp; "]"), "NOT FOUND", 0, 1)</f>
        <v>1239.8085489569057</v>
      </c>
      <c r="J26" s="8" cm="1">
        <f t="array" aca="1" ref="J26" ca="1">_xlfn.XLOOKUP(Table11[[#This Row],[Admin2PCODE]], tblPiNAnalysis[Admin2PCODE], INDIRECT("tblPiNAnalysis[" &amp; Table11[[#Headers],[PRO]] &amp; "]"), "NOT FOUND", 0, 1)</f>
        <v>1174.6605667595963</v>
      </c>
      <c r="K26" s="8" cm="1">
        <f t="array" aca="1" ref="K26" ca="1">_xlfn.XLOOKUP(Table11[[#This Row],[Admin2PCODE]], tblPiNAnalysis[Admin2PCODE], INDIRECT("tblPiNAnalysis[" &amp; Table11[[#Headers],[ASH]] &amp; "]"), "NOT FOUND", 0, 1)</f>
        <v>5905.8</v>
      </c>
      <c r="L26" s="8" cm="1">
        <f t="array" aca="1" ref="L26" ca="1">_xlfn.XLOOKUP(Table11[[#This Row],[Admin2PCODE]], tblPiNAnalysis[Admin2PCODE], INDIRECT("tblPiNAnalysis[" &amp; Table11[[#Headers],[NNA]] &amp; "]"), "NOT FOUND", 0, 1)</f>
        <v>377.06604192983042</v>
      </c>
      <c r="M26" s="8" cm="1">
        <f t="array" aca="1" ref="M26" ca="1">_xlfn.XLOOKUP(Table11[[#This Row],[Admin2PCODE]], tblPiNAnalysis[Admin2PCODE], INDIRECT("tblPiNAnalysis[" &amp; Table11[[#Headers],[VBG]] &amp; "]"), "NOT FOUND", 0, 1)</f>
        <v>411.13119836585867</v>
      </c>
      <c r="N26" s="8" cm="1">
        <f t="array" aca="1" ref="N26" ca="1">_xlfn.XLOOKUP(Table11[[#This Row],[Admin2PCODE]], tblPiNAnalysis[Admin2PCODE], INDIRECT("tblPiNAnalysis[" &amp; Table11[[#Headers],[PiN más alto]] &amp; "]"), "NOT FOUND", 0, 1)</f>
        <v>5905.8</v>
      </c>
      <c r="O26" t="str" cm="1">
        <f t="array" aca="1" ref="O26" ca="1">_xlfn.XLOOKUP(Table11[[#This Row],[Admin2PCODE]], tblPiNAnalysis[Admin2PCODE], INDIRECT("tblPiNAnalysis[" &amp; Table11[[#Headers],[Sectores más altos]] &amp; "]"), "NOT FOUND", 0, 1)</f>
        <v>ASH</v>
      </c>
      <c r="P26" cm="1">
        <f t="array" ref="P26">_xlfn.XLOOKUP(Table11[[#This Row],[Admin2PCODE]], tblPiNAnalysis[Admin2PCODE], tblPiNAnalysis[Severidad], "NOT FOUND", 0, 1)</f>
        <v>3</v>
      </c>
      <c r="Q26" s="318">
        <v>0.25</v>
      </c>
      <c r="R26" s="318">
        <v>0.44444444444444431</v>
      </c>
      <c r="S26" s="318">
        <v>0.11111111111111108</v>
      </c>
      <c r="T26">
        <v>0</v>
      </c>
      <c r="W26">
        <f>_xlfn.XLOOKUP(Table11[[#This Row],[Admin2PCODE]],tblSeverityAnalysis[Admin 2 Código P],tblSeverityAnalysis[PRO],0,0)</f>
        <v>2</v>
      </c>
      <c r="Y26">
        <v>0</v>
      </c>
      <c r="Z26">
        <v>0</v>
      </c>
      <c r="AA26">
        <f t="shared" si="0"/>
        <v>0</v>
      </c>
    </row>
    <row r="27" spans="1:27">
      <c r="A27" t="s">
        <v>119</v>
      </c>
      <c r="B27" t="s">
        <v>120</v>
      </c>
      <c r="C27" s="42" t="s">
        <v>155</v>
      </c>
      <c r="D27" t="s">
        <v>156</v>
      </c>
      <c r="E27" s="8" cm="1">
        <f t="array" aca="1" ref="E27" ca="1">_xlfn.XLOOKUP(Table11[[#This Row],[Admin2PCODE]], tblPiNAnalysis[Admin2PCODE], INDIRECT("tblPiNAnalysis[" &amp; Table11[[#Headers],[Población]] &amp; "]"), "NOT FOUND", 0, 1)</f>
        <v>430938</v>
      </c>
      <c r="F27" s="8" cm="1">
        <f t="array" aca="1" ref="F27" ca="1">_xlfn.XLOOKUP(Table11[[#This Row],[Admin2PCODE]], tblPiNAnalysis[Admin2PCODE], INDIRECT("tblPiNAnalysis[" &amp; Table11[[#Headers],[SAMV]] &amp; "]"), "NOT FOUND", 0, 1)</f>
        <v>102118</v>
      </c>
      <c r="G27" s="8" cm="1">
        <f t="array" aca="1" ref="G27" ca="1">_xlfn.XLOOKUP(Table11[[#This Row],[Admin2PCODE]], tblPiNAnalysis[Admin2PCODE], INDIRECT("tblPiNAnalysis[" &amp; Table11[[#Headers],[NUT]] &amp; "]"), "NOT FOUND", 0, 1)</f>
        <v>15306.587667368825</v>
      </c>
      <c r="H27" s="8" cm="1">
        <f t="array" aca="1" ref="H27" ca="1">_xlfn.XLOOKUP(Table11[[#This Row],[Admin2PCODE]], tblPiNAnalysis[Admin2PCODE], INDIRECT("tblPiNAnalysis[" &amp; Table11[[#Headers],[SAL]] &amp; "]"), "NOT FOUND", 0, 1)</f>
        <v>157292.37</v>
      </c>
      <c r="I27" s="8" cm="1">
        <f t="array" aca="1" ref="I27" ca="1">_xlfn.XLOOKUP(Table11[[#This Row],[Admin2PCODE]], tblPiNAnalysis[Admin2PCODE], INDIRECT("tblPiNAnalysis[" &amp; Table11[[#Headers],[EDU]] &amp; "]"), "NOT FOUND", 0, 1)</f>
        <v>47018.271789925355</v>
      </c>
      <c r="J27" s="8" cm="1">
        <f t="array" aca="1" ref="J27" ca="1">_xlfn.XLOOKUP(Table11[[#This Row],[Admin2PCODE]], tblPiNAnalysis[Admin2PCODE], INDIRECT("tblPiNAnalysis[" &amp; Table11[[#Headers],[PRO]] &amp; "]"), "NOT FOUND", 0, 1)</f>
        <v>102856.01449116059</v>
      </c>
      <c r="K27" s="8" cm="1">
        <f t="array" aca="1" ref="K27" ca="1">_xlfn.XLOOKUP(Table11[[#This Row],[Admin2PCODE]], tblPiNAnalysis[Admin2PCODE], INDIRECT("tblPiNAnalysis[" &amp; Table11[[#Headers],[ASH]] &amp; "]"), "NOT FOUND", 0, 1)</f>
        <v>258562.8</v>
      </c>
      <c r="L27" s="8" cm="1">
        <f t="array" aca="1" ref="L27" ca="1">_xlfn.XLOOKUP(Table11[[#This Row],[Admin2PCODE]], tblPiNAnalysis[Admin2PCODE], INDIRECT("tblPiNAnalysis[" &amp; Table11[[#Headers],[NNA]] &amp; "]"), "NOT FOUND", 0, 1)</f>
        <v>32913.924637171389</v>
      </c>
      <c r="M27" s="8" cm="1">
        <f t="array" aca="1" ref="M27" ca="1">_xlfn.XLOOKUP(Table11[[#This Row],[Admin2PCODE]], tblPiNAnalysis[Admin2PCODE], INDIRECT("tblPiNAnalysis[" &amp; Table11[[#Headers],[VBG]] &amp; "]"), "NOT FOUND", 0, 1)</f>
        <v>35999.605071906204</v>
      </c>
      <c r="N27" s="8" cm="1">
        <f t="array" aca="1" ref="N27" ca="1">_xlfn.XLOOKUP(Table11[[#This Row],[Admin2PCODE]], tblPiNAnalysis[Admin2PCODE], INDIRECT("tblPiNAnalysis[" &amp; Table11[[#Headers],[PiN más alto]] &amp; "]"), "NOT FOUND", 0, 1)</f>
        <v>258562.8</v>
      </c>
      <c r="O27" t="str" cm="1">
        <f t="array" aca="1" ref="O27" ca="1">_xlfn.XLOOKUP(Table11[[#This Row],[Admin2PCODE]], tblPiNAnalysis[Admin2PCODE], INDIRECT("tblPiNAnalysis[" &amp; Table11[[#Headers],[Sectores más altos]] &amp; "]"), "NOT FOUND", 0, 1)</f>
        <v>ASH</v>
      </c>
      <c r="P27" cm="1">
        <f t="array" ref="P27">_xlfn.XLOOKUP(Table11[[#This Row],[Admin2PCODE]], tblPiNAnalysis[Admin2PCODE], tblPiNAnalysis[Severidad], "NOT FOUND", 0, 1)</f>
        <v>3</v>
      </c>
      <c r="Q27" s="318">
        <v>0.46945337620578781</v>
      </c>
      <c r="R27" s="318">
        <v>0.40848554033485529</v>
      </c>
      <c r="S27" s="318">
        <v>0.19176491604144333</v>
      </c>
      <c r="T27">
        <v>0</v>
      </c>
      <c r="W27">
        <f>_xlfn.XLOOKUP(Table11[[#This Row],[Admin2PCODE]],tblSeverityAnalysis[Admin 2 Código P],tblSeverityAnalysis[PRO],0,0)</f>
        <v>4</v>
      </c>
      <c r="Y27">
        <v>0</v>
      </c>
      <c r="Z27">
        <v>0</v>
      </c>
      <c r="AA27">
        <f t="shared" si="0"/>
        <v>0</v>
      </c>
    </row>
    <row r="28" spans="1:27">
      <c r="A28" t="s">
        <v>119</v>
      </c>
      <c r="B28" t="s">
        <v>120</v>
      </c>
      <c r="C28" s="42" t="s">
        <v>157</v>
      </c>
      <c r="D28" t="s">
        <v>158</v>
      </c>
      <c r="E28" s="8" cm="1">
        <f t="array" aca="1" ref="E28" ca="1">_xlfn.XLOOKUP(Table11[[#This Row],[Admin2PCODE]], tblPiNAnalysis[Admin2PCODE], INDIRECT("tblPiNAnalysis[" &amp; Table11[[#Headers],[Población]] &amp; "]"), "NOT FOUND", 0, 1)</f>
        <v>186595</v>
      </c>
      <c r="F28" s="8" cm="1">
        <f t="array" aca="1" ref="F28" ca="1">_xlfn.XLOOKUP(Table11[[#This Row],[Admin2PCODE]], tblPiNAnalysis[Admin2PCODE], INDIRECT("tblPiNAnalysis[" &amp; Table11[[#Headers],[SAMV]] &amp; "]"), "NOT FOUND", 0, 1)</f>
        <v>49834</v>
      </c>
      <c r="G28" s="8" cm="1">
        <f t="array" aca="1" ref="G28" ca="1">_xlfn.XLOOKUP(Table11[[#This Row],[Admin2PCODE]], tblPiNAnalysis[Admin2PCODE], INDIRECT("tblPiNAnalysis[" &amp; Table11[[#Headers],[NUT]] &amp; "]"), "NOT FOUND", 0, 1)</f>
        <v>6347.9932718436048</v>
      </c>
      <c r="H28" s="8" cm="1">
        <f t="array" aca="1" ref="H28" ca="1">_xlfn.XLOOKUP(Table11[[#This Row],[Admin2PCODE]], tblPiNAnalysis[Admin2PCODE], INDIRECT("tblPiNAnalysis[" &amp; Table11[[#Headers],[SAL]] &amp; "]"), "NOT FOUND", 0, 1)</f>
        <v>68107.175000000003</v>
      </c>
      <c r="I28" s="8" cm="1">
        <f t="array" aca="1" ref="I28" ca="1">_xlfn.XLOOKUP(Table11[[#This Row],[Admin2PCODE]], tblPiNAnalysis[Admin2PCODE], INDIRECT("tblPiNAnalysis[" &amp; Table11[[#Headers],[EDU]] &amp; "]"), "NOT FOUND", 0, 1)</f>
        <v>21566.181098022618</v>
      </c>
      <c r="J28" s="8" cm="1">
        <f t="array" aca="1" ref="J28" ca="1">_xlfn.XLOOKUP(Table11[[#This Row],[Admin2PCODE]], tblPiNAnalysis[Admin2PCODE], INDIRECT("tblPiNAnalysis[" &amp; Table11[[#Headers],[PRO]] &amp; "]"), "NOT FOUND", 0, 1)</f>
        <v>37113.649032223722</v>
      </c>
      <c r="K28" s="8" cm="1">
        <f t="array" aca="1" ref="K28" ca="1">_xlfn.XLOOKUP(Table11[[#This Row],[Admin2PCODE]], tblPiNAnalysis[Admin2PCODE], INDIRECT("tblPiNAnalysis[" &amp; Table11[[#Headers],[ASH]] &amp; "]"), "NOT FOUND", 0, 1)</f>
        <v>0</v>
      </c>
      <c r="L28" s="8" cm="1">
        <f t="array" aca="1" ref="L28" ca="1">_xlfn.XLOOKUP(Table11[[#This Row],[Admin2PCODE]], tblPiNAnalysis[Admin2PCODE], INDIRECT("tblPiNAnalysis[" &amp; Table11[[#Headers],[NNA]] &amp; "]"), "NOT FOUND", 0, 1)</f>
        <v>11876.367690311592</v>
      </c>
      <c r="M28" s="8" cm="1">
        <f t="array" aca="1" ref="M28" ca="1">_xlfn.XLOOKUP(Table11[[#This Row],[Admin2PCODE]], tblPiNAnalysis[Admin2PCODE], INDIRECT("tblPiNAnalysis[" &amp; Table11[[#Headers],[VBG]] &amp; "]"), "NOT FOUND", 0, 1)</f>
        <v>12989.777161278302</v>
      </c>
      <c r="N28" s="8" cm="1">
        <f t="array" aca="1" ref="N28" ca="1">_xlfn.XLOOKUP(Table11[[#This Row],[Admin2PCODE]], tblPiNAnalysis[Admin2PCODE], INDIRECT("tblPiNAnalysis[" &amp; Table11[[#Headers],[PiN más alto]] &amp; "]"), "NOT FOUND", 0, 1)</f>
        <v>68107.175000000003</v>
      </c>
      <c r="O28" t="str" cm="1">
        <f t="array" aca="1" ref="O28" ca="1">_xlfn.XLOOKUP(Table11[[#This Row],[Admin2PCODE]], tblPiNAnalysis[Admin2PCODE], INDIRECT("tblPiNAnalysis[" &amp; Table11[[#Headers],[Sectores más altos]] &amp; "]"), "NOT FOUND", 0, 1)</f>
        <v>SAL</v>
      </c>
      <c r="P28" cm="1">
        <f t="array" ref="P28">_xlfn.XLOOKUP(Table11[[#This Row],[Admin2PCODE]], tblPiNAnalysis[Admin2PCODE], tblPiNAnalysis[Severidad], "NOT FOUND", 0, 1)</f>
        <v>3</v>
      </c>
      <c r="Q28" s="318">
        <v>0.2606837606837607</v>
      </c>
      <c r="R28" s="318">
        <v>0.40710382513661203</v>
      </c>
      <c r="S28" s="318">
        <v>0.10612535612535613</v>
      </c>
      <c r="T28">
        <v>0</v>
      </c>
      <c r="W28">
        <f>_xlfn.XLOOKUP(Table11[[#This Row],[Admin2PCODE]],tblSeverityAnalysis[Admin 2 Código P],tblSeverityAnalysis[PRO],0,0)</f>
        <v>3</v>
      </c>
      <c r="Y28">
        <v>0</v>
      </c>
      <c r="Z28">
        <v>0</v>
      </c>
      <c r="AA28">
        <f t="shared" si="0"/>
        <v>0</v>
      </c>
    </row>
    <row r="29" spans="1:27">
      <c r="A29" t="s">
        <v>119</v>
      </c>
      <c r="B29" t="s">
        <v>120</v>
      </c>
      <c r="C29" s="42" t="s">
        <v>822</v>
      </c>
      <c r="D29" t="s">
        <v>160</v>
      </c>
      <c r="E29" s="8" cm="1">
        <f t="array" aca="1" ref="E29" ca="1">_xlfn.XLOOKUP(Table11[[#This Row],[Admin2PCODE]], tblPiNAnalysis[Admin2PCODE], INDIRECT("tblPiNAnalysis[" &amp; Table11[[#Headers],[Población]] &amp; "]"), "NOT FOUND", 0, 1)</f>
        <v>9989</v>
      </c>
      <c r="F29" s="8" cm="1">
        <f t="array" aca="1" ref="F29" ca="1">_xlfn.XLOOKUP(Table11[[#This Row],[Admin2PCODE]], tblPiNAnalysis[Admin2PCODE], INDIRECT("tblPiNAnalysis[" &amp; Table11[[#Headers],[SAMV]] &amp; "]"), "NOT FOUND", 0, 1)</f>
        <v>0</v>
      </c>
      <c r="G29" s="8" cm="1">
        <f t="array" aca="1" ref="G29" ca="1">_xlfn.XLOOKUP(Table11[[#This Row],[Admin2PCODE]], tblPiNAnalysis[Admin2PCODE], INDIRECT("tblPiNAnalysis[" &amp; Table11[[#Headers],[NUT]] &amp; "]"), "NOT FOUND", 0, 1)</f>
        <v>307.67428776412777</v>
      </c>
      <c r="H29" s="8" cm="1">
        <f t="array" aca="1" ref="H29" ca="1">_xlfn.XLOOKUP(Table11[[#This Row],[Admin2PCODE]], tblPiNAnalysis[Admin2PCODE], INDIRECT("tblPiNAnalysis[" &amp; Table11[[#Headers],[SAL]] &amp; "]"), "NOT FOUND", 0, 1)</f>
        <v>3645.9850000000001</v>
      </c>
      <c r="I29" s="8" cm="1">
        <f t="array" aca="1" ref="I29" ca="1">_xlfn.XLOOKUP(Table11[[#This Row],[Admin2PCODE]], tblPiNAnalysis[Admin2PCODE], INDIRECT("tblPiNAnalysis[" &amp; Table11[[#Headers],[EDU]] &amp; "]"), "NOT FOUND", 0, 1)</f>
        <v>849.29883177073134</v>
      </c>
      <c r="J29" s="8" cm="1">
        <f t="array" aca="1" ref="J29" ca="1">_xlfn.XLOOKUP(Table11[[#This Row],[Admin2PCODE]], tblPiNAnalysis[Admin2PCODE], INDIRECT("tblPiNAnalysis[" &amp; Table11[[#Headers],[PRO]] &amp; "]"), "NOT FOUND", 0, 1)</f>
        <v>1192.0841614712594</v>
      </c>
      <c r="K29" s="8" cm="1">
        <f t="array" aca="1" ref="K29" ca="1">_xlfn.XLOOKUP(Table11[[#This Row],[Admin2PCODE]], tblPiNAnalysis[Admin2PCODE], INDIRECT("tblPiNAnalysis[" &amp; Table11[[#Headers],[ASH]] &amp; "]"), "NOT FOUND", 0, 1)</f>
        <v>5993.4</v>
      </c>
      <c r="L29" s="8" cm="1">
        <f t="array" aca="1" ref="L29" ca="1">_xlfn.XLOOKUP(Table11[[#This Row],[Admin2PCODE]], tblPiNAnalysis[Admin2PCODE], INDIRECT("tblPiNAnalysis[" &amp; Table11[[#Headers],[NNA]] &amp; "]"), "NOT FOUND", 0, 1)</f>
        <v>381.46693167080304</v>
      </c>
      <c r="M29" s="8" cm="1">
        <f t="array" aca="1" ref="M29" ca="1">_xlfn.XLOOKUP(Table11[[#This Row],[Admin2PCODE]], tblPiNAnalysis[Admin2PCODE], INDIRECT("tblPiNAnalysis[" &amp; Table11[[#Headers],[VBG]] &amp; "]"), "NOT FOUND", 0, 1)</f>
        <v>417.22945651494075</v>
      </c>
      <c r="N29" s="8" cm="1">
        <f t="array" aca="1" ref="N29" ca="1">_xlfn.XLOOKUP(Table11[[#This Row],[Admin2PCODE]], tblPiNAnalysis[Admin2PCODE], INDIRECT("tblPiNAnalysis[" &amp; Table11[[#Headers],[PiN más alto]] &amp; "]"), "NOT FOUND", 0, 1)</f>
        <v>5993.4</v>
      </c>
      <c r="O29" t="str" cm="1">
        <f t="array" aca="1" ref="O29" ca="1">_xlfn.XLOOKUP(Table11[[#This Row],[Admin2PCODE]], tblPiNAnalysis[Admin2PCODE], INDIRECT("tblPiNAnalysis[" &amp; Table11[[#Headers],[Sectores más altos]] &amp; "]"), "NOT FOUND", 0, 1)</f>
        <v>ASH</v>
      </c>
      <c r="P29" cm="1">
        <f t="array" ref="P29">_xlfn.XLOOKUP(Table11[[#This Row],[Admin2PCODE]], tblPiNAnalysis[Admin2PCODE], tblPiNAnalysis[Severidad], "NOT FOUND", 0, 1)</f>
        <v>3</v>
      </c>
      <c r="Q29" s="318">
        <v>0</v>
      </c>
      <c r="R29" s="318">
        <v>0</v>
      </c>
      <c r="S29" s="318">
        <v>0</v>
      </c>
      <c r="T29">
        <v>1</v>
      </c>
      <c r="W29">
        <f>_xlfn.XLOOKUP(Table11[[#This Row],[Admin2PCODE]],tblSeverityAnalysis[Admin 2 Código P],tblSeverityAnalysis[PRO],0,0)</f>
        <v>2</v>
      </c>
      <c r="Y29">
        <v>0</v>
      </c>
      <c r="Z29">
        <v>2.0499999999999998</v>
      </c>
      <c r="AA29">
        <f t="shared" si="0"/>
        <v>2</v>
      </c>
    </row>
    <row r="30" spans="1:27">
      <c r="A30" t="s">
        <v>119</v>
      </c>
      <c r="B30" t="s">
        <v>120</v>
      </c>
      <c r="C30" s="42" t="s">
        <v>816</v>
      </c>
      <c r="D30" t="s">
        <v>162</v>
      </c>
      <c r="E30" s="8" cm="1">
        <f t="array" aca="1" ref="E30" ca="1">_xlfn.XLOOKUP(Table11[[#This Row],[Admin2PCODE]], tblPiNAnalysis[Admin2PCODE], INDIRECT("tblPiNAnalysis[" &amp; Table11[[#Headers],[Población]] &amp; "]"), "NOT FOUND", 0, 1)</f>
        <v>38686</v>
      </c>
      <c r="F30" s="8" cm="1">
        <f t="array" aca="1" ref="F30" ca="1">_xlfn.XLOOKUP(Table11[[#This Row],[Admin2PCODE]], tblPiNAnalysis[Admin2PCODE], INDIRECT("tblPiNAnalysis[" &amp; Table11[[#Headers],[SAMV]] &amp; "]"), "NOT FOUND", 0, 1)</f>
        <v>8691</v>
      </c>
      <c r="G30" s="8" cm="1">
        <f t="array" aca="1" ref="G30" ca="1">_xlfn.XLOOKUP(Table11[[#This Row],[Admin2PCODE]], tblPiNAnalysis[Admin2PCODE], INDIRECT("tblPiNAnalysis[" &amp; Table11[[#Headers],[NUT]] &amp; "]"), "NOT FOUND", 0, 1)</f>
        <v>1033.4588004943298</v>
      </c>
      <c r="H30" s="8" cm="1">
        <f t="array" aca="1" ref="H30" ca="1">_xlfn.XLOOKUP(Table11[[#This Row],[Admin2PCODE]], tblPiNAnalysis[Admin2PCODE], INDIRECT("tblPiNAnalysis[" &amp; Table11[[#Headers],[SAL]] &amp; "]"), "NOT FOUND", 0, 1)</f>
        <v>14120.39</v>
      </c>
      <c r="I30" s="8" cm="1">
        <f t="array" aca="1" ref="I30" ca="1">_xlfn.XLOOKUP(Table11[[#This Row],[Admin2PCODE]], tblPiNAnalysis[Admin2PCODE], INDIRECT("tblPiNAnalysis[" &amp; Table11[[#Headers],[EDU]] &amp; "]"), "NOT FOUND", 0, 1)</f>
        <v>5194.9364259822232</v>
      </c>
      <c r="J30" s="8" cm="1">
        <f t="array" aca="1" ref="J30" ca="1">_xlfn.XLOOKUP(Table11[[#This Row],[Admin2PCODE]], tblPiNAnalysis[Admin2PCODE], INDIRECT("tblPiNAnalysis[" &amp; Table11[[#Headers],[PRO]] &amp; "]"), "NOT FOUND", 0, 1)</f>
        <v>9233.5504796630576</v>
      </c>
      <c r="K30" s="8" cm="1">
        <f t="array" aca="1" ref="K30" ca="1">_xlfn.XLOOKUP(Table11[[#This Row],[Admin2PCODE]], tblPiNAnalysis[Admin2PCODE], INDIRECT("tblPiNAnalysis[" &amp; Table11[[#Headers],[ASH]] &amp; "]"), "NOT FOUND", 0, 1)</f>
        <v>0</v>
      </c>
      <c r="L30" s="8" cm="1">
        <f t="array" aca="1" ref="L30" ca="1">_xlfn.XLOOKUP(Table11[[#This Row],[Admin2PCODE]], tblPiNAnalysis[Admin2PCODE], INDIRECT("tblPiNAnalysis[" &amp; Table11[[#Headers],[NNA]] &amp; "]"), "NOT FOUND", 0, 1)</f>
        <v>2954.7361534921783</v>
      </c>
      <c r="M30" s="8" cm="1">
        <f t="array" aca="1" ref="M30" ca="1">_xlfn.XLOOKUP(Table11[[#This Row],[Admin2PCODE]], tblPiNAnalysis[Admin2PCODE], INDIRECT("tblPiNAnalysis[" &amp; Table11[[#Headers],[VBG]] &amp; "]"), "NOT FOUND", 0, 1)</f>
        <v>3231.7426678820698</v>
      </c>
      <c r="N30" s="8" cm="1">
        <f t="array" aca="1" ref="N30" ca="1">_xlfn.XLOOKUP(Table11[[#This Row],[Admin2PCODE]], tblPiNAnalysis[Admin2PCODE], INDIRECT("tblPiNAnalysis[" &amp; Table11[[#Headers],[PiN más alto]] &amp; "]"), "NOT FOUND", 0, 1)</f>
        <v>14120.39</v>
      </c>
      <c r="O30" t="str" cm="1">
        <f t="array" aca="1" ref="O30" ca="1">_xlfn.XLOOKUP(Table11[[#This Row],[Admin2PCODE]], tblPiNAnalysis[Admin2PCODE], INDIRECT("tblPiNAnalysis[" &amp; Table11[[#Headers],[Sectores más altos]] &amp; "]"), "NOT FOUND", 0, 1)</f>
        <v>SAL</v>
      </c>
      <c r="P30" cm="1">
        <f t="array" ref="P30">_xlfn.XLOOKUP(Table11[[#This Row],[Admin2PCODE]], tblPiNAnalysis[Admin2PCODE], tblPiNAnalysis[Severidad], "NOT FOUND", 0, 1)</f>
        <v>3</v>
      </c>
      <c r="Q30" s="318">
        <v>0.87692307692307692</v>
      </c>
      <c r="R30" s="318">
        <v>0.41520467836257313</v>
      </c>
      <c r="S30" s="318">
        <v>0.36410256410256414</v>
      </c>
      <c r="T30">
        <v>0</v>
      </c>
      <c r="W30">
        <f>_xlfn.XLOOKUP(Table11[[#This Row],[Admin2PCODE]],tblSeverityAnalysis[Admin 2 Código P],tblSeverityAnalysis[PRO],0,0)</f>
        <v>4</v>
      </c>
      <c r="Y30">
        <v>0</v>
      </c>
      <c r="Z30">
        <v>0</v>
      </c>
      <c r="AA30">
        <f t="shared" si="0"/>
        <v>0</v>
      </c>
    </row>
    <row r="31" spans="1:27">
      <c r="A31" t="s">
        <v>163</v>
      </c>
      <c r="B31" t="s">
        <v>164</v>
      </c>
      <c r="C31" s="42" t="s">
        <v>165</v>
      </c>
      <c r="D31" t="s">
        <v>166</v>
      </c>
      <c r="E31" s="8" cm="1">
        <f t="array" aca="1" ref="E31" ca="1">_xlfn.XLOOKUP(Table11[[#This Row],[Admin2PCODE]], tblPiNAnalysis[Admin2PCODE], INDIRECT("tblPiNAnalysis[" &amp; Table11[[#Headers],[Población]] &amp; "]"), "NOT FOUND", 0, 1)</f>
        <v>59842</v>
      </c>
      <c r="F31" s="8" cm="1">
        <f t="array" aca="1" ref="F31" ca="1">_xlfn.XLOOKUP(Table11[[#This Row],[Admin2PCODE]], tblPiNAnalysis[Admin2PCODE], INDIRECT("tblPiNAnalysis[" &amp; Table11[[#Headers],[SAMV]] &amp; "]"), "NOT FOUND", 0, 1)</f>
        <v>21868</v>
      </c>
      <c r="G31" s="8" cm="1">
        <f t="array" aca="1" ref="G31" ca="1">_xlfn.XLOOKUP(Table11[[#This Row],[Admin2PCODE]], tblPiNAnalysis[Admin2PCODE], INDIRECT("tblPiNAnalysis[" &amp; Table11[[#Headers],[NUT]] &amp; "]"), "NOT FOUND", 0, 1)</f>
        <v>6344.3324429168088</v>
      </c>
      <c r="H31" s="8" cm="1">
        <f t="array" aca="1" ref="H31" ca="1">_xlfn.XLOOKUP(Table11[[#This Row],[Admin2PCODE]], tblPiNAnalysis[Admin2PCODE], INDIRECT("tblPiNAnalysis[" &amp; Table11[[#Headers],[SAL]] &amp; "]"), "NOT FOUND", 0, 1)</f>
        <v>27200</v>
      </c>
      <c r="I31" s="8" cm="1">
        <f t="array" aca="1" ref="I31" ca="1">_xlfn.XLOOKUP(Table11[[#This Row],[Admin2PCODE]], tblPiNAnalysis[Admin2PCODE], INDIRECT("tblPiNAnalysis[" &amp; Table11[[#Headers],[EDU]] &amp; "]"), "NOT FOUND", 0, 1)</f>
        <v>706.101853914201</v>
      </c>
      <c r="J31" s="8" cm="1">
        <f t="array" aca="1" ref="J31" ca="1">_xlfn.XLOOKUP(Table11[[#This Row],[Admin2PCODE]], tblPiNAnalysis[Admin2PCODE], INDIRECT("tblPiNAnalysis[" &amp; Table11[[#Headers],[PRO]] &amp; "]"), "NOT FOUND", 0, 1)</f>
        <v>14370.555676661454</v>
      </c>
      <c r="K31" s="8" cm="1">
        <f t="array" aca="1" ref="K31" ca="1">_xlfn.XLOOKUP(Table11[[#This Row],[Admin2PCODE]], tblPiNAnalysis[Admin2PCODE], INDIRECT("tblPiNAnalysis[" &amp; Table11[[#Headers],[ASH]] &amp; "]"), "NOT FOUND", 0, 1)</f>
        <v>35905.199999999997</v>
      </c>
      <c r="L31" s="8" cm="1">
        <f t="array" aca="1" ref="L31" ca="1">_xlfn.XLOOKUP(Table11[[#This Row],[Admin2PCODE]], tblPiNAnalysis[Admin2PCODE], INDIRECT("tblPiNAnalysis[" &amp; Table11[[#Headers],[NNA]] &amp; "]"), "NOT FOUND", 0, 1)</f>
        <v>4598.577816531666</v>
      </c>
      <c r="M31" s="8" cm="1">
        <f t="array" aca="1" ref="M31" ca="1">_xlfn.XLOOKUP(Table11[[#This Row],[Admin2PCODE]], tblPiNAnalysis[Admin2PCODE], INDIRECT("tblPiNAnalysis[" &amp; Table11[[#Headers],[VBG]] &amp; "]"), "NOT FOUND", 0, 1)</f>
        <v>5029.6944868315077</v>
      </c>
      <c r="N31" s="8" cm="1">
        <f t="array" aca="1" ref="N31" ca="1">_xlfn.XLOOKUP(Table11[[#This Row],[Admin2PCODE]], tblPiNAnalysis[Admin2PCODE], INDIRECT("tblPiNAnalysis[" &amp; Table11[[#Headers],[PiN más alto]] &amp; "]"), "NOT FOUND", 0, 1)</f>
        <v>35905.199999999997</v>
      </c>
      <c r="O31" t="str" cm="1">
        <f t="array" aca="1" ref="O31" ca="1">_xlfn.XLOOKUP(Table11[[#This Row],[Admin2PCODE]], tblPiNAnalysis[Admin2PCODE], INDIRECT("tblPiNAnalysis[" &amp; Table11[[#Headers],[Sectores más altos]] &amp; "]"), "NOT FOUND", 0, 1)</f>
        <v>ASH</v>
      </c>
      <c r="P31" cm="1">
        <f t="array" ref="P31">_xlfn.XLOOKUP(Table11[[#This Row],[Admin2PCODE]], tblPiNAnalysis[Admin2PCODE], tblPiNAnalysis[Severidad], "NOT FOUND", 0, 1)</f>
        <v>4</v>
      </c>
      <c r="Q31" s="318">
        <v>0.16304347826086957</v>
      </c>
      <c r="R31" s="318">
        <v>0.40370370370370368</v>
      </c>
      <c r="S31" s="318">
        <v>6.5821256038647344E-2</v>
      </c>
      <c r="T31">
        <v>0</v>
      </c>
      <c r="W31">
        <f>_xlfn.XLOOKUP(Table11[[#This Row],[Admin2PCODE]],tblSeverityAnalysis[Admin 2 Código P],tblSeverityAnalysis[PRO],0,0)</f>
        <v>4</v>
      </c>
      <c r="Y31">
        <v>0</v>
      </c>
      <c r="Z31">
        <v>7.4</v>
      </c>
      <c r="AA31">
        <f t="shared" si="0"/>
        <v>7</v>
      </c>
    </row>
    <row r="32" spans="1:27">
      <c r="A32" t="s">
        <v>163</v>
      </c>
      <c r="B32" t="s">
        <v>164</v>
      </c>
      <c r="C32" s="42" t="s">
        <v>167</v>
      </c>
      <c r="D32" t="s">
        <v>168</v>
      </c>
      <c r="E32" s="8" cm="1">
        <f t="array" aca="1" ref="E32" ca="1">_xlfn.XLOOKUP(Table11[[#This Row],[Admin2PCODE]], tblPiNAnalysis[Admin2PCODE], INDIRECT("tblPiNAnalysis[" &amp; Table11[[#Headers],[Población]] &amp; "]"), "NOT FOUND", 0, 1)</f>
        <v>55543</v>
      </c>
      <c r="F32" s="8" cm="1">
        <f t="array" aca="1" ref="F32" ca="1">_xlfn.XLOOKUP(Table11[[#This Row],[Admin2PCODE]], tblPiNAnalysis[Admin2PCODE], INDIRECT("tblPiNAnalysis[" &amp; Table11[[#Headers],[SAMV]] &amp; "]"), "NOT FOUND", 0, 1)</f>
        <v>2700</v>
      </c>
      <c r="G32" s="8" cm="1">
        <f t="array" aca="1" ref="G32" ca="1">_xlfn.XLOOKUP(Table11[[#This Row],[Admin2PCODE]], tblPiNAnalysis[Admin2PCODE], INDIRECT("tblPiNAnalysis[" &amp; Table11[[#Headers],[NUT]] &amp; "]"), "NOT FOUND", 0, 1)</f>
        <v>4932.8788742499491</v>
      </c>
      <c r="H32" s="8" cm="1">
        <f t="array" aca="1" ref="H32" ca="1">_xlfn.XLOOKUP(Table11[[#This Row],[Admin2PCODE]], tblPiNAnalysis[Admin2PCODE], INDIRECT("tblPiNAnalysis[" &amp; Table11[[#Headers],[SAL]] &amp; "]"), "NOT FOUND", 0, 1)</f>
        <v>27300</v>
      </c>
      <c r="I32" s="8" cm="1">
        <f t="array" aca="1" ref="I32" ca="1">_xlfn.XLOOKUP(Table11[[#This Row],[Admin2PCODE]], tblPiNAnalysis[Admin2PCODE], INDIRECT("tblPiNAnalysis[" &amp; Table11[[#Headers],[EDU]] &amp; "]"), "NOT FOUND", 0, 1)</f>
        <v>2091.9090466414323</v>
      </c>
      <c r="J32" s="8" cm="1">
        <f t="array" aca="1" ref="J32" ca="1">_xlfn.XLOOKUP(Table11[[#This Row],[Admin2PCODE]], tblPiNAnalysis[Admin2PCODE], INDIRECT("tblPiNAnalysis[" &amp; Table11[[#Headers],[PRO]] &amp; "]"), "NOT FOUND", 0, 1)</f>
        <v>13338.18679102983</v>
      </c>
      <c r="K32" s="8" cm="1">
        <f t="array" aca="1" ref="K32" ca="1">_xlfn.XLOOKUP(Table11[[#This Row],[Admin2PCODE]], tblPiNAnalysis[Admin2PCODE], INDIRECT("tblPiNAnalysis[" &amp; Table11[[#Headers],[ASH]] &amp; "]"), "NOT FOUND", 0, 1)</f>
        <v>33325.799999999996</v>
      </c>
      <c r="L32" s="8" cm="1">
        <f t="array" aca="1" ref="L32" ca="1">_xlfn.XLOOKUP(Table11[[#This Row],[Admin2PCODE]], tblPiNAnalysis[Admin2PCODE], INDIRECT("tblPiNAnalysis[" &amp; Table11[[#Headers],[NNA]] &amp; "]"), "NOT FOUND", 0, 1)</f>
        <v>4268.2197731295455</v>
      </c>
      <c r="M32" s="8" cm="1">
        <f t="array" aca="1" ref="M32" ca="1">_xlfn.XLOOKUP(Table11[[#This Row],[Admin2PCODE]], tblPiNAnalysis[Admin2PCODE], INDIRECT("tblPiNAnalysis[" &amp; Table11[[#Headers],[VBG]] &amp; "]"), "NOT FOUND", 0, 1)</f>
        <v>4668.365376860439</v>
      </c>
      <c r="N32" s="8" cm="1">
        <f t="array" aca="1" ref="N32" ca="1">_xlfn.XLOOKUP(Table11[[#This Row],[Admin2PCODE]], tblPiNAnalysis[Admin2PCODE], INDIRECT("tblPiNAnalysis[" &amp; Table11[[#Headers],[PiN más alto]] &amp; "]"), "NOT FOUND", 0, 1)</f>
        <v>33325.799999999996</v>
      </c>
      <c r="O32" t="str" cm="1">
        <f t="array" aca="1" ref="O32" ca="1">_xlfn.XLOOKUP(Table11[[#This Row],[Admin2PCODE]], tblPiNAnalysis[Admin2PCODE], INDIRECT("tblPiNAnalysis[" &amp; Table11[[#Headers],[Sectores más altos]] &amp; "]"), "NOT FOUND", 0, 1)</f>
        <v>ASH</v>
      </c>
      <c r="P32" cm="1">
        <f t="array" ref="P32">_xlfn.XLOOKUP(Table11[[#This Row],[Admin2PCODE]], tblPiNAnalysis[Admin2PCODE], tblPiNAnalysis[Severidad], "NOT FOUND", 0, 1)</f>
        <v>4</v>
      </c>
      <c r="Q32" s="318">
        <v>0.323943661971831</v>
      </c>
      <c r="R32" s="318">
        <v>0.43478260869565216</v>
      </c>
      <c r="S32" s="318">
        <v>0.14084507042253522</v>
      </c>
      <c r="T32">
        <v>1</v>
      </c>
      <c r="W32">
        <f>_xlfn.XLOOKUP(Table11[[#This Row],[Admin2PCODE]],tblSeverityAnalysis[Admin 2 Código P],tblSeverityAnalysis[PRO],0,0)</f>
        <v>4</v>
      </c>
      <c r="Y32">
        <v>0</v>
      </c>
      <c r="Z32">
        <v>8.35</v>
      </c>
      <c r="AA32">
        <f t="shared" si="0"/>
        <v>8</v>
      </c>
    </row>
    <row r="33" spans="1:27">
      <c r="A33" t="s">
        <v>163</v>
      </c>
      <c r="B33" t="s">
        <v>164</v>
      </c>
      <c r="C33" s="42" t="s">
        <v>169</v>
      </c>
      <c r="D33" t="s">
        <v>170</v>
      </c>
      <c r="E33" s="8" cm="1">
        <f t="array" aca="1" ref="E33" ca="1">_xlfn.XLOOKUP(Table11[[#This Row],[Admin2PCODE]], tblPiNAnalysis[Admin2PCODE], INDIRECT("tblPiNAnalysis[" &amp; Table11[[#Headers],[Población]] &amp; "]"), "NOT FOUND", 0, 1)</f>
        <v>28161</v>
      </c>
      <c r="F33" s="8" cm="1">
        <f t="array" aca="1" ref="F33" ca="1">_xlfn.XLOOKUP(Table11[[#This Row],[Admin2PCODE]], tblPiNAnalysis[Admin2PCODE], INDIRECT("tblPiNAnalysis[" &amp; Table11[[#Headers],[SAMV]] &amp; "]"), "NOT FOUND", 0, 1)</f>
        <v>4693</v>
      </c>
      <c r="G33" s="8" cm="1">
        <f t="array" aca="1" ref="G33" ca="1">_xlfn.XLOOKUP(Table11[[#This Row],[Admin2PCODE]], tblPiNAnalysis[Admin2PCODE], INDIRECT("tblPiNAnalysis[" &amp; Table11[[#Headers],[NUT]] &amp; "]"), "NOT FOUND", 0, 1)</f>
        <v>1415.0457714879094</v>
      </c>
      <c r="H33" s="8" cm="1">
        <f t="array" aca="1" ref="H33" ca="1">_xlfn.XLOOKUP(Table11[[#This Row],[Admin2PCODE]], tblPiNAnalysis[Admin2PCODE], INDIRECT("tblPiNAnalysis[" &amp; Table11[[#Headers],[SAL]] &amp; "]"), "NOT FOUND", 0, 1)</f>
        <v>10278.764999999999</v>
      </c>
      <c r="I33" s="8" cm="1">
        <f t="array" aca="1" ref="I33" ca="1">_xlfn.XLOOKUP(Table11[[#This Row],[Admin2PCODE]], tblPiNAnalysis[Admin2PCODE], INDIRECT("tblPiNAnalysis[" &amp; Table11[[#Headers],[EDU]] &amp; "]"), "NOT FOUND", 0, 1)</f>
        <v>5529.0919175159233</v>
      </c>
      <c r="J33" s="8" cm="1">
        <f t="array" aca="1" ref="J33" ca="1">_xlfn.XLOOKUP(Table11[[#This Row],[Admin2PCODE]], tblPiNAnalysis[Admin2PCODE], INDIRECT("tblPiNAnalysis[" &amp; Table11[[#Headers],[PRO]] &amp; "]"), "NOT FOUND", 0, 1)</f>
        <v>6762.628562054465</v>
      </c>
      <c r="K33" s="8" cm="1">
        <f t="array" aca="1" ref="K33" ca="1">_xlfn.XLOOKUP(Table11[[#This Row],[Admin2PCODE]], tblPiNAnalysis[Admin2PCODE], INDIRECT("tblPiNAnalysis[" &amp; Table11[[#Headers],[ASH]] &amp; "]"), "NOT FOUND", 0, 1)</f>
        <v>16896.599999999999</v>
      </c>
      <c r="L33" s="8" cm="1">
        <f t="array" aca="1" ref="L33" ca="1">_xlfn.XLOOKUP(Table11[[#This Row],[Admin2PCODE]], tblPiNAnalysis[Admin2PCODE], INDIRECT("tblPiNAnalysis[" &amp; Table11[[#Headers],[NNA]] &amp; "]"), "NOT FOUND", 0, 1)</f>
        <v>2164.0411398574288</v>
      </c>
      <c r="M33" s="8" cm="1">
        <f t="array" aca="1" ref="M33" ca="1">_xlfn.XLOOKUP(Table11[[#This Row],[Admin2PCODE]], tblPiNAnalysis[Admin2PCODE], INDIRECT("tblPiNAnalysis[" &amp; Table11[[#Headers],[VBG]] &amp; "]"), "NOT FOUND", 0, 1)</f>
        <v>2366.9199967190625</v>
      </c>
      <c r="N33" s="8" cm="1">
        <f t="array" aca="1" ref="N33" ca="1">_xlfn.XLOOKUP(Table11[[#This Row],[Admin2PCODE]], tblPiNAnalysis[Admin2PCODE], INDIRECT("tblPiNAnalysis[" &amp; Table11[[#Headers],[PiN más alto]] &amp; "]"), "NOT FOUND", 0, 1)</f>
        <v>16896.599999999999</v>
      </c>
      <c r="O33" t="str" cm="1">
        <f t="array" aca="1" ref="O33" ca="1">_xlfn.XLOOKUP(Table11[[#This Row],[Admin2PCODE]], tblPiNAnalysis[Admin2PCODE], INDIRECT("tblPiNAnalysis[" &amp; Table11[[#Headers],[Sectores más altos]] &amp; "]"), "NOT FOUND", 0, 1)</f>
        <v>ASH</v>
      </c>
      <c r="P33" cm="1">
        <f t="array" ref="P33">_xlfn.XLOOKUP(Table11[[#This Row],[Admin2PCODE]], tblPiNAnalysis[Admin2PCODE], tblPiNAnalysis[Severidad], "NOT FOUND", 0, 1)</f>
        <v>3</v>
      </c>
      <c r="Q33" s="318">
        <v>0.22105263157894736</v>
      </c>
      <c r="R33" s="318">
        <v>0.3571428571428571</v>
      </c>
      <c r="S33" s="318">
        <v>7.8947368421052613E-2</v>
      </c>
      <c r="T33">
        <v>1</v>
      </c>
      <c r="W33">
        <f>_xlfn.XLOOKUP(Table11[[#This Row],[Admin2PCODE]],tblSeverityAnalysis[Admin 2 Código P],tblSeverityAnalysis[PRO],0,0)</f>
        <v>4</v>
      </c>
      <c r="Y33">
        <v>0</v>
      </c>
      <c r="Z33">
        <v>5.4</v>
      </c>
      <c r="AA33">
        <f t="shared" si="0"/>
        <v>5</v>
      </c>
    </row>
    <row r="34" spans="1:27">
      <c r="A34" t="s">
        <v>163</v>
      </c>
      <c r="B34" t="s">
        <v>164</v>
      </c>
      <c r="C34" s="42" t="s">
        <v>171</v>
      </c>
      <c r="D34" t="s">
        <v>172</v>
      </c>
      <c r="E34" s="8" cm="1">
        <f t="array" aca="1" ref="E34" ca="1">_xlfn.XLOOKUP(Table11[[#This Row],[Admin2PCODE]], tblPiNAnalysis[Admin2PCODE], INDIRECT("tblPiNAnalysis[" &amp; Table11[[#Headers],[Población]] &amp; "]"), "NOT FOUND", 0, 1)</f>
        <v>102386</v>
      </c>
      <c r="F34" s="8" cm="1">
        <f t="array" aca="1" ref="F34" ca="1">_xlfn.XLOOKUP(Table11[[#This Row],[Admin2PCODE]], tblPiNAnalysis[Admin2PCODE], INDIRECT("tblPiNAnalysis[" &amp; Table11[[#Headers],[SAMV]] &amp; "]"), "NOT FOUND", 0, 1)</f>
        <v>0</v>
      </c>
      <c r="G34" s="8" cm="1">
        <f t="array" aca="1" ref="G34" ca="1">_xlfn.XLOOKUP(Table11[[#This Row],[Admin2PCODE]], tblPiNAnalysis[Admin2PCODE], INDIRECT("tblPiNAnalysis[" &amp; Table11[[#Headers],[NUT]] &amp; "]"), "NOT FOUND", 0, 1)</f>
        <v>6340.9934519553926</v>
      </c>
      <c r="H34" s="8" cm="1">
        <f t="array" aca="1" ref="H34" ca="1">_xlfn.XLOOKUP(Table11[[#This Row],[Admin2PCODE]], tblPiNAnalysis[Admin2PCODE], INDIRECT("tblPiNAnalysis[" &amp; Table11[[#Headers],[SAL]] &amp; "]"), "NOT FOUND", 0, 1)</f>
        <v>37370.89</v>
      </c>
      <c r="I34" s="8" cm="1">
        <f t="array" aca="1" ref="I34" ca="1">_xlfn.XLOOKUP(Table11[[#This Row],[Admin2PCODE]], tblPiNAnalysis[Admin2PCODE], INDIRECT("tblPiNAnalysis[" &amp; Table11[[#Headers],[EDU]] &amp; "]"), "NOT FOUND", 0, 1)</f>
        <v>5822.2852267812905</v>
      </c>
      <c r="J34" s="8" cm="1">
        <f t="array" aca="1" ref="J34" ca="1">_xlfn.XLOOKUP(Table11[[#This Row],[Admin2PCODE]], tblPiNAnalysis[Admin2PCODE], INDIRECT("tblPiNAnalysis[" &amp; Table11[[#Headers],[PRO]] &amp; "]"), "NOT FOUND", 0, 1)</f>
        <v>20489.284470085939</v>
      </c>
      <c r="K34" s="8" cm="1">
        <f t="array" aca="1" ref="K34" ca="1">_xlfn.XLOOKUP(Table11[[#This Row],[Admin2PCODE]], tblPiNAnalysis[Admin2PCODE], INDIRECT("tblPiNAnalysis[" &amp; Table11[[#Headers],[ASH]] &amp; "]"), "NOT FOUND", 0, 1)</f>
        <v>0</v>
      </c>
      <c r="L34" s="8" cm="1">
        <f t="array" aca="1" ref="L34" ca="1">_xlfn.XLOOKUP(Table11[[#This Row],[Admin2PCODE]], tblPiNAnalysis[Admin2PCODE], INDIRECT("tblPiNAnalysis[" &amp; Table11[[#Headers],[NNA]] &amp; "]"), "NOT FOUND", 0, 1)</f>
        <v>6556.5710304274999</v>
      </c>
      <c r="M34" s="8" cm="1">
        <f t="array" aca="1" ref="M34" ca="1">_xlfn.XLOOKUP(Table11[[#This Row],[Admin2PCODE]], tblPiNAnalysis[Admin2PCODE], INDIRECT("tblPiNAnalysis[" &amp; Table11[[#Headers],[VBG]] &amp; "]"), "NOT FOUND", 0, 1)</f>
        <v>7171.2495645300778</v>
      </c>
      <c r="N34" s="8" cm="1">
        <f t="array" aca="1" ref="N34" ca="1">_xlfn.XLOOKUP(Table11[[#This Row],[Admin2PCODE]], tblPiNAnalysis[Admin2PCODE], INDIRECT("tblPiNAnalysis[" &amp; Table11[[#Headers],[PiN más alto]] &amp; "]"), "NOT FOUND", 0, 1)</f>
        <v>37370.89</v>
      </c>
      <c r="O34" t="str" cm="1">
        <f t="array" aca="1" ref="O34" ca="1">_xlfn.XLOOKUP(Table11[[#This Row],[Admin2PCODE]], tblPiNAnalysis[Admin2PCODE], INDIRECT("tblPiNAnalysis[" &amp; Table11[[#Headers],[Sectores más altos]] &amp; "]"), "NOT FOUND", 0, 1)</f>
        <v>SAL</v>
      </c>
      <c r="P34" cm="1">
        <f t="array" ref="P34">_xlfn.XLOOKUP(Table11[[#This Row],[Admin2PCODE]], tblPiNAnalysis[Admin2PCODE], tblPiNAnalysis[Severidad], "NOT FOUND", 0, 1)</f>
        <v>4</v>
      </c>
      <c r="Q34" s="318">
        <v>0.16783216783216784</v>
      </c>
      <c r="R34" s="318">
        <v>0.33333333333333331</v>
      </c>
      <c r="S34" s="318">
        <v>5.5944055944055944E-2</v>
      </c>
      <c r="T34">
        <v>0</v>
      </c>
      <c r="W34">
        <f>_xlfn.XLOOKUP(Table11[[#This Row],[Admin2PCODE]],tblSeverityAnalysis[Admin 2 Código P],tblSeverityAnalysis[PRO],0,0)</f>
        <v>5</v>
      </c>
      <c r="Y34">
        <v>0</v>
      </c>
      <c r="Z34">
        <v>7.55</v>
      </c>
      <c r="AA34">
        <f t="shared" si="0"/>
        <v>8</v>
      </c>
    </row>
    <row r="35" spans="1:27">
      <c r="A35" t="s">
        <v>163</v>
      </c>
      <c r="B35" t="s">
        <v>164</v>
      </c>
      <c r="C35" s="42" t="s">
        <v>173</v>
      </c>
      <c r="D35" t="s">
        <v>174</v>
      </c>
      <c r="E35" s="8" cm="1">
        <f t="array" aca="1" ref="E35" ca="1">_xlfn.XLOOKUP(Table11[[#This Row],[Admin2PCODE]], tblPiNAnalysis[Admin2PCODE], INDIRECT("tblPiNAnalysis[" &amp; Table11[[#Headers],[Población]] &amp; "]"), "NOT FOUND", 0, 1)</f>
        <v>29616</v>
      </c>
      <c r="F35" s="8" cm="1">
        <f t="array" aca="1" ref="F35" ca="1">_xlfn.XLOOKUP(Table11[[#This Row],[Admin2PCODE]], tblPiNAnalysis[Admin2PCODE], INDIRECT("tblPiNAnalysis[" &amp; Table11[[#Headers],[SAMV]] &amp; "]"), "NOT FOUND", 0, 1)</f>
        <v>7019</v>
      </c>
      <c r="G35" s="8" cm="1">
        <f t="array" aca="1" ref="G35" ca="1">_xlfn.XLOOKUP(Table11[[#This Row],[Admin2PCODE]], tblPiNAnalysis[Admin2PCODE], INDIRECT("tblPiNAnalysis[" &amp; Table11[[#Headers],[NUT]] &amp; "]"), "NOT FOUND", 0, 1)</f>
        <v>1363.3115695584729</v>
      </c>
      <c r="H35" s="8" cm="1">
        <f t="array" aca="1" ref="H35" ca="1">_xlfn.XLOOKUP(Table11[[#This Row],[Admin2PCODE]], tblPiNAnalysis[Admin2PCODE], INDIRECT("tblPiNAnalysis[" &amp; Table11[[#Headers],[SAL]] &amp; "]"), "NOT FOUND", 0, 1)</f>
        <v>11200</v>
      </c>
      <c r="I35" s="8" cm="1">
        <f t="array" aca="1" ref="I35" ca="1">_xlfn.XLOOKUP(Table11[[#This Row],[Admin2PCODE]], tblPiNAnalysis[Admin2PCODE], INDIRECT("tblPiNAnalysis[" &amp; Table11[[#Headers],[EDU]] &amp; "]"), "NOT FOUND", 0, 1)</f>
        <v>757.95896507376585</v>
      </c>
      <c r="J35" s="8" cm="1">
        <f t="array" aca="1" ref="J35" ca="1">_xlfn.XLOOKUP(Table11[[#This Row],[Admin2PCODE]], tblPiNAnalysis[Admin2PCODE], INDIRECT("tblPiNAnalysis[" &amp; Table11[[#Headers],[PRO]] &amp; "]"), "NOT FOUND", 0, 1)</f>
        <v>5926.6955332376046</v>
      </c>
      <c r="K35" s="8" cm="1">
        <f t="array" aca="1" ref="K35" ca="1">_xlfn.XLOOKUP(Table11[[#This Row],[Admin2PCODE]], tblPiNAnalysis[Admin2PCODE], INDIRECT("tblPiNAnalysis[" &amp; Table11[[#Headers],[ASH]] &amp; "]"), "NOT FOUND", 0, 1)</f>
        <v>17769.599999999999</v>
      </c>
      <c r="L35" s="8" cm="1">
        <f t="array" aca="1" ref="L35" ca="1">_xlfn.XLOOKUP(Table11[[#This Row],[Admin2PCODE]], tblPiNAnalysis[Admin2PCODE], INDIRECT("tblPiNAnalysis[" &amp; Table11[[#Headers],[NNA]] &amp; "]"), "NOT FOUND", 0, 1)</f>
        <v>1896.5425706360334</v>
      </c>
      <c r="M35" s="8" cm="1">
        <f t="array" aca="1" ref="M35" ca="1">_xlfn.XLOOKUP(Table11[[#This Row],[Admin2PCODE]], tblPiNAnalysis[Admin2PCODE], INDIRECT("tblPiNAnalysis[" &amp; Table11[[#Headers],[VBG]] &amp; "]"), "NOT FOUND", 0, 1)</f>
        <v>2074.3434366331617</v>
      </c>
      <c r="N35" s="8" cm="1">
        <f t="array" aca="1" ref="N35" ca="1">_xlfn.XLOOKUP(Table11[[#This Row],[Admin2PCODE]], tblPiNAnalysis[Admin2PCODE], INDIRECT("tblPiNAnalysis[" &amp; Table11[[#Headers],[PiN más alto]] &amp; "]"), "NOT FOUND", 0, 1)</f>
        <v>17769.599999999999</v>
      </c>
      <c r="O35" t="str" cm="1">
        <f t="array" aca="1" ref="O35" ca="1">_xlfn.XLOOKUP(Table11[[#This Row],[Admin2PCODE]], tblPiNAnalysis[Admin2PCODE], INDIRECT("tblPiNAnalysis[" &amp; Table11[[#Headers],[Sectores más altos]] &amp; "]"), "NOT FOUND", 0, 1)</f>
        <v>ASH</v>
      </c>
      <c r="P35" cm="1">
        <f t="array" ref="P35">_xlfn.XLOOKUP(Table11[[#This Row],[Admin2PCODE]], tblPiNAnalysis[Admin2PCODE], tblPiNAnalysis[Severidad], "NOT FOUND", 0, 1)</f>
        <v>4</v>
      </c>
      <c r="Q35" s="318">
        <v>0.58139534883720934</v>
      </c>
      <c r="R35" s="318">
        <v>0.37777777777777771</v>
      </c>
      <c r="S35" s="318">
        <v>0.21963824289405681</v>
      </c>
      <c r="T35">
        <v>0</v>
      </c>
      <c r="W35">
        <f>_xlfn.XLOOKUP(Table11[[#This Row],[Admin2PCODE]],tblSeverityAnalysis[Admin 2 Código P],tblSeverityAnalysis[PRO],0,0)</f>
        <v>5</v>
      </c>
      <c r="Y35">
        <v>0</v>
      </c>
      <c r="Z35">
        <v>7.9</v>
      </c>
      <c r="AA35">
        <f t="shared" si="0"/>
        <v>8</v>
      </c>
    </row>
    <row r="36" spans="1:27">
      <c r="A36" t="s">
        <v>163</v>
      </c>
      <c r="B36" t="s">
        <v>164</v>
      </c>
      <c r="C36" s="42" t="s">
        <v>175</v>
      </c>
      <c r="D36" t="s">
        <v>176</v>
      </c>
      <c r="E36" s="8" cm="1">
        <f t="array" aca="1" ref="E36" ca="1">_xlfn.XLOOKUP(Table11[[#This Row],[Admin2PCODE]], tblPiNAnalysis[Admin2PCODE], INDIRECT("tblPiNAnalysis[" &amp; Table11[[#Headers],[Población]] &amp; "]"), "NOT FOUND", 0, 1)</f>
        <v>24970</v>
      </c>
      <c r="F36" s="8" cm="1">
        <f t="array" aca="1" ref="F36" ca="1">_xlfn.XLOOKUP(Table11[[#This Row],[Admin2PCODE]], tblPiNAnalysis[Admin2PCODE], INDIRECT("tblPiNAnalysis[" &amp; Table11[[#Headers],[SAMV]] &amp; "]"), "NOT FOUND", 0, 1)</f>
        <v>3026</v>
      </c>
      <c r="G36" s="8" cm="1">
        <f t="array" aca="1" ref="G36" ca="1">_xlfn.XLOOKUP(Table11[[#This Row],[Admin2PCODE]], tblPiNAnalysis[Admin2PCODE], INDIRECT("tblPiNAnalysis[" &amp; Table11[[#Headers],[NUT]] &amp; "]"), "NOT FOUND", 0, 1)</f>
        <v>3417.4794151314604</v>
      </c>
      <c r="H36" s="8" cm="1">
        <f t="array" aca="1" ref="H36" ca="1">_xlfn.XLOOKUP(Table11[[#This Row],[Admin2PCODE]], tblPiNAnalysis[Admin2PCODE], INDIRECT("tblPiNAnalysis[" &amp; Table11[[#Headers],[SAL]] &amp; "]"), "NOT FOUND", 0, 1)</f>
        <v>12100</v>
      </c>
      <c r="I36" s="8" cm="1">
        <f t="array" aca="1" ref="I36" ca="1">_xlfn.XLOOKUP(Table11[[#This Row],[Admin2PCODE]], tblPiNAnalysis[Admin2PCODE], INDIRECT("tblPiNAnalysis[" &amp; Table11[[#Headers],[EDU]] &amp; "]"), "NOT FOUND", 0, 1)</f>
        <v>386.41111982904505</v>
      </c>
      <c r="J36" s="8" cm="1">
        <f t="array" aca="1" ref="J36" ca="1">_xlfn.XLOOKUP(Table11[[#This Row],[Admin2PCODE]], tblPiNAnalysis[Admin2PCODE], INDIRECT("tblPiNAnalysis[" &amp; Table11[[#Headers],[PRO]] &amp; "]"), "NOT FOUND", 0, 1)</f>
        <v>5996.3366071694882</v>
      </c>
      <c r="K36" s="8" cm="1">
        <f t="array" aca="1" ref="K36" ca="1">_xlfn.XLOOKUP(Table11[[#This Row],[Admin2PCODE]], tblPiNAnalysis[Admin2PCODE], INDIRECT("tblPiNAnalysis[" &amp; Table11[[#Headers],[ASH]] &amp; "]"), "NOT FOUND", 0, 1)</f>
        <v>19976</v>
      </c>
      <c r="L36" s="8" cm="1">
        <f t="array" aca="1" ref="L36" ca="1">_xlfn.XLOOKUP(Table11[[#This Row],[Admin2PCODE]], tblPiNAnalysis[Admin2PCODE], INDIRECT("tblPiNAnalysis[" &amp; Table11[[#Headers],[NNA]] &amp; "]"), "NOT FOUND", 0, 1)</f>
        <v>1924.8240509014058</v>
      </c>
      <c r="M36" s="8" cm="1">
        <f t="array" aca="1" ref="M36" ca="1">_xlfn.XLOOKUP(Table11[[#This Row],[Admin2PCODE]], tblPiNAnalysis[Admin2PCODE], INDIRECT("tblPiNAnalysis[" &amp; Table11[[#Headers],[VBG]] &amp; "]"), "NOT FOUND", 0, 1)</f>
        <v>2098.717812509321</v>
      </c>
      <c r="N36" s="8" cm="1">
        <f t="array" aca="1" ref="N36" ca="1">_xlfn.XLOOKUP(Table11[[#This Row],[Admin2PCODE]], tblPiNAnalysis[Admin2PCODE], INDIRECT("tblPiNAnalysis[" &amp; Table11[[#Headers],[PiN más alto]] &amp; "]"), "NOT FOUND", 0, 1)</f>
        <v>19976</v>
      </c>
      <c r="O36" t="str" cm="1">
        <f t="array" aca="1" ref="O36" ca="1">_xlfn.XLOOKUP(Table11[[#This Row],[Admin2PCODE]], tblPiNAnalysis[Admin2PCODE], INDIRECT("tblPiNAnalysis[" &amp; Table11[[#Headers],[Sectores más altos]] &amp; "]"), "NOT FOUND", 0, 1)</f>
        <v>ASH</v>
      </c>
      <c r="P36" cm="1">
        <f t="array" ref="P36">_xlfn.XLOOKUP(Table11[[#This Row],[Admin2PCODE]], tblPiNAnalysis[Admin2PCODE], tblPiNAnalysis[Severidad], "NOT FOUND", 0, 1)</f>
        <v>4</v>
      </c>
      <c r="Q36" s="318">
        <v>0.44444444444444442</v>
      </c>
      <c r="R36" s="318">
        <v>0.35</v>
      </c>
      <c r="S36" s="318">
        <v>0.15555555555555553</v>
      </c>
      <c r="T36">
        <v>0</v>
      </c>
      <c r="W36">
        <f>_xlfn.XLOOKUP(Table11[[#This Row],[Admin2PCODE]],tblSeverityAnalysis[Admin 2 Código P],tblSeverityAnalysis[PRO],0,0)</f>
        <v>4</v>
      </c>
      <c r="Y36">
        <v>0</v>
      </c>
      <c r="Z36">
        <v>6.95</v>
      </c>
      <c r="AA36">
        <f t="shared" si="0"/>
        <v>7</v>
      </c>
    </row>
    <row r="37" spans="1:27">
      <c r="A37" t="s">
        <v>163</v>
      </c>
      <c r="B37" t="s">
        <v>164</v>
      </c>
      <c r="C37" s="42" t="s">
        <v>177</v>
      </c>
      <c r="D37" t="s">
        <v>178</v>
      </c>
      <c r="E37" s="8" cm="1">
        <f t="array" aca="1" ref="E37" ca="1">_xlfn.XLOOKUP(Table11[[#This Row],[Admin2PCODE]], tblPiNAnalysis[Admin2PCODE], INDIRECT("tblPiNAnalysis[" &amp; Table11[[#Headers],[Población]] &amp; "]"), "NOT FOUND", 0, 1)</f>
        <v>168860</v>
      </c>
      <c r="F37" s="8" cm="1">
        <f t="array" aca="1" ref="F37" ca="1">_xlfn.XLOOKUP(Table11[[#This Row],[Admin2PCODE]], tblPiNAnalysis[Admin2PCODE], INDIRECT("tblPiNAnalysis[" &amp; Table11[[#Headers],[SAMV]] &amp; "]"), "NOT FOUND", 0, 1)</f>
        <v>6318</v>
      </c>
      <c r="G37" s="8" cm="1">
        <f t="array" aca="1" ref="G37" ca="1">_xlfn.XLOOKUP(Table11[[#This Row],[Admin2PCODE]], tblPiNAnalysis[Admin2PCODE], INDIRECT("tblPiNAnalysis[" &amp; Table11[[#Headers],[NUT]] &amp; "]"), "NOT FOUND", 0, 1)</f>
        <v>10039.650037290579</v>
      </c>
      <c r="H37" s="8" cm="1">
        <f t="array" aca="1" ref="H37" ca="1">_xlfn.XLOOKUP(Table11[[#This Row],[Admin2PCODE]], tblPiNAnalysis[Admin2PCODE], INDIRECT("tblPiNAnalysis[" &amp; Table11[[#Headers],[SAL]] &amp; "]"), "NOT FOUND", 0, 1)</f>
        <v>61633.9</v>
      </c>
      <c r="I37" s="8" cm="1">
        <f t="array" aca="1" ref="I37" ca="1">_xlfn.XLOOKUP(Table11[[#This Row],[Admin2PCODE]], tblPiNAnalysis[Admin2PCODE], INDIRECT("tblPiNAnalysis[" &amp; Table11[[#Headers],[EDU]] &amp; "]"), "NOT FOUND", 0, 1)</f>
        <v>3417.3421638215896</v>
      </c>
      <c r="J37" s="8" cm="1">
        <f t="array" aca="1" ref="J37" ca="1">_xlfn.XLOOKUP(Table11[[#This Row],[Admin2PCODE]], tblPiNAnalysis[Admin2PCODE], INDIRECT("tblPiNAnalysis[" &amp; Table11[[#Headers],[PRO]] &amp; "]"), "NOT FOUND", 0, 1)</f>
        <v>40550.316359096505</v>
      </c>
      <c r="K37" s="8" cm="1">
        <f t="array" aca="1" ref="K37" ca="1">_xlfn.XLOOKUP(Table11[[#This Row],[Admin2PCODE]], tblPiNAnalysis[Admin2PCODE], INDIRECT("tblPiNAnalysis[" &amp; Table11[[#Headers],[ASH]] &amp; "]"), "NOT FOUND", 0, 1)</f>
        <v>101316</v>
      </c>
      <c r="L37" s="8" cm="1">
        <f t="array" aca="1" ref="L37" ca="1">_xlfn.XLOOKUP(Table11[[#This Row],[Admin2PCODE]], tblPiNAnalysis[Admin2PCODE], INDIRECT("tblPiNAnalysis[" &amp; Table11[[#Headers],[NNA]] &amp; "]"), "NOT FOUND", 0, 1)</f>
        <v>12976.101234910882</v>
      </c>
      <c r="M37" s="8" cm="1">
        <f t="array" aca="1" ref="M37" ca="1">_xlfn.XLOOKUP(Table11[[#This Row],[Admin2PCODE]], tblPiNAnalysis[Admin2PCODE], INDIRECT("tblPiNAnalysis[" &amp; Table11[[#Headers],[VBG]] &amp; "]"), "NOT FOUND", 0, 1)</f>
        <v>14192.610725683775</v>
      </c>
      <c r="N37" s="8" cm="1">
        <f t="array" aca="1" ref="N37" ca="1">_xlfn.XLOOKUP(Table11[[#This Row],[Admin2PCODE]], tblPiNAnalysis[Admin2PCODE], INDIRECT("tblPiNAnalysis[" &amp; Table11[[#Headers],[PiN más alto]] &amp; "]"), "NOT FOUND", 0, 1)</f>
        <v>101316</v>
      </c>
      <c r="O37" t="str" cm="1">
        <f t="array" aca="1" ref="O37" ca="1">_xlfn.XLOOKUP(Table11[[#This Row],[Admin2PCODE]], tblPiNAnalysis[Admin2PCODE], INDIRECT("tblPiNAnalysis[" &amp; Table11[[#Headers],[Sectores más altos]] &amp; "]"), "NOT FOUND", 0, 1)</f>
        <v>ASH</v>
      </c>
      <c r="P37" cm="1">
        <f t="array" ref="P37">_xlfn.XLOOKUP(Table11[[#This Row],[Admin2PCODE]], tblPiNAnalysis[Admin2PCODE], tblPiNAnalysis[Severidad], "NOT FOUND", 0, 1)</f>
        <v>3</v>
      </c>
      <c r="Q37" s="318">
        <v>0.39516129032258063</v>
      </c>
      <c r="R37" s="318">
        <v>0.43537414965986393</v>
      </c>
      <c r="S37" s="318">
        <v>0.17204301075268816</v>
      </c>
      <c r="T37">
        <v>0</v>
      </c>
      <c r="W37">
        <f>_xlfn.XLOOKUP(Table11[[#This Row],[Admin2PCODE]],tblSeverityAnalysis[Admin 2 Código P],tblSeverityAnalysis[PRO],0,0)</f>
        <v>4</v>
      </c>
      <c r="Y37">
        <v>0</v>
      </c>
      <c r="Z37">
        <v>10</v>
      </c>
      <c r="AA37">
        <f t="shared" si="0"/>
        <v>10</v>
      </c>
    </row>
    <row r="38" spans="1:27">
      <c r="A38" t="s">
        <v>123</v>
      </c>
      <c r="B38" t="s">
        <v>179</v>
      </c>
      <c r="C38" s="42" t="s">
        <v>180</v>
      </c>
      <c r="D38" t="s">
        <v>181</v>
      </c>
      <c r="E38" s="8" cm="1">
        <f t="array" aca="1" ref="E38" ca="1">_xlfn.XLOOKUP(Table11[[#This Row],[Admin2PCODE]], tblPiNAnalysis[Admin2PCODE], INDIRECT("tblPiNAnalysis[" &amp; Table11[[#Headers],[Población]] &amp; "]"), "NOT FOUND", 0, 1)</f>
        <v>38905</v>
      </c>
      <c r="F38" s="8" cm="1">
        <f t="array" aca="1" ref="F38" ca="1">_xlfn.XLOOKUP(Table11[[#This Row],[Admin2PCODE]], tblPiNAnalysis[Admin2PCODE], INDIRECT("tblPiNAnalysis[" &amp; Table11[[#Headers],[SAMV]] &amp; "]"), "NOT FOUND", 0, 1)</f>
        <v>6484</v>
      </c>
      <c r="G38" s="8" cm="1">
        <f t="array" aca="1" ref="G38" ca="1">_xlfn.XLOOKUP(Table11[[#This Row],[Admin2PCODE]], tblPiNAnalysis[Admin2PCODE], INDIRECT("tblPiNAnalysis[" &amp; Table11[[#Headers],[NUT]] &amp; "]"), "NOT FOUND", 0, 1)</f>
        <v>1249.4776991208244</v>
      </c>
      <c r="H38" s="8" cm="1">
        <f t="array" aca="1" ref="H38" ca="1">_xlfn.XLOOKUP(Table11[[#This Row],[Admin2PCODE]], tblPiNAnalysis[Admin2PCODE], INDIRECT("tblPiNAnalysis[" &amp; Table11[[#Headers],[SAL]] &amp; "]"), "NOT FOUND", 0, 1)</f>
        <v>14200.325000000001</v>
      </c>
      <c r="I38" s="8" cm="1">
        <f t="array" aca="1" ref="I38" ca="1">_xlfn.XLOOKUP(Table11[[#This Row],[Admin2PCODE]], tblPiNAnalysis[Admin2PCODE], INDIRECT("tblPiNAnalysis[" &amp; Table11[[#Headers],[EDU]] &amp; "]"), "NOT FOUND", 0, 1)</f>
        <v>4182.1619709896941</v>
      </c>
      <c r="J38" s="8" cm="1">
        <f t="array" aca="1" ref="J38" ca="1">_xlfn.XLOOKUP(Table11[[#This Row],[Admin2PCODE]], tblPiNAnalysis[Admin2PCODE], INDIRECT("tblPiNAnalysis[" &amp; Table11[[#Headers],[PRO]] &amp; "]"), "NOT FOUND", 0, 1)</f>
        <v>4656.918103490163</v>
      </c>
      <c r="K38" s="8" cm="1">
        <f t="array" aca="1" ref="K38" ca="1">_xlfn.XLOOKUP(Table11[[#This Row],[Admin2PCODE]], tblPiNAnalysis[Admin2PCODE], INDIRECT("tblPiNAnalysis[" &amp; Table11[[#Headers],[ASH]] &amp; "]"), "NOT FOUND", 0, 1)</f>
        <v>0</v>
      </c>
      <c r="L38" s="8" cm="1">
        <f t="array" aca="1" ref="L38" ca="1">_xlfn.XLOOKUP(Table11[[#This Row],[Admin2PCODE]], tblPiNAnalysis[Admin2PCODE], INDIRECT("tblPiNAnalysis[" &amp; Table11[[#Headers],[NNA]] &amp; "]"), "NOT FOUND", 0, 1)</f>
        <v>1490.2137931168522</v>
      </c>
      <c r="M38" s="8" cm="1">
        <f t="array" aca="1" ref="M38" ca="1">_xlfn.XLOOKUP(Table11[[#This Row],[Admin2PCODE]], tblPiNAnalysis[Admin2PCODE], INDIRECT("tblPiNAnalysis[" &amp; Table11[[#Headers],[VBG]] &amp; "]"), "NOT FOUND", 0, 1)</f>
        <v>1629.9213362215569</v>
      </c>
      <c r="N38" s="8" cm="1">
        <f t="array" aca="1" ref="N38" ca="1">_xlfn.XLOOKUP(Table11[[#This Row],[Admin2PCODE]], tblPiNAnalysis[Admin2PCODE], INDIRECT("tblPiNAnalysis[" &amp; Table11[[#Headers],[PiN más alto]] &amp; "]"), "NOT FOUND", 0, 1)</f>
        <v>14200.325000000001</v>
      </c>
      <c r="O38" t="str" cm="1">
        <f t="array" aca="1" ref="O38" ca="1">_xlfn.XLOOKUP(Table11[[#This Row],[Admin2PCODE]], tblPiNAnalysis[Admin2PCODE], INDIRECT("tblPiNAnalysis[" &amp; Table11[[#Headers],[Sectores más altos]] &amp; "]"), "NOT FOUND", 0, 1)</f>
        <v>SAL</v>
      </c>
      <c r="P38" cm="1">
        <f t="array" ref="P38">_xlfn.XLOOKUP(Table11[[#This Row],[Admin2PCODE]], tblPiNAnalysis[Admin2PCODE], tblPiNAnalysis[Severidad], "NOT FOUND", 0, 1)</f>
        <v>2</v>
      </c>
      <c r="Q38" s="318">
        <v>0</v>
      </c>
      <c r="R38" s="318">
        <v>0</v>
      </c>
      <c r="S38" s="318">
        <v>0</v>
      </c>
      <c r="T38">
        <v>1</v>
      </c>
      <c r="W38">
        <f>_xlfn.XLOOKUP(Table11[[#This Row],[Admin2PCODE]],tblSeverityAnalysis[Admin 2 Código P],tblSeverityAnalysis[PRO],0,0)</f>
        <v>2</v>
      </c>
      <c r="Y38">
        <v>9</v>
      </c>
      <c r="Z38">
        <v>0</v>
      </c>
      <c r="AA38">
        <f t="shared" si="0"/>
        <v>0</v>
      </c>
    </row>
    <row r="39" spans="1:27">
      <c r="A39" t="s">
        <v>123</v>
      </c>
      <c r="B39" t="s">
        <v>179</v>
      </c>
      <c r="C39" s="42" t="s">
        <v>182</v>
      </c>
      <c r="D39" t="s">
        <v>183</v>
      </c>
      <c r="E39" s="8" cm="1">
        <f t="array" aca="1" ref="E39" ca="1">_xlfn.XLOOKUP(Table11[[#This Row],[Admin2PCODE]], tblPiNAnalysis[Admin2PCODE], INDIRECT("tblPiNAnalysis[" &amp; Table11[[#Headers],[Población]] &amp; "]"), "NOT FOUND", 0, 1)</f>
        <v>16999</v>
      </c>
      <c r="F39" s="8" cm="1">
        <f t="array" aca="1" ref="F39" ca="1">_xlfn.XLOOKUP(Table11[[#This Row],[Admin2PCODE]], tblPiNAnalysis[Admin2PCODE], INDIRECT("tblPiNAnalysis[" &amp; Table11[[#Headers],[SAMV]] &amp; "]"), "NOT FOUND", 0, 1)</f>
        <v>3542</v>
      </c>
      <c r="G39" s="8" cm="1">
        <f t="array" aca="1" ref="G39" ca="1">_xlfn.XLOOKUP(Table11[[#This Row],[Admin2PCODE]], tblPiNAnalysis[Admin2PCODE], INDIRECT("tblPiNAnalysis[" &amp; Table11[[#Headers],[NUT]] &amp; "]"), "NOT FOUND", 0, 1)</f>
        <v>522.29015376917062</v>
      </c>
      <c r="H39" s="8" cm="1">
        <f t="array" aca="1" ref="H39" ca="1">_xlfn.XLOOKUP(Table11[[#This Row],[Admin2PCODE]], tblPiNAnalysis[Admin2PCODE], INDIRECT("tblPiNAnalysis[" &amp; Table11[[#Headers],[SAL]] &amp; "]"), "NOT FOUND", 0, 1)</f>
        <v>6204.6350000000002</v>
      </c>
      <c r="I39" s="8" cm="1">
        <f t="array" aca="1" ref="I39" ca="1">_xlfn.XLOOKUP(Table11[[#This Row],[Admin2PCODE]], tblPiNAnalysis[Admin2PCODE], INDIRECT("tblPiNAnalysis[" &amp; Table11[[#Headers],[EDU]] &amp; "]"), "NOT FOUND", 0, 1)</f>
        <v>1568.0794749023617</v>
      </c>
      <c r="J39" s="8" cm="1">
        <f t="array" aca="1" ref="J39" ca="1">_xlfn.XLOOKUP(Table11[[#This Row],[Admin2PCODE]], tblPiNAnalysis[Admin2PCODE], INDIRECT("tblPiNAnalysis[" &amp; Table11[[#Headers],[PRO]] &amp; "]"), "NOT FOUND", 0, 1)</f>
        <v>2034.7757573892627</v>
      </c>
      <c r="K39" s="8" cm="1">
        <f t="array" aca="1" ref="K39" ca="1">_xlfn.XLOOKUP(Table11[[#This Row],[Admin2PCODE]], tblPiNAnalysis[Admin2PCODE], INDIRECT("tblPiNAnalysis[" &amp; Table11[[#Headers],[ASH]] &amp; "]"), "NOT FOUND", 0, 1)</f>
        <v>0</v>
      </c>
      <c r="L39" s="8" cm="1">
        <f t="array" aca="1" ref="L39" ca="1">_xlfn.XLOOKUP(Table11[[#This Row],[Admin2PCODE]], tblPiNAnalysis[Admin2PCODE], INDIRECT("tblPiNAnalysis[" &amp; Table11[[#Headers],[NNA]] &amp; "]"), "NOT FOUND", 0, 1)</f>
        <v>651.12824236456413</v>
      </c>
      <c r="M39" s="8" cm="1">
        <f t="array" aca="1" ref="M39" ca="1">_xlfn.XLOOKUP(Table11[[#This Row],[Admin2PCODE]], tblPiNAnalysis[Admin2PCODE], INDIRECT("tblPiNAnalysis[" &amp; Table11[[#Headers],[VBG]] &amp; "]"), "NOT FOUND", 0, 1)</f>
        <v>712.17151508624181</v>
      </c>
      <c r="N39" s="8" cm="1">
        <f t="array" aca="1" ref="N39" ca="1">_xlfn.XLOOKUP(Table11[[#This Row],[Admin2PCODE]], tblPiNAnalysis[Admin2PCODE], INDIRECT("tblPiNAnalysis[" &amp; Table11[[#Headers],[PiN más alto]] &amp; "]"), "NOT FOUND", 0, 1)</f>
        <v>6204.6350000000002</v>
      </c>
      <c r="O39" t="str" cm="1">
        <f t="array" aca="1" ref="O39" ca="1">_xlfn.XLOOKUP(Table11[[#This Row],[Admin2PCODE]], tblPiNAnalysis[Admin2PCODE], INDIRECT("tblPiNAnalysis[" &amp; Table11[[#Headers],[Sectores más altos]] &amp; "]"), "NOT FOUND", 0, 1)</f>
        <v>SAL</v>
      </c>
      <c r="P39" cm="1">
        <f t="array" ref="P39">_xlfn.XLOOKUP(Table11[[#This Row],[Admin2PCODE]], tblPiNAnalysis[Admin2PCODE], tblPiNAnalysis[Severidad], "NOT FOUND", 0, 1)</f>
        <v>2</v>
      </c>
      <c r="Q39" s="318">
        <v>0</v>
      </c>
      <c r="R39" s="318">
        <v>0</v>
      </c>
      <c r="S39" s="318">
        <v>0</v>
      </c>
      <c r="T39">
        <v>0</v>
      </c>
      <c r="W39">
        <f>_xlfn.XLOOKUP(Table11[[#This Row],[Admin2PCODE]],tblSeverityAnalysis[Admin 2 Código P],tblSeverityAnalysis[PRO],0,0)</f>
        <v>2</v>
      </c>
      <c r="Y39">
        <v>0</v>
      </c>
      <c r="Z39">
        <v>0</v>
      </c>
      <c r="AA39">
        <f t="shared" si="0"/>
        <v>0</v>
      </c>
    </row>
    <row r="40" spans="1:27">
      <c r="A40" t="s">
        <v>123</v>
      </c>
      <c r="B40" t="s">
        <v>179</v>
      </c>
      <c r="C40" s="42" t="s">
        <v>184</v>
      </c>
      <c r="D40" t="s">
        <v>185</v>
      </c>
      <c r="E40" s="8" cm="1">
        <f t="array" aca="1" ref="E40" ca="1">_xlfn.XLOOKUP(Table11[[#This Row],[Admin2PCODE]], tblPiNAnalysis[Admin2PCODE], INDIRECT("tblPiNAnalysis[" &amp; Table11[[#Headers],[Población]] &amp; "]"), "NOT FOUND", 0, 1)</f>
        <v>416302</v>
      </c>
      <c r="F40" s="8" cm="1">
        <f t="array" aca="1" ref="F40" ca="1">_xlfn.XLOOKUP(Table11[[#This Row],[Admin2PCODE]], tblPiNAnalysis[Admin2PCODE], INDIRECT("tblPiNAnalysis[" &amp; Table11[[#Headers],[SAMV]] &amp; "]"), "NOT FOUND", 0, 1)</f>
        <v>54084</v>
      </c>
      <c r="G40" s="8" cm="1">
        <f t="array" aca="1" ref="G40" ca="1">_xlfn.XLOOKUP(Table11[[#This Row],[Admin2PCODE]], tblPiNAnalysis[Admin2PCODE], INDIRECT("tblPiNAnalysis[" &amp; Table11[[#Headers],[NUT]] &amp; "]"), "NOT FOUND", 0, 1)</f>
        <v>16279.187688197813</v>
      </c>
      <c r="H40" s="8" cm="1">
        <f t="array" aca="1" ref="H40" ca="1">_xlfn.XLOOKUP(Table11[[#This Row],[Admin2PCODE]], tblPiNAnalysis[Admin2PCODE], INDIRECT("tblPiNAnalysis[" &amp; Table11[[#Headers],[SAL]] &amp; "]"), "NOT FOUND", 0, 1)</f>
        <v>151950.23000000001</v>
      </c>
      <c r="I40" s="8" cm="1">
        <f t="array" aca="1" ref="I40" ca="1">_xlfn.XLOOKUP(Table11[[#This Row],[Admin2PCODE]], tblPiNAnalysis[Admin2PCODE], INDIRECT("tblPiNAnalysis[" &amp; Table11[[#Headers],[EDU]] &amp; "]"), "NOT FOUND", 0, 1)</f>
        <v>52451.343098291385</v>
      </c>
      <c r="J40" s="8" cm="1">
        <f t="array" aca="1" ref="J40" ca="1">_xlfn.XLOOKUP(Table11[[#This Row],[Admin2PCODE]], tblPiNAnalysis[Admin2PCODE], INDIRECT("tblPiNAnalysis[" &amp; Table11[[#Headers],[PRO]] &amp; "]"), "NOT FOUND", 0, 1)</f>
        <v>83052.063587334997</v>
      </c>
      <c r="K40" s="8" cm="1">
        <f t="array" aca="1" ref="K40" ca="1">_xlfn.XLOOKUP(Table11[[#This Row],[Admin2PCODE]], tblPiNAnalysis[Admin2PCODE], INDIRECT("tblPiNAnalysis[" &amp; Table11[[#Headers],[ASH]] &amp; "]"), "NOT FOUND", 0, 1)</f>
        <v>0</v>
      </c>
      <c r="L40" s="8" cm="1">
        <f t="array" aca="1" ref="L40" ca="1">_xlfn.XLOOKUP(Table11[[#This Row],[Admin2PCODE]], tblPiNAnalysis[Admin2PCODE], INDIRECT("tblPiNAnalysis[" &amp; Table11[[#Headers],[NNA]] &amp; "]"), "NOT FOUND", 0, 1)</f>
        <v>26576.6603479472</v>
      </c>
      <c r="M40" s="8" cm="1">
        <f t="array" aca="1" ref="M40" ca="1">_xlfn.XLOOKUP(Table11[[#This Row],[Admin2PCODE]], tblPiNAnalysis[Admin2PCODE], INDIRECT("tblPiNAnalysis[" &amp; Table11[[#Headers],[VBG]] &amp; "]"), "NOT FOUND", 0, 1)</f>
        <v>29068.222255567242</v>
      </c>
      <c r="N40" s="8" cm="1">
        <f t="array" aca="1" ref="N40" ca="1">_xlfn.XLOOKUP(Table11[[#This Row],[Admin2PCODE]], tblPiNAnalysis[Admin2PCODE], INDIRECT("tblPiNAnalysis[" &amp; Table11[[#Headers],[PiN más alto]] &amp; "]"), "NOT FOUND", 0, 1)</f>
        <v>151950.23000000001</v>
      </c>
      <c r="O40" t="str" cm="1">
        <f t="array" aca="1" ref="O40" ca="1">_xlfn.XLOOKUP(Table11[[#This Row],[Admin2PCODE]], tblPiNAnalysis[Admin2PCODE], INDIRECT("tblPiNAnalysis[" &amp; Table11[[#Headers],[Sectores más altos]] &amp; "]"), "NOT FOUND", 0, 1)</f>
        <v>SAL</v>
      </c>
      <c r="P40" cm="1">
        <f t="array" ref="P40">_xlfn.XLOOKUP(Table11[[#This Row],[Admin2PCODE]], tblPiNAnalysis[Admin2PCODE], tblPiNAnalysis[Severidad], "NOT FOUND", 0, 1)</f>
        <v>2</v>
      </c>
      <c r="Q40" s="318">
        <v>7.3463268365817097E-2</v>
      </c>
      <c r="R40" s="318">
        <v>0.44444444444444431</v>
      </c>
      <c r="S40" s="318">
        <v>3.2650341495918701E-2</v>
      </c>
      <c r="T40">
        <v>0</v>
      </c>
      <c r="W40">
        <f>_xlfn.XLOOKUP(Table11[[#This Row],[Admin2PCODE]],tblSeverityAnalysis[Admin 2 Código P],tblSeverityAnalysis[PRO],0,0)</f>
        <v>3</v>
      </c>
      <c r="Y40">
        <v>0</v>
      </c>
      <c r="Z40">
        <v>0</v>
      </c>
      <c r="AA40">
        <f t="shared" si="0"/>
        <v>0</v>
      </c>
    </row>
    <row r="41" spans="1:27">
      <c r="A41" t="s">
        <v>123</v>
      </c>
      <c r="B41" t="s">
        <v>179</v>
      </c>
      <c r="C41" s="42" t="s">
        <v>817</v>
      </c>
      <c r="D41" t="s">
        <v>187</v>
      </c>
      <c r="E41" s="8" cm="1">
        <f t="array" aca="1" ref="E41" ca="1">_xlfn.XLOOKUP(Table11[[#This Row],[Admin2PCODE]], tblPiNAnalysis[Admin2PCODE], INDIRECT("tblPiNAnalysis[" &amp; Table11[[#Headers],[Población]] &amp; "]"), "NOT FOUND", 0, 1)</f>
        <v>33724</v>
      </c>
      <c r="F41" s="8" cm="1">
        <f t="array" aca="1" ref="F41" ca="1">_xlfn.XLOOKUP(Table11[[#This Row],[Admin2PCODE]], tblPiNAnalysis[Admin2PCODE], INDIRECT("tblPiNAnalysis[" &amp; Table11[[#Headers],[SAMV]] &amp; "]"), "NOT FOUND", 0, 1)</f>
        <v>3968</v>
      </c>
      <c r="G41" s="8" cm="1">
        <f t="array" aca="1" ref="G41" ca="1">_xlfn.XLOOKUP(Table11[[#This Row],[Admin2PCODE]], tblPiNAnalysis[Admin2PCODE], INDIRECT("tblPiNAnalysis[" &amp; Table11[[#Headers],[NUT]] &amp; "]"), "NOT FOUND", 0, 1)</f>
        <v>966.74603809951179</v>
      </c>
      <c r="H41" s="8" cm="1">
        <f t="array" aca="1" ref="H41" ca="1">_xlfn.XLOOKUP(Table11[[#This Row],[Admin2PCODE]], tblPiNAnalysis[Admin2PCODE], INDIRECT("tblPiNAnalysis[" &amp; Table11[[#Headers],[SAL]] &amp; "]"), "NOT FOUND", 0, 1)</f>
        <v>12309.26</v>
      </c>
      <c r="I41" s="8" cm="1">
        <f t="array" aca="1" ref="I41" ca="1">_xlfn.XLOOKUP(Table11[[#This Row],[Admin2PCODE]], tblPiNAnalysis[Admin2PCODE], INDIRECT("tblPiNAnalysis[" &amp; Table11[[#Headers],[EDU]] &amp; "]"), "NOT FOUND", 0, 1)</f>
        <v>4566.0120189277332</v>
      </c>
      <c r="J41" s="8" cm="1">
        <f t="array" aca="1" ref="J41" ca="1">_xlfn.XLOOKUP(Table11[[#This Row],[Admin2PCODE]], tblPiNAnalysis[Admin2PCODE], INDIRECT("tblPiNAnalysis[" &amp; Table11[[#Headers],[PRO]] &amp; "]"), "NOT FOUND", 0, 1)</f>
        <v>6727.9229799983796</v>
      </c>
      <c r="K41" s="8" cm="1">
        <f t="array" aca="1" ref="K41" ca="1">_xlfn.XLOOKUP(Table11[[#This Row],[Admin2PCODE]], tblPiNAnalysis[Admin2PCODE], INDIRECT("tblPiNAnalysis[" &amp; Table11[[#Headers],[ASH]] &amp; "]"), "NOT FOUND", 0, 1)</f>
        <v>2276.37</v>
      </c>
      <c r="L41" s="8" cm="1">
        <f t="array" aca="1" ref="L41" ca="1">_xlfn.XLOOKUP(Table11[[#This Row],[Admin2PCODE]], tblPiNAnalysis[Admin2PCODE], INDIRECT("tblPiNAnalysis[" &amp; Table11[[#Headers],[NNA]] &amp; "]"), "NOT FOUND", 0, 1)</f>
        <v>2159.6632765794802</v>
      </c>
      <c r="M41" s="8" cm="1">
        <f t="array" aca="1" ref="M41" ca="1">_xlfn.XLOOKUP(Table11[[#This Row],[Admin2PCODE]], tblPiNAnalysis[Admin2PCODE], INDIRECT("tblPiNAnalysis[" &amp; Table11[[#Headers],[VBG]] &amp; "]"), "NOT FOUND", 0, 1)</f>
        <v>2354.7730429994326</v>
      </c>
      <c r="N41" s="8" cm="1">
        <f t="array" aca="1" ref="N41" ca="1">_xlfn.XLOOKUP(Table11[[#This Row],[Admin2PCODE]], tblPiNAnalysis[Admin2PCODE], INDIRECT("tblPiNAnalysis[" &amp; Table11[[#Headers],[PiN más alto]] &amp; "]"), "NOT FOUND", 0, 1)</f>
        <v>12309.26</v>
      </c>
      <c r="O41" t="str" cm="1">
        <f t="array" aca="1" ref="O41" ca="1">_xlfn.XLOOKUP(Table11[[#This Row],[Admin2PCODE]], tblPiNAnalysis[Admin2PCODE], INDIRECT("tblPiNAnalysis[" &amp; Table11[[#Headers],[Sectores más altos]] &amp; "]"), "NOT FOUND", 0, 1)</f>
        <v>SAL</v>
      </c>
      <c r="P41" cm="1">
        <f t="array" ref="P41">_xlfn.XLOOKUP(Table11[[#This Row],[Admin2PCODE]], tblPiNAnalysis[Admin2PCODE], tblPiNAnalysis[Severidad], "NOT FOUND", 0, 1)</f>
        <v>3</v>
      </c>
      <c r="Q41" s="318">
        <v>0.14814814814814814</v>
      </c>
      <c r="R41" s="318">
        <v>0.54861111111111094</v>
      </c>
      <c r="S41" s="318">
        <v>8.1275720164609017E-2</v>
      </c>
      <c r="T41">
        <v>0</v>
      </c>
      <c r="W41">
        <f>_xlfn.XLOOKUP(Table11[[#This Row],[Admin2PCODE]],tblSeverityAnalysis[Admin 2 Código P],tblSeverityAnalysis[PRO],0,0)</f>
        <v>3</v>
      </c>
      <c r="Y41">
        <v>0</v>
      </c>
      <c r="Z41">
        <v>0</v>
      </c>
      <c r="AA41">
        <f t="shared" si="0"/>
        <v>0</v>
      </c>
    </row>
    <row r="42" spans="1:27">
      <c r="A42" t="s">
        <v>123</v>
      </c>
      <c r="B42" t="s">
        <v>179</v>
      </c>
      <c r="C42" s="42" t="s">
        <v>188</v>
      </c>
      <c r="D42" t="s">
        <v>189</v>
      </c>
      <c r="E42" s="8" cm="1">
        <f t="array" aca="1" ref="E42" ca="1">_xlfn.XLOOKUP(Table11[[#This Row],[Admin2PCODE]], tblPiNAnalysis[Admin2PCODE], INDIRECT("tblPiNAnalysis[" &amp; Table11[[#Headers],[Población]] &amp; "]"), "NOT FOUND", 0, 1)</f>
        <v>146736</v>
      </c>
      <c r="F42" s="8" cm="1">
        <f t="array" aca="1" ref="F42" ca="1">_xlfn.XLOOKUP(Table11[[#This Row],[Admin2PCODE]], tblPiNAnalysis[Admin2PCODE], INDIRECT("tblPiNAnalysis[" &amp; Table11[[#Headers],[SAMV]] &amp; "]"), "NOT FOUND", 0, 1)</f>
        <v>22545</v>
      </c>
      <c r="G42" s="8" cm="1">
        <f t="array" aca="1" ref="G42" ca="1">_xlfn.XLOOKUP(Table11[[#This Row],[Admin2PCODE]], tblPiNAnalysis[Admin2PCODE], INDIRECT("tblPiNAnalysis[" &amp; Table11[[#Headers],[NUT]] &amp; "]"), "NOT FOUND", 0, 1)</f>
        <v>4518.0852922033991</v>
      </c>
      <c r="H42" s="8" cm="1">
        <f t="array" aca="1" ref="H42" ca="1">_xlfn.XLOOKUP(Table11[[#This Row],[Admin2PCODE]], tblPiNAnalysis[Admin2PCODE], INDIRECT("tblPiNAnalysis[" &amp; Table11[[#Headers],[SAL]] &amp; "]"), "NOT FOUND", 0, 1)</f>
        <v>53558.64</v>
      </c>
      <c r="I42" s="8" cm="1">
        <f t="array" aca="1" ref="I42" ca="1">_xlfn.XLOOKUP(Table11[[#This Row],[Admin2PCODE]], tblPiNAnalysis[Admin2PCODE], INDIRECT("tblPiNAnalysis[" &amp; Table11[[#Headers],[EDU]] &amp; "]"), "NOT FOUND", 0, 1)</f>
        <v>18542.705483909733</v>
      </c>
      <c r="J42" s="8" cm="1">
        <f t="array" aca="1" ref="J42" ca="1">_xlfn.XLOOKUP(Table11[[#This Row],[Admin2PCODE]], tblPiNAnalysis[Admin2PCODE], INDIRECT("tblPiNAnalysis[" &amp; Table11[[#Headers],[PRO]] &amp; "]"), "NOT FOUND", 0, 1)</f>
        <v>35128.519976030446</v>
      </c>
      <c r="K42" s="8" cm="1">
        <f t="array" aca="1" ref="K42" ca="1">_xlfn.XLOOKUP(Table11[[#This Row],[Admin2PCODE]], tblPiNAnalysis[Admin2PCODE], INDIRECT("tblPiNAnalysis[" &amp; Table11[[#Headers],[ASH]] &amp; "]"), "NOT FOUND", 0, 1)</f>
        <v>0</v>
      </c>
      <c r="L42" s="8" cm="1">
        <f t="array" aca="1" ref="L42" ca="1">_xlfn.XLOOKUP(Table11[[#This Row],[Admin2PCODE]], tblPiNAnalysis[Admin2PCODE], INDIRECT("tblPiNAnalysis[" &amp; Table11[[#Headers],[NNA]] &amp; "]"), "NOT FOUND", 0, 1)</f>
        <v>11276.254912305772</v>
      </c>
      <c r="M42" s="8" cm="1">
        <f t="array" aca="1" ref="M42" ca="1">_xlfn.XLOOKUP(Table11[[#This Row],[Admin2PCODE]], tblPiNAnalysis[Admin2PCODE], INDIRECT("tblPiNAnalysis[" &amp; Table11[[#Headers],[VBG]] &amp; "]"), "NOT FOUND", 0, 1)</f>
        <v>12294.981991610653</v>
      </c>
      <c r="N42" s="8" cm="1">
        <f t="array" aca="1" ref="N42" ca="1">_xlfn.XLOOKUP(Table11[[#This Row],[Admin2PCODE]], tblPiNAnalysis[Admin2PCODE], INDIRECT("tblPiNAnalysis[" &amp; Table11[[#Headers],[PiN más alto]] &amp; "]"), "NOT FOUND", 0, 1)</f>
        <v>53558.64</v>
      </c>
      <c r="O42" t="str" cm="1">
        <f t="array" aca="1" ref="O42" ca="1">_xlfn.XLOOKUP(Table11[[#This Row],[Admin2PCODE]], tblPiNAnalysis[Admin2PCODE], INDIRECT("tblPiNAnalysis[" &amp; Table11[[#Headers],[Sectores más altos]] &amp; "]"), "NOT FOUND", 0, 1)</f>
        <v>SAL</v>
      </c>
      <c r="P42" cm="1">
        <f t="array" ref="P42">_xlfn.XLOOKUP(Table11[[#This Row],[Admin2PCODE]], tblPiNAnalysis[Admin2PCODE], tblPiNAnalysis[Severidad], "NOT FOUND", 0, 1)</f>
        <v>2</v>
      </c>
      <c r="Q42" s="318">
        <v>0.16666666666666666</v>
      </c>
      <c r="R42" s="318">
        <v>0.42698412698412697</v>
      </c>
      <c r="S42" s="318">
        <v>7.1164021164021152E-2</v>
      </c>
      <c r="T42">
        <v>0</v>
      </c>
      <c r="W42">
        <f>_xlfn.XLOOKUP(Table11[[#This Row],[Admin2PCODE]],tblSeverityAnalysis[Admin 2 Código P],tblSeverityAnalysis[PRO],0,0)</f>
        <v>4</v>
      </c>
      <c r="Y42">
        <v>0</v>
      </c>
      <c r="Z42">
        <v>0</v>
      </c>
      <c r="AA42">
        <f t="shared" si="0"/>
        <v>0</v>
      </c>
    </row>
    <row r="43" spans="1:27">
      <c r="A43" t="s">
        <v>123</v>
      </c>
      <c r="B43" t="s">
        <v>179</v>
      </c>
      <c r="C43" s="42" t="s">
        <v>190</v>
      </c>
      <c r="D43" t="s">
        <v>191</v>
      </c>
      <c r="E43" s="8" cm="1">
        <f t="array" aca="1" ref="E43" ca="1">_xlfn.XLOOKUP(Table11[[#This Row],[Admin2PCODE]], tblPiNAnalysis[Admin2PCODE], INDIRECT("tblPiNAnalysis[" &amp; Table11[[#Headers],[Población]] &amp; "]"), "NOT FOUND", 0, 1)</f>
        <v>49897</v>
      </c>
      <c r="F43" s="8" cm="1">
        <f t="array" aca="1" ref="F43" ca="1">_xlfn.XLOOKUP(Table11[[#This Row],[Admin2PCODE]], tblPiNAnalysis[Admin2PCODE], INDIRECT("tblPiNAnalysis[" &amp; Table11[[#Headers],[SAMV]] &amp; "]"), "NOT FOUND", 0, 1)</f>
        <v>12096</v>
      </c>
      <c r="G43" s="8" cm="1">
        <f t="array" aca="1" ref="G43" ca="1">_xlfn.XLOOKUP(Table11[[#This Row],[Admin2PCODE]], tblPiNAnalysis[Admin2PCODE], INDIRECT("tblPiNAnalysis[" &amp; Table11[[#Headers],[NUT]] &amp; "]"), "NOT FOUND", 0, 1)</f>
        <v>1580.0448921920083</v>
      </c>
      <c r="H43" s="8" cm="1">
        <f t="array" aca="1" ref="H43" ca="1">_xlfn.XLOOKUP(Table11[[#This Row],[Admin2PCODE]], tblPiNAnalysis[Admin2PCODE], INDIRECT("tblPiNAnalysis[" &amp; Table11[[#Headers],[SAL]] &amp; "]"), "NOT FOUND", 0, 1)</f>
        <v>18212.404999999999</v>
      </c>
      <c r="I43" s="8" cm="1">
        <f t="array" aca="1" ref="I43" ca="1">_xlfn.XLOOKUP(Table11[[#This Row],[Admin2PCODE]], tblPiNAnalysis[Admin2PCODE], INDIRECT("tblPiNAnalysis[" &amp; Table11[[#Headers],[EDU]] &amp; "]"), "NOT FOUND", 0, 1)</f>
        <v>7090.1834771293461</v>
      </c>
      <c r="J43" s="8" cm="1">
        <f t="array" aca="1" ref="J43" ca="1">_xlfn.XLOOKUP(Table11[[#This Row],[Admin2PCODE]], tblPiNAnalysis[Admin2PCODE], INDIRECT("tblPiNAnalysis[" &amp; Table11[[#Headers],[PRO]] &amp; "]"), "NOT FOUND", 0, 1)</f>
        <v>9954.4292768645246</v>
      </c>
      <c r="K43" s="8" cm="1">
        <f t="array" aca="1" ref="K43" ca="1">_xlfn.XLOOKUP(Table11[[#This Row],[Admin2PCODE]], tblPiNAnalysis[Admin2PCODE], INDIRECT("tblPiNAnalysis[" &amp; Table11[[#Headers],[ASH]] &amp; "]"), "NOT FOUND", 0, 1)</f>
        <v>0</v>
      </c>
      <c r="L43" s="8" cm="1">
        <f t="array" aca="1" ref="L43" ca="1">_xlfn.XLOOKUP(Table11[[#This Row],[Admin2PCODE]], tblPiNAnalysis[Admin2PCODE], INDIRECT("tblPiNAnalysis[" &amp; Table11[[#Headers],[NNA]] &amp; "]"), "NOT FOUND", 0, 1)</f>
        <v>3195.3717978735122</v>
      </c>
      <c r="M43" s="8" cm="1">
        <f t="array" aca="1" ref="M43" ca="1">_xlfn.XLOOKUP(Table11[[#This Row],[Admin2PCODE]], tblPiNAnalysis[Admin2PCODE], INDIRECT("tblPiNAnalysis[" &amp; Table11[[#Headers],[VBG]] &amp; "]"), "NOT FOUND", 0, 1)</f>
        <v>3484.0502469025832</v>
      </c>
      <c r="N43" s="8" cm="1">
        <f t="array" aca="1" ref="N43" ca="1">_xlfn.XLOOKUP(Table11[[#This Row],[Admin2PCODE]], tblPiNAnalysis[Admin2PCODE], INDIRECT("tblPiNAnalysis[" &amp; Table11[[#Headers],[PiN más alto]] &amp; "]"), "NOT FOUND", 0, 1)</f>
        <v>18212.404999999999</v>
      </c>
      <c r="O43" t="str" cm="1">
        <f t="array" aca="1" ref="O43" ca="1">_xlfn.XLOOKUP(Table11[[#This Row],[Admin2PCODE]], tblPiNAnalysis[Admin2PCODE], INDIRECT("tblPiNAnalysis[" &amp; Table11[[#Headers],[Sectores más altos]] &amp; "]"), "NOT FOUND", 0, 1)</f>
        <v>SAL</v>
      </c>
      <c r="P43" cm="1">
        <f t="array" ref="P43">_xlfn.XLOOKUP(Table11[[#This Row],[Admin2PCODE]], tblPiNAnalysis[Admin2PCODE], tblPiNAnalysis[Severidad], "NOT FOUND", 0, 1)</f>
        <v>2</v>
      </c>
      <c r="Q43" s="318">
        <v>0</v>
      </c>
      <c r="R43" s="318">
        <v>0</v>
      </c>
      <c r="S43" s="318">
        <v>0</v>
      </c>
      <c r="T43">
        <v>0</v>
      </c>
      <c r="W43">
        <f>_xlfn.XLOOKUP(Table11[[#This Row],[Admin2PCODE]],tblSeverityAnalysis[Admin 2 Código P],tblSeverityAnalysis[PRO],0,0)</f>
        <v>3</v>
      </c>
      <c r="Y43">
        <v>9</v>
      </c>
      <c r="Z43">
        <v>0</v>
      </c>
      <c r="AA43">
        <f t="shared" si="0"/>
        <v>0</v>
      </c>
    </row>
    <row r="44" spans="1:27">
      <c r="A44" t="s">
        <v>123</v>
      </c>
      <c r="B44" t="s">
        <v>179</v>
      </c>
      <c r="C44" s="42" t="s">
        <v>100</v>
      </c>
      <c r="D44" t="s">
        <v>192</v>
      </c>
      <c r="E44" s="8" cm="1">
        <f t="array" aca="1" ref="E44" ca="1">_xlfn.XLOOKUP(Table11[[#This Row],[Admin2PCODE]], tblPiNAnalysis[Admin2PCODE], INDIRECT("tblPiNAnalysis[" &amp; Table11[[#Headers],[Población]] &amp; "]"), "NOT FOUND", 0, 1)</f>
        <v>116940</v>
      </c>
      <c r="F44" s="8" cm="1">
        <f t="array" aca="1" ref="F44" ca="1">_xlfn.XLOOKUP(Table11[[#This Row],[Admin2PCODE]], tblPiNAnalysis[Admin2PCODE], INDIRECT("tblPiNAnalysis[" &amp; Table11[[#Headers],[SAMV]] &amp; "]"), "NOT FOUND", 0, 1)</f>
        <v>3248</v>
      </c>
      <c r="G44" s="8" cm="1">
        <f t="array" aca="1" ref="G44" ca="1">_xlfn.XLOOKUP(Table11[[#This Row],[Admin2PCODE]], tblPiNAnalysis[Admin2PCODE], INDIRECT("tblPiNAnalysis[" &amp; Table11[[#Headers],[NUT]] &amp; "]"), "NOT FOUND", 0, 1)</f>
        <v>3566.8624968842641</v>
      </c>
      <c r="H44" s="8" cm="1">
        <f t="array" aca="1" ref="H44" ca="1">_xlfn.XLOOKUP(Table11[[#This Row],[Admin2PCODE]], tblPiNAnalysis[Admin2PCODE], INDIRECT("tblPiNAnalysis[" &amp; Table11[[#Headers],[SAL]] &amp; "]"), "NOT FOUND", 0, 1)</f>
        <v>42683.1</v>
      </c>
      <c r="I44" s="8" cm="1">
        <f t="array" aca="1" ref="I44" ca="1">_xlfn.XLOOKUP(Table11[[#This Row],[Admin2PCODE]], tblPiNAnalysis[Admin2PCODE], INDIRECT("tblPiNAnalysis[" &amp; Table11[[#Headers],[EDU]] &amp; "]"), "NOT FOUND", 0, 1)</f>
        <v>14318.871194062362</v>
      </c>
      <c r="J44" s="8" cm="1">
        <f t="array" aca="1" ref="J44" ca="1">_xlfn.XLOOKUP(Table11[[#This Row],[Admin2PCODE]], tblPiNAnalysis[Admin2PCODE], INDIRECT("tblPiNAnalysis[" &amp; Table11[[#Headers],[PRO]] &amp; "]"), "NOT FOUND", 0, 1)</f>
        <v>23329.477917240263</v>
      </c>
      <c r="K44" s="8" cm="1">
        <f t="array" aca="1" ref="K44" ca="1">_xlfn.XLOOKUP(Table11[[#This Row],[Admin2PCODE]], tblPiNAnalysis[Admin2PCODE], INDIRECT("tblPiNAnalysis[" &amp; Table11[[#Headers],[ASH]] &amp; "]"), "NOT FOUND", 0, 1)</f>
        <v>0</v>
      </c>
      <c r="L44" s="8" cm="1">
        <f t="array" aca="1" ref="L44" ca="1">_xlfn.XLOOKUP(Table11[[#This Row],[Admin2PCODE]], tblPiNAnalysis[Admin2PCODE], INDIRECT("tblPiNAnalysis[" &amp; Table11[[#Headers],[NNA]] &amp; "]"), "NOT FOUND", 0, 1)</f>
        <v>7488.7624114341252</v>
      </c>
      <c r="M44" s="8" cm="1">
        <f t="array" aca="1" ref="M44" ca="1">_xlfn.XLOOKUP(Table11[[#This Row],[Admin2PCODE]], tblPiNAnalysis[Admin2PCODE], INDIRECT("tblPiNAnalysis[" &amp; Table11[[#Headers],[VBG]] &amp; "]"), "NOT FOUND", 0, 1)</f>
        <v>8165.3172710340914</v>
      </c>
      <c r="N44" s="8" cm="1">
        <f t="array" aca="1" ref="N44" ca="1">_xlfn.XLOOKUP(Table11[[#This Row],[Admin2PCODE]], tblPiNAnalysis[Admin2PCODE], INDIRECT("tblPiNAnalysis[" &amp; Table11[[#Headers],[PiN más alto]] &amp; "]"), "NOT FOUND", 0, 1)</f>
        <v>42683.1</v>
      </c>
      <c r="O44" t="str" cm="1">
        <f t="array" aca="1" ref="O44" ca="1">_xlfn.XLOOKUP(Table11[[#This Row],[Admin2PCODE]], tblPiNAnalysis[Admin2PCODE], INDIRECT("tblPiNAnalysis[" &amp; Table11[[#Headers],[Sectores más altos]] &amp; "]"), "NOT FOUND", 0, 1)</f>
        <v>SAL</v>
      </c>
      <c r="P44" cm="1">
        <f t="array" ref="P44">_xlfn.XLOOKUP(Table11[[#This Row],[Admin2PCODE]], tblPiNAnalysis[Admin2PCODE], tblPiNAnalysis[Severidad], "NOT FOUND", 0, 1)</f>
        <v>2</v>
      </c>
      <c r="Q44" s="318">
        <v>2.8571428571428571E-2</v>
      </c>
      <c r="R44" s="318">
        <v>0.37777777777777771</v>
      </c>
      <c r="S44" s="318">
        <v>1.0793650793650791E-2</v>
      </c>
      <c r="T44">
        <v>0</v>
      </c>
      <c r="W44">
        <f>_xlfn.XLOOKUP(Table11[[#This Row],[Admin2PCODE]],tblSeverityAnalysis[Admin 2 Código P],tblSeverityAnalysis[PRO],0,0)</f>
        <v>3</v>
      </c>
      <c r="Y44">
        <v>0</v>
      </c>
      <c r="Z44">
        <v>0</v>
      </c>
      <c r="AA44">
        <f t="shared" si="0"/>
        <v>0</v>
      </c>
    </row>
    <row r="45" spans="1:27">
      <c r="A45" t="s">
        <v>123</v>
      </c>
      <c r="B45" t="s">
        <v>179</v>
      </c>
      <c r="C45" s="42" t="s">
        <v>193</v>
      </c>
      <c r="D45" t="s">
        <v>194</v>
      </c>
      <c r="E45" s="8" cm="1">
        <f t="array" aca="1" ref="E45" ca="1">_xlfn.XLOOKUP(Table11[[#This Row],[Admin2PCODE]], tblPiNAnalysis[Admin2PCODE], INDIRECT("tblPiNAnalysis[" &amp; Table11[[#Headers],[Población]] &amp; "]"), "NOT FOUND", 0, 1)</f>
        <v>102107</v>
      </c>
      <c r="F45" s="8" cm="1">
        <f t="array" aca="1" ref="F45" ca="1">_xlfn.XLOOKUP(Table11[[#This Row],[Admin2PCODE]], tblPiNAnalysis[Admin2PCODE], INDIRECT("tblPiNAnalysis[" &amp; Table11[[#Headers],[SAMV]] &amp; "]"), "NOT FOUND", 0, 1)</f>
        <v>13537</v>
      </c>
      <c r="G45" s="8" cm="1">
        <f t="array" aca="1" ref="G45" ca="1">_xlfn.XLOOKUP(Table11[[#This Row],[Admin2PCODE]], tblPiNAnalysis[Admin2PCODE], INDIRECT("tblPiNAnalysis[" &amp; Table11[[#Headers],[NUT]] &amp; "]"), "NOT FOUND", 0, 1)</f>
        <v>2608.6612726427111</v>
      </c>
      <c r="H45" s="8" cm="1">
        <f t="array" aca="1" ref="H45" ca="1">_xlfn.XLOOKUP(Table11[[#This Row],[Admin2PCODE]], tblPiNAnalysis[Admin2PCODE], INDIRECT("tblPiNAnalysis[" &amp; Table11[[#Headers],[SAL]] &amp; "]"), "NOT FOUND", 0, 1)</f>
        <v>37269.055</v>
      </c>
      <c r="I45" s="8" cm="1">
        <f t="array" aca="1" ref="I45" ca="1">_xlfn.XLOOKUP(Table11[[#This Row],[Admin2PCODE]], tblPiNAnalysis[Admin2PCODE], INDIRECT("tblPiNAnalysis[" &amp; Table11[[#Headers],[EDU]] &amp; "]"), "NOT FOUND", 0, 1)</f>
        <v>16255.918839023729</v>
      </c>
      <c r="J45" s="8" cm="1">
        <f t="array" aca="1" ref="J45" ca="1">_xlfn.XLOOKUP(Table11[[#This Row],[Admin2PCODE]], tblPiNAnalysis[Admin2PCODE], INDIRECT("tblPiNAnalysis[" &amp; Table11[[#Headers],[PRO]] &amp; "]"), "NOT FOUND", 0, 1)</f>
        <v>20370.301023564662</v>
      </c>
      <c r="K45" s="8" cm="1">
        <f t="array" aca="1" ref="K45" ca="1">_xlfn.XLOOKUP(Table11[[#This Row],[Admin2PCODE]], tblPiNAnalysis[Admin2PCODE], INDIRECT("tblPiNAnalysis[" &amp; Table11[[#Headers],[ASH]] &amp; "]"), "NOT FOUND", 0, 1)</f>
        <v>0</v>
      </c>
      <c r="L45" s="8" cm="1">
        <f t="array" aca="1" ref="L45" ca="1">_xlfn.XLOOKUP(Table11[[#This Row],[Admin2PCODE]], tblPiNAnalysis[Admin2PCODE], INDIRECT("tblPiNAnalysis[" &amp; Table11[[#Headers],[NNA]] &amp; "]"), "NOT FOUND", 0, 1)</f>
        <v>6518.4963275406917</v>
      </c>
      <c r="M45" s="8" cm="1">
        <f t="array" aca="1" ref="M45" ca="1">_xlfn.XLOOKUP(Table11[[#This Row],[Admin2PCODE]], tblPiNAnalysis[Admin2PCODE], INDIRECT("tblPiNAnalysis[" &amp; Table11[[#Headers],[VBG]] &amp; "]"), "NOT FOUND", 0, 1)</f>
        <v>7129.6053582476316</v>
      </c>
      <c r="N45" s="8" cm="1">
        <f t="array" aca="1" ref="N45" ca="1">_xlfn.XLOOKUP(Table11[[#This Row],[Admin2PCODE]], tblPiNAnalysis[Admin2PCODE], INDIRECT("tblPiNAnalysis[" &amp; Table11[[#Headers],[PiN más alto]] &amp; "]"), "NOT FOUND", 0, 1)</f>
        <v>37269.055</v>
      </c>
      <c r="O45" t="str" cm="1">
        <f t="array" aca="1" ref="O45" ca="1">_xlfn.XLOOKUP(Table11[[#This Row],[Admin2PCODE]], tblPiNAnalysis[Admin2PCODE], INDIRECT("tblPiNAnalysis[" &amp; Table11[[#Headers],[Sectores más altos]] &amp; "]"), "NOT FOUND", 0, 1)</f>
        <v>SAL</v>
      </c>
      <c r="P45" cm="1">
        <f t="array" ref="P45">_xlfn.XLOOKUP(Table11[[#This Row],[Admin2PCODE]], tblPiNAnalysis[Admin2PCODE], tblPiNAnalysis[Severidad], "NOT FOUND", 0, 1)</f>
        <v>3</v>
      </c>
      <c r="Q45" s="318">
        <v>6.8322981366459631E-2</v>
      </c>
      <c r="R45" s="318">
        <v>0.4747474747474747</v>
      </c>
      <c r="S45" s="318">
        <v>3.243616287094548E-2</v>
      </c>
      <c r="T45">
        <v>0</v>
      </c>
      <c r="W45">
        <f>_xlfn.XLOOKUP(Table11[[#This Row],[Admin2PCODE]],tblSeverityAnalysis[Admin 2 Código P],tblSeverityAnalysis[PRO],0,0)</f>
        <v>3</v>
      </c>
      <c r="Y45">
        <v>8</v>
      </c>
      <c r="Z45">
        <v>0</v>
      </c>
      <c r="AA45">
        <f t="shared" si="0"/>
        <v>0</v>
      </c>
    </row>
    <row r="46" spans="1:27">
      <c r="A46" t="s">
        <v>123</v>
      </c>
      <c r="B46" t="s">
        <v>179</v>
      </c>
      <c r="C46" s="42" t="s">
        <v>195</v>
      </c>
      <c r="D46" t="s">
        <v>196</v>
      </c>
      <c r="E46" s="8" cm="1">
        <f t="array" aca="1" ref="E46" ca="1">_xlfn.XLOOKUP(Table11[[#This Row],[Admin2PCODE]], tblPiNAnalysis[Admin2PCODE], INDIRECT("tblPiNAnalysis[" &amp; Table11[[#Headers],[Población]] &amp; "]"), "NOT FOUND", 0, 1)</f>
        <v>26118</v>
      </c>
      <c r="F46" s="8" cm="1">
        <f t="array" aca="1" ref="F46" ca="1">_xlfn.XLOOKUP(Table11[[#This Row],[Admin2PCODE]], tblPiNAnalysis[Admin2PCODE], INDIRECT("tblPiNAnalysis[" &amp; Table11[[#Headers],[SAMV]] &amp; "]"), "NOT FOUND", 0, 1)</f>
        <v>9711</v>
      </c>
      <c r="G46" s="8" cm="1">
        <f t="array" aca="1" ref="G46" ca="1">_xlfn.XLOOKUP(Table11[[#This Row],[Admin2PCODE]], tblPiNAnalysis[Admin2PCODE], INDIRECT("tblPiNAnalysis[" &amp; Table11[[#Headers],[NUT]] &amp; "]"), "NOT FOUND", 0, 1)</f>
        <v>859.46539019577131</v>
      </c>
      <c r="H46" s="8" cm="1">
        <f t="array" aca="1" ref="H46" ca="1">_xlfn.XLOOKUP(Table11[[#This Row],[Admin2PCODE]], tblPiNAnalysis[Admin2PCODE], INDIRECT("tblPiNAnalysis[" &amp; Table11[[#Headers],[SAL]] &amp; "]"), "NOT FOUND", 0, 1)</f>
        <v>11100</v>
      </c>
      <c r="I46" s="8" cm="1">
        <f t="array" aca="1" ref="I46" ca="1">_xlfn.XLOOKUP(Table11[[#This Row],[Admin2PCODE]], tblPiNAnalysis[Admin2PCODE], INDIRECT("tblPiNAnalysis[" &amp; Table11[[#Headers],[EDU]] &amp; "]"), "NOT FOUND", 0, 1)</f>
        <v>2510.9409208820671</v>
      </c>
      <c r="J46" s="8" cm="1">
        <f t="array" aca="1" ref="J46" ca="1">_xlfn.XLOOKUP(Table11[[#This Row],[Admin2PCODE]], tblPiNAnalysis[Admin2PCODE], INDIRECT("tblPiNAnalysis[" &amp; Table11[[#Headers],[PRO]] &amp; "]"), "NOT FOUND", 0, 1)</f>
        <v>5210.5293675601251</v>
      </c>
      <c r="K46" s="8" cm="1">
        <f t="array" aca="1" ref="K46" ca="1">_xlfn.XLOOKUP(Table11[[#This Row],[Admin2PCODE]], tblPiNAnalysis[Admin2PCODE], INDIRECT("tblPiNAnalysis[" &amp; Table11[[#Headers],[ASH]] &amp; "]"), "NOT FOUND", 0, 1)</f>
        <v>0</v>
      </c>
      <c r="L46" s="8" cm="1">
        <f t="array" aca="1" ref="L46" ca="1">_xlfn.XLOOKUP(Table11[[#This Row],[Admin2PCODE]], tblPiNAnalysis[Admin2PCODE], INDIRECT("tblPiNAnalysis[" &amp; Table11[[#Headers],[NNA]] &amp; "]"), "NOT FOUND", 0, 1)</f>
        <v>1667.3693976192399</v>
      </c>
      <c r="M46" s="8" cm="1">
        <f t="array" aca="1" ref="M46" ca="1">_xlfn.XLOOKUP(Table11[[#This Row],[Admin2PCODE]], tblPiNAnalysis[Admin2PCODE], INDIRECT("tblPiNAnalysis[" &amp; Table11[[#Headers],[VBG]] &amp; "]"), "NOT FOUND", 0, 1)</f>
        <v>1823.6852786460433</v>
      </c>
      <c r="N46" s="8" cm="1">
        <f t="array" aca="1" ref="N46" ca="1">_xlfn.XLOOKUP(Table11[[#This Row],[Admin2PCODE]], tblPiNAnalysis[Admin2PCODE], INDIRECT("tblPiNAnalysis[" &amp; Table11[[#Headers],[PiN más alto]] &amp; "]"), "NOT FOUND", 0, 1)</f>
        <v>11100</v>
      </c>
      <c r="O46" t="str" cm="1">
        <f t="array" aca="1" ref="O46" ca="1">_xlfn.XLOOKUP(Table11[[#This Row],[Admin2PCODE]], tblPiNAnalysis[Admin2PCODE], INDIRECT("tblPiNAnalysis[" &amp; Table11[[#Headers],[Sectores más altos]] &amp; "]"), "NOT FOUND", 0, 1)</f>
        <v>SAL</v>
      </c>
      <c r="P46" cm="1">
        <f t="array" ref="P46">_xlfn.XLOOKUP(Table11[[#This Row],[Admin2PCODE]], tblPiNAnalysis[Admin2PCODE], tblPiNAnalysis[Severidad], "NOT FOUND", 0, 1)</f>
        <v>3</v>
      </c>
      <c r="Q46" s="318">
        <v>0</v>
      </c>
      <c r="R46" s="318">
        <v>0</v>
      </c>
      <c r="S46" s="318">
        <v>0</v>
      </c>
      <c r="T46">
        <v>1</v>
      </c>
      <c r="W46">
        <f>_xlfn.XLOOKUP(Table11[[#This Row],[Admin2PCODE]],tblSeverityAnalysis[Admin 2 Código P],tblSeverityAnalysis[PRO],0,0)</f>
        <v>3</v>
      </c>
      <c r="Y46">
        <v>8</v>
      </c>
      <c r="Z46">
        <v>0</v>
      </c>
      <c r="AA46">
        <f t="shared" si="0"/>
        <v>0</v>
      </c>
    </row>
    <row r="47" spans="1:27">
      <c r="A47" t="s">
        <v>123</v>
      </c>
      <c r="B47" t="s">
        <v>179</v>
      </c>
      <c r="C47" s="42" t="s">
        <v>197</v>
      </c>
      <c r="D47" t="s">
        <v>198</v>
      </c>
      <c r="E47" s="8" cm="1">
        <f t="array" aca="1" ref="E47" ca="1">_xlfn.XLOOKUP(Table11[[#This Row],[Admin2PCODE]], tblPiNAnalysis[Admin2PCODE], INDIRECT("tblPiNAnalysis[" &amp; Table11[[#Headers],[Población]] &amp; "]"), "NOT FOUND", 0, 1)</f>
        <v>23807</v>
      </c>
      <c r="F47" s="8" cm="1">
        <f t="array" aca="1" ref="F47" ca="1">_xlfn.XLOOKUP(Table11[[#This Row],[Admin2PCODE]], tblPiNAnalysis[Admin2PCODE], INDIRECT("tblPiNAnalysis[" &amp; Table11[[#Headers],[SAMV]] &amp; "]"), "NOT FOUND", 0, 1)</f>
        <v>5411</v>
      </c>
      <c r="G47" s="8" cm="1">
        <f t="array" aca="1" ref="G47" ca="1">_xlfn.XLOOKUP(Table11[[#This Row],[Admin2PCODE]], tblPiNAnalysis[Admin2PCODE], INDIRECT("tblPiNAnalysis[" &amp; Table11[[#Headers],[NUT]] &amp; "]"), "NOT FOUND", 0, 1)</f>
        <v>562.20911516388162</v>
      </c>
      <c r="H47" s="8" cm="1">
        <f t="array" aca="1" ref="H47" ca="1">_xlfn.XLOOKUP(Table11[[#This Row],[Admin2PCODE]], tblPiNAnalysis[Admin2PCODE], INDIRECT("tblPiNAnalysis[" &amp; Table11[[#Headers],[SAL]] &amp; "]"), "NOT FOUND", 0, 1)</f>
        <v>8689.5550000000003</v>
      </c>
      <c r="I47" s="8" cm="1">
        <f t="array" aca="1" ref="I47" ca="1">_xlfn.XLOOKUP(Table11[[#This Row],[Admin2PCODE]], tblPiNAnalysis[Admin2PCODE], INDIRECT("tblPiNAnalysis[" &amp; Table11[[#Headers],[EDU]] &amp; "]"), "NOT FOUND", 0, 1)</f>
        <v>2414.0083062227773</v>
      </c>
      <c r="J47" s="8" cm="1">
        <f t="array" aca="1" ref="J47" ca="1">_xlfn.XLOOKUP(Table11[[#This Row],[Admin2PCODE]], tblPiNAnalysis[Admin2PCODE], INDIRECT("tblPiNAnalysis[" &amp; Table11[[#Headers],[PRO]] &amp; "]"), "NOT FOUND", 0, 1)</f>
        <v>4749.4858968337521</v>
      </c>
      <c r="K47" s="8" cm="1">
        <f t="array" aca="1" ref="K47" ca="1">_xlfn.XLOOKUP(Table11[[#This Row],[Admin2PCODE]], tblPiNAnalysis[Admin2PCODE], INDIRECT("tblPiNAnalysis[" &amp; Table11[[#Headers],[ASH]] &amp; "]"), "NOT FOUND", 0, 1)</f>
        <v>14284.199999999999</v>
      </c>
      <c r="L47" s="8" cm="1">
        <f t="array" aca="1" ref="L47" ca="1">_xlfn.XLOOKUP(Table11[[#This Row],[Admin2PCODE]], tblPiNAnalysis[Admin2PCODE], INDIRECT("tblPiNAnalysis[" &amp; Table11[[#Headers],[NNA]] &amp; "]"), "NOT FOUND", 0, 1)</f>
        <v>1524.5849728836345</v>
      </c>
      <c r="M47" s="8" cm="1">
        <f t="array" aca="1" ref="M47" ca="1">_xlfn.XLOOKUP(Table11[[#This Row],[Admin2PCODE]], tblPiNAnalysis[Admin2PCODE], INDIRECT("tblPiNAnalysis[" &amp; Table11[[#Headers],[VBG]] &amp; "]"), "NOT FOUND", 0, 1)</f>
        <v>1662.3200638918131</v>
      </c>
      <c r="N47" s="8" cm="1">
        <f t="array" aca="1" ref="N47" ca="1">_xlfn.XLOOKUP(Table11[[#This Row],[Admin2PCODE]], tblPiNAnalysis[Admin2PCODE], INDIRECT("tblPiNAnalysis[" &amp; Table11[[#Headers],[PiN más alto]] &amp; "]"), "NOT FOUND", 0, 1)</f>
        <v>14284.199999999999</v>
      </c>
      <c r="O47" t="str" cm="1">
        <f t="array" aca="1" ref="O47" ca="1">_xlfn.XLOOKUP(Table11[[#This Row],[Admin2PCODE]], tblPiNAnalysis[Admin2PCODE], INDIRECT("tblPiNAnalysis[" &amp; Table11[[#Headers],[Sectores más altos]] &amp; "]"), "NOT FOUND", 0, 1)</f>
        <v>ASH</v>
      </c>
      <c r="P47" cm="1">
        <f t="array" ref="P47">_xlfn.XLOOKUP(Table11[[#This Row],[Admin2PCODE]], tblPiNAnalysis[Admin2PCODE], tblPiNAnalysis[Severidad], "NOT FOUND", 0, 1)</f>
        <v>3</v>
      </c>
      <c r="Q47" s="318">
        <v>0</v>
      </c>
      <c r="R47" s="318">
        <v>0</v>
      </c>
      <c r="S47" s="318">
        <v>0</v>
      </c>
      <c r="T47">
        <v>0</v>
      </c>
      <c r="W47">
        <f>_xlfn.XLOOKUP(Table11[[#This Row],[Admin2PCODE]],tblSeverityAnalysis[Admin 2 Código P],tblSeverityAnalysis[PRO],0,0)</f>
        <v>3</v>
      </c>
      <c r="Y47">
        <v>0</v>
      </c>
      <c r="Z47">
        <v>0</v>
      </c>
      <c r="AA47">
        <f t="shared" si="0"/>
        <v>0</v>
      </c>
    </row>
    <row r="48" spans="1:27">
      <c r="A48" t="s">
        <v>123</v>
      </c>
      <c r="B48" t="s">
        <v>179</v>
      </c>
      <c r="C48" s="42" t="s">
        <v>199</v>
      </c>
      <c r="D48" t="s">
        <v>200</v>
      </c>
      <c r="E48" s="8" cm="1">
        <f t="array" aca="1" ref="E48" ca="1">_xlfn.XLOOKUP(Table11[[#This Row],[Admin2PCODE]], tblPiNAnalysis[Admin2PCODE], INDIRECT("tblPiNAnalysis[" &amp; Table11[[#Headers],[Población]] &amp; "]"), "NOT FOUND", 0, 1)</f>
        <v>215778</v>
      </c>
      <c r="F48" s="8" cm="1">
        <f t="array" aca="1" ref="F48" ca="1">_xlfn.XLOOKUP(Table11[[#This Row],[Admin2PCODE]], tblPiNAnalysis[Admin2PCODE], INDIRECT("tblPiNAnalysis[" &amp; Table11[[#Headers],[SAMV]] &amp; "]"), "NOT FOUND", 0, 1)</f>
        <v>38884</v>
      </c>
      <c r="G48" s="8" cm="1">
        <f t="array" aca="1" ref="G48" ca="1">_xlfn.XLOOKUP(Table11[[#This Row],[Admin2PCODE]], tblPiNAnalysis[Admin2PCODE], INDIRECT("tblPiNAnalysis[" &amp; Table11[[#Headers],[NUT]] &amp; "]"), "NOT FOUND", 0, 1)</f>
        <v>6392.629447164305</v>
      </c>
      <c r="H48" s="8" cm="1">
        <f t="array" aca="1" ref="H48" ca="1">_xlfn.XLOOKUP(Table11[[#This Row],[Admin2PCODE]], tblPiNAnalysis[Admin2PCODE], INDIRECT("tblPiNAnalysis[" &amp; Table11[[#Headers],[SAL]] &amp; "]"), "NOT FOUND", 0, 1)</f>
        <v>78758.97</v>
      </c>
      <c r="I48" s="8" cm="1">
        <f t="array" aca="1" ref="I48" ca="1">_xlfn.XLOOKUP(Table11[[#This Row],[Admin2PCODE]], tblPiNAnalysis[Admin2PCODE], INDIRECT("tblPiNAnalysis[" &amp; Table11[[#Headers],[EDU]] &amp; "]"), "NOT FOUND", 0, 1)</f>
        <v>30250.578094044064</v>
      </c>
      <c r="J48" s="8" cm="1">
        <f t="array" aca="1" ref="J48" ca="1">_xlfn.XLOOKUP(Table11[[#This Row],[Admin2PCODE]], tblPiNAnalysis[Admin2PCODE], INDIRECT("tblPiNAnalysis[" &amp; Table11[[#Headers],[PRO]] &amp; "]"), "NOT FOUND", 0, 1)</f>
        <v>43047.614896752777</v>
      </c>
      <c r="K48" s="8" cm="1">
        <f t="array" aca="1" ref="K48" ca="1">_xlfn.XLOOKUP(Table11[[#This Row],[Admin2PCODE]], tblPiNAnalysis[Admin2PCODE], INDIRECT("tblPiNAnalysis[" &amp; Table11[[#Headers],[ASH]] &amp; "]"), "NOT FOUND", 0, 1)</f>
        <v>0</v>
      </c>
      <c r="L48" s="8" cm="1">
        <f t="array" aca="1" ref="L48" ca="1">_xlfn.XLOOKUP(Table11[[#This Row],[Admin2PCODE]], tblPiNAnalysis[Admin2PCODE], INDIRECT("tblPiNAnalysis[" &amp; Table11[[#Headers],[NNA]] &amp; "]"), "NOT FOUND", 0, 1)</f>
        <v>13775.236766960888</v>
      </c>
      <c r="M48" s="8" cm="1">
        <f t="array" aca="1" ref="M48" ca="1">_xlfn.XLOOKUP(Table11[[#This Row],[Admin2PCODE]], tblPiNAnalysis[Admin2PCODE], INDIRECT("tblPiNAnalysis[" &amp; Table11[[#Headers],[VBG]] &amp; "]"), "NOT FOUND", 0, 1)</f>
        <v>15066.665213863471</v>
      </c>
      <c r="N48" s="8" cm="1">
        <f t="array" aca="1" ref="N48" ca="1">_xlfn.XLOOKUP(Table11[[#This Row],[Admin2PCODE]], tblPiNAnalysis[Admin2PCODE], INDIRECT("tblPiNAnalysis[" &amp; Table11[[#Headers],[PiN más alto]] &amp; "]"), "NOT FOUND", 0, 1)</f>
        <v>78758.97</v>
      </c>
      <c r="O48" t="str" cm="1">
        <f t="array" aca="1" ref="O48" ca="1">_xlfn.XLOOKUP(Table11[[#This Row],[Admin2PCODE]], tblPiNAnalysis[Admin2PCODE], INDIRECT("tblPiNAnalysis[" &amp; Table11[[#Headers],[Sectores más altos]] &amp; "]"), "NOT FOUND", 0, 1)</f>
        <v>SAL</v>
      </c>
      <c r="P48" cm="1">
        <f t="array" ref="P48">_xlfn.XLOOKUP(Table11[[#This Row],[Admin2PCODE]], tblPiNAnalysis[Admin2PCODE], tblPiNAnalysis[Severidad], "NOT FOUND", 0, 1)</f>
        <v>2</v>
      </c>
      <c r="Q48" s="318">
        <v>0.1962962962962963</v>
      </c>
      <c r="R48" s="318">
        <v>0.37316561844863733</v>
      </c>
      <c r="S48" s="318">
        <v>7.3251028806584365E-2</v>
      </c>
      <c r="T48">
        <v>0</v>
      </c>
      <c r="W48">
        <f>_xlfn.XLOOKUP(Table11[[#This Row],[Admin2PCODE]],tblSeverityAnalysis[Admin 2 Código P],tblSeverityAnalysis[PRO],0,0)</f>
        <v>3</v>
      </c>
      <c r="Y48">
        <v>0</v>
      </c>
      <c r="Z48">
        <v>0</v>
      </c>
      <c r="AA48">
        <f t="shared" si="0"/>
        <v>0</v>
      </c>
    </row>
    <row r="49" spans="1:27">
      <c r="A49" t="s">
        <v>123</v>
      </c>
      <c r="B49" t="s">
        <v>179</v>
      </c>
      <c r="C49" s="42" t="s">
        <v>201</v>
      </c>
      <c r="D49" t="s">
        <v>202</v>
      </c>
      <c r="E49" s="8" cm="1">
        <f t="array" aca="1" ref="E49" ca="1">_xlfn.XLOOKUP(Table11[[#This Row],[Admin2PCODE]], tblPiNAnalysis[Admin2PCODE], INDIRECT("tblPiNAnalysis[" &amp; Table11[[#Headers],[Población]] &amp; "]"), "NOT FOUND", 0, 1)</f>
        <v>39442</v>
      </c>
      <c r="F49" s="8" cm="1">
        <f t="array" aca="1" ref="F49" ca="1">_xlfn.XLOOKUP(Table11[[#This Row],[Admin2PCODE]], tblPiNAnalysis[Admin2PCODE], INDIRECT("tblPiNAnalysis[" &amp; Table11[[#Headers],[SAMV]] &amp; "]"), "NOT FOUND", 0, 1)</f>
        <v>6228</v>
      </c>
      <c r="G49" s="8" cm="1">
        <f t="array" aca="1" ref="G49" ca="1">_xlfn.XLOOKUP(Table11[[#This Row],[Admin2PCODE]], tblPiNAnalysis[Admin2PCODE], INDIRECT("tblPiNAnalysis[" &amp; Table11[[#Headers],[NUT]] &amp; "]"), "NOT FOUND", 0, 1)</f>
        <v>1259.4906836444238</v>
      </c>
      <c r="H49" s="8" cm="1">
        <f t="array" aca="1" ref="H49" ca="1">_xlfn.XLOOKUP(Table11[[#This Row],[Admin2PCODE]], tblPiNAnalysis[Admin2PCODE], INDIRECT("tblPiNAnalysis[" &amp; Table11[[#Headers],[SAL]] &amp; "]"), "NOT FOUND", 0, 1)</f>
        <v>14396.33</v>
      </c>
      <c r="I49" s="8" cm="1">
        <f t="array" aca="1" ref="I49" ca="1">_xlfn.XLOOKUP(Table11[[#This Row],[Admin2PCODE]], tblPiNAnalysis[Admin2PCODE], INDIRECT("tblPiNAnalysis[" &amp; Table11[[#Headers],[EDU]] &amp; "]"), "NOT FOUND", 0, 1)</f>
        <v>6225.9650139530877</v>
      </c>
      <c r="J49" s="8" cm="1">
        <f t="array" aca="1" ref="J49" ca="1">_xlfn.XLOOKUP(Table11[[#This Row],[Admin2PCODE]], tblPiNAnalysis[Admin2PCODE], INDIRECT("tblPiNAnalysis[" &amp; Table11[[#Headers],[PRO]] &amp; "]"), "NOT FOUND", 0, 1)</f>
        <v>7868.6614333144407</v>
      </c>
      <c r="K49" s="8" cm="1">
        <f t="array" aca="1" ref="K49" ca="1">_xlfn.XLOOKUP(Table11[[#This Row],[Admin2PCODE]], tblPiNAnalysis[Admin2PCODE], INDIRECT("tblPiNAnalysis[" &amp; Table11[[#Headers],[ASH]] &amp; "]"), "NOT FOUND", 0, 1)</f>
        <v>2662.335</v>
      </c>
      <c r="L49" s="8" cm="1">
        <f t="array" aca="1" ref="L49" ca="1">_xlfn.XLOOKUP(Table11[[#This Row],[Admin2PCODE]], tblPiNAnalysis[Admin2PCODE], INDIRECT("tblPiNAnalysis[" &amp; Table11[[#Headers],[NNA]] &amp; "]"), "NOT FOUND", 0, 1)</f>
        <v>2517.971658660621</v>
      </c>
      <c r="M49" s="8" cm="1">
        <f t="array" aca="1" ref="M49" ca="1">_xlfn.XLOOKUP(Table11[[#This Row],[Admin2PCODE]], tblPiNAnalysis[Admin2PCODE], INDIRECT("tblPiNAnalysis[" &amp; Table11[[#Headers],[VBG]] &amp; "]"), "NOT FOUND", 0, 1)</f>
        <v>2754.0315016600548</v>
      </c>
      <c r="N49" s="8" cm="1">
        <f t="array" aca="1" ref="N49" ca="1">_xlfn.XLOOKUP(Table11[[#This Row],[Admin2PCODE]], tblPiNAnalysis[Admin2PCODE], INDIRECT("tblPiNAnalysis[" &amp; Table11[[#Headers],[PiN más alto]] &amp; "]"), "NOT FOUND", 0, 1)</f>
        <v>14396.33</v>
      </c>
      <c r="O49" t="str" cm="1">
        <f t="array" aca="1" ref="O49" ca="1">_xlfn.XLOOKUP(Table11[[#This Row],[Admin2PCODE]], tblPiNAnalysis[Admin2PCODE], INDIRECT("tblPiNAnalysis[" &amp; Table11[[#Headers],[Sectores más altos]] &amp; "]"), "NOT FOUND", 0, 1)</f>
        <v>SAL</v>
      </c>
      <c r="P49" cm="1">
        <f t="array" ref="P49">_xlfn.XLOOKUP(Table11[[#This Row],[Admin2PCODE]], tblPiNAnalysis[Admin2PCODE], tblPiNAnalysis[Severidad], "NOT FOUND", 0, 1)</f>
        <v>3</v>
      </c>
      <c r="Q49" s="318">
        <v>3.3898305084745763E-2</v>
      </c>
      <c r="R49" s="318">
        <v>0.33333333333333331</v>
      </c>
      <c r="S49" s="318">
        <v>1.1299435028248588E-2</v>
      </c>
      <c r="T49">
        <v>0</v>
      </c>
      <c r="W49">
        <f>_xlfn.XLOOKUP(Table11[[#This Row],[Admin2PCODE]],tblSeverityAnalysis[Admin 2 Código P],tblSeverityAnalysis[PRO],0,0)</f>
        <v>3</v>
      </c>
      <c r="Y49">
        <v>9</v>
      </c>
      <c r="Z49">
        <v>0</v>
      </c>
      <c r="AA49">
        <f t="shared" si="0"/>
        <v>0</v>
      </c>
    </row>
    <row r="50" spans="1:27">
      <c r="A50" t="s">
        <v>123</v>
      </c>
      <c r="B50" t="s">
        <v>179</v>
      </c>
      <c r="C50" s="42" t="s">
        <v>203</v>
      </c>
      <c r="D50" t="s">
        <v>204</v>
      </c>
      <c r="E50" s="8" cm="1">
        <f t="array" aca="1" ref="E50" ca="1">_xlfn.XLOOKUP(Table11[[#This Row],[Admin2PCODE]], tblPiNAnalysis[Admin2PCODE], INDIRECT("tblPiNAnalysis[" &amp; Table11[[#Headers],[Población]] &amp; "]"), "NOT FOUND", 0, 1)</f>
        <v>117097</v>
      </c>
      <c r="F50" s="8" cm="1">
        <f t="array" aca="1" ref="F50" ca="1">_xlfn.XLOOKUP(Table11[[#This Row],[Admin2PCODE]], tblPiNAnalysis[Admin2PCODE], INDIRECT("tblPiNAnalysis[" &amp; Table11[[#Headers],[SAMV]] &amp; "]"), "NOT FOUND", 0, 1)</f>
        <v>2602</v>
      </c>
      <c r="G50" s="8" cm="1">
        <f t="array" aca="1" ref="G50" ca="1">_xlfn.XLOOKUP(Table11[[#This Row],[Admin2PCODE]], tblPiNAnalysis[Admin2PCODE], INDIRECT("tblPiNAnalysis[" &amp; Table11[[#Headers],[NUT]] &amp; "]"), "NOT FOUND", 0, 1)</f>
        <v>2820.5739515941978</v>
      </c>
      <c r="H50" s="8" cm="1">
        <f t="array" aca="1" ref="H50" ca="1">_xlfn.XLOOKUP(Table11[[#This Row],[Admin2PCODE]], tblPiNAnalysis[Admin2PCODE], INDIRECT("tblPiNAnalysis[" &amp; Table11[[#Headers],[SAL]] &amp; "]"), "NOT FOUND", 0, 1)</f>
        <v>42740.404999999999</v>
      </c>
      <c r="I50" s="8" cm="1">
        <f t="array" aca="1" ref="I50" ca="1">_xlfn.XLOOKUP(Table11[[#This Row],[Admin2PCODE]], tblPiNAnalysis[Admin2PCODE], INDIRECT("tblPiNAnalysis[" &amp; Table11[[#Headers],[EDU]] &amp; "]"), "NOT FOUND", 0, 1)</f>
        <v>13587.822532323293</v>
      </c>
      <c r="J50" s="8" cm="1">
        <f t="array" aca="1" ref="J50" ca="1">_xlfn.XLOOKUP(Table11[[#This Row],[Admin2PCODE]], tblPiNAnalysis[Admin2PCODE], INDIRECT("tblPiNAnalysis[" &amp; Table11[[#Headers],[PRO]] &amp; "]"), "NOT FOUND", 0, 1)</f>
        <v>23360.799347315569</v>
      </c>
      <c r="K50" s="8" cm="1">
        <f t="array" aca="1" ref="K50" ca="1">_xlfn.XLOOKUP(Table11[[#This Row],[Admin2PCODE]], tblPiNAnalysis[Admin2PCODE], INDIRECT("tblPiNAnalysis[" &amp; Table11[[#Headers],[ASH]] &amp; "]"), "NOT FOUND", 0, 1)</f>
        <v>0</v>
      </c>
      <c r="L50" s="8" cm="1">
        <f t="array" aca="1" ref="L50" ca="1">_xlfn.XLOOKUP(Table11[[#This Row],[Admin2PCODE]], tblPiNAnalysis[Admin2PCODE], INDIRECT("tblPiNAnalysis[" &amp; Table11[[#Headers],[NNA]] &amp; "]"), "NOT FOUND", 0, 1)</f>
        <v>7498.8165904882981</v>
      </c>
      <c r="M50" s="8" cm="1">
        <f t="array" aca="1" ref="M50" ca="1">_xlfn.XLOOKUP(Table11[[#This Row],[Admin2PCODE]], tblPiNAnalysis[Admin2PCODE], INDIRECT("tblPiNAnalysis[" &amp; Table11[[#Headers],[VBG]] &amp; "]"), "NOT FOUND", 0, 1)</f>
        <v>8176.2797715604493</v>
      </c>
      <c r="N50" s="8" cm="1">
        <f t="array" aca="1" ref="N50" ca="1">_xlfn.XLOOKUP(Table11[[#This Row],[Admin2PCODE]], tblPiNAnalysis[Admin2PCODE], INDIRECT("tblPiNAnalysis[" &amp; Table11[[#Headers],[PiN más alto]] &amp; "]"), "NOT FOUND", 0, 1)</f>
        <v>42740.404999999999</v>
      </c>
      <c r="O50" t="str" cm="1">
        <f t="array" aca="1" ref="O50" ca="1">_xlfn.XLOOKUP(Table11[[#This Row],[Admin2PCODE]], tblPiNAnalysis[Admin2PCODE], INDIRECT("tblPiNAnalysis[" &amp; Table11[[#Headers],[Sectores más altos]] &amp; "]"), "NOT FOUND", 0, 1)</f>
        <v>SAL</v>
      </c>
      <c r="P50" cm="1">
        <f t="array" ref="P50">_xlfn.XLOOKUP(Table11[[#This Row],[Admin2PCODE]], tblPiNAnalysis[Admin2PCODE], tblPiNAnalysis[Severidad], "NOT FOUND", 0, 1)</f>
        <v>2</v>
      </c>
      <c r="Q50" s="318">
        <v>0</v>
      </c>
      <c r="R50" s="318">
        <v>0</v>
      </c>
      <c r="S50" s="318">
        <v>0</v>
      </c>
      <c r="T50">
        <v>0</v>
      </c>
      <c r="W50">
        <f>_xlfn.XLOOKUP(Table11[[#This Row],[Admin2PCODE]],tblSeverityAnalysis[Admin 2 Código P],tblSeverityAnalysis[PRO],0,0)</f>
        <v>3</v>
      </c>
      <c r="Y50">
        <v>0</v>
      </c>
      <c r="Z50">
        <v>0</v>
      </c>
      <c r="AA50">
        <f t="shared" si="0"/>
        <v>0</v>
      </c>
    </row>
    <row r="51" spans="1:27">
      <c r="A51" t="s">
        <v>123</v>
      </c>
      <c r="B51" t="s">
        <v>179</v>
      </c>
      <c r="C51" s="42" t="s">
        <v>205</v>
      </c>
      <c r="D51" t="s">
        <v>206</v>
      </c>
      <c r="E51" s="8" cm="1">
        <f t="array" aca="1" ref="E51" ca="1">_xlfn.XLOOKUP(Table11[[#This Row],[Admin2PCODE]], tblPiNAnalysis[Admin2PCODE], INDIRECT("tblPiNAnalysis[" &amp; Table11[[#Headers],[Población]] &amp; "]"), "NOT FOUND", 0, 1)</f>
        <v>14481</v>
      </c>
      <c r="F51" s="8" cm="1">
        <f t="array" aca="1" ref="F51" ca="1">_xlfn.XLOOKUP(Table11[[#This Row],[Admin2PCODE]], tblPiNAnalysis[Admin2PCODE], INDIRECT("tblPiNAnalysis[" &amp; Table11[[#Headers],[SAMV]] &amp; "]"), "NOT FOUND", 0, 1)</f>
        <v>3017</v>
      </c>
      <c r="G51" s="8" cm="1">
        <f t="array" aca="1" ref="G51" ca="1">_xlfn.XLOOKUP(Table11[[#This Row],[Admin2PCODE]], tblPiNAnalysis[Admin2PCODE], INDIRECT("tblPiNAnalysis[" &amp; Table11[[#Headers],[NUT]] &amp; "]"), "NOT FOUND", 0, 1)</f>
        <v>408.07836554268766</v>
      </c>
      <c r="H51" s="8" cm="1">
        <f t="array" aca="1" ref="H51" ca="1">_xlfn.XLOOKUP(Table11[[#This Row],[Admin2PCODE]], tblPiNAnalysis[Admin2PCODE], INDIRECT("tblPiNAnalysis[" &amp; Table11[[#Headers],[SAL]] &amp; "]"), "NOT FOUND", 0, 1)</f>
        <v>6300</v>
      </c>
      <c r="I51" s="8" cm="1">
        <f t="array" aca="1" ref="I51" ca="1">_xlfn.XLOOKUP(Table11[[#This Row],[Admin2PCODE]], tblPiNAnalysis[Admin2PCODE], INDIRECT("tblPiNAnalysis[" &amp; Table11[[#Headers],[EDU]] &amp; "]"), "NOT FOUND", 0, 1)</f>
        <v>625.55238667151411</v>
      </c>
      <c r="J51" s="8" cm="1">
        <f t="array" aca="1" ref="J51" ca="1">_xlfn.XLOOKUP(Table11[[#This Row],[Admin2PCODE]], tblPiNAnalysis[Admin2PCODE], INDIRECT("tblPiNAnalysis[" &amp; Table11[[#Headers],[PRO]] &amp; "]"), "NOT FOUND", 0, 1)</f>
        <v>2888.9530504494292</v>
      </c>
      <c r="K51" s="8" cm="1">
        <f t="array" aca="1" ref="K51" ca="1">_xlfn.XLOOKUP(Table11[[#This Row],[Admin2PCODE]], tblPiNAnalysis[Admin2PCODE], INDIRECT("tblPiNAnalysis[" &amp; Table11[[#Headers],[ASH]] &amp; "]"), "NOT FOUND", 0, 1)</f>
        <v>0</v>
      </c>
      <c r="L51" s="8" cm="1">
        <f t="array" aca="1" ref="L51" ca="1">_xlfn.XLOOKUP(Table11[[#This Row],[Admin2PCODE]], tblPiNAnalysis[Admin2PCODE], INDIRECT("tblPiNAnalysis[" &amp; Table11[[#Headers],[NNA]] &amp; "]"), "NOT FOUND", 0, 1)</f>
        <v>924.46497614381735</v>
      </c>
      <c r="M51" s="8" cm="1">
        <f t="array" aca="1" ref="M51" ca="1">_xlfn.XLOOKUP(Table11[[#This Row],[Admin2PCODE]], tblPiNAnalysis[Admin2PCODE], INDIRECT("tblPiNAnalysis[" &amp; Table11[[#Headers],[VBG]] &amp; "]"), "NOT FOUND", 0, 1)</f>
        <v>1011.1335676573002</v>
      </c>
      <c r="N51" s="8" cm="1">
        <f t="array" aca="1" ref="N51" ca="1">_xlfn.XLOOKUP(Table11[[#This Row],[Admin2PCODE]], tblPiNAnalysis[Admin2PCODE], INDIRECT("tblPiNAnalysis[" &amp; Table11[[#Headers],[PiN más alto]] &amp; "]"), "NOT FOUND", 0, 1)</f>
        <v>6300</v>
      </c>
      <c r="O51" t="str" cm="1">
        <f t="array" aca="1" ref="O51" ca="1">_xlfn.XLOOKUP(Table11[[#This Row],[Admin2PCODE]], tblPiNAnalysis[Admin2PCODE], INDIRECT("tblPiNAnalysis[" &amp; Table11[[#Headers],[Sectores más altos]] &amp; "]"), "NOT FOUND", 0, 1)</f>
        <v>SAL</v>
      </c>
      <c r="P51" cm="1">
        <f t="array" ref="P51">_xlfn.XLOOKUP(Table11[[#This Row],[Admin2PCODE]], tblPiNAnalysis[Admin2PCODE], tblPiNAnalysis[Severidad], "NOT FOUND", 0, 1)</f>
        <v>1</v>
      </c>
      <c r="Q51" s="318">
        <v>0</v>
      </c>
      <c r="R51" s="318">
        <v>0</v>
      </c>
      <c r="S51" s="318">
        <v>0</v>
      </c>
      <c r="T51">
        <v>0</v>
      </c>
      <c r="W51">
        <f>_xlfn.XLOOKUP(Table11[[#This Row],[Admin2PCODE]],tblSeverityAnalysis[Admin 2 Código P],tblSeverityAnalysis[PRO],0,0)</f>
        <v>3</v>
      </c>
      <c r="Y51">
        <v>0</v>
      </c>
      <c r="Z51">
        <v>0</v>
      </c>
      <c r="AA51">
        <f t="shared" si="0"/>
        <v>0</v>
      </c>
    </row>
    <row r="52" spans="1:27">
      <c r="A52" t="s">
        <v>123</v>
      </c>
      <c r="B52" t="s">
        <v>179</v>
      </c>
      <c r="C52" s="42" t="s">
        <v>207</v>
      </c>
      <c r="D52" t="s">
        <v>208</v>
      </c>
      <c r="E52" s="8" cm="1">
        <f t="array" aca="1" ref="E52" ca="1">_xlfn.XLOOKUP(Table11[[#This Row],[Admin2PCODE]], tblPiNAnalysis[Admin2PCODE], INDIRECT("tblPiNAnalysis[" &amp; Table11[[#Headers],[Población]] &amp; "]"), "NOT FOUND", 0, 1)</f>
        <v>21747</v>
      </c>
      <c r="F52" s="8" cm="1">
        <f t="array" aca="1" ref="F52" ca="1">_xlfn.XLOOKUP(Table11[[#This Row],[Admin2PCODE]], tblPiNAnalysis[Admin2PCODE], INDIRECT("tblPiNAnalysis[" &amp; Table11[[#Headers],[SAMV]] &amp; "]"), "NOT FOUND", 0, 1)</f>
        <v>5695</v>
      </c>
      <c r="G52" s="8" cm="1">
        <f t="array" aca="1" ref="G52" ca="1">_xlfn.XLOOKUP(Table11[[#This Row],[Admin2PCODE]], tblPiNAnalysis[Admin2PCODE], INDIRECT("tblPiNAnalysis[" &amp; Table11[[#Headers],[NUT]] &amp; "]"), "NOT FOUND", 0, 1)</f>
        <v>688.18447739880594</v>
      </c>
      <c r="H52" s="8" cm="1">
        <f t="array" aca="1" ref="H52" ca="1">_xlfn.XLOOKUP(Table11[[#This Row],[Admin2PCODE]], tblPiNAnalysis[Admin2PCODE], INDIRECT("tblPiNAnalysis[" &amp; Table11[[#Headers],[SAL]] &amp; "]"), "NOT FOUND", 0, 1)</f>
        <v>8400</v>
      </c>
      <c r="I52" s="8" cm="1">
        <f t="array" aca="1" ref="I52" ca="1">_xlfn.XLOOKUP(Table11[[#This Row],[Admin2PCODE]], tblPiNAnalysis[Admin2PCODE], INDIRECT("tblPiNAnalysis[" &amp; Table11[[#Headers],[EDU]] &amp; "]"), "NOT FOUND", 0, 1)</f>
        <v>1785.1604140213531</v>
      </c>
      <c r="J52" s="8" cm="1">
        <f t="array" aca="1" ref="J52" ca="1">_xlfn.XLOOKUP(Table11[[#This Row],[Admin2PCODE]], tblPiNAnalysis[Admin2PCODE], INDIRECT("tblPiNAnalysis[" &amp; Table11[[#Headers],[PRO]] &amp; "]"), "NOT FOUND", 0, 1)</f>
        <v>4338.5168143169494</v>
      </c>
      <c r="K52" s="8" cm="1">
        <f t="array" aca="1" ref="K52" ca="1">_xlfn.XLOOKUP(Table11[[#This Row],[Admin2PCODE]], tblPiNAnalysis[Admin2PCODE], INDIRECT("tblPiNAnalysis[" &amp; Table11[[#Headers],[ASH]] &amp; "]"), "NOT FOUND", 0, 1)</f>
        <v>0</v>
      </c>
      <c r="L52" s="8" cm="1">
        <f t="array" aca="1" ref="L52" ca="1">_xlfn.XLOOKUP(Table11[[#This Row],[Admin2PCODE]], tblPiNAnalysis[Admin2PCODE], INDIRECT("tblPiNAnalysis[" &amp; Table11[[#Headers],[NNA]] &amp; "]"), "NOT FOUND", 0, 1)</f>
        <v>1392.6638973957408</v>
      </c>
      <c r="M52" s="8" cm="1">
        <f t="array" aca="1" ref="M52" ca="1">_xlfn.XLOOKUP(Table11[[#This Row],[Admin2PCODE]], tblPiNAnalysis[Admin2PCODE], INDIRECT("tblPiNAnalysis[" &amp; Table11[[#Headers],[VBG]] &amp; "]"), "NOT FOUND", 0, 1)</f>
        <v>1518.4808850109323</v>
      </c>
      <c r="N52" s="8" cm="1">
        <f t="array" aca="1" ref="N52" ca="1">_xlfn.XLOOKUP(Table11[[#This Row],[Admin2PCODE]], tblPiNAnalysis[Admin2PCODE], INDIRECT("tblPiNAnalysis[" &amp; Table11[[#Headers],[PiN más alto]] &amp; "]"), "NOT FOUND", 0, 1)</f>
        <v>8400</v>
      </c>
      <c r="O52" t="str" cm="1">
        <f t="array" aca="1" ref="O52" ca="1">_xlfn.XLOOKUP(Table11[[#This Row],[Admin2PCODE]], tblPiNAnalysis[Admin2PCODE], INDIRECT("tblPiNAnalysis[" &amp; Table11[[#Headers],[Sectores más altos]] &amp; "]"), "NOT FOUND", 0, 1)</f>
        <v>SAL</v>
      </c>
      <c r="P52" cm="1">
        <f t="array" ref="P52">_xlfn.XLOOKUP(Table11[[#This Row],[Admin2PCODE]], tblPiNAnalysis[Admin2PCODE], tblPiNAnalysis[Severidad], "NOT FOUND", 0, 1)</f>
        <v>3</v>
      </c>
      <c r="Q52" s="318">
        <v>0</v>
      </c>
      <c r="R52" s="318">
        <v>0</v>
      </c>
      <c r="S52" s="318">
        <v>0</v>
      </c>
      <c r="T52">
        <v>0</v>
      </c>
      <c r="W52">
        <f>_xlfn.XLOOKUP(Table11[[#This Row],[Admin2PCODE]],tblSeverityAnalysis[Admin 2 Código P],tblSeverityAnalysis[PRO],0,0)</f>
        <v>3</v>
      </c>
      <c r="Y52">
        <v>0</v>
      </c>
      <c r="Z52">
        <v>0</v>
      </c>
      <c r="AA52">
        <f t="shared" si="0"/>
        <v>0</v>
      </c>
    </row>
    <row r="53" spans="1:27">
      <c r="A53" t="s">
        <v>123</v>
      </c>
      <c r="B53" t="s">
        <v>179</v>
      </c>
      <c r="C53" s="42" t="s">
        <v>209</v>
      </c>
      <c r="D53" t="s">
        <v>210</v>
      </c>
      <c r="E53" s="8" cm="1">
        <f t="array" aca="1" ref="E53" ca="1">_xlfn.XLOOKUP(Table11[[#This Row],[Admin2PCODE]], tblPiNAnalysis[Admin2PCODE], INDIRECT("tblPiNAnalysis[" &amp; Table11[[#Headers],[Población]] &amp; "]"), "NOT FOUND", 0, 1)</f>
        <v>148029</v>
      </c>
      <c r="F53" s="8" cm="1">
        <f t="array" aca="1" ref="F53" ca="1">_xlfn.XLOOKUP(Table11[[#This Row],[Admin2PCODE]], tblPiNAnalysis[Admin2PCODE], INDIRECT("tblPiNAnalysis[" &amp; Table11[[#Headers],[SAMV]] &amp; "]"), "NOT FOUND", 0, 1)</f>
        <v>31124</v>
      </c>
      <c r="G53" s="8" cm="1">
        <f t="array" aca="1" ref="G53" ca="1">_xlfn.XLOOKUP(Table11[[#This Row],[Admin2PCODE]], tblPiNAnalysis[Admin2PCODE], INDIRECT("tblPiNAnalysis[" &amp; Table11[[#Headers],[NUT]] &amp; "]"), "NOT FOUND", 0, 1)</f>
        <v>4506.5957131958357</v>
      </c>
      <c r="H53" s="8" cm="1">
        <f t="array" aca="1" ref="H53" ca="1">_xlfn.XLOOKUP(Table11[[#This Row],[Admin2PCODE]], tblPiNAnalysis[Admin2PCODE], INDIRECT("tblPiNAnalysis[" &amp; Table11[[#Headers],[SAL]] &amp; "]"), "NOT FOUND", 0, 1)</f>
        <v>54030.584999999999</v>
      </c>
      <c r="I53" s="8" cm="1">
        <f t="array" aca="1" ref="I53" ca="1">_xlfn.XLOOKUP(Table11[[#This Row],[Admin2PCODE]], tblPiNAnalysis[Admin2PCODE], INDIRECT("tblPiNAnalysis[" &amp; Table11[[#Headers],[EDU]] &amp; "]"), "NOT FOUND", 0, 1)</f>
        <v>18335.03499985169</v>
      </c>
      <c r="J53" s="8" cm="1">
        <f t="array" aca="1" ref="J53" ca="1">_xlfn.XLOOKUP(Table11[[#This Row],[Admin2PCODE]], tblPiNAnalysis[Admin2PCODE], INDIRECT("tblPiNAnalysis[" &amp; Table11[[#Headers],[PRO]] &amp; "]"), "NOT FOUND", 0, 1)</f>
        <v>29531.719570815454</v>
      </c>
      <c r="K53" s="8" cm="1">
        <f t="array" aca="1" ref="K53" ca="1">_xlfn.XLOOKUP(Table11[[#This Row],[Admin2PCODE]], tblPiNAnalysis[Admin2PCODE], INDIRECT("tblPiNAnalysis[" &amp; Table11[[#Headers],[ASH]] &amp; "]"), "NOT FOUND", 0, 1)</f>
        <v>0</v>
      </c>
      <c r="L53" s="8" cm="1">
        <f t="array" aca="1" ref="L53" ca="1">_xlfn.XLOOKUP(Table11[[#This Row],[Admin2PCODE]], tblPiNAnalysis[Admin2PCODE], INDIRECT("tblPiNAnalysis[" &amp; Table11[[#Headers],[NNA]] &amp; "]"), "NOT FOUND", 0, 1)</f>
        <v>9479.6819822317611</v>
      </c>
      <c r="M53" s="8" cm="1">
        <f t="array" aca="1" ref="M53" ca="1">_xlfn.XLOOKUP(Table11[[#This Row],[Admin2PCODE]], tblPiNAnalysis[Admin2PCODE], INDIRECT("tblPiNAnalysis[" &amp; Table11[[#Headers],[VBG]] &amp; "]"), "NOT FOUND", 0, 1)</f>
        <v>10336.101849785409</v>
      </c>
      <c r="N53" s="8" cm="1">
        <f t="array" aca="1" ref="N53" ca="1">_xlfn.XLOOKUP(Table11[[#This Row],[Admin2PCODE]], tblPiNAnalysis[Admin2PCODE], INDIRECT("tblPiNAnalysis[" &amp; Table11[[#Headers],[PiN más alto]] &amp; "]"), "NOT FOUND", 0, 1)</f>
        <v>54030.584999999999</v>
      </c>
      <c r="O53" t="str" cm="1">
        <f t="array" aca="1" ref="O53" ca="1">_xlfn.XLOOKUP(Table11[[#This Row],[Admin2PCODE]], tblPiNAnalysis[Admin2PCODE], INDIRECT("tblPiNAnalysis[" &amp; Table11[[#Headers],[Sectores más altos]] &amp; "]"), "NOT FOUND", 0, 1)</f>
        <v>SAL</v>
      </c>
      <c r="P53" cm="1">
        <f t="array" ref="P53">_xlfn.XLOOKUP(Table11[[#This Row],[Admin2PCODE]], tblPiNAnalysis[Admin2PCODE], tblPiNAnalysis[Severidad], "NOT FOUND", 0, 1)</f>
        <v>2</v>
      </c>
      <c r="Q53" s="318">
        <v>0.12820512820512819</v>
      </c>
      <c r="R53" s="318">
        <v>0.45999999999999991</v>
      </c>
      <c r="S53" s="318">
        <v>5.8974358974358959E-2</v>
      </c>
      <c r="T53">
        <v>0</v>
      </c>
      <c r="W53">
        <f>_xlfn.XLOOKUP(Table11[[#This Row],[Admin2PCODE]],tblSeverityAnalysis[Admin 2 Código P],tblSeverityAnalysis[PRO],0,0)</f>
        <v>3</v>
      </c>
      <c r="Y53">
        <v>0</v>
      </c>
      <c r="Z53">
        <v>0</v>
      </c>
      <c r="AA53">
        <f t="shared" si="0"/>
        <v>0</v>
      </c>
    </row>
    <row r="54" spans="1:27">
      <c r="A54" t="s">
        <v>123</v>
      </c>
      <c r="B54" t="s">
        <v>179</v>
      </c>
      <c r="C54" s="42" t="s">
        <v>828</v>
      </c>
      <c r="D54" t="s">
        <v>212</v>
      </c>
      <c r="E54" s="8" cm="1">
        <f t="array" aca="1" ref="E54" ca="1">_xlfn.XLOOKUP(Table11[[#This Row],[Admin2PCODE]], tblPiNAnalysis[Admin2PCODE], INDIRECT("tblPiNAnalysis[" &amp; Table11[[#Headers],[Población]] &amp; "]"), "NOT FOUND", 0, 1)</f>
        <v>125901</v>
      </c>
      <c r="F54" s="8" cm="1">
        <f t="array" aca="1" ref="F54" ca="1">_xlfn.XLOOKUP(Table11[[#This Row],[Admin2PCODE]], tblPiNAnalysis[Admin2PCODE], INDIRECT("tblPiNAnalysis[" &amp; Table11[[#Headers],[SAMV]] &amp; "]"), "NOT FOUND", 0, 1)</f>
        <v>8775</v>
      </c>
      <c r="G54" s="8" cm="1">
        <f t="array" aca="1" ref="G54" ca="1">_xlfn.XLOOKUP(Table11[[#This Row],[Admin2PCODE]], tblPiNAnalysis[Admin2PCODE], INDIRECT("tblPiNAnalysis[" &amp; Table11[[#Headers],[NUT]] &amp; "]"), "NOT FOUND", 0, 1)</f>
        <v>3880.6235656391223</v>
      </c>
      <c r="H54" s="8" cm="1">
        <f t="array" aca="1" ref="H54" ca="1">_xlfn.XLOOKUP(Table11[[#This Row],[Admin2PCODE]], tblPiNAnalysis[Admin2PCODE], INDIRECT("tblPiNAnalysis[" &amp; Table11[[#Headers],[SAL]] &amp; "]"), "NOT FOUND", 0, 1)</f>
        <v>45953.864999999998</v>
      </c>
      <c r="I54" s="8" cm="1">
        <f t="array" aca="1" ref="I54" ca="1">_xlfn.XLOOKUP(Table11[[#This Row],[Admin2PCODE]], tblPiNAnalysis[Admin2PCODE], INDIRECT("tblPiNAnalysis[" &amp; Table11[[#Headers],[EDU]] &amp; "]"), "NOT FOUND", 0, 1)</f>
        <v>15410.149695459808</v>
      </c>
      <c r="J54" s="8" cm="1">
        <f t="array" aca="1" ref="J54" ca="1">_xlfn.XLOOKUP(Table11[[#This Row],[Admin2PCODE]], tblPiNAnalysis[Admin2PCODE], INDIRECT("tblPiNAnalysis[" &amp; Table11[[#Headers],[PRO]] &amp; "]"), "NOT FOUND", 0, 1)</f>
        <v>25117.193426188365</v>
      </c>
      <c r="K54" s="8" cm="1">
        <f t="array" aca="1" ref="K54" ca="1">_xlfn.XLOOKUP(Table11[[#This Row],[Admin2PCODE]], tblPiNAnalysis[Admin2PCODE], INDIRECT("tblPiNAnalysis[" &amp; Table11[[#Headers],[ASH]] &amp; "]"), "NOT FOUND", 0, 1)</f>
        <v>0</v>
      </c>
      <c r="L54" s="8" cm="1">
        <f t="array" aca="1" ref="L54" ca="1">_xlfn.XLOOKUP(Table11[[#This Row],[Admin2PCODE]], tblPiNAnalysis[Admin2PCODE], INDIRECT("tblPiNAnalysis[" &amp; Table11[[#Headers],[NNA]] &amp; "]"), "NOT FOUND", 0, 1)</f>
        <v>8037.5018963802777</v>
      </c>
      <c r="M54" s="8" cm="1">
        <f t="array" aca="1" ref="M54" ca="1">_xlfn.XLOOKUP(Table11[[#This Row],[Admin2PCODE]], tblPiNAnalysis[Admin2PCODE], INDIRECT("tblPiNAnalysis[" &amp; Table11[[#Headers],[VBG]] &amp; "]"), "NOT FOUND", 0, 1)</f>
        <v>8791.0176991659282</v>
      </c>
      <c r="N54" s="8" cm="1">
        <f t="array" aca="1" ref="N54" ca="1">_xlfn.XLOOKUP(Table11[[#This Row],[Admin2PCODE]], tblPiNAnalysis[Admin2PCODE], INDIRECT("tblPiNAnalysis[" &amp; Table11[[#Headers],[PiN más alto]] &amp; "]"), "NOT FOUND", 0, 1)</f>
        <v>45953.864999999998</v>
      </c>
      <c r="O54" t="str" cm="1">
        <f t="array" aca="1" ref="O54" ca="1">_xlfn.XLOOKUP(Table11[[#This Row],[Admin2PCODE]], tblPiNAnalysis[Admin2PCODE], INDIRECT("tblPiNAnalysis[" &amp; Table11[[#Headers],[Sectores más altos]] &amp; "]"), "NOT FOUND", 0, 1)</f>
        <v>SAL</v>
      </c>
      <c r="P54" cm="1">
        <f t="array" ref="P54">_xlfn.XLOOKUP(Table11[[#This Row],[Admin2PCODE]], tblPiNAnalysis[Admin2PCODE], tblPiNAnalysis[Severidad], "NOT FOUND", 0, 1)</f>
        <v>2</v>
      </c>
      <c r="Q54" s="318">
        <v>0</v>
      </c>
      <c r="R54" s="318">
        <v>0</v>
      </c>
      <c r="S54" s="318">
        <v>0</v>
      </c>
      <c r="T54">
        <v>0</v>
      </c>
      <c r="W54">
        <f>_xlfn.XLOOKUP(Table11[[#This Row],[Admin2PCODE]],tblSeverityAnalysis[Admin 2 Código P],tblSeverityAnalysis[PRO],0,0)</f>
        <v>3</v>
      </c>
      <c r="Y54">
        <v>0</v>
      </c>
      <c r="Z54">
        <v>0</v>
      </c>
      <c r="AA54">
        <f t="shared" si="0"/>
        <v>0</v>
      </c>
    </row>
    <row r="55" spans="1:27">
      <c r="A55" t="s">
        <v>123</v>
      </c>
      <c r="B55" t="s">
        <v>179</v>
      </c>
      <c r="C55" s="42" t="s">
        <v>825</v>
      </c>
      <c r="D55" t="s">
        <v>214</v>
      </c>
      <c r="E55" s="8" cm="1">
        <f t="array" aca="1" ref="E55" ca="1">_xlfn.XLOOKUP(Table11[[#This Row],[Admin2PCODE]], tblPiNAnalysis[Admin2PCODE], INDIRECT("tblPiNAnalysis[" &amp; Table11[[#Headers],[Población]] &amp; "]"), "NOT FOUND", 0, 1)</f>
        <v>13105</v>
      </c>
      <c r="F55" s="8" cm="1">
        <f t="array" aca="1" ref="F55" ca="1">_xlfn.XLOOKUP(Table11[[#This Row],[Admin2PCODE]], tblPiNAnalysis[Admin2PCODE], INDIRECT("tblPiNAnalysis[" &amp; Table11[[#Headers],[SAMV]] &amp; "]"), "NOT FOUND", 0, 1)</f>
        <v>2184</v>
      </c>
      <c r="G55" s="8" cm="1">
        <f t="array" aca="1" ref="G55" ca="1">_xlfn.XLOOKUP(Table11[[#This Row],[Admin2PCODE]], tblPiNAnalysis[Admin2PCODE], INDIRECT("tblPiNAnalysis[" &amp; Table11[[#Headers],[NUT]] &amp; "]"), "NOT FOUND", 0, 1)</f>
        <v>425.99653851825843</v>
      </c>
      <c r="H55" s="8" cm="1">
        <f t="array" aca="1" ref="H55" ca="1">_xlfn.XLOOKUP(Table11[[#This Row],[Admin2PCODE]], tblPiNAnalysis[Admin2PCODE], INDIRECT("tblPiNAnalysis[" &amp; Table11[[#Headers],[SAL]] &amp; "]"), "NOT FOUND", 0, 1)</f>
        <v>5200</v>
      </c>
      <c r="I55" s="8" cm="1">
        <f t="array" aca="1" ref="I55" ca="1">_xlfn.XLOOKUP(Table11[[#This Row],[Admin2PCODE]], tblPiNAnalysis[Admin2PCODE], INDIRECT("tblPiNAnalysis[" &amp; Table11[[#Headers],[EDU]] &amp; "]"), "NOT FOUND", 0, 1)</f>
        <v>1213.8393721090986</v>
      </c>
      <c r="J55" s="8" cm="1">
        <f t="array" aca="1" ref="J55" ca="1">_xlfn.XLOOKUP(Table11[[#This Row],[Admin2PCODE]], tblPiNAnalysis[Admin2PCODE], INDIRECT("tblPiNAnalysis[" &amp; Table11[[#Headers],[PRO]] &amp; "]"), "NOT FOUND", 0, 1)</f>
        <v>2614.441663292575</v>
      </c>
      <c r="K55" s="8" cm="1">
        <f t="array" aca="1" ref="K55" ca="1">_xlfn.XLOOKUP(Table11[[#This Row],[Admin2PCODE]], tblPiNAnalysis[Admin2PCODE], INDIRECT("tblPiNAnalysis[" &amp; Table11[[#Headers],[ASH]] &amp; "]"), "NOT FOUND", 0, 1)</f>
        <v>0</v>
      </c>
      <c r="L55" s="8" cm="1">
        <f t="array" aca="1" ref="L55" ca="1">_xlfn.XLOOKUP(Table11[[#This Row],[Admin2PCODE]], tblPiNAnalysis[Admin2PCODE], INDIRECT("tblPiNAnalysis[" &amp; Table11[[#Headers],[NNA]] &amp; "]"), "NOT FOUND", 0, 1)</f>
        <v>839.23577391691663</v>
      </c>
      <c r="M55" s="8" cm="1">
        <f t="array" aca="1" ref="M55" ca="1">_xlfn.XLOOKUP(Table11[[#This Row],[Admin2PCODE]], tblPiNAnalysis[Admin2PCODE], INDIRECT("tblPiNAnalysis[" &amp; Table11[[#Headers],[VBG]] &amp; "]"), "NOT FOUND", 0, 1)</f>
        <v>915.05458215240117</v>
      </c>
      <c r="N55" s="8" cm="1">
        <f t="array" aca="1" ref="N55" ca="1">_xlfn.XLOOKUP(Table11[[#This Row],[Admin2PCODE]], tblPiNAnalysis[Admin2PCODE], INDIRECT("tblPiNAnalysis[" &amp; Table11[[#Headers],[PiN más alto]] &amp; "]"), "NOT FOUND", 0, 1)</f>
        <v>5200</v>
      </c>
      <c r="O55" t="str" cm="1">
        <f t="array" aca="1" ref="O55" ca="1">_xlfn.XLOOKUP(Table11[[#This Row],[Admin2PCODE]], tblPiNAnalysis[Admin2PCODE], INDIRECT("tblPiNAnalysis[" &amp; Table11[[#Headers],[Sectores más altos]] &amp; "]"), "NOT FOUND", 0, 1)</f>
        <v>SAL</v>
      </c>
      <c r="P55" cm="1">
        <f t="array" ref="P55">_xlfn.XLOOKUP(Table11[[#This Row],[Admin2PCODE]], tblPiNAnalysis[Admin2PCODE], tblPiNAnalysis[Severidad], "NOT FOUND", 0, 1)</f>
        <v>3</v>
      </c>
      <c r="Q55" s="318">
        <v>0</v>
      </c>
      <c r="R55" s="318">
        <v>0</v>
      </c>
      <c r="S55" s="318">
        <v>0</v>
      </c>
      <c r="T55">
        <v>0</v>
      </c>
      <c r="W55">
        <f>_xlfn.XLOOKUP(Table11[[#This Row],[Admin2PCODE]],tblSeverityAnalysis[Admin 2 Código P],tblSeverityAnalysis[PRO],0,0)</f>
        <v>3</v>
      </c>
      <c r="Y55">
        <v>0</v>
      </c>
      <c r="Z55">
        <v>0</v>
      </c>
      <c r="AA55">
        <f t="shared" si="0"/>
        <v>0</v>
      </c>
    </row>
    <row r="56" spans="1:27">
      <c r="A56" t="s">
        <v>215</v>
      </c>
      <c r="B56" t="s">
        <v>216</v>
      </c>
      <c r="C56" s="42" t="s">
        <v>217</v>
      </c>
      <c r="D56" t="s">
        <v>218</v>
      </c>
      <c r="E56" s="8" cm="1">
        <f t="array" aca="1" ref="E56" ca="1">_xlfn.XLOOKUP(Table11[[#This Row],[Admin2PCODE]], tblPiNAnalysis[Admin2PCODE], INDIRECT("tblPiNAnalysis[" &amp; Table11[[#Headers],[Población]] &amp; "]"), "NOT FOUND", 0, 1)</f>
        <v>42163</v>
      </c>
      <c r="F56" s="8" cm="1">
        <f t="array" aca="1" ref="F56" ca="1">_xlfn.XLOOKUP(Table11[[#This Row],[Admin2PCODE]], tblPiNAnalysis[Admin2PCODE], INDIRECT("tblPiNAnalysis[" &amp; Table11[[#Headers],[SAMV]] &amp; "]"), "NOT FOUND", 0, 1)</f>
        <v>1562</v>
      </c>
      <c r="G56" s="8" cm="1">
        <f t="array" aca="1" ref="G56" ca="1">_xlfn.XLOOKUP(Table11[[#This Row],[Admin2PCODE]], tblPiNAnalysis[Admin2PCODE], INDIRECT("tblPiNAnalysis[" &amp; Table11[[#Headers],[NUT]] &amp; "]"), "NOT FOUND", 0, 1)</f>
        <v>1812.6728286743305</v>
      </c>
      <c r="H56" s="8" cm="1">
        <f t="array" aca="1" ref="H56" ca="1">_xlfn.XLOOKUP(Table11[[#This Row],[Admin2PCODE]], tblPiNAnalysis[Admin2PCODE], INDIRECT("tblPiNAnalysis[" &amp; Table11[[#Headers],[SAL]] &amp; "]"), "NOT FOUND", 0, 1)</f>
        <v>21900</v>
      </c>
      <c r="I56" s="8" cm="1">
        <f t="array" aca="1" ref="I56" ca="1">_xlfn.XLOOKUP(Table11[[#This Row],[Admin2PCODE]], tblPiNAnalysis[Admin2PCODE], INDIRECT("tblPiNAnalysis[" &amp; Table11[[#Headers],[EDU]] &amp; "]"), "NOT FOUND", 0, 1)</f>
        <v>1947.0969898683175</v>
      </c>
      <c r="J56" s="8" cm="1">
        <f t="array" aca="1" ref="J56" ca="1">_xlfn.XLOOKUP(Table11[[#This Row],[Admin2PCODE]], tblPiNAnalysis[Admin2PCODE], INDIRECT("tblPiNAnalysis[" &amp; Table11[[#Headers],[PRO]] &amp; "]"), "NOT FOUND", 0, 1)</f>
        <v>6055.2513038751149</v>
      </c>
      <c r="K56" s="8" cm="1">
        <f t="array" aca="1" ref="K56" ca="1">_xlfn.XLOOKUP(Table11[[#This Row],[Admin2PCODE]], tblPiNAnalysis[Admin2PCODE], INDIRECT("tblPiNAnalysis[" &amp; Table11[[#Headers],[ASH]] &amp; "]"), "NOT FOUND", 0, 1)</f>
        <v>0</v>
      </c>
      <c r="L56" s="8" cm="1">
        <f t="array" aca="1" ref="L56" ca="1">_xlfn.XLOOKUP(Table11[[#This Row],[Admin2PCODE]], tblPiNAnalysis[Admin2PCODE], INDIRECT("tblPiNAnalysis[" &amp; Table11[[#Headers],[NNA]] &amp; "]"), "NOT FOUND", 0, 1)</f>
        <v>1937.6804172400368</v>
      </c>
      <c r="M56" s="8" cm="1">
        <f t="array" aca="1" ref="M56" ca="1">_xlfn.XLOOKUP(Table11[[#This Row],[Admin2PCODE]], tblPiNAnalysis[Admin2PCODE], INDIRECT("tblPiNAnalysis[" &amp; Table11[[#Headers],[VBG]] &amp; "]"), "NOT FOUND", 0, 1)</f>
        <v>2119.3379563562903</v>
      </c>
      <c r="N56" s="8" cm="1">
        <f t="array" aca="1" ref="N56" ca="1">_xlfn.XLOOKUP(Table11[[#This Row],[Admin2PCODE]], tblPiNAnalysis[Admin2PCODE], INDIRECT("tblPiNAnalysis[" &amp; Table11[[#Headers],[PiN más alto]] &amp; "]"), "NOT FOUND", 0, 1)</f>
        <v>21900</v>
      </c>
      <c r="O56" t="str" cm="1">
        <f t="array" aca="1" ref="O56" ca="1">_xlfn.XLOOKUP(Table11[[#This Row],[Admin2PCODE]], tblPiNAnalysis[Admin2PCODE], INDIRECT("tblPiNAnalysis[" &amp; Table11[[#Headers],[Sectores más altos]] &amp; "]"), "NOT FOUND", 0, 1)</f>
        <v>SAL</v>
      </c>
      <c r="P56" cm="1">
        <f t="array" ref="P56">_xlfn.XLOOKUP(Table11[[#This Row],[Admin2PCODE]], tblPiNAnalysis[Admin2PCODE], tblPiNAnalysis[Severidad], "NOT FOUND", 0, 1)</f>
        <v>2</v>
      </c>
      <c r="Q56" s="318">
        <v>4.1095890410958902E-2</v>
      </c>
      <c r="R56" s="318">
        <v>0.44444444444444436</v>
      </c>
      <c r="S56" s="318">
        <v>1.8264840182648397E-2</v>
      </c>
      <c r="T56">
        <v>0</v>
      </c>
      <c r="W56">
        <f>_xlfn.XLOOKUP(Table11[[#This Row],[Admin2PCODE]],tblSeverityAnalysis[Admin 2 Código P],tblSeverityAnalysis[PRO],0,0)</f>
        <v>3</v>
      </c>
      <c r="Y56">
        <v>0</v>
      </c>
      <c r="Z56">
        <v>0</v>
      </c>
      <c r="AA56">
        <f t="shared" si="0"/>
        <v>0</v>
      </c>
    </row>
    <row r="57" spans="1:27">
      <c r="A57" t="s">
        <v>215</v>
      </c>
      <c r="B57" t="s">
        <v>216</v>
      </c>
      <c r="C57" s="42" t="s">
        <v>810</v>
      </c>
      <c r="D57" t="s">
        <v>220</v>
      </c>
      <c r="E57" s="8" cm="1">
        <f t="array" aca="1" ref="E57" ca="1">_xlfn.XLOOKUP(Table11[[#This Row],[Admin2PCODE]], tblPiNAnalysis[Admin2PCODE], INDIRECT("tblPiNAnalysis[" &amp; Table11[[#Headers],[Población]] &amp; "]"), "NOT FOUND", 0, 1)</f>
        <v>83507</v>
      </c>
      <c r="F57" s="8" cm="1">
        <f t="array" aca="1" ref="F57" ca="1">_xlfn.XLOOKUP(Table11[[#This Row],[Admin2PCODE]], tblPiNAnalysis[Admin2PCODE], INDIRECT("tblPiNAnalysis[" &amp; Table11[[#Headers],[SAMV]] &amp; "]"), "NOT FOUND", 0, 1)</f>
        <v>8118</v>
      </c>
      <c r="G57" s="8" cm="1">
        <f t="array" aca="1" ref="G57" ca="1">_xlfn.XLOOKUP(Table11[[#This Row],[Admin2PCODE]], tblPiNAnalysis[Admin2PCODE], INDIRECT("tblPiNAnalysis[" &amp; Table11[[#Headers],[NUT]] &amp; "]"), "NOT FOUND", 0, 1)</f>
        <v>3306.2876662788221</v>
      </c>
      <c r="H57" s="8" cm="1">
        <f t="array" aca="1" ref="H57" ca="1">_xlfn.XLOOKUP(Table11[[#This Row],[Admin2PCODE]], tblPiNAnalysis[Admin2PCODE], INDIRECT("tblPiNAnalysis[" &amp; Table11[[#Headers],[SAL]] &amp; "]"), "NOT FOUND", 0, 1)</f>
        <v>30480.055</v>
      </c>
      <c r="I57" s="8" cm="1">
        <f t="array" aca="1" ref="I57" ca="1">_xlfn.XLOOKUP(Table11[[#This Row],[Admin2PCODE]], tblPiNAnalysis[Admin2PCODE], INDIRECT("tblPiNAnalysis[" &amp; Table11[[#Headers],[EDU]] &amp; "]"), "NOT FOUND", 0, 1)</f>
        <v>8707.8034025486122</v>
      </c>
      <c r="J57" s="8" cm="1">
        <f t="array" aca="1" ref="J57" ca="1">_xlfn.XLOOKUP(Table11[[#This Row],[Admin2PCODE]], tblPiNAnalysis[Admin2PCODE], INDIRECT("tblPiNAnalysis[" &amp; Table11[[#Headers],[PRO]] &amp; "]"), "NOT FOUND", 0, 1)</f>
        <v>7195.7290131067421</v>
      </c>
      <c r="K57" s="8" cm="1">
        <f t="array" aca="1" ref="K57" ca="1">_xlfn.XLOOKUP(Table11[[#This Row],[Admin2PCODE]], tblPiNAnalysis[Admin2PCODE], INDIRECT("tblPiNAnalysis[" &amp; Table11[[#Headers],[ASH]] &amp; "]"), "NOT FOUND", 0, 1)</f>
        <v>11273.445</v>
      </c>
      <c r="L57" s="8" cm="1">
        <f t="array" aca="1" ref="L57" ca="1">_xlfn.XLOOKUP(Table11[[#This Row],[Admin2PCODE]], tblPiNAnalysis[Admin2PCODE], INDIRECT("tblPiNAnalysis[" &amp; Table11[[#Headers],[NNA]] &amp; "]"), "NOT FOUND", 0, 1)</f>
        <v>2302.6332841941576</v>
      </c>
      <c r="M57" s="8" cm="1">
        <f t="array" aca="1" ref="M57" ca="1">_xlfn.XLOOKUP(Table11[[#This Row],[Admin2PCODE]], tblPiNAnalysis[Admin2PCODE], INDIRECT("tblPiNAnalysis[" &amp; Table11[[#Headers],[VBG]] &amp; "]"), "NOT FOUND", 0, 1)</f>
        <v>2518.5051545873594</v>
      </c>
      <c r="N57" s="8" cm="1">
        <f t="array" aca="1" ref="N57" ca="1">_xlfn.XLOOKUP(Table11[[#This Row],[Admin2PCODE]], tblPiNAnalysis[Admin2PCODE], INDIRECT("tblPiNAnalysis[" &amp; Table11[[#Headers],[PiN más alto]] &amp; "]"), "NOT FOUND", 0, 1)</f>
        <v>30480.055</v>
      </c>
      <c r="O57" t="str" cm="1">
        <f t="array" aca="1" ref="O57" ca="1">_xlfn.XLOOKUP(Table11[[#This Row],[Admin2PCODE]], tblPiNAnalysis[Admin2PCODE], INDIRECT("tblPiNAnalysis[" &amp; Table11[[#Headers],[Sectores más altos]] &amp; "]"), "NOT FOUND", 0, 1)</f>
        <v>SAL</v>
      </c>
      <c r="P57" cm="1">
        <f t="array" ref="P57">_xlfn.XLOOKUP(Table11[[#This Row],[Admin2PCODE]], tblPiNAnalysis[Admin2PCODE], tblPiNAnalysis[Severidad], "NOT FOUND", 0, 1)</f>
        <v>3</v>
      </c>
      <c r="Q57" s="318">
        <v>0.33333333333333331</v>
      </c>
      <c r="R57" s="318">
        <v>0.36190476190476184</v>
      </c>
      <c r="S57" s="318">
        <v>0.12063492063492061</v>
      </c>
      <c r="T57">
        <v>0</v>
      </c>
      <c r="W57">
        <f>_xlfn.XLOOKUP(Table11[[#This Row],[Admin2PCODE]],tblSeverityAnalysis[Admin 2 Código P],tblSeverityAnalysis[PRO],0,0)</f>
        <v>2</v>
      </c>
      <c r="Y57">
        <v>0</v>
      </c>
      <c r="Z57">
        <v>2.35</v>
      </c>
      <c r="AA57">
        <f t="shared" si="0"/>
        <v>2</v>
      </c>
    </row>
    <row r="58" spans="1:27">
      <c r="A58" t="s">
        <v>215</v>
      </c>
      <c r="B58" t="s">
        <v>216</v>
      </c>
      <c r="C58" s="42" t="s">
        <v>221</v>
      </c>
      <c r="D58" t="s">
        <v>222</v>
      </c>
      <c r="E58" s="8" cm="1">
        <f t="array" aca="1" ref="E58" ca="1">_xlfn.XLOOKUP(Table11[[#This Row],[Admin2PCODE]], tblPiNAnalysis[Admin2PCODE], INDIRECT("tblPiNAnalysis[" &amp; Table11[[#Headers],[Población]] &amp; "]"), "NOT FOUND", 0, 1)</f>
        <v>24259</v>
      </c>
      <c r="F58" s="8" cm="1">
        <f t="array" aca="1" ref="F58" ca="1">_xlfn.XLOOKUP(Table11[[#This Row],[Admin2PCODE]], tblPiNAnalysis[Admin2PCODE], INDIRECT("tblPiNAnalysis[" &amp; Table11[[#Headers],[SAMV]] &amp; "]"), "NOT FOUND", 0, 1)</f>
        <v>4906</v>
      </c>
      <c r="G58" s="8" cm="1">
        <f t="array" aca="1" ref="G58" ca="1">_xlfn.XLOOKUP(Table11[[#This Row],[Admin2PCODE]], tblPiNAnalysis[Admin2PCODE], INDIRECT("tblPiNAnalysis[" &amp; Table11[[#Headers],[NUT]] &amp; "]"), "NOT FOUND", 0, 1)</f>
        <v>910.18086668605383</v>
      </c>
      <c r="H58" s="8" cm="1">
        <f t="array" aca="1" ref="H58" ca="1">_xlfn.XLOOKUP(Table11[[#This Row],[Admin2PCODE]], tblPiNAnalysis[Admin2PCODE], INDIRECT("tblPiNAnalysis[" &amp; Table11[[#Headers],[SAL]] &amp; "]"), "NOT FOUND", 0, 1)</f>
        <v>11200</v>
      </c>
      <c r="I58" s="8" cm="1">
        <f t="array" aca="1" ref="I58" ca="1">_xlfn.XLOOKUP(Table11[[#This Row],[Admin2PCODE]], tblPiNAnalysis[Admin2PCODE], INDIRECT("tblPiNAnalysis[" &amp; Table11[[#Headers],[EDU]] &amp; "]"), "NOT FOUND", 0, 1)</f>
        <v>1558.6935086411447</v>
      </c>
      <c r="J58" s="8" cm="1">
        <f t="array" aca="1" ref="J58" ca="1">_xlfn.XLOOKUP(Table11[[#This Row],[Admin2PCODE]], tblPiNAnalysis[Admin2PCODE], INDIRECT("tblPiNAnalysis[" &amp; Table11[[#Headers],[PRO]] &amp; "]"), "NOT FOUND", 0, 1)</f>
        <v>696.79264464438666</v>
      </c>
      <c r="K58" s="8" cm="1">
        <f t="array" aca="1" ref="K58" ca="1">_xlfn.XLOOKUP(Table11[[#This Row],[Admin2PCODE]], tblPiNAnalysis[Admin2PCODE], INDIRECT("tblPiNAnalysis[" &amp; Table11[[#Headers],[ASH]] &amp; "]"), "NOT FOUND", 0, 1)</f>
        <v>0</v>
      </c>
      <c r="L58" s="8" cm="1">
        <f t="array" aca="1" ref="L58" ca="1">_xlfn.XLOOKUP(Table11[[#This Row],[Admin2PCODE]], tblPiNAnalysis[Admin2PCODE], INDIRECT("tblPiNAnalysis[" &amp; Table11[[#Headers],[NNA]] &amp; "]"), "NOT FOUND", 0, 1)</f>
        <v>222.97364628620372</v>
      </c>
      <c r="M58" s="8" cm="1">
        <f t="array" aca="1" ref="M58" ca="1">_xlfn.XLOOKUP(Table11[[#This Row],[Admin2PCODE]], tblPiNAnalysis[Admin2PCODE], INDIRECT("tblPiNAnalysis[" &amp; Table11[[#Headers],[VBG]] &amp; "]"), "NOT FOUND", 0, 1)</f>
        <v>243.8774256255353</v>
      </c>
      <c r="N58" s="8" cm="1">
        <f t="array" aca="1" ref="N58" ca="1">_xlfn.XLOOKUP(Table11[[#This Row],[Admin2PCODE]], tblPiNAnalysis[Admin2PCODE], INDIRECT("tblPiNAnalysis[" &amp; Table11[[#Headers],[PiN más alto]] &amp; "]"), "NOT FOUND", 0, 1)</f>
        <v>11200</v>
      </c>
      <c r="O58" t="str" cm="1">
        <f t="array" aca="1" ref="O58" ca="1">_xlfn.XLOOKUP(Table11[[#This Row],[Admin2PCODE]], tblPiNAnalysis[Admin2PCODE], INDIRECT("tblPiNAnalysis[" &amp; Table11[[#Headers],[Sectores más altos]] &amp; "]"), "NOT FOUND", 0, 1)</f>
        <v>SAL</v>
      </c>
      <c r="P58" cm="1">
        <f t="array" ref="P58">_xlfn.XLOOKUP(Table11[[#This Row],[Admin2PCODE]], tblPiNAnalysis[Admin2PCODE], tblPiNAnalysis[Severidad], "NOT FOUND", 0, 1)</f>
        <v>2</v>
      </c>
      <c r="Q58" s="318">
        <v>0.26315789473684209</v>
      </c>
      <c r="R58" s="318">
        <v>0.33333333333333331</v>
      </c>
      <c r="S58" s="318">
        <v>8.771929824561403E-2</v>
      </c>
      <c r="T58">
        <v>0</v>
      </c>
      <c r="W58">
        <f>_xlfn.XLOOKUP(Table11[[#This Row],[Admin2PCODE]],tblSeverityAnalysis[Admin 2 Código P],tblSeverityAnalysis[PRO],0,0)</f>
        <v>1</v>
      </c>
      <c r="Y58">
        <v>0</v>
      </c>
      <c r="Z58">
        <v>7.15</v>
      </c>
      <c r="AA58">
        <f t="shared" si="0"/>
        <v>7</v>
      </c>
    </row>
    <row r="59" spans="1:27">
      <c r="A59" t="s">
        <v>215</v>
      </c>
      <c r="B59" t="s">
        <v>216</v>
      </c>
      <c r="C59" s="42" t="s">
        <v>215</v>
      </c>
      <c r="D59" t="s">
        <v>223</v>
      </c>
      <c r="E59" s="8" cm="1">
        <f t="array" aca="1" ref="E59" ca="1">_xlfn.XLOOKUP(Table11[[#This Row],[Admin2PCODE]], tblPiNAnalysis[Admin2PCODE], INDIRECT("tblPiNAnalysis[" &amp; Table11[[#Headers],[Población]] &amp; "]"), "NOT FOUND", 0, 1)</f>
        <v>361844</v>
      </c>
      <c r="F59" s="8" cm="1">
        <f t="array" aca="1" ref="F59" ca="1">_xlfn.XLOOKUP(Table11[[#This Row],[Admin2PCODE]], tblPiNAnalysis[Admin2PCODE], INDIRECT("tblPiNAnalysis[" &amp; Table11[[#Headers],[SAMV]] &amp; "]"), "NOT FOUND", 0, 1)</f>
        <v>60911</v>
      </c>
      <c r="G59" s="8" cm="1">
        <f t="array" aca="1" ref="G59" ca="1">_xlfn.XLOOKUP(Table11[[#This Row],[Admin2PCODE]], tblPiNAnalysis[Admin2PCODE], INDIRECT("tblPiNAnalysis[" &amp; Table11[[#Headers],[NUT]] &amp; "]"), "NOT FOUND", 0, 1)</f>
        <v>17693.869597495635</v>
      </c>
      <c r="H59" s="8" cm="1">
        <f t="array" aca="1" ref="H59" ca="1">_xlfn.XLOOKUP(Table11[[#This Row],[Admin2PCODE]], tblPiNAnalysis[Admin2PCODE], INDIRECT("tblPiNAnalysis[" &amp; Table11[[#Headers],[SAL]] &amp; "]"), "NOT FOUND", 0, 1)</f>
        <v>132073.06</v>
      </c>
      <c r="I59" s="8" cm="1">
        <f t="array" aca="1" ref="I59" ca="1">_xlfn.XLOOKUP(Table11[[#This Row],[Admin2PCODE]], tblPiNAnalysis[Admin2PCODE], INDIRECT("tblPiNAnalysis[" &amp; Table11[[#Headers],[EDU]] &amp; "]"), "NOT FOUND", 0, 1)</f>
        <v>32131.916071263273</v>
      </c>
      <c r="J59" s="8" cm="1">
        <f t="array" aca="1" ref="J59" ca="1">_xlfn.XLOOKUP(Table11[[#This Row],[Admin2PCODE]], tblPiNAnalysis[Admin2PCODE], INDIRECT("tblPiNAnalysis[" &amp; Table11[[#Headers],[PRO]] &amp; "]"), "NOT FOUND", 0, 1)</f>
        <v>51966.329549590555</v>
      </c>
      <c r="K59" s="8" cm="1">
        <f t="array" aca="1" ref="K59" ca="1">_xlfn.XLOOKUP(Table11[[#This Row],[Admin2PCODE]], tblPiNAnalysis[Admin2PCODE], INDIRECT("tblPiNAnalysis[" &amp; Table11[[#Headers],[ASH]] &amp; "]"), "NOT FOUND", 0, 1)</f>
        <v>0</v>
      </c>
      <c r="L59" s="8" cm="1">
        <f t="array" aca="1" ref="L59" ca="1">_xlfn.XLOOKUP(Table11[[#This Row],[Admin2PCODE]], tblPiNAnalysis[Admin2PCODE], INDIRECT("tblPiNAnalysis[" &amp; Table11[[#Headers],[NNA]] &amp; "]"), "NOT FOUND", 0, 1)</f>
        <v>16629.225455868978</v>
      </c>
      <c r="M59" s="8" cm="1">
        <f t="array" aca="1" ref="M59" ca="1">_xlfn.XLOOKUP(Table11[[#This Row],[Admin2PCODE]], tblPiNAnalysis[Admin2PCODE], INDIRECT("tblPiNAnalysis[" &amp; Table11[[#Headers],[VBG]] &amp; "]"), "NOT FOUND", 0, 1)</f>
        <v>18188.215342356692</v>
      </c>
      <c r="N59" s="8" cm="1">
        <f t="array" aca="1" ref="N59" ca="1">_xlfn.XLOOKUP(Table11[[#This Row],[Admin2PCODE]], tblPiNAnalysis[Admin2PCODE], INDIRECT("tblPiNAnalysis[" &amp; Table11[[#Headers],[PiN más alto]] &amp; "]"), "NOT FOUND", 0, 1)</f>
        <v>132073.06</v>
      </c>
      <c r="O59" t="str" cm="1">
        <f t="array" aca="1" ref="O59" ca="1">_xlfn.XLOOKUP(Table11[[#This Row],[Admin2PCODE]], tblPiNAnalysis[Admin2PCODE], INDIRECT("tblPiNAnalysis[" &amp; Table11[[#Headers],[Sectores más altos]] &amp; "]"), "NOT FOUND", 0, 1)</f>
        <v>SAL</v>
      </c>
      <c r="P59" cm="1">
        <f t="array" ref="P59">_xlfn.XLOOKUP(Table11[[#This Row],[Admin2PCODE]], tblPiNAnalysis[Admin2PCODE], tblPiNAnalysis[Severidad], "NOT FOUND", 0, 1)</f>
        <v>3</v>
      </c>
      <c r="Q59" s="318">
        <v>0.21945701357466063</v>
      </c>
      <c r="R59" s="318">
        <v>0.40836197021764042</v>
      </c>
      <c r="S59" s="318">
        <v>8.9617898441427882E-2</v>
      </c>
      <c r="T59">
        <v>0</v>
      </c>
      <c r="W59">
        <f>_xlfn.XLOOKUP(Table11[[#This Row],[Admin2PCODE]],tblSeverityAnalysis[Admin 2 Código P],tblSeverityAnalysis[PRO],0,0)</f>
        <v>3</v>
      </c>
      <c r="Y59">
        <v>0</v>
      </c>
      <c r="Z59">
        <v>3.35</v>
      </c>
      <c r="AA59">
        <f t="shared" si="0"/>
        <v>3</v>
      </c>
    </row>
    <row r="60" spans="1:27">
      <c r="A60" t="s">
        <v>215</v>
      </c>
      <c r="B60" t="s">
        <v>216</v>
      </c>
      <c r="C60" s="42" t="s">
        <v>180</v>
      </c>
      <c r="D60" t="s">
        <v>224</v>
      </c>
      <c r="E60" s="8" cm="1">
        <f t="array" aca="1" ref="E60" ca="1">_xlfn.XLOOKUP(Table11[[#This Row],[Admin2PCODE]], tblPiNAnalysis[Admin2PCODE], INDIRECT("tblPiNAnalysis[" &amp; Table11[[#Headers],[Población]] &amp; "]"), "NOT FOUND", 0, 1)</f>
        <v>54059</v>
      </c>
      <c r="F60" s="8" cm="1">
        <f t="array" aca="1" ref="F60" ca="1">_xlfn.XLOOKUP(Table11[[#This Row],[Admin2PCODE]], tblPiNAnalysis[Admin2PCODE], INDIRECT("tblPiNAnalysis[" &amp; Table11[[#Headers],[SAMV]] &amp; "]"), "NOT FOUND", 0, 1)</f>
        <v>17100</v>
      </c>
      <c r="G60" s="8" cm="1">
        <f t="array" aca="1" ref="G60" ca="1">_xlfn.XLOOKUP(Table11[[#This Row],[Admin2PCODE]], tblPiNAnalysis[Admin2PCODE], INDIRECT("tblPiNAnalysis[" &amp; Table11[[#Headers],[NUT]] &amp; "]"), "NOT FOUND", 0, 1)</f>
        <v>2112.0067110644577</v>
      </c>
      <c r="H60" s="8" cm="1">
        <f t="array" aca="1" ref="H60" ca="1">_xlfn.XLOOKUP(Table11[[#This Row],[Admin2PCODE]], tblPiNAnalysis[Admin2PCODE], INDIRECT("tblPiNAnalysis[" &amp; Table11[[#Headers],[SAL]] &amp; "]"), "NOT FOUND", 0, 1)</f>
        <v>47700</v>
      </c>
      <c r="I60" s="8" cm="1">
        <f t="array" aca="1" ref="I60" ca="1">_xlfn.XLOOKUP(Table11[[#This Row],[Admin2PCODE]], tblPiNAnalysis[Admin2PCODE], INDIRECT("tblPiNAnalysis[" &amp; Table11[[#Headers],[EDU]] &amp; "]"), "NOT FOUND", 0, 1)</f>
        <v>4205.5268157862192</v>
      </c>
      <c r="J60" s="8" cm="1">
        <f t="array" aca="1" ref="J60" ca="1">_xlfn.XLOOKUP(Table11[[#This Row],[Admin2PCODE]], tblPiNAnalysis[Admin2PCODE], INDIRECT("tblPiNAnalysis[" &amp; Table11[[#Headers],[PRO]] &amp; "]"), "NOT FOUND", 0, 1)</f>
        <v>7763.698746203655</v>
      </c>
      <c r="K60" s="8" cm="1">
        <f t="array" aca="1" ref="K60" ca="1">_xlfn.XLOOKUP(Table11[[#This Row],[Admin2PCODE]], tblPiNAnalysis[Admin2PCODE], INDIRECT("tblPiNAnalysis[" &amp; Table11[[#Headers],[ASH]] &amp; "]"), "NOT FOUND", 0, 1)</f>
        <v>0</v>
      </c>
      <c r="L60" s="8" cm="1">
        <f t="array" aca="1" ref="L60" ca="1">_xlfn.XLOOKUP(Table11[[#This Row],[Admin2PCODE]], tblPiNAnalysis[Admin2PCODE], INDIRECT("tblPiNAnalysis[" &amp; Table11[[#Headers],[NNA]] &amp; "]"), "NOT FOUND", 0, 1)</f>
        <v>2484.3835987851699</v>
      </c>
      <c r="M60" s="8" cm="1">
        <f t="array" aca="1" ref="M60" ca="1">_xlfn.XLOOKUP(Table11[[#This Row],[Admin2PCODE]], tblPiNAnalysis[Admin2PCODE], INDIRECT("tblPiNAnalysis[" &amp; Table11[[#Headers],[VBG]] &amp; "]"), "NOT FOUND", 0, 1)</f>
        <v>2717.2945611712789</v>
      </c>
      <c r="N60" s="8" cm="1">
        <f t="array" aca="1" ref="N60" ca="1">_xlfn.XLOOKUP(Table11[[#This Row],[Admin2PCODE]], tblPiNAnalysis[Admin2PCODE], INDIRECT("tblPiNAnalysis[" &amp; Table11[[#Headers],[PiN más alto]] &amp; "]"), "NOT FOUND", 0, 1)</f>
        <v>47700</v>
      </c>
      <c r="O60" t="str" cm="1">
        <f t="array" aca="1" ref="O60" ca="1">_xlfn.XLOOKUP(Table11[[#This Row],[Admin2PCODE]], tblPiNAnalysis[Admin2PCODE], INDIRECT("tblPiNAnalysis[" &amp; Table11[[#Headers],[Sectores más altos]] &amp; "]"), "NOT FOUND", 0, 1)</f>
        <v>SAL</v>
      </c>
      <c r="P60" cm="1">
        <f t="array" ref="P60">_xlfn.XLOOKUP(Table11[[#This Row],[Admin2PCODE]], tblPiNAnalysis[Admin2PCODE], tblPiNAnalysis[Severidad], "NOT FOUND", 0, 1)</f>
        <v>2</v>
      </c>
      <c r="Q60" s="318">
        <v>0</v>
      </c>
      <c r="R60" s="318">
        <v>0</v>
      </c>
      <c r="S60" s="318">
        <v>0</v>
      </c>
      <c r="T60">
        <v>0</v>
      </c>
      <c r="W60">
        <f>_xlfn.XLOOKUP(Table11[[#This Row],[Admin2PCODE]],tblSeverityAnalysis[Admin 2 Código P],tblSeverityAnalysis[PRO],0,0)</f>
        <v>3</v>
      </c>
      <c r="Y60">
        <v>0</v>
      </c>
      <c r="Z60">
        <v>0</v>
      </c>
      <c r="AA60">
        <f t="shared" si="0"/>
        <v>0</v>
      </c>
    </row>
    <row r="61" spans="1:27">
      <c r="A61" t="s">
        <v>215</v>
      </c>
      <c r="B61" t="s">
        <v>216</v>
      </c>
      <c r="C61" s="42" t="s">
        <v>225</v>
      </c>
      <c r="D61" t="s">
        <v>226</v>
      </c>
      <c r="E61" s="8" cm="1">
        <f t="array" aca="1" ref="E61" ca="1">_xlfn.XLOOKUP(Table11[[#This Row],[Admin2PCODE]], tblPiNAnalysis[Admin2PCODE], INDIRECT("tblPiNAnalysis[" &amp; Table11[[#Headers],[Población]] &amp; "]"), "NOT FOUND", 0, 1)</f>
        <v>26629</v>
      </c>
      <c r="F61" s="8" cm="1">
        <f t="array" aca="1" ref="F61" ca="1">_xlfn.XLOOKUP(Table11[[#This Row],[Admin2PCODE]], tblPiNAnalysis[Admin2PCODE], INDIRECT("tblPiNAnalysis[" &amp; Table11[[#Headers],[SAMV]] &amp; "]"), "NOT FOUND", 0, 1)</f>
        <v>5055</v>
      </c>
      <c r="G61" s="8" cm="1">
        <f t="array" aca="1" ref="G61" ca="1">_xlfn.XLOOKUP(Table11[[#This Row],[Admin2PCODE]], tblPiNAnalysis[Admin2PCODE], INDIRECT("tblPiNAnalysis[" &amp; Table11[[#Headers],[NUT]] &amp; "]"), "NOT FOUND", 0, 1)</f>
        <v>1231.0694342439137</v>
      </c>
      <c r="H61" s="8" cm="1">
        <f t="array" aca="1" ref="H61" ca="1">_xlfn.XLOOKUP(Table11[[#This Row],[Admin2PCODE]], tblPiNAnalysis[Admin2PCODE], INDIRECT("tblPiNAnalysis[" &amp; Table11[[#Headers],[SAL]] &amp; "]"), "NOT FOUND", 0, 1)</f>
        <v>21000</v>
      </c>
      <c r="I61" s="8" cm="1">
        <f t="array" aca="1" ref="I61" ca="1">_xlfn.XLOOKUP(Table11[[#This Row],[Admin2PCODE]], tblPiNAnalysis[Admin2PCODE], INDIRECT("tblPiNAnalysis[" &amp; Table11[[#Headers],[EDU]] &amp; "]"), "NOT FOUND", 0, 1)</f>
        <v>1763.0692104279424</v>
      </c>
      <c r="J61" s="8" cm="1">
        <f t="array" aca="1" ref="J61" ca="1">_xlfn.XLOOKUP(Table11[[#This Row],[Admin2PCODE]], tblPiNAnalysis[Admin2PCODE], INDIRECT("tblPiNAnalysis[" &amp; Table11[[#Headers],[PRO]] &amp; "]"), "NOT FOUND", 0, 1)</f>
        <v>2294.5988706338317</v>
      </c>
      <c r="K61" s="8" cm="1">
        <f t="array" aca="1" ref="K61" ca="1">_xlfn.XLOOKUP(Table11[[#This Row],[Admin2PCODE]], tblPiNAnalysis[Admin2PCODE], INDIRECT("tblPiNAnalysis[" &amp; Table11[[#Headers],[ASH]] &amp; "]"), "NOT FOUND", 0, 1)</f>
        <v>0</v>
      </c>
      <c r="L61" s="8" cm="1">
        <f t="array" aca="1" ref="L61" ca="1">_xlfn.XLOOKUP(Table11[[#This Row],[Admin2PCODE]], tblPiNAnalysis[Admin2PCODE], INDIRECT("tblPiNAnalysis[" &amp; Table11[[#Headers],[NNA]] &amp; "]"), "NOT FOUND", 0, 1)</f>
        <v>734.27163860282621</v>
      </c>
      <c r="M61" s="8" cm="1">
        <f t="array" aca="1" ref="M61" ca="1">_xlfn.XLOOKUP(Table11[[#This Row],[Admin2PCODE]], tblPiNAnalysis[Admin2PCODE], INDIRECT("tblPiNAnalysis[" &amp; Table11[[#Headers],[VBG]] &amp; "]"), "NOT FOUND", 0, 1)</f>
        <v>803.10960472184104</v>
      </c>
      <c r="N61" s="8" cm="1">
        <f t="array" aca="1" ref="N61" ca="1">_xlfn.XLOOKUP(Table11[[#This Row],[Admin2PCODE]], tblPiNAnalysis[Admin2PCODE], INDIRECT("tblPiNAnalysis[" &amp; Table11[[#Headers],[PiN más alto]] &amp; "]"), "NOT FOUND", 0, 1)</f>
        <v>21000</v>
      </c>
      <c r="O61" t="str" cm="1">
        <f t="array" aca="1" ref="O61" ca="1">_xlfn.XLOOKUP(Table11[[#This Row],[Admin2PCODE]], tblPiNAnalysis[Admin2PCODE], INDIRECT("tblPiNAnalysis[" &amp; Table11[[#Headers],[Sectores más altos]] &amp; "]"), "NOT FOUND", 0, 1)</f>
        <v>SAL</v>
      </c>
      <c r="P61" cm="1">
        <f t="array" ref="P61">_xlfn.XLOOKUP(Table11[[#This Row],[Admin2PCODE]], tblPiNAnalysis[Admin2PCODE], tblPiNAnalysis[Severidad], "NOT FOUND", 0, 1)</f>
        <v>2</v>
      </c>
      <c r="Q61" s="318">
        <v>6.1224489795918366E-2</v>
      </c>
      <c r="R61" s="318">
        <v>0.5</v>
      </c>
      <c r="S61" s="318">
        <v>3.0612244897959183E-2</v>
      </c>
      <c r="T61">
        <v>0</v>
      </c>
      <c r="W61">
        <f>_xlfn.XLOOKUP(Table11[[#This Row],[Admin2PCODE]],tblSeverityAnalysis[Admin 2 Código P],tblSeverityAnalysis[PRO],0,0)</f>
        <v>2</v>
      </c>
      <c r="Y61">
        <v>0</v>
      </c>
      <c r="Z61">
        <v>0</v>
      </c>
      <c r="AA61">
        <f t="shared" si="0"/>
        <v>0</v>
      </c>
    </row>
    <row r="62" spans="1:27">
      <c r="A62" t="s">
        <v>215</v>
      </c>
      <c r="B62" t="s">
        <v>216</v>
      </c>
      <c r="C62" s="42" t="s">
        <v>227</v>
      </c>
      <c r="D62" t="s">
        <v>228</v>
      </c>
      <c r="E62" s="8" cm="1">
        <f t="array" aca="1" ref="E62" ca="1">_xlfn.XLOOKUP(Table11[[#This Row],[Admin2PCODE]], tblPiNAnalysis[Admin2PCODE], INDIRECT("tblPiNAnalysis[" &amp; Table11[[#Headers],[Población]] &amp; "]"), "NOT FOUND", 0, 1)</f>
        <v>54787</v>
      </c>
      <c r="F62" s="8" cm="1">
        <f t="array" aca="1" ref="F62" ca="1">_xlfn.XLOOKUP(Table11[[#This Row],[Admin2PCODE]], tblPiNAnalysis[Admin2PCODE], INDIRECT("tblPiNAnalysis[" &amp; Table11[[#Headers],[SAMV]] &amp; "]"), "NOT FOUND", 0, 1)</f>
        <v>5870</v>
      </c>
      <c r="G62" s="8" cm="1">
        <f t="array" aca="1" ref="G62" ca="1">_xlfn.XLOOKUP(Table11[[#This Row],[Admin2PCODE]], tblPiNAnalysis[Admin2PCODE], INDIRECT("tblPiNAnalysis[" &amp; Table11[[#Headers],[NUT]] &amp; "]"), "NOT FOUND", 0, 1)</f>
        <v>2350.918913724151</v>
      </c>
      <c r="H62" s="8" cm="1">
        <f t="array" aca="1" ref="H62" ca="1">_xlfn.XLOOKUP(Table11[[#This Row],[Admin2PCODE]], tblPiNAnalysis[Admin2PCODE], INDIRECT("tblPiNAnalysis[" &amp; Table11[[#Headers],[SAL]] &amp; "]"), "NOT FOUND", 0, 1)</f>
        <v>19997.255000000001</v>
      </c>
      <c r="I62" s="8" cm="1">
        <f t="array" aca="1" ref="I62" ca="1">_xlfn.XLOOKUP(Table11[[#This Row],[Admin2PCODE]], tblPiNAnalysis[Admin2PCODE], INDIRECT("tblPiNAnalysis[" &amp; Table11[[#Headers],[EDU]] &amp; "]"), "NOT FOUND", 0, 1)</f>
        <v>4358.0776772139025</v>
      </c>
      <c r="J62" s="8" cm="1">
        <f t="array" aca="1" ref="J62" ca="1">_xlfn.XLOOKUP(Table11[[#This Row],[Admin2PCODE]], tblPiNAnalysis[Admin2PCODE], INDIRECT("tblPiNAnalysis[" &amp; Table11[[#Headers],[PRO]] &amp; "]"), "NOT FOUND", 0, 1)</f>
        <v>9441.9008092993136</v>
      </c>
      <c r="K62" s="8" cm="1">
        <f t="array" aca="1" ref="K62" ca="1">_xlfn.XLOOKUP(Table11[[#This Row],[Admin2PCODE]], tblPiNAnalysis[Admin2PCODE], INDIRECT("tblPiNAnalysis[" &amp; Table11[[#Headers],[ASH]] &amp; "]"), "NOT FOUND", 0, 1)</f>
        <v>0</v>
      </c>
      <c r="L62" s="8" cm="1">
        <f t="array" aca="1" ref="L62" ca="1">_xlfn.XLOOKUP(Table11[[#This Row],[Admin2PCODE]], tblPiNAnalysis[Admin2PCODE], INDIRECT("tblPiNAnalysis[" &amp; Table11[[#Headers],[NNA]] &amp; "]"), "NOT FOUND", 0, 1)</f>
        <v>3030.8501597850795</v>
      </c>
      <c r="M62" s="8" cm="1">
        <f t="array" aca="1" ref="M62" ca="1">_xlfn.XLOOKUP(Table11[[#This Row],[Admin2PCODE]], tblPiNAnalysis[Admin2PCODE], INDIRECT("tblPiNAnalysis[" &amp; Table11[[#Headers],[VBG]] &amp; "]"), "NOT FOUND", 0, 1)</f>
        <v>3304.6652832547597</v>
      </c>
      <c r="N62" s="8" cm="1">
        <f t="array" aca="1" ref="N62" ca="1">_xlfn.XLOOKUP(Table11[[#This Row],[Admin2PCODE]], tblPiNAnalysis[Admin2PCODE], INDIRECT("tblPiNAnalysis[" &amp; Table11[[#Headers],[PiN más alto]] &amp; "]"), "NOT FOUND", 0, 1)</f>
        <v>19997.255000000001</v>
      </c>
      <c r="O62" t="str" cm="1">
        <f t="array" aca="1" ref="O62" ca="1">_xlfn.XLOOKUP(Table11[[#This Row],[Admin2PCODE]], tblPiNAnalysis[Admin2PCODE], INDIRECT("tblPiNAnalysis[" &amp; Table11[[#Headers],[Sectores más altos]] &amp; "]"), "NOT FOUND", 0, 1)</f>
        <v>SAL</v>
      </c>
      <c r="P62" cm="1">
        <f t="array" ref="P62">_xlfn.XLOOKUP(Table11[[#This Row],[Admin2PCODE]], tblPiNAnalysis[Admin2PCODE], tblPiNAnalysis[Severidad], "NOT FOUND", 0, 1)</f>
        <v>2</v>
      </c>
      <c r="Q62" s="318">
        <v>0.35897435897435898</v>
      </c>
      <c r="R62" s="318">
        <v>0.38095238095238093</v>
      </c>
      <c r="S62" s="318">
        <v>0.13675213675213674</v>
      </c>
      <c r="T62">
        <v>0</v>
      </c>
      <c r="W62">
        <f>_xlfn.XLOOKUP(Table11[[#This Row],[Admin2PCODE]],tblSeverityAnalysis[Admin 2 Código P],tblSeverityAnalysis[PRO],0,0)</f>
        <v>4</v>
      </c>
      <c r="Y62">
        <v>0</v>
      </c>
      <c r="Z62">
        <v>3.8</v>
      </c>
      <c r="AA62">
        <f t="shared" si="0"/>
        <v>4</v>
      </c>
    </row>
    <row r="63" spans="1:27">
      <c r="A63" t="s">
        <v>215</v>
      </c>
      <c r="B63" t="s">
        <v>216</v>
      </c>
      <c r="C63" s="42" t="s">
        <v>229</v>
      </c>
      <c r="D63" t="s">
        <v>230</v>
      </c>
      <c r="E63" s="8" cm="1">
        <f t="array" aca="1" ref="E63" ca="1">_xlfn.XLOOKUP(Table11[[#This Row],[Admin2PCODE]], tblPiNAnalysis[Admin2PCODE], INDIRECT("tblPiNAnalysis[" &amp; Table11[[#Headers],[Población]] &amp; "]"), "NOT FOUND", 0, 1)</f>
        <v>38344</v>
      </c>
      <c r="F63" s="8" cm="1">
        <f t="array" aca="1" ref="F63" ca="1">_xlfn.XLOOKUP(Table11[[#This Row],[Admin2PCODE]], tblPiNAnalysis[Admin2PCODE], INDIRECT("tblPiNAnalysis[" &amp; Table11[[#Headers],[SAMV]] &amp; "]"), "NOT FOUND", 0, 1)</f>
        <v>7736</v>
      </c>
      <c r="G63" s="8" cm="1">
        <f t="array" aca="1" ref="G63" ca="1">_xlfn.XLOOKUP(Table11[[#This Row],[Admin2PCODE]], tblPiNAnalysis[Admin2PCODE], INDIRECT("tblPiNAnalysis[" &amp; Table11[[#Headers],[NUT]] &amp; "]"), "NOT FOUND", 0, 1)</f>
        <v>1587.675273980743</v>
      </c>
      <c r="H63" s="8" cm="1">
        <f t="array" aca="1" ref="H63" ca="1">_xlfn.XLOOKUP(Table11[[#This Row],[Admin2PCODE]], tblPiNAnalysis[Admin2PCODE], INDIRECT("tblPiNAnalysis[" &amp; Table11[[#Headers],[SAL]] &amp; "]"), "NOT FOUND", 0, 1)</f>
        <v>13995.56</v>
      </c>
      <c r="I63" s="8" cm="1">
        <f t="array" aca="1" ref="I63" ca="1">_xlfn.XLOOKUP(Table11[[#This Row],[Admin2PCODE]], tblPiNAnalysis[Admin2PCODE], INDIRECT("tblPiNAnalysis[" &amp; Table11[[#Headers],[EDU]] &amp; "]"), "NOT FOUND", 0, 1)</f>
        <v>2906.6436473137446</v>
      </c>
      <c r="J63" s="8" cm="1">
        <f t="array" aca="1" ref="J63" ca="1">_xlfn.XLOOKUP(Table11[[#This Row],[Admin2PCODE]], tblPiNAnalysis[Admin2PCODE], INDIRECT("tblPiNAnalysis[" &amp; Table11[[#Headers],[PRO]] &amp; "]"), "NOT FOUND", 0, 1)</f>
        <v>5506.7845266178247</v>
      </c>
      <c r="K63" s="8" cm="1">
        <f t="array" aca="1" ref="K63" ca="1">_xlfn.XLOOKUP(Table11[[#This Row],[Admin2PCODE]], tblPiNAnalysis[Admin2PCODE], INDIRECT("tblPiNAnalysis[" &amp; Table11[[#Headers],[ASH]] &amp; "]"), "NOT FOUND", 0, 1)</f>
        <v>0</v>
      </c>
      <c r="L63" s="8" cm="1">
        <f t="array" aca="1" ref="L63" ca="1">_xlfn.XLOOKUP(Table11[[#This Row],[Admin2PCODE]], tblPiNAnalysis[Admin2PCODE], INDIRECT("tblPiNAnalysis[" &amp; Table11[[#Headers],[NNA]] &amp; "]"), "NOT FOUND", 0, 1)</f>
        <v>1767.6778330443217</v>
      </c>
      <c r="M63" s="8" cm="1">
        <f t="array" aca="1" ref="M63" ca="1">_xlfn.XLOOKUP(Table11[[#This Row],[Admin2PCODE]], tblPiNAnalysis[Admin2PCODE], INDIRECT("tblPiNAnalysis[" &amp; Table11[[#Headers],[VBG]] &amp; "]"), "NOT FOUND", 0, 1)</f>
        <v>1927.3745843162387</v>
      </c>
      <c r="N63" s="8" cm="1">
        <f t="array" aca="1" ref="N63" ca="1">_xlfn.XLOOKUP(Table11[[#This Row],[Admin2PCODE]], tblPiNAnalysis[Admin2PCODE], INDIRECT("tblPiNAnalysis[" &amp; Table11[[#Headers],[PiN más alto]] &amp; "]"), "NOT FOUND", 0, 1)</f>
        <v>13995.56</v>
      </c>
      <c r="O63" t="str" cm="1">
        <f t="array" aca="1" ref="O63" ca="1">_xlfn.XLOOKUP(Table11[[#This Row],[Admin2PCODE]], tblPiNAnalysis[Admin2PCODE], INDIRECT("tblPiNAnalysis[" &amp; Table11[[#Headers],[Sectores más altos]] &amp; "]"), "NOT FOUND", 0, 1)</f>
        <v>SAL</v>
      </c>
      <c r="P63" cm="1">
        <f t="array" ref="P63">_xlfn.XLOOKUP(Table11[[#This Row],[Admin2PCODE]], tblPiNAnalysis[Admin2PCODE], tblPiNAnalysis[Severidad], "NOT FOUND", 0, 1)</f>
        <v>3</v>
      </c>
      <c r="Q63" s="318">
        <v>0</v>
      </c>
      <c r="R63" s="318">
        <v>0</v>
      </c>
      <c r="S63" s="318">
        <v>0</v>
      </c>
      <c r="T63">
        <v>0</v>
      </c>
      <c r="W63">
        <f>_xlfn.XLOOKUP(Table11[[#This Row],[Admin2PCODE]],tblSeverityAnalysis[Admin 2 Código P],tblSeverityAnalysis[PRO],0,0)</f>
        <v>3</v>
      </c>
      <c r="Y63">
        <v>0</v>
      </c>
      <c r="Z63">
        <v>2.1</v>
      </c>
      <c r="AA63">
        <f t="shared" si="0"/>
        <v>2</v>
      </c>
    </row>
    <row r="64" spans="1:27">
      <c r="A64" t="s">
        <v>215</v>
      </c>
      <c r="B64" t="s">
        <v>216</v>
      </c>
      <c r="C64" s="42" t="s">
        <v>231</v>
      </c>
      <c r="D64" t="s">
        <v>232</v>
      </c>
      <c r="E64" s="8" cm="1">
        <f t="array" aca="1" ref="E64" ca="1">_xlfn.XLOOKUP(Table11[[#This Row],[Admin2PCODE]], tblPiNAnalysis[Admin2PCODE], INDIRECT("tblPiNAnalysis[" &amp; Table11[[#Headers],[Población]] &amp; "]"), "NOT FOUND", 0, 1)</f>
        <v>66873</v>
      </c>
      <c r="F64" s="8" cm="1">
        <f t="array" aca="1" ref="F64" ca="1">_xlfn.XLOOKUP(Table11[[#This Row],[Admin2PCODE]], tblPiNAnalysis[Admin2PCODE], INDIRECT("tblPiNAnalysis[" &amp; Table11[[#Headers],[SAMV]] &amp; "]"), "NOT FOUND", 0, 1)</f>
        <v>3843</v>
      </c>
      <c r="G64" s="8" cm="1">
        <f t="array" aca="1" ref="G64" ca="1">_xlfn.XLOOKUP(Table11[[#This Row],[Admin2PCODE]], tblPiNAnalysis[Admin2PCODE], INDIRECT("tblPiNAnalysis[" &amp; Table11[[#Headers],[NUT]] &amp; "]"), "NOT FOUND", 0, 1)</f>
        <v>2735.4918458675638</v>
      </c>
      <c r="H64" s="8" cm="1">
        <f t="array" aca="1" ref="H64" ca="1">_xlfn.XLOOKUP(Table11[[#This Row],[Admin2PCODE]], tblPiNAnalysis[Admin2PCODE], INDIRECT("tblPiNAnalysis[" &amp; Table11[[#Headers],[SAL]] &amp; "]"), "NOT FOUND", 0, 1)</f>
        <v>24408.645</v>
      </c>
      <c r="I64" s="8" cm="1">
        <f t="array" aca="1" ref="I64" ca="1">_xlfn.XLOOKUP(Table11[[#This Row],[Admin2PCODE]], tblPiNAnalysis[Admin2PCODE], INDIRECT("tblPiNAnalysis[" &amp; Table11[[#Headers],[EDU]] &amp; "]"), "NOT FOUND", 0, 1)</f>
        <v>3993.8365335946228</v>
      </c>
      <c r="J64" s="8" cm="1">
        <f t="array" aca="1" ref="J64" ca="1">_xlfn.XLOOKUP(Table11[[#This Row],[Admin2PCODE]], tblPiNAnalysis[Admin2PCODE], INDIRECT("tblPiNAnalysis[" &amp; Table11[[#Headers],[PRO]] &amp; "]"), "NOT FOUND", 0, 1)</f>
        <v>5762.3910126514802</v>
      </c>
      <c r="K64" s="8" cm="1">
        <f t="array" aca="1" ref="K64" ca="1">_xlfn.XLOOKUP(Table11[[#This Row],[Admin2PCODE]], tblPiNAnalysis[Admin2PCODE], INDIRECT("tblPiNAnalysis[" &amp; Table11[[#Headers],[ASH]] &amp; "]"), "NOT FOUND", 0, 1)</f>
        <v>9027.8549999999996</v>
      </c>
      <c r="L64" s="8" cm="1">
        <f t="array" aca="1" ref="L64" ca="1">_xlfn.XLOOKUP(Table11[[#This Row],[Admin2PCODE]], tblPiNAnalysis[Admin2PCODE], INDIRECT("tblPiNAnalysis[" &amp; Table11[[#Headers],[NNA]] &amp; "]"), "NOT FOUND", 0, 1)</f>
        <v>1849.7275150611254</v>
      </c>
      <c r="M64" s="8" cm="1">
        <f t="array" aca="1" ref="M64" ca="1">_xlfn.XLOOKUP(Table11[[#This Row],[Admin2PCODE]], tblPiNAnalysis[Admin2PCODE], INDIRECT("tblPiNAnalysis[" &amp; Table11[[#Headers],[VBG]] &amp; "]"), "NOT FOUND", 0, 1)</f>
        <v>2016.8368544280179</v>
      </c>
      <c r="N64" s="8" cm="1">
        <f t="array" aca="1" ref="N64" ca="1">_xlfn.XLOOKUP(Table11[[#This Row],[Admin2PCODE]], tblPiNAnalysis[Admin2PCODE], INDIRECT("tblPiNAnalysis[" &amp; Table11[[#Headers],[PiN más alto]] &amp; "]"), "NOT FOUND", 0, 1)</f>
        <v>24408.645</v>
      </c>
      <c r="O64" t="str" cm="1">
        <f t="array" aca="1" ref="O64" ca="1">_xlfn.XLOOKUP(Table11[[#This Row],[Admin2PCODE]], tblPiNAnalysis[Admin2PCODE], INDIRECT("tblPiNAnalysis[" &amp; Table11[[#Headers],[Sectores más altos]] &amp; "]"), "NOT FOUND", 0, 1)</f>
        <v>SAL</v>
      </c>
      <c r="P64" cm="1">
        <f t="array" ref="P64">_xlfn.XLOOKUP(Table11[[#This Row],[Admin2PCODE]], tblPiNAnalysis[Admin2PCODE], tblPiNAnalysis[Severidad], "NOT FOUND", 0, 1)</f>
        <v>2</v>
      </c>
      <c r="Q64" s="318">
        <v>7.0707070707070704E-2</v>
      </c>
      <c r="R64" s="318">
        <v>0.33333333333333331</v>
      </c>
      <c r="S64" s="318">
        <v>2.3569023569023566E-2</v>
      </c>
      <c r="T64">
        <v>0</v>
      </c>
      <c r="W64">
        <f>_xlfn.XLOOKUP(Table11[[#This Row],[Admin2PCODE]],tblSeverityAnalysis[Admin 2 Código P],tblSeverityAnalysis[PRO],0,0)</f>
        <v>2</v>
      </c>
      <c r="Y64">
        <v>0</v>
      </c>
      <c r="Z64">
        <v>4.55</v>
      </c>
      <c r="AA64">
        <f t="shared" si="0"/>
        <v>5</v>
      </c>
    </row>
    <row r="65" spans="1:27">
      <c r="A65" t="s">
        <v>215</v>
      </c>
      <c r="B65" t="s">
        <v>216</v>
      </c>
      <c r="C65" s="42" t="s">
        <v>233</v>
      </c>
      <c r="D65" t="s">
        <v>234</v>
      </c>
      <c r="E65" s="8" cm="1">
        <f t="array" aca="1" ref="E65" ca="1">_xlfn.XLOOKUP(Table11[[#This Row],[Admin2PCODE]], tblPiNAnalysis[Admin2PCODE], INDIRECT("tblPiNAnalysis[" &amp; Table11[[#Headers],[Población]] &amp; "]"), "NOT FOUND", 0, 1)</f>
        <v>41032</v>
      </c>
      <c r="F65" s="8" cm="1">
        <f t="array" aca="1" ref="F65" ca="1">_xlfn.XLOOKUP(Table11[[#This Row],[Admin2PCODE]], tblPiNAnalysis[Admin2PCODE], INDIRECT("tblPiNAnalysis[" &amp; Table11[[#Headers],[SAMV]] &amp; "]"), "NOT FOUND", 0, 1)</f>
        <v>5699</v>
      </c>
      <c r="G65" s="8" cm="1">
        <f t="array" aca="1" ref="G65" ca="1">_xlfn.XLOOKUP(Table11[[#This Row],[Admin2PCODE]], tblPiNAnalysis[Admin2PCODE], INDIRECT("tblPiNAnalysis[" &amp; Table11[[#Headers],[NUT]] &amp; "]"), "NOT FOUND", 0, 1)</f>
        <v>1722.2307831849673</v>
      </c>
      <c r="H65" s="8" cm="1">
        <f t="array" aca="1" ref="H65" ca="1">_xlfn.XLOOKUP(Table11[[#This Row],[Admin2PCODE]], tblPiNAnalysis[Admin2PCODE], INDIRECT("tblPiNAnalysis[" &amp; Table11[[#Headers],[SAL]] &amp; "]"), "NOT FOUND", 0, 1)</f>
        <v>18900</v>
      </c>
      <c r="I65" s="8" cm="1">
        <f t="array" aca="1" ref="I65" ca="1">_xlfn.XLOOKUP(Table11[[#This Row],[Admin2PCODE]], tblPiNAnalysis[Admin2PCODE], INDIRECT("tblPiNAnalysis[" &amp; Table11[[#Headers],[EDU]] &amp; "]"), "NOT FOUND", 0, 1)</f>
        <v>1658.9896070815421</v>
      </c>
      <c r="J65" s="8" cm="1">
        <f t="array" aca="1" ref="J65" ca="1">_xlfn.XLOOKUP(Table11[[#This Row],[Admin2PCODE]], tblPiNAnalysis[Admin2PCODE], INDIRECT("tblPiNAnalysis[" &amp; Table11[[#Headers],[PRO]] &amp; "]"), "NOT FOUND", 0, 1)</f>
        <v>5892.8224154022146</v>
      </c>
      <c r="K65" s="8" cm="1">
        <f t="array" aca="1" ref="K65" ca="1">_xlfn.XLOOKUP(Table11[[#This Row],[Admin2PCODE]], tblPiNAnalysis[Admin2PCODE], INDIRECT("tblPiNAnalysis[" &amp; Table11[[#Headers],[ASH]] &amp; "]"), "NOT FOUND", 0, 1)</f>
        <v>5539.3200000000006</v>
      </c>
      <c r="L65" s="8" cm="1">
        <f t="array" aca="1" ref="L65" ca="1">_xlfn.XLOOKUP(Table11[[#This Row],[Admin2PCODE]], tblPiNAnalysis[Admin2PCODE], INDIRECT("tblPiNAnalysis[" &amp; Table11[[#Headers],[NNA]] &amp; "]"), "NOT FOUND", 0, 1)</f>
        <v>1891.5959953441111</v>
      </c>
      <c r="M65" s="8" cm="1">
        <f t="array" aca="1" ref="M65" ca="1">_xlfn.XLOOKUP(Table11[[#This Row],[Admin2PCODE]], tblPiNAnalysis[Admin2PCODE], INDIRECT("tblPiNAnalysis[" &amp; Table11[[#Headers],[VBG]] &amp; "]"), "NOT FOUND", 0, 1)</f>
        <v>2062.487845390775</v>
      </c>
      <c r="N65" s="8" cm="1">
        <f t="array" aca="1" ref="N65" ca="1">_xlfn.XLOOKUP(Table11[[#This Row],[Admin2PCODE]], tblPiNAnalysis[Admin2PCODE], INDIRECT("tblPiNAnalysis[" &amp; Table11[[#Headers],[PiN más alto]] &amp; "]"), "NOT FOUND", 0, 1)</f>
        <v>18900</v>
      </c>
      <c r="O65" t="str" cm="1">
        <f t="array" aca="1" ref="O65" ca="1">_xlfn.XLOOKUP(Table11[[#This Row],[Admin2PCODE]], tblPiNAnalysis[Admin2PCODE], INDIRECT("tblPiNAnalysis[" &amp; Table11[[#Headers],[Sectores más altos]] &amp; "]"), "NOT FOUND", 0, 1)</f>
        <v>SAL</v>
      </c>
      <c r="P65" cm="1">
        <f t="array" ref="P65">_xlfn.XLOOKUP(Table11[[#This Row],[Admin2PCODE]], tblPiNAnalysis[Admin2PCODE], tblPiNAnalysis[Severidad], "NOT FOUND", 0, 1)</f>
        <v>3</v>
      </c>
      <c r="Q65" s="318">
        <v>0.125</v>
      </c>
      <c r="R65" s="318">
        <v>0.33333333333333331</v>
      </c>
      <c r="S65" s="318">
        <v>4.1666666666666664E-2</v>
      </c>
      <c r="T65">
        <v>0</v>
      </c>
      <c r="W65">
        <f>_xlfn.XLOOKUP(Table11[[#This Row],[Admin2PCODE]],tblSeverityAnalysis[Admin 2 Código P],tblSeverityAnalysis[PRO],0,0)</f>
        <v>3</v>
      </c>
      <c r="Y65">
        <v>0</v>
      </c>
      <c r="Z65">
        <v>0</v>
      </c>
      <c r="AA65">
        <f t="shared" si="0"/>
        <v>0</v>
      </c>
    </row>
    <row r="66" spans="1:27">
      <c r="A66" t="s">
        <v>215</v>
      </c>
      <c r="B66" t="s">
        <v>216</v>
      </c>
      <c r="C66" s="42" t="s">
        <v>235</v>
      </c>
      <c r="D66" t="s">
        <v>236</v>
      </c>
      <c r="E66" s="8" cm="1">
        <f t="array" aca="1" ref="E66" ca="1">_xlfn.XLOOKUP(Table11[[#This Row],[Admin2PCODE]], tblPiNAnalysis[Admin2PCODE], INDIRECT("tblPiNAnalysis[" &amp; Table11[[#Headers],[Población]] &amp; "]"), "NOT FOUND", 0, 1)</f>
        <v>24685</v>
      </c>
      <c r="F66" s="8" cm="1">
        <f t="array" aca="1" ref="F66" ca="1">_xlfn.XLOOKUP(Table11[[#This Row],[Admin2PCODE]], tblPiNAnalysis[Admin2PCODE], INDIRECT("tblPiNAnalysis[" &amp; Table11[[#Headers],[SAMV]] &amp; "]"), "NOT FOUND", 0, 1)</f>
        <v>4452</v>
      </c>
      <c r="G66" s="8" cm="1">
        <f t="array" aca="1" ref="G66" ca="1">_xlfn.XLOOKUP(Table11[[#This Row],[Admin2PCODE]], tblPiNAnalysis[Admin2PCODE], INDIRECT("tblPiNAnalysis[" &amp; Table11[[#Headers],[NUT]] &amp; "]"), "NOT FOUND", 0, 1)</f>
        <v>1025.3949492626957</v>
      </c>
      <c r="H66" s="8" cm="1">
        <f t="array" aca="1" ref="H66" ca="1">_xlfn.XLOOKUP(Table11[[#This Row],[Admin2PCODE]], tblPiNAnalysis[Admin2PCODE], INDIRECT("tblPiNAnalysis[" &amp; Table11[[#Headers],[SAL]] &amp; "]"), "NOT FOUND", 0, 1)</f>
        <v>11200</v>
      </c>
      <c r="I66" s="8" cm="1">
        <f t="array" aca="1" ref="I66" ca="1">_xlfn.XLOOKUP(Table11[[#This Row],[Admin2PCODE]], tblPiNAnalysis[Admin2PCODE], INDIRECT("tblPiNAnalysis[" &amp; Table11[[#Headers],[EDU]] &amp; "]"), "NOT FOUND", 0, 1)</f>
        <v>1095.9410729399117</v>
      </c>
      <c r="J66" s="8" cm="1">
        <f t="array" aca="1" ref="J66" ca="1">_xlfn.XLOOKUP(Table11[[#This Row],[Admin2PCODE]], tblPiNAnalysis[Admin2PCODE], INDIRECT("tblPiNAnalysis[" &amp; Table11[[#Headers],[PRO]] &amp; "]"), "NOT FOUND", 0, 1)</f>
        <v>709.02866701210633</v>
      </c>
      <c r="K66" s="8" cm="1">
        <f t="array" aca="1" ref="K66" ca="1">_xlfn.XLOOKUP(Table11[[#This Row],[Admin2PCODE]], tblPiNAnalysis[Admin2PCODE], INDIRECT("tblPiNAnalysis[" &amp; Table11[[#Headers],[ASH]] &amp; "]"), "NOT FOUND", 0, 1)</f>
        <v>0</v>
      </c>
      <c r="L66" s="8" cm="1">
        <f t="array" aca="1" ref="L66" ca="1">_xlfn.XLOOKUP(Table11[[#This Row],[Admin2PCODE]], tblPiNAnalysis[Admin2PCODE], INDIRECT("tblPiNAnalysis[" &amp; Table11[[#Headers],[NNA]] &amp; "]"), "NOT FOUND", 0, 1)</f>
        <v>226.88917344387403</v>
      </c>
      <c r="M66" s="8" cm="1">
        <f t="array" aca="1" ref="M66" ca="1">_xlfn.XLOOKUP(Table11[[#This Row],[Admin2PCODE]], tblPiNAnalysis[Admin2PCODE], INDIRECT("tblPiNAnalysis[" &amp; Table11[[#Headers],[VBG]] &amp; "]"), "NOT FOUND", 0, 1)</f>
        <v>248.16003345423721</v>
      </c>
      <c r="N66" s="8" cm="1">
        <f t="array" aca="1" ref="N66" ca="1">_xlfn.XLOOKUP(Table11[[#This Row],[Admin2PCODE]], tblPiNAnalysis[Admin2PCODE], INDIRECT("tblPiNAnalysis[" &amp; Table11[[#Headers],[PiN más alto]] &amp; "]"), "NOT FOUND", 0, 1)</f>
        <v>11200</v>
      </c>
      <c r="O66" t="str" cm="1">
        <f t="array" aca="1" ref="O66" ca="1">_xlfn.XLOOKUP(Table11[[#This Row],[Admin2PCODE]], tblPiNAnalysis[Admin2PCODE], INDIRECT("tblPiNAnalysis[" &amp; Table11[[#Headers],[Sectores más altos]] &amp; "]"), "NOT FOUND", 0, 1)</f>
        <v>SAL</v>
      </c>
      <c r="P66" cm="1">
        <f t="array" ref="P66">_xlfn.XLOOKUP(Table11[[#This Row],[Admin2PCODE]], tblPiNAnalysis[Admin2PCODE], tblPiNAnalysis[Severidad], "NOT FOUND", 0, 1)</f>
        <v>2</v>
      </c>
      <c r="Q66" s="318">
        <v>0.20588235294117646</v>
      </c>
      <c r="R66" s="318">
        <v>0.36507936507936495</v>
      </c>
      <c r="S66" s="318">
        <v>7.5163398692810426E-2</v>
      </c>
      <c r="T66">
        <v>0</v>
      </c>
      <c r="W66">
        <f>_xlfn.XLOOKUP(Table11[[#This Row],[Admin2PCODE]],tblSeverityAnalysis[Admin 2 Código P],tblSeverityAnalysis[PRO],0,0)</f>
        <v>1</v>
      </c>
      <c r="Y66">
        <v>0</v>
      </c>
      <c r="Z66">
        <v>5.95</v>
      </c>
      <c r="AA66">
        <f t="shared" ref="AA66:AA129" si="1">ROUND(Z66,0)</f>
        <v>6</v>
      </c>
    </row>
    <row r="67" spans="1:27">
      <c r="A67" t="s">
        <v>215</v>
      </c>
      <c r="B67" t="s">
        <v>216</v>
      </c>
      <c r="C67" s="42" t="s">
        <v>237</v>
      </c>
      <c r="D67" t="s">
        <v>238</v>
      </c>
      <c r="E67" s="8" cm="1">
        <f t="array" aca="1" ref="E67" ca="1">_xlfn.XLOOKUP(Table11[[#This Row],[Admin2PCODE]], tblPiNAnalysis[Admin2PCODE], INDIRECT("tblPiNAnalysis[" &amp; Table11[[#Headers],[Población]] &amp; "]"), "NOT FOUND", 0, 1)</f>
        <v>16503</v>
      </c>
      <c r="F67" s="8" cm="1">
        <f t="array" aca="1" ref="F67" ca="1">_xlfn.XLOOKUP(Table11[[#This Row],[Admin2PCODE]], tblPiNAnalysis[Admin2PCODE], INDIRECT("tblPiNAnalysis[" &amp; Table11[[#Headers],[SAMV]] &amp; "]"), "NOT FOUND", 0, 1)</f>
        <v>2477</v>
      </c>
      <c r="G67" s="8" cm="1">
        <f t="array" aca="1" ref="G67" ca="1">_xlfn.XLOOKUP(Table11[[#This Row],[Admin2PCODE]], tblPiNAnalysis[Admin2PCODE], INDIRECT("tblPiNAnalysis[" &amp; Table11[[#Headers],[NUT]] &amp; "]"), "NOT FOUND", 0, 1)</f>
        <v>651.86717274777004</v>
      </c>
      <c r="H67" s="8" cm="1">
        <f t="array" aca="1" ref="H67" ca="1">_xlfn.XLOOKUP(Table11[[#This Row],[Admin2PCODE]], tblPiNAnalysis[Admin2PCODE], INDIRECT("tblPiNAnalysis[" &amp; Table11[[#Headers],[SAL]] &amp; "]"), "NOT FOUND", 0, 1)</f>
        <v>9800</v>
      </c>
      <c r="I67" s="8" cm="1">
        <f t="array" aca="1" ref="I67" ca="1">_xlfn.XLOOKUP(Table11[[#This Row],[Admin2PCODE]], tblPiNAnalysis[Admin2PCODE], INDIRECT("tblPiNAnalysis[" &amp; Table11[[#Headers],[EDU]] &amp; "]"), "NOT FOUND", 0, 1)</f>
        <v>234.60195846867936</v>
      </c>
      <c r="J67" s="8" cm="1">
        <f t="array" aca="1" ref="J67" ca="1">_xlfn.XLOOKUP(Table11[[#This Row],[Admin2PCODE]], tblPiNAnalysis[Admin2PCODE], INDIRECT("tblPiNAnalysis[" &amp; Table11[[#Headers],[PRO]] &amp; "]"), "NOT FOUND", 0, 1)</f>
        <v>2370.0830649586369</v>
      </c>
      <c r="K67" s="8" cm="1">
        <f t="array" aca="1" ref="K67" ca="1">_xlfn.XLOOKUP(Table11[[#This Row],[Admin2PCODE]], tblPiNAnalysis[Admin2PCODE], INDIRECT("tblPiNAnalysis[" &amp; Table11[[#Headers],[ASH]] &amp; "]"), "NOT FOUND", 0, 1)</f>
        <v>0</v>
      </c>
      <c r="L67" s="8" cm="1">
        <f t="array" aca="1" ref="L67" ca="1">_xlfn.XLOOKUP(Table11[[#This Row],[Admin2PCODE]], tblPiNAnalysis[Admin2PCODE], INDIRECT("tblPiNAnalysis[" &amp; Table11[[#Headers],[NNA]] &amp; "]"), "NOT FOUND", 0, 1)</f>
        <v>758.42658078676368</v>
      </c>
      <c r="M67" s="8" cm="1">
        <f t="array" aca="1" ref="M67" ca="1">_xlfn.XLOOKUP(Table11[[#This Row],[Admin2PCODE]], tblPiNAnalysis[Admin2PCODE], INDIRECT("tblPiNAnalysis[" &amp; Table11[[#Headers],[VBG]] &amp; "]"), "NOT FOUND", 0, 1)</f>
        <v>829.52907273552273</v>
      </c>
      <c r="N67" s="8" cm="1">
        <f t="array" aca="1" ref="N67" ca="1">_xlfn.XLOOKUP(Table11[[#This Row],[Admin2PCODE]], tblPiNAnalysis[Admin2PCODE], INDIRECT("tblPiNAnalysis[" &amp; Table11[[#Headers],[PiN más alto]] &amp; "]"), "NOT FOUND", 0, 1)</f>
        <v>9800</v>
      </c>
      <c r="O67" t="str" cm="1">
        <f t="array" aca="1" ref="O67" ca="1">_xlfn.XLOOKUP(Table11[[#This Row],[Admin2PCODE]], tblPiNAnalysis[Admin2PCODE], INDIRECT("tblPiNAnalysis[" &amp; Table11[[#Headers],[Sectores más altos]] &amp; "]"), "NOT FOUND", 0, 1)</f>
        <v>SAL</v>
      </c>
      <c r="P67" cm="1">
        <f t="array" ref="P67">_xlfn.XLOOKUP(Table11[[#This Row],[Admin2PCODE]], tblPiNAnalysis[Admin2PCODE], tblPiNAnalysis[Severidad], "NOT FOUND", 0, 1)</f>
        <v>3</v>
      </c>
      <c r="Q67" s="318">
        <v>0</v>
      </c>
      <c r="R67" s="318">
        <v>0</v>
      </c>
      <c r="S67" s="318">
        <v>0</v>
      </c>
      <c r="T67">
        <v>0</v>
      </c>
      <c r="W67">
        <f>_xlfn.XLOOKUP(Table11[[#This Row],[Admin2PCODE]],tblSeverityAnalysis[Admin 2 Código P],tblSeverityAnalysis[PRO],0,0)</f>
        <v>3</v>
      </c>
      <c r="Y67">
        <v>0</v>
      </c>
      <c r="Z67">
        <v>6.35</v>
      </c>
      <c r="AA67">
        <f t="shared" si="1"/>
        <v>6</v>
      </c>
    </row>
    <row r="68" spans="1:27">
      <c r="A68" t="s">
        <v>180</v>
      </c>
      <c r="B68" t="s">
        <v>239</v>
      </c>
      <c r="C68" s="42" t="s">
        <v>240</v>
      </c>
      <c r="D68" t="s">
        <v>241</v>
      </c>
      <c r="E68" s="8" cm="1">
        <f t="array" aca="1" ref="E68" ca="1">_xlfn.XLOOKUP(Table11[[#This Row],[Admin2PCODE]], tblPiNAnalysis[Admin2PCODE], INDIRECT("tblPiNAnalysis[" &amp; Table11[[#Headers],[Población]] &amp; "]"), "NOT FOUND", 0, 1)</f>
        <v>722701</v>
      </c>
      <c r="F68" s="8" cm="1">
        <f t="array" aca="1" ref="F68" ca="1">_xlfn.XLOOKUP(Table11[[#This Row],[Admin2PCODE]], tblPiNAnalysis[Admin2PCODE], INDIRECT("tblPiNAnalysis[" &amp; Table11[[#Headers],[SAMV]] &amp; "]"), "NOT FOUND", 0, 1)</f>
        <v>146423</v>
      </c>
      <c r="G68" s="8" cm="1">
        <f t="array" aca="1" ref="G68" ca="1">_xlfn.XLOOKUP(Table11[[#This Row],[Admin2PCODE]], tblPiNAnalysis[Admin2PCODE], INDIRECT("tblPiNAnalysis[" &amp; Table11[[#Headers],[NUT]] &amp; "]"), "NOT FOUND", 0, 1)</f>
        <v>55309.995561158947</v>
      </c>
      <c r="H68" s="8" cm="1">
        <f t="array" aca="1" ref="H68" ca="1">_xlfn.XLOOKUP(Table11[[#This Row],[Admin2PCODE]], tblPiNAnalysis[Admin2PCODE], INDIRECT("tblPiNAnalysis[" &amp; Table11[[#Headers],[SAL]] &amp; "]"), "NOT FOUND", 0, 1)</f>
        <v>263785.86499999999</v>
      </c>
      <c r="I68" s="8" cm="1">
        <f t="array" aca="1" ref="I68" ca="1">_xlfn.XLOOKUP(Table11[[#This Row],[Admin2PCODE]], tblPiNAnalysis[Admin2PCODE], INDIRECT("tblPiNAnalysis[" &amp; Table11[[#Headers],[EDU]] &amp; "]"), "NOT FOUND", 0, 1)</f>
        <v>84391.477761359143</v>
      </c>
      <c r="J68" s="8" cm="1">
        <f t="array" aca="1" ref="J68" ca="1">_xlfn.XLOOKUP(Table11[[#This Row],[Admin2PCODE]], tblPiNAnalysis[Admin2PCODE], INDIRECT("tblPiNAnalysis[" &amp; Table11[[#Headers],[PRO]] &amp; "]"), "NOT FOUND", 0, 1)</f>
        <v>173168.10367716607</v>
      </c>
      <c r="K68" s="8" cm="1">
        <f t="array" aca="1" ref="K68" ca="1">_xlfn.XLOOKUP(Table11[[#This Row],[Admin2PCODE]], tblPiNAnalysis[Admin2PCODE], INDIRECT("tblPiNAnalysis[" &amp; Table11[[#Headers],[ASH]] &amp; "]"), "NOT FOUND", 0, 1)</f>
        <v>325215.45</v>
      </c>
      <c r="L68" s="8" cm="1">
        <f t="array" aca="1" ref="L68" ca="1">_xlfn.XLOOKUP(Table11[[#This Row],[Admin2PCODE]], tblPiNAnalysis[Admin2PCODE], INDIRECT("tblPiNAnalysis[" &amp; Table11[[#Headers],[NNA]] &amp; "]"), "NOT FOUND", 0, 1)</f>
        <v>55586.961280370306</v>
      </c>
      <c r="M68" s="8" cm="1">
        <f t="array" aca="1" ref="M68" ca="1">_xlfn.XLOOKUP(Table11[[#This Row],[Admin2PCODE]], tblPiNAnalysis[Admin2PCODE], INDIRECT("tblPiNAnalysis[" &amp; Table11[[#Headers],[VBG]] &amp; "]"), "NOT FOUND", 0, 1)</f>
        <v>60608.836287008126</v>
      </c>
      <c r="N68" s="8" cm="1">
        <f t="array" aca="1" ref="N68" ca="1">_xlfn.XLOOKUP(Table11[[#This Row],[Admin2PCODE]], tblPiNAnalysis[Admin2PCODE], INDIRECT("tblPiNAnalysis[" &amp; Table11[[#Headers],[PiN más alto]] &amp; "]"), "NOT FOUND", 0, 1)</f>
        <v>325215.45</v>
      </c>
      <c r="O68" t="str" cm="1">
        <f t="array" aca="1" ref="O68" ca="1">_xlfn.XLOOKUP(Table11[[#This Row],[Admin2PCODE]], tblPiNAnalysis[Admin2PCODE], INDIRECT("tblPiNAnalysis[" &amp; Table11[[#Headers],[Sectores más altos]] &amp; "]"), "NOT FOUND", 0, 1)</f>
        <v>ASH</v>
      </c>
      <c r="P68" cm="1">
        <f t="array" ref="P68">_xlfn.XLOOKUP(Table11[[#This Row],[Admin2PCODE]], tblPiNAnalysis[Admin2PCODE], tblPiNAnalysis[Severidad], "NOT FOUND", 0, 1)</f>
        <v>3</v>
      </c>
      <c r="Q68" s="318">
        <v>0.44584647739221872</v>
      </c>
      <c r="R68" s="318">
        <v>0.37735849056603765</v>
      </c>
      <c r="S68" s="318">
        <v>0.16824395373291268</v>
      </c>
      <c r="T68">
        <v>0</v>
      </c>
      <c r="W68">
        <f>_xlfn.XLOOKUP(Table11[[#This Row],[Admin2PCODE]],tblSeverityAnalysis[Admin 2 Código P],tblSeverityAnalysis[PRO],0,0)</f>
        <v>4</v>
      </c>
      <c r="Y68">
        <v>0</v>
      </c>
      <c r="Z68">
        <v>4.8</v>
      </c>
      <c r="AA68">
        <f t="shared" si="1"/>
        <v>5</v>
      </c>
    </row>
    <row r="69" spans="1:27">
      <c r="A69" t="s">
        <v>180</v>
      </c>
      <c r="B69" t="s">
        <v>239</v>
      </c>
      <c r="C69" s="42" t="s">
        <v>242</v>
      </c>
      <c r="D69" t="s">
        <v>243</v>
      </c>
      <c r="E69" s="8" cm="1">
        <f t="array" aca="1" ref="E69" ca="1">_xlfn.XLOOKUP(Table11[[#This Row],[Admin2PCODE]], tblPiNAnalysis[Admin2PCODE], INDIRECT("tblPiNAnalysis[" &amp; Table11[[#Headers],[Población]] &amp; "]"), "NOT FOUND", 0, 1)</f>
        <v>68514</v>
      </c>
      <c r="F69" s="8" cm="1">
        <f t="array" aca="1" ref="F69" ca="1">_xlfn.XLOOKUP(Table11[[#This Row],[Admin2PCODE]], tblPiNAnalysis[Admin2PCODE], INDIRECT("tblPiNAnalysis[" &amp; Table11[[#Headers],[SAMV]] &amp; "]"), "NOT FOUND", 0, 1)</f>
        <v>6471</v>
      </c>
      <c r="G69" s="8" cm="1">
        <f t="array" aca="1" ref="G69" ca="1">_xlfn.XLOOKUP(Table11[[#This Row],[Admin2PCODE]], tblPiNAnalysis[Admin2PCODE], INDIRECT("tblPiNAnalysis[" &amp; Table11[[#Headers],[NUT]] &amp; "]"), "NOT FOUND", 0, 1)</f>
        <v>4003.4646790787765</v>
      </c>
      <c r="H69" s="8" cm="1">
        <f t="array" aca="1" ref="H69" ca="1">_xlfn.XLOOKUP(Table11[[#This Row],[Admin2PCODE]], tblPiNAnalysis[Admin2PCODE], INDIRECT("tblPiNAnalysis[" &amp; Table11[[#Headers],[SAL]] &amp; "]"), "NOT FOUND", 0, 1)</f>
        <v>38500</v>
      </c>
      <c r="I69" s="8" cm="1">
        <f t="array" aca="1" ref="I69" ca="1">_xlfn.XLOOKUP(Table11[[#This Row],[Admin2PCODE]], tblPiNAnalysis[Admin2PCODE], INDIRECT("tblPiNAnalysis[" &amp; Table11[[#Headers],[EDU]] &amp; "]"), "NOT FOUND", 0, 1)</f>
        <v>4618.1501085536829</v>
      </c>
      <c r="J69" s="8" cm="1">
        <f t="array" aca="1" ref="J69" ca="1">_xlfn.XLOOKUP(Table11[[#This Row],[Admin2PCODE]], tblPiNAnalysis[Admin2PCODE], INDIRECT("tblPiNAnalysis[" &amp; Table11[[#Headers],[PRO]] &amp; "]"), "NOT FOUND", 0, 1)</f>
        <v>13680.668602157461</v>
      </c>
      <c r="K69" s="8" cm="1">
        <f t="array" aca="1" ref="K69" ca="1">_xlfn.XLOOKUP(Table11[[#This Row],[Admin2PCODE]], tblPiNAnalysis[Admin2PCODE], INDIRECT("tblPiNAnalysis[" &amp; Table11[[#Headers],[ASH]] &amp; "]"), "NOT FOUND", 0, 1)</f>
        <v>41108.400000000001</v>
      </c>
      <c r="L69" s="8" cm="1">
        <f t="array" aca="1" ref="L69" ca="1">_xlfn.XLOOKUP(Table11[[#This Row],[Admin2PCODE]], tblPiNAnalysis[Admin2PCODE], INDIRECT("tblPiNAnalysis[" &amp; Table11[[#Headers],[NNA]] &amp; "]"), "NOT FOUND", 0, 1)</f>
        <v>4377.8139526903869</v>
      </c>
      <c r="M69" s="8" cm="1">
        <f t="array" aca="1" ref="M69" ca="1">_xlfn.XLOOKUP(Table11[[#This Row],[Admin2PCODE]], tblPiNAnalysis[Admin2PCODE], INDIRECT("tblPiNAnalysis[" &amp; Table11[[#Headers],[VBG]] &amp; "]"), "NOT FOUND", 0, 1)</f>
        <v>4788.2340107551108</v>
      </c>
      <c r="N69" s="8" cm="1">
        <f t="array" aca="1" ref="N69" ca="1">_xlfn.XLOOKUP(Table11[[#This Row],[Admin2PCODE]], tblPiNAnalysis[Admin2PCODE], INDIRECT("tblPiNAnalysis[" &amp; Table11[[#Headers],[PiN más alto]] &amp; "]"), "NOT FOUND", 0, 1)</f>
        <v>41108.400000000001</v>
      </c>
      <c r="O69" t="str" cm="1">
        <f t="array" aca="1" ref="O69" ca="1">_xlfn.XLOOKUP(Table11[[#This Row],[Admin2PCODE]], tblPiNAnalysis[Admin2PCODE], INDIRECT("tblPiNAnalysis[" &amp; Table11[[#Headers],[Sectores más altos]] &amp; "]"), "NOT FOUND", 0, 1)</f>
        <v>ASH</v>
      </c>
      <c r="P69" cm="1">
        <f t="array" ref="P69">_xlfn.XLOOKUP(Table11[[#This Row],[Admin2PCODE]], tblPiNAnalysis[Admin2PCODE], tblPiNAnalysis[Severidad], "NOT FOUND", 0, 1)</f>
        <v>4</v>
      </c>
      <c r="Q69" s="318">
        <v>0.35537190082644626</v>
      </c>
      <c r="R69" s="318">
        <v>0.46511627906976738</v>
      </c>
      <c r="S69" s="318">
        <v>0.16528925619834708</v>
      </c>
      <c r="T69">
        <v>0</v>
      </c>
      <c r="W69">
        <f>_xlfn.XLOOKUP(Table11[[#This Row],[Admin2PCODE]],tblSeverityAnalysis[Admin 2 Código P],tblSeverityAnalysis[PRO],0,0)</f>
        <v>5</v>
      </c>
      <c r="Y69">
        <v>0</v>
      </c>
      <c r="Z69">
        <v>5.3</v>
      </c>
      <c r="AA69">
        <f t="shared" si="1"/>
        <v>5</v>
      </c>
    </row>
    <row r="70" spans="1:27">
      <c r="A70" t="s">
        <v>180</v>
      </c>
      <c r="B70" t="s">
        <v>239</v>
      </c>
      <c r="C70" s="42" t="s">
        <v>244</v>
      </c>
      <c r="D70" t="s">
        <v>245</v>
      </c>
      <c r="E70" s="8" cm="1">
        <f t="array" aca="1" ref="E70" ca="1">_xlfn.XLOOKUP(Table11[[#This Row],[Admin2PCODE]], tblPiNAnalysis[Admin2PCODE], INDIRECT("tblPiNAnalysis[" &amp; Table11[[#Headers],[Población]] &amp; "]"), "NOT FOUND", 0, 1)</f>
        <v>22263</v>
      </c>
      <c r="F70" s="8" cm="1">
        <f t="array" aca="1" ref="F70" ca="1">_xlfn.XLOOKUP(Table11[[#This Row],[Admin2PCODE]], tblPiNAnalysis[Admin2PCODE], INDIRECT("tblPiNAnalysis[" &amp; Table11[[#Headers],[SAMV]] &amp; "]"), "NOT FOUND", 0, 1)</f>
        <v>9894</v>
      </c>
      <c r="G70" s="8" cm="1">
        <f t="array" aca="1" ref="G70" ca="1">_xlfn.XLOOKUP(Table11[[#This Row],[Admin2PCODE]], tblPiNAnalysis[Admin2PCODE], INDIRECT("tblPiNAnalysis[" &amp; Table11[[#Headers],[NUT]] &amp; "]"), "NOT FOUND", 0, 1)</f>
        <v>1291.7422728640395</v>
      </c>
      <c r="H70" s="8" cm="1">
        <f t="array" aca="1" ref="H70" ca="1">_xlfn.XLOOKUP(Table11[[#This Row],[Admin2PCODE]], tblPiNAnalysis[Admin2PCODE], INDIRECT("tblPiNAnalysis[" &amp; Table11[[#Headers],[SAL]] &amp; "]"), "NOT FOUND", 0, 1)</f>
        <v>8125.9949999999999</v>
      </c>
      <c r="I70" s="8" cm="1">
        <f t="array" aca="1" ref="I70" ca="1">_xlfn.XLOOKUP(Table11[[#This Row],[Admin2PCODE]], tblPiNAnalysis[Admin2PCODE], INDIRECT("tblPiNAnalysis[" &amp; Table11[[#Headers],[EDU]] &amp; "]"), "NOT FOUND", 0, 1)</f>
        <v>2363.3583442033496</v>
      </c>
      <c r="J70" s="8" cm="1">
        <f t="array" aca="1" ref="J70" ca="1">_xlfn.XLOOKUP(Table11[[#This Row],[Admin2PCODE]], tblPiNAnalysis[Admin2PCODE], INDIRECT("tblPiNAnalysis[" &amp; Table11[[#Headers],[PRO]] &amp; "]"), "NOT FOUND", 0, 1)</f>
        <v>4445.408603932503</v>
      </c>
      <c r="K70" s="8" cm="1">
        <f t="array" aca="1" ref="K70" ca="1">_xlfn.XLOOKUP(Table11[[#This Row],[Admin2PCODE]], tblPiNAnalysis[Admin2PCODE], INDIRECT("tblPiNAnalysis[" &amp; Table11[[#Headers],[ASH]] &amp; "]"), "NOT FOUND", 0, 1)</f>
        <v>17810.400000000001</v>
      </c>
      <c r="L70" s="8" cm="1">
        <f t="array" aca="1" ref="L70" ca="1">_xlfn.XLOOKUP(Table11[[#This Row],[Admin2PCODE]], tblPiNAnalysis[Admin2PCODE], INDIRECT("tblPiNAnalysis[" &amp; Table11[[#Headers],[NNA]] &amp; "]"), "NOT FOUND", 0, 1)</f>
        <v>1422.5307532584011</v>
      </c>
      <c r="M70" s="8" cm="1">
        <f t="array" aca="1" ref="M70" ca="1">_xlfn.XLOOKUP(Table11[[#This Row],[Admin2PCODE]], tblPiNAnalysis[Admin2PCODE], INDIRECT("tblPiNAnalysis[" &amp; Table11[[#Headers],[VBG]] &amp; "]"), "NOT FOUND", 0, 1)</f>
        <v>1555.8930113763761</v>
      </c>
      <c r="N70" s="8" cm="1">
        <f t="array" aca="1" ref="N70" ca="1">_xlfn.XLOOKUP(Table11[[#This Row],[Admin2PCODE]], tblPiNAnalysis[Admin2PCODE], INDIRECT("tblPiNAnalysis[" &amp; Table11[[#Headers],[PiN más alto]] &amp; "]"), "NOT FOUND", 0, 1)</f>
        <v>17810.400000000001</v>
      </c>
      <c r="O70" t="str" cm="1">
        <f t="array" aca="1" ref="O70" ca="1">_xlfn.XLOOKUP(Table11[[#This Row],[Admin2PCODE]], tblPiNAnalysis[Admin2PCODE], INDIRECT("tblPiNAnalysis[" &amp; Table11[[#Headers],[Sectores más altos]] &amp; "]"), "NOT FOUND", 0, 1)</f>
        <v>ASH</v>
      </c>
      <c r="P70" cm="1">
        <f t="array" ref="P70">_xlfn.XLOOKUP(Table11[[#This Row],[Admin2PCODE]], tblPiNAnalysis[Admin2PCODE], tblPiNAnalysis[Severidad], "NOT FOUND", 0, 1)</f>
        <v>5</v>
      </c>
      <c r="Q70" s="318">
        <v>0.23684210526315788</v>
      </c>
      <c r="R70" s="318">
        <v>0.33333333333333331</v>
      </c>
      <c r="S70" s="318">
        <v>7.8947368421052627E-2</v>
      </c>
      <c r="T70">
        <v>0</v>
      </c>
      <c r="W70">
        <f>_xlfn.XLOOKUP(Table11[[#This Row],[Admin2PCODE]],tblSeverityAnalysis[Admin 2 Código P],tblSeverityAnalysis[PRO],0,0)</f>
        <v>5</v>
      </c>
      <c r="Y70">
        <v>0</v>
      </c>
      <c r="Z70">
        <v>4</v>
      </c>
      <c r="AA70">
        <f t="shared" si="1"/>
        <v>4</v>
      </c>
    </row>
    <row r="71" spans="1:27">
      <c r="A71" t="s">
        <v>180</v>
      </c>
      <c r="B71" t="s">
        <v>239</v>
      </c>
      <c r="C71" s="42" t="s">
        <v>246</v>
      </c>
      <c r="D71" t="s">
        <v>247</v>
      </c>
      <c r="E71" s="8" cm="1">
        <f t="array" aca="1" ref="E71" ca="1">_xlfn.XLOOKUP(Table11[[#This Row],[Admin2PCODE]], tblPiNAnalysis[Admin2PCODE], INDIRECT("tblPiNAnalysis[" &amp; Table11[[#Headers],[Población]] &amp; "]"), "NOT FOUND", 0, 1)</f>
        <v>29091</v>
      </c>
      <c r="F71" s="8" cm="1">
        <f t="array" aca="1" ref="F71" ca="1">_xlfn.XLOOKUP(Table11[[#This Row],[Admin2PCODE]], tblPiNAnalysis[Admin2PCODE], INDIRECT("tblPiNAnalysis[" &amp; Table11[[#Headers],[SAMV]] &amp; "]"), "NOT FOUND", 0, 1)</f>
        <v>1763</v>
      </c>
      <c r="G71" s="8" cm="1">
        <f t="array" aca="1" ref="G71" ca="1">_xlfn.XLOOKUP(Table11[[#This Row],[Admin2PCODE]], tblPiNAnalysis[Admin2PCODE], INDIRECT("tblPiNAnalysis[" &amp; Table11[[#Headers],[NUT]] &amp; "]"), "NOT FOUND", 0, 1)</f>
        <v>1991.3478835207732</v>
      </c>
      <c r="H71" s="8" cm="1">
        <f t="array" aca="1" ref="H71" ca="1">_xlfn.XLOOKUP(Table11[[#This Row],[Admin2PCODE]], tblPiNAnalysis[Admin2PCODE], INDIRECT("tblPiNAnalysis[" &amp; Table11[[#Headers],[SAL]] &amp; "]"), "NOT FOUND", 0, 1)</f>
        <v>22400</v>
      </c>
      <c r="I71" s="8" cm="1">
        <f t="array" aca="1" ref="I71" ca="1">_xlfn.XLOOKUP(Table11[[#This Row],[Admin2PCODE]], tblPiNAnalysis[Admin2PCODE], INDIRECT("tblPiNAnalysis[" &amp; Table11[[#Headers],[EDU]] &amp; "]"), "NOT FOUND", 0, 1)</f>
        <v>7128.4096028049971</v>
      </c>
      <c r="J71" s="8" cm="1">
        <f t="array" aca="1" ref="J71" ca="1">_xlfn.XLOOKUP(Table11[[#This Row],[Admin2PCODE]], tblPiNAnalysis[Admin2PCODE], INDIRECT("tblPiNAnalysis[" &amp; Table11[[#Headers],[PRO]] &amp; "]"), "NOT FOUND", 0, 1)</f>
        <v>6970.563627381779</v>
      </c>
      <c r="K71" s="8" cm="1">
        <f t="array" aca="1" ref="K71" ca="1">_xlfn.XLOOKUP(Table11[[#This Row],[Admin2PCODE]], tblPiNAnalysis[Admin2PCODE], INDIRECT("tblPiNAnalysis[" &amp; Table11[[#Headers],[ASH]] &amp; "]"), "NOT FOUND", 0, 1)</f>
        <v>3927.2849999999999</v>
      </c>
      <c r="L71" s="8" cm="1">
        <f t="array" aca="1" ref="L71" ca="1">_xlfn.XLOOKUP(Table11[[#This Row],[Admin2PCODE]], tblPiNAnalysis[Admin2PCODE], INDIRECT("tblPiNAnalysis[" &amp; Table11[[#Headers],[NNA]] &amp; "]"), "NOT FOUND", 0, 1)</f>
        <v>2230.5803607621692</v>
      </c>
      <c r="M71" s="8" cm="1">
        <f t="array" aca="1" ref="M71" ca="1">_xlfn.XLOOKUP(Table11[[#This Row],[Admin2PCODE]], tblPiNAnalysis[Admin2PCODE], INDIRECT("tblPiNAnalysis[" &amp; Table11[[#Headers],[VBG]] &amp; "]"), "NOT FOUND", 0, 1)</f>
        <v>2439.6972695836225</v>
      </c>
      <c r="N71" s="8" cm="1">
        <f t="array" aca="1" ref="N71" ca="1">_xlfn.XLOOKUP(Table11[[#This Row],[Admin2PCODE]], tblPiNAnalysis[Admin2PCODE], INDIRECT("tblPiNAnalysis[" &amp; Table11[[#Headers],[PiN más alto]] &amp; "]"), "NOT FOUND", 0, 1)</f>
        <v>22400</v>
      </c>
      <c r="O71" t="str" cm="1">
        <f t="array" aca="1" ref="O71" ca="1">_xlfn.XLOOKUP(Table11[[#This Row],[Admin2PCODE]], tblPiNAnalysis[Admin2PCODE], INDIRECT("tblPiNAnalysis[" &amp; Table11[[#Headers],[Sectores más altos]] &amp; "]"), "NOT FOUND", 0, 1)</f>
        <v>SAL</v>
      </c>
      <c r="P71" cm="1">
        <f t="array" ref="P71">_xlfn.XLOOKUP(Table11[[#This Row],[Admin2PCODE]], tblPiNAnalysis[Admin2PCODE], tblPiNAnalysis[Severidad], "NOT FOUND", 0, 1)</f>
        <v>3</v>
      </c>
      <c r="Q71" s="318">
        <v>0</v>
      </c>
      <c r="R71" s="318">
        <v>0</v>
      </c>
      <c r="S71" s="318">
        <v>0</v>
      </c>
      <c r="T71">
        <v>0</v>
      </c>
      <c r="W71">
        <f>_xlfn.XLOOKUP(Table11[[#This Row],[Admin2PCODE]],tblSeverityAnalysis[Admin 2 Código P],tblSeverityAnalysis[PRO],0,0)</f>
        <v>4</v>
      </c>
      <c r="Y71">
        <v>0</v>
      </c>
      <c r="Z71">
        <v>2.85</v>
      </c>
      <c r="AA71">
        <f t="shared" si="1"/>
        <v>3</v>
      </c>
    </row>
    <row r="72" spans="1:27">
      <c r="A72" t="s">
        <v>180</v>
      </c>
      <c r="B72" t="s">
        <v>239</v>
      </c>
      <c r="C72" s="42" t="s">
        <v>803</v>
      </c>
      <c r="D72" t="s">
        <v>249</v>
      </c>
      <c r="E72" s="8" cm="1">
        <f t="array" aca="1" ref="E72" ca="1">_xlfn.XLOOKUP(Table11[[#This Row],[Admin2PCODE]], tblPiNAnalysis[Admin2PCODE], INDIRECT("tblPiNAnalysis[" &amp; Table11[[#Headers],[Población]] &amp; "]"), "NOT FOUND", 0, 1)</f>
        <v>350010</v>
      </c>
      <c r="F72" s="8" cm="1">
        <f t="array" aca="1" ref="F72" ca="1">_xlfn.XLOOKUP(Table11[[#This Row],[Admin2PCODE]], tblPiNAnalysis[Admin2PCODE], INDIRECT("tblPiNAnalysis[" &amp; Table11[[#Headers],[SAMV]] &amp; "]"), "NOT FOUND", 0, 1)</f>
        <v>112245</v>
      </c>
      <c r="G72" s="8" cm="1">
        <f t="array" aca="1" ref="G72" ca="1">_xlfn.XLOOKUP(Table11[[#This Row],[Admin2PCODE]], tblPiNAnalysis[Admin2PCODE], INDIRECT("tblPiNAnalysis[" &amp; Table11[[#Headers],[NUT]] &amp; "]"), "NOT FOUND", 0, 1)</f>
        <v>12970.93718897102</v>
      </c>
      <c r="H72" s="8" cm="1">
        <f t="array" aca="1" ref="H72" ca="1">_xlfn.XLOOKUP(Table11[[#This Row],[Admin2PCODE]], tblPiNAnalysis[Admin2PCODE], INDIRECT("tblPiNAnalysis[" &amp; Table11[[#Headers],[SAL]] &amp; "]"), "NOT FOUND", 0, 1)</f>
        <v>127753.65</v>
      </c>
      <c r="I72" s="8" cm="1">
        <f t="array" aca="1" ref="I72" ca="1">_xlfn.XLOOKUP(Table11[[#This Row],[Admin2PCODE]], tblPiNAnalysis[Admin2PCODE], INDIRECT("tblPiNAnalysis[" &amp; Table11[[#Headers],[EDU]] &amp; "]"), "NOT FOUND", 0, 1)</f>
        <v>44158.500390264089</v>
      </c>
      <c r="J72" s="8" cm="1">
        <f t="array" aca="1" ref="J72" ca="1">_xlfn.XLOOKUP(Table11[[#This Row],[Admin2PCODE]], tblPiNAnalysis[Admin2PCODE], INDIRECT("tblPiNAnalysis[" &amp; Table11[[#Headers],[PRO]] &amp; "]"), "NOT FOUND", 0, 1)</f>
        <v>83866.727689659892</v>
      </c>
      <c r="K72" s="8" cm="1">
        <f t="array" aca="1" ref="K72" ca="1">_xlfn.XLOOKUP(Table11[[#This Row],[Admin2PCODE]], tblPiNAnalysis[Admin2PCODE], INDIRECT("tblPiNAnalysis[" &amp; Table11[[#Headers],[ASH]] &amp; "]"), "NOT FOUND", 0, 1)</f>
        <v>210006</v>
      </c>
      <c r="L72" s="8" cm="1">
        <f t="array" aca="1" ref="L72" ca="1">_xlfn.XLOOKUP(Table11[[#This Row],[Admin2PCODE]], tblPiNAnalysis[Admin2PCODE], INDIRECT("tblPiNAnalysis[" &amp; Table11[[#Headers],[NNA]] &amp; "]"), "NOT FOUND", 0, 1)</f>
        <v>26837.352860691164</v>
      </c>
      <c r="M72" s="8" cm="1">
        <f t="array" aca="1" ref="M72" ca="1">_xlfn.XLOOKUP(Table11[[#This Row],[Admin2PCODE]], tblPiNAnalysis[Admin2PCODE], INDIRECT("tblPiNAnalysis[" &amp; Table11[[#Headers],[VBG]] &amp; "]"), "NOT FOUND", 0, 1)</f>
        <v>29353.354691380962</v>
      </c>
      <c r="N72" s="8" cm="1">
        <f t="array" aca="1" ref="N72" ca="1">_xlfn.XLOOKUP(Table11[[#This Row],[Admin2PCODE]], tblPiNAnalysis[Admin2PCODE], INDIRECT("tblPiNAnalysis[" &amp; Table11[[#Headers],[PiN más alto]] &amp; "]"), "NOT FOUND", 0, 1)</f>
        <v>210006</v>
      </c>
      <c r="O72" t="str" cm="1">
        <f t="array" aca="1" ref="O72" ca="1">_xlfn.XLOOKUP(Table11[[#This Row],[Admin2PCODE]], tblPiNAnalysis[Admin2PCODE], INDIRECT("tblPiNAnalysis[" &amp; Table11[[#Headers],[Sectores más altos]] &amp; "]"), "NOT FOUND", 0, 1)</f>
        <v>ASH</v>
      </c>
      <c r="P72" cm="1">
        <f t="array" ref="P72">_xlfn.XLOOKUP(Table11[[#This Row],[Admin2PCODE]], tblPiNAnalysis[Admin2PCODE], tblPiNAnalysis[Severidad], "NOT FOUND", 0, 1)</f>
        <v>3</v>
      </c>
      <c r="Q72" s="318">
        <v>0.23709677419354838</v>
      </c>
      <c r="R72" s="318">
        <v>0.44973544973544965</v>
      </c>
      <c r="S72" s="318">
        <v>0.10663082437275984</v>
      </c>
      <c r="T72">
        <v>0</v>
      </c>
      <c r="W72">
        <f>_xlfn.XLOOKUP(Table11[[#This Row],[Admin2PCODE]],tblSeverityAnalysis[Admin 2 Código P],tblSeverityAnalysis[PRO],0,0)</f>
        <v>4</v>
      </c>
      <c r="Y72">
        <v>0</v>
      </c>
      <c r="Z72">
        <v>3.6</v>
      </c>
      <c r="AA72">
        <f t="shared" si="1"/>
        <v>4</v>
      </c>
    </row>
    <row r="73" spans="1:27">
      <c r="A73" t="s">
        <v>180</v>
      </c>
      <c r="B73" t="s">
        <v>239</v>
      </c>
      <c r="C73" s="42" t="s">
        <v>250</v>
      </c>
      <c r="D73" t="s">
        <v>251</v>
      </c>
      <c r="E73" s="8" cm="1">
        <f t="array" aca="1" ref="E73" ca="1">_xlfn.XLOOKUP(Table11[[#This Row],[Admin2PCODE]], tblPiNAnalysis[Admin2PCODE], INDIRECT("tblPiNAnalysis[" &amp; Table11[[#Headers],[Población]] &amp; "]"), "NOT FOUND", 0, 1)</f>
        <v>100488</v>
      </c>
      <c r="F73" s="8" cm="1">
        <f t="array" aca="1" ref="F73" ca="1">_xlfn.XLOOKUP(Table11[[#This Row],[Admin2PCODE]], tblPiNAnalysis[Admin2PCODE], INDIRECT("tblPiNAnalysis[" &amp; Table11[[#Headers],[SAMV]] &amp; "]"), "NOT FOUND", 0, 1)</f>
        <v>2512</v>
      </c>
      <c r="G73" s="8" cm="1">
        <f t="array" aca="1" ref="G73" ca="1">_xlfn.XLOOKUP(Table11[[#This Row],[Admin2PCODE]], tblPiNAnalysis[Admin2PCODE], INDIRECT("tblPiNAnalysis[" &amp; Table11[[#Headers],[NUT]] &amp; "]"), "NOT FOUND", 0, 1)</f>
        <v>7859.3203884388549</v>
      </c>
      <c r="H73" s="8" cm="1">
        <f t="array" aca="1" ref="H73" ca="1">_xlfn.XLOOKUP(Table11[[#This Row],[Admin2PCODE]], tblPiNAnalysis[Admin2PCODE], INDIRECT("tblPiNAnalysis[" &amp; Table11[[#Headers],[SAL]] &amp; "]"), "NOT FOUND", 0, 1)</f>
        <v>36678.120000000003</v>
      </c>
      <c r="I73" s="8" cm="1">
        <f t="array" aca="1" ref="I73" ca="1">_xlfn.XLOOKUP(Table11[[#This Row],[Admin2PCODE]], tblPiNAnalysis[Admin2PCODE], INDIRECT("tblPiNAnalysis[" &amp; Table11[[#Headers],[EDU]] &amp; "]"), "NOT FOUND", 0, 1)</f>
        <v>6927.7815860897972</v>
      </c>
      <c r="J73" s="8" cm="1">
        <f t="array" aca="1" ref="J73" ca="1">_xlfn.XLOOKUP(Table11[[#This Row],[Admin2PCODE]], tblPiNAnalysis[Admin2PCODE], INDIRECT("tblPiNAnalysis[" &amp; Table11[[#Headers],[PRO]] &amp; "]"), "NOT FOUND", 0, 1)</f>
        <v>24078.168429697846</v>
      </c>
      <c r="K73" s="8" cm="1">
        <f t="array" aca="1" ref="K73" ca="1">_xlfn.XLOOKUP(Table11[[#This Row],[Admin2PCODE]], tblPiNAnalysis[Admin2PCODE], INDIRECT("tblPiNAnalysis[" &amp; Table11[[#Headers],[ASH]] &amp; "]"), "NOT FOUND", 0, 1)</f>
        <v>45219.6</v>
      </c>
      <c r="L73" s="8" cm="1">
        <f t="array" aca="1" ref="L73" ca="1">_xlfn.XLOOKUP(Table11[[#This Row],[Admin2PCODE]], tblPiNAnalysis[Admin2PCODE], INDIRECT("tblPiNAnalysis[" &amp; Table11[[#Headers],[NNA]] &amp; "]"), "NOT FOUND", 0, 1)</f>
        <v>7705.0138975033105</v>
      </c>
      <c r="M73" s="8" cm="1">
        <f t="array" aca="1" ref="M73" ca="1">_xlfn.XLOOKUP(Table11[[#This Row],[Admin2PCODE]], tblPiNAnalysis[Admin2PCODE], INDIRECT("tblPiNAnalysis[" &amp; Table11[[#Headers],[VBG]] &amp; "]"), "NOT FOUND", 0, 1)</f>
        <v>8427.3589503942458</v>
      </c>
      <c r="N73" s="8" cm="1">
        <f t="array" aca="1" ref="N73" ca="1">_xlfn.XLOOKUP(Table11[[#This Row],[Admin2PCODE]], tblPiNAnalysis[Admin2PCODE], INDIRECT("tblPiNAnalysis[" &amp; Table11[[#Headers],[PiN más alto]] &amp; "]"), "NOT FOUND", 0, 1)</f>
        <v>45219.6</v>
      </c>
      <c r="O73" t="str" cm="1">
        <f t="array" aca="1" ref="O73" ca="1">_xlfn.XLOOKUP(Table11[[#This Row],[Admin2PCODE]], tblPiNAnalysis[Admin2PCODE], INDIRECT("tblPiNAnalysis[" &amp; Table11[[#Headers],[Sectores más altos]] &amp; "]"), "NOT FOUND", 0, 1)</f>
        <v>ASH</v>
      </c>
      <c r="P73" cm="1">
        <f t="array" ref="P73">_xlfn.XLOOKUP(Table11[[#This Row],[Admin2PCODE]], tblPiNAnalysis[Admin2PCODE], tblPiNAnalysis[Severidad], "NOT FOUND", 0, 1)</f>
        <v>3</v>
      </c>
      <c r="Q73" s="318">
        <v>2.2727272727272728E-2</v>
      </c>
      <c r="R73" s="318">
        <v>0.33333333333333331</v>
      </c>
      <c r="S73" s="318">
        <v>7.575757575757576E-3</v>
      </c>
      <c r="T73">
        <v>0</v>
      </c>
      <c r="W73">
        <f>_xlfn.XLOOKUP(Table11[[#This Row],[Admin2PCODE]],tblSeverityAnalysis[Admin 2 Código P],tblSeverityAnalysis[PRO],0,0)</f>
        <v>4</v>
      </c>
      <c r="Y73">
        <v>0</v>
      </c>
      <c r="Z73">
        <v>3.45</v>
      </c>
      <c r="AA73">
        <f t="shared" si="1"/>
        <v>3</v>
      </c>
    </row>
    <row r="74" spans="1:27">
      <c r="A74" t="s">
        <v>180</v>
      </c>
      <c r="B74" t="s">
        <v>239</v>
      </c>
      <c r="C74" s="42" t="s">
        <v>252</v>
      </c>
      <c r="D74" t="s">
        <v>253</v>
      </c>
      <c r="E74" s="8" cm="1">
        <f t="array" aca="1" ref="E74" ca="1">_xlfn.XLOOKUP(Table11[[#This Row],[Admin2PCODE]], tblPiNAnalysis[Admin2PCODE], INDIRECT("tblPiNAnalysis[" &amp; Table11[[#Headers],[Población]] &amp; "]"), "NOT FOUND", 0, 1)</f>
        <v>41853</v>
      </c>
      <c r="F74" s="8" cm="1">
        <f t="array" aca="1" ref="F74" ca="1">_xlfn.XLOOKUP(Table11[[#This Row],[Admin2PCODE]], tblPiNAnalysis[Admin2PCODE], INDIRECT("tblPiNAnalysis[" &amp; Table11[[#Headers],[SAMV]] &amp; "]"), "NOT FOUND", 0, 1)</f>
        <v>21591</v>
      </c>
      <c r="G74" s="8" cm="1">
        <f t="array" aca="1" ref="G74" ca="1">_xlfn.XLOOKUP(Table11[[#This Row],[Admin2PCODE]], tblPiNAnalysis[Admin2PCODE], INDIRECT("tblPiNAnalysis[" &amp; Table11[[#Headers],[NUT]] &amp; "]"), "NOT FOUND", 0, 1)</f>
        <v>1297.1731768772693</v>
      </c>
      <c r="H74" s="8" cm="1">
        <f t="array" aca="1" ref="H74" ca="1">_xlfn.XLOOKUP(Table11[[#This Row],[Admin2PCODE]], tblPiNAnalysis[Admin2PCODE], INDIRECT("tblPiNAnalysis[" &amp; Table11[[#Headers],[SAL]] &amp; "]"), "NOT FOUND", 0, 1)</f>
        <v>28000</v>
      </c>
      <c r="I74" s="8" cm="1">
        <f t="array" aca="1" ref="I74" ca="1">_xlfn.XLOOKUP(Table11[[#This Row],[Admin2PCODE]], tblPiNAnalysis[Admin2PCODE], INDIRECT("tblPiNAnalysis[" &amp; Table11[[#Headers],[EDU]] &amp; "]"), "NOT FOUND", 0, 1)</f>
        <v>3621.390173575317</v>
      </c>
      <c r="J74" s="8" cm="1">
        <f t="array" aca="1" ref="J74" ca="1">_xlfn.XLOOKUP(Table11[[#This Row],[Admin2PCODE]], tblPiNAnalysis[Admin2PCODE], INDIRECT("tblPiNAnalysis[" &amp; Table11[[#Headers],[PRO]] &amp; "]"), "NOT FOUND", 0, 1)</f>
        <v>10028.49676865043</v>
      </c>
      <c r="K74" s="8" cm="1">
        <f t="array" aca="1" ref="K74" ca="1">_xlfn.XLOOKUP(Table11[[#This Row],[Admin2PCODE]], tblPiNAnalysis[Admin2PCODE], INDIRECT("tblPiNAnalysis[" &amp; Table11[[#Headers],[ASH]] &amp; "]"), "NOT FOUND", 0, 1)</f>
        <v>2825.0775000000003</v>
      </c>
      <c r="L74" s="8" cm="1">
        <f t="array" aca="1" ref="L74" ca="1">_xlfn.XLOOKUP(Table11[[#This Row],[Admin2PCODE]], tblPiNAnalysis[Admin2PCODE], INDIRECT("tblPiNAnalysis[" &amp; Table11[[#Headers],[NNA]] &amp; "]"), "NOT FOUND", 0, 1)</f>
        <v>3219.1474627367879</v>
      </c>
      <c r="M74" s="8" cm="1">
        <f t="array" aca="1" ref="M74" ca="1">_xlfn.XLOOKUP(Table11[[#This Row],[Admin2PCODE]], tblPiNAnalysis[Admin2PCODE], INDIRECT("tblPiNAnalysis[" &amp; Table11[[#Headers],[VBG]] &amp; "]"), "NOT FOUND", 0, 1)</f>
        <v>3509.9738690276508</v>
      </c>
      <c r="N74" s="8" cm="1">
        <f t="array" aca="1" ref="N74" ca="1">_xlfn.XLOOKUP(Table11[[#This Row],[Admin2PCODE]], tblPiNAnalysis[Admin2PCODE], INDIRECT("tblPiNAnalysis[" &amp; Table11[[#Headers],[PiN más alto]] &amp; "]"), "NOT FOUND", 0, 1)</f>
        <v>28000</v>
      </c>
      <c r="O74" t="str" cm="1">
        <f t="array" aca="1" ref="O74" ca="1">_xlfn.XLOOKUP(Table11[[#This Row],[Admin2PCODE]], tblPiNAnalysis[Admin2PCODE], INDIRECT("tblPiNAnalysis[" &amp; Table11[[#Headers],[Sectores más altos]] &amp; "]"), "NOT FOUND", 0, 1)</f>
        <v>SAL</v>
      </c>
      <c r="P74" cm="1">
        <f t="array" ref="P74">_xlfn.XLOOKUP(Table11[[#This Row],[Admin2PCODE]], tblPiNAnalysis[Admin2PCODE], tblPiNAnalysis[Severidad], "NOT FOUND", 0, 1)</f>
        <v>4</v>
      </c>
      <c r="Q74" s="318">
        <v>0.61971830985915488</v>
      </c>
      <c r="R74" s="318">
        <v>0.51515151515151503</v>
      </c>
      <c r="S74" s="318">
        <v>0.3192488262910797</v>
      </c>
      <c r="T74">
        <v>0</v>
      </c>
      <c r="W74">
        <f>_xlfn.XLOOKUP(Table11[[#This Row],[Admin2PCODE]],tblSeverityAnalysis[Admin 2 Código P],tblSeverityAnalysis[PRO],0,0)</f>
        <v>4</v>
      </c>
      <c r="Y74">
        <v>0</v>
      </c>
      <c r="Z74">
        <v>4.4000000000000004</v>
      </c>
      <c r="AA74">
        <f t="shared" si="1"/>
        <v>4</v>
      </c>
    </row>
    <row r="75" spans="1:27">
      <c r="A75" t="s">
        <v>180</v>
      </c>
      <c r="B75" t="s">
        <v>239</v>
      </c>
      <c r="C75" s="42" t="s">
        <v>254</v>
      </c>
      <c r="D75" t="s">
        <v>255</v>
      </c>
      <c r="E75" s="8" cm="1">
        <f t="array" aca="1" ref="E75" ca="1">_xlfn.XLOOKUP(Table11[[#This Row],[Admin2PCODE]], tblPiNAnalysis[Admin2PCODE], INDIRECT("tblPiNAnalysis[" &amp; Table11[[#Headers],[Población]] &amp; "]"), "NOT FOUND", 0, 1)</f>
        <v>22248</v>
      </c>
      <c r="F75" s="8" cm="1">
        <f t="array" aca="1" ref="F75" ca="1">_xlfn.XLOOKUP(Table11[[#This Row],[Admin2PCODE]], tblPiNAnalysis[Admin2PCODE], INDIRECT("tblPiNAnalysis[" &amp; Table11[[#Headers],[SAMV]] &amp; "]"), "NOT FOUND", 0, 1)</f>
        <v>7045</v>
      </c>
      <c r="G75" s="8" cm="1">
        <f t="array" aca="1" ref="G75" ca="1">_xlfn.XLOOKUP(Table11[[#This Row],[Admin2PCODE]], tblPiNAnalysis[Admin2PCODE], INDIRECT("tblPiNAnalysis[" &amp; Table11[[#Headers],[NUT]] &amp; "]"), "NOT FOUND", 0, 1)</f>
        <v>1855.7296584467563</v>
      </c>
      <c r="H75" s="8" cm="1">
        <f t="array" aca="1" ref="H75" ca="1">_xlfn.XLOOKUP(Table11[[#This Row],[Admin2PCODE]], tblPiNAnalysis[Admin2PCODE], INDIRECT("tblPiNAnalysis[" &amp; Table11[[#Headers],[SAL]] &amp; "]"), "NOT FOUND", 0, 1)</f>
        <v>8120.52</v>
      </c>
      <c r="I75" s="8" cm="1">
        <f t="array" aca="1" ref="I75" ca="1">_xlfn.XLOOKUP(Table11[[#This Row],[Admin2PCODE]], tblPiNAnalysis[Admin2PCODE], INDIRECT("tblPiNAnalysis[" &amp; Table11[[#Headers],[EDU]] &amp; "]"), "NOT FOUND", 0, 1)</f>
        <v>3844.302297622447</v>
      </c>
      <c r="J75" s="8" cm="1">
        <f t="array" aca="1" ref="J75" ca="1">_xlfn.XLOOKUP(Table11[[#This Row],[Admin2PCODE]], tblPiNAnalysis[Admin2PCODE], INDIRECT("tblPiNAnalysis[" &amp; Table11[[#Headers],[PRO]] &amp; "]"), "NOT FOUND", 0, 1)</f>
        <v>5330.8961390804643</v>
      </c>
      <c r="K75" s="8" cm="1">
        <f t="array" aca="1" ref="K75" ca="1">_xlfn.XLOOKUP(Table11[[#This Row],[Admin2PCODE]], tblPiNAnalysis[Admin2PCODE], INDIRECT("tblPiNAnalysis[" &amp; Table11[[#Headers],[ASH]] &amp; "]"), "NOT FOUND", 0, 1)</f>
        <v>13348.8</v>
      </c>
      <c r="L75" s="8" cm="1">
        <f t="array" aca="1" ref="L75" ca="1">_xlfn.XLOOKUP(Table11[[#This Row],[Admin2PCODE]], tblPiNAnalysis[Admin2PCODE], INDIRECT("tblPiNAnalysis[" &amp; Table11[[#Headers],[NNA]] &amp; "]"), "NOT FOUND", 0, 1)</f>
        <v>1705.8867645057487</v>
      </c>
      <c r="M75" s="8" cm="1">
        <f t="array" aca="1" ref="M75" ca="1">_xlfn.XLOOKUP(Table11[[#This Row],[Admin2PCODE]], tblPiNAnalysis[Admin2PCODE], INDIRECT("tblPiNAnalysis[" &amp; Table11[[#Headers],[VBG]] &amp; "]"), "NOT FOUND", 0, 1)</f>
        <v>1865.8136486781621</v>
      </c>
      <c r="N75" s="8" cm="1">
        <f t="array" aca="1" ref="N75" ca="1">_xlfn.XLOOKUP(Table11[[#This Row],[Admin2PCODE]], tblPiNAnalysis[Admin2PCODE], INDIRECT("tblPiNAnalysis[" &amp; Table11[[#Headers],[PiN más alto]] &amp; "]"), "NOT FOUND", 0, 1)</f>
        <v>13348.8</v>
      </c>
      <c r="O75" t="str" cm="1">
        <f t="array" aca="1" ref="O75" ca="1">_xlfn.XLOOKUP(Table11[[#This Row],[Admin2PCODE]], tblPiNAnalysis[Admin2PCODE], INDIRECT("tblPiNAnalysis[" &amp; Table11[[#Headers],[Sectores más altos]] &amp; "]"), "NOT FOUND", 0, 1)</f>
        <v>ASH</v>
      </c>
      <c r="P75" cm="1">
        <f t="array" ref="P75">_xlfn.XLOOKUP(Table11[[#This Row],[Admin2PCODE]], tblPiNAnalysis[Admin2PCODE], tblPiNAnalysis[Severidad], "NOT FOUND", 0, 1)</f>
        <v>3</v>
      </c>
      <c r="Q75" s="318">
        <v>0.6</v>
      </c>
      <c r="R75" s="318">
        <v>0.47407407407407398</v>
      </c>
      <c r="S75" s="318">
        <v>0.28444444444444439</v>
      </c>
      <c r="T75">
        <v>0</v>
      </c>
      <c r="W75">
        <f>_xlfn.XLOOKUP(Table11[[#This Row],[Admin2PCODE]],tblSeverityAnalysis[Admin 2 Código P],tblSeverityAnalysis[PRO],0,0)</f>
        <v>4</v>
      </c>
      <c r="Y75">
        <v>0</v>
      </c>
      <c r="Z75">
        <v>2.5499999999999998</v>
      </c>
      <c r="AA75">
        <f t="shared" si="1"/>
        <v>3</v>
      </c>
    </row>
    <row r="76" spans="1:27">
      <c r="A76" t="s">
        <v>180</v>
      </c>
      <c r="B76" t="s">
        <v>239</v>
      </c>
      <c r="C76" s="42" t="s">
        <v>256</v>
      </c>
      <c r="D76" t="s">
        <v>257</v>
      </c>
      <c r="E76" s="8" cm="1">
        <f t="array" aca="1" ref="E76" ca="1">_xlfn.XLOOKUP(Table11[[#This Row],[Admin2PCODE]], tblPiNAnalysis[Admin2PCODE], INDIRECT("tblPiNAnalysis[" &amp; Table11[[#Headers],[Población]] &amp; "]"), "NOT FOUND", 0, 1)</f>
        <v>51214</v>
      </c>
      <c r="F76" s="8" cm="1">
        <f t="array" aca="1" ref="F76" ca="1">_xlfn.XLOOKUP(Table11[[#This Row],[Admin2PCODE]], tblPiNAnalysis[Admin2PCODE], INDIRECT("tblPiNAnalysis[" &amp; Table11[[#Headers],[SAMV]] &amp; "]"), "NOT FOUND", 0, 1)</f>
        <v>8130</v>
      </c>
      <c r="G76" s="8" cm="1">
        <f t="array" aca="1" ref="G76" ca="1">_xlfn.XLOOKUP(Table11[[#This Row],[Admin2PCODE]], tblPiNAnalysis[Admin2PCODE], INDIRECT("tblPiNAnalysis[" &amp; Table11[[#Headers],[NUT]] &amp; "]"), "NOT FOUND", 0, 1)</f>
        <v>2832.2792786890295</v>
      </c>
      <c r="H76" s="8" cm="1">
        <f t="array" aca="1" ref="H76" ca="1">_xlfn.XLOOKUP(Table11[[#This Row],[Admin2PCODE]], tblPiNAnalysis[Admin2PCODE], INDIRECT("tblPiNAnalysis[" &amp; Table11[[#Headers],[SAL]] &amp; "]"), "NOT FOUND", 0, 1)</f>
        <v>38767</v>
      </c>
      <c r="I76" s="8" cm="1">
        <f t="array" aca="1" ref="I76" ca="1">_xlfn.XLOOKUP(Table11[[#This Row],[Admin2PCODE]], tblPiNAnalysis[Admin2PCODE], INDIRECT("tblPiNAnalysis[" &amp; Table11[[#Headers],[EDU]] &amp; "]"), "NOT FOUND", 0, 1)</f>
        <v>11016.833570855109</v>
      </c>
      <c r="J76" s="8" cm="1">
        <f t="array" aca="1" ref="J76" ca="1">_xlfn.XLOOKUP(Table11[[#This Row],[Admin2PCODE]], tblPiNAnalysis[Admin2PCODE], INDIRECT("tblPiNAnalysis[" &amp; Table11[[#Headers],[PRO]] &amp; "]"), "NOT FOUND", 0, 1)</f>
        <v>12271.508219474423</v>
      </c>
      <c r="K76" s="8" cm="1">
        <f t="array" aca="1" ref="K76" ca="1">_xlfn.XLOOKUP(Table11[[#This Row],[Admin2PCODE]], tblPiNAnalysis[Admin2PCODE], INDIRECT("tblPiNAnalysis[" &amp; Table11[[#Headers],[ASH]] &amp; "]"), "NOT FOUND", 0, 1)</f>
        <v>30728.399999999998</v>
      </c>
      <c r="L76" s="8" cm="1">
        <f t="array" aca="1" ref="L76" ca="1">_xlfn.XLOOKUP(Table11[[#This Row],[Admin2PCODE]], tblPiNAnalysis[Admin2PCODE], INDIRECT("tblPiNAnalysis[" &amp; Table11[[#Headers],[NNA]] &amp; "]"), "NOT FOUND", 0, 1)</f>
        <v>3926.8826302318153</v>
      </c>
      <c r="M76" s="8" cm="1">
        <f t="array" aca="1" ref="M76" ca="1">_xlfn.XLOOKUP(Table11[[#This Row],[Admin2PCODE]], tblPiNAnalysis[Admin2PCODE], INDIRECT("tblPiNAnalysis[" &amp; Table11[[#Headers],[VBG]] &amp; "]"), "NOT FOUND", 0, 1)</f>
        <v>4295.0278768160479</v>
      </c>
      <c r="N76" s="8" cm="1">
        <f t="array" aca="1" ref="N76" ca="1">_xlfn.XLOOKUP(Table11[[#This Row],[Admin2PCODE]], tblPiNAnalysis[Admin2PCODE], INDIRECT("tblPiNAnalysis[" &amp; Table11[[#Headers],[PiN más alto]] &amp; "]"), "NOT FOUND", 0, 1)</f>
        <v>38767</v>
      </c>
      <c r="O76" t="str" cm="1">
        <f t="array" aca="1" ref="O76" ca="1">_xlfn.XLOOKUP(Table11[[#This Row],[Admin2PCODE]], tblPiNAnalysis[Admin2PCODE], INDIRECT("tblPiNAnalysis[" &amp; Table11[[#Headers],[Sectores más altos]] &amp; "]"), "NOT FOUND", 0, 1)</f>
        <v>SAL</v>
      </c>
      <c r="P76" cm="1">
        <f t="array" ref="P76">_xlfn.XLOOKUP(Table11[[#This Row],[Admin2PCODE]], tblPiNAnalysis[Admin2PCODE], tblPiNAnalysis[Severidad], "NOT FOUND", 0, 1)</f>
        <v>4</v>
      </c>
      <c r="Q76" s="318">
        <v>0.379746835443038</v>
      </c>
      <c r="R76" s="318">
        <v>0.3648148148148147</v>
      </c>
      <c r="S76" s="318">
        <v>0.13853727144866382</v>
      </c>
      <c r="T76">
        <v>0</v>
      </c>
      <c r="W76">
        <f>_xlfn.XLOOKUP(Table11[[#This Row],[Admin2PCODE]],tblSeverityAnalysis[Admin 2 Código P],tblSeverityAnalysis[PRO],0,0)</f>
        <v>4</v>
      </c>
      <c r="Y76">
        <v>0</v>
      </c>
      <c r="Z76">
        <v>3.55</v>
      </c>
      <c r="AA76">
        <f t="shared" si="1"/>
        <v>4</v>
      </c>
    </row>
    <row r="77" spans="1:27">
      <c r="A77" t="s">
        <v>180</v>
      </c>
      <c r="B77" t="s">
        <v>239</v>
      </c>
      <c r="C77" s="42" t="s">
        <v>203</v>
      </c>
      <c r="D77" t="s">
        <v>258</v>
      </c>
      <c r="E77" s="8" cm="1">
        <f t="array" aca="1" ref="E77" ca="1">_xlfn.XLOOKUP(Table11[[#This Row],[Admin2PCODE]], tblPiNAnalysis[Admin2PCODE], INDIRECT("tblPiNAnalysis[" &amp; Table11[[#Headers],[Población]] &amp; "]"), "NOT FOUND", 0, 1)</f>
        <v>20817</v>
      </c>
      <c r="F77" s="8" cm="1">
        <f t="array" aca="1" ref="F77" ca="1">_xlfn.XLOOKUP(Table11[[#This Row],[Admin2PCODE]], tblPiNAnalysis[Admin2PCODE], INDIRECT("tblPiNAnalysis[" &amp; Table11[[#Headers],[SAMV]] &amp; "]"), "NOT FOUND", 0, 1)</f>
        <v>7980</v>
      </c>
      <c r="G77" s="8" cm="1">
        <f t="array" aca="1" ref="G77" ca="1">_xlfn.XLOOKUP(Table11[[#This Row],[Admin2PCODE]], tblPiNAnalysis[Admin2PCODE], INDIRECT("tblPiNAnalysis[" &amp; Table11[[#Headers],[NUT]] &amp; "]"), "NOT FOUND", 0, 1)</f>
        <v>1849.4484320327797</v>
      </c>
      <c r="H77" s="8" cm="1">
        <f t="array" aca="1" ref="H77" ca="1">_xlfn.XLOOKUP(Table11[[#This Row],[Admin2PCODE]], tblPiNAnalysis[Admin2PCODE], INDIRECT("tblPiNAnalysis[" &amp; Table11[[#Headers],[SAL]] &amp; "]"), "NOT FOUND", 0, 1)</f>
        <v>18200</v>
      </c>
      <c r="I77" s="8" cm="1">
        <f t="array" aca="1" ref="I77" ca="1">_xlfn.XLOOKUP(Table11[[#This Row],[Admin2PCODE]], tblPiNAnalysis[Admin2PCODE], INDIRECT("tblPiNAnalysis[" &amp; Table11[[#Headers],[EDU]] &amp; "]"), "NOT FOUND", 0, 1)</f>
        <v>1194.7859218025274</v>
      </c>
      <c r="J77" s="8" cm="1">
        <f t="array" aca="1" ref="J77" ca="1">_xlfn.XLOOKUP(Table11[[#This Row],[Admin2PCODE]], tblPiNAnalysis[Admin2PCODE], INDIRECT("tblPiNAnalysis[" &amp; Table11[[#Headers],[PRO]] &amp; "]"), "NOT FOUND", 0, 1)</f>
        <v>4988.0108291638817</v>
      </c>
      <c r="K77" s="8" cm="1">
        <f t="array" aca="1" ref="K77" ca="1">_xlfn.XLOOKUP(Table11[[#This Row],[Admin2PCODE]], tblPiNAnalysis[Admin2PCODE], INDIRECT("tblPiNAnalysis[" &amp; Table11[[#Headers],[ASH]] &amp; "]"), "NOT FOUND", 0, 1)</f>
        <v>12490.199999999999</v>
      </c>
      <c r="L77" s="8" cm="1">
        <f t="array" aca="1" ref="L77" ca="1">_xlfn.XLOOKUP(Table11[[#This Row],[Admin2PCODE]], tblPiNAnalysis[Admin2PCODE], INDIRECT("tblPiNAnalysis[" &amp; Table11[[#Headers],[NNA]] &amp; "]"), "NOT FOUND", 0, 1)</f>
        <v>1596.1634653324422</v>
      </c>
      <c r="M77" s="8" cm="1">
        <f t="array" aca="1" ref="M77" ca="1">_xlfn.XLOOKUP(Table11[[#This Row],[Admin2PCODE]], tblPiNAnalysis[Admin2PCODE], INDIRECT("tblPiNAnalysis[" &amp; Table11[[#Headers],[VBG]] &amp; "]"), "NOT FOUND", 0, 1)</f>
        <v>1745.8037902073586</v>
      </c>
      <c r="N77" s="8" cm="1">
        <f t="array" aca="1" ref="N77" ca="1">_xlfn.XLOOKUP(Table11[[#This Row],[Admin2PCODE]], tblPiNAnalysis[Admin2PCODE], INDIRECT("tblPiNAnalysis[" &amp; Table11[[#Headers],[PiN más alto]] &amp; "]"), "NOT FOUND", 0, 1)</f>
        <v>18200</v>
      </c>
      <c r="O77" t="str" cm="1">
        <f t="array" aca="1" ref="O77" ca="1">_xlfn.XLOOKUP(Table11[[#This Row],[Admin2PCODE]], tblPiNAnalysis[Admin2PCODE], INDIRECT("tblPiNAnalysis[" &amp; Table11[[#Headers],[Sectores más altos]] &amp; "]"), "NOT FOUND", 0, 1)</f>
        <v>SAL</v>
      </c>
      <c r="P77" cm="1">
        <f t="array" ref="P77">_xlfn.XLOOKUP(Table11[[#This Row],[Admin2PCODE]], tblPiNAnalysis[Admin2PCODE], tblPiNAnalysis[Severidad], "NOT FOUND", 0, 1)</f>
        <v>4</v>
      </c>
      <c r="Q77" s="318">
        <v>0.18181818181818182</v>
      </c>
      <c r="R77" s="318">
        <v>0.38888888888888884</v>
      </c>
      <c r="S77" s="318">
        <v>7.0707070707070704E-2</v>
      </c>
      <c r="T77">
        <v>0</v>
      </c>
      <c r="W77">
        <f>_xlfn.XLOOKUP(Table11[[#This Row],[Admin2PCODE]],tblSeverityAnalysis[Admin 2 Código P],tblSeverityAnalysis[PRO],0,0)</f>
        <v>4</v>
      </c>
      <c r="Y77">
        <v>0</v>
      </c>
      <c r="Z77">
        <v>3.75</v>
      </c>
      <c r="AA77">
        <f t="shared" si="1"/>
        <v>4</v>
      </c>
    </row>
    <row r="78" spans="1:27">
      <c r="A78" t="s">
        <v>180</v>
      </c>
      <c r="B78" t="s">
        <v>239</v>
      </c>
      <c r="C78" s="42" t="s">
        <v>259</v>
      </c>
      <c r="D78" t="s">
        <v>260</v>
      </c>
      <c r="E78" s="8" cm="1">
        <f t="array" aca="1" ref="E78" ca="1">_xlfn.XLOOKUP(Table11[[#This Row],[Admin2PCODE]], tblPiNAnalysis[Admin2PCODE], INDIRECT("tblPiNAnalysis[" &amp; Table11[[#Headers],[Población]] &amp; "]"), "NOT FOUND", 0, 1)</f>
        <v>15835</v>
      </c>
      <c r="F78" s="8" cm="1">
        <f t="array" aca="1" ref="F78" ca="1">_xlfn.XLOOKUP(Table11[[#This Row],[Admin2PCODE]], tblPiNAnalysis[Admin2PCODE], INDIRECT("tblPiNAnalysis[" &amp; Table11[[#Headers],[SAMV]] &amp; "]"), "NOT FOUND", 0, 1)</f>
        <v>13950</v>
      </c>
      <c r="G78" s="8" cm="1">
        <f t="array" aca="1" ref="G78" ca="1">_xlfn.XLOOKUP(Table11[[#This Row],[Admin2PCODE]], tblPiNAnalysis[Admin2PCODE], INDIRECT("tblPiNAnalysis[" &amp; Table11[[#Headers],[NUT]] &amp; "]"), "NOT FOUND", 0, 1)</f>
        <v>597.86705223600529</v>
      </c>
      <c r="H78" s="8" cm="1">
        <f t="array" aca="1" ref="H78" ca="1">_xlfn.XLOOKUP(Table11[[#This Row],[Admin2PCODE]], tblPiNAnalysis[Admin2PCODE], INDIRECT("tblPiNAnalysis[" &amp; Table11[[#Headers],[SAL]] &amp; "]"), "NOT FOUND", 0, 1)</f>
        <v>6300</v>
      </c>
      <c r="I78" s="8" cm="1">
        <f t="array" aca="1" ref="I78" ca="1">_xlfn.XLOOKUP(Table11[[#This Row],[Admin2PCODE]], tblPiNAnalysis[Admin2PCODE], INDIRECT("tblPiNAnalysis[" &amp; Table11[[#Headers],[EDU]] &amp; "]"), "NOT FOUND", 0, 1)</f>
        <v>1818.0582824920004</v>
      </c>
      <c r="J78" s="8" cm="1">
        <f t="array" aca="1" ref="J78" ca="1">_xlfn.XLOOKUP(Table11[[#This Row],[Admin2PCODE]], tblPiNAnalysis[Admin2PCODE], INDIRECT("tblPiNAnalysis[" &amp; Table11[[#Headers],[PRO]] &amp; "]"), "NOT FOUND", 0, 1)</f>
        <v>3794.2619724172582</v>
      </c>
      <c r="K78" s="8" cm="1">
        <f t="array" aca="1" ref="K78" ca="1">_xlfn.XLOOKUP(Table11[[#This Row],[Admin2PCODE]], tblPiNAnalysis[Admin2PCODE], INDIRECT("tblPiNAnalysis[" &amp; Table11[[#Headers],[ASH]] &amp; "]"), "NOT FOUND", 0, 1)</f>
        <v>1068.8625</v>
      </c>
      <c r="L78" s="8" cm="1">
        <f t="array" aca="1" ref="L78" ca="1">_xlfn.XLOOKUP(Table11[[#This Row],[Admin2PCODE]], tblPiNAnalysis[Admin2PCODE], INDIRECT("tblPiNAnalysis[" &amp; Table11[[#Headers],[NNA]] &amp; "]"), "NOT FOUND", 0, 1)</f>
        <v>1214.1638311735226</v>
      </c>
      <c r="M78" s="8" cm="1">
        <f t="array" aca="1" ref="M78" ca="1">_xlfn.XLOOKUP(Table11[[#This Row],[Admin2PCODE]], tblPiNAnalysis[Admin2PCODE], INDIRECT("tblPiNAnalysis[" &amp; Table11[[#Headers],[VBG]] &amp; "]"), "NOT FOUND", 0, 1)</f>
        <v>1327.9916903460405</v>
      </c>
      <c r="N78" s="8" cm="1">
        <f t="array" aca="1" ref="N78" ca="1">_xlfn.XLOOKUP(Table11[[#This Row],[Admin2PCODE]], tblPiNAnalysis[Admin2PCODE], INDIRECT("tblPiNAnalysis[" &amp; Table11[[#Headers],[PiN más alto]] &amp; "]"), "NOT FOUND", 0, 1)</f>
        <v>13950</v>
      </c>
      <c r="O78" t="str" cm="1">
        <f t="array" aca="1" ref="O78" ca="1">_xlfn.XLOOKUP(Table11[[#This Row],[Admin2PCODE]], tblPiNAnalysis[Admin2PCODE], INDIRECT("tblPiNAnalysis[" &amp; Table11[[#Headers],[Sectores más altos]] &amp; "]"), "NOT FOUND", 0, 1)</f>
        <v>SAMV</v>
      </c>
      <c r="P78" cm="1">
        <f t="array" ref="P78">_xlfn.XLOOKUP(Table11[[#This Row],[Admin2PCODE]], tblPiNAnalysis[Admin2PCODE], tblPiNAnalysis[Severidad], "NOT FOUND", 0, 1)</f>
        <v>3</v>
      </c>
      <c r="Q78" s="318">
        <v>0.20833333333333334</v>
      </c>
      <c r="R78" s="318">
        <v>0.44444444444444431</v>
      </c>
      <c r="S78" s="318">
        <v>9.2592592592592574E-2</v>
      </c>
      <c r="T78">
        <v>1</v>
      </c>
      <c r="W78">
        <f>_xlfn.XLOOKUP(Table11[[#This Row],[Admin2PCODE]],tblSeverityAnalysis[Admin 2 Código P],tblSeverityAnalysis[PRO],0,0)</f>
        <v>4</v>
      </c>
      <c r="Y78">
        <v>0</v>
      </c>
      <c r="Z78">
        <v>0</v>
      </c>
      <c r="AA78">
        <f t="shared" si="1"/>
        <v>0</v>
      </c>
    </row>
    <row r="79" spans="1:27">
      <c r="A79" t="s">
        <v>261</v>
      </c>
      <c r="B79" t="s">
        <v>262</v>
      </c>
      <c r="C79" s="42" t="s">
        <v>263</v>
      </c>
      <c r="D79" t="s">
        <v>264</v>
      </c>
      <c r="E79" s="8" cm="1">
        <f t="array" aca="1" ref="E79" ca="1">_xlfn.XLOOKUP(Table11[[#This Row],[Admin2PCODE]], tblPiNAnalysis[Admin2PCODE], INDIRECT("tblPiNAnalysis[" &amp; Table11[[#Headers],[Población]] &amp; "]"), "NOT FOUND", 0, 1)</f>
        <v>49631</v>
      </c>
      <c r="F79" s="8" cm="1">
        <f t="array" aca="1" ref="F79" ca="1">_xlfn.XLOOKUP(Table11[[#This Row],[Admin2PCODE]], tblPiNAnalysis[Admin2PCODE], INDIRECT("tblPiNAnalysis[" &amp; Table11[[#Headers],[SAMV]] &amp; "]"), "NOT FOUND", 0, 1)</f>
        <v>6633</v>
      </c>
      <c r="G79" s="8" cm="1">
        <f t="array" aca="1" ref="G79" ca="1">_xlfn.XLOOKUP(Table11[[#This Row],[Admin2PCODE]], tblPiNAnalysis[Admin2PCODE], INDIRECT("tblPiNAnalysis[" &amp; Table11[[#Headers],[NUT]] &amp; "]"), "NOT FOUND", 0, 1)</f>
        <v>2740.1407555150554</v>
      </c>
      <c r="H79" s="8" cm="1">
        <f t="array" aca="1" ref="H79" ca="1">_xlfn.XLOOKUP(Table11[[#This Row],[Admin2PCODE]], tblPiNAnalysis[Admin2PCODE], INDIRECT("tblPiNAnalysis[" &amp; Table11[[#Headers],[SAL]] &amp; "]"), "NOT FOUND", 0, 1)</f>
        <v>18115.314999999999</v>
      </c>
      <c r="I79" s="8" cm="1">
        <f t="array" aca="1" ref="I79" ca="1">_xlfn.XLOOKUP(Table11[[#This Row],[Admin2PCODE]], tblPiNAnalysis[Admin2PCODE], INDIRECT("tblPiNAnalysis[" &amp; Table11[[#Headers],[EDU]] &amp; "]"), "NOT FOUND", 0, 1)</f>
        <v>6869.3296573939679</v>
      </c>
      <c r="J79" s="8" cm="1">
        <f t="array" aca="1" ref="J79" ca="1">_xlfn.XLOOKUP(Table11[[#This Row],[Admin2PCODE]], tblPiNAnalysis[Admin2PCODE], INDIRECT("tblPiNAnalysis[" &amp; Table11[[#Headers],[PRO]] &amp; "]"), "NOT FOUND", 0, 1)</f>
        <v>9858.3672104852449</v>
      </c>
      <c r="K79" s="8" cm="1">
        <f t="array" aca="1" ref="K79" ca="1">_xlfn.XLOOKUP(Table11[[#This Row],[Admin2PCODE]], tblPiNAnalysis[Admin2PCODE], INDIRECT("tblPiNAnalysis[" &amp; Table11[[#Headers],[ASH]] &amp; "]"), "NOT FOUND", 0, 1)</f>
        <v>0</v>
      </c>
      <c r="L79" s="8" cm="1">
        <f t="array" aca="1" ref="L79" ca="1">_xlfn.XLOOKUP(Table11[[#This Row],[Admin2PCODE]], tblPiNAnalysis[Admin2PCODE], INDIRECT("tblPiNAnalysis[" &amp; Table11[[#Headers],[NNA]] &amp; "]"), "NOT FOUND", 0, 1)</f>
        <v>3164.5358745657636</v>
      </c>
      <c r="M79" s="8" cm="1">
        <f t="array" aca="1" ref="M79" ca="1">_xlfn.XLOOKUP(Table11[[#This Row],[Admin2PCODE]], tblPiNAnalysis[Admin2PCODE], INDIRECT("tblPiNAnalysis[" &amp; Table11[[#Headers],[VBG]] &amp; "]"), "NOT FOUND", 0, 1)</f>
        <v>3450.4285236698356</v>
      </c>
      <c r="N79" s="8" cm="1">
        <f t="array" aca="1" ref="N79" ca="1">_xlfn.XLOOKUP(Table11[[#This Row],[Admin2PCODE]], tblPiNAnalysis[Admin2PCODE], INDIRECT("tblPiNAnalysis[" &amp; Table11[[#Headers],[PiN más alto]] &amp; "]"), "NOT FOUND", 0, 1)</f>
        <v>18115.314999999999</v>
      </c>
      <c r="O79" t="str" cm="1">
        <f t="array" aca="1" ref="O79" ca="1">_xlfn.XLOOKUP(Table11[[#This Row],[Admin2PCODE]], tblPiNAnalysis[Admin2PCODE], INDIRECT("tblPiNAnalysis[" &amp; Table11[[#Headers],[Sectores más altos]] &amp; "]"), "NOT FOUND", 0, 1)</f>
        <v>SAL</v>
      </c>
      <c r="P79" cm="1">
        <f t="array" ref="P79">_xlfn.XLOOKUP(Table11[[#This Row],[Admin2PCODE]], tblPiNAnalysis[Admin2PCODE], tblPiNAnalysis[Severidad], "NOT FOUND", 0, 1)</f>
        <v>2</v>
      </c>
      <c r="Q79" s="318">
        <v>0.1797752808988764</v>
      </c>
      <c r="R79" s="318">
        <v>0.33333333333333331</v>
      </c>
      <c r="S79" s="318">
        <v>5.9925093632958795E-2</v>
      </c>
      <c r="T79">
        <v>0</v>
      </c>
      <c r="W79">
        <f>_xlfn.XLOOKUP(Table11[[#This Row],[Admin2PCODE]],tblSeverityAnalysis[Admin 2 Código P],tblSeverityAnalysis[PRO],0,0)</f>
        <v>3</v>
      </c>
      <c r="Y79">
        <v>0</v>
      </c>
      <c r="Z79">
        <v>0</v>
      </c>
      <c r="AA79">
        <f t="shared" si="1"/>
        <v>0</v>
      </c>
    </row>
    <row r="80" spans="1:27">
      <c r="A80" t="s">
        <v>261</v>
      </c>
      <c r="B80" t="s">
        <v>262</v>
      </c>
      <c r="C80" s="42" t="s">
        <v>265</v>
      </c>
      <c r="D80" t="s">
        <v>266</v>
      </c>
      <c r="E80" s="8" cm="1">
        <f t="array" aca="1" ref="E80" ca="1">_xlfn.XLOOKUP(Table11[[#This Row],[Admin2PCODE]], tblPiNAnalysis[Admin2PCODE], INDIRECT("tblPiNAnalysis[" &amp; Table11[[#Headers],[Población]] &amp; "]"), "NOT FOUND", 0, 1)</f>
        <v>153665</v>
      </c>
      <c r="F80" s="8" cm="1">
        <f t="array" aca="1" ref="F80" ca="1">_xlfn.XLOOKUP(Table11[[#This Row],[Admin2PCODE]], tblPiNAnalysis[Admin2PCODE], INDIRECT("tblPiNAnalysis[" &amp; Table11[[#Headers],[SAMV]] &amp; "]"), "NOT FOUND", 0, 1)</f>
        <v>21230</v>
      </c>
      <c r="G80" s="8" cm="1">
        <f t="array" aca="1" ref="G80" ca="1">_xlfn.XLOOKUP(Table11[[#This Row],[Admin2PCODE]], tblPiNAnalysis[Admin2PCODE], INDIRECT("tblPiNAnalysis[" &amp; Table11[[#Headers],[NUT]] &amp; "]"), "NOT FOUND", 0, 1)</f>
        <v>10679.864389374021</v>
      </c>
      <c r="H80" s="8" cm="1">
        <f t="array" aca="1" ref="H80" ca="1">_xlfn.XLOOKUP(Table11[[#This Row],[Admin2PCODE]], tblPiNAnalysis[Admin2PCODE], INDIRECT("tblPiNAnalysis[" &amp; Table11[[#Headers],[SAL]] &amp; "]"), "NOT FOUND", 0, 1)</f>
        <v>56087.724999999999</v>
      </c>
      <c r="I80" s="8" cm="1">
        <f t="array" aca="1" ref="I80" ca="1">_xlfn.XLOOKUP(Table11[[#This Row],[Admin2PCODE]], tblPiNAnalysis[Admin2PCODE], INDIRECT("tblPiNAnalysis[" &amp; Table11[[#Headers],[EDU]] &amp; "]"), "NOT FOUND", 0, 1)</f>
        <v>19383.11853008662</v>
      </c>
      <c r="J80" s="8" cm="1">
        <f t="array" aca="1" ref="J80" ca="1">_xlfn.XLOOKUP(Table11[[#This Row],[Admin2PCODE]], tblPiNAnalysis[Admin2PCODE], INDIRECT("tblPiNAnalysis[" &amp; Table11[[#Headers],[PRO]] &amp; "]"), "NOT FOUND", 0, 1)</f>
        <v>30522.979536967126</v>
      </c>
      <c r="K80" s="8" cm="1">
        <f t="array" aca="1" ref="K80" ca="1">_xlfn.XLOOKUP(Table11[[#This Row],[Admin2PCODE]], tblPiNAnalysis[Admin2PCODE], INDIRECT("tblPiNAnalysis[" &amp; Table11[[#Headers],[ASH]] &amp; "]"), "NOT FOUND", 0, 1)</f>
        <v>0</v>
      </c>
      <c r="L80" s="8" cm="1">
        <f t="array" aca="1" ref="L80" ca="1">_xlfn.XLOOKUP(Table11[[#This Row],[Admin2PCODE]], tblPiNAnalysis[Admin2PCODE], INDIRECT("tblPiNAnalysis[" &amp; Table11[[#Headers],[NNA]] &amp; "]"), "NOT FOUND", 0, 1)</f>
        <v>9797.8764313664469</v>
      </c>
      <c r="M80" s="8" cm="1">
        <f t="array" aca="1" ref="M80" ca="1">_xlfn.XLOOKUP(Table11[[#This Row],[Admin2PCODE]], tblPiNAnalysis[Admin2PCODE], INDIRECT("tblPiNAnalysis[" &amp; Table11[[#Headers],[VBG]] &amp; "]"), "NOT FOUND", 0, 1)</f>
        <v>10683.042837938494</v>
      </c>
      <c r="N80" s="8" cm="1">
        <f t="array" aca="1" ref="N80" ca="1">_xlfn.XLOOKUP(Table11[[#This Row],[Admin2PCODE]], tblPiNAnalysis[Admin2PCODE], INDIRECT("tblPiNAnalysis[" &amp; Table11[[#Headers],[PiN más alto]] &amp; "]"), "NOT FOUND", 0, 1)</f>
        <v>56087.724999999999</v>
      </c>
      <c r="O80" t="str" cm="1">
        <f t="array" aca="1" ref="O80" ca="1">_xlfn.XLOOKUP(Table11[[#This Row],[Admin2PCODE]], tblPiNAnalysis[Admin2PCODE], INDIRECT("tblPiNAnalysis[" &amp; Table11[[#Headers],[Sectores más altos]] &amp; "]"), "NOT FOUND", 0, 1)</f>
        <v>SAL</v>
      </c>
      <c r="P80" cm="1">
        <f t="array" ref="P80">_xlfn.XLOOKUP(Table11[[#This Row],[Admin2PCODE]], tblPiNAnalysis[Admin2PCODE], tblPiNAnalysis[Severidad], "NOT FOUND", 0, 1)</f>
        <v>3</v>
      </c>
      <c r="Q80" s="318">
        <v>0</v>
      </c>
      <c r="R80" s="318">
        <v>0</v>
      </c>
      <c r="S80" s="318">
        <v>0</v>
      </c>
      <c r="T80">
        <v>0</v>
      </c>
      <c r="W80">
        <f>_xlfn.XLOOKUP(Table11[[#This Row],[Admin2PCODE]],tblSeverityAnalysis[Admin 2 Código P],tblSeverityAnalysis[PRO],0,0)</f>
        <v>3</v>
      </c>
      <c r="Y80">
        <v>0</v>
      </c>
      <c r="Z80">
        <v>0</v>
      </c>
      <c r="AA80">
        <f t="shared" si="1"/>
        <v>0</v>
      </c>
    </row>
    <row r="81" spans="1:27">
      <c r="A81" t="s">
        <v>261</v>
      </c>
      <c r="B81" t="s">
        <v>262</v>
      </c>
      <c r="C81" s="42" t="s">
        <v>267</v>
      </c>
      <c r="D81" t="s">
        <v>268</v>
      </c>
      <c r="E81" s="8" cm="1">
        <f t="array" aca="1" ref="E81" ca="1">_xlfn.XLOOKUP(Table11[[#This Row],[Admin2PCODE]], tblPiNAnalysis[Admin2PCODE], INDIRECT("tblPiNAnalysis[" &amp; Table11[[#Headers],[Población]] &amp; "]"), "NOT FOUND", 0, 1)</f>
        <v>106893</v>
      </c>
      <c r="F81" s="8" cm="1">
        <f t="array" aca="1" ref="F81" ca="1">_xlfn.XLOOKUP(Table11[[#This Row],[Admin2PCODE]], tblPiNAnalysis[Admin2PCODE], INDIRECT("tblPiNAnalysis[" &amp; Table11[[#Headers],[SAMV]] &amp; "]"), "NOT FOUND", 0, 1)</f>
        <v>4157</v>
      </c>
      <c r="G81" s="8" cm="1">
        <f t="array" aca="1" ref="G81" ca="1">_xlfn.XLOOKUP(Table11[[#This Row],[Admin2PCODE]], tblPiNAnalysis[Admin2PCODE], INDIRECT("tblPiNAnalysis[" &amp; Table11[[#Headers],[NUT]] &amp; "]"), "NOT FOUND", 0, 1)</f>
        <v>3921.4168690948582</v>
      </c>
      <c r="H81" s="8" cm="1">
        <f t="array" aca="1" ref="H81" ca="1">_xlfn.XLOOKUP(Table11[[#This Row],[Admin2PCODE]], tblPiNAnalysis[Admin2PCODE], INDIRECT("tblPiNAnalysis[" &amp; Table11[[#Headers],[SAL]] &amp; "]"), "NOT FOUND", 0, 1)</f>
        <v>39015.945</v>
      </c>
      <c r="I81" s="8" cm="1">
        <f t="array" aca="1" ref="I81" ca="1">_xlfn.XLOOKUP(Table11[[#This Row],[Admin2PCODE]], tblPiNAnalysis[Admin2PCODE], INDIRECT("tblPiNAnalysis[" &amp; Table11[[#Headers],[EDU]] &amp; "]"), "NOT FOUND", 0, 1)</f>
        <v>17343.303575727121</v>
      </c>
      <c r="J81" s="8" cm="1">
        <f t="array" aca="1" ref="J81" ca="1">_xlfn.XLOOKUP(Table11[[#This Row],[Admin2PCODE]], tblPiNAnalysis[Admin2PCODE], INDIRECT("tblPiNAnalysis[" &amp; Table11[[#Headers],[PRO]] &amp; "]"), "NOT FOUND", 0, 1)</f>
        <v>25479.00577212789</v>
      </c>
      <c r="K81" s="8" cm="1">
        <f t="array" aca="1" ref="K81" ca="1">_xlfn.XLOOKUP(Table11[[#This Row],[Admin2PCODE]], tblPiNAnalysis[Admin2PCODE], INDIRECT("tblPiNAnalysis[" &amp; Table11[[#Headers],[ASH]] &amp; "]"), "NOT FOUND", 0, 1)</f>
        <v>0</v>
      </c>
      <c r="L81" s="8" cm="1">
        <f t="array" aca="1" ref="L81" ca="1">_xlfn.XLOOKUP(Table11[[#This Row],[Admin2PCODE]], tblPiNAnalysis[Admin2PCODE], INDIRECT("tblPiNAnalysis[" &amp; Table11[[#Headers],[NNA]] &amp; "]"), "NOT FOUND", 0, 1)</f>
        <v>8153.2818470809252</v>
      </c>
      <c r="M81" s="8" cm="1">
        <f t="array" aca="1" ref="M81" ca="1">_xlfn.XLOOKUP(Table11[[#This Row],[Admin2PCODE]], tblPiNAnalysis[Admin2PCODE], INDIRECT("tblPiNAnalysis[" &amp; Table11[[#Headers],[VBG]] &amp; "]"), "NOT FOUND", 0, 1)</f>
        <v>8917.6520202447609</v>
      </c>
      <c r="N81" s="8" cm="1">
        <f t="array" aca="1" ref="N81" ca="1">_xlfn.XLOOKUP(Table11[[#This Row],[Admin2PCODE]], tblPiNAnalysis[Admin2PCODE], INDIRECT("tblPiNAnalysis[" &amp; Table11[[#Headers],[PiN más alto]] &amp; "]"), "NOT FOUND", 0, 1)</f>
        <v>39015.945</v>
      </c>
      <c r="O81" t="str" cm="1">
        <f t="array" aca="1" ref="O81" ca="1">_xlfn.XLOOKUP(Table11[[#This Row],[Admin2PCODE]], tblPiNAnalysis[Admin2PCODE], INDIRECT("tblPiNAnalysis[" &amp; Table11[[#Headers],[Sectores más altos]] &amp; "]"), "NOT FOUND", 0, 1)</f>
        <v>SAL</v>
      </c>
      <c r="P81" cm="1">
        <f t="array" ref="P81">_xlfn.XLOOKUP(Table11[[#This Row],[Admin2PCODE]], tblPiNAnalysis[Admin2PCODE], tblPiNAnalysis[Severidad], "NOT FOUND", 0, 1)</f>
        <v>2</v>
      </c>
      <c r="Q81" s="318">
        <v>2.1276595744680851E-2</v>
      </c>
      <c r="R81" s="318">
        <v>0.33333333333333331</v>
      </c>
      <c r="S81" s="318">
        <v>7.0921985815602835E-3</v>
      </c>
      <c r="T81">
        <v>0</v>
      </c>
      <c r="W81">
        <f>_xlfn.XLOOKUP(Table11[[#This Row],[Admin2PCODE]],tblSeverityAnalysis[Admin 2 Código P],tblSeverityAnalysis[PRO],0,0)</f>
        <v>4</v>
      </c>
      <c r="Y81">
        <v>6</v>
      </c>
      <c r="Z81">
        <v>0</v>
      </c>
      <c r="AA81">
        <f t="shared" si="1"/>
        <v>0</v>
      </c>
    </row>
    <row r="82" spans="1:27">
      <c r="A82" t="s">
        <v>261</v>
      </c>
      <c r="B82" t="s">
        <v>262</v>
      </c>
      <c r="C82" s="42" t="s">
        <v>269</v>
      </c>
      <c r="D82" t="s">
        <v>270</v>
      </c>
      <c r="E82" s="8" cm="1">
        <f t="array" aca="1" ref="E82" ca="1">_xlfn.XLOOKUP(Table11[[#This Row],[Admin2PCODE]], tblPiNAnalysis[Admin2PCODE], INDIRECT("tblPiNAnalysis[" &amp; Table11[[#Headers],[Población]] &amp; "]"), "NOT FOUND", 0, 1)</f>
        <v>180200</v>
      </c>
      <c r="F82" s="8" cm="1">
        <f t="array" aca="1" ref="F82" ca="1">_xlfn.XLOOKUP(Table11[[#This Row],[Admin2PCODE]], tblPiNAnalysis[Admin2PCODE], INDIRECT("tblPiNAnalysis[" &amp; Table11[[#Headers],[SAMV]] &amp; "]"), "NOT FOUND", 0, 1)</f>
        <v>9408</v>
      </c>
      <c r="G82" s="8" cm="1">
        <f t="array" aca="1" ref="G82" ca="1">_xlfn.XLOOKUP(Table11[[#This Row],[Admin2PCODE]], tblPiNAnalysis[Admin2PCODE], INDIRECT("tblPiNAnalysis[" &amp; Table11[[#Headers],[NUT]] &amp; "]"), "NOT FOUND", 0, 1)</f>
        <v>6357.5386841085128</v>
      </c>
      <c r="H82" s="8" cm="1">
        <f t="array" aca="1" ref="H82" ca="1">_xlfn.XLOOKUP(Table11[[#This Row],[Admin2PCODE]], tblPiNAnalysis[Admin2PCODE], INDIRECT("tblPiNAnalysis[" &amp; Table11[[#Headers],[SAL]] &amp; "]"), "NOT FOUND", 0, 1)</f>
        <v>65773</v>
      </c>
      <c r="I82" s="8" cm="1">
        <f t="array" aca="1" ref="I82" ca="1">_xlfn.XLOOKUP(Table11[[#This Row],[Admin2PCODE]], tblPiNAnalysis[Admin2PCODE], INDIRECT("tblPiNAnalysis[" &amp; Table11[[#Headers],[EDU]] &amp; "]"), "NOT FOUND", 0, 1)</f>
        <v>25902.874823037222</v>
      </c>
      <c r="J82" s="8" cm="1">
        <f t="array" aca="1" ref="J82" ca="1">_xlfn.XLOOKUP(Table11[[#This Row],[Admin2PCODE]], tblPiNAnalysis[Admin2PCODE], INDIRECT("tblPiNAnalysis[" &amp; Table11[[#Headers],[PRO]] &amp; "]"), "NOT FOUND", 0, 1)</f>
        <v>42952.455634489117</v>
      </c>
      <c r="K82" s="8" cm="1">
        <f t="array" aca="1" ref="K82" ca="1">_xlfn.XLOOKUP(Table11[[#This Row],[Admin2PCODE]], tblPiNAnalysis[Admin2PCODE], INDIRECT("tblPiNAnalysis[" &amp; Table11[[#Headers],[ASH]] &amp; "]"), "NOT FOUND", 0, 1)</f>
        <v>0</v>
      </c>
      <c r="L82" s="8" cm="1">
        <f t="array" aca="1" ref="L82" ca="1">_xlfn.XLOOKUP(Table11[[#This Row],[Admin2PCODE]], tblPiNAnalysis[Admin2PCODE], INDIRECT("tblPiNAnalysis[" &amp; Table11[[#Headers],[NNA]] &amp; "]"), "NOT FOUND", 0, 1)</f>
        <v>13787.738258671006</v>
      </c>
      <c r="M82" s="8" cm="1">
        <f t="array" aca="1" ref="M82" ca="1">_xlfn.XLOOKUP(Table11[[#This Row],[Admin2PCODE]], tblPiNAnalysis[Admin2PCODE], INDIRECT("tblPiNAnalysis[" &amp; Table11[[#Headers],[VBG]] &amp; "]"), "NOT FOUND", 0, 1)</f>
        <v>15033.359472071188</v>
      </c>
      <c r="N82" s="8" cm="1">
        <f t="array" aca="1" ref="N82" ca="1">_xlfn.XLOOKUP(Table11[[#This Row],[Admin2PCODE]], tblPiNAnalysis[Admin2PCODE], INDIRECT("tblPiNAnalysis[" &amp; Table11[[#Headers],[PiN más alto]] &amp; "]"), "NOT FOUND", 0, 1)</f>
        <v>65773</v>
      </c>
      <c r="O82" t="str" cm="1">
        <f t="array" aca="1" ref="O82" ca="1">_xlfn.XLOOKUP(Table11[[#This Row],[Admin2PCODE]], tblPiNAnalysis[Admin2PCODE], INDIRECT("tblPiNAnalysis[" &amp; Table11[[#Headers],[Sectores más altos]] &amp; "]"), "NOT FOUND", 0, 1)</f>
        <v>SAL</v>
      </c>
      <c r="P82" cm="1">
        <f t="array" ref="P82">_xlfn.XLOOKUP(Table11[[#This Row],[Admin2PCODE]], tblPiNAnalysis[Admin2PCODE], tblPiNAnalysis[Severidad], "NOT FOUND", 0, 1)</f>
        <v>2</v>
      </c>
      <c r="Q82" s="318">
        <v>4.924242424242424E-2</v>
      </c>
      <c r="R82" s="318">
        <v>0.41025641025641024</v>
      </c>
      <c r="S82" s="318">
        <v>2.02020202020202E-2</v>
      </c>
      <c r="T82">
        <v>1</v>
      </c>
      <c r="W82">
        <f>_xlfn.XLOOKUP(Table11[[#This Row],[Admin2PCODE]],tblSeverityAnalysis[Admin 2 Código P],tblSeverityAnalysis[PRO],0,0)</f>
        <v>4</v>
      </c>
      <c r="Y82">
        <v>0</v>
      </c>
      <c r="Z82">
        <v>0</v>
      </c>
      <c r="AA82">
        <f t="shared" si="1"/>
        <v>0</v>
      </c>
    </row>
    <row r="83" spans="1:27">
      <c r="A83" t="s">
        <v>261</v>
      </c>
      <c r="B83" t="s">
        <v>262</v>
      </c>
      <c r="C83" s="42" t="s">
        <v>271</v>
      </c>
      <c r="D83" t="s">
        <v>272</v>
      </c>
      <c r="E83" s="8" cm="1">
        <f t="array" aca="1" ref="E83" ca="1">_xlfn.XLOOKUP(Table11[[#This Row],[Admin2PCODE]], tblPiNAnalysis[Admin2PCODE], INDIRECT("tblPiNAnalysis[" &amp; Table11[[#Headers],[Población]] &amp; "]"), "NOT FOUND", 0, 1)</f>
        <v>70800</v>
      </c>
      <c r="F83" s="8" cm="1">
        <f t="array" aca="1" ref="F83" ca="1">_xlfn.XLOOKUP(Table11[[#This Row],[Admin2PCODE]], tblPiNAnalysis[Admin2PCODE], INDIRECT("tblPiNAnalysis[" &amp; Table11[[#Headers],[SAMV]] &amp; "]"), "NOT FOUND", 0, 1)</f>
        <v>16276</v>
      </c>
      <c r="G83" s="8" cm="1">
        <f t="array" aca="1" ref="G83" ca="1">_xlfn.XLOOKUP(Table11[[#This Row],[Admin2PCODE]], tblPiNAnalysis[Admin2PCODE], INDIRECT("tblPiNAnalysis[" &amp; Table11[[#Headers],[NUT]] &amp; "]"), "NOT FOUND", 0, 1)</f>
        <v>2532.9927315847249</v>
      </c>
      <c r="H83" s="8" cm="1">
        <f t="array" aca="1" ref="H83" ca="1">_xlfn.XLOOKUP(Table11[[#This Row],[Admin2PCODE]], tblPiNAnalysis[Admin2PCODE], INDIRECT("tblPiNAnalysis[" &amp; Table11[[#Headers],[SAL]] &amp; "]"), "NOT FOUND", 0, 1)</f>
        <v>25842</v>
      </c>
      <c r="I83" s="8" cm="1">
        <f t="array" aca="1" ref="I83" ca="1">_xlfn.XLOOKUP(Table11[[#This Row],[Admin2PCODE]], tblPiNAnalysis[Admin2PCODE], INDIRECT("tblPiNAnalysis[" &amp; Table11[[#Headers],[EDU]] &amp; "]"), "NOT FOUND", 0, 1)</f>
        <v>9444.4968576447445</v>
      </c>
      <c r="J83" s="8" cm="1">
        <f t="array" aca="1" ref="J83" ca="1">_xlfn.XLOOKUP(Table11[[#This Row],[Admin2PCODE]], tblPiNAnalysis[Admin2PCODE], INDIRECT("tblPiNAnalysis[" &amp; Table11[[#Headers],[PRO]] &amp; "]"), "NOT FOUND", 0, 1)</f>
        <v>14063.234641702875</v>
      </c>
      <c r="K83" s="8" cm="1">
        <f t="array" aca="1" ref="K83" ca="1">_xlfn.XLOOKUP(Table11[[#This Row],[Admin2PCODE]], tblPiNAnalysis[Admin2PCODE], INDIRECT("tblPiNAnalysis[" &amp; Table11[[#Headers],[ASH]] &amp; "]"), "NOT FOUND", 0, 1)</f>
        <v>9558</v>
      </c>
      <c r="L83" s="8" cm="1">
        <f t="array" aca="1" ref="L83" ca="1">_xlfn.XLOOKUP(Table11[[#This Row],[Admin2PCODE]], tblPiNAnalysis[Admin2PCODE], INDIRECT("tblPiNAnalysis[" &amp; Table11[[#Headers],[NNA]] &amp; "]"), "NOT FOUND", 0, 1)</f>
        <v>4500.2350853449207</v>
      </c>
      <c r="M83" s="8" cm="1">
        <f t="array" aca="1" ref="M83" ca="1">_xlfn.XLOOKUP(Table11[[#This Row],[Admin2PCODE]], tblPiNAnalysis[Admin2PCODE], INDIRECT("tblPiNAnalysis[" &amp; Table11[[#Headers],[VBG]] &amp; "]"), "NOT FOUND", 0, 1)</f>
        <v>4922.1321245960062</v>
      </c>
      <c r="N83" s="8" cm="1">
        <f t="array" aca="1" ref="N83" ca="1">_xlfn.XLOOKUP(Table11[[#This Row],[Admin2PCODE]], tblPiNAnalysis[Admin2PCODE], INDIRECT("tblPiNAnalysis[" &amp; Table11[[#Headers],[PiN más alto]] &amp; "]"), "NOT FOUND", 0, 1)</f>
        <v>25842</v>
      </c>
      <c r="O83" t="str" cm="1">
        <f t="array" aca="1" ref="O83" ca="1">_xlfn.XLOOKUP(Table11[[#This Row],[Admin2PCODE]], tblPiNAnalysis[Admin2PCODE], INDIRECT("tblPiNAnalysis[" &amp; Table11[[#Headers],[Sectores más altos]] &amp; "]"), "NOT FOUND", 0, 1)</f>
        <v>SAL</v>
      </c>
      <c r="P83" cm="1">
        <f t="array" ref="P83">_xlfn.XLOOKUP(Table11[[#This Row],[Admin2PCODE]], tblPiNAnalysis[Admin2PCODE], tblPiNAnalysis[Severidad], "NOT FOUND", 0, 1)</f>
        <v>3</v>
      </c>
      <c r="Q83" s="318">
        <v>0.38562091503267976</v>
      </c>
      <c r="R83" s="318">
        <v>0.41431261770244815</v>
      </c>
      <c r="S83" s="318">
        <v>0.15976761074800289</v>
      </c>
      <c r="T83">
        <v>0</v>
      </c>
      <c r="W83">
        <f>_xlfn.XLOOKUP(Table11[[#This Row],[Admin2PCODE]],tblSeverityAnalysis[Admin 2 Código P],tblSeverityAnalysis[PRO],0,0)</f>
        <v>3</v>
      </c>
      <c r="Y83">
        <v>0</v>
      </c>
      <c r="Z83">
        <v>0</v>
      </c>
      <c r="AA83">
        <f t="shared" si="1"/>
        <v>0</v>
      </c>
    </row>
    <row r="84" spans="1:27">
      <c r="A84" t="s">
        <v>261</v>
      </c>
      <c r="B84" t="s">
        <v>262</v>
      </c>
      <c r="C84" s="42" t="s">
        <v>100</v>
      </c>
      <c r="D84" t="s">
        <v>273</v>
      </c>
      <c r="E84" s="8" cm="1">
        <f t="array" aca="1" ref="E84" ca="1">_xlfn.XLOOKUP(Table11[[#This Row],[Admin2PCODE]], tblPiNAnalysis[Admin2PCODE], INDIRECT("tblPiNAnalysis[" &amp; Table11[[#Headers],[Población]] &amp; "]"), "NOT FOUND", 0, 1)</f>
        <v>169912</v>
      </c>
      <c r="F84" s="8" cm="1">
        <f t="array" aca="1" ref="F84" ca="1">_xlfn.XLOOKUP(Table11[[#This Row],[Admin2PCODE]], tblPiNAnalysis[Admin2PCODE], INDIRECT("tblPiNAnalysis[" &amp; Table11[[#Headers],[SAMV]] &amp; "]"), "NOT FOUND", 0, 1)</f>
        <v>16022</v>
      </c>
      <c r="G84" s="8" cm="1">
        <f t="array" aca="1" ref="G84" ca="1">_xlfn.XLOOKUP(Table11[[#This Row],[Admin2PCODE]], tblPiNAnalysis[Admin2PCODE], INDIRECT("tblPiNAnalysis[" &amp; Table11[[#Headers],[NUT]] &amp; "]"), "NOT FOUND", 0, 1)</f>
        <v>7038.7984495794626</v>
      </c>
      <c r="H84" s="8" cm="1">
        <f t="array" aca="1" ref="H84" ca="1">_xlfn.XLOOKUP(Table11[[#This Row],[Admin2PCODE]], tblPiNAnalysis[Admin2PCODE], INDIRECT("tblPiNAnalysis[" &amp; Table11[[#Headers],[SAL]] &amp; "]"), "NOT FOUND", 0, 1)</f>
        <v>62017.88</v>
      </c>
      <c r="I84" s="8" cm="1">
        <f t="array" aca="1" ref="I84" ca="1">_xlfn.XLOOKUP(Table11[[#This Row],[Admin2PCODE]], tblPiNAnalysis[Admin2PCODE], INDIRECT("tblPiNAnalysis[" &amp; Table11[[#Headers],[EDU]] &amp; "]"), "NOT FOUND", 0, 1)</f>
        <v>20993.755731756064</v>
      </c>
      <c r="J84" s="8" cm="1">
        <f t="array" aca="1" ref="J84" ca="1">_xlfn.XLOOKUP(Table11[[#This Row],[Admin2PCODE]], tblPiNAnalysis[Admin2PCODE], INDIRECT("tblPiNAnalysis[" &amp; Table11[[#Headers],[PRO]] &amp; "]"), "NOT FOUND", 0, 1)</f>
        <v>40500.208888830828</v>
      </c>
      <c r="K84" s="8" cm="1">
        <f t="array" aca="1" ref="K84" ca="1">_xlfn.XLOOKUP(Table11[[#This Row],[Admin2PCODE]], tblPiNAnalysis[Admin2PCODE], INDIRECT("tblPiNAnalysis[" &amp; Table11[[#Headers],[ASH]] &amp; "]"), "NOT FOUND", 0, 1)</f>
        <v>0</v>
      </c>
      <c r="L84" s="8" cm="1">
        <f t="array" aca="1" ref="L84" ca="1">_xlfn.XLOOKUP(Table11[[#This Row],[Admin2PCODE]], tblPiNAnalysis[Admin2PCODE], INDIRECT("tblPiNAnalysis[" &amp; Table11[[#Headers],[NNA]] &amp; "]"), "NOT FOUND", 0, 1)</f>
        <v>13000.567053314697</v>
      </c>
      <c r="M84" s="8" cm="1">
        <f t="array" aca="1" ref="M84" ca="1">_xlfn.XLOOKUP(Table11[[#This Row],[Admin2PCODE]], tblPiNAnalysis[Admin2PCODE], INDIRECT("tblPiNAnalysis[" &amp; Table11[[#Headers],[VBG]] &amp; "]"), "NOT FOUND", 0, 1)</f>
        <v>14175.073111090787</v>
      </c>
      <c r="N84" s="8" cm="1">
        <f t="array" aca="1" ref="N84" ca="1">_xlfn.XLOOKUP(Table11[[#This Row],[Admin2PCODE]], tblPiNAnalysis[Admin2PCODE], INDIRECT("tblPiNAnalysis[" &amp; Table11[[#Headers],[PiN más alto]] &amp; "]"), "NOT FOUND", 0, 1)</f>
        <v>62017.88</v>
      </c>
      <c r="O84" t="str" cm="1">
        <f t="array" aca="1" ref="O84" ca="1">_xlfn.XLOOKUP(Table11[[#This Row],[Admin2PCODE]], tblPiNAnalysis[Admin2PCODE], INDIRECT("tblPiNAnalysis[" &amp; Table11[[#Headers],[Sectores más altos]] &amp; "]"), "NOT FOUND", 0, 1)</f>
        <v>SAL</v>
      </c>
      <c r="P84" cm="1">
        <f t="array" ref="P84">_xlfn.XLOOKUP(Table11[[#This Row],[Admin2PCODE]], tblPiNAnalysis[Admin2PCODE], tblPiNAnalysis[Severidad], "NOT FOUND", 0, 1)</f>
        <v>2</v>
      </c>
      <c r="Q84" s="318">
        <v>0.12698412698412698</v>
      </c>
      <c r="R84" s="318">
        <v>0.5347222222222221</v>
      </c>
      <c r="S84" s="318">
        <v>6.7901234567901217E-2</v>
      </c>
      <c r="T84">
        <v>1</v>
      </c>
      <c r="W84">
        <f>_xlfn.XLOOKUP(Table11[[#This Row],[Admin2PCODE]],tblSeverityAnalysis[Admin 2 Código P],tblSeverityAnalysis[PRO],0,0)</f>
        <v>4</v>
      </c>
      <c r="Y84">
        <v>0</v>
      </c>
      <c r="Z84">
        <v>0</v>
      </c>
      <c r="AA84">
        <f t="shared" si="1"/>
        <v>0</v>
      </c>
    </row>
    <row r="85" spans="1:27">
      <c r="A85" t="s">
        <v>261</v>
      </c>
      <c r="B85" t="s">
        <v>262</v>
      </c>
      <c r="C85" s="42" t="s">
        <v>274</v>
      </c>
      <c r="D85" t="s">
        <v>275</v>
      </c>
      <c r="E85" s="8" cm="1">
        <f t="array" aca="1" ref="E85" ca="1">_xlfn.XLOOKUP(Table11[[#This Row],[Admin2PCODE]], tblPiNAnalysis[Admin2PCODE], INDIRECT("tblPiNAnalysis[" &amp; Table11[[#Headers],[Población]] &amp; "]"), "NOT FOUND", 0, 1)</f>
        <v>152983</v>
      </c>
      <c r="F85" s="8" cm="1">
        <f t="array" aca="1" ref="F85" ca="1">_xlfn.XLOOKUP(Table11[[#This Row],[Admin2PCODE]], tblPiNAnalysis[Admin2PCODE], INDIRECT("tblPiNAnalysis[" &amp; Table11[[#Headers],[SAMV]] &amp; "]"), "NOT FOUND", 0, 1)</f>
        <v>18724</v>
      </c>
      <c r="G85" s="8" cm="1">
        <f t="array" aca="1" ref="G85" ca="1">_xlfn.XLOOKUP(Table11[[#This Row],[Admin2PCODE]], tblPiNAnalysis[Admin2PCODE], INDIRECT("tblPiNAnalysis[" &amp; Table11[[#Headers],[NUT]] &amp; "]"), "NOT FOUND", 0, 1)</f>
        <v>10060.005388640791</v>
      </c>
      <c r="H85" s="8" cm="1">
        <f t="array" aca="1" ref="H85" ca="1">_xlfn.XLOOKUP(Table11[[#This Row],[Admin2PCODE]], tblPiNAnalysis[Admin2PCODE], INDIRECT("tblPiNAnalysis[" &amp; Table11[[#Headers],[SAL]] &amp; "]"), "NOT FOUND", 0, 1)</f>
        <v>55838.794999999998</v>
      </c>
      <c r="I85" s="8" cm="1">
        <f t="array" aca="1" ref="I85" ca="1">_xlfn.XLOOKUP(Table11[[#This Row],[Admin2PCODE]], tblPiNAnalysis[Admin2PCODE], INDIRECT("tblPiNAnalysis[" &amp; Table11[[#Headers],[EDU]] &amp; "]"), "NOT FOUND", 0, 1)</f>
        <v>23020.03479357472</v>
      </c>
      <c r="J85" s="8" cm="1">
        <f t="array" aca="1" ref="J85" ca="1">_xlfn.XLOOKUP(Table11[[#This Row],[Admin2PCODE]], tblPiNAnalysis[Admin2PCODE], INDIRECT("tblPiNAnalysis[" &amp; Table11[[#Headers],[PRO]] &amp; "]"), "NOT FOUND", 0, 1)</f>
        <v>36465.013986298829</v>
      </c>
      <c r="K85" s="8" cm="1">
        <f t="array" aca="1" ref="K85" ca="1">_xlfn.XLOOKUP(Table11[[#This Row],[Admin2PCODE]], tblPiNAnalysis[Admin2PCODE], INDIRECT("tblPiNAnalysis[" &amp; Table11[[#Headers],[ASH]] &amp; "]"), "NOT FOUND", 0, 1)</f>
        <v>68842.350000000006</v>
      </c>
      <c r="L85" s="8" cm="1">
        <f t="array" aca="1" ref="L85" ca="1">_xlfn.XLOOKUP(Table11[[#This Row],[Admin2PCODE]], tblPiNAnalysis[Admin2PCODE], INDIRECT("tblPiNAnalysis[" &amp; Table11[[#Headers],[NNA]] &amp; "]"), "NOT FOUND", 0, 1)</f>
        <v>11705.269489601924</v>
      </c>
      <c r="M85" s="8" cm="1">
        <f t="array" aca="1" ref="M85" ca="1">_xlfn.XLOOKUP(Table11[[#This Row],[Admin2PCODE]], tblPiNAnalysis[Admin2PCODE], INDIRECT("tblPiNAnalysis[" &amp; Table11[[#Headers],[VBG]] &amp; "]"), "NOT FOUND", 0, 1)</f>
        <v>12762.754895204589</v>
      </c>
      <c r="N85" s="8" cm="1">
        <f t="array" aca="1" ref="N85" ca="1">_xlfn.XLOOKUP(Table11[[#This Row],[Admin2PCODE]], tblPiNAnalysis[Admin2PCODE], INDIRECT("tblPiNAnalysis[" &amp; Table11[[#Headers],[PiN más alto]] &amp; "]"), "NOT FOUND", 0, 1)</f>
        <v>68842.350000000006</v>
      </c>
      <c r="O85" t="str" cm="1">
        <f t="array" aca="1" ref="O85" ca="1">_xlfn.XLOOKUP(Table11[[#This Row],[Admin2PCODE]], tblPiNAnalysis[Admin2PCODE], INDIRECT("tblPiNAnalysis[" &amp; Table11[[#Headers],[Sectores más altos]] &amp; "]"), "NOT FOUND", 0, 1)</f>
        <v>ASH</v>
      </c>
      <c r="P85" cm="1">
        <f t="array" ref="P85">_xlfn.XLOOKUP(Table11[[#This Row],[Admin2PCODE]], tblPiNAnalysis[Admin2PCODE], tblPiNAnalysis[Severidad], "NOT FOUND", 0, 1)</f>
        <v>3</v>
      </c>
      <c r="Q85" s="318">
        <v>0.13656387665198239</v>
      </c>
      <c r="R85" s="318">
        <v>0.40143369175627236</v>
      </c>
      <c r="S85" s="318">
        <v>5.4821341164953498E-2</v>
      </c>
      <c r="T85">
        <v>0</v>
      </c>
      <c r="W85">
        <f>_xlfn.XLOOKUP(Table11[[#This Row],[Admin2PCODE]],tblSeverityAnalysis[Admin 2 Código P],tblSeverityAnalysis[PRO],0,0)</f>
        <v>4</v>
      </c>
      <c r="Y85">
        <v>0</v>
      </c>
      <c r="Z85">
        <v>0</v>
      </c>
      <c r="AA85">
        <f t="shared" si="1"/>
        <v>0</v>
      </c>
    </row>
    <row r="86" spans="1:27">
      <c r="A86" t="s">
        <v>261</v>
      </c>
      <c r="B86" t="s">
        <v>262</v>
      </c>
      <c r="C86" s="42" t="s">
        <v>276</v>
      </c>
      <c r="D86" t="s">
        <v>277</v>
      </c>
      <c r="E86" s="8" cm="1">
        <f t="array" aca="1" ref="E86" ca="1">_xlfn.XLOOKUP(Table11[[#This Row],[Admin2PCODE]], tblPiNAnalysis[Admin2PCODE], INDIRECT("tblPiNAnalysis[" &amp; Table11[[#Headers],[Población]] &amp; "]"), "NOT FOUND", 0, 1)</f>
        <v>29749</v>
      </c>
      <c r="F86" s="8" cm="1">
        <f t="array" aca="1" ref="F86" ca="1">_xlfn.XLOOKUP(Table11[[#This Row],[Admin2PCODE]], tblPiNAnalysis[Admin2PCODE], INDIRECT("tblPiNAnalysis[" &amp; Table11[[#Headers],[SAMV]] &amp; "]"), "NOT FOUND", 0, 1)</f>
        <v>7272</v>
      </c>
      <c r="G86" s="8" cm="1">
        <f t="array" aca="1" ref="G86" ca="1">_xlfn.XLOOKUP(Table11[[#This Row],[Admin2PCODE]], tblPiNAnalysis[Admin2PCODE], INDIRECT("tblPiNAnalysis[" &amp; Table11[[#Headers],[NUT]] &amp; "]"), "NOT FOUND", 0, 1)</f>
        <v>1225.5224837356045</v>
      </c>
      <c r="H86" s="8" cm="1">
        <f t="array" aca="1" ref="H86" ca="1">_xlfn.XLOOKUP(Table11[[#This Row],[Admin2PCODE]], tblPiNAnalysis[Admin2PCODE], INDIRECT("tblPiNAnalysis[" &amp; Table11[[#Headers],[SAL]] &amp; "]"), "NOT FOUND", 0, 1)</f>
        <v>10858.385</v>
      </c>
      <c r="I86" s="8" cm="1">
        <f t="array" aca="1" ref="I86" ca="1">_xlfn.XLOOKUP(Table11[[#This Row],[Admin2PCODE]], tblPiNAnalysis[Admin2PCODE], INDIRECT("tblPiNAnalysis[" &amp; Table11[[#Headers],[EDU]] &amp; "]"), "NOT FOUND", 0, 1)</f>
        <v>3570.2601250770635</v>
      </c>
      <c r="J86" s="8" cm="1">
        <f t="array" aca="1" ref="J86" ca="1">_xlfn.XLOOKUP(Table11[[#This Row],[Admin2PCODE]], tblPiNAnalysis[Admin2PCODE], INDIRECT("tblPiNAnalysis[" &amp; Table11[[#Headers],[PRO]] &amp; "]"), "NOT FOUND", 0, 1)</f>
        <v>5909.1407818646749</v>
      </c>
      <c r="K86" s="8" cm="1">
        <f t="array" aca="1" ref="K86" ca="1">_xlfn.XLOOKUP(Table11[[#This Row],[Admin2PCODE]], tblPiNAnalysis[Admin2PCODE], INDIRECT("tblPiNAnalysis[" &amp; Table11[[#Headers],[ASH]] &amp; "]"), "NOT FOUND", 0, 1)</f>
        <v>0</v>
      </c>
      <c r="L86" s="8" cm="1">
        <f t="array" aca="1" ref="L86" ca="1">_xlfn.XLOOKUP(Table11[[#This Row],[Admin2PCODE]], tblPiNAnalysis[Admin2PCODE], INDIRECT("tblPiNAnalysis[" &amp; Table11[[#Headers],[NNA]] &amp; "]"), "NOT FOUND", 0, 1)</f>
        <v>1896.8341909785606</v>
      </c>
      <c r="M86" s="8" cm="1">
        <f t="array" aca="1" ref="M86" ca="1">_xlfn.XLOOKUP(Table11[[#This Row],[Admin2PCODE]], tblPiNAnalysis[Admin2PCODE], INDIRECT("tblPiNAnalysis[" &amp; Table11[[#Headers],[VBG]] &amp; "]"), "NOT FOUND", 0, 1)</f>
        <v>2068.1992736526358</v>
      </c>
      <c r="N86" s="8" cm="1">
        <f t="array" aca="1" ref="N86" ca="1">_xlfn.XLOOKUP(Table11[[#This Row],[Admin2PCODE]], tblPiNAnalysis[Admin2PCODE], INDIRECT("tblPiNAnalysis[" &amp; Table11[[#Headers],[PiN más alto]] &amp; "]"), "NOT FOUND", 0, 1)</f>
        <v>10858.385</v>
      </c>
      <c r="O86" t="str" cm="1">
        <f t="array" aca="1" ref="O86" ca="1">_xlfn.XLOOKUP(Table11[[#This Row],[Admin2PCODE]], tblPiNAnalysis[Admin2PCODE], INDIRECT("tblPiNAnalysis[" &amp; Table11[[#Headers],[Sectores más altos]] &amp; "]"), "NOT FOUND", 0, 1)</f>
        <v>SAL</v>
      </c>
      <c r="P86" cm="1">
        <f t="array" ref="P86">_xlfn.XLOOKUP(Table11[[#This Row],[Admin2PCODE]], tblPiNAnalysis[Admin2PCODE], tblPiNAnalysis[Severidad], "NOT FOUND", 0, 1)</f>
        <v>2</v>
      </c>
      <c r="Q86" s="318">
        <v>0.47692307692307695</v>
      </c>
      <c r="R86" s="318">
        <v>0.45519713261648737</v>
      </c>
      <c r="S86" s="318">
        <v>0.21709401709401707</v>
      </c>
      <c r="T86">
        <v>1</v>
      </c>
      <c r="W86">
        <f>_xlfn.XLOOKUP(Table11[[#This Row],[Admin2PCODE]],tblSeverityAnalysis[Admin 2 Código P],tblSeverityAnalysis[PRO],0,0)</f>
        <v>3</v>
      </c>
      <c r="Y86">
        <v>0</v>
      </c>
      <c r="Z86">
        <v>0</v>
      </c>
      <c r="AA86">
        <f t="shared" si="1"/>
        <v>0</v>
      </c>
    </row>
    <row r="87" spans="1:27">
      <c r="A87" t="s">
        <v>261</v>
      </c>
      <c r="B87" t="s">
        <v>262</v>
      </c>
      <c r="C87" s="42" t="s">
        <v>278</v>
      </c>
      <c r="D87" t="s">
        <v>279</v>
      </c>
      <c r="E87" s="8" cm="1">
        <f t="array" aca="1" ref="E87" ca="1">_xlfn.XLOOKUP(Table11[[#This Row],[Admin2PCODE]], tblPiNAnalysis[Admin2PCODE], INDIRECT("tblPiNAnalysis[" &amp; Table11[[#Headers],[Población]] &amp; "]"), "NOT FOUND", 0, 1)</f>
        <v>25468</v>
      </c>
      <c r="F87" s="8" cm="1">
        <f t="array" aca="1" ref="F87" ca="1">_xlfn.XLOOKUP(Table11[[#This Row],[Admin2PCODE]], tblPiNAnalysis[Admin2PCODE], INDIRECT("tblPiNAnalysis[" &amp; Table11[[#Headers],[SAMV]] &amp; "]"), "NOT FOUND", 0, 1)</f>
        <v>5518</v>
      </c>
      <c r="G87" s="8" cm="1">
        <f t="array" aca="1" ref="G87" ca="1">_xlfn.XLOOKUP(Table11[[#This Row],[Admin2PCODE]], tblPiNAnalysis[Admin2PCODE], INDIRECT("tblPiNAnalysis[" &amp; Table11[[#Headers],[NUT]] &amp; "]"), "NOT FOUND", 0, 1)</f>
        <v>1062.1235955794591</v>
      </c>
      <c r="H87" s="8" cm="1">
        <f t="array" aca="1" ref="H87" ca="1">_xlfn.XLOOKUP(Table11[[#This Row],[Admin2PCODE]], tblPiNAnalysis[Admin2PCODE], INDIRECT("tblPiNAnalysis[" &amp; Table11[[#Headers],[SAL]] &amp; "]"), "NOT FOUND", 0, 1)</f>
        <v>9295.82</v>
      </c>
      <c r="I87" s="8" cm="1">
        <f t="array" aca="1" ref="I87" ca="1">_xlfn.XLOOKUP(Table11[[#This Row],[Admin2PCODE]], tblPiNAnalysis[Admin2PCODE], INDIRECT("tblPiNAnalysis[" &amp; Table11[[#Headers],[EDU]] &amp; "]"), "NOT FOUND", 0, 1)</f>
        <v>3731.5934749367134</v>
      </c>
      <c r="J87" s="8" cm="1">
        <f t="array" aca="1" ref="J87" ca="1">_xlfn.XLOOKUP(Table11[[#This Row],[Admin2PCODE]], tblPiNAnalysis[Admin2PCODE], INDIRECT("tblPiNAnalysis[" &amp; Table11[[#Headers],[PRO]] &amp; "]"), "NOT FOUND", 0, 1)</f>
        <v>5058.7918058600098</v>
      </c>
      <c r="K87" s="8" cm="1">
        <f t="array" aca="1" ref="K87" ca="1">_xlfn.XLOOKUP(Table11[[#This Row],[Admin2PCODE]], tblPiNAnalysis[Admin2PCODE], INDIRECT("tblPiNAnalysis[" &amp; Table11[[#Headers],[ASH]] &amp; "]"), "NOT FOUND", 0, 1)</f>
        <v>0</v>
      </c>
      <c r="L87" s="8" cm="1">
        <f t="array" aca="1" ref="L87" ca="1">_xlfn.XLOOKUP(Table11[[#This Row],[Admin2PCODE]], tblPiNAnalysis[Admin2PCODE], INDIRECT("tblPiNAnalysis[" &amp; Table11[[#Headers],[NNA]] &amp; "]"), "NOT FOUND", 0, 1)</f>
        <v>1618.8133778752031</v>
      </c>
      <c r="M87" s="8" cm="1">
        <f t="array" aca="1" ref="M87" ca="1">_xlfn.XLOOKUP(Table11[[#This Row],[Admin2PCODE]], tblPiNAnalysis[Admin2PCODE], INDIRECT("tblPiNAnalysis[" &amp; Table11[[#Headers],[VBG]] &amp; "]"), "NOT FOUND", 0, 1)</f>
        <v>1770.577132051003</v>
      </c>
      <c r="N87" s="8" cm="1">
        <f t="array" aca="1" ref="N87" ca="1">_xlfn.XLOOKUP(Table11[[#This Row],[Admin2PCODE]], tblPiNAnalysis[Admin2PCODE], INDIRECT("tblPiNAnalysis[" &amp; Table11[[#Headers],[PiN más alto]] &amp; "]"), "NOT FOUND", 0, 1)</f>
        <v>9295.82</v>
      </c>
      <c r="O87" t="str" cm="1">
        <f t="array" aca="1" ref="O87" ca="1">_xlfn.XLOOKUP(Table11[[#This Row],[Admin2PCODE]], tblPiNAnalysis[Admin2PCODE], INDIRECT("tblPiNAnalysis[" &amp; Table11[[#Headers],[Sectores más altos]] &amp; "]"), "NOT FOUND", 0, 1)</f>
        <v>SAL</v>
      </c>
      <c r="P87" cm="1">
        <f t="array" ref="P87">_xlfn.XLOOKUP(Table11[[#This Row],[Admin2PCODE]], tblPiNAnalysis[Admin2PCODE], tblPiNAnalysis[Severidad], "NOT FOUND", 0, 1)</f>
        <v>2</v>
      </c>
      <c r="Q87" s="318">
        <v>0.34285714285714286</v>
      </c>
      <c r="R87" s="318">
        <v>0.3611111111111111</v>
      </c>
      <c r="S87" s="318">
        <v>0.12380952380952381</v>
      </c>
      <c r="T87">
        <v>0</v>
      </c>
      <c r="W87">
        <f>_xlfn.XLOOKUP(Table11[[#This Row],[Admin2PCODE]],tblSeverityAnalysis[Admin 2 Código P],tblSeverityAnalysis[PRO],0,0)</f>
        <v>3</v>
      </c>
      <c r="Y87">
        <v>0</v>
      </c>
      <c r="Z87">
        <v>0</v>
      </c>
      <c r="AA87">
        <f t="shared" si="1"/>
        <v>0</v>
      </c>
    </row>
    <row r="88" spans="1:27">
      <c r="A88" t="s">
        <v>261</v>
      </c>
      <c r="B88" t="s">
        <v>262</v>
      </c>
      <c r="C88" s="42" t="s">
        <v>280</v>
      </c>
      <c r="D88" t="s">
        <v>281</v>
      </c>
      <c r="E88" s="8" cm="1">
        <f t="array" aca="1" ref="E88" ca="1">_xlfn.XLOOKUP(Table11[[#This Row],[Admin2PCODE]], tblPiNAnalysis[Admin2PCODE], INDIRECT("tblPiNAnalysis[" &amp; Table11[[#Headers],[Población]] &amp; "]"), "NOT FOUND", 0, 1)</f>
        <v>160991</v>
      </c>
      <c r="F88" s="8" cm="1">
        <f t="array" aca="1" ref="F88" ca="1">_xlfn.XLOOKUP(Table11[[#This Row],[Admin2PCODE]], tblPiNAnalysis[Admin2PCODE], INDIRECT("tblPiNAnalysis[" &amp; Table11[[#Headers],[SAMV]] &amp; "]"), "NOT FOUND", 0, 1)</f>
        <v>6373</v>
      </c>
      <c r="G88" s="8" cm="1">
        <f t="array" aca="1" ref="G88" ca="1">_xlfn.XLOOKUP(Table11[[#This Row],[Admin2PCODE]], tblPiNAnalysis[Admin2PCODE], INDIRECT("tblPiNAnalysis[" &amp; Table11[[#Headers],[NUT]] &amp; "]"), "NOT FOUND", 0, 1)</f>
        <v>7704.3234166661578</v>
      </c>
      <c r="H88" s="8" cm="1">
        <f t="array" aca="1" ref="H88" ca="1">_xlfn.XLOOKUP(Table11[[#This Row],[Admin2PCODE]], tblPiNAnalysis[Admin2PCODE], INDIRECT("tblPiNAnalysis[" &amp; Table11[[#Headers],[SAL]] &amp; "]"), "NOT FOUND", 0, 1)</f>
        <v>58761.714999999997</v>
      </c>
      <c r="I88" s="8" cm="1">
        <f t="array" aca="1" ref="I88" ca="1">_xlfn.XLOOKUP(Table11[[#This Row],[Admin2PCODE]], tblPiNAnalysis[Admin2PCODE], INDIRECT("tblPiNAnalysis[" &amp; Table11[[#Headers],[EDU]] &amp; "]"), "NOT FOUND", 0, 1)</f>
        <v>27407.382433939973</v>
      </c>
      <c r="J88" s="8" cm="1">
        <f t="array" aca="1" ref="J88" ca="1">_xlfn.XLOOKUP(Table11[[#This Row],[Admin2PCODE]], tblPiNAnalysis[Admin2PCODE], INDIRECT("tblPiNAnalysis[" &amp; Table11[[#Headers],[PRO]] &amp; "]"), "NOT FOUND", 0, 1)</f>
        <v>38373.800139023515</v>
      </c>
      <c r="K88" s="8" cm="1">
        <f t="array" aca="1" ref="K88" ca="1">_xlfn.XLOOKUP(Table11[[#This Row],[Admin2PCODE]], tblPiNAnalysis[Admin2PCODE], INDIRECT("tblPiNAnalysis[" &amp; Table11[[#Headers],[ASH]] &amp; "]"), "NOT FOUND", 0, 1)</f>
        <v>0</v>
      </c>
      <c r="L88" s="8" cm="1">
        <f t="array" aca="1" ref="L88" ca="1">_xlfn.XLOOKUP(Table11[[#This Row],[Admin2PCODE]], tblPiNAnalysis[Admin2PCODE], INDIRECT("tblPiNAnalysis[" &amp; Table11[[#Headers],[NNA]] &amp; "]"), "NOT FOUND", 0, 1)</f>
        <v>12279.616044487524</v>
      </c>
      <c r="M88" s="8" cm="1">
        <f t="array" aca="1" ref="M88" ca="1">_xlfn.XLOOKUP(Table11[[#This Row],[Admin2PCODE]], tblPiNAnalysis[Admin2PCODE], INDIRECT("tblPiNAnalysis[" &amp; Table11[[#Headers],[VBG]] &amp; "]"), "NOT FOUND", 0, 1)</f>
        <v>13430.830048658228</v>
      </c>
      <c r="N88" s="8" cm="1">
        <f t="array" aca="1" ref="N88" ca="1">_xlfn.XLOOKUP(Table11[[#This Row],[Admin2PCODE]], tblPiNAnalysis[Admin2PCODE], INDIRECT("tblPiNAnalysis[" &amp; Table11[[#Headers],[PiN más alto]] &amp; "]"), "NOT FOUND", 0, 1)</f>
        <v>58761.714999999997</v>
      </c>
      <c r="O88" t="str" cm="1">
        <f t="array" aca="1" ref="O88" ca="1">_xlfn.XLOOKUP(Table11[[#This Row],[Admin2PCODE]], tblPiNAnalysis[Admin2PCODE], INDIRECT("tblPiNAnalysis[" &amp; Table11[[#Headers],[Sectores más altos]] &amp; "]"), "NOT FOUND", 0, 1)</f>
        <v>SAL</v>
      </c>
      <c r="P88" cm="1">
        <f t="array" ref="P88">_xlfn.XLOOKUP(Table11[[#This Row],[Admin2PCODE]], tblPiNAnalysis[Admin2PCODE], tblPiNAnalysis[Severidad], "NOT FOUND", 0, 1)</f>
        <v>2</v>
      </c>
      <c r="Q88" s="318">
        <v>8.1632653061224497E-3</v>
      </c>
      <c r="R88" s="318">
        <v>0.33333333333333331</v>
      </c>
      <c r="S88" s="318">
        <v>2.7210884353741499E-3</v>
      </c>
      <c r="T88">
        <v>0</v>
      </c>
      <c r="W88">
        <f>_xlfn.XLOOKUP(Table11[[#This Row],[Admin2PCODE]],tblSeverityAnalysis[Admin 2 Código P],tblSeverityAnalysis[PRO],0,0)</f>
        <v>4</v>
      </c>
      <c r="Y88">
        <v>8</v>
      </c>
      <c r="Z88">
        <v>0</v>
      </c>
      <c r="AA88">
        <f t="shared" si="1"/>
        <v>0</v>
      </c>
    </row>
    <row r="89" spans="1:27">
      <c r="A89" t="s">
        <v>261</v>
      </c>
      <c r="B89" t="s">
        <v>262</v>
      </c>
      <c r="C89" s="42" t="s">
        <v>282</v>
      </c>
      <c r="D89" t="s">
        <v>283</v>
      </c>
      <c r="E89" s="8" cm="1">
        <f t="array" aca="1" ref="E89" ca="1">_xlfn.XLOOKUP(Table11[[#This Row],[Admin2PCODE]], tblPiNAnalysis[Admin2PCODE], INDIRECT("tblPiNAnalysis[" &amp; Table11[[#Headers],[Población]] &amp; "]"), "NOT FOUND", 0, 1)</f>
        <v>186622</v>
      </c>
      <c r="F89" s="8" cm="1">
        <f t="array" aca="1" ref="F89" ca="1">_xlfn.XLOOKUP(Table11[[#This Row],[Admin2PCODE]], tblPiNAnalysis[Admin2PCODE], INDIRECT("tblPiNAnalysis[" &amp; Table11[[#Headers],[SAMV]] &amp; "]"), "NOT FOUND", 0, 1)</f>
        <v>16330</v>
      </c>
      <c r="G89" s="8" cm="1">
        <f t="array" aca="1" ref="G89" ca="1">_xlfn.XLOOKUP(Table11[[#This Row],[Admin2PCODE]], tblPiNAnalysis[Admin2PCODE], INDIRECT("tblPiNAnalysis[" &amp; Table11[[#Headers],[NUT]] &amp; "]"), "NOT FOUND", 0, 1)</f>
        <v>8367.4211679149848</v>
      </c>
      <c r="H89" s="8" cm="1">
        <f t="array" aca="1" ref="H89" ca="1">_xlfn.XLOOKUP(Table11[[#This Row],[Admin2PCODE]], tblPiNAnalysis[Admin2PCODE], INDIRECT("tblPiNAnalysis[" &amp; Table11[[#Headers],[SAL]] &amp; "]"), "NOT FOUND", 0, 1)</f>
        <v>68117.03</v>
      </c>
      <c r="I89" s="8" cm="1">
        <f t="array" aca="1" ref="I89" ca="1">_xlfn.XLOOKUP(Table11[[#This Row],[Admin2PCODE]], tblPiNAnalysis[Admin2PCODE], INDIRECT("tblPiNAnalysis[" &amp; Table11[[#Headers],[EDU]] &amp; "]"), "NOT FOUND", 0, 1)</f>
        <v>25367.005990331818</v>
      </c>
      <c r="J89" s="8" cm="1">
        <f t="array" aca="1" ref="J89" ca="1">_xlfn.XLOOKUP(Table11[[#This Row],[Admin2PCODE]], tblPiNAnalysis[Admin2PCODE], INDIRECT("tblPiNAnalysis[" &amp; Table11[[#Headers],[PRO]] &amp; "]"), "NOT FOUND", 0, 1)</f>
        <v>44483.202971252096</v>
      </c>
      <c r="K89" s="8" cm="1">
        <f t="array" aca="1" ref="K89" ca="1">_xlfn.XLOOKUP(Table11[[#This Row],[Admin2PCODE]], tblPiNAnalysis[Admin2PCODE], INDIRECT("tblPiNAnalysis[" &amp; Table11[[#Headers],[ASH]] &amp; "]"), "NOT FOUND", 0, 1)</f>
        <v>0</v>
      </c>
      <c r="L89" s="8" cm="1">
        <f t="array" aca="1" ref="L89" ca="1">_xlfn.XLOOKUP(Table11[[#This Row],[Admin2PCODE]], tblPiNAnalysis[Admin2PCODE], INDIRECT("tblPiNAnalysis[" &amp; Table11[[#Headers],[NNA]] &amp; "]"), "NOT FOUND", 0, 1)</f>
        <v>14234.624950800671</v>
      </c>
      <c r="M89" s="8" cm="1">
        <f t="array" aca="1" ref="M89" ca="1">_xlfn.XLOOKUP(Table11[[#This Row],[Admin2PCODE]], tblPiNAnalysis[Admin2PCODE], INDIRECT("tblPiNAnalysis[" &amp; Table11[[#Headers],[VBG]] &amp; "]"), "NOT FOUND", 0, 1)</f>
        <v>15569.121039938234</v>
      </c>
      <c r="N89" s="8" cm="1">
        <f t="array" aca="1" ref="N89" ca="1">_xlfn.XLOOKUP(Table11[[#This Row],[Admin2PCODE]], tblPiNAnalysis[Admin2PCODE], INDIRECT("tblPiNAnalysis[" &amp; Table11[[#Headers],[PiN más alto]] &amp; "]"), "NOT FOUND", 0, 1)</f>
        <v>68117.03</v>
      </c>
      <c r="O89" t="str" cm="1">
        <f t="array" aca="1" ref="O89" ca="1">_xlfn.XLOOKUP(Table11[[#This Row],[Admin2PCODE]], tblPiNAnalysis[Admin2PCODE], INDIRECT("tblPiNAnalysis[" &amp; Table11[[#Headers],[Sectores más altos]] &amp; "]"), "NOT FOUND", 0, 1)</f>
        <v>SAL</v>
      </c>
      <c r="P89" cm="1">
        <f t="array" ref="P89">_xlfn.XLOOKUP(Table11[[#This Row],[Admin2PCODE]], tblPiNAnalysis[Admin2PCODE], tblPiNAnalysis[Severidad], "NOT FOUND", 0, 1)</f>
        <v>2</v>
      </c>
      <c r="Q89" s="318">
        <v>0.11913357400722022</v>
      </c>
      <c r="R89" s="318">
        <v>0.34343434343434343</v>
      </c>
      <c r="S89" s="318">
        <v>4.0914560770156434E-2</v>
      </c>
      <c r="T89">
        <v>1</v>
      </c>
      <c r="W89">
        <f>_xlfn.XLOOKUP(Table11[[#This Row],[Admin2PCODE]],tblSeverityAnalysis[Admin 2 Código P],tblSeverityAnalysis[PRO],0,0)</f>
        <v>4</v>
      </c>
      <c r="Y89">
        <v>0</v>
      </c>
      <c r="Z89">
        <v>0</v>
      </c>
      <c r="AA89">
        <f t="shared" si="1"/>
        <v>0</v>
      </c>
    </row>
    <row r="90" spans="1:27">
      <c r="A90" t="s">
        <v>261</v>
      </c>
      <c r="B90" t="s">
        <v>262</v>
      </c>
      <c r="C90" s="42" t="s">
        <v>284</v>
      </c>
      <c r="D90" t="s">
        <v>285</v>
      </c>
      <c r="E90" s="8" cm="1">
        <f t="array" aca="1" ref="E90" ca="1">_xlfn.XLOOKUP(Table11[[#This Row],[Admin2PCODE]], tblPiNAnalysis[Admin2PCODE], INDIRECT("tblPiNAnalysis[" &amp; Table11[[#Headers],[Población]] &amp; "]"), "NOT FOUND", 0, 1)</f>
        <v>95367</v>
      </c>
      <c r="F90" s="8" cm="1">
        <f t="array" aca="1" ref="F90" ca="1">_xlfn.XLOOKUP(Table11[[#This Row],[Admin2PCODE]], tblPiNAnalysis[Admin2PCODE], INDIRECT("tblPiNAnalysis[" &amp; Table11[[#Headers],[SAMV]] &amp; "]"), "NOT FOUND", 0, 1)</f>
        <v>3885</v>
      </c>
      <c r="G90" s="8" cm="1">
        <f t="array" aca="1" ref="G90" ca="1">_xlfn.XLOOKUP(Table11[[#This Row],[Admin2PCODE]], tblPiNAnalysis[Admin2PCODE], INDIRECT("tblPiNAnalysis[" &amp; Table11[[#Headers],[NUT]] &amp; "]"), "NOT FOUND", 0, 1)</f>
        <v>2979.6105942653098</v>
      </c>
      <c r="H90" s="8" cm="1">
        <f t="array" aca="1" ref="H90" ca="1">_xlfn.XLOOKUP(Table11[[#This Row],[Admin2PCODE]], tblPiNAnalysis[Admin2PCODE], INDIRECT("tblPiNAnalysis[" &amp; Table11[[#Headers],[SAL]] &amp; "]"), "NOT FOUND", 0, 1)</f>
        <v>34808.955000000002</v>
      </c>
      <c r="I90" s="8" cm="1">
        <f t="array" aca="1" ref="I90" ca="1">_xlfn.XLOOKUP(Table11[[#This Row],[Admin2PCODE]], tblPiNAnalysis[Admin2PCODE], INDIRECT("tblPiNAnalysis[" &amp; Table11[[#Headers],[EDU]] &amp; "]"), "NOT FOUND", 0, 1)</f>
        <v>14705.995417972239</v>
      </c>
      <c r="J90" s="8" cm="1">
        <f t="array" aca="1" ref="J90" ca="1">_xlfn.XLOOKUP(Table11[[#This Row],[Admin2PCODE]], tblPiNAnalysis[Admin2PCODE], INDIRECT("tblPiNAnalysis[" &amp; Table11[[#Headers],[PRO]] &amp; "]"), "NOT FOUND", 0, 1)</f>
        <v>22731.669458903019</v>
      </c>
      <c r="K90" s="8" cm="1">
        <f t="array" aca="1" ref="K90" ca="1">_xlfn.XLOOKUP(Table11[[#This Row],[Admin2PCODE]], tblPiNAnalysis[Admin2PCODE], INDIRECT("tblPiNAnalysis[" &amp; Table11[[#Headers],[ASH]] &amp; "]"), "NOT FOUND", 0, 1)</f>
        <v>0</v>
      </c>
      <c r="L90" s="8" cm="1">
        <f t="array" aca="1" ref="L90" ca="1">_xlfn.XLOOKUP(Table11[[#This Row],[Admin2PCODE]], tblPiNAnalysis[Admin2PCODE], INDIRECT("tblPiNAnalysis[" &amp; Table11[[#Headers],[NNA]] &amp; "]"), "NOT FOUND", 0, 1)</f>
        <v>7274.1342268489661</v>
      </c>
      <c r="M90" s="8" cm="1">
        <f t="array" aca="1" ref="M90" ca="1">_xlfn.XLOOKUP(Table11[[#This Row],[Admin2PCODE]], tblPiNAnalysis[Admin2PCODE], INDIRECT("tblPiNAnalysis[" &amp; Table11[[#Headers],[VBG]] &amp; "]"), "NOT FOUND", 0, 1)</f>
        <v>7956.0843106160555</v>
      </c>
      <c r="N90" s="8" cm="1">
        <f t="array" aca="1" ref="N90" ca="1">_xlfn.XLOOKUP(Table11[[#This Row],[Admin2PCODE]], tblPiNAnalysis[Admin2PCODE], INDIRECT("tblPiNAnalysis[" &amp; Table11[[#Headers],[PiN más alto]] &amp; "]"), "NOT FOUND", 0, 1)</f>
        <v>34808.955000000002</v>
      </c>
      <c r="O90" t="str" cm="1">
        <f t="array" aca="1" ref="O90" ca="1">_xlfn.XLOOKUP(Table11[[#This Row],[Admin2PCODE]], tblPiNAnalysis[Admin2PCODE], INDIRECT("tblPiNAnalysis[" &amp; Table11[[#Headers],[Sectores más altos]] &amp; "]"), "NOT FOUND", 0, 1)</f>
        <v>SAL</v>
      </c>
      <c r="P90" cm="1">
        <f t="array" ref="P90">_xlfn.XLOOKUP(Table11[[#This Row],[Admin2PCODE]], tblPiNAnalysis[Admin2PCODE], tblPiNAnalysis[Severidad], "NOT FOUND", 0, 1)</f>
        <v>2</v>
      </c>
      <c r="Q90" s="318">
        <v>0</v>
      </c>
      <c r="R90" s="318">
        <v>0</v>
      </c>
      <c r="S90" s="318">
        <v>0</v>
      </c>
      <c r="T90">
        <v>0</v>
      </c>
      <c r="W90">
        <f>_xlfn.XLOOKUP(Table11[[#This Row],[Admin2PCODE]],tblSeverityAnalysis[Admin 2 Código P],tblSeverityAnalysis[PRO],0,0)</f>
        <v>4</v>
      </c>
      <c r="Y90">
        <v>7</v>
      </c>
      <c r="Z90">
        <v>0</v>
      </c>
      <c r="AA90">
        <f t="shared" si="1"/>
        <v>0</v>
      </c>
    </row>
    <row r="91" spans="1:27">
      <c r="A91" t="s">
        <v>261</v>
      </c>
      <c r="B91" t="s">
        <v>262</v>
      </c>
      <c r="C91" s="42" t="s">
        <v>286</v>
      </c>
      <c r="D91" t="s">
        <v>287</v>
      </c>
      <c r="E91" s="8" cm="1">
        <f t="array" aca="1" ref="E91" ca="1">_xlfn.XLOOKUP(Table11[[#This Row],[Admin2PCODE]], tblPiNAnalysis[Admin2PCODE], INDIRECT("tblPiNAnalysis[" &amp; Table11[[#Headers],[Población]] &amp; "]"), "NOT FOUND", 0, 1)</f>
        <v>65575</v>
      </c>
      <c r="F91" s="8" cm="1">
        <f t="array" aca="1" ref="F91" ca="1">_xlfn.XLOOKUP(Table11[[#This Row],[Admin2PCODE]], tblPiNAnalysis[Admin2PCODE], INDIRECT("tblPiNAnalysis[" &amp; Table11[[#Headers],[SAMV]] &amp; "]"), "NOT FOUND", 0, 1)</f>
        <v>4857</v>
      </c>
      <c r="G91" s="8" cm="1">
        <f t="array" aca="1" ref="G91" ca="1">_xlfn.XLOOKUP(Table11[[#This Row],[Admin2PCODE]], tblPiNAnalysis[Admin2PCODE], INDIRECT("tblPiNAnalysis[" &amp; Table11[[#Headers],[NUT]] &amp; "]"), "NOT FOUND", 0, 1)</f>
        <v>2247.6550118364421</v>
      </c>
      <c r="H91" s="8" cm="1">
        <f t="array" aca="1" ref="H91" ca="1">_xlfn.XLOOKUP(Table11[[#This Row],[Admin2PCODE]], tblPiNAnalysis[Admin2PCODE], INDIRECT("tblPiNAnalysis[" &amp; Table11[[#Headers],[SAL]] &amp; "]"), "NOT FOUND", 0, 1)</f>
        <v>23934.875</v>
      </c>
      <c r="I91" s="8" cm="1">
        <f t="array" aca="1" ref="I91" ca="1">_xlfn.XLOOKUP(Table11[[#This Row],[Admin2PCODE]], tblPiNAnalysis[Admin2PCODE], INDIRECT("tblPiNAnalysis[" &amp; Table11[[#Headers],[EDU]] &amp; "]"), "NOT FOUND", 0, 1)</f>
        <v>9984.748005802081</v>
      </c>
      <c r="J91" s="8" cm="1">
        <f t="array" aca="1" ref="J91" ca="1">_xlfn.XLOOKUP(Table11[[#This Row],[Admin2PCODE]], tblPiNAnalysis[Admin2PCODE], INDIRECT("tblPiNAnalysis[" &amp; Table11[[#Headers],[PRO]] &amp; "]"), "NOT FOUND", 0, 1)</f>
        <v>15630.451044570606</v>
      </c>
      <c r="K91" s="8" cm="1">
        <f t="array" aca="1" ref="K91" ca="1">_xlfn.XLOOKUP(Table11[[#This Row],[Admin2PCODE]], tblPiNAnalysis[Admin2PCODE], INDIRECT("tblPiNAnalysis[" &amp; Table11[[#Headers],[ASH]] &amp; "]"), "NOT FOUND", 0, 1)</f>
        <v>0</v>
      </c>
      <c r="L91" s="8" cm="1">
        <f t="array" aca="1" ref="L91" ca="1">_xlfn.XLOOKUP(Table11[[#This Row],[Admin2PCODE]], tblPiNAnalysis[Admin2PCODE], INDIRECT("tblPiNAnalysis[" &amp; Table11[[#Headers],[NNA]] &amp; "]"), "NOT FOUND", 0, 1)</f>
        <v>5017.3747853071645</v>
      </c>
      <c r="M91" s="8" cm="1">
        <f t="array" aca="1" ref="M91" ca="1">_xlfn.XLOOKUP(Table11[[#This Row],[Admin2PCODE]], tblPiNAnalysis[Admin2PCODE], INDIRECT("tblPiNAnalysis[" &amp; Table11[[#Headers],[VBG]] &amp; "]"), "NOT FOUND", 0, 1)</f>
        <v>5470.6578655997118</v>
      </c>
      <c r="N91" s="8" cm="1">
        <f t="array" aca="1" ref="N91" ca="1">_xlfn.XLOOKUP(Table11[[#This Row],[Admin2PCODE]], tblPiNAnalysis[Admin2PCODE], INDIRECT("tblPiNAnalysis[" &amp; Table11[[#Headers],[PiN más alto]] &amp; "]"), "NOT FOUND", 0, 1)</f>
        <v>23934.875</v>
      </c>
      <c r="O91" t="str" cm="1">
        <f t="array" aca="1" ref="O91" ca="1">_xlfn.XLOOKUP(Table11[[#This Row],[Admin2PCODE]], tblPiNAnalysis[Admin2PCODE], INDIRECT("tblPiNAnalysis[" &amp; Table11[[#Headers],[Sectores más altos]] &amp; "]"), "NOT FOUND", 0, 1)</f>
        <v>SAL</v>
      </c>
      <c r="P91" cm="1">
        <f t="array" ref="P91">_xlfn.XLOOKUP(Table11[[#This Row],[Admin2PCODE]], tblPiNAnalysis[Admin2PCODE], tblPiNAnalysis[Severidad], "NOT FOUND", 0, 1)</f>
        <v>2</v>
      </c>
      <c r="Q91" s="318">
        <v>0</v>
      </c>
      <c r="R91" s="318">
        <v>0</v>
      </c>
      <c r="S91" s="318">
        <v>0</v>
      </c>
      <c r="T91">
        <v>0</v>
      </c>
      <c r="W91">
        <f>_xlfn.XLOOKUP(Table11[[#This Row],[Admin2PCODE]],tblSeverityAnalysis[Admin 2 Código P],tblSeverityAnalysis[PRO],0,0)</f>
        <v>4</v>
      </c>
      <c r="Y91">
        <v>0</v>
      </c>
      <c r="Z91">
        <v>0</v>
      </c>
      <c r="AA91">
        <f t="shared" si="1"/>
        <v>0</v>
      </c>
    </row>
    <row r="92" spans="1:27">
      <c r="A92" t="s">
        <v>261</v>
      </c>
      <c r="B92" t="s">
        <v>262</v>
      </c>
      <c r="C92" s="42" t="s">
        <v>288</v>
      </c>
      <c r="D92" t="s">
        <v>289</v>
      </c>
      <c r="E92" s="8" cm="1">
        <f t="array" aca="1" ref="E92" ca="1">_xlfn.XLOOKUP(Table11[[#This Row],[Admin2PCODE]], tblPiNAnalysis[Admin2PCODE], INDIRECT("tblPiNAnalysis[" &amp; Table11[[#Headers],[Población]] &amp; "]"), "NOT FOUND", 0, 1)</f>
        <v>848590</v>
      </c>
      <c r="F92" s="8" cm="1">
        <f t="array" aca="1" ref="F92" ca="1">_xlfn.XLOOKUP(Table11[[#This Row],[Admin2PCODE]], tblPiNAnalysis[Admin2PCODE], INDIRECT("tblPiNAnalysis[" &amp; Table11[[#Headers],[SAMV]] &amp; "]"), "NOT FOUND", 0, 1)</f>
        <v>112537</v>
      </c>
      <c r="G92" s="8" cm="1">
        <f t="array" aca="1" ref="G92" ca="1">_xlfn.XLOOKUP(Table11[[#This Row],[Admin2PCODE]], tblPiNAnalysis[Admin2PCODE], INDIRECT("tblPiNAnalysis[" &amp; Table11[[#Headers],[NUT]] &amp; "]"), "NOT FOUND", 0, 1)</f>
        <v>42739.615875855197</v>
      </c>
      <c r="H92" s="8" cm="1">
        <f t="array" aca="1" ref="H92" ca="1">_xlfn.XLOOKUP(Table11[[#This Row],[Admin2PCODE]], tblPiNAnalysis[Admin2PCODE], INDIRECT("tblPiNAnalysis[" &amp; Table11[[#Headers],[SAL]] &amp; "]"), "NOT FOUND", 0, 1)</f>
        <v>309735.34999999998</v>
      </c>
      <c r="I92" s="8" cm="1">
        <f t="array" aca="1" ref="I92" ca="1">_xlfn.XLOOKUP(Table11[[#This Row],[Admin2PCODE]], tblPiNAnalysis[Admin2PCODE], INDIRECT("tblPiNAnalysis[" &amp; Table11[[#Headers],[EDU]] &amp; "]"), "NOT FOUND", 0, 1)</f>
        <v>128658.03014161903</v>
      </c>
      <c r="J92" s="8" cm="1">
        <f t="array" aca="1" ref="J92" ca="1">_xlfn.XLOOKUP(Table11[[#This Row],[Admin2PCODE]], tblPiNAnalysis[Admin2PCODE], INDIRECT("tblPiNAnalysis[" &amp; Table11[[#Headers],[PRO]] &amp; "]"), "NOT FOUND", 0, 1)</f>
        <v>202269.83533224816</v>
      </c>
      <c r="K92" s="8" cm="1">
        <f t="array" aca="1" ref="K92" ca="1">_xlfn.XLOOKUP(Table11[[#This Row],[Admin2PCODE]], tblPiNAnalysis[Admin2PCODE], INDIRECT("tblPiNAnalysis[" &amp; Table11[[#Headers],[ASH]] &amp; "]"), "NOT FOUND", 0, 1)</f>
        <v>381865.5</v>
      </c>
      <c r="L92" s="8" cm="1">
        <f t="array" aca="1" ref="L92" ca="1">_xlfn.XLOOKUP(Table11[[#This Row],[Admin2PCODE]], tblPiNAnalysis[Admin2PCODE], INDIRECT("tblPiNAnalysis[" &amp; Table11[[#Headers],[NNA]] &amp; "]"), "NOT FOUND", 0, 1)</f>
        <v>64928.617141651659</v>
      </c>
      <c r="M92" s="8" cm="1">
        <f t="array" aca="1" ref="M92" ca="1">_xlfn.XLOOKUP(Table11[[#This Row],[Admin2PCODE]], tblPiNAnalysis[Admin2PCODE], INDIRECT("tblPiNAnalysis[" &amp; Table11[[#Headers],[VBG]] &amp; "]"), "NOT FOUND", 0, 1)</f>
        <v>70794.442366286865</v>
      </c>
      <c r="N92" s="8" cm="1">
        <f t="array" aca="1" ref="N92" ca="1">_xlfn.XLOOKUP(Table11[[#This Row],[Admin2PCODE]], tblPiNAnalysis[Admin2PCODE], INDIRECT("tblPiNAnalysis[" &amp; Table11[[#Headers],[PiN más alto]] &amp; "]"), "NOT FOUND", 0, 1)</f>
        <v>381865.5</v>
      </c>
      <c r="O92" t="str" cm="1">
        <f t="array" aca="1" ref="O92" ca="1">_xlfn.XLOOKUP(Table11[[#This Row],[Admin2PCODE]], tblPiNAnalysis[Admin2PCODE], INDIRECT("tblPiNAnalysis[" &amp; Table11[[#Headers],[Sectores más altos]] &amp; "]"), "NOT FOUND", 0, 1)</f>
        <v>ASH</v>
      </c>
      <c r="P92" cm="1">
        <f t="array" ref="P92">_xlfn.XLOOKUP(Table11[[#This Row],[Admin2PCODE]], tblPiNAnalysis[Admin2PCODE], tblPiNAnalysis[Severidad], "NOT FOUND", 0, 1)</f>
        <v>4</v>
      </c>
      <c r="Q92" s="318">
        <v>0.1621160409556314</v>
      </c>
      <c r="R92" s="318">
        <v>0.46169590643274855</v>
      </c>
      <c r="S92" s="318">
        <v>7.484831247629882E-2</v>
      </c>
      <c r="T92">
        <v>0</v>
      </c>
      <c r="W92">
        <f>_xlfn.XLOOKUP(Table11[[#This Row],[Admin2PCODE]],tblSeverityAnalysis[Admin 2 Código P],tblSeverityAnalysis[PRO],0,0)</f>
        <v>4</v>
      </c>
      <c r="Y92">
        <v>0</v>
      </c>
      <c r="Z92">
        <v>0</v>
      </c>
      <c r="AA92">
        <f t="shared" si="1"/>
        <v>0</v>
      </c>
    </row>
    <row r="93" spans="1:27">
      <c r="A93" t="s">
        <v>290</v>
      </c>
      <c r="B93" t="s">
        <v>291</v>
      </c>
      <c r="C93" s="42" t="s">
        <v>119</v>
      </c>
      <c r="D93" t="s">
        <v>292</v>
      </c>
      <c r="E93" s="8" cm="1">
        <f t="array" aca="1" ref="E93" ca="1">_xlfn.XLOOKUP(Table11[[#This Row],[Admin2PCODE]], tblPiNAnalysis[Admin2PCODE], INDIRECT("tblPiNAnalysis[" &amp; Table11[[#Headers],[Población]] &amp; "]"), "NOT FOUND", 0, 1)</f>
        <v>17417</v>
      </c>
      <c r="F93" s="8" cm="1">
        <f t="array" aca="1" ref="F93" ca="1">_xlfn.XLOOKUP(Table11[[#This Row],[Admin2PCODE]], tblPiNAnalysis[Admin2PCODE], INDIRECT("tblPiNAnalysis[" &amp; Table11[[#Headers],[SAMV]] &amp; "]"), "NOT FOUND", 0, 1)</f>
        <v>1613</v>
      </c>
      <c r="G93" s="8" cm="1">
        <f t="array" aca="1" ref="G93" ca="1">_xlfn.XLOOKUP(Table11[[#This Row],[Admin2PCODE]], tblPiNAnalysis[Admin2PCODE], INDIRECT("tblPiNAnalysis[" &amp; Table11[[#Headers],[NUT]] &amp; "]"), "NOT FOUND", 0, 1)</f>
        <v>697.61988669560958</v>
      </c>
      <c r="H93" s="8" cm="1">
        <f t="array" aca="1" ref="H93" ca="1">_xlfn.XLOOKUP(Table11[[#This Row],[Admin2PCODE]], tblPiNAnalysis[Admin2PCODE], INDIRECT("tblPiNAnalysis[" &amp; Table11[[#Headers],[SAL]] &amp; "]"), "NOT FOUND", 0, 1)</f>
        <v>7700</v>
      </c>
      <c r="I93" s="8" cm="1">
        <f t="array" aca="1" ref="I93" ca="1">_xlfn.XLOOKUP(Table11[[#This Row],[Admin2PCODE]], tblPiNAnalysis[Admin2PCODE], INDIRECT("tblPiNAnalysis[" &amp; Table11[[#Headers],[EDU]] &amp; "]"), "NOT FOUND", 0, 1)</f>
        <v>429.39301219337653</v>
      </c>
      <c r="J93" s="8" cm="1">
        <f t="array" aca="1" ref="J93" ca="1">_xlfn.XLOOKUP(Table11[[#This Row],[Admin2PCODE]], tblPiNAnalysis[Admin2PCODE], INDIRECT("tblPiNAnalysis[" &amp; Table11[[#Headers],[PRO]] &amp; "]"), "NOT FOUND", 0, 1)</f>
        <v>4481.9202736243888</v>
      </c>
      <c r="K93" s="8" cm="1">
        <f t="array" aca="1" ref="K93" ca="1">_xlfn.XLOOKUP(Table11[[#This Row],[Admin2PCODE]], tblPiNAnalysis[Admin2PCODE], INDIRECT("tblPiNAnalysis[" &amp; Table11[[#Headers],[ASH]] &amp; "]"), "NOT FOUND", 0, 1)</f>
        <v>0</v>
      </c>
      <c r="L93" s="8" cm="1">
        <f t="array" aca="1" ref="L93" ca="1">_xlfn.XLOOKUP(Table11[[#This Row],[Admin2PCODE]], tblPiNAnalysis[Admin2PCODE], INDIRECT("tblPiNAnalysis[" &amp; Table11[[#Headers],[NNA]] &amp; "]"), "NOT FOUND", 0, 1)</f>
        <v>1434.2144875598046</v>
      </c>
      <c r="M93" s="8" cm="1">
        <f t="array" aca="1" ref="M93" ca="1">_xlfn.XLOOKUP(Table11[[#This Row],[Admin2PCODE]], tblPiNAnalysis[Admin2PCODE], INDIRECT("tblPiNAnalysis[" &amp; Table11[[#Headers],[VBG]] &amp; "]"), "NOT FOUND", 0, 1)</f>
        <v>1568.6720957685359</v>
      </c>
      <c r="N93" s="8" cm="1">
        <f t="array" aca="1" ref="N93" ca="1">_xlfn.XLOOKUP(Table11[[#This Row],[Admin2PCODE]], tblPiNAnalysis[Admin2PCODE], INDIRECT("tblPiNAnalysis[" &amp; Table11[[#Headers],[PiN más alto]] &amp; "]"), "NOT FOUND", 0, 1)</f>
        <v>7700</v>
      </c>
      <c r="O93" t="str" cm="1">
        <f t="array" aca="1" ref="O93" ca="1">_xlfn.XLOOKUP(Table11[[#This Row],[Admin2PCODE]], tblPiNAnalysis[Admin2PCODE], INDIRECT("tblPiNAnalysis[" &amp; Table11[[#Headers],[Sectores más altos]] &amp; "]"), "NOT FOUND", 0, 1)</f>
        <v>SAL</v>
      </c>
      <c r="P93" cm="1">
        <f t="array" ref="P93">_xlfn.XLOOKUP(Table11[[#This Row],[Admin2PCODE]], tblPiNAnalysis[Admin2PCODE], tblPiNAnalysis[Severidad], "NOT FOUND", 0, 1)</f>
        <v>2</v>
      </c>
      <c r="Q93" s="318">
        <v>0.2</v>
      </c>
      <c r="R93" s="318">
        <v>0.49999999999999983</v>
      </c>
      <c r="S93" s="318">
        <v>9.9999999999999978E-2</v>
      </c>
      <c r="T93">
        <v>0</v>
      </c>
      <c r="W93">
        <f>_xlfn.XLOOKUP(Table11[[#This Row],[Admin2PCODE]],tblSeverityAnalysis[Admin 2 Código P],tblSeverityAnalysis[PRO],0,0)</f>
        <v>2</v>
      </c>
      <c r="Y93">
        <v>0</v>
      </c>
      <c r="Z93">
        <v>0</v>
      </c>
      <c r="AA93">
        <f t="shared" si="1"/>
        <v>0</v>
      </c>
    </row>
    <row r="94" spans="1:27">
      <c r="A94" t="s">
        <v>290</v>
      </c>
      <c r="B94" t="s">
        <v>291</v>
      </c>
      <c r="C94" s="42" t="s">
        <v>293</v>
      </c>
      <c r="D94" t="s">
        <v>294</v>
      </c>
      <c r="E94" s="8" cm="1">
        <f t="array" aca="1" ref="E94" ca="1">_xlfn.XLOOKUP(Table11[[#This Row],[Admin2PCODE]], tblPiNAnalysis[Admin2PCODE], INDIRECT("tblPiNAnalysis[" &amp; Table11[[#Headers],[Población]] &amp; "]"), "NOT FOUND", 0, 1)</f>
        <v>99893</v>
      </c>
      <c r="F94" s="8" cm="1">
        <f t="array" aca="1" ref="F94" ca="1">_xlfn.XLOOKUP(Table11[[#This Row],[Admin2PCODE]], tblPiNAnalysis[Admin2PCODE], INDIRECT("tblPiNAnalysis[" &amp; Table11[[#Headers],[SAMV]] &amp; "]"), "NOT FOUND", 0, 1)</f>
        <v>0</v>
      </c>
      <c r="G94" s="8" cm="1">
        <f t="array" aca="1" ref="G94" ca="1">_xlfn.XLOOKUP(Table11[[#This Row],[Admin2PCODE]], tblPiNAnalysis[Admin2PCODE], INDIRECT("tblPiNAnalysis[" &amp; Table11[[#Headers],[NUT]] &amp; "]"), "NOT FOUND", 0, 1)</f>
        <v>2746.9106472440089</v>
      </c>
      <c r="H94" s="8" cm="1">
        <f t="array" aca="1" ref="H94" ca="1">_xlfn.XLOOKUP(Table11[[#This Row],[Admin2PCODE]], tblPiNAnalysis[Admin2PCODE], INDIRECT("tblPiNAnalysis[" &amp; Table11[[#Headers],[SAL]] &amp; "]"), "NOT FOUND", 0, 1)</f>
        <v>36460.945</v>
      </c>
      <c r="I94" s="8" cm="1">
        <f t="array" aca="1" ref="I94" ca="1">_xlfn.XLOOKUP(Table11[[#This Row],[Admin2PCODE]], tblPiNAnalysis[Admin2PCODE], INDIRECT("tblPiNAnalysis[" &amp; Table11[[#Headers],[EDU]] &amp; "]"), "NOT FOUND", 0, 1)</f>
        <v>6729.1439243947816</v>
      </c>
      <c r="J94" s="8" cm="1">
        <f t="array" aca="1" ref="J94" ca="1">_xlfn.XLOOKUP(Table11[[#This Row],[Admin2PCODE]], tblPiNAnalysis[Admin2PCODE], INDIRECT("tblPiNAnalysis[" &amp; Table11[[#Headers],[PRO]] &amp; "]"), "NOT FOUND", 0, 1)</f>
        <v>25705.486702254173</v>
      </c>
      <c r="K94" s="8" cm="1">
        <f t="array" aca="1" ref="K94" ca="1">_xlfn.XLOOKUP(Table11[[#This Row],[Admin2PCODE]], tblPiNAnalysis[Admin2PCODE], INDIRECT("tblPiNAnalysis[" &amp; Table11[[#Headers],[ASH]] &amp; "]"), "NOT FOUND", 0, 1)</f>
        <v>0</v>
      </c>
      <c r="L94" s="8" cm="1">
        <f t="array" aca="1" ref="L94" ca="1">_xlfn.XLOOKUP(Table11[[#This Row],[Admin2PCODE]], tblPiNAnalysis[Admin2PCODE], INDIRECT("tblPiNAnalysis[" &amp; Table11[[#Headers],[NNA]] &amp; "]"), "NOT FOUND", 0, 1)</f>
        <v>8225.7557447213348</v>
      </c>
      <c r="M94" s="8" cm="1">
        <f t="array" aca="1" ref="M94" ca="1">_xlfn.XLOOKUP(Table11[[#This Row],[Admin2PCODE]], tblPiNAnalysis[Admin2PCODE], INDIRECT("tblPiNAnalysis[" &amp; Table11[[#Headers],[VBG]] &amp; "]"), "NOT FOUND", 0, 1)</f>
        <v>8996.9203457889598</v>
      </c>
      <c r="N94" s="8" cm="1">
        <f t="array" aca="1" ref="N94" ca="1">_xlfn.XLOOKUP(Table11[[#This Row],[Admin2PCODE]], tblPiNAnalysis[Admin2PCODE], INDIRECT("tblPiNAnalysis[" &amp; Table11[[#Headers],[PiN más alto]] &amp; "]"), "NOT FOUND", 0, 1)</f>
        <v>36460.945</v>
      </c>
      <c r="O94" t="str" cm="1">
        <f t="array" aca="1" ref="O94" ca="1">_xlfn.XLOOKUP(Table11[[#This Row],[Admin2PCODE]], tblPiNAnalysis[Admin2PCODE], INDIRECT("tblPiNAnalysis[" &amp; Table11[[#Headers],[Sectores más altos]] &amp; "]"), "NOT FOUND", 0, 1)</f>
        <v>SAL</v>
      </c>
      <c r="P94" cm="1">
        <f t="array" ref="P94">_xlfn.XLOOKUP(Table11[[#This Row],[Admin2PCODE]], tblPiNAnalysis[Admin2PCODE], tblPiNAnalysis[Severidad], "NOT FOUND", 0, 1)</f>
        <v>2</v>
      </c>
      <c r="Q94" s="318">
        <v>0</v>
      </c>
      <c r="R94" s="318">
        <v>0</v>
      </c>
      <c r="S94" s="318">
        <v>0</v>
      </c>
      <c r="T94">
        <v>1</v>
      </c>
      <c r="W94">
        <f>_xlfn.XLOOKUP(Table11[[#This Row],[Admin2PCODE]],tblSeverityAnalysis[Admin 2 Código P],tblSeverityAnalysis[PRO],0,0)</f>
        <v>2</v>
      </c>
      <c r="Y94">
        <v>0</v>
      </c>
      <c r="Z94">
        <v>0</v>
      </c>
      <c r="AA94">
        <f t="shared" si="1"/>
        <v>0</v>
      </c>
    </row>
    <row r="95" spans="1:27">
      <c r="A95" t="s">
        <v>290</v>
      </c>
      <c r="B95" t="s">
        <v>291</v>
      </c>
      <c r="C95" s="42" t="s">
        <v>184</v>
      </c>
      <c r="D95" t="s">
        <v>295</v>
      </c>
      <c r="E95" s="8" cm="1">
        <f t="array" aca="1" ref="E95" ca="1">_xlfn.XLOOKUP(Table11[[#This Row],[Admin2PCODE]], tblPiNAnalysis[Admin2PCODE], INDIRECT("tblPiNAnalysis[" &amp; Table11[[#Headers],[Población]] &amp; "]"), "NOT FOUND", 0, 1)</f>
        <v>12180</v>
      </c>
      <c r="F95" s="8" cm="1">
        <f t="array" aca="1" ref="F95" ca="1">_xlfn.XLOOKUP(Table11[[#This Row],[Admin2PCODE]], tblPiNAnalysis[Admin2PCODE], INDIRECT("tblPiNAnalysis[" &amp; Table11[[#Headers],[SAMV]] &amp; "]"), "NOT FOUND", 0, 1)</f>
        <v>2030</v>
      </c>
      <c r="G95" s="8" cm="1">
        <f t="array" aca="1" ref="G95" ca="1">_xlfn.XLOOKUP(Table11[[#This Row],[Admin2PCODE]], tblPiNAnalysis[Admin2PCODE], INDIRECT("tblPiNAnalysis[" &amp; Table11[[#Headers],[NUT]] &amp; "]"), "NOT FOUND", 0, 1)</f>
        <v>408.33944637997649</v>
      </c>
      <c r="H95" s="8" cm="1">
        <f t="array" aca="1" ref="H95" ca="1">_xlfn.XLOOKUP(Table11[[#This Row],[Admin2PCODE]], tblPiNAnalysis[Admin2PCODE], INDIRECT("tblPiNAnalysis[" &amp; Table11[[#Headers],[SAL]] &amp; "]"), "NOT FOUND", 0, 1)</f>
        <v>5600</v>
      </c>
      <c r="I95" s="8" cm="1">
        <f t="array" aca="1" ref="I95" ca="1">_xlfn.XLOOKUP(Table11[[#This Row],[Admin2PCODE]], tblPiNAnalysis[Admin2PCODE], INDIRECT("tblPiNAnalysis[" &amp; Table11[[#Headers],[EDU]] &amp; "]"), "NOT FOUND", 0, 1)</f>
        <v>359.83107966044281</v>
      </c>
      <c r="J95" s="8" cm="1">
        <f t="array" aca="1" ref="J95" ca="1">_xlfn.XLOOKUP(Table11[[#This Row],[Admin2PCODE]], tblPiNAnalysis[Admin2PCODE], INDIRECT("tblPiNAnalysis[" &amp; Table11[[#Headers],[PRO]] &amp; "]"), "NOT FOUND", 0, 1)</f>
        <v>3134.281962033936</v>
      </c>
      <c r="K95" s="8" cm="1">
        <f t="array" aca="1" ref="K95" ca="1">_xlfn.XLOOKUP(Table11[[#This Row],[Admin2PCODE]], tblPiNAnalysis[Admin2PCODE], INDIRECT("tblPiNAnalysis[" &amp; Table11[[#Headers],[ASH]] &amp; "]"), "NOT FOUND", 0, 1)</f>
        <v>0</v>
      </c>
      <c r="L95" s="8" cm="1">
        <f t="array" aca="1" ref="L95" ca="1">_xlfn.XLOOKUP(Table11[[#This Row],[Admin2PCODE]], tblPiNAnalysis[Admin2PCODE], INDIRECT("tblPiNAnalysis[" &amp; Table11[[#Headers],[NNA]] &amp; "]"), "NOT FOUND", 0, 1)</f>
        <v>1002.9702278508596</v>
      </c>
      <c r="M95" s="8" cm="1">
        <f t="array" aca="1" ref="M95" ca="1">_xlfn.XLOOKUP(Table11[[#This Row],[Admin2PCODE]], tblPiNAnalysis[Admin2PCODE], INDIRECT("tblPiNAnalysis[" &amp; Table11[[#Headers],[VBG]] &amp; "]"), "NOT FOUND", 0, 1)</f>
        <v>1096.9986867118778</v>
      </c>
      <c r="N95" s="8" cm="1">
        <f t="array" aca="1" ref="N95" ca="1">_xlfn.XLOOKUP(Table11[[#This Row],[Admin2PCODE]], tblPiNAnalysis[Admin2PCODE], INDIRECT("tblPiNAnalysis[" &amp; Table11[[#Headers],[PiN más alto]] &amp; "]"), "NOT FOUND", 0, 1)</f>
        <v>5600</v>
      </c>
      <c r="O95" t="str" cm="1">
        <f t="array" aca="1" ref="O95" ca="1">_xlfn.XLOOKUP(Table11[[#This Row],[Admin2PCODE]], tblPiNAnalysis[Admin2PCODE], INDIRECT("tblPiNAnalysis[" &amp; Table11[[#Headers],[Sectores más altos]] &amp; "]"), "NOT FOUND", 0, 1)</f>
        <v>SAL</v>
      </c>
      <c r="P95" cm="1">
        <f t="array" ref="P95">_xlfn.XLOOKUP(Table11[[#This Row],[Admin2PCODE]], tblPiNAnalysis[Admin2PCODE], tblPiNAnalysis[Severidad], "NOT FOUND", 0, 1)</f>
        <v>2</v>
      </c>
      <c r="Q95" s="318">
        <v>0</v>
      </c>
      <c r="R95" s="318">
        <v>0</v>
      </c>
      <c r="S95" s="318">
        <v>0</v>
      </c>
      <c r="T95">
        <v>0</v>
      </c>
      <c r="W95">
        <f>_xlfn.XLOOKUP(Table11[[#This Row],[Admin2PCODE]],tblSeverityAnalysis[Admin 2 Código P],tblSeverityAnalysis[PRO],0,0)</f>
        <v>2</v>
      </c>
      <c r="Y95">
        <v>0</v>
      </c>
      <c r="Z95">
        <v>5.45</v>
      </c>
      <c r="AA95">
        <f t="shared" si="1"/>
        <v>5</v>
      </c>
    </row>
    <row r="96" spans="1:27">
      <c r="A96" t="s">
        <v>290</v>
      </c>
      <c r="B96" t="s">
        <v>291</v>
      </c>
      <c r="C96" s="42" t="s">
        <v>296</v>
      </c>
      <c r="D96" t="s">
        <v>297</v>
      </c>
      <c r="E96" s="8" cm="1">
        <f t="array" aca="1" ref="E96" ca="1">_xlfn.XLOOKUP(Table11[[#This Row],[Admin2PCODE]], tblPiNAnalysis[Admin2PCODE], INDIRECT("tblPiNAnalysis[" &amp; Table11[[#Headers],[Población]] &amp; "]"), "NOT FOUND", 0, 1)</f>
        <v>9664</v>
      </c>
      <c r="F96" s="8" cm="1">
        <f t="array" aca="1" ref="F96" ca="1">_xlfn.XLOOKUP(Table11[[#This Row],[Admin2PCODE]], tblPiNAnalysis[Admin2PCODE], INDIRECT("tblPiNAnalysis[" &amp; Table11[[#Headers],[SAMV]] &amp; "]"), "NOT FOUND", 0, 1)</f>
        <v>1611</v>
      </c>
      <c r="G96" s="8" cm="1">
        <f t="array" aca="1" ref="G96" ca="1">_xlfn.XLOOKUP(Table11[[#This Row],[Admin2PCODE]], tblPiNAnalysis[Admin2PCODE], INDIRECT("tblPiNAnalysis[" &amp; Table11[[#Headers],[NUT]] &amp; "]"), "NOT FOUND", 0, 1)</f>
        <v>264.11224350327905</v>
      </c>
      <c r="H96" s="8" cm="1">
        <f t="array" aca="1" ref="H96" ca="1">_xlfn.XLOOKUP(Table11[[#This Row],[Admin2PCODE]], tblPiNAnalysis[Admin2PCODE], INDIRECT("tblPiNAnalysis[" &amp; Table11[[#Headers],[SAL]] &amp; "]"), "NOT FOUND", 0, 1)</f>
        <v>6300</v>
      </c>
      <c r="I96" s="8" cm="1">
        <f t="array" aca="1" ref="I96" ca="1">_xlfn.XLOOKUP(Table11[[#This Row],[Admin2PCODE]], tblPiNAnalysis[Admin2PCODE], INDIRECT("tblPiNAnalysis[" &amp; Table11[[#Headers],[EDU]] &amp; "]"), "NOT FOUND", 0, 1)</f>
        <v>226.56538299061805</v>
      </c>
      <c r="J96" s="8" cm="1">
        <f t="array" aca="1" ref="J96" ca="1">_xlfn.XLOOKUP(Table11[[#This Row],[Admin2PCODE]], tblPiNAnalysis[Admin2PCODE], INDIRECT("tblPiNAnalysis[" &amp; Table11[[#Headers],[PRO]] &amp; "]"), "NOT FOUND", 0, 1)</f>
        <v>2486.839152799339</v>
      </c>
      <c r="K96" s="8" cm="1">
        <f t="array" aca="1" ref="K96" ca="1">_xlfn.XLOOKUP(Table11[[#This Row],[Admin2PCODE]], tblPiNAnalysis[Admin2PCODE], INDIRECT("tblPiNAnalysis[" &amp; Table11[[#Headers],[ASH]] &amp; "]"), "NOT FOUND", 0, 1)</f>
        <v>1304.6400000000001</v>
      </c>
      <c r="L96" s="8" cm="1">
        <f t="array" aca="1" ref="L96" ca="1">_xlfn.XLOOKUP(Table11[[#This Row],[Admin2PCODE]], tblPiNAnalysis[Admin2PCODE], INDIRECT("tblPiNAnalysis[" &amp; Table11[[#Headers],[NNA]] &amp; "]"), "NOT FOUND", 0, 1)</f>
        <v>795.78852889578843</v>
      </c>
      <c r="M96" s="8" cm="1">
        <f t="array" aca="1" ref="M96" ca="1">_xlfn.XLOOKUP(Table11[[#This Row],[Admin2PCODE]], tblPiNAnalysis[Admin2PCODE], INDIRECT("tblPiNAnalysis[" &amp; Table11[[#Headers],[VBG]] &amp; "]"), "NOT FOUND", 0, 1)</f>
        <v>870.39370347976865</v>
      </c>
      <c r="N96" s="8" cm="1">
        <f t="array" aca="1" ref="N96" ca="1">_xlfn.XLOOKUP(Table11[[#This Row],[Admin2PCODE]], tblPiNAnalysis[Admin2PCODE], INDIRECT("tblPiNAnalysis[" &amp; Table11[[#Headers],[PiN más alto]] &amp; "]"), "NOT FOUND", 0, 1)</f>
        <v>6300</v>
      </c>
      <c r="O96" t="str" cm="1">
        <f t="array" aca="1" ref="O96" ca="1">_xlfn.XLOOKUP(Table11[[#This Row],[Admin2PCODE]], tblPiNAnalysis[Admin2PCODE], INDIRECT("tblPiNAnalysis[" &amp; Table11[[#Headers],[Sectores más altos]] &amp; "]"), "NOT FOUND", 0, 1)</f>
        <v>SAL</v>
      </c>
      <c r="P96" cm="1">
        <f t="array" ref="P96">_xlfn.XLOOKUP(Table11[[#This Row],[Admin2PCODE]], tblPiNAnalysis[Admin2PCODE], tblPiNAnalysis[Severidad], "NOT FOUND", 0, 1)</f>
        <v>2</v>
      </c>
      <c r="Q96" s="318">
        <v>0</v>
      </c>
      <c r="R96" s="318">
        <v>0</v>
      </c>
      <c r="S96" s="318">
        <v>0</v>
      </c>
      <c r="T96">
        <v>0</v>
      </c>
      <c r="W96">
        <f>_xlfn.XLOOKUP(Table11[[#This Row],[Admin2PCODE]],tblSeverityAnalysis[Admin 2 Código P],tblSeverityAnalysis[PRO],0,0)</f>
        <v>2</v>
      </c>
      <c r="Y96">
        <v>6</v>
      </c>
      <c r="Z96">
        <v>0</v>
      </c>
      <c r="AA96">
        <f t="shared" si="1"/>
        <v>0</v>
      </c>
    </row>
    <row r="97" spans="1:27">
      <c r="A97" t="s">
        <v>290</v>
      </c>
      <c r="B97" t="s">
        <v>291</v>
      </c>
      <c r="C97" s="42" t="s">
        <v>829</v>
      </c>
      <c r="D97" t="s">
        <v>299</v>
      </c>
      <c r="E97" s="8" cm="1">
        <f t="array" aca="1" ref="E97" ca="1">_xlfn.XLOOKUP(Table11[[#This Row],[Admin2PCODE]], tblPiNAnalysis[Admin2PCODE], INDIRECT("tblPiNAnalysis[" &amp; Table11[[#Headers],[Población]] &amp; "]"), "NOT FOUND", 0, 1)</f>
        <v>17187</v>
      </c>
      <c r="F97" s="8" cm="1">
        <f t="array" aca="1" ref="F97" ca="1">_xlfn.XLOOKUP(Table11[[#This Row],[Admin2PCODE]], tblPiNAnalysis[Admin2PCODE], INDIRECT("tblPiNAnalysis[" &amp; Table11[[#Headers],[SAMV]] &amp; "]"), "NOT FOUND", 0, 1)</f>
        <v>2865</v>
      </c>
      <c r="G97" s="8" cm="1">
        <f t="array" aca="1" ref="G97" ca="1">_xlfn.XLOOKUP(Table11[[#This Row],[Admin2PCODE]], tblPiNAnalysis[Admin2PCODE], INDIRECT("tblPiNAnalysis[" &amp; Table11[[#Headers],[NUT]] &amp; "]"), "NOT FOUND", 0, 1)</f>
        <v>805.34152665643967</v>
      </c>
      <c r="H97" s="8" cm="1">
        <f t="array" aca="1" ref="H97" ca="1">_xlfn.XLOOKUP(Table11[[#This Row],[Admin2PCODE]], tblPiNAnalysis[Admin2PCODE], INDIRECT("tblPiNAnalysis[" &amp; Table11[[#Headers],[SAL]] &amp; "]"), "NOT FOUND", 0, 1)</f>
        <v>11200</v>
      </c>
      <c r="I97" s="8" cm="1">
        <f t="array" aca="1" ref="I97" ca="1">_xlfn.XLOOKUP(Table11[[#This Row],[Admin2PCODE]], tblPiNAnalysis[Admin2PCODE], INDIRECT("tblPiNAnalysis[" &amp; Table11[[#Headers],[EDU]] &amp; "]"), "NOT FOUND", 0, 1)</f>
        <v>1531.6189700667658</v>
      </c>
      <c r="J97" s="8" cm="1">
        <f t="array" aca="1" ref="J97" ca="1">_xlfn.XLOOKUP(Table11[[#This Row],[Admin2PCODE]], tblPiNAnalysis[Admin2PCODE], INDIRECT("tblPiNAnalysis[" &amp; Table11[[#Headers],[PRO]] &amp; "]"), "NOT FOUND", 0, 1)</f>
        <v>4422.7343252444371</v>
      </c>
      <c r="K97" s="8" cm="1">
        <f t="array" aca="1" ref="K97" ca="1">_xlfn.XLOOKUP(Table11[[#This Row],[Admin2PCODE]], tblPiNAnalysis[Admin2PCODE], INDIRECT("tblPiNAnalysis[" &amp; Table11[[#Headers],[ASH]] &amp; "]"), "NOT FOUND", 0, 1)</f>
        <v>0</v>
      </c>
      <c r="L97" s="8" cm="1">
        <f t="array" aca="1" ref="L97" ca="1">_xlfn.XLOOKUP(Table11[[#This Row],[Admin2PCODE]], tblPiNAnalysis[Admin2PCODE], INDIRECT("tblPiNAnalysis[" &amp; Table11[[#Headers],[NNA]] &amp; "]"), "NOT FOUND", 0, 1)</f>
        <v>1419.697718403464</v>
      </c>
      <c r="M97" s="8" cm="1">
        <f t="array" aca="1" ref="M97" ca="1">_xlfn.XLOOKUP(Table11[[#This Row],[Admin2PCODE]], tblPiNAnalysis[Admin2PCODE], INDIRECT("tblPiNAnalysis[" &amp; Table11[[#Headers],[VBG]] &amp; "]"), "NOT FOUND", 0, 1)</f>
        <v>1547.9570138355527</v>
      </c>
      <c r="N97" s="8" cm="1">
        <f t="array" aca="1" ref="N97" ca="1">_xlfn.XLOOKUP(Table11[[#This Row],[Admin2PCODE]], tblPiNAnalysis[Admin2PCODE], INDIRECT("tblPiNAnalysis[" &amp; Table11[[#Headers],[PiN más alto]] &amp; "]"), "NOT FOUND", 0, 1)</f>
        <v>11200</v>
      </c>
      <c r="O97" t="str" cm="1">
        <f t="array" aca="1" ref="O97" ca="1">_xlfn.XLOOKUP(Table11[[#This Row],[Admin2PCODE]], tblPiNAnalysis[Admin2PCODE], INDIRECT("tblPiNAnalysis[" &amp; Table11[[#Headers],[Sectores más altos]] &amp; "]"), "NOT FOUND", 0, 1)</f>
        <v>SAL</v>
      </c>
      <c r="P97" cm="1">
        <f t="array" ref="P97">_xlfn.XLOOKUP(Table11[[#This Row],[Admin2PCODE]], tblPiNAnalysis[Admin2PCODE], tblPiNAnalysis[Severidad], "NOT FOUND", 0, 1)</f>
        <v>2</v>
      </c>
      <c r="Q97" s="318">
        <v>0.19230769230769232</v>
      </c>
      <c r="R97" s="318">
        <v>0.37777777777777771</v>
      </c>
      <c r="S97" s="318">
        <v>7.2649572649572641E-2</v>
      </c>
      <c r="T97">
        <v>0</v>
      </c>
      <c r="W97">
        <f>_xlfn.XLOOKUP(Table11[[#This Row],[Admin2PCODE]],tblSeverityAnalysis[Admin 2 Código P],tblSeverityAnalysis[PRO],0,0)</f>
        <v>2</v>
      </c>
      <c r="Y97">
        <v>0</v>
      </c>
      <c r="Z97">
        <v>2.15</v>
      </c>
      <c r="AA97">
        <f t="shared" si="1"/>
        <v>2</v>
      </c>
    </row>
    <row r="98" spans="1:27">
      <c r="A98" t="s">
        <v>290</v>
      </c>
      <c r="B98" t="s">
        <v>291</v>
      </c>
      <c r="C98" s="42" t="s">
        <v>300</v>
      </c>
      <c r="D98" t="s">
        <v>301</v>
      </c>
      <c r="E98" s="8" cm="1">
        <f t="array" aca="1" ref="E98" ca="1">_xlfn.XLOOKUP(Table11[[#This Row],[Admin2PCODE]], tblPiNAnalysis[Admin2PCODE], INDIRECT("tblPiNAnalysis[" &amp; Table11[[#Headers],[Población]] &amp; "]"), "NOT FOUND", 0, 1)</f>
        <v>12936</v>
      </c>
      <c r="F98" s="8" cm="1">
        <f t="array" aca="1" ref="F98" ca="1">_xlfn.XLOOKUP(Table11[[#This Row],[Admin2PCODE]], tblPiNAnalysis[Admin2PCODE], INDIRECT("tblPiNAnalysis[" &amp; Table11[[#Headers],[SAMV]] &amp; "]"), "NOT FOUND", 0, 1)</f>
        <v>4312</v>
      </c>
      <c r="G98" s="8" cm="1">
        <f t="array" aca="1" ref="G98" ca="1">_xlfn.XLOOKUP(Table11[[#This Row],[Admin2PCODE]], tblPiNAnalysis[Admin2PCODE], INDIRECT("tblPiNAnalysis[" &amp; Table11[[#Headers],[NUT]] &amp; "]"), "NOT FOUND", 0, 1)</f>
        <v>314.40830904005691</v>
      </c>
      <c r="H98" s="8" cm="1">
        <f t="array" aca="1" ref="H98" ca="1">_xlfn.XLOOKUP(Table11[[#This Row],[Admin2PCODE]], tblPiNAnalysis[Admin2PCODE], INDIRECT("tblPiNAnalysis[" &amp; Table11[[#Headers],[SAL]] &amp; "]"), "NOT FOUND", 0, 1)</f>
        <v>7700</v>
      </c>
      <c r="I98" s="8" cm="1">
        <f t="array" aca="1" ref="I98" ca="1">_xlfn.XLOOKUP(Table11[[#This Row],[Admin2PCODE]], tblPiNAnalysis[Admin2PCODE], INDIRECT("tblPiNAnalysis[" &amp; Table11[[#Headers],[EDU]] &amp; "]"), "NOT FOUND", 0, 1)</f>
        <v>303.65470564064265</v>
      </c>
      <c r="J98" s="8" cm="1">
        <f t="array" aca="1" ref="J98" ca="1">_xlfn.XLOOKUP(Table11[[#This Row],[Admin2PCODE]], tblPiNAnalysis[Admin2PCODE], INDIRECT("tblPiNAnalysis[" &amp; Table11[[#Headers],[PRO]] &amp; "]"), "NOT FOUND", 0, 1)</f>
        <v>5548.0393350945496</v>
      </c>
      <c r="K98" s="8" cm="1">
        <f t="array" aca="1" ref="K98" ca="1">_xlfn.XLOOKUP(Table11[[#This Row],[Admin2PCODE]], tblPiNAnalysis[Admin2PCODE], INDIRECT("tblPiNAnalysis[" &amp; Table11[[#Headers],[ASH]] &amp; "]"), "NOT FOUND", 0, 1)</f>
        <v>0</v>
      </c>
      <c r="L98" s="8" cm="1">
        <f t="array" aca="1" ref="L98" ca="1">_xlfn.XLOOKUP(Table11[[#This Row],[Admin2PCODE]], tblPiNAnalysis[Admin2PCODE], INDIRECT("tblPiNAnalysis[" &amp; Table11[[#Headers],[NNA]] &amp; "]"), "NOT FOUND", 0, 1)</f>
        <v>1780.9206265653504</v>
      </c>
      <c r="M98" s="8" cm="1">
        <f t="array" aca="1" ref="M98" ca="1">_xlfn.XLOOKUP(Table11[[#This Row],[Admin2PCODE]], tblPiNAnalysis[Admin2PCODE], INDIRECT("tblPiNAnalysis[" &amp; Table11[[#Headers],[VBG]] &amp; "]"), "NOT FOUND", 0, 1)</f>
        <v>1941.8137672830919</v>
      </c>
      <c r="N98" s="8" cm="1">
        <f t="array" aca="1" ref="N98" ca="1">_xlfn.XLOOKUP(Table11[[#This Row],[Admin2PCODE]], tblPiNAnalysis[Admin2PCODE], INDIRECT("tblPiNAnalysis[" &amp; Table11[[#Headers],[PiN más alto]] &amp; "]"), "NOT FOUND", 0, 1)</f>
        <v>7700</v>
      </c>
      <c r="O98" t="str" cm="1">
        <f t="array" aca="1" ref="O98" ca="1">_xlfn.XLOOKUP(Table11[[#This Row],[Admin2PCODE]], tblPiNAnalysis[Admin2PCODE], INDIRECT("tblPiNAnalysis[" &amp; Table11[[#Headers],[Sectores más altos]] &amp; "]"), "NOT FOUND", 0, 1)</f>
        <v>SAL</v>
      </c>
      <c r="P98" cm="1">
        <f t="array" ref="P98">_xlfn.XLOOKUP(Table11[[#This Row],[Admin2PCODE]], tblPiNAnalysis[Admin2PCODE], tblPiNAnalysis[Severidad], "NOT FOUND", 0, 1)</f>
        <v>2</v>
      </c>
      <c r="Q98" s="318">
        <v>1</v>
      </c>
      <c r="R98" s="318">
        <v>0.33333333333333331</v>
      </c>
      <c r="S98" s="318">
        <v>0.33333333333333331</v>
      </c>
      <c r="T98">
        <v>0</v>
      </c>
      <c r="W98">
        <f>_xlfn.XLOOKUP(Table11[[#This Row],[Admin2PCODE]],tblSeverityAnalysis[Admin 2 Código P],tblSeverityAnalysis[PRO],0,0)</f>
        <v>3</v>
      </c>
      <c r="Y98">
        <v>0</v>
      </c>
      <c r="Z98">
        <v>3.05</v>
      </c>
      <c r="AA98">
        <f t="shared" si="1"/>
        <v>3</v>
      </c>
    </row>
    <row r="99" spans="1:27">
      <c r="A99" t="s">
        <v>290</v>
      </c>
      <c r="B99" t="s">
        <v>291</v>
      </c>
      <c r="C99" s="42" t="s">
        <v>175</v>
      </c>
      <c r="D99" t="s">
        <v>302</v>
      </c>
      <c r="E99" s="8" cm="1">
        <f t="array" aca="1" ref="E99" ca="1">_xlfn.XLOOKUP(Table11[[#This Row],[Admin2PCODE]], tblPiNAnalysis[Admin2PCODE], INDIRECT("tblPiNAnalysis[" &amp; Table11[[#Headers],[Población]] &amp; "]"), "NOT FOUND", 0, 1)</f>
        <v>18712</v>
      </c>
      <c r="F99" s="8" cm="1">
        <f t="array" aca="1" ref="F99" ca="1">_xlfn.XLOOKUP(Table11[[#This Row],[Admin2PCODE]], tblPiNAnalysis[Admin2PCODE], INDIRECT("tblPiNAnalysis[" &amp; Table11[[#Headers],[SAMV]] &amp; "]"), "NOT FOUND", 0, 1)</f>
        <v>6238</v>
      </c>
      <c r="G99" s="8" cm="1">
        <f t="array" aca="1" ref="G99" ca="1">_xlfn.XLOOKUP(Table11[[#This Row],[Admin2PCODE]], tblPiNAnalysis[Admin2PCODE], INDIRECT("tblPiNAnalysis[" &amp; Table11[[#Headers],[NUT]] &amp; "]"), "NOT FOUND", 0, 1)</f>
        <v>778.64504700271868</v>
      </c>
      <c r="H99" s="8" cm="1">
        <f t="array" aca="1" ref="H99" ca="1">_xlfn.XLOOKUP(Table11[[#This Row],[Admin2PCODE]], tblPiNAnalysis[Admin2PCODE], INDIRECT("tblPiNAnalysis[" &amp; Table11[[#Headers],[SAL]] &amp; "]"), "NOT FOUND", 0, 1)</f>
        <v>7700</v>
      </c>
      <c r="I99" s="8" cm="1">
        <f t="array" aca="1" ref="I99" ca="1">_xlfn.XLOOKUP(Table11[[#This Row],[Admin2PCODE]], tblPiNAnalysis[Admin2PCODE], INDIRECT("tblPiNAnalysis[" &amp; Table11[[#Headers],[EDU]] &amp; "]"), "NOT FOUND", 0, 1)</f>
        <v>871.52670008632879</v>
      </c>
      <c r="J99" s="8" cm="1">
        <f t="array" aca="1" ref="J99" ca="1">_xlfn.XLOOKUP(Table11[[#This Row],[Admin2PCODE]], tblPiNAnalysis[Admin2PCODE], INDIRECT("tblPiNAnalysis[" &amp; Table11[[#Headers],[PRO]] &amp; "]"), "NOT FOUND", 0, 1)</f>
        <v>8025.2714933742463</v>
      </c>
      <c r="K99" s="8" cm="1">
        <f t="array" aca="1" ref="K99" ca="1">_xlfn.XLOOKUP(Table11[[#This Row],[Admin2PCODE]], tblPiNAnalysis[Admin2PCODE], INDIRECT("tblPiNAnalysis[" &amp; Table11[[#Headers],[ASH]] &amp; "]"), "NOT FOUND", 0, 1)</f>
        <v>0</v>
      </c>
      <c r="L99" s="8" cm="1">
        <f t="array" aca="1" ref="L99" ca="1">_xlfn.XLOOKUP(Table11[[#This Row],[Admin2PCODE]], tblPiNAnalysis[Admin2PCODE], INDIRECT("tblPiNAnalysis[" &amp; Table11[[#Headers],[NNA]] &amp; "]"), "NOT FOUND", 0, 1)</f>
        <v>2576.1121493731334</v>
      </c>
      <c r="M99" s="8" cm="1">
        <f t="array" aca="1" ref="M99" ca="1">_xlfn.XLOOKUP(Table11[[#This Row],[Admin2PCODE]], tblPiNAnalysis[Admin2PCODE], INDIRECT("tblPiNAnalysis[" &amp; Table11[[#Headers],[VBG]] &amp; "]"), "NOT FOUND", 0, 1)</f>
        <v>2808.8450226809864</v>
      </c>
      <c r="N99" s="8" cm="1">
        <f t="array" aca="1" ref="N99" ca="1">_xlfn.XLOOKUP(Table11[[#This Row],[Admin2PCODE]], tblPiNAnalysis[Admin2PCODE], INDIRECT("tblPiNAnalysis[" &amp; Table11[[#Headers],[PiN más alto]] &amp; "]"), "NOT FOUND", 0, 1)</f>
        <v>8025.2714933742463</v>
      </c>
      <c r="O99" t="str" cm="1">
        <f t="array" aca="1" ref="O99" ca="1">_xlfn.XLOOKUP(Table11[[#This Row],[Admin2PCODE]], tblPiNAnalysis[Admin2PCODE], INDIRECT("tblPiNAnalysis[" &amp; Table11[[#Headers],[Sectores más altos]] &amp; "]"), "NOT FOUND", 0, 1)</f>
        <v>PRO</v>
      </c>
      <c r="P99" cm="1">
        <f t="array" ref="P99">_xlfn.XLOOKUP(Table11[[#This Row],[Admin2PCODE]], tblPiNAnalysis[Admin2PCODE], tblPiNAnalysis[Severidad], "NOT FOUND", 0, 1)</f>
        <v>3</v>
      </c>
      <c r="Q99" s="318">
        <v>1</v>
      </c>
      <c r="R99" s="318">
        <v>0.33333333333333337</v>
      </c>
      <c r="S99" s="318">
        <v>0.33333333333333337</v>
      </c>
      <c r="T99">
        <v>0</v>
      </c>
      <c r="W99">
        <f>_xlfn.XLOOKUP(Table11[[#This Row],[Admin2PCODE]],tblSeverityAnalysis[Admin 2 Código P],tblSeverityAnalysis[PRO],0,0)</f>
        <v>3</v>
      </c>
      <c r="Y99">
        <v>0</v>
      </c>
      <c r="Z99">
        <v>0.35</v>
      </c>
      <c r="AA99">
        <f t="shared" si="1"/>
        <v>0</v>
      </c>
    </row>
    <row r="100" spans="1:27">
      <c r="A100" t="s">
        <v>290</v>
      </c>
      <c r="B100" t="s">
        <v>291</v>
      </c>
      <c r="C100" s="42" t="s">
        <v>227</v>
      </c>
      <c r="D100" t="s">
        <v>303</v>
      </c>
      <c r="E100" s="8" cm="1">
        <f t="array" aca="1" ref="E100" ca="1">_xlfn.XLOOKUP(Table11[[#This Row],[Admin2PCODE]], tblPiNAnalysis[Admin2PCODE], INDIRECT("tblPiNAnalysis[" &amp; Table11[[#Headers],[Población]] &amp; "]"), "NOT FOUND", 0, 1)</f>
        <v>109167</v>
      </c>
      <c r="F100" s="8" cm="1">
        <f t="array" aca="1" ref="F100" ca="1">_xlfn.XLOOKUP(Table11[[#This Row],[Admin2PCODE]], tblPiNAnalysis[Admin2PCODE], INDIRECT("tblPiNAnalysis[" &amp; Table11[[#Headers],[SAMV]] &amp; "]"), "NOT FOUND", 0, 1)</f>
        <v>31933</v>
      </c>
      <c r="G100" s="8" cm="1">
        <f t="array" aca="1" ref="G100" ca="1">_xlfn.XLOOKUP(Table11[[#This Row],[Admin2PCODE]], tblPiNAnalysis[Admin2PCODE], INDIRECT("tblPiNAnalysis[" &amp; Table11[[#Headers],[NUT]] &amp; "]"), "NOT FOUND", 0, 1)</f>
        <v>4544.6124012872333</v>
      </c>
      <c r="H100" s="8" cm="1">
        <f t="array" aca="1" ref="H100" ca="1">_xlfn.XLOOKUP(Table11[[#This Row],[Admin2PCODE]], tblPiNAnalysis[Admin2PCODE], INDIRECT("tblPiNAnalysis[" &amp; Table11[[#Headers],[SAL]] &amp; "]"), "NOT FOUND", 0, 1)</f>
        <v>39845.955000000002</v>
      </c>
      <c r="I100" s="8" cm="1">
        <f t="array" aca="1" ref="I100" ca="1">_xlfn.XLOOKUP(Table11[[#This Row],[Admin2PCODE]], tblPiNAnalysis[Admin2PCODE], INDIRECT("tblPiNAnalysis[" &amp; Table11[[#Headers],[EDU]] &amp; "]"), "NOT FOUND", 0, 1)</f>
        <v>7246.9228898259717</v>
      </c>
      <c r="J100" s="8" cm="1">
        <f t="array" aca="1" ref="J100" ca="1">_xlfn.XLOOKUP(Table11[[#This Row],[Admin2PCODE]], tblPiNAnalysis[Admin2PCODE], INDIRECT("tblPiNAnalysis[" &amp; Table11[[#Headers],[PRO]] &amp; "]"), "NOT FOUND", 0, 1)</f>
        <v>46819.945121696583</v>
      </c>
      <c r="K100" s="8" cm="1">
        <f t="array" aca="1" ref="K100" ca="1">_xlfn.XLOOKUP(Table11[[#This Row],[Admin2PCODE]], tblPiNAnalysis[Admin2PCODE], INDIRECT("tblPiNAnalysis[" &amp; Table11[[#Headers],[ASH]] &amp; "]"), "NOT FOUND", 0, 1)</f>
        <v>0</v>
      </c>
      <c r="L100" s="8" cm="1">
        <f t="array" aca="1" ref="L100" ca="1">_xlfn.XLOOKUP(Table11[[#This Row],[Admin2PCODE]], tblPiNAnalysis[Admin2PCODE], INDIRECT("tblPiNAnalysis[" &amp; Table11[[#Headers],[NNA]] &amp; "]"), "NOT FOUND", 0, 1)</f>
        <v>14982.382438942906</v>
      </c>
      <c r="M100" s="8" cm="1">
        <f t="array" aca="1" ref="M100" ca="1">_xlfn.XLOOKUP(Table11[[#This Row],[Admin2PCODE]], tblPiNAnalysis[Admin2PCODE], INDIRECT("tblPiNAnalysis[" &amp; Table11[[#Headers],[VBG]] &amp; "]"), "NOT FOUND", 0, 1)</f>
        <v>16386.980792593804</v>
      </c>
      <c r="N100" s="8" cm="1">
        <f t="array" aca="1" ref="N100" ca="1">_xlfn.XLOOKUP(Table11[[#This Row],[Admin2PCODE]], tblPiNAnalysis[Admin2PCODE], INDIRECT("tblPiNAnalysis[" &amp; Table11[[#Headers],[PiN más alto]] &amp; "]"), "NOT FOUND", 0, 1)</f>
        <v>46819.945121696583</v>
      </c>
      <c r="O100" t="str" cm="1">
        <f t="array" aca="1" ref="O100" ca="1">_xlfn.XLOOKUP(Table11[[#This Row],[Admin2PCODE]], tblPiNAnalysis[Admin2PCODE], INDIRECT("tblPiNAnalysis[" &amp; Table11[[#Headers],[Sectores más altos]] &amp; "]"), "NOT FOUND", 0, 1)</f>
        <v>PRO</v>
      </c>
      <c r="P100" cm="1">
        <f t="array" ref="P100">_xlfn.XLOOKUP(Table11[[#This Row],[Admin2PCODE]], tblPiNAnalysis[Admin2PCODE], tblPiNAnalysis[Severidad], "NOT FOUND", 0, 1)</f>
        <v>3</v>
      </c>
      <c r="Q100" s="318">
        <v>0.839622641509434</v>
      </c>
      <c r="R100" s="318">
        <v>0.3508114856429464</v>
      </c>
      <c r="S100" s="318">
        <v>0.29454926624737954</v>
      </c>
      <c r="T100">
        <v>0</v>
      </c>
      <c r="W100">
        <f>_xlfn.XLOOKUP(Table11[[#This Row],[Admin2PCODE]],tblSeverityAnalysis[Admin 2 Código P],tblSeverityAnalysis[PRO],0,0)</f>
        <v>3</v>
      </c>
      <c r="Y100">
        <v>0</v>
      </c>
      <c r="Z100">
        <v>0</v>
      </c>
      <c r="AA100">
        <f t="shared" si="1"/>
        <v>0</v>
      </c>
    </row>
    <row r="101" spans="1:27">
      <c r="A101" t="s">
        <v>290</v>
      </c>
      <c r="B101" t="s">
        <v>291</v>
      </c>
      <c r="C101" s="42" t="s">
        <v>304</v>
      </c>
      <c r="D101" t="s">
        <v>305</v>
      </c>
      <c r="E101" s="8" cm="1">
        <f t="array" aca="1" ref="E101" ca="1">_xlfn.XLOOKUP(Table11[[#This Row],[Admin2PCODE]], tblPiNAnalysis[Admin2PCODE], INDIRECT("tblPiNAnalysis[" &amp; Table11[[#Headers],[Población]] &amp; "]"), "NOT FOUND", 0, 1)</f>
        <v>33297</v>
      </c>
      <c r="F101" s="8" cm="1">
        <f t="array" aca="1" ref="F101" ca="1">_xlfn.XLOOKUP(Table11[[#This Row],[Admin2PCODE]], tblPiNAnalysis[Admin2PCODE], INDIRECT("tblPiNAnalysis[" &amp; Table11[[#Headers],[SAMV]] &amp; "]"), "NOT FOUND", 0, 1)</f>
        <v>740</v>
      </c>
      <c r="G101" s="8" cm="1">
        <f t="array" aca="1" ref="G101" ca="1">_xlfn.XLOOKUP(Table11[[#This Row],[Admin2PCODE]], tblPiNAnalysis[Admin2PCODE], INDIRECT("tblPiNAnalysis[" &amp; Table11[[#Headers],[NUT]] &amp; "]"), "NOT FOUND", 0, 1)</f>
        <v>1054.3717550327922</v>
      </c>
      <c r="H101" s="8" cm="1">
        <f t="array" aca="1" ref="H101" ca="1">_xlfn.XLOOKUP(Table11[[#This Row],[Admin2PCODE]], tblPiNAnalysis[Admin2PCODE], INDIRECT("tblPiNAnalysis[" &amp; Table11[[#Headers],[SAL]] &amp; "]"), "NOT FOUND", 0, 1)</f>
        <v>12153.405000000001</v>
      </c>
      <c r="I101" s="8" cm="1">
        <f t="array" aca="1" ref="I101" ca="1">_xlfn.XLOOKUP(Table11[[#This Row],[Admin2PCODE]], tblPiNAnalysis[Admin2PCODE], INDIRECT("tblPiNAnalysis[" &amp; Table11[[#Headers],[EDU]] &amp; "]"), "NOT FOUND", 0, 1)</f>
        <v>1687.606030139551</v>
      </c>
      <c r="J101" s="8" cm="1">
        <f t="array" aca="1" ref="J101" ca="1">_xlfn.XLOOKUP(Table11[[#This Row],[Admin2PCODE]], tblPiNAnalysis[Admin2PCODE], INDIRECT("tblPiNAnalysis[" &amp; Table11[[#Headers],[PRO]] &amp; "]"), "NOT FOUND", 0, 1)</f>
        <v>8568.3240139444952</v>
      </c>
      <c r="K101" s="8" cm="1">
        <f t="array" aca="1" ref="K101" ca="1">_xlfn.XLOOKUP(Table11[[#This Row],[Admin2PCODE]], tblPiNAnalysis[Admin2PCODE], INDIRECT("tblPiNAnalysis[" &amp; Table11[[#Headers],[ASH]] &amp; "]"), "NOT FOUND", 0, 1)</f>
        <v>19978.2</v>
      </c>
      <c r="L101" s="8" cm="1">
        <f t="array" aca="1" ref="L101" ca="1">_xlfn.XLOOKUP(Table11[[#This Row],[Admin2PCODE]], tblPiNAnalysis[Admin2PCODE], INDIRECT("tblPiNAnalysis[" &amp; Table11[[#Headers],[NNA]] &amp; "]"), "NOT FOUND", 0, 1)</f>
        <v>2750.432008476183</v>
      </c>
      <c r="M101" s="8" cm="1">
        <f t="array" aca="1" ref="M101" ca="1">_xlfn.XLOOKUP(Table11[[#This Row],[Admin2PCODE]], tblPiNAnalysis[Admin2PCODE], INDIRECT("tblPiNAnalysis[" &amp; Table11[[#Headers],[VBG]] &amp; "]"), "NOT FOUND", 0, 1)</f>
        <v>2998.9134048805736</v>
      </c>
      <c r="N101" s="8" cm="1">
        <f t="array" aca="1" ref="N101" ca="1">_xlfn.XLOOKUP(Table11[[#This Row],[Admin2PCODE]], tblPiNAnalysis[Admin2PCODE], INDIRECT("tblPiNAnalysis[" &amp; Table11[[#Headers],[PiN más alto]] &amp; "]"), "NOT FOUND", 0, 1)</f>
        <v>19978.2</v>
      </c>
      <c r="O101" t="str" cm="1">
        <f t="array" aca="1" ref="O101" ca="1">_xlfn.XLOOKUP(Table11[[#This Row],[Admin2PCODE]], tblPiNAnalysis[Admin2PCODE], INDIRECT("tblPiNAnalysis[" &amp; Table11[[#Headers],[Sectores más altos]] &amp; "]"), "NOT FOUND", 0, 1)</f>
        <v>ASH</v>
      </c>
      <c r="P101" cm="1">
        <f t="array" ref="P101">_xlfn.XLOOKUP(Table11[[#This Row],[Admin2PCODE]], tblPiNAnalysis[Admin2PCODE], tblPiNAnalysis[Severidad], "NOT FOUND", 0, 1)</f>
        <v>2</v>
      </c>
      <c r="Q101" s="318">
        <v>7.4999999999999997E-2</v>
      </c>
      <c r="R101" s="318">
        <v>0.33333333333333331</v>
      </c>
      <c r="S101" s="318">
        <v>2.4999999999999998E-2</v>
      </c>
      <c r="T101">
        <v>0</v>
      </c>
      <c r="W101">
        <f>_xlfn.XLOOKUP(Table11[[#This Row],[Admin2PCODE]],tblSeverityAnalysis[Admin 2 Código P],tblSeverityAnalysis[PRO],0,0)</f>
        <v>2</v>
      </c>
      <c r="Y101">
        <v>0</v>
      </c>
      <c r="Z101">
        <v>0</v>
      </c>
      <c r="AA101">
        <f t="shared" si="1"/>
        <v>0</v>
      </c>
    </row>
    <row r="102" spans="1:27">
      <c r="A102" t="s">
        <v>306</v>
      </c>
      <c r="B102" t="s">
        <v>307</v>
      </c>
      <c r="C102" s="42" t="s">
        <v>308</v>
      </c>
      <c r="D102" t="s">
        <v>309</v>
      </c>
      <c r="E102" s="8" cm="1">
        <f t="array" aca="1" ref="E102" ca="1">_xlfn.XLOOKUP(Table11[[#This Row],[Admin2PCODE]], tblPiNAnalysis[Admin2PCODE], INDIRECT("tblPiNAnalysis[" &amp; Table11[[#Headers],[Población]] &amp; "]"), "NOT FOUND", 0, 1)</f>
        <v>27250</v>
      </c>
      <c r="F102" s="8" cm="1">
        <f t="array" aca="1" ref="F102" ca="1">_xlfn.XLOOKUP(Table11[[#This Row],[Admin2PCODE]], tblPiNAnalysis[Admin2PCODE], INDIRECT("tblPiNAnalysis[" &amp; Table11[[#Headers],[SAMV]] &amp; "]"), "NOT FOUND", 0, 1)</f>
        <v>9669</v>
      </c>
      <c r="G102" s="8" cm="1">
        <f t="array" aca="1" ref="G102" ca="1">_xlfn.XLOOKUP(Table11[[#This Row],[Admin2PCODE]], tblPiNAnalysis[Admin2PCODE], INDIRECT("tblPiNAnalysis[" &amp; Table11[[#Headers],[NUT]] &amp; "]"), "NOT FOUND", 0, 1)</f>
        <v>3020.7010416679373</v>
      </c>
      <c r="H102" s="8" cm="1">
        <f t="array" aca="1" ref="H102" ca="1">_xlfn.XLOOKUP(Table11[[#This Row],[Admin2PCODE]], tblPiNAnalysis[Admin2PCODE], INDIRECT("tblPiNAnalysis[" &amp; Table11[[#Headers],[SAL]] &amp; "]"), "NOT FOUND", 0, 1)</f>
        <v>22400</v>
      </c>
      <c r="I102" s="8" cm="1">
        <f t="array" aca="1" ref="I102" ca="1">_xlfn.XLOOKUP(Table11[[#This Row],[Admin2PCODE]], tblPiNAnalysis[Admin2PCODE], INDIRECT("tblPiNAnalysis[" &amp; Table11[[#Headers],[EDU]] &amp; "]"), "NOT FOUND", 0, 1)</f>
        <v>2224.6410759086475</v>
      </c>
      <c r="J102" s="8" cm="1">
        <f t="array" aca="1" ref="J102" ca="1">_xlfn.XLOOKUP(Table11[[#This Row],[Admin2PCODE]], tblPiNAnalysis[Admin2PCODE], INDIRECT("tblPiNAnalysis[" &amp; Table11[[#Headers],[PRO]] &amp; "]"), "NOT FOUND", 0, 1)</f>
        <v>6507.468808159284</v>
      </c>
      <c r="K102" s="8" cm="1">
        <f t="array" aca="1" ref="K102" ca="1">_xlfn.XLOOKUP(Table11[[#This Row],[Admin2PCODE]], tblPiNAnalysis[Admin2PCODE], INDIRECT("tblPiNAnalysis[" &amp; Table11[[#Headers],[ASH]] &amp; "]"), "NOT FOUND", 0, 1)</f>
        <v>16350</v>
      </c>
      <c r="L102" s="8" cm="1">
        <f t="array" aca="1" ref="L102" ca="1">_xlfn.XLOOKUP(Table11[[#This Row],[Admin2PCODE]], tblPiNAnalysis[Admin2PCODE], INDIRECT("tblPiNAnalysis[" &amp; Table11[[#Headers],[NNA]] &amp; "]"), "NOT FOUND", 0, 1)</f>
        <v>2082.3900186109709</v>
      </c>
      <c r="M102" s="8" cm="1">
        <f t="array" aca="1" ref="M102" ca="1">_xlfn.XLOOKUP(Table11[[#This Row],[Admin2PCODE]], tblPiNAnalysis[Admin2PCODE], INDIRECT("tblPiNAnalysis[" &amp; Table11[[#Headers],[VBG]] &amp; "]"), "NOT FOUND", 0, 1)</f>
        <v>2277.6140828557491</v>
      </c>
      <c r="N102" s="8" cm="1">
        <f t="array" aca="1" ref="N102" ca="1">_xlfn.XLOOKUP(Table11[[#This Row],[Admin2PCODE]], tblPiNAnalysis[Admin2PCODE], INDIRECT("tblPiNAnalysis[" &amp; Table11[[#Headers],[PiN más alto]] &amp; "]"), "NOT FOUND", 0, 1)</f>
        <v>22400</v>
      </c>
      <c r="O102" t="str" cm="1">
        <f t="array" aca="1" ref="O102" ca="1">_xlfn.XLOOKUP(Table11[[#This Row],[Admin2PCODE]], tblPiNAnalysis[Admin2PCODE], INDIRECT("tblPiNAnalysis[" &amp; Table11[[#Headers],[Sectores más altos]] &amp; "]"), "NOT FOUND", 0, 1)</f>
        <v>SAL</v>
      </c>
      <c r="P102" cm="1">
        <f t="array" ref="P102">_xlfn.XLOOKUP(Table11[[#This Row],[Admin2PCODE]], tblPiNAnalysis[Admin2PCODE], tblPiNAnalysis[Severidad], "NOT FOUND", 0, 1)</f>
        <v>5</v>
      </c>
      <c r="Q102" s="318">
        <v>0.65384615384615385</v>
      </c>
      <c r="R102" s="318">
        <v>0.54901960784313708</v>
      </c>
      <c r="S102" s="318">
        <v>0.35897435897435886</v>
      </c>
      <c r="T102">
        <v>0</v>
      </c>
      <c r="W102">
        <f>_xlfn.XLOOKUP(Table11[[#This Row],[Admin2PCODE]],tblSeverityAnalysis[Admin 2 Código P],tblSeverityAnalysis[PRO],0,0)</f>
        <v>4</v>
      </c>
      <c r="Y102">
        <v>0</v>
      </c>
      <c r="Z102">
        <v>6.95</v>
      </c>
      <c r="AA102">
        <f t="shared" si="1"/>
        <v>7</v>
      </c>
    </row>
    <row r="103" spans="1:27">
      <c r="A103" t="s">
        <v>306</v>
      </c>
      <c r="B103" t="s">
        <v>307</v>
      </c>
      <c r="C103" s="42" t="s">
        <v>310</v>
      </c>
      <c r="D103" t="s">
        <v>311</v>
      </c>
      <c r="E103" s="8" cm="1">
        <f t="array" aca="1" ref="E103" ca="1">_xlfn.XLOOKUP(Table11[[#This Row],[Admin2PCODE]], tblPiNAnalysis[Admin2PCODE], INDIRECT("tblPiNAnalysis[" &amp; Table11[[#Headers],[Población]] &amp; "]"), "NOT FOUND", 0, 1)</f>
        <v>30221</v>
      </c>
      <c r="F103" s="8" cm="1">
        <f t="array" aca="1" ref="F103" ca="1">_xlfn.XLOOKUP(Table11[[#This Row],[Admin2PCODE]], tblPiNAnalysis[Admin2PCODE], INDIRECT("tblPiNAnalysis[" &amp; Table11[[#Headers],[SAMV]] &amp; "]"), "NOT FOUND", 0, 1)</f>
        <v>7524</v>
      </c>
      <c r="G103" s="8" cm="1">
        <f t="array" aca="1" ref="G103" ca="1">_xlfn.XLOOKUP(Table11[[#This Row],[Admin2PCODE]], tblPiNAnalysis[Admin2PCODE], INDIRECT("tblPiNAnalysis[" &amp; Table11[[#Headers],[NUT]] &amp; "]"), "NOT FOUND", 0, 1)</f>
        <v>1153.0693155530209</v>
      </c>
      <c r="H103" s="8" cm="1">
        <f t="array" aca="1" ref="H103" ca="1">_xlfn.XLOOKUP(Table11[[#This Row],[Admin2PCODE]], tblPiNAnalysis[Admin2PCODE], INDIRECT("tblPiNAnalysis[" &amp; Table11[[#Headers],[SAL]] &amp; "]"), "NOT FOUND", 0, 1)</f>
        <v>11030.665000000001</v>
      </c>
      <c r="I103" s="8" cm="1">
        <f t="array" aca="1" ref="I103" ca="1">_xlfn.XLOOKUP(Table11[[#This Row],[Admin2PCODE]], tblPiNAnalysis[Admin2PCODE], INDIRECT("tblPiNAnalysis[" &amp; Table11[[#Headers],[EDU]] &amp; "]"), "NOT FOUND", 0, 1)</f>
        <v>1694.8917954765736</v>
      </c>
      <c r="J103" s="8" cm="1">
        <f t="array" aca="1" ref="J103" ca="1">_xlfn.XLOOKUP(Table11[[#This Row],[Admin2PCODE]], tblPiNAnalysis[Admin2PCODE], INDIRECT("tblPiNAnalysis[" &amp; Table11[[#Headers],[PRO]] &amp; "]"), "NOT FOUND", 0, 1)</f>
        <v>7216.9620128947436</v>
      </c>
      <c r="K103" s="8" cm="1">
        <f t="array" aca="1" ref="K103" ca="1">_xlfn.XLOOKUP(Table11[[#This Row],[Admin2PCODE]], tblPiNAnalysis[Admin2PCODE], INDIRECT("tblPiNAnalysis[" &amp; Table11[[#Headers],[ASH]] &amp; "]"), "NOT FOUND", 0, 1)</f>
        <v>18132.599999999999</v>
      </c>
      <c r="L103" s="8" cm="1">
        <f t="array" aca="1" ref="L103" ca="1">_xlfn.XLOOKUP(Table11[[#This Row],[Admin2PCODE]], tblPiNAnalysis[Admin2PCODE], INDIRECT("tblPiNAnalysis[" &amp; Table11[[#Headers],[NNA]] &amp; "]"), "NOT FOUND", 0, 1)</f>
        <v>2309.4278441263177</v>
      </c>
      <c r="M103" s="8" cm="1">
        <f t="array" aca="1" ref="M103" ca="1">_xlfn.XLOOKUP(Table11[[#This Row],[Admin2PCODE]], tblPiNAnalysis[Admin2PCODE], INDIRECT("tblPiNAnalysis[" &amp; Table11[[#Headers],[VBG]] &amp; "]"), "NOT FOUND", 0, 1)</f>
        <v>2525.9367045131603</v>
      </c>
      <c r="N103" s="8" cm="1">
        <f t="array" aca="1" ref="N103" ca="1">_xlfn.XLOOKUP(Table11[[#This Row],[Admin2PCODE]], tblPiNAnalysis[Admin2PCODE], INDIRECT("tblPiNAnalysis[" &amp; Table11[[#Headers],[PiN más alto]] &amp; "]"), "NOT FOUND", 0, 1)</f>
        <v>18132.599999999999</v>
      </c>
      <c r="O103" t="str" cm="1">
        <f t="array" aca="1" ref="O103" ca="1">_xlfn.XLOOKUP(Table11[[#This Row],[Admin2PCODE]], tblPiNAnalysis[Admin2PCODE], INDIRECT("tblPiNAnalysis[" &amp; Table11[[#Headers],[Sectores más altos]] &amp; "]"), "NOT FOUND", 0, 1)</f>
        <v>ASH</v>
      </c>
      <c r="P103" cm="1">
        <f t="array" ref="P103">_xlfn.XLOOKUP(Table11[[#This Row],[Admin2PCODE]], tblPiNAnalysis[Admin2PCODE], tblPiNAnalysis[Severidad], "NOT FOUND", 0, 1)</f>
        <v>4</v>
      </c>
      <c r="Q103" s="318">
        <v>0.72727272727272729</v>
      </c>
      <c r="R103" s="318">
        <v>0.45138888888888867</v>
      </c>
      <c r="S103" s="318">
        <v>0.32828282828282812</v>
      </c>
      <c r="T103">
        <v>0</v>
      </c>
      <c r="W103">
        <f>_xlfn.XLOOKUP(Table11[[#This Row],[Admin2PCODE]],tblSeverityAnalysis[Admin 2 Código P],tblSeverityAnalysis[PRO],0,0)</f>
        <v>4</v>
      </c>
      <c r="Y103">
        <v>0</v>
      </c>
      <c r="Z103">
        <v>5.3</v>
      </c>
      <c r="AA103">
        <f t="shared" si="1"/>
        <v>5</v>
      </c>
    </row>
    <row r="104" spans="1:27">
      <c r="A104" t="s">
        <v>306</v>
      </c>
      <c r="B104" t="s">
        <v>307</v>
      </c>
      <c r="C104" s="42" t="s">
        <v>312</v>
      </c>
      <c r="D104" t="s">
        <v>313</v>
      </c>
      <c r="E104" s="8" cm="1">
        <f t="array" aca="1" ref="E104" ca="1">_xlfn.XLOOKUP(Table11[[#This Row],[Admin2PCODE]], tblPiNAnalysis[Admin2PCODE], INDIRECT("tblPiNAnalysis[" &amp; Table11[[#Headers],[Población]] &amp; "]"), "NOT FOUND", 0, 1)</f>
        <v>6582</v>
      </c>
      <c r="F104" s="8" cm="1">
        <f t="array" aca="1" ref="F104" ca="1">_xlfn.XLOOKUP(Table11[[#This Row],[Admin2PCODE]], tblPiNAnalysis[Admin2PCODE], INDIRECT("tblPiNAnalysis[" &amp; Table11[[#Headers],[SAMV]] &amp; "]"), "NOT FOUND", 0, 1)</f>
        <v>2808</v>
      </c>
      <c r="G104" s="8" cm="1">
        <f t="array" aca="1" ref="G104" ca="1">_xlfn.XLOOKUP(Table11[[#This Row],[Admin2PCODE]], tblPiNAnalysis[Admin2PCODE], INDIRECT("tblPiNAnalysis[" &amp; Table11[[#Headers],[NUT]] &amp; "]"), "NOT FOUND", 0, 1)</f>
        <v>772.55810387521024</v>
      </c>
      <c r="H104" s="8" cm="1">
        <f t="array" aca="1" ref="H104" ca="1">_xlfn.XLOOKUP(Table11[[#This Row],[Admin2PCODE]], tblPiNAnalysis[Admin2PCODE], INDIRECT("tblPiNAnalysis[" &amp; Table11[[#Headers],[SAL]] &amp; "]"), "NOT FOUND", 0, 1)</f>
        <v>2800</v>
      </c>
      <c r="I104" s="8" cm="1">
        <f t="array" aca="1" ref="I104" ca="1">_xlfn.XLOOKUP(Table11[[#This Row],[Admin2PCODE]], tblPiNAnalysis[Admin2PCODE], INDIRECT("tblPiNAnalysis[" &amp; Table11[[#Headers],[EDU]] &amp; "]"), "NOT FOUND", 0, 1)</f>
        <v>1642.1886787801559</v>
      </c>
      <c r="J104" s="8" cm="1">
        <f t="array" aca="1" ref="J104" ca="1">_xlfn.XLOOKUP(Table11[[#This Row],[Admin2PCODE]], tblPiNAnalysis[Admin2PCODE], INDIRECT("tblPiNAnalysis[" &amp; Table11[[#Headers],[PRO]] &amp; "]"), "NOT FOUND", 0, 1)</f>
        <v>1571.8223741396118</v>
      </c>
      <c r="K104" s="8" cm="1">
        <f t="array" aca="1" ref="K104" ca="1">_xlfn.XLOOKUP(Table11[[#This Row],[Admin2PCODE]], tblPiNAnalysis[Admin2PCODE], INDIRECT("tblPiNAnalysis[" &amp; Table11[[#Headers],[ASH]] &amp; "]"), "NOT FOUND", 0, 1)</f>
        <v>3949.2</v>
      </c>
      <c r="L104" s="8" cm="1">
        <f t="array" aca="1" ref="L104" ca="1">_xlfn.XLOOKUP(Table11[[#This Row],[Admin2PCODE]], tblPiNAnalysis[Admin2PCODE], INDIRECT("tblPiNAnalysis[" &amp; Table11[[#Headers],[NNA]] &amp; "]"), "NOT FOUND", 0, 1)</f>
        <v>502.98315972467583</v>
      </c>
      <c r="M104" s="8" cm="1">
        <f t="array" aca="1" ref="M104" ca="1">_xlfn.XLOOKUP(Table11[[#This Row],[Admin2PCODE]], tblPiNAnalysis[Admin2PCODE], INDIRECT("tblPiNAnalysis[" &amp; Table11[[#Headers],[VBG]] &amp; "]"), "NOT FOUND", 0, 1)</f>
        <v>550.13783094886412</v>
      </c>
      <c r="N104" s="8" cm="1">
        <f t="array" aca="1" ref="N104" ca="1">_xlfn.XLOOKUP(Table11[[#This Row],[Admin2PCODE]], tblPiNAnalysis[Admin2PCODE], INDIRECT("tblPiNAnalysis[" &amp; Table11[[#Headers],[PiN más alto]] &amp; "]"), "NOT FOUND", 0, 1)</f>
        <v>3949.2</v>
      </c>
      <c r="O104" t="str" cm="1">
        <f t="array" aca="1" ref="O104" ca="1">_xlfn.XLOOKUP(Table11[[#This Row],[Admin2PCODE]], tblPiNAnalysis[Admin2PCODE], INDIRECT("tblPiNAnalysis[" &amp; Table11[[#Headers],[Sectores más altos]] &amp; "]"), "NOT FOUND", 0, 1)</f>
        <v>ASH</v>
      </c>
      <c r="P104" cm="1">
        <f t="array" ref="P104">_xlfn.XLOOKUP(Table11[[#This Row],[Admin2PCODE]], tblPiNAnalysis[Admin2PCODE], tblPiNAnalysis[Severidad], "NOT FOUND", 0, 1)</f>
        <v>4</v>
      </c>
      <c r="Q104" s="318">
        <v>1</v>
      </c>
      <c r="R104" s="318">
        <v>0.80740740740740713</v>
      </c>
      <c r="S104" s="318">
        <v>0.80740740740740713</v>
      </c>
      <c r="T104">
        <v>0</v>
      </c>
      <c r="W104">
        <f>_xlfn.XLOOKUP(Table11[[#This Row],[Admin2PCODE]],tblSeverityAnalysis[Admin 2 Código P],tblSeverityAnalysis[PRO],0,0)</f>
        <v>4</v>
      </c>
      <c r="Y104">
        <v>0</v>
      </c>
      <c r="Z104">
        <v>3.75</v>
      </c>
      <c r="AA104">
        <f t="shared" si="1"/>
        <v>4</v>
      </c>
    </row>
    <row r="105" spans="1:27">
      <c r="A105" t="s">
        <v>306</v>
      </c>
      <c r="B105" t="s">
        <v>307</v>
      </c>
      <c r="C105" s="42" t="s">
        <v>314</v>
      </c>
      <c r="D105" t="s">
        <v>315</v>
      </c>
      <c r="E105" s="8" cm="1">
        <f t="array" aca="1" ref="E105" ca="1">_xlfn.XLOOKUP(Table11[[#This Row],[Admin2PCODE]], tblPiNAnalysis[Admin2PCODE], INDIRECT("tblPiNAnalysis[" &amp; Table11[[#Headers],[Población]] &amp; "]"), "NOT FOUND", 0, 1)</f>
        <v>105202</v>
      </c>
      <c r="F105" s="8" cm="1">
        <f t="array" aca="1" ref="F105" ca="1">_xlfn.XLOOKUP(Table11[[#This Row],[Admin2PCODE]], tblPiNAnalysis[Admin2PCODE], INDIRECT("tblPiNAnalysis[" &amp; Table11[[#Headers],[SAMV]] &amp; "]"), "NOT FOUND", 0, 1)</f>
        <v>41026</v>
      </c>
      <c r="G105" s="8" cm="1">
        <f t="array" aca="1" ref="G105" ca="1">_xlfn.XLOOKUP(Table11[[#This Row],[Admin2PCODE]], tblPiNAnalysis[Admin2PCODE], INDIRECT("tblPiNAnalysis[" &amp; Table11[[#Headers],[NUT]] &amp; "]"), "NOT FOUND", 0, 1)</f>
        <v>5893.3736835116115</v>
      </c>
      <c r="H105" s="8" cm="1">
        <f t="array" aca="1" ref="H105" ca="1">_xlfn.XLOOKUP(Table11[[#This Row],[Admin2PCODE]], tblPiNAnalysis[Admin2PCODE], INDIRECT("tblPiNAnalysis[" &amp; Table11[[#Headers],[SAL]] &amp; "]"), "NOT FOUND", 0, 1)</f>
        <v>43800</v>
      </c>
      <c r="I105" s="8" cm="1">
        <f t="array" aca="1" ref="I105" ca="1">_xlfn.XLOOKUP(Table11[[#This Row],[Admin2PCODE]], tblPiNAnalysis[Admin2PCODE], INDIRECT("tblPiNAnalysis[" &amp; Table11[[#Headers],[EDU]] &amp; "]"), "NOT FOUND", 0, 1)</f>
        <v>18662.554054976968</v>
      </c>
      <c r="J105" s="8" cm="1">
        <f t="array" aca="1" ref="J105" ca="1">_xlfn.XLOOKUP(Table11[[#This Row],[Admin2PCODE]], tblPiNAnalysis[Admin2PCODE], INDIRECT("tblPiNAnalysis[" &amp; Table11[[#Headers],[PRO]] &amp; "]"), "NOT FOUND", 0, 1)</f>
        <v>25122.889304806355</v>
      </c>
      <c r="K105" s="8" cm="1">
        <f t="array" aca="1" ref="K105" ca="1">_xlfn.XLOOKUP(Table11[[#This Row],[Admin2PCODE]], tblPiNAnalysis[Admin2PCODE], INDIRECT("tblPiNAnalysis[" &amp; Table11[[#Headers],[ASH]] &amp; "]"), "NOT FOUND", 0, 1)</f>
        <v>14202.27</v>
      </c>
      <c r="L105" s="8" cm="1">
        <f t="array" aca="1" ref="L105" ca="1">_xlfn.XLOOKUP(Table11[[#This Row],[Admin2PCODE]], tblPiNAnalysis[Admin2PCODE], INDIRECT("tblPiNAnalysis[" &amp; Table11[[#Headers],[NNA]] &amp; "]"), "NOT FOUND", 0, 1)</f>
        <v>8039.3245775380328</v>
      </c>
      <c r="M105" s="8" cm="1">
        <f t="array" aca="1" ref="M105" ca="1">_xlfn.XLOOKUP(Table11[[#This Row],[Admin2PCODE]], tblPiNAnalysis[Admin2PCODE], INDIRECT("tblPiNAnalysis[" &amp; Table11[[#Headers],[VBG]] &amp; "]"), "NOT FOUND", 0, 1)</f>
        <v>8793.0112566822227</v>
      </c>
      <c r="N105" s="8" cm="1">
        <f t="array" aca="1" ref="N105" ca="1">_xlfn.XLOOKUP(Table11[[#This Row],[Admin2PCODE]], tblPiNAnalysis[Admin2PCODE], INDIRECT("tblPiNAnalysis[" &amp; Table11[[#Headers],[PiN más alto]] &amp; "]"), "NOT FOUND", 0, 1)</f>
        <v>43800</v>
      </c>
      <c r="O105" t="str" cm="1">
        <f t="array" aca="1" ref="O105" ca="1">_xlfn.XLOOKUP(Table11[[#This Row],[Admin2PCODE]], tblPiNAnalysis[Admin2PCODE], INDIRECT("tblPiNAnalysis[" &amp; Table11[[#Headers],[Sectores más altos]] &amp; "]"), "NOT FOUND", 0, 1)</f>
        <v>SAL</v>
      </c>
      <c r="P105" cm="1">
        <f t="array" ref="P105">_xlfn.XLOOKUP(Table11[[#This Row],[Admin2PCODE]], tblPiNAnalysis[Admin2PCODE], tblPiNAnalysis[Severidad], "NOT FOUND", 0, 1)</f>
        <v>3</v>
      </c>
      <c r="Q105" s="318">
        <v>0.38095238095238093</v>
      </c>
      <c r="R105" s="318">
        <v>0.44097222222222215</v>
      </c>
      <c r="S105" s="318">
        <v>0.16798941798941797</v>
      </c>
      <c r="T105">
        <v>0</v>
      </c>
      <c r="W105">
        <f>_xlfn.XLOOKUP(Table11[[#This Row],[Admin2PCODE]],tblSeverityAnalysis[Admin 2 Código P],tblSeverityAnalysis[PRO],0,0)</f>
        <v>4</v>
      </c>
      <c r="Y105">
        <v>0</v>
      </c>
      <c r="Z105">
        <v>9.5500000000000007</v>
      </c>
      <c r="AA105">
        <f t="shared" si="1"/>
        <v>10</v>
      </c>
    </row>
    <row r="106" spans="1:27">
      <c r="A106" t="s">
        <v>316</v>
      </c>
      <c r="B106" t="s">
        <v>317</v>
      </c>
      <c r="C106" s="42" t="s">
        <v>318</v>
      </c>
      <c r="D106" t="s">
        <v>319</v>
      </c>
      <c r="E106" s="8" cm="1">
        <f t="array" aca="1" ref="E106" ca="1">_xlfn.XLOOKUP(Table11[[#This Row],[Admin2PCODE]], tblPiNAnalysis[Admin2PCODE], INDIRECT("tblPiNAnalysis[" &amp; Table11[[#Headers],[Población]] &amp; "]"), "NOT FOUND", 0, 1)</f>
        <v>19478</v>
      </c>
      <c r="F106" s="8" cm="1">
        <f t="array" aca="1" ref="F106" ca="1">_xlfn.XLOOKUP(Table11[[#This Row],[Admin2PCODE]], tblPiNAnalysis[Admin2PCODE], INDIRECT("tblPiNAnalysis[" &amp; Table11[[#Headers],[SAMV]] &amp; "]"), "NOT FOUND", 0, 1)</f>
        <v>5681</v>
      </c>
      <c r="G106" s="8" cm="1">
        <f t="array" aca="1" ref="G106" ca="1">_xlfn.XLOOKUP(Table11[[#This Row],[Admin2PCODE]], tblPiNAnalysis[Admin2PCODE], INDIRECT("tblPiNAnalysis[" &amp; Table11[[#Headers],[NUT]] &amp; "]"), "NOT FOUND", 0, 1)</f>
        <v>946.55745059070625</v>
      </c>
      <c r="H106" s="8" cm="1">
        <f t="array" aca="1" ref="H106" ca="1">_xlfn.XLOOKUP(Table11[[#This Row],[Admin2PCODE]], tblPiNAnalysis[Admin2PCODE], INDIRECT("tblPiNAnalysis[" &amp; Table11[[#Headers],[SAL]] &amp; "]"), "NOT FOUND", 0, 1)</f>
        <v>9100</v>
      </c>
      <c r="I106" s="8" cm="1">
        <f t="array" aca="1" ref="I106" ca="1">_xlfn.XLOOKUP(Table11[[#This Row],[Admin2PCODE]], tblPiNAnalysis[Admin2PCODE], INDIRECT("tblPiNAnalysis[" &amp; Table11[[#Headers],[EDU]] &amp; "]"), "NOT FOUND", 0, 1)</f>
        <v>1729.9533770724106</v>
      </c>
      <c r="J106" s="8" cm="1">
        <f t="array" aca="1" ref="J106" ca="1">_xlfn.XLOOKUP(Table11[[#This Row],[Admin2PCODE]], tblPiNAnalysis[Admin2PCODE], INDIRECT("tblPiNAnalysis[" &amp; Table11[[#Headers],[PRO]] &amp; "]"), "NOT FOUND", 0, 1)</f>
        <v>3884.6496349898516</v>
      </c>
      <c r="K106" s="8" cm="1">
        <f t="array" aca="1" ref="K106" ca="1">_xlfn.XLOOKUP(Table11[[#This Row],[Admin2PCODE]], tblPiNAnalysis[Admin2PCODE], INDIRECT("tblPiNAnalysis[" &amp; Table11[[#Headers],[ASH]] &amp; "]"), "NOT FOUND", 0, 1)</f>
        <v>2629.53</v>
      </c>
      <c r="L106" s="8" cm="1">
        <f t="array" aca="1" ref="L106" ca="1">_xlfn.XLOOKUP(Table11[[#This Row],[Admin2PCODE]], tblPiNAnalysis[Admin2PCODE], INDIRECT("tblPiNAnalysis[" &amp; Table11[[#Headers],[NNA]] &amp; "]"), "NOT FOUND", 0, 1)</f>
        <v>1243.0878831967525</v>
      </c>
      <c r="M106" s="8" cm="1">
        <f t="array" aca="1" ref="M106" ca="1">_xlfn.XLOOKUP(Table11[[#This Row],[Admin2PCODE]], tblPiNAnalysis[Admin2PCODE], INDIRECT("tblPiNAnalysis[" &amp; Table11[[#Headers],[VBG]] &amp; "]"), "NOT FOUND", 0, 1)</f>
        <v>1359.6273722464477</v>
      </c>
      <c r="N106" s="8" cm="1">
        <f t="array" aca="1" ref="N106" ca="1">_xlfn.XLOOKUP(Table11[[#This Row],[Admin2PCODE]], tblPiNAnalysis[Admin2PCODE], INDIRECT("tblPiNAnalysis[" &amp; Table11[[#Headers],[PiN más alto]] &amp; "]"), "NOT FOUND", 0, 1)</f>
        <v>9100</v>
      </c>
      <c r="O106" t="str" cm="1">
        <f t="array" aca="1" ref="O106" ca="1">_xlfn.XLOOKUP(Table11[[#This Row],[Admin2PCODE]], tblPiNAnalysis[Admin2PCODE], INDIRECT("tblPiNAnalysis[" &amp; Table11[[#Headers],[Sectores más altos]] &amp; "]"), "NOT FOUND", 0, 1)</f>
        <v>SAL</v>
      </c>
      <c r="P106" cm="1">
        <f t="array" ref="P106">_xlfn.XLOOKUP(Table11[[#This Row],[Admin2PCODE]], tblPiNAnalysis[Admin2PCODE], tblPiNAnalysis[Severidad], "NOT FOUND", 0, 1)</f>
        <v>3</v>
      </c>
      <c r="Q106" s="318">
        <v>0.5714285714285714</v>
      </c>
      <c r="R106" s="318">
        <v>0.5347222222222221</v>
      </c>
      <c r="S106" s="318">
        <v>0.30555555555555547</v>
      </c>
      <c r="T106">
        <v>0</v>
      </c>
      <c r="W106">
        <f>_xlfn.XLOOKUP(Table11[[#This Row],[Admin2PCODE]],tblSeverityAnalysis[Admin 2 Código P],tblSeverityAnalysis[PRO],0,0)</f>
        <v>3</v>
      </c>
      <c r="Y106">
        <v>0</v>
      </c>
      <c r="Z106">
        <v>3.8</v>
      </c>
      <c r="AA106">
        <f t="shared" si="1"/>
        <v>4</v>
      </c>
    </row>
    <row r="107" spans="1:27">
      <c r="A107" t="s">
        <v>316</v>
      </c>
      <c r="B107" t="s">
        <v>317</v>
      </c>
      <c r="C107" s="42" t="s">
        <v>180</v>
      </c>
      <c r="D107" t="s">
        <v>320</v>
      </c>
      <c r="E107" s="8" cm="1">
        <f t="array" aca="1" ref="E107" ca="1">_xlfn.XLOOKUP(Table11[[#This Row],[Admin2PCODE]], tblPiNAnalysis[Admin2PCODE], INDIRECT("tblPiNAnalysis[" &amp; Table11[[#Headers],[Población]] &amp; "]"), "NOT FOUND", 0, 1)</f>
        <v>8733</v>
      </c>
      <c r="F107" s="8" cm="1">
        <f t="array" aca="1" ref="F107" ca="1">_xlfn.XLOOKUP(Table11[[#This Row],[Admin2PCODE]], tblPiNAnalysis[Admin2PCODE], INDIRECT("tblPiNAnalysis[" &amp; Table11[[#Headers],[SAMV]] &amp; "]"), "NOT FOUND", 0, 1)</f>
        <v>1456</v>
      </c>
      <c r="G107" s="8" cm="1">
        <f t="array" aca="1" ref="G107" ca="1">_xlfn.XLOOKUP(Table11[[#This Row],[Admin2PCODE]], tblPiNAnalysis[Admin2PCODE], INDIRECT("tblPiNAnalysis[" &amp; Table11[[#Headers],[NUT]] &amp; "]"), "NOT FOUND", 0, 1)</f>
        <v>283.34738935940982</v>
      </c>
      <c r="H107" s="8" cm="1">
        <f t="array" aca="1" ref="H107" ca="1">_xlfn.XLOOKUP(Table11[[#This Row],[Admin2PCODE]], tblPiNAnalysis[Admin2PCODE], INDIRECT("tblPiNAnalysis[" &amp; Table11[[#Headers],[SAL]] &amp; "]"), "NOT FOUND", 0, 1)</f>
        <v>7700</v>
      </c>
      <c r="I107" s="8" cm="1">
        <f t="array" aca="1" ref="I107" ca="1">_xlfn.XLOOKUP(Table11[[#This Row],[Admin2PCODE]], tblPiNAnalysis[Admin2PCODE], INDIRECT("tblPiNAnalysis[" &amp; Table11[[#Headers],[EDU]] &amp; "]"), "NOT FOUND", 0, 1)</f>
        <v>597.02342153398752</v>
      </c>
      <c r="J107" s="8" cm="1">
        <f t="array" aca="1" ref="J107" ca="1">_xlfn.XLOOKUP(Table11[[#This Row],[Admin2PCODE]], tblPiNAnalysis[Admin2PCODE], INDIRECT("tblPiNAnalysis[" &amp; Table11[[#Headers],[PRO]] &amp; "]"), "NOT FOUND", 0, 1)</f>
        <v>1741.690382090891</v>
      </c>
      <c r="K107" s="8" cm="1">
        <f t="array" aca="1" ref="K107" ca="1">_xlfn.XLOOKUP(Table11[[#This Row],[Admin2PCODE]], tblPiNAnalysis[Admin2PCODE], INDIRECT("tblPiNAnalysis[" &amp; Table11[[#Headers],[ASH]] &amp; "]"), "NOT FOUND", 0, 1)</f>
        <v>1178.9549999999999</v>
      </c>
      <c r="L107" s="8" cm="1">
        <f t="array" aca="1" ref="L107" ca="1">_xlfn.XLOOKUP(Table11[[#This Row],[Admin2PCODE]], tblPiNAnalysis[Admin2PCODE], INDIRECT("tblPiNAnalysis[" &amp; Table11[[#Headers],[NNA]] &amp; "]"), "NOT FOUND", 0, 1)</f>
        <v>557.34092226908513</v>
      </c>
      <c r="M107" s="8" cm="1">
        <f t="array" aca="1" ref="M107" ca="1">_xlfn.XLOOKUP(Table11[[#This Row],[Admin2PCODE]], tblPiNAnalysis[Admin2PCODE], INDIRECT("tblPiNAnalysis[" &amp; Table11[[#Headers],[VBG]] &amp; "]"), "NOT FOUND", 0, 1)</f>
        <v>609.59163373181184</v>
      </c>
      <c r="N107" s="8" cm="1">
        <f t="array" aca="1" ref="N107" ca="1">_xlfn.XLOOKUP(Table11[[#This Row],[Admin2PCODE]], tblPiNAnalysis[Admin2PCODE], INDIRECT("tblPiNAnalysis[" &amp; Table11[[#Headers],[PiN más alto]] &amp; "]"), "NOT FOUND", 0, 1)</f>
        <v>7700</v>
      </c>
      <c r="O107" t="str" cm="1">
        <f t="array" aca="1" ref="O107" ca="1">_xlfn.XLOOKUP(Table11[[#This Row],[Admin2PCODE]], tblPiNAnalysis[Admin2PCODE], INDIRECT("tblPiNAnalysis[" &amp; Table11[[#Headers],[Sectores más altos]] &amp; "]"), "NOT FOUND", 0, 1)</f>
        <v>SAL</v>
      </c>
      <c r="P107" cm="1">
        <f t="array" ref="P107">_xlfn.XLOOKUP(Table11[[#This Row],[Admin2PCODE]], tblPiNAnalysis[Admin2PCODE], tblPiNAnalysis[Severidad], "NOT FOUND", 0, 1)</f>
        <v>3</v>
      </c>
      <c r="Q107" s="318">
        <v>0.8</v>
      </c>
      <c r="R107" s="318">
        <v>0.39814814814814808</v>
      </c>
      <c r="S107" s="318">
        <v>0.31851851851851848</v>
      </c>
      <c r="T107">
        <v>0</v>
      </c>
      <c r="W107">
        <f>_xlfn.XLOOKUP(Table11[[#This Row],[Admin2PCODE]],tblSeverityAnalysis[Admin 2 Código P],tblSeverityAnalysis[PRO],0,0)</f>
        <v>3</v>
      </c>
      <c r="Y107">
        <v>6</v>
      </c>
      <c r="Z107">
        <v>0</v>
      </c>
      <c r="AA107">
        <f t="shared" si="1"/>
        <v>0</v>
      </c>
    </row>
    <row r="108" spans="1:27">
      <c r="A108" t="s">
        <v>316</v>
      </c>
      <c r="B108" t="s">
        <v>317</v>
      </c>
      <c r="C108" s="42" t="s">
        <v>321</v>
      </c>
      <c r="D108" t="s">
        <v>322</v>
      </c>
      <c r="E108" s="8" cm="1">
        <f t="array" aca="1" ref="E108" ca="1">_xlfn.XLOOKUP(Table11[[#This Row],[Admin2PCODE]], tblPiNAnalysis[Admin2PCODE], INDIRECT("tblPiNAnalysis[" &amp; Table11[[#Headers],[Población]] &amp; "]"), "NOT FOUND", 0, 1)</f>
        <v>23419</v>
      </c>
      <c r="F108" s="8" cm="1">
        <f t="array" aca="1" ref="F108" ca="1">_xlfn.XLOOKUP(Table11[[#This Row],[Admin2PCODE]], tblPiNAnalysis[Admin2PCODE], INDIRECT("tblPiNAnalysis[" &amp; Table11[[#Headers],[SAMV]] &amp; "]"), "NOT FOUND", 0, 1)</f>
        <v>5074</v>
      </c>
      <c r="G108" s="8" cm="1">
        <f t="array" aca="1" ref="G108" ca="1">_xlfn.XLOOKUP(Table11[[#This Row],[Admin2PCODE]], tblPiNAnalysis[Admin2PCODE], INDIRECT("tblPiNAnalysis[" &amp; Table11[[#Headers],[NUT]] &amp; "]"), "NOT FOUND", 0, 1)</f>
        <v>1100.3675741232016</v>
      </c>
      <c r="H108" s="8" cm="1">
        <f t="array" aca="1" ref="H108" ca="1">_xlfn.XLOOKUP(Table11[[#This Row],[Admin2PCODE]], tblPiNAnalysis[Admin2PCODE], INDIRECT("tblPiNAnalysis[" &amp; Table11[[#Headers],[SAL]] &amp; "]"), "NOT FOUND", 0, 1)</f>
        <v>8547.9349999999995</v>
      </c>
      <c r="I108" s="8" cm="1">
        <f t="array" aca="1" ref="I108" ca="1">_xlfn.XLOOKUP(Table11[[#This Row],[Admin2PCODE]], tblPiNAnalysis[Admin2PCODE], INDIRECT("tblPiNAnalysis[" &amp; Table11[[#Headers],[EDU]] &amp; "]"), "NOT FOUND", 0, 1)</f>
        <v>2099.4869681318678</v>
      </c>
      <c r="J108" s="8" cm="1">
        <f t="array" aca="1" ref="J108" ca="1">_xlfn.XLOOKUP(Table11[[#This Row],[Admin2PCODE]], tblPiNAnalysis[Admin2PCODE], INDIRECT("tblPiNAnalysis[" &amp; Table11[[#Headers],[PRO]] &amp; "]"), "NOT FOUND", 0, 1)</f>
        <v>4670.634038496115</v>
      </c>
      <c r="K108" s="8" cm="1">
        <f t="array" aca="1" ref="K108" ca="1">_xlfn.XLOOKUP(Table11[[#This Row],[Admin2PCODE]], tblPiNAnalysis[Admin2PCODE], INDIRECT("tblPiNAnalysis[" &amp; Table11[[#Headers],[ASH]] &amp; "]"), "NOT FOUND", 0, 1)</f>
        <v>10538.550000000001</v>
      </c>
      <c r="L108" s="8" cm="1">
        <f t="array" aca="1" ref="L108" ca="1">_xlfn.XLOOKUP(Table11[[#This Row],[Admin2PCODE]], tblPiNAnalysis[Admin2PCODE], INDIRECT("tblPiNAnalysis[" &amp; Table11[[#Headers],[NNA]] &amp; "]"), "NOT FOUND", 0, 1)</f>
        <v>1494.6028923187569</v>
      </c>
      <c r="M108" s="8" cm="1">
        <f t="array" aca="1" ref="M108" ca="1">_xlfn.XLOOKUP(Table11[[#This Row],[Admin2PCODE]], tblPiNAnalysis[Admin2PCODE], INDIRECT("tblPiNAnalysis[" &amp; Table11[[#Headers],[VBG]] &amp; "]"), "NOT FOUND", 0, 1)</f>
        <v>1634.7219134736401</v>
      </c>
      <c r="N108" s="8" cm="1">
        <f t="array" aca="1" ref="N108" ca="1">_xlfn.XLOOKUP(Table11[[#This Row],[Admin2PCODE]], tblPiNAnalysis[Admin2PCODE], INDIRECT("tblPiNAnalysis[" &amp; Table11[[#Headers],[PiN más alto]] &amp; "]"), "NOT FOUND", 0, 1)</f>
        <v>10538.550000000001</v>
      </c>
      <c r="O108" t="str" cm="1">
        <f t="array" aca="1" ref="O108" ca="1">_xlfn.XLOOKUP(Table11[[#This Row],[Admin2PCODE]], tblPiNAnalysis[Admin2PCODE], INDIRECT("tblPiNAnalysis[" &amp; Table11[[#Headers],[Sectores más altos]] &amp; "]"), "NOT FOUND", 0, 1)</f>
        <v>ASH</v>
      </c>
      <c r="P108" cm="1">
        <f t="array" ref="P108">_xlfn.XLOOKUP(Table11[[#This Row],[Admin2PCODE]], tblPiNAnalysis[Admin2PCODE], tblPiNAnalysis[Severidad], "NOT FOUND", 0, 1)</f>
        <v>3</v>
      </c>
      <c r="Q108" s="318">
        <v>0.23076923076923078</v>
      </c>
      <c r="R108" s="318">
        <v>0.72222222222222199</v>
      </c>
      <c r="S108" s="318">
        <v>0.16666666666666663</v>
      </c>
      <c r="T108">
        <v>0</v>
      </c>
      <c r="W108">
        <f>_xlfn.XLOOKUP(Table11[[#This Row],[Admin2PCODE]],tblSeverityAnalysis[Admin 2 Código P],tblSeverityAnalysis[PRO],0,0)</f>
        <v>3</v>
      </c>
      <c r="Y108">
        <v>0</v>
      </c>
      <c r="Z108">
        <v>0</v>
      </c>
      <c r="AA108">
        <f t="shared" si="1"/>
        <v>0</v>
      </c>
    </row>
    <row r="109" spans="1:27">
      <c r="A109" t="s">
        <v>316</v>
      </c>
      <c r="B109" t="s">
        <v>317</v>
      </c>
      <c r="C109" s="42" t="s">
        <v>323</v>
      </c>
      <c r="D109" t="s">
        <v>324</v>
      </c>
      <c r="E109" s="8" cm="1">
        <f t="array" aca="1" ref="E109" ca="1">_xlfn.XLOOKUP(Table11[[#This Row],[Admin2PCODE]], tblPiNAnalysis[Admin2PCODE], INDIRECT("tblPiNAnalysis[" &amp; Table11[[#Headers],[Población]] &amp; "]"), "NOT FOUND", 0, 1)</f>
        <v>11110</v>
      </c>
      <c r="F109" s="8" cm="1">
        <f t="array" aca="1" ref="F109" ca="1">_xlfn.XLOOKUP(Table11[[#This Row],[Admin2PCODE]], tblPiNAnalysis[Admin2PCODE], INDIRECT("tblPiNAnalysis[" &amp; Table11[[#Headers],[SAMV]] &amp; "]"), "NOT FOUND", 0, 1)</f>
        <v>370</v>
      </c>
      <c r="G109" s="8" cm="1">
        <f t="array" aca="1" ref="G109" ca="1">_xlfn.XLOOKUP(Table11[[#This Row],[Admin2PCODE]], tblPiNAnalysis[Admin2PCODE], INDIRECT("tblPiNAnalysis[" &amp; Table11[[#Headers],[NUT]] &amp; "]"), "NOT FOUND", 0, 1)</f>
        <v>373.09920837778191</v>
      </c>
      <c r="H109" s="8" cm="1">
        <f t="array" aca="1" ref="H109" ca="1">_xlfn.XLOOKUP(Table11[[#This Row],[Admin2PCODE]], tblPiNAnalysis[Admin2PCODE], INDIRECT("tblPiNAnalysis[" &amp; Table11[[#Headers],[SAL]] &amp; "]"), "NOT FOUND", 0, 1)</f>
        <v>4055.15</v>
      </c>
      <c r="I109" s="8" cm="1">
        <f t="array" aca="1" ref="I109" ca="1">_xlfn.XLOOKUP(Table11[[#This Row],[Admin2PCODE]], tblPiNAnalysis[Admin2PCODE], INDIRECT("tblPiNAnalysis[" &amp; Table11[[#Headers],[EDU]] &amp; "]"), "NOT FOUND", 0, 1)</f>
        <v>364.77624849130399</v>
      </c>
      <c r="J109" s="8" cm="1">
        <f t="array" aca="1" ref="J109" ca="1">_xlfn.XLOOKUP(Table11[[#This Row],[Admin2PCODE]], tblPiNAnalysis[Admin2PCODE], INDIRECT("tblPiNAnalysis[" &amp; Table11[[#Headers],[PRO]] &amp; "]"), "NOT FOUND", 0, 1)</f>
        <v>2215.7540530207029</v>
      </c>
      <c r="K109" s="8" cm="1">
        <f t="array" aca="1" ref="K109" ca="1">_xlfn.XLOOKUP(Table11[[#This Row],[Admin2PCODE]], tblPiNAnalysis[Admin2PCODE], INDIRECT("tblPiNAnalysis[" &amp; Table11[[#Headers],[ASH]] &amp; "]"), "NOT FOUND", 0, 1)</f>
        <v>749.92499999999995</v>
      </c>
      <c r="L109" s="8" cm="1">
        <f t="array" aca="1" ref="L109" ca="1">_xlfn.XLOOKUP(Table11[[#This Row],[Admin2PCODE]], tblPiNAnalysis[Admin2PCODE], INDIRECT("tblPiNAnalysis[" &amp; Table11[[#Headers],[NNA]] &amp; "]"), "NOT FOUND", 0, 1)</f>
        <v>711.25705101964559</v>
      </c>
      <c r="M109" s="8" cm="1">
        <f t="array" aca="1" ref="M109" ca="1">_xlfn.XLOOKUP(Table11[[#This Row],[Admin2PCODE]], tblPiNAnalysis[Admin2PCODE], INDIRECT("tblPiNAnalysis[" &amp; Table11[[#Headers],[VBG]] &amp; "]"), "NOT FOUND", 0, 1)</f>
        <v>775.51391855724603</v>
      </c>
      <c r="N109" s="8" cm="1">
        <f t="array" aca="1" ref="N109" ca="1">_xlfn.XLOOKUP(Table11[[#This Row],[Admin2PCODE]], tblPiNAnalysis[Admin2PCODE], INDIRECT("tblPiNAnalysis[" &amp; Table11[[#Headers],[PiN más alto]] &amp; "]"), "NOT FOUND", 0, 1)</f>
        <v>4055.15</v>
      </c>
      <c r="O109" t="str" cm="1">
        <f t="array" aca="1" ref="O109" ca="1">_xlfn.XLOOKUP(Table11[[#This Row],[Admin2PCODE]], tblPiNAnalysis[Admin2PCODE], INDIRECT("tblPiNAnalysis[" &amp; Table11[[#Headers],[Sectores más altos]] &amp; "]"), "NOT FOUND", 0, 1)</f>
        <v>SAL</v>
      </c>
      <c r="P109" cm="1">
        <f t="array" ref="P109">_xlfn.XLOOKUP(Table11[[#This Row],[Admin2PCODE]], tblPiNAnalysis[Admin2PCODE], tblPiNAnalysis[Severidad], "NOT FOUND", 0, 1)</f>
        <v>3</v>
      </c>
      <c r="Q109" s="318">
        <v>0.15384615384615385</v>
      </c>
      <c r="R109" s="318">
        <v>0.44444444444444431</v>
      </c>
      <c r="S109" s="318">
        <v>6.8376068376068355E-2</v>
      </c>
      <c r="T109">
        <v>0</v>
      </c>
      <c r="W109">
        <f>_xlfn.XLOOKUP(Table11[[#This Row],[Admin2PCODE]],tblSeverityAnalysis[Admin 2 Código P],tblSeverityAnalysis[PRO],0,0)</f>
        <v>3</v>
      </c>
      <c r="Y109">
        <v>0</v>
      </c>
      <c r="Z109">
        <v>4.2</v>
      </c>
      <c r="AA109">
        <f t="shared" si="1"/>
        <v>4</v>
      </c>
    </row>
    <row r="110" spans="1:27">
      <c r="A110" t="s">
        <v>316</v>
      </c>
      <c r="B110" t="s">
        <v>317</v>
      </c>
      <c r="C110" s="42" t="s">
        <v>325</v>
      </c>
      <c r="D110" t="s">
        <v>326</v>
      </c>
      <c r="E110" s="8" cm="1">
        <f t="array" aca="1" ref="E110" ca="1">_xlfn.XLOOKUP(Table11[[#This Row],[Admin2PCODE]], tblPiNAnalysis[Admin2PCODE], INDIRECT("tblPiNAnalysis[" &amp; Table11[[#Headers],[Población]] &amp; "]"), "NOT FOUND", 0, 1)</f>
        <v>244856</v>
      </c>
      <c r="F110" s="8" cm="1">
        <f t="array" aca="1" ref="F110" ca="1">_xlfn.XLOOKUP(Table11[[#This Row],[Admin2PCODE]], tblPiNAnalysis[Admin2PCODE], INDIRECT("tblPiNAnalysis[" &amp; Table11[[#Headers],[SAMV]] &amp; "]"), "NOT FOUND", 0, 1)</f>
        <v>38160</v>
      </c>
      <c r="G110" s="8" cm="1">
        <f t="array" aca="1" ref="G110" ca="1">_xlfn.XLOOKUP(Table11[[#This Row],[Admin2PCODE]], tblPiNAnalysis[Admin2PCODE], INDIRECT("tblPiNAnalysis[" &amp; Table11[[#Headers],[NUT]] &amp; "]"), "NOT FOUND", 0, 1)</f>
        <v>8347.3800908109988</v>
      </c>
      <c r="H110" s="8" cm="1">
        <f t="array" aca="1" ref="H110" ca="1">_xlfn.XLOOKUP(Table11[[#This Row],[Admin2PCODE]], tblPiNAnalysis[Admin2PCODE], INDIRECT("tblPiNAnalysis[" &amp; Table11[[#Headers],[SAL]] &amp; "]"), "NOT FOUND", 0, 1)</f>
        <v>89372.44</v>
      </c>
      <c r="I110" s="8" cm="1">
        <f t="array" aca="1" ref="I110" ca="1">_xlfn.XLOOKUP(Table11[[#This Row],[Admin2PCODE]], tblPiNAnalysis[Admin2PCODE], INDIRECT("tblPiNAnalysis[" &amp; Table11[[#Headers],[EDU]] &amp; "]"), "NOT FOUND", 0, 1)</f>
        <v>29910.209550073934</v>
      </c>
      <c r="J110" s="8" cm="1">
        <f t="array" aca="1" ref="J110" ca="1">_xlfn.XLOOKUP(Table11[[#This Row],[Admin2PCODE]], tblPiNAnalysis[Admin2PCODE], INDIRECT("tblPiNAnalysis[" &amp; Table11[[#Headers],[PRO]] &amp; "]"), "NOT FOUND", 0, 1)</f>
        <v>58600.25286118134</v>
      </c>
      <c r="K110" s="8" cm="1">
        <f t="array" aca="1" ref="K110" ca="1">_xlfn.XLOOKUP(Table11[[#This Row],[Admin2PCODE]], tblPiNAnalysis[Admin2PCODE], INDIRECT("tblPiNAnalysis[" &amp; Table11[[#Headers],[ASH]] &amp; "]"), "NOT FOUND", 0, 1)</f>
        <v>146913.60000000001</v>
      </c>
      <c r="L110" s="8" cm="1">
        <f t="array" aca="1" ref="L110" ca="1">_xlfn.XLOOKUP(Table11[[#This Row],[Admin2PCODE]], tblPiNAnalysis[Admin2PCODE], INDIRECT("tblPiNAnalysis[" &amp; Table11[[#Headers],[NNA]] &amp; "]"), "NOT FOUND", 0, 1)</f>
        <v>18810.681168439209</v>
      </c>
      <c r="M110" s="8" cm="1">
        <f t="array" aca="1" ref="M110" ca="1">_xlfn.XLOOKUP(Table11[[#This Row],[Admin2PCODE]], tblPiNAnalysis[Admin2PCODE], INDIRECT("tblPiNAnalysis[" &amp; Table11[[#Headers],[VBG]] &amp; "]"), "NOT FOUND", 0, 1)</f>
        <v>20510.088501413466</v>
      </c>
      <c r="N110" s="8" cm="1">
        <f t="array" aca="1" ref="N110" ca="1">_xlfn.XLOOKUP(Table11[[#This Row],[Admin2PCODE]], tblPiNAnalysis[Admin2PCODE], INDIRECT("tblPiNAnalysis[" &amp; Table11[[#Headers],[PiN más alto]] &amp; "]"), "NOT FOUND", 0, 1)</f>
        <v>146913.60000000001</v>
      </c>
      <c r="O110" t="str" cm="1">
        <f t="array" aca="1" ref="O110" ca="1">_xlfn.XLOOKUP(Table11[[#This Row],[Admin2PCODE]], tblPiNAnalysis[Admin2PCODE], INDIRECT("tblPiNAnalysis[" &amp; Table11[[#Headers],[Sectores más altos]] &amp; "]"), "NOT FOUND", 0, 1)</f>
        <v>ASH</v>
      </c>
      <c r="P110" cm="1">
        <f t="array" ref="P110">_xlfn.XLOOKUP(Table11[[#This Row],[Admin2PCODE]], tblPiNAnalysis[Admin2PCODE], tblPiNAnalysis[Severidad], "NOT FOUND", 0, 1)</f>
        <v>3</v>
      </c>
      <c r="Q110" s="318">
        <v>0.17073170731707318</v>
      </c>
      <c r="R110" s="318">
        <v>0.50396825396825373</v>
      </c>
      <c r="S110" s="318">
        <v>8.6043360433604305E-2</v>
      </c>
      <c r="T110">
        <v>0</v>
      </c>
      <c r="W110">
        <f>_xlfn.XLOOKUP(Table11[[#This Row],[Admin2PCODE]],tblSeverityAnalysis[Admin 2 Código P],tblSeverityAnalysis[PRO],0,0)</f>
        <v>4</v>
      </c>
      <c r="Y110">
        <v>0</v>
      </c>
      <c r="Z110">
        <v>0</v>
      </c>
      <c r="AA110">
        <f t="shared" si="1"/>
        <v>0</v>
      </c>
    </row>
    <row r="111" spans="1:27">
      <c r="A111" t="s">
        <v>316</v>
      </c>
      <c r="B111" t="s">
        <v>317</v>
      </c>
      <c r="C111" s="42" t="s">
        <v>327</v>
      </c>
      <c r="D111" t="s">
        <v>328</v>
      </c>
      <c r="E111" s="8" cm="1">
        <f t="array" aca="1" ref="E111" ca="1">_xlfn.XLOOKUP(Table11[[#This Row],[Admin2PCODE]], tblPiNAnalysis[Admin2PCODE], INDIRECT("tblPiNAnalysis[" &amp; Table11[[#Headers],[Población]] &amp; "]"), "NOT FOUND", 0, 1)</f>
        <v>42442</v>
      </c>
      <c r="F111" s="8" cm="1">
        <f t="array" aca="1" ref="F111" ca="1">_xlfn.XLOOKUP(Table11[[#This Row],[Admin2PCODE]], tblPiNAnalysis[Admin2PCODE], INDIRECT("tblPiNAnalysis[" &amp; Table11[[#Headers],[SAMV]] &amp; "]"), "NOT FOUND", 0, 1)</f>
        <v>3979</v>
      </c>
      <c r="G111" s="8" cm="1">
        <f t="array" aca="1" ref="G111" ca="1">_xlfn.XLOOKUP(Table11[[#This Row],[Admin2PCODE]], tblPiNAnalysis[Admin2PCODE], INDIRECT("tblPiNAnalysis[" &amp; Table11[[#Headers],[NUT]] &amp; "]"), "NOT FOUND", 0, 1)</f>
        <v>2741.6181750233609</v>
      </c>
      <c r="H111" s="8" cm="1">
        <f t="array" aca="1" ref="H111" ca="1">_xlfn.XLOOKUP(Table11[[#This Row],[Admin2PCODE]], tblPiNAnalysis[Admin2PCODE], INDIRECT("tblPiNAnalysis[" &amp; Table11[[#Headers],[SAL]] &amp; "]"), "NOT FOUND", 0, 1)</f>
        <v>15491.33</v>
      </c>
      <c r="I111" s="8" cm="1">
        <f t="array" aca="1" ref="I111" ca="1">_xlfn.XLOOKUP(Table11[[#This Row],[Admin2PCODE]], tblPiNAnalysis[Admin2PCODE], INDIRECT("tblPiNAnalysis[" &amp; Table11[[#Headers],[EDU]] &amp; "]"), "NOT FOUND", 0, 1)</f>
        <v>4309.9988029649658</v>
      </c>
      <c r="J111" s="8" cm="1">
        <f t="array" aca="1" ref="J111" ca="1">_xlfn.XLOOKUP(Table11[[#This Row],[Admin2PCODE]], tblPiNAnalysis[Admin2PCODE], INDIRECT("tblPiNAnalysis[" &amp; Table11[[#Headers],[PRO]] &amp; "]"), "NOT FOUND", 0, 1)</f>
        <v>10157.447364713376</v>
      </c>
      <c r="K111" s="8" cm="1">
        <f t="array" aca="1" ref="K111" ca="1">_xlfn.XLOOKUP(Table11[[#This Row],[Admin2PCODE]], tblPiNAnalysis[Admin2PCODE], INDIRECT("tblPiNAnalysis[" &amp; Table11[[#Headers],[ASH]] &amp; "]"), "NOT FOUND", 0, 1)</f>
        <v>25465.200000000001</v>
      </c>
      <c r="L111" s="8" cm="1">
        <f t="array" aca="1" ref="L111" ca="1">_xlfn.XLOOKUP(Table11[[#This Row],[Admin2PCODE]], tblPiNAnalysis[Admin2PCODE], INDIRECT("tblPiNAnalysis[" &amp; Table11[[#Headers],[NNA]] &amp; "]"), "NOT FOUND", 0, 1)</f>
        <v>3250.3831567082807</v>
      </c>
      <c r="M111" s="8" cm="1">
        <f t="array" aca="1" ref="M111" ca="1">_xlfn.XLOOKUP(Table11[[#This Row],[Admin2PCODE]], tblPiNAnalysis[Admin2PCODE], INDIRECT("tblPiNAnalysis[" &amp; Table11[[#Headers],[VBG]] &amp; "]"), "NOT FOUND", 0, 1)</f>
        <v>3555.1065776496816</v>
      </c>
      <c r="N111" s="8" cm="1">
        <f t="array" aca="1" ref="N111" ca="1">_xlfn.XLOOKUP(Table11[[#This Row],[Admin2PCODE]], tblPiNAnalysis[Admin2PCODE], INDIRECT("tblPiNAnalysis[" &amp; Table11[[#Headers],[PiN más alto]] &amp; "]"), "NOT FOUND", 0, 1)</f>
        <v>25465.200000000001</v>
      </c>
      <c r="O111" t="str" cm="1">
        <f t="array" aca="1" ref="O111" ca="1">_xlfn.XLOOKUP(Table11[[#This Row],[Admin2PCODE]], tblPiNAnalysis[Admin2PCODE], INDIRECT("tblPiNAnalysis[" &amp; Table11[[#Headers],[Sectores más altos]] &amp; "]"), "NOT FOUND", 0, 1)</f>
        <v>ASH</v>
      </c>
      <c r="P111" cm="1">
        <f t="array" ref="P111">_xlfn.XLOOKUP(Table11[[#This Row],[Admin2PCODE]], tblPiNAnalysis[Admin2PCODE], tblPiNAnalysis[Severidad], "NOT FOUND", 0, 1)</f>
        <v>3</v>
      </c>
      <c r="Q111" s="318">
        <v>0</v>
      </c>
      <c r="R111" s="318">
        <v>0</v>
      </c>
      <c r="S111" s="318">
        <v>0</v>
      </c>
      <c r="T111">
        <v>1</v>
      </c>
      <c r="W111">
        <f>_xlfn.XLOOKUP(Table11[[#This Row],[Admin2PCODE]],tblSeverityAnalysis[Admin 2 Código P],tblSeverityAnalysis[PRO],0,0)</f>
        <v>4</v>
      </c>
      <c r="Y111">
        <v>0</v>
      </c>
      <c r="Z111">
        <v>0</v>
      </c>
      <c r="AA111">
        <f t="shared" si="1"/>
        <v>0</v>
      </c>
    </row>
    <row r="112" spans="1:27">
      <c r="A112" t="s">
        <v>316</v>
      </c>
      <c r="B112" t="s">
        <v>317</v>
      </c>
      <c r="C112" s="42" t="s">
        <v>329</v>
      </c>
      <c r="D112" t="s">
        <v>330</v>
      </c>
      <c r="E112" s="8" cm="1">
        <f t="array" aca="1" ref="E112" ca="1">_xlfn.XLOOKUP(Table11[[#This Row],[Admin2PCODE]], tblPiNAnalysis[Admin2PCODE], INDIRECT("tblPiNAnalysis[" &amp; Table11[[#Headers],[Población]] &amp; "]"), "NOT FOUND", 0, 1)</f>
        <v>23921</v>
      </c>
      <c r="F112" s="8" cm="1">
        <f t="array" aca="1" ref="F112" ca="1">_xlfn.XLOOKUP(Table11[[#This Row],[Admin2PCODE]], tblPiNAnalysis[Admin2PCODE], INDIRECT("tblPiNAnalysis[" &amp; Table11[[#Headers],[SAMV]] &amp; "]"), "NOT FOUND", 0, 1)</f>
        <v>8353</v>
      </c>
      <c r="G112" s="8" cm="1">
        <f t="array" aca="1" ref="G112" ca="1">_xlfn.XLOOKUP(Table11[[#This Row],[Admin2PCODE]], tblPiNAnalysis[Admin2PCODE], INDIRECT("tblPiNAnalysis[" &amp; Table11[[#Headers],[NUT]] &amp; "]"), "NOT FOUND", 0, 1)</f>
        <v>1212.5576831221138</v>
      </c>
      <c r="H112" s="8" cm="1">
        <f t="array" aca="1" ref="H112" ca="1">_xlfn.XLOOKUP(Table11[[#This Row],[Admin2PCODE]], tblPiNAnalysis[Admin2PCODE], INDIRECT("tblPiNAnalysis[" &amp; Table11[[#Headers],[SAL]] &amp; "]"), "NOT FOUND", 0, 1)</f>
        <v>8731.1650000000009</v>
      </c>
      <c r="I112" s="8" cm="1">
        <f t="array" aca="1" ref="I112" ca="1">_xlfn.XLOOKUP(Table11[[#This Row],[Admin2PCODE]], tblPiNAnalysis[Admin2PCODE], INDIRECT("tblPiNAnalysis[" &amp; Table11[[#Headers],[EDU]] &amp; "]"), "NOT FOUND", 0, 1)</f>
        <v>1269.8432502383553</v>
      </c>
      <c r="J112" s="8" cm="1">
        <f t="array" aca="1" ref="J112" ca="1">_xlfn.XLOOKUP(Table11[[#This Row],[Admin2PCODE]], tblPiNAnalysis[Admin2PCODE], INDIRECT("tblPiNAnalysis[" &amp; Table11[[#Headers],[PRO]] &amp; "]"), "NOT FOUND", 0, 1)</f>
        <v>4770.75181838958</v>
      </c>
      <c r="K112" s="8" cm="1">
        <f t="array" aca="1" ref="K112" ca="1">_xlfn.XLOOKUP(Table11[[#This Row],[Admin2PCODE]], tblPiNAnalysis[Admin2PCODE], INDIRECT("tblPiNAnalysis[" &amp; Table11[[#Headers],[ASH]] &amp; "]"), "NOT FOUND", 0, 1)</f>
        <v>0</v>
      </c>
      <c r="L112" s="8" cm="1">
        <f t="array" aca="1" ref="L112" ca="1">_xlfn.XLOOKUP(Table11[[#This Row],[Admin2PCODE]], tblPiNAnalysis[Admin2PCODE], INDIRECT("tblPiNAnalysis[" &amp; Table11[[#Headers],[NNA]] &amp; "]"), "NOT FOUND", 0, 1)</f>
        <v>1531.4113337030553</v>
      </c>
      <c r="M112" s="8" cm="1">
        <f t="array" aca="1" ref="M112" ca="1">_xlfn.XLOOKUP(Table11[[#This Row],[Admin2PCODE]], tblPiNAnalysis[Admin2PCODE], INDIRECT("tblPiNAnalysis[" &amp; Table11[[#Headers],[VBG]] &amp; "]"), "NOT FOUND", 0, 1)</f>
        <v>1669.7631364363529</v>
      </c>
      <c r="N112" s="8" cm="1">
        <f t="array" aca="1" ref="N112" ca="1">_xlfn.XLOOKUP(Table11[[#This Row],[Admin2PCODE]], tblPiNAnalysis[Admin2PCODE], INDIRECT("tblPiNAnalysis[" &amp; Table11[[#Headers],[PiN más alto]] &amp; "]"), "NOT FOUND", 0, 1)</f>
        <v>8731.1650000000009</v>
      </c>
      <c r="O112" t="str" cm="1">
        <f t="array" aca="1" ref="O112" ca="1">_xlfn.XLOOKUP(Table11[[#This Row],[Admin2PCODE]], tblPiNAnalysis[Admin2PCODE], INDIRECT("tblPiNAnalysis[" &amp; Table11[[#Headers],[Sectores más altos]] &amp; "]"), "NOT FOUND", 0, 1)</f>
        <v>SAL</v>
      </c>
      <c r="P112" cm="1">
        <f t="array" ref="P112">_xlfn.XLOOKUP(Table11[[#This Row],[Admin2PCODE]], tblPiNAnalysis[Admin2PCODE], tblPiNAnalysis[Severidad], "NOT FOUND", 0, 1)</f>
        <v>3</v>
      </c>
      <c r="Q112" s="318">
        <v>0.13698630136986301</v>
      </c>
      <c r="R112" s="318">
        <v>0.33333333333333331</v>
      </c>
      <c r="S112" s="318">
        <v>4.5662100456621002E-2</v>
      </c>
      <c r="T112">
        <v>0</v>
      </c>
      <c r="W112">
        <f>_xlfn.XLOOKUP(Table11[[#This Row],[Admin2PCODE]],tblSeverityAnalysis[Admin 2 Código P],tblSeverityAnalysis[PRO],0,0)</f>
        <v>3</v>
      </c>
      <c r="Y112">
        <v>0</v>
      </c>
      <c r="Z112">
        <v>0</v>
      </c>
      <c r="AA112">
        <f t="shared" si="1"/>
        <v>0</v>
      </c>
    </row>
    <row r="113" spans="1:27">
      <c r="A113" t="s">
        <v>316</v>
      </c>
      <c r="B113" t="s">
        <v>317</v>
      </c>
      <c r="C113" s="42" t="s">
        <v>331</v>
      </c>
      <c r="D113" t="s">
        <v>332</v>
      </c>
      <c r="E113" s="8" cm="1">
        <f t="array" aca="1" ref="E113" ca="1">_xlfn.XLOOKUP(Table11[[#This Row],[Admin2PCODE]], tblPiNAnalysis[Admin2PCODE], INDIRECT("tblPiNAnalysis[" &amp; Table11[[#Headers],[Población]] &amp; "]"), "NOT FOUND", 0, 1)</f>
        <v>10168</v>
      </c>
      <c r="F113" s="8" cm="1">
        <f t="array" aca="1" ref="F113" ca="1">_xlfn.XLOOKUP(Table11[[#This Row],[Admin2PCODE]], tblPiNAnalysis[Admin2PCODE], INDIRECT("tblPiNAnalysis[" &amp; Table11[[#Headers],[SAMV]] &amp; "]"), "NOT FOUND", 0, 1)</f>
        <v>2034</v>
      </c>
      <c r="G113" s="8" cm="1">
        <f t="array" aca="1" ref="G113" ca="1">_xlfn.XLOOKUP(Table11[[#This Row],[Admin2PCODE]], tblPiNAnalysis[Admin2PCODE], INDIRECT("tblPiNAnalysis[" &amp; Table11[[#Headers],[NUT]] &amp; "]"), "NOT FOUND", 0, 1)</f>
        <v>354.05141062751409</v>
      </c>
      <c r="H113" s="8" cm="1">
        <f t="array" aca="1" ref="H113" ca="1">_xlfn.XLOOKUP(Table11[[#This Row],[Admin2PCODE]], tblPiNAnalysis[Admin2PCODE], INDIRECT("tblPiNAnalysis[" &amp; Table11[[#Headers],[SAL]] &amp; "]"), "NOT FOUND", 0, 1)</f>
        <v>7000</v>
      </c>
      <c r="I113" s="8" cm="1">
        <f t="array" aca="1" ref="I113" ca="1">_xlfn.XLOOKUP(Table11[[#This Row],[Admin2PCODE]], tblPiNAnalysis[Admin2PCODE], INDIRECT("tblPiNAnalysis[" &amp; Table11[[#Headers],[EDU]] &amp; "]"), "NOT FOUND", 0, 1)</f>
        <v>967.18391296109689</v>
      </c>
      <c r="J113" s="8" cm="1">
        <f t="array" aca="1" ref="J113" ca="1">_xlfn.XLOOKUP(Table11[[#This Row],[Admin2PCODE]], tblPiNAnalysis[Admin2PCODE], INDIRECT("tblPiNAnalysis[" &amp; Table11[[#Headers],[PRO]] &amp; "]"), "NOT FOUND", 0, 1)</f>
        <v>2027.8836373640422</v>
      </c>
      <c r="K113" s="8" cm="1">
        <f t="array" aca="1" ref="K113" ca="1">_xlfn.XLOOKUP(Table11[[#This Row],[Admin2PCODE]], tblPiNAnalysis[Admin2PCODE], INDIRECT("tblPiNAnalysis[" &amp; Table11[[#Headers],[ASH]] &amp; "]"), "NOT FOUND", 0, 1)</f>
        <v>6100.8</v>
      </c>
      <c r="L113" s="8" cm="1">
        <f t="array" aca="1" ref="L113" ca="1">_xlfn.XLOOKUP(Table11[[#This Row],[Admin2PCODE]], tblPiNAnalysis[Admin2PCODE], INDIRECT("tblPiNAnalysis[" &amp; Table11[[#Headers],[NNA]] &amp; "]"), "NOT FOUND", 0, 1)</f>
        <v>648.92276395649355</v>
      </c>
      <c r="M113" s="8" cm="1">
        <f t="array" aca="1" ref="M113" ca="1">_xlfn.XLOOKUP(Table11[[#This Row],[Admin2PCODE]], tblPiNAnalysis[Admin2PCODE], INDIRECT("tblPiNAnalysis[" &amp; Table11[[#Headers],[VBG]] &amp; "]"), "NOT FOUND", 0, 1)</f>
        <v>709.75927307741472</v>
      </c>
      <c r="N113" s="8" cm="1">
        <f t="array" aca="1" ref="N113" ca="1">_xlfn.XLOOKUP(Table11[[#This Row],[Admin2PCODE]], tblPiNAnalysis[Admin2PCODE], INDIRECT("tblPiNAnalysis[" &amp; Table11[[#Headers],[PiN más alto]] &amp; "]"), "NOT FOUND", 0, 1)</f>
        <v>7000</v>
      </c>
      <c r="O113" t="str" cm="1">
        <f t="array" aca="1" ref="O113" ca="1">_xlfn.XLOOKUP(Table11[[#This Row],[Admin2PCODE]], tblPiNAnalysis[Admin2PCODE], INDIRECT("tblPiNAnalysis[" &amp; Table11[[#Headers],[Sectores más altos]] &amp; "]"), "NOT FOUND", 0, 1)</f>
        <v>SAL</v>
      </c>
      <c r="P113" cm="1">
        <f t="array" ref="P113">_xlfn.XLOOKUP(Table11[[#This Row],[Admin2PCODE]], tblPiNAnalysis[Admin2PCODE], tblPiNAnalysis[Severidad], "NOT FOUND", 0, 1)</f>
        <v>3</v>
      </c>
      <c r="Q113" s="318">
        <v>0.5</v>
      </c>
      <c r="R113" s="318">
        <v>0.44444444444444431</v>
      </c>
      <c r="S113" s="318">
        <v>0.22222222222222215</v>
      </c>
      <c r="T113">
        <v>0</v>
      </c>
      <c r="W113">
        <f>_xlfn.XLOOKUP(Table11[[#This Row],[Admin2PCODE]],tblSeverityAnalysis[Admin 2 Código P],tblSeverityAnalysis[PRO],0,0)</f>
        <v>3</v>
      </c>
      <c r="Y113">
        <v>0</v>
      </c>
      <c r="Z113">
        <v>0</v>
      </c>
      <c r="AA113">
        <f t="shared" si="1"/>
        <v>0</v>
      </c>
    </row>
    <row r="114" spans="1:27">
      <c r="A114" t="s">
        <v>316</v>
      </c>
      <c r="B114" t="s">
        <v>317</v>
      </c>
      <c r="C114" s="42" t="s">
        <v>316</v>
      </c>
      <c r="D114" t="s">
        <v>333</v>
      </c>
      <c r="E114" s="8" cm="1">
        <f t="array" aca="1" ref="E114" ca="1">_xlfn.XLOOKUP(Table11[[#This Row],[Admin2PCODE]], tblPiNAnalysis[Admin2PCODE], INDIRECT("tblPiNAnalysis[" &amp; Table11[[#Headers],[Población]] &amp; "]"), "NOT FOUND", 0, 1)</f>
        <v>47260</v>
      </c>
      <c r="F114" s="8" cm="1">
        <f t="array" aca="1" ref="F114" ca="1">_xlfn.XLOOKUP(Table11[[#This Row],[Admin2PCODE]], tblPiNAnalysis[Admin2PCODE], INDIRECT("tblPiNAnalysis[" &amp; Table11[[#Headers],[SAMV]] &amp; "]"), "NOT FOUND", 0, 1)</f>
        <v>8303</v>
      </c>
      <c r="G114" s="8" cm="1">
        <f t="array" aca="1" ref="G114" ca="1">_xlfn.XLOOKUP(Table11[[#This Row],[Admin2PCODE]], tblPiNAnalysis[Admin2PCODE], INDIRECT("tblPiNAnalysis[" &amp; Table11[[#Headers],[NUT]] &amp; "]"), "NOT FOUND", 0, 1)</f>
        <v>2335.1810107225751</v>
      </c>
      <c r="H114" s="8" cm="1">
        <f t="array" aca="1" ref="H114" ca="1">_xlfn.XLOOKUP(Table11[[#This Row],[Admin2PCODE]], tblPiNAnalysis[Admin2PCODE], INDIRECT("tblPiNAnalysis[" &amp; Table11[[#Headers],[SAL]] &amp; "]"), "NOT FOUND", 0, 1)</f>
        <v>17249.900000000001</v>
      </c>
      <c r="I114" s="8" cm="1">
        <f t="array" aca="1" ref="I114" ca="1">_xlfn.XLOOKUP(Table11[[#This Row],[Admin2PCODE]], tblPiNAnalysis[Admin2PCODE], INDIRECT("tblPiNAnalysis[" &amp; Table11[[#Headers],[EDU]] &amp; "]"), "NOT FOUND", 0, 1)</f>
        <v>4467.9959280783969</v>
      </c>
      <c r="J114" s="8" cm="1">
        <f t="array" aca="1" ref="J114" ca="1">_xlfn.XLOOKUP(Table11[[#This Row],[Admin2PCODE]], tblPiNAnalysis[Admin2PCODE], INDIRECT("tblPiNAnalysis[" &amp; Table11[[#Headers],[PRO]] &amp; "]"), "NOT FOUND", 0, 1)</f>
        <v>9425.4308322014749</v>
      </c>
      <c r="K114" s="8" cm="1">
        <f t="array" aca="1" ref="K114" ca="1">_xlfn.XLOOKUP(Table11[[#This Row],[Admin2PCODE]], tblPiNAnalysis[Admin2PCODE], INDIRECT("tblPiNAnalysis[" &amp; Table11[[#Headers],[ASH]] &amp; "]"), "NOT FOUND", 0, 1)</f>
        <v>28356</v>
      </c>
      <c r="L114" s="8" cm="1">
        <f t="array" aca="1" ref="L114" ca="1">_xlfn.XLOOKUP(Table11[[#This Row],[Admin2PCODE]], tblPiNAnalysis[Admin2PCODE], INDIRECT("tblPiNAnalysis[" &amp; Table11[[#Headers],[NNA]] &amp; "]"), "NOT FOUND", 0, 1)</f>
        <v>3025.5632971366736</v>
      </c>
      <c r="M114" s="8" cm="1">
        <f t="array" aca="1" ref="M114" ca="1">_xlfn.XLOOKUP(Table11[[#This Row],[Admin2PCODE]], tblPiNAnalysis[Admin2PCODE], INDIRECT("tblPiNAnalysis[" &amp; Table11[[#Headers],[VBG]] &amp; "]"), "NOT FOUND", 0, 1)</f>
        <v>3298.9007912705165</v>
      </c>
      <c r="N114" s="8" cm="1">
        <f t="array" aca="1" ref="N114" ca="1">_xlfn.XLOOKUP(Table11[[#This Row],[Admin2PCODE]], tblPiNAnalysis[Admin2PCODE], INDIRECT("tblPiNAnalysis[" &amp; Table11[[#Headers],[PiN más alto]] &amp; "]"), "NOT FOUND", 0, 1)</f>
        <v>28356</v>
      </c>
      <c r="O114" t="str" cm="1">
        <f t="array" aca="1" ref="O114" ca="1">_xlfn.XLOOKUP(Table11[[#This Row],[Admin2PCODE]], tblPiNAnalysis[Admin2PCODE], INDIRECT("tblPiNAnalysis[" &amp; Table11[[#Headers],[Sectores más altos]] &amp; "]"), "NOT FOUND", 0, 1)</f>
        <v>ASH</v>
      </c>
      <c r="P114" cm="1">
        <f t="array" ref="P114">_xlfn.XLOOKUP(Table11[[#This Row],[Admin2PCODE]], tblPiNAnalysis[Admin2PCODE], tblPiNAnalysis[Severidad], "NOT FOUND", 0, 1)</f>
        <v>3</v>
      </c>
      <c r="Q114" s="318">
        <v>0.20175438596491227</v>
      </c>
      <c r="R114" s="318">
        <v>0.38405797101449268</v>
      </c>
      <c r="S114" s="318">
        <v>7.7485380116959046E-2</v>
      </c>
      <c r="T114">
        <v>0</v>
      </c>
      <c r="W114">
        <f>_xlfn.XLOOKUP(Table11[[#This Row],[Admin2PCODE]],tblSeverityAnalysis[Admin 2 Código P],tblSeverityAnalysis[PRO],0,0)</f>
        <v>3</v>
      </c>
      <c r="Y114">
        <v>0</v>
      </c>
      <c r="Z114">
        <v>0</v>
      </c>
      <c r="AA114">
        <f t="shared" si="1"/>
        <v>0</v>
      </c>
    </row>
    <row r="115" spans="1:27">
      <c r="A115" t="s">
        <v>316</v>
      </c>
      <c r="B115" t="s">
        <v>317</v>
      </c>
      <c r="C115" s="42" t="s">
        <v>334</v>
      </c>
      <c r="D115" t="s">
        <v>335</v>
      </c>
      <c r="E115" s="8" cm="1">
        <f t="array" aca="1" ref="E115" ca="1">_xlfn.XLOOKUP(Table11[[#This Row],[Admin2PCODE]], tblPiNAnalysis[Admin2PCODE], INDIRECT("tblPiNAnalysis[" &amp; Table11[[#Headers],[Población]] &amp; "]"), "NOT FOUND", 0, 1)</f>
        <v>29908</v>
      </c>
      <c r="F115" s="8" cm="1">
        <f t="array" aca="1" ref="F115" ca="1">_xlfn.XLOOKUP(Table11[[#This Row],[Admin2PCODE]], tblPiNAnalysis[Admin2PCODE], INDIRECT("tblPiNAnalysis[" &amp; Table11[[#Headers],[SAMV]] &amp; "]"), "NOT FOUND", 0, 1)</f>
        <v>4601</v>
      </c>
      <c r="G115" s="8" cm="1">
        <f t="array" aca="1" ref="G115" ca="1">_xlfn.XLOOKUP(Table11[[#This Row],[Admin2PCODE]], tblPiNAnalysis[Admin2PCODE], INDIRECT("tblPiNAnalysis[" &amp; Table11[[#Headers],[NUT]] &amp; "]"), "NOT FOUND", 0, 1)</f>
        <v>2085.6017894958804</v>
      </c>
      <c r="H115" s="8" cm="1">
        <f t="array" aca="1" ref="H115" ca="1">_xlfn.XLOOKUP(Table11[[#This Row],[Admin2PCODE]], tblPiNAnalysis[Admin2PCODE], INDIRECT("tblPiNAnalysis[" &amp; Table11[[#Headers],[SAL]] &amp; "]"), "NOT FOUND", 0, 1)</f>
        <v>10916.42</v>
      </c>
      <c r="I115" s="8" cm="1">
        <f t="array" aca="1" ref="I115" ca="1">_xlfn.XLOOKUP(Table11[[#This Row],[Admin2PCODE]], tblPiNAnalysis[Admin2PCODE], INDIRECT("tblPiNAnalysis[" &amp; Table11[[#Headers],[EDU]] &amp; "]"), "NOT FOUND", 0, 1)</f>
        <v>1798.3335056182759</v>
      </c>
      <c r="J115" s="8" cm="1">
        <f t="array" aca="1" ref="J115" ca="1">_xlfn.XLOOKUP(Table11[[#This Row],[Admin2PCODE]], tblPiNAnalysis[Admin2PCODE], INDIRECT("tblPiNAnalysis[" &amp; Table11[[#Headers],[PRO]] &amp; "]"), "NOT FOUND", 0, 1)</f>
        <v>7157.7431738336463</v>
      </c>
      <c r="K115" s="8" cm="1">
        <f t="array" aca="1" ref="K115" ca="1">_xlfn.XLOOKUP(Table11[[#This Row],[Admin2PCODE]], tblPiNAnalysis[Admin2PCODE], INDIRECT("tblPiNAnalysis[" &amp; Table11[[#Headers],[ASH]] &amp; "]"), "NOT FOUND", 0, 1)</f>
        <v>13458.6</v>
      </c>
      <c r="L115" s="8" cm="1">
        <f t="array" aca="1" ref="L115" ca="1">_xlfn.XLOOKUP(Table11[[#This Row],[Admin2PCODE]], tblPiNAnalysis[Admin2PCODE], INDIRECT("tblPiNAnalysis[" &amp; Table11[[#Headers],[NNA]] &amp; "]"), "NOT FOUND", 0, 1)</f>
        <v>2290.4778156267666</v>
      </c>
      <c r="M115" s="8" cm="1">
        <f t="array" aca="1" ref="M115" ca="1">_xlfn.XLOOKUP(Table11[[#This Row],[Admin2PCODE]], tblPiNAnalysis[Admin2PCODE], INDIRECT("tblPiNAnalysis[" &amp; Table11[[#Headers],[VBG]] &amp; "]"), "NOT FOUND", 0, 1)</f>
        <v>2505.210110841776</v>
      </c>
      <c r="N115" s="8" cm="1">
        <f t="array" aca="1" ref="N115" ca="1">_xlfn.XLOOKUP(Table11[[#This Row],[Admin2PCODE]], tblPiNAnalysis[Admin2PCODE], INDIRECT("tblPiNAnalysis[" &amp; Table11[[#Headers],[PiN más alto]] &amp; "]"), "NOT FOUND", 0, 1)</f>
        <v>13458.6</v>
      </c>
      <c r="O115" t="str" cm="1">
        <f t="array" aca="1" ref="O115" ca="1">_xlfn.XLOOKUP(Table11[[#This Row],[Admin2PCODE]], tblPiNAnalysis[Admin2PCODE], INDIRECT("tblPiNAnalysis[" &amp; Table11[[#Headers],[Sectores más altos]] &amp; "]"), "NOT FOUND", 0, 1)</f>
        <v>ASH</v>
      </c>
      <c r="P115" cm="1">
        <f t="array" ref="P115">_xlfn.XLOOKUP(Table11[[#This Row],[Admin2PCODE]], tblPiNAnalysis[Admin2PCODE], tblPiNAnalysis[Severidad], "NOT FOUND", 0, 1)</f>
        <v>4</v>
      </c>
      <c r="Q115" s="318">
        <v>0.28358208955223879</v>
      </c>
      <c r="R115" s="318">
        <v>0.33333333333333331</v>
      </c>
      <c r="S115" s="318">
        <v>9.4527363184079588E-2</v>
      </c>
      <c r="T115">
        <v>1</v>
      </c>
      <c r="W115">
        <f>_xlfn.XLOOKUP(Table11[[#This Row],[Admin2PCODE]],tblSeverityAnalysis[Admin 2 Código P],tblSeverityAnalysis[PRO],0,0)</f>
        <v>4</v>
      </c>
      <c r="Y115">
        <v>0</v>
      </c>
      <c r="Z115">
        <v>2.4</v>
      </c>
      <c r="AA115">
        <f t="shared" si="1"/>
        <v>2</v>
      </c>
    </row>
    <row r="116" spans="1:27">
      <c r="A116" t="s">
        <v>316</v>
      </c>
      <c r="B116" t="s">
        <v>317</v>
      </c>
      <c r="C116" s="42" t="s">
        <v>336</v>
      </c>
      <c r="D116" t="s">
        <v>337</v>
      </c>
      <c r="E116" s="8" cm="1">
        <f t="array" aca="1" ref="E116" ca="1">_xlfn.XLOOKUP(Table11[[#This Row],[Admin2PCODE]], tblPiNAnalysis[Admin2PCODE], INDIRECT("tblPiNAnalysis[" &amp; Table11[[#Headers],[Población]] &amp; "]"), "NOT FOUND", 0, 1)</f>
        <v>11484</v>
      </c>
      <c r="F116" s="8" cm="1">
        <f t="array" aca="1" ref="F116" ca="1">_xlfn.XLOOKUP(Table11[[#This Row],[Admin2PCODE]], tblPiNAnalysis[Admin2PCODE], INDIRECT("tblPiNAnalysis[" &amp; Table11[[#Headers],[SAMV]] &amp; "]"), "NOT FOUND", 0, 1)</f>
        <v>3063</v>
      </c>
      <c r="G116" s="8" cm="1">
        <f t="array" aca="1" ref="G116" ca="1">_xlfn.XLOOKUP(Table11[[#This Row],[Admin2PCODE]], tblPiNAnalysis[Admin2PCODE], INDIRECT("tblPiNAnalysis[" &amp; Table11[[#Headers],[NUT]] &amp; "]"), "NOT FOUND", 0, 1)</f>
        <v>424.67871277834007</v>
      </c>
      <c r="H116" s="8" cm="1">
        <f t="array" aca="1" ref="H116" ca="1">_xlfn.XLOOKUP(Table11[[#This Row],[Admin2PCODE]], tblPiNAnalysis[Admin2PCODE], INDIRECT("tblPiNAnalysis[" &amp; Table11[[#Headers],[SAL]] &amp; "]"), "NOT FOUND", 0, 1)</f>
        <v>4191.66</v>
      </c>
      <c r="I116" s="8" cm="1">
        <f t="array" aca="1" ref="I116" ca="1">_xlfn.XLOOKUP(Table11[[#This Row],[Admin2PCODE]], tblPiNAnalysis[Admin2PCODE], INDIRECT("tblPiNAnalysis[" &amp; Table11[[#Headers],[EDU]] &amp; "]"), "NOT FOUND", 0, 1)</f>
        <v>881.64855293492519</v>
      </c>
      <c r="J116" s="8" cm="1">
        <f t="array" aca="1" ref="J116" ca="1">_xlfn.XLOOKUP(Table11[[#This Row],[Admin2PCODE]], tblPiNAnalysis[Admin2PCODE], INDIRECT("tblPiNAnalysis[" &amp; Table11[[#Headers],[PRO]] &amp; "]"), "NOT FOUND", 0, 1)</f>
        <v>2290.3437934194194</v>
      </c>
      <c r="K116" s="8" cm="1">
        <f t="array" aca="1" ref="K116" ca="1">_xlfn.XLOOKUP(Table11[[#This Row],[Admin2PCODE]], tblPiNAnalysis[Admin2PCODE], INDIRECT("tblPiNAnalysis[" &amp; Table11[[#Headers],[ASH]] &amp; "]"), "NOT FOUND", 0, 1)</f>
        <v>0</v>
      </c>
      <c r="L116" s="8" cm="1">
        <f t="array" aca="1" ref="L116" ca="1">_xlfn.XLOOKUP(Table11[[#This Row],[Admin2PCODE]], tblPiNAnalysis[Admin2PCODE], INDIRECT("tblPiNAnalysis[" &amp; Table11[[#Headers],[NNA]] &amp; "]"), "NOT FOUND", 0, 1)</f>
        <v>732.91001389421422</v>
      </c>
      <c r="M116" s="8" cm="1">
        <f t="array" aca="1" ref="M116" ca="1">_xlfn.XLOOKUP(Table11[[#This Row],[Admin2PCODE]], tblPiNAnalysis[Admin2PCODE], INDIRECT("tblPiNAnalysis[" &amp; Table11[[#Headers],[VBG]] &amp; "]"), "NOT FOUND", 0, 1)</f>
        <v>801.62032769679672</v>
      </c>
      <c r="N116" s="8" cm="1">
        <f t="array" aca="1" ref="N116" ca="1">_xlfn.XLOOKUP(Table11[[#This Row],[Admin2PCODE]], tblPiNAnalysis[Admin2PCODE], INDIRECT("tblPiNAnalysis[" &amp; Table11[[#Headers],[PiN más alto]] &amp; "]"), "NOT FOUND", 0, 1)</f>
        <v>4191.66</v>
      </c>
      <c r="O116" t="str" cm="1">
        <f t="array" aca="1" ref="O116" ca="1">_xlfn.XLOOKUP(Table11[[#This Row],[Admin2PCODE]], tblPiNAnalysis[Admin2PCODE], INDIRECT("tblPiNAnalysis[" &amp; Table11[[#Headers],[Sectores más altos]] &amp; "]"), "NOT FOUND", 0, 1)</f>
        <v>SAL</v>
      </c>
      <c r="P116" cm="1">
        <f t="array" ref="P116">_xlfn.XLOOKUP(Table11[[#This Row],[Admin2PCODE]], tblPiNAnalysis[Admin2PCODE], tblPiNAnalysis[Severidad], "NOT FOUND", 0, 1)</f>
        <v>3</v>
      </c>
      <c r="Q116" s="318">
        <v>0</v>
      </c>
      <c r="R116" s="318">
        <v>0</v>
      </c>
      <c r="S116" s="318">
        <v>0</v>
      </c>
      <c r="T116">
        <v>0</v>
      </c>
      <c r="W116">
        <f>_xlfn.XLOOKUP(Table11[[#This Row],[Admin2PCODE]],tblSeverityAnalysis[Admin 2 Código P],tblSeverityAnalysis[PRO],0,0)</f>
        <v>3</v>
      </c>
      <c r="Y116">
        <v>0</v>
      </c>
      <c r="Z116">
        <v>2.2000000000000002</v>
      </c>
      <c r="AA116">
        <f t="shared" si="1"/>
        <v>2</v>
      </c>
    </row>
    <row r="117" spans="1:27">
      <c r="A117" t="s">
        <v>316</v>
      </c>
      <c r="B117" t="s">
        <v>317</v>
      </c>
      <c r="C117" s="42" t="s">
        <v>338</v>
      </c>
      <c r="D117" t="s">
        <v>339</v>
      </c>
      <c r="E117" s="8" cm="1">
        <f t="array" aca="1" ref="E117" ca="1">_xlfn.XLOOKUP(Table11[[#This Row],[Admin2PCODE]], tblPiNAnalysis[Admin2PCODE], INDIRECT("tblPiNAnalysis[" &amp; Table11[[#Headers],[Población]] &amp; "]"), "NOT FOUND", 0, 1)</f>
        <v>42517</v>
      </c>
      <c r="F117" s="8" cm="1">
        <f t="array" aca="1" ref="F117" ca="1">_xlfn.XLOOKUP(Table11[[#This Row],[Admin2PCODE]], tblPiNAnalysis[Admin2PCODE], INDIRECT("tblPiNAnalysis[" &amp; Table11[[#Headers],[SAMV]] &amp; "]"), "NOT FOUND", 0, 1)</f>
        <v>3335</v>
      </c>
      <c r="G117" s="8" cm="1">
        <f t="array" aca="1" ref="G117" ca="1">_xlfn.XLOOKUP(Table11[[#This Row],[Admin2PCODE]], tblPiNAnalysis[Admin2PCODE], INDIRECT("tblPiNAnalysis[" &amp; Table11[[#Headers],[NUT]] &amp; "]"), "NOT FOUND", 0, 1)</f>
        <v>2597.1737913962606</v>
      </c>
      <c r="H117" s="8" cm="1">
        <f t="array" aca="1" ref="H117" ca="1">_xlfn.XLOOKUP(Table11[[#This Row],[Admin2PCODE]], tblPiNAnalysis[Admin2PCODE], INDIRECT("tblPiNAnalysis[" &amp; Table11[[#Headers],[SAL]] &amp; "]"), "NOT FOUND", 0, 1)</f>
        <v>15518.705</v>
      </c>
      <c r="I117" s="8" cm="1">
        <f t="array" aca="1" ref="I117" ca="1">_xlfn.XLOOKUP(Table11[[#This Row],[Admin2PCODE]], tblPiNAnalysis[Admin2PCODE], INDIRECT("tblPiNAnalysis[" &amp; Table11[[#Headers],[EDU]] &amp; "]"), "NOT FOUND", 0, 1)</f>
        <v>2855.8989631766344</v>
      </c>
      <c r="J117" s="8" cm="1">
        <f t="array" aca="1" ref="J117" ca="1">_xlfn.XLOOKUP(Table11[[#This Row],[Admin2PCODE]], tblPiNAnalysis[Admin2PCODE], INDIRECT("tblPiNAnalysis[" &amp; Table11[[#Headers],[PRO]] &amp; "]"), "NOT FOUND", 0, 1)</f>
        <v>8479.497306235935</v>
      </c>
      <c r="K117" s="8" cm="1">
        <f t="array" aca="1" ref="K117" ca="1">_xlfn.XLOOKUP(Table11[[#This Row],[Admin2PCODE]], tblPiNAnalysis[Admin2PCODE], INDIRECT("tblPiNAnalysis[" &amp; Table11[[#Headers],[ASH]] &amp; "]"), "NOT FOUND", 0, 1)</f>
        <v>25510.2</v>
      </c>
      <c r="L117" s="8" cm="1">
        <f t="array" aca="1" ref="L117" ca="1">_xlfn.XLOOKUP(Table11[[#This Row],[Admin2PCODE]], tblPiNAnalysis[Admin2PCODE], INDIRECT("tblPiNAnalysis[" &amp; Table11[[#Headers],[NNA]] &amp; "]"), "NOT FOUND", 0, 1)</f>
        <v>2713.4391379954991</v>
      </c>
      <c r="M117" s="8" cm="1">
        <f t="array" aca="1" ref="M117" ca="1">_xlfn.XLOOKUP(Table11[[#This Row],[Admin2PCODE]], tblPiNAnalysis[Admin2PCODE], INDIRECT("tblPiNAnalysis[" &amp; Table11[[#Headers],[VBG]] &amp; "]"), "NOT FOUND", 0, 1)</f>
        <v>2967.8240571825777</v>
      </c>
      <c r="N117" s="8" cm="1">
        <f t="array" aca="1" ref="N117" ca="1">_xlfn.XLOOKUP(Table11[[#This Row],[Admin2PCODE]], tblPiNAnalysis[Admin2PCODE], INDIRECT("tblPiNAnalysis[" &amp; Table11[[#Headers],[PiN más alto]] &amp; "]"), "NOT FOUND", 0, 1)</f>
        <v>25510.2</v>
      </c>
      <c r="O117" t="str" cm="1">
        <f t="array" aca="1" ref="O117" ca="1">_xlfn.XLOOKUP(Table11[[#This Row],[Admin2PCODE]], tblPiNAnalysis[Admin2PCODE], INDIRECT("tblPiNAnalysis[" &amp; Table11[[#Headers],[Sectores más altos]] &amp; "]"), "NOT FOUND", 0, 1)</f>
        <v>ASH</v>
      </c>
      <c r="P117" cm="1">
        <f t="array" ref="P117">_xlfn.XLOOKUP(Table11[[#This Row],[Admin2PCODE]], tblPiNAnalysis[Admin2PCODE], tblPiNAnalysis[Severidad], "NOT FOUND", 0, 1)</f>
        <v>3</v>
      </c>
      <c r="Q117" s="318">
        <v>0</v>
      </c>
      <c r="R117" s="318">
        <v>0</v>
      </c>
      <c r="S117" s="318">
        <v>0</v>
      </c>
      <c r="T117">
        <v>0</v>
      </c>
      <c r="W117">
        <f>_xlfn.XLOOKUP(Table11[[#This Row],[Admin2PCODE]],tblSeverityAnalysis[Admin 2 Código P],tblSeverityAnalysis[PRO],0,0)</f>
        <v>3</v>
      </c>
      <c r="Y117">
        <v>0</v>
      </c>
      <c r="Z117">
        <v>0</v>
      </c>
      <c r="AA117">
        <f t="shared" si="1"/>
        <v>0</v>
      </c>
    </row>
    <row r="118" spans="1:27">
      <c r="A118" t="s">
        <v>316</v>
      </c>
      <c r="B118" t="s">
        <v>317</v>
      </c>
      <c r="C118" s="42" t="s">
        <v>340</v>
      </c>
      <c r="D118" t="s">
        <v>341</v>
      </c>
      <c r="E118" s="8" cm="1">
        <f t="array" aca="1" ref="E118" ca="1">_xlfn.XLOOKUP(Table11[[#This Row],[Admin2PCODE]], tblPiNAnalysis[Admin2PCODE], INDIRECT("tblPiNAnalysis[" &amp; Table11[[#Headers],[Población]] &amp; "]"), "NOT FOUND", 0, 1)</f>
        <v>25491</v>
      </c>
      <c r="F118" s="8" cm="1">
        <f t="array" aca="1" ref="F118" ca="1">_xlfn.XLOOKUP(Table11[[#This Row],[Admin2PCODE]], tblPiNAnalysis[Admin2PCODE], INDIRECT("tblPiNAnalysis[" &amp; Table11[[#Headers],[SAMV]] &amp; "]"), "NOT FOUND", 0, 1)</f>
        <v>3089</v>
      </c>
      <c r="G118" s="8" cm="1">
        <f t="array" aca="1" ref="G118" ca="1">_xlfn.XLOOKUP(Table11[[#This Row],[Admin2PCODE]], tblPiNAnalysis[Admin2PCODE], INDIRECT("tblPiNAnalysis[" &amp; Table11[[#Headers],[NUT]] &amp; "]"), "NOT FOUND", 0, 1)</f>
        <v>1434.2983296366374</v>
      </c>
      <c r="H118" s="8" cm="1">
        <f t="array" aca="1" ref="H118" ca="1">_xlfn.XLOOKUP(Table11[[#This Row],[Admin2PCODE]], tblPiNAnalysis[Admin2PCODE], INDIRECT("tblPiNAnalysis[" &amp; Table11[[#Headers],[SAL]] &amp; "]"), "NOT FOUND", 0, 1)</f>
        <v>11200</v>
      </c>
      <c r="I118" s="8" cm="1">
        <f t="array" aca="1" ref="I118" ca="1">_xlfn.XLOOKUP(Table11[[#This Row],[Admin2PCODE]], tblPiNAnalysis[Admin2PCODE], INDIRECT("tblPiNAnalysis[" &amp; Table11[[#Headers],[EDU]] &amp; "]"), "NOT FOUND", 0, 1)</f>
        <v>1658.8970476193463</v>
      </c>
      <c r="J118" s="8" cm="1">
        <f t="array" aca="1" ref="J118" ca="1">_xlfn.XLOOKUP(Table11[[#This Row],[Admin2PCODE]], tblPiNAnalysis[Admin2PCODE], INDIRECT("tblPiNAnalysis[" &amp; Table11[[#Headers],[PRO]] &amp; "]"), "NOT FOUND", 0, 1)</f>
        <v>6100.6430133808199</v>
      </c>
      <c r="K118" s="8" cm="1">
        <f t="array" aca="1" ref="K118" ca="1">_xlfn.XLOOKUP(Table11[[#This Row],[Admin2PCODE]], tblPiNAnalysis[Admin2PCODE], INDIRECT("tblPiNAnalysis[" &amp; Table11[[#Headers],[ASH]] &amp; "]"), "NOT FOUND", 0, 1)</f>
        <v>11470.95</v>
      </c>
      <c r="L118" s="8" cm="1">
        <f t="array" aca="1" ref="L118" ca="1">_xlfn.XLOOKUP(Table11[[#This Row],[Admin2PCODE]], tblPiNAnalysis[Admin2PCODE], INDIRECT("tblPiNAnalysis[" &amp; Table11[[#Headers],[NNA]] &amp; "]"), "NOT FOUND", 0, 1)</f>
        <v>1958.3064072952432</v>
      </c>
      <c r="M118" s="8" cm="1">
        <f t="array" aca="1" ref="M118" ca="1">_xlfn.XLOOKUP(Table11[[#This Row],[Admin2PCODE]], tblPiNAnalysis[Admin2PCODE], INDIRECT("tblPiNAnalysis[" &amp; Table11[[#Headers],[VBG]] &amp; "]"), "NOT FOUND", 0, 1)</f>
        <v>2135.225054683287</v>
      </c>
      <c r="N118" s="8" cm="1">
        <f t="array" aca="1" ref="N118" ca="1">_xlfn.XLOOKUP(Table11[[#This Row],[Admin2PCODE]], tblPiNAnalysis[Admin2PCODE], INDIRECT("tblPiNAnalysis[" &amp; Table11[[#Headers],[PiN más alto]] &amp; "]"), "NOT FOUND", 0, 1)</f>
        <v>11470.95</v>
      </c>
      <c r="O118" t="str" cm="1">
        <f t="array" aca="1" ref="O118" ca="1">_xlfn.XLOOKUP(Table11[[#This Row],[Admin2PCODE]], tblPiNAnalysis[Admin2PCODE], INDIRECT("tblPiNAnalysis[" &amp; Table11[[#Headers],[Sectores más altos]] &amp; "]"), "NOT FOUND", 0, 1)</f>
        <v>ASH</v>
      </c>
      <c r="P118" cm="1">
        <f t="array" ref="P118">_xlfn.XLOOKUP(Table11[[#This Row],[Admin2PCODE]], tblPiNAnalysis[Admin2PCODE], tblPiNAnalysis[Severidad], "NOT FOUND", 0, 1)</f>
        <v>4</v>
      </c>
      <c r="Q118" s="318">
        <v>0.5</v>
      </c>
      <c r="R118" s="318">
        <v>0.33333333333333331</v>
      </c>
      <c r="S118" s="318">
        <v>0.16666666666666666</v>
      </c>
      <c r="T118">
        <v>1</v>
      </c>
      <c r="W118">
        <f>_xlfn.XLOOKUP(Table11[[#This Row],[Admin2PCODE]],tblSeverityAnalysis[Admin 2 Código P],tblSeverityAnalysis[PRO],0,0)</f>
        <v>4</v>
      </c>
      <c r="Y118">
        <v>0</v>
      </c>
      <c r="Z118">
        <v>0</v>
      </c>
      <c r="AA118">
        <f t="shared" si="1"/>
        <v>0</v>
      </c>
    </row>
    <row r="119" spans="1:27">
      <c r="A119" t="s">
        <v>316</v>
      </c>
      <c r="B119" t="s">
        <v>317</v>
      </c>
      <c r="C119" s="42" t="s">
        <v>276</v>
      </c>
      <c r="D119" t="s">
        <v>342</v>
      </c>
      <c r="E119" s="8" cm="1">
        <f t="array" aca="1" ref="E119" ca="1">_xlfn.XLOOKUP(Table11[[#This Row],[Admin2PCODE]], tblPiNAnalysis[Admin2PCODE], INDIRECT("tblPiNAnalysis[" &amp; Table11[[#Headers],[Población]] &amp; "]"), "NOT FOUND", 0, 1)</f>
        <v>216316</v>
      </c>
      <c r="F119" s="8" cm="1">
        <f t="array" aca="1" ref="F119" ca="1">_xlfn.XLOOKUP(Table11[[#This Row],[Admin2PCODE]], tblPiNAnalysis[Admin2PCODE], INDIRECT("tblPiNAnalysis[" &amp; Table11[[#Headers],[SAMV]] &amp; "]"), "NOT FOUND", 0, 1)</f>
        <v>60234</v>
      </c>
      <c r="G119" s="8" cm="1">
        <f t="array" aca="1" ref="G119" ca="1">_xlfn.XLOOKUP(Table11[[#This Row],[Admin2PCODE]], tblPiNAnalysis[Admin2PCODE], INDIRECT("tblPiNAnalysis[" &amp; Table11[[#Headers],[NUT]] &amp; "]"), "NOT FOUND", 0, 1)</f>
        <v>13084.568833454498</v>
      </c>
      <c r="H119" s="8" cm="1">
        <f t="array" aca="1" ref="H119" ca="1">_xlfn.XLOOKUP(Table11[[#This Row],[Admin2PCODE]], tblPiNAnalysis[Admin2PCODE], INDIRECT("tblPiNAnalysis[" &amp; Table11[[#Headers],[SAL]] &amp; "]"), "NOT FOUND", 0, 1)</f>
        <v>78955.34</v>
      </c>
      <c r="I119" s="8" cm="1">
        <f t="array" aca="1" ref="I119" ca="1">_xlfn.XLOOKUP(Table11[[#This Row],[Admin2PCODE]], tblPiNAnalysis[Admin2PCODE], INDIRECT("tblPiNAnalysis[" &amp; Table11[[#Headers],[EDU]] &amp; "]"), "NOT FOUND", 0, 1)</f>
        <v>18116.337224203919</v>
      </c>
      <c r="J119" s="8" cm="1">
        <f t="array" aca="1" ref="J119" ca="1">_xlfn.XLOOKUP(Table11[[#This Row],[Admin2PCODE]], tblPiNAnalysis[Admin2PCODE], INDIRECT("tblPiNAnalysis[" &amp; Table11[[#Headers],[PRO]] &amp; "]"), "NOT FOUND", 0, 1)</f>
        <v>51769.906793867834</v>
      </c>
      <c r="K119" s="8" cm="1">
        <f t="array" aca="1" ref="K119" ca="1">_xlfn.XLOOKUP(Table11[[#This Row],[Admin2PCODE]], tblPiNAnalysis[Admin2PCODE], INDIRECT("tblPiNAnalysis[" &amp; Table11[[#Headers],[ASH]] &amp; "]"), "NOT FOUND", 0, 1)</f>
        <v>0</v>
      </c>
      <c r="L119" s="8" cm="1">
        <f t="array" aca="1" ref="L119" ca="1">_xlfn.XLOOKUP(Table11[[#This Row],[Admin2PCODE]], tblPiNAnalysis[Admin2PCODE], INDIRECT("tblPiNAnalysis[" &amp; Table11[[#Headers],[NNA]] &amp; "]"), "NOT FOUND", 0, 1)</f>
        <v>16566.370174037707</v>
      </c>
      <c r="M119" s="8" cm="1">
        <f t="array" aca="1" ref="M119" ca="1">_xlfn.XLOOKUP(Table11[[#This Row],[Admin2PCODE]], tblPiNAnalysis[Admin2PCODE], INDIRECT("tblPiNAnalysis[" &amp; Table11[[#Headers],[VBG]] &amp; "]"), "NOT FOUND", 0, 1)</f>
        <v>18119.46737785374</v>
      </c>
      <c r="N119" s="8" cm="1">
        <f t="array" aca="1" ref="N119" ca="1">_xlfn.XLOOKUP(Table11[[#This Row],[Admin2PCODE]], tblPiNAnalysis[Admin2PCODE], INDIRECT("tblPiNAnalysis[" &amp; Table11[[#Headers],[PiN más alto]] &amp; "]"), "NOT FOUND", 0, 1)</f>
        <v>78955.34</v>
      </c>
      <c r="O119" t="str" cm="1">
        <f t="array" aca="1" ref="O119" ca="1">_xlfn.XLOOKUP(Table11[[#This Row],[Admin2PCODE]], tblPiNAnalysis[Admin2PCODE], INDIRECT("tblPiNAnalysis[" &amp; Table11[[#Headers],[Sectores más altos]] &amp; "]"), "NOT FOUND", 0, 1)</f>
        <v>SAL</v>
      </c>
      <c r="P119" cm="1">
        <f t="array" ref="P119">_xlfn.XLOOKUP(Table11[[#This Row],[Admin2PCODE]], tblPiNAnalysis[Admin2PCODE], tblPiNAnalysis[Severidad], "NOT FOUND", 0, 1)</f>
        <v>3</v>
      </c>
      <c r="Q119" s="318">
        <v>0.25806451612903225</v>
      </c>
      <c r="R119" s="318">
        <v>0.35912698412698418</v>
      </c>
      <c r="S119" s="318">
        <v>9.2677931387608825E-2</v>
      </c>
      <c r="T119">
        <v>0</v>
      </c>
      <c r="W119">
        <f>_xlfn.XLOOKUP(Table11[[#This Row],[Admin2PCODE]],tblSeverityAnalysis[Admin 2 Código P],tblSeverityAnalysis[PRO],0,0)</f>
        <v>4</v>
      </c>
      <c r="Y119">
        <v>0</v>
      </c>
      <c r="Z119">
        <v>0</v>
      </c>
      <c r="AA119">
        <f t="shared" si="1"/>
        <v>0</v>
      </c>
    </row>
    <row r="120" spans="1:27">
      <c r="A120" t="s">
        <v>316</v>
      </c>
      <c r="B120" t="s">
        <v>317</v>
      </c>
      <c r="C120" s="42" t="s">
        <v>343</v>
      </c>
      <c r="D120" t="s">
        <v>344</v>
      </c>
      <c r="E120" s="8" cm="1">
        <f t="array" aca="1" ref="E120" ca="1">_xlfn.XLOOKUP(Table11[[#This Row],[Admin2PCODE]], tblPiNAnalysis[Admin2PCODE], INDIRECT("tblPiNAnalysis[" &amp; Table11[[#Headers],[Población]] &amp; "]"), "NOT FOUND", 0, 1)</f>
        <v>19740</v>
      </c>
      <c r="F120" s="8" cm="1">
        <f t="array" aca="1" ref="F120" ca="1">_xlfn.XLOOKUP(Table11[[#This Row],[Admin2PCODE]], tblPiNAnalysis[Admin2PCODE], INDIRECT("tblPiNAnalysis[" &amp; Table11[[#Headers],[SAMV]] &amp; "]"), "NOT FOUND", 0, 1)</f>
        <v>0</v>
      </c>
      <c r="G120" s="8" cm="1">
        <f t="array" aca="1" ref="G120" ca="1">_xlfn.XLOOKUP(Table11[[#This Row],[Admin2PCODE]], tblPiNAnalysis[Admin2PCODE], INDIRECT("tblPiNAnalysis[" &amp; Table11[[#Headers],[NUT]] &amp; "]"), "NOT FOUND", 0, 1)</f>
        <v>1509.786920248705</v>
      </c>
      <c r="H120" s="8" cm="1">
        <f t="array" aca="1" ref="H120" ca="1">_xlfn.XLOOKUP(Table11[[#This Row],[Admin2PCODE]], tblPiNAnalysis[Admin2PCODE], INDIRECT("tblPiNAnalysis[" &amp; Table11[[#Headers],[SAL]] &amp; "]"), "NOT FOUND", 0, 1)</f>
        <v>7205.1</v>
      </c>
      <c r="I120" s="8" cm="1">
        <f t="array" aca="1" ref="I120" ca="1">_xlfn.XLOOKUP(Table11[[#This Row],[Admin2PCODE]], tblPiNAnalysis[Admin2PCODE], INDIRECT("tblPiNAnalysis[" &amp; Table11[[#Headers],[EDU]] &amp; "]"), "NOT FOUND", 0, 1)</f>
        <v>1104.3965335057878</v>
      </c>
      <c r="J120" s="8" cm="1">
        <f t="array" aca="1" ref="J120" ca="1">_xlfn.XLOOKUP(Table11[[#This Row],[Admin2PCODE]], tblPiNAnalysis[Admin2PCODE], INDIRECT("tblPiNAnalysis[" &amp; Table11[[#Headers],[PRO]] &amp; "]"), "NOT FOUND", 0, 1)</f>
        <v>3936.9023408306639</v>
      </c>
      <c r="K120" s="8" cm="1">
        <f t="array" aca="1" ref="K120" ca="1">_xlfn.XLOOKUP(Table11[[#This Row],[Admin2PCODE]], tblPiNAnalysis[Admin2PCODE], INDIRECT("tblPiNAnalysis[" &amp; Table11[[#Headers],[ASH]] &amp; "]"), "NOT FOUND", 0, 1)</f>
        <v>11844</v>
      </c>
      <c r="L120" s="8" cm="1">
        <f t="array" aca="1" ref="L120" ca="1">_xlfn.XLOOKUP(Table11[[#This Row],[Admin2PCODE]], tblPiNAnalysis[Admin2PCODE], INDIRECT("tblPiNAnalysis[" &amp; Table11[[#Headers],[NNA]] &amp; "]"), "NOT FOUND", 0, 1)</f>
        <v>1259.8087490658124</v>
      </c>
      <c r="M120" s="8" cm="1">
        <f t="array" aca="1" ref="M120" ca="1">_xlfn.XLOOKUP(Table11[[#This Row],[Admin2PCODE]], tblPiNAnalysis[Admin2PCODE], INDIRECT("tblPiNAnalysis[" &amp; Table11[[#Headers],[VBG]] &amp; "]"), "NOT FOUND", 0, 1)</f>
        <v>1377.9158192907323</v>
      </c>
      <c r="N120" s="8" cm="1">
        <f t="array" aca="1" ref="N120" ca="1">_xlfn.XLOOKUP(Table11[[#This Row],[Admin2PCODE]], tblPiNAnalysis[Admin2PCODE], INDIRECT("tblPiNAnalysis[" &amp; Table11[[#Headers],[PiN más alto]] &amp; "]"), "NOT FOUND", 0, 1)</f>
        <v>11844</v>
      </c>
      <c r="O120" t="str" cm="1">
        <f t="array" aca="1" ref="O120" ca="1">_xlfn.XLOOKUP(Table11[[#This Row],[Admin2PCODE]], tblPiNAnalysis[Admin2PCODE], INDIRECT("tblPiNAnalysis[" &amp; Table11[[#Headers],[Sectores más altos]] &amp; "]"), "NOT FOUND", 0, 1)</f>
        <v>ASH</v>
      </c>
      <c r="P120" cm="1">
        <f t="array" ref="P120">_xlfn.XLOOKUP(Table11[[#This Row],[Admin2PCODE]], tblPiNAnalysis[Admin2PCODE], tblPiNAnalysis[Severidad], "NOT FOUND", 0, 1)</f>
        <v>3</v>
      </c>
      <c r="Q120" s="318">
        <v>0</v>
      </c>
      <c r="R120" s="318">
        <v>0</v>
      </c>
      <c r="S120" s="318">
        <v>0</v>
      </c>
      <c r="T120">
        <v>0</v>
      </c>
      <c r="W120">
        <f>_xlfn.XLOOKUP(Table11[[#This Row],[Admin2PCODE]],tblSeverityAnalysis[Admin 2 Código P],tblSeverityAnalysis[PRO],0,0)</f>
        <v>3</v>
      </c>
      <c r="Y120">
        <v>0</v>
      </c>
      <c r="Z120">
        <v>5.85</v>
      </c>
      <c r="AA120">
        <f t="shared" si="1"/>
        <v>6</v>
      </c>
    </row>
    <row r="121" spans="1:27">
      <c r="A121" t="s">
        <v>316</v>
      </c>
      <c r="B121" t="s">
        <v>317</v>
      </c>
      <c r="C121" s="42" t="s">
        <v>345</v>
      </c>
      <c r="D121" t="s">
        <v>346</v>
      </c>
      <c r="E121" s="8" cm="1">
        <f t="array" aca="1" ref="E121" ca="1">_xlfn.XLOOKUP(Table11[[#This Row],[Admin2PCODE]], tblPiNAnalysis[Admin2PCODE], INDIRECT("tblPiNAnalysis[" &amp; Table11[[#Headers],[Población]] &amp; "]"), "NOT FOUND", 0, 1)</f>
        <v>7236</v>
      </c>
      <c r="F121" s="8" cm="1">
        <f t="array" aca="1" ref="F121" ca="1">_xlfn.XLOOKUP(Table11[[#This Row],[Admin2PCODE]], tblPiNAnalysis[Admin2PCODE], INDIRECT("tblPiNAnalysis[" &amp; Table11[[#Headers],[SAMV]] &amp; "]"), "NOT FOUND", 0, 1)</f>
        <v>1025</v>
      </c>
      <c r="G121" s="8" cm="1">
        <f t="array" aca="1" ref="G121" ca="1">_xlfn.XLOOKUP(Table11[[#This Row],[Admin2PCODE]], tblPiNAnalysis[Admin2PCODE], INDIRECT("tblPiNAnalysis[" &amp; Table11[[#Headers],[NUT]] &amp; "]"), "NOT FOUND", 0, 1)</f>
        <v>257.8809837219161</v>
      </c>
      <c r="H121" s="8" cm="1">
        <f t="array" aca="1" ref="H121" ca="1">_xlfn.XLOOKUP(Table11[[#This Row],[Admin2PCODE]], tblPiNAnalysis[Admin2PCODE], INDIRECT("tblPiNAnalysis[" &amp; Table11[[#Headers],[SAL]] &amp; "]"), "NOT FOUND", 0, 1)</f>
        <v>2800</v>
      </c>
      <c r="I121" s="8" cm="1">
        <f t="array" aca="1" ref="I121" ca="1">_xlfn.XLOOKUP(Table11[[#This Row],[Admin2PCODE]], tblPiNAnalysis[Admin2PCODE], INDIRECT("tblPiNAnalysis[" &amp; Table11[[#Headers],[EDU]] &amp; "]"), "NOT FOUND", 0, 1)</f>
        <v>966.93994402349165</v>
      </c>
      <c r="J121" s="8" cm="1">
        <f t="array" aca="1" ref="J121" ca="1">_xlfn.XLOOKUP(Table11[[#This Row],[Admin2PCODE]], tblPiNAnalysis[Admin2PCODE], INDIRECT("tblPiNAnalysis[" &amp; Table11[[#Headers],[PRO]] &amp; "]"), "NOT FOUND", 0, 1)</f>
        <v>1443.131982687471</v>
      </c>
      <c r="K121" s="8" cm="1">
        <f t="array" aca="1" ref="K121" ca="1">_xlfn.XLOOKUP(Table11[[#This Row],[Admin2PCODE]], tblPiNAnalysis[Admin2PCODE], INDIRECT("tblPiNAnalysis[" &amp; Table11[[#Headers],[ASH]] &amp; "]"), "NOT FOUND", 0, 1)</f>
        <v>0</v>
      </c>
      <c r="L121" s="8" cm="1">
        <f t="array" aca="1" ref="L121" ca="1">_xlfn.XLOOKUP(Table11[[#This Row],[Admin2PCODE]], tblPiNAnalysis[Admin2PCODE], INDIRECT("tblPiNAnalysis[" &amp; Table11[[#Headers],[NNA]] &amp; "]"), "NOT FOUND", 0, 1)</f>
        <v>463.24536644267823</v>
      </c>
      <c r="M121" s="8" cm="1">
        <f t="array" aca="1" ref="M121" ca="1">_xlfn.XLOOKUP(Table11[[#This Row],[Admin2PCODE]], tblPiNAnalysis[Admin2PCODE], INDIRECT("tblPiNAnalysis[" &amp; Table11[[#Headers],[VBG]] &amp; "]"), "NOT FOUND", 0, 1)</f>
        <v>505.09619394061485</v>
      </c>
      <c r="N121" s="8" cm="1">
        <f t="array" aca="1" ref="N121" ca="1">_xlfn.XLOOKUP(Table11[[#This Row],[Admin2PCODE]], tblPiNAnalysis[Admin2PCODE], INDIRECT("tblPiNAnalysis[" &amp; Table11[[#Headers],[PiN más alto]] &amp; "]"), "NOT FOUND", 0, 1)</f>
        <v>2800</v>
      </c>
      <c r="O121" t="str" cm="1">
        <f t="array" aca="1" ref="O121" ca="1">_xlfn.XLOOKUP(Table11[[#This Row],[Admin2PCODE]], tblPiNAnalysis[Admin2PCODE], INDIRECT("tblPiNAnalysis[" &amp; Table11[[#Headers],[Sectores más altos]] &amp; "]"), "NOT FOUND", 0, 1)</f>
        <v>SAL</v>
      </c>
      <c r="P121" cm="1">
        <f t="array" ref="P121">_xlfn.XLOOKUP(Table11[[#This Row],[Admin2PCODE]], tblPiNAnalysis[Admin2PCODE], tblPiNAnalysis[Severidad], "NOT FOUND", 0, 1)</f>
        <v>3</v>
      </c>
      <c r="Q121" s="318">
        <v>0.5</v>
      </c>
      <c r="R121" s="318">
        <v>0.55555555555555536</v>
      </c>
      <c r="S121" s="318">
        <v>0.27777777777777768</v>
      </c>
      <c r="T121">
        <v>0</v>
      </c>
      <c r="W121">
        <f>_xlfn.XLOOKUP(Table11[[#This Row],[Admin2PCODE]],tblSeverityAnalysis[Admin 2 Código P],tblSeverityAnalysis[PRO],0,0)</f>
        <v>3</v>
      </c>
      <c r="Y121">
        <v>2</v>
      </c>
      <c r="Z121">
        <v>0</v>
      </c>
      <c r="AA121">
        <f t="shared" si="1"/>
        <v>0</v>
      </c>
    </row>
    <row r="122" spans="1:27">
      <c r="A122" t="s">
        <v>316</v>
      </c>
      <c r="B122" t="s">
        <v>317</v>
      </c>
      <c r="C122" s="42" t="s">
        <v>347</v>
      </c>
      <c r="D122" t="s">
        <v>348</v>
      </c>
      <c r="E122" s="8" cm="1">
        <f t="array" aca="1" ref="E122" ca="1">_xlfn.XLOOKUP(Table11[[#This Row],[Admin2PCODE]], tblPiNAnalysis[Admin2PCODE], INDIRECT("tblPiNAnalysis[" &amp; Table11[[#Headers],[Población]] &amp; "]"), "NOT FOUND", 0, 1)</f>
        <v>14026</v>
      </c>
      <c r="F122" s="8" cm="1">
        <f t="array" aca="1" ref="F122" ca="1">_xlfn.XLOOKUP(Table11[[#This Row],[Admin2PCODE]], tblPiNAnalysis[Admin2PCODE], INDIRECT("tblPiNAnalysis[" &amp; Table11[[#Headers],[SAMV]] &amp; "]"), "NOT FOUND", 0, 1)</f>
        <v>2727</v>
      </c>
      <c r="G122" s="8" cm="1">
        <f t="array" aca="1" ref="G122" ca="1">_xlfn.XLOOKUP(Table11[[#This Row],[Admin2PCODE]], tblPiNAnalysis[Admin2PCODE], INDIRECT("tblPiNAnalysis[" &amp; Table11[[#Headers],[NUT]] &amp; "]"), "NOT FOUND", 0, 1)</f>
        <v>540.28139075847002</v>
      </c>
      <c r="H122" s="8" cm="1">
        <f t="array" aca="1" ref="H122" ca="1">_xlfn.XLOOKUP(Table11[[#This Row],[Admin2PCODE]], tblPiNAnalysis[Admin2PCODE], INDIRECT("tblPiNAnalysis[" &amp; Table11[[#Headers],[SAL]] &amp; "]"), "NOT FOUND", 0, 1)</f>
        <v>7700</v>
      </c>
      <c r="I122" s="8" cm="1">
        <f t="array" aca="1" ref="I122" ca="1">_xlfn.XLOOKUP(Table11[[#This Row],[Admin2PCODE]], tblPiNAnalysis[Admin2PCODE], INDIRECT("tblPiNAnalysis[" &amp; Table11[[#Headers],[EDU]] &amp; "]"), "NOT FOUND", 0, 1)</f>
        <v>867.92845520858828</v>
      </c>
      <c r="J122" s="8" cm="1">
        <f t="array" aca="1" ref="J122" ca="1">_xlfn.XLOOKUP(Table11[[#This Row],[Admin2PCODE]], tblPiNAnalysis[Admin2PCODE], INDIRECT("tblPiNAnalysis[" &amp; Table11[[#Headers],[PRO]] &amp; "]"), "NOT FOUND", 0, 1)</f>
        <v>2797.31470276043</v>
      </c>
      <c r="K122" s="8" cm="1">
        <f t="array" aca="1" ref="K122" ca="1">_xlfn.XLOOKUP(Table11[[#This Row],[Admin2PCODE]], tblPiNAnalysis[Admin2PCODE], INDIRECT("tblPiNAnalysis[" &amp; Table11[[#Headers],[ASH]] &amp; "]"), "NOT FOUND", 0, 1)</f>
        <v>1893.5099999999998</v>
      </c>
      <c r="L122" s="8" cm="1">
        <f t="array" aca="1" ref="L122" ca="1">_xlfn.XLOOKUP(Table11[[#This Row],[Admin2PCODE]], tblPiNAnalysis[Admin2PCODE], INDIRECT("tblPiNAnalysis[" &amp; Table11[[#Headers],[NNA]] &amp; "]"), "NOT FOUND", 0, 1)</f>
        <v>895.14070488333755</v>
      </c>
      <c r="M122" s="8" cm="1">
        <f t="array" aca="1" ref="M122" ca="1">_xlfn.XLOOKUP(Table11[[#This Row],[Admin2PCODE]], tblPiNAnalysis[Admin2PCODE], INDIRECT("tblPiNAnalysis[" &amp; Table11[[#Headers],[VBG]] &amp; "]"), "NOT FOUND", 0, 1)</f>
        <v>979.06014596615046</v>
      </c>
      <c r="N122" s="8" cm="1">
        <f t="array" aca="1" ref="N122" ca="1">_xlfn.XLOOKUP(Table11[[#This Row],[Admin2PCODE]], tblPiNAnalysis[Admin2PCODE], INDIRECT("tblPiNAnalysis[" &amp; Table11[[#Headers],[PiN más alto]] &amp; "]"), "NOT FOUND", 0, 1)</f>
        <v>7700</v>
      </c>
      <c r="O122" t="str" cm="1">
        <f t="array" aca="1" ref="O122" ca="1">_xlfn.XLOOKUP(Table11[[#This Row],[Admin2PCODE]], tblPiNAnalysis[Admin2PCODE], INDIRECT("tblPiNAnalysis[" &amp; Table11[[#Headers],[Sectores más altos]] &amp; "]"), "NOT FOUND", 0, 1)</f>
        <v>SAL</v>
      </c>
      <c r="P122" cm="1">
        <f t="array" ref="P122">_xlfn.XLOOKUP(Table11[[#This Row],[Admin2PCODE]], tblPiNAnalysis[Admin2PCODE], tblPiNAnalysis[Severidad], "NOT FOUND", 0, 1)</f>
        <v>3</v>
      </c>
      <c r="Q122" s="318">
        <v>0.23529411764705882</v>
      </c>
      <c r="R122" s="318">
        <v>0.33333333333333331</v>
      </c>
      <c r="S122" s="318">
        <v>7.8431372549019607E-2</v>
      </c>
      <c r="T122">
        <v>0</v>
      </c>
      <c r="W122">
        <f>_xlfn.XLOOKUP(Table11[[#This Row],[Admin2PCODE]],tblSeverityAnalysis[Admin 2 Código P],tblSeverityAnalysis[PRO],0,0)</f>
        <v>3</v>
      </c>
      <c r="Y122">
        <v>0</v>
      </c>
      <c r="Z122">
        <v>0</v>
      </c>
      <c r="AA122">
        <f t="shared" si="1"/>
        <v>0</v>
      </c>
    </row>
    <row r="123" spans="1:27">
      <c r="A123" t="s">
        <v>316</v>
      </c>
      <c r="B123" t="s">
        <v>317</v>
      </c>
      <c r="C123" s="42" t="s">
        <v>147</v>
      </c>
      <c r="D123" t="s">
        <v>349</v>
      </c>
      <c r="E123" s="8" cm="1">
        <f t="array" aca="1" ref="E123" ca="1">_xlfn.XLOOKUP(Table11[[#This Row],[Admin2PCODE]], tblPiNAnalysis[Admin2PCODE], INDIRECT("tblPiNAnalysis[" &amp; Table11[[#Headers],[Población]] &amp; "]"), "NOT FOUND", 0, 1)</f>
        <v>10869</v>
      </c>
      <c r="F123" s="8" cm="1">
        <f t="array" aca="1" ref="F123" ca="1">_xlfn.XLOOKUP(Table11[[#This Row],[Admin2PCODE]], tblPiNAnalysis[Admin2PCODE], INDIRECT("tblPiNAnalysis[" &amp; Table11[[#Headers],[SAMV]] &amp; "]"), "NOT FOUND", 0, 1)</f>
        <v>1418</v>
      </c>
      <c r="G123" s="8" cm="1">
        <f t="array" aca="1" ref="G123" ca="1">_xlfn.XLOOKUP(Table11[[#This Row],[Admin2PCODE]], tblPiNAnalysis[Admin2PCODE], INDIRECT("tblPiNAnalysis[" &amp; Table11[[#Headers],[NUT]] &amp; "]"), "NOT FOUND", 0, 1)</f>
        <v>916.92668144987113</v>
      </c>
      <c r="H123" s="8" cm="1">
        <f t="array" aca="1" ref="H123" ca="1">_xlfn.XLOOKUP(Table11[[#This Row],[Admin2PCODE]], tblPiNAnalysis[Admin2PCODE], INDIRECT("tblPiNAnalysis[" &amp; Table11[[#Headers],[SAL]] &amp; "]"), "NOT FOUND", 0, 1)</f>
        <v>8400</v>
      </c>
      <c r="I123" s="8" cm="1">
        <f t="array" aca="1" ref="I123" ca="1">_xlfn.XLOOKUP(Table11[[#This Row],[Admin2PCODE]], tblPiNAnalysis[Admin2PCODE], INDIRECT("tblPiNAnalysis[" &amp; Table11[[#Headers],[EDU]] &amp; "]"), "NOT FOUND", 0, 1)</f>
        <v>932.3776863418052</v>
      </c>
      <c r="J123" s="8" cm="1">
        <f t="array" aca="1" ref="J123" ca="1">_xlfn.XLOOKUP(Table11[[#This Row],[Admin2PCODE]], tblPiNAnalysis[Admin2PCODE], INDIRECT("tblPiNAnalysis[" &amp; Table11[[#Headers],[PRO]] &amp; "]"), "NOT FOUND", 0, 1)</f>
        <v>2167.6895411594974</v>
      </c>
      <c r="K123" s="8" cm="1">
        <f t="array" aca="1" ref="K123" ca="1">_xlfn.XLOOKUP(Table11[[#This Row],[Admin2PCODE]], tblPiNAnalysis[Admin2PCODE], INDIRECT("tblPiNAnalysis[" &amp; Table11[[#Headers],[ASH]] &amp; "]"), "NOT FOUND", 0, 1)</f>
        <v>6521.4</v>
      </c>
      <c r="L123" s="8" cm="1">
        <f t="array" aca="1" ref="L123" ca="1">_xlfn.XLOOKUP(Table11[[#This Row],[Admin2PCODE]], tblPiNAnalysis[Admin2PCODE], INDIRECT("tblPiNAnalysis[" &amp; Table11[[#Headers],[NNA]] &amp; "]"), "NOT FOUND", 0, 1)</f>
        <v>693.66065317103926</v>
      </c>
      <c r="M123" s="8" cm="1">
        <f t="array" aca="1" ref="M123" ca="1">_xlfn.XLOOKUP(Table11[[#This Row],[Admin2PCODE]], tblPiNAnalysis[Admin2PCODE], INDIRECT("tblPiNAnalysis[" &amp; Table11[[#Headers],[VBG]] &amp; "]"), "NOT FOUND", 0, 1)</f>
        <v>758.69133940582401</v>
      </c>
      <c r="N123" s="8" cm="1">
        <f t="array" aca="1" ref="N123" ca="1">_xlfn.XLOOKUP(Table11[[#This Row],[Admin2PCODE]], tblPiNAnalysis[Admin2PCODE], INDIRECT("tblPiNAnalysis[" &amp; Table11[[#Headers],[PiN más alto]] &amp; "]"), "NOT FOUND", 0, 1)</f>
        <v>8400</v>
      </c>
      <c r="O123" t="str" cm="1">
        <f t="array" aca="1" ref="O123" ca="1">_xlfn.XLOOKUP(Table11[[#This Row],[Admin2PCODE]], tblPiNAnalysis[Admin2PCODE], INDIRECT("tblPiNAnalysis[" &amp; Table11[[#Headers],[Sectores más altos]] &amp; "]"), "NOT FOUND", 0, 1)</f>
        <v>SAL</v>
      </c>
      <c r="P123" cm="1">
        <f t="array" ref="P123">_xlfn.XLOOKUP(Table11[[#This Row],[Admin2PCODE]], tblPiNAnalysis[Admin2PCODE], tblPiNAnalysis[Severidad], "NOT FOUND", 0, 1)</f>
        <v>3</v>
      </c>
      <c r="Q123" s="318">
        <v>0</v>
      </c>
      <c r="R123" s="318">
        <v>0</v>
      </c>
      <c r="S123" s="318">
        <v>0</v>
      </c>
      <c r="T123">
        <v>1</v>
      </c>
      <c r="W123">
        <f>_xlfn.XLOOKUP(Table11[[#This Row],[Admin2PCODE]],tblSeverityAnalysis[Admin 2 Código P],tblSeverityAnalysis[PRO],0,0)</f>
        <v>3</v>
      </c>
      <c r="Y123">
        <v>0</v>
      </c>
      <c r="Z123">
        <v>0</v>
      </c>
      <c r="AA123">
        <f t="shared" si="1"/>
        <v>0</v>
      </c>
    </row>
    <row r="124" spans="1:27">
      <c r="A124" t="s">
        <v>316</v>
      </c>
      <c r="B124" t="s">
        <v>317</v>
      </c>
      <c r="C124" s="42" t="s">
        <v>350</v>
      </c>
      <c r="D124" t="s">
        <v>351</v>
      </c>
      <c r="E124" s="8" cm="1">
        <f t="array" aca="1" ref="E124" ca="1">_xlfn.XLOOKUP(Table11[[#This Row],[Admin2PCODE]], tblPiNAnalysis[Admin2PCODE], INDIRECT("tblPiNAnalysis[" &amp; Table11[[#Headers],[Población]] &amp; "]"), "NOT FOUND", 0, 1)</f>
        <v>11285</v>
      </c>
      <c r="F124" s="8" cm="1">
        <f t="array" aca="1" ref="F124" ca="1">_xlfn.XLOOKUP(Table11[[#This Row],[Admin2PCODE]], tblPiNAnalysis[Admin2PCODE], INDIRECT("tblPiNAnalysis[" &amp; Table11[[#Headers],[SAMV]] &amp; "]"), "NOT FOUND", 0, 1)</f>
        <v>1504</v>
      </c>
      <c r="G124" s="8" cm="1">
        <f t="array" aca="1" ref="G124" ca="1">_xlfn.XLOOKUP(Table11[[#This Row],[Admin2PCODE]], tblPiNAnalysis[Admin2PCODE], INDIRECT("tblPiNAnalysis[" &amp; Table11[[#Headers],[NUT]] &amp; "]"), "NOT FOUND", 0, 1)</f>
        <v>305.44893935630103</v>
      </c>
      <c r="H124" s="8" cm="1">
        <f t="array" aca="1" ref="H124" ca="1">_xlfn.XLOOKUP(Table11[[#This Row],[Admin2PCODE]], tblPiNAnalysis[Admin2PCODE], INDIRECT("tblPiNAnalysis[" &amp; Table11[[#Headers],[SAL]] &amp; "]"), "NOT FOUND", 0, 1)</f>
        <v>4900</v>
      </c>
      <c r="I124" s="8" cm="1">
        <f t="array" aca="1" ref="I124" ca="1">_xlfn.XLOOKUP(Table11[[#This Row],[Admin2PCODE]], tblPiNAnalysis[Admin2PCODE], INDIRECT("tblPiNAnalysis[" &amp; Table11[[#Headers],[EDU]] &amp; "]"), "NOT FOUND", 0, 1)</f>
        <v>835.38964084982274</v>
      </c>
      <c r="J124" s="8" cm="1">
        <f t="array" aca="1" ref="J124" ca="1">_xlfn.XLOOKUP(Table11[[#This Row],[Admin2PCODE]], tblPiNAnalysis[Admin2PCODE], INDIRECT("tblPiNAnalysis[" &amp; Table11[[#Headers],[PRO]] &amp; "]"), "NOT FOUND", 0, 1)</f>
        <v>2250.6556695174286</v>
      </c>
      <c r="K124" s="8" cm="1">
        <f t="array" aca="1" ref="K124" ca="1">_xlfn.XLOOKUP(Table11[[#This Row],[Admin2PCODE]], tblPiNAnalysis[Admin2PCODE], INDIRECT("tblPiNAnalysis[" &amp; Table11[[#Headers],[ASH]] &amp; "]"), "NOT FOUND", 0, 1)</f>
        <v>6771</v>
      </c>
      <c r="L124" s="8" cm="1">
        <f t="array" aca="1" ref="L124" ca="1">_xlfn.XLOOKUP(Table11[[#This Row],[Admin2PCODE]], tblPiNAnalysis[Admin2PCODE], INDIRECT("tblPiNAnalysis[" &amp; Table11[[#Headers],[NNA]] &amp; "]"), "NOT FOUND", 0, 1)</f>
        <v>720.20981424557715</v>
      </c>
      <c r="M124" s="8" cm="1">
        <f t="array" aca="1" ref="M124" ca="1">_xlfn.XLOOKUP(Table11[[#This Row],[Admin2PCODE]], tblPiNAnalysis[Admin2PCODE], INDIRECT("tblPiNAnalysis[" &amp; Table11[[#Headers],[VBG]] &amp; "]"), "NOT FOUND", 0, 1)</f>
        <v>787.72948433109991</v>
      </c>
      <c r="N124" s="8" cm="1">
        <f t="array" aca="1" ref="N124" ca="1">_xlfn.XLOOKUP(Table11[[#This Row],[Admin2PCODE]], tblPiNAnalysis[Admin2PCODE], INDIRECT("tblPiNAnalysis[" &amp; Table11[[#Headers],[PiN más alto]] &amp; "]"), "NOT FOUND", 0, 1)</f>
        <v>6771</v>
      </c>
      <c r="O124" t="str" cm="1">
        <f t="array" aca="1" ref="O124" ca="1">_xlfn.XLOOKUP(Table11[[#This Row],[Admin2PCODE]], tblPiNAnalysis[Admin2PCODE], INDIRECT("tblPiNAnalysis[" &amp; Table11[[#Headers],[Sectores más altos]] &amp; "]"), "NOT FOUND", 0, 1)</f>
        <v>ASH</v>
      </c>
      <c r="P124" cm="1">
        <f t="array" ref="P124">_xlfn.XLOOKUP(Table11[[#This Row],[Admin2PCODE]], tblPiNAnalysis[Admin2PCODE], tblPiNAnalysis[Severidad], "NOT FOUND", 0, 1)</f>
        <v>3</v>
      </c>
      <c r="Q124" s="318">
        <v>0</v>
      </c>
      <c r="R124" s="318">
        <v>0</v>
      </c>
      <c r="S124" s="318">
        <v>0</v>
      </c>
      <c r="T124">
        <v>1</v>
      </c>
      <c r="W124">
        <f>_xlfn.XLOOKUP(Table11[[#This Row],[Admin2PCODE]],tblSeverityAnalysis[Admin 2 Código P],tblSeverityAnalysis[PRO],0,0)</f>
        <v>3</v>
      </c>
      <c r="Y124">
        <v>0</v>
      </c>
      <c r="Z124">
        <v>0</v>
      </c>
      <c r="AA124">
        <f t="shared" si="1"/>
        <v>0</v>
      </c>
    </row>
    <row r="125" spans="1:27">
      <c r="A125" t="s">
        <v>316</v>
      </c>
      <c r="B125" t="s">
        <v>317</v>
      </c>
      <c r="C125" s="42" t="s">
        <v>352</v>
      </c>
      <c r="D125" t="s">
        <v>353</v>
      </c>
      <c r="E125" s="8" cm="1">
        <f t="array" aca="1" ref="E125" ca="1">_xlfn.XLOOKUP(Table11[[#This Row],[Admin2PCODE]], tblPiNAnalysis[Admin2PCODE], INDIRECT("tblPiNAnalysis[" &amp; Table11[[#Headers],[Población]] &amp; "]"), "NOT FOUND", 0, 1)</f>
        <v>32925</v>
      </c>
      <c r="F125" s="8" cm="1">
        <f t="array" aca="1" ref="F125" ca="1">_xlfn.XLOOKUP(Table11[[#This Row],[Admin2PCODE]], tblPiNAnalysis[Admin2PCODE], INDIRECT("tblPiNAnalysis[" &amp; Table11[[#Headers],[SAMV]] &amp; "]"), "NOT FOUND", 0, 1)</f>
        <v>4116</v>
      </c>
      <c r="G125" s="8" cm="1">
        <f t="array" aca="1" ref="G125" ca="1">_xlfn.XLOOKUP(Table11[[#This Row],[Admin2PCODE]], tblPiNAnalysis[Admin2PCODE], INDIRECT("tblPiNAnalysis[" &amp; Table11[[#Headers],[NUT]] &amp; "]"), "NOT FOUND", 0, 1)</f>
        <v>1218.0103305609914</v>
      </c>
      <c r="H125" s="8" cm="1">
        <f t="array" aca="1" ref="H125" ca="1">_xlfn.XLOOKUP(Table11[[#This Row],[Admin2PCODE]], tblPiNAnalysis[Admin2PCODE], INDIRECT("tblPiNAnalysis[" &amp; Table11[[#Headers],[SAL]] &amp; "]"), "NOT FOUND", 0, 1)</f>
        <v>12017.625</v>
      </c>
      <c r="I125" s="8" cm="1">
        <f t="array" aca="1" ref="I125" ca="1">_xlfn.XLOOKUP(Table11[[#This Row],[Admin2PCODE]], tblPiNAnalysis[Admin2PCODE], INDIRECT("tblPiNAnalysis[" &amp; Table11[[#Headers],[EDU]] &amp; "]"), "NOT FOUND", 0, 1)</f>
        <v>6168.3385142026182</v>
      </c>
      <c r="J125" s="8" cm="1">
        <f t="array" aca="1" ref="J125" ca="1">_xlfn.XLOOKUP(Table11[[#This Row],[Admin2PCODE]], tblPiNAnalysis[Admin2PCODE], INDIRECT("tblPiNAnalysis[" &amp; Table11[[#Headers],[PRO]] &amp; "]"), "NOT FOUND", 0, 1)</f>
        <v>6566.489846598256</v>
      </c>
      <c r="K125" s="8" cm="1">
        <f t="array" aca="1" ref="K125" ca="1">_xlfn.XLOOKUP(Table11[[#This Row],[Admin2PCODE]], tblPiNAnalysis[Admin2PCODE], INDIRECT("tblPiNAnalysis[" &amp; Table11[[#Headers],[ASH]] &amp; "]"), "NOT FOUND", 0, 1)</f>
        <v>0</v>
      </c>
      <c r="L125" s="8" cm="1">
        <f t="array" aca="1" ref="L125" ca="1">_xlfn.XLOOKUP(Table11[[#This Row],[Admin2PCODE]], tblPiNAnalysis[Admin2PCODE], INDIRECT("tblPiNAnalysis[" &amp; Table11[[#Headers],[NNA]] &amp; "]"), "NOT FOUND", 0, 1)</f>
        <v>2101.2767509114419</v>
      </c>
      <c r="M125" s="8" cm="1">
        <f t="array" aca="1" ref="M125" ca="1">_xlfn.XLOOKUP(Table11[[#This Row],[Admin2PCODE]], tblPiNAnalysis[Admin2PCODE], INDIRECT("tblPiNAnalysis[" &amp; Table11[[#Headers],[VBG]] &amp; "]"), "NOT FOUND", 0, 1)</f>
        <v>2298.2714463093894</v>
      </c>
      <c r="N125" s="8" cm="1">
        <f t="array" aca="1" ref="N125" ca="1">_xlfn.XLOOKUP(Table11[[#This Row],[Admin2PCODE]], tblPiNAnalysis[Admin2PCODE], INDIRECT("tblPiNAnalysis[" &amp; Table11[[#Headers],[PiN más alto]] &amp; "]"), "NOT FOUND", 0, 1)</f>
        <v>12017.625</v>
      </c>
      <c r="O125" t="str" cm="1">
        <f t="array" aca="1" ref="O125" ca="1">_xlfn.XLOOKUP(Table11[[#This Row],[Admin2PCODE]], tblPiNAnalysis[Admin2PCODE], INDIRECT("tblPiNAnalysis[" &amp; Table11[[#Headers],[Sectores más altos]] &amp; "]"), "NOT FOUND", 0, 1)</f>
        <v>SAL</v>
      </c>
      <c r="P125" cm="1">
        <f t="array" ref="P125">_xlfn.XLOOKUP(Table11[[#This Row],[Admin2PCODE]], tblPiNAnalysis[Admin2PCODE], tblPiNAnalysis[Severidad], "NOT FOUND", 0, 1)</f>
        <v>3</v>
      </c>
      <c r="Q125" s="318">
        <v>0.27777777777777779</v>
      </c>
      <c r="R125" s="318">
        <v>0.44444444444444431</v>
      </c>
      <c r="S125" s="318">
        <v>0.12345679012345676</v>
      </c>
      <c r="T125">
        <v>1</v>
      </c>
      <c r="W125">
        <f>_xlfn.XLOOKUP(Table11[[#This Row],[Admin2PCODE]],tblSeverityAnalysis[Admin 2 Código P],tblSeverityAnalysis[PRO],0,0)</f>
        <v>3</v>
      </c>
      <c r="Y125">
        <v>0</v>
      </c>
      <c r="Z125">
        <v>0</v>
      </c>
      <c r="AA125">
        <f t="shared" si="1"/>
        <v>0</v>
      </c>
    </row>
    <row r="126" spans="1:27">
      <c r="A126" t="s">
        <v>316</v>
      </c>
      <c r="B126" t="s">
        <v>317</v>
      </c>
      <c r="C126" s="42" t="s">
        <v>203</v>
      </c>
      <c r="D126" t="s">
        <v>354</v>
      </c>
      <c r="E126" s="8" cm="1">
        <f t="array" aca="1" ref="E126" ca="1">_xlfn.XLOOKUP(Table11[[#This Row],[Admin2PCODE]], tblPiNAnalysis[Admin2PCODE], INDIRECT("tblPiNAnalysis[" &amp; Table11[[#Headers],[Población]] &amp; "]"), "NOT FOUND", 0, 1)</f>
        <v>5909</v>
      </c>
      <c r="F126" s="8" cm="1">
        <f t="array" aca="1" ref="F126" ca="1">_xlfn.XLOOKUP(Table11[[#This Row],[Admin2PCODE]], tblPiNAnalysis[Admin2PCODE], INDIRECT("tblPiNAnalysis[" &amp; Table11[[#Headers],[SAMV]] &amp; "]"), "NOT FOUND", 0, 1)</f>
        <v>1314</v>
      </c>
      <c r="G126" s="8" cm="1">
        <f t="array" aca="1" ref="G126" ca="1">_xlfn.XLOOKUP(Table11[[#This Row],[Admin2PCODE]], tblPiNAnalysis[Admin2PCODE], INDIRECT("tblPiNAnalysis[" &amp; Table11[[#Headers],[NUT]] &amp; "]"), "NOT FOUND", 0, 1)</f>
        <v>210.86923722366373</v>
      </c>
      <c r="H126" s="8" cm="1">
        <f t="array" aca="1" ref="H126" ca="1">_xlfn.XLOOKUP(Table11[[#This Row],[Admin2PCODE]], tblPiNAnalysis[Admin2PCODE], INDIRECT("tblPiNAnalysis[" &amp; Table11[[#Headers],[SAL]] &amp; "]"), "NOT FOUND", 0, 1)</f>
        <v>2800</v>
      </c>
      <c r="I126" s="8" cm="1">
        <f t="array" aca="1" ref="I126" ca="1">_xlfn.XLOOKUP(Table11[[#This Row],[Admin2PCODE]], tblPiNAnalysis[Admin2PCODE], INDIRECT("tblPiNAnalysis[" &amp; Table11[[#Headers],[EDU]] &amp; "]"), "NOT FOUND", 0, 1)</f>
        <v>359.99597372483004</v>
      </c>
      <c r="J126" s="8" cm="1">
        <f t="array" aca="1" ref="J126" ca="1">_xlfn.XLOOKUP(Table11[[#This Row],[Admin2PCODE]], tblPiNAnalysis[Admin2PCODE], INDIRECT("tblPiNAnalysis[" &amp; Table11[[#Headers],[PRO]] &amp; "]"), "NOT FOUND", 0, 1)</f>
        <v>1414.1736128856162</v>
      </c>
      <c r="K126" s="8" cm="1">
        <f t="array" aca="1" ref="K126" ca="1">_xlfn.XLOOKUP(Table11[[#This Row],[Admin2PCODE]], tblPiNAnalysis[Admin2PCODE], INDIRECT("tblPiNAnalysis[" &amp; Table11[[#Headers],[ASH]] &amp; "]"), "NOT FOUND", 0, 1)</f>
        <v>3545.4</v>
      </c>
      <c r="L126" s="8" cm="1">
        <f t="array" aca="1" ref="L126" ca="1">_xlfn.XLOOKUP(Table11[[#This Row],[Admin2PCODE]], tblPiNAnalysis[Admin2PCODE], INDIRECT("tblPiNAnalysis[" &amp; Table11[[#Headers],[NNA]] &amp; "]"), "NOT FOUND", 0, 1)</f>
        <v>452.53555612339721</v>
      </c>
      <c r="M126" s="8" cm="1">
        <f t="array" aca="1" ref="M126" ca="1">_xlfn.XLOOKUP(Table11[[#This Row],[Admin2PCODE]], tblPiNAnalysis[Admin2PCODE], INDIRECT("tblPiNAnalysis[" &amp; Table11[[#Headers],[VBG]] &amp; "]"), "NOT FOUND", 0, 1)</f>
        <v>494.96076450996566</v>
      </c>
      <c r="N126" s="8" cm="1">
        <f t="array" aca="1" ref="N126" ca="1">_xlfn.XLOOKUP(Table11[[#This Row],[Admin2PCODE]], tblPiNAnalysis[Admin2PCODE], INDIRECT("tblPiNAnalysis[" &amp; Table11[[#Headers],[PiN más alto]] &amp; "]"), "NOT FOUND", 0, 1)</f>
        <v>3545.4</v>
      </c>
      <c r="O126" t="str" cm="1">
        <f t="array" aca="1" ref="O126" ca="1">_xlfn.XLOOKUP(Table11[[#This Row],[Admin2PCODE]], tblPiNAnalysis[Admin2PCODE], INDIRECT("tblPiNAnalysis[" &amp; Table11[[#Headers],[Sectores más altos]] &amp; "]"), "NOT FOUND", 0, 1)</f>
        <v>ASH</v>
      </c>
      <c r="P126" cm="1">
        <f t="array" ref="P126">_xlfn.XLOOKUP(Table11[[#This Row],[Admin2PCODE]], tblPiNAnalysis[Admin2PCODE], tblPiNAnalysis[Severidad], "NOT FOUND", 0, 1)</f>
        <v>3</v>
      </c>
      <c r="Q126" s="318">
        <v>0.47368421052631576</v>
      </c>
      <c r="R126" s="318">
        <v>0.45679012345678999</v>
      </c>
      <c r="S126" s="318">
        <v>0.21637426900584789</v>
      </c>
      <c r="T126">
        <v>1</v>
      </c>
      <c r="W126">
        <f>_xlfn.XLOOKUP(Table11[[#This Row],[Admin2PCODE]],tblSeverityAnalysis[Admin 2 Código P],tblSeverityAnalysis[PRO],0,0)</f>
        <v>4</v>
      </c>
      <c r="Y126">
        <v>4</v>
      </c>
      <c r="Z126">
        <v>0</v>
      </c>
      <c r="AA126">
        <f t="shared" si="1"/>
        <v>0</v>
      </c>
    </row>
    <row r="127" spans="1:27">
      <c r="A127" t="s">
        <v>316</v>
      </c>
      <c r="B127" t="s">
        <v>317</v>
      </c>
      <c r="C127" s="42" t="s">
        <v>355</v>
      </c>
      <c r="D127" t="s">
        <v>356</v>
      </c>
      <c r="E127" s="8" cm="1">
        <f t="array" aca="1" ref="E127" ca="1">_xlfn.XLOOKUP(Table11[[#This Row],[Admin2PCODE]], tblPiNAnalysis[Admin2PCODE], INDIRECT("tblPiNAnalysis[" &amp; Table11[[#Headers],[Población]] &amp; "]"), "NOT FOUND", 0, 1)</f>
        <v>5646</v>
      </c>
      <c r="F127" s="8" cm="1">
        <f t="array" aca="1" ref="F127" ca="1">_xlfn.XLOOKUP(Table11[[#This Row],[Admin2PCODE]], tblPiNAnalysis[Admin2PCODE], INDIRECT("tblPiNAnalysis[" &amp; Table11[[#Headers],[SAMV]] &amp; "]"), "NOT FOUND", 0, 1)</f>
        <v>1255</v>
      </c>
      <c r="G127" s="8" cm="1">
        <f t="array" aca="1" ref="G127" ca="1">_xlfn.XLOOKUP(Table11[[#This Row],[Admin2PCODE]], tblPiNAnalysis[Admin2PCODE], INDIRECT("tblPiNAnalysis[" &amp; Table11[[#Headers],[NUT]] &amp; "]"), "NOT FOUND", 0, 1)</f>
        <v>180.5503454248958</v>
      </c>
      <c r="H127" s="8" cm="1">
        <f t="array" aca="1" ref="H127" ca="1">_xlfn.XLOOKUP(Table11[[#This Row],[Admin2PCODE]], tblPiNAnalysis[Admin2PCODE], INDIRECT("tblPiNAnalysis[" &amp; Table11[[#Headers],[SAL]] &amp; "]"), "NOT FOUND", 0, 1)</f>
        <v>2060.79</v>
      </c>
      <c r="I127" s="8" cm="1">
        <f t="array" aca="1" ref="I127" ca="1">_xlfn.XLOOKUP(Table11[[#This Row],[Admin2PCODE]], tblPiNAnalysis[Admin2PCODE], INDIRECT("tblPiNAnalysis[" &amp; Table11[[#Headers],[EDU]] &amp; "]"), "NOT FOUND", 0, 1)</f>
        <v>235.61749526304493</v>
      </c>
      <c r="J127" s="8" cm="1">
        <f t="array" aca="1" ref="J127" ca="1">_xlfn.XLOOKUP(Table11[[#This Row],[Admin2PCODE]], tblPiNAnalysis[Admin2PCODE], INDIRECT("tblPiNAnalysis[" &amp; Table11[[#Headers],[PRO]] &amp; "]"), "NOT FOUND", 0, 1)</f>
        <v>1126.0258670886487</v>
      </c>
      <c r="K127" s="8" cm="1">
        <f t="array" aca="1" ref="K127" ca="1">_xlfn.XLOOKUP(Table11[[#This Row],[Admin2PCODE]], tblPiNAnalysis[Admin2PCODE], INDIRECT("tblPiNAnalysis[" &amp; Table11[[#Headers],[ASH]] &amp; "]"), "NOT FOUND", 0, 1)</f>
        <v>3387.6</v>
      </c>
      <c r="L127" s="8" cm="1">
        <f t="array" aca="1" ref="L127" ca="1">_xlfn.XLOOKUP(Table11[[#This Row],[Admin2PCODE]], tblPiNAnalysis[Admin2PCODE], INDIRECT("tblPiNAnalysis[" &amp; Table11[[#Headers],[NNA]] &amp; "]"), "NOT FOUND", 0, 1)</f>
        <v>361.45430333545625</v>
      </c>
      <c r="M127" s="8" cm="1">
        <f t="array" aca="1" ref="M127" ca="1">_xlfn.XLOOKUP(Table11[[#This Row],[Admin2PCODE]], tblPiNAnalysis[Admin2PCODE], INDIRECT("tblPiNAnalysis[" &amp; Table11[[#Headers],[VBG]] &amp; "]"), "NOT FOUND", 0, 1)</f>
        <v>394.10905348102699</v>
      </c>
      <c r="N127" s="8" cm="1">
        <f t="array" aca="1" ref="N127" ca="1">_xlfn.XLOOKUP(Table11[[#This Row],[Admin2PCODE]], tblPiNAnalysis[Admin2PCODE], INDIRECT("tblPiNAnalysis[" &amp; Table11[[#Headers],[PiN más alto]] &amp; "]"), "NOT FOUND", 0, 1)</f>
        <v>3387.6</v>
      </c>
      <c r="O127" t="str" cm="1">
        <f t="array" aca="1" ref="O127" ca="1">_xlfn.XLOOKUP(Table11[[#This Row],[Admin2PCODE]], tblPiNAnalysis[Admin2PCODE], INDIRECT("tblPiNAnalysis[" &amp; Table11[[#Headers],[Sectores más altos]] &amp; "]"), "NOT FOUND", 0, 1)</f>
        <v>ASH</v>
      </c>
      <c r="P127" cm="1">
        <f t="array" ref="P127">_xlfn.XLOOKUP(Table11[[#This Row],[Admin2PCODE]], tblPiNAnalysis[Admin2PCODE], tblPiNAnalysis[Severidad], "NOT FOUND", 0, 1)</f>
        <v>3</v>
      </c>
      <c r="Q127" s="318">
        <v>0</v>
      </c>
      <c r="R127" s="318">
        <v>0</v>
      </c>
      <c r="S127" s="318">
        <v>0</v>
      </c>
      <c r="T127">
        <v>0</v>
      </c>
      <c r="W127">
        <f>_xlfn.XLOOKUP(Table11[[#This Row],[Admin2PCODE]],tblSeverityAnalysis[Admin 2 Código P],tblSeverityAnalysis[PRO],0,0)</f>
        <v>3</v>
      </c>
      <c r="Y127">
        <v>0</v>
      </c>
      <c r="Z127">
        <v>0</v>
      </c>
      <c r="AA127">
        <f t="shared" si="1"/>
        <v>0</v>
      </c>
    </row>
    <row r="128" spans="1:27">
      <c r="A128" t="s">
        <v>316</v>
      </c>
      <c r="B128" t="s">
        <v>317</v>
      </c>
      <c r="C128" s="42" t="s">
        <v>357</v>
      </c>
      <c r="D128" t="s">
        <v>358</v>
      </c>
      <c r="E128" s="8" cm="1">
        <f t="array" aca="1" ref="E128" ca="1">_xlfn.XLOOKUP(Table11[[#This Row],[Admin2PCODE]], tblPiNAnalysis[Admin2PCODE], INDIRECT("tblPiNAnalysis[" &amp; Table11[[#Headers],[Población]] &amp; "]"), "NOT FOUND", 0, 1)</f>
        <v>16013</v>
      </c>
      <c r="F128" s="8" cm="1">
        <f t="array" aca="1" ref="F128" ca="1">_xlfn.XLOOKUP(Table11[[#This Row],[Admin2PCODE]], tblPiNAnalysis[Admin2PCODE], INDIRECT("tblPiNAnalysis[" &amp; Table11[[#Headers],[SAMV]] &amp; "]"), "NOT FOUND", 0, 1)</f>
        <v>2669</v>
      </c>
      <c r="G128" s="8" cm="1">
        <f t="array" aca="1" ref="G128" ca="1">_xlfn.XLOOKUP(Table11[[#This Row],[Admin2PCODE]], tblPiNAnalysis[Admin2PCODE], INDIRECT("tblPiNAnalysis[" &amp; Table11[[#Headers],[NUT]] &amp; "]"), "NOT FOUND", 0, 1)</f>
        <v>623.97613362068967</v>
      </c>
      <c r="H128" s="8" cm="1">
        <f t="array" aca="1" ref="H128" ca="1">_xlfn.XLOOKUP(Table11[[#This Row],[Admin2PCODE]], tblPiNAnalysis[Admin2PCODE], INDIRECT("tblPiNAnalysis[" &amp; Table11[[#Headers],[SAL]] &amp; "]"), "NOT FOUND", 0, 1)</f>
        <v>8400</v>
      </c>
      <c r="I128" s="8" cm="1">
        <f t="array" aca="1" ref="I128" ca="1">_xlfn.XLOOKUP(Table11[[#This Row],[Admin2PCODE]], tblPiNAnalysis[Admin2PCODE], INDIRECT("tblPiNAnalysis[" &amp; Table11[[#Headers],[EDU]] &amp; "]"), "NOT FOUND", 0, 1)</f>
        <v>526.55138078333516</v>
      </c>
      <c r="J128" s="8" cm="1">
        <f t="array" aca="1" ref="J128" ca="1">_xlfn.XLOOKUP(Table11[[#This Row],[Admin2PCODE]], tblPiNAnalysis[Admin2PCODE], INDIRECT("tblPiNAnalysis[" &amp; Table11[[#Headers],[PRO]] &amp; "]"), "NOT FOUND", 0, 1)</f>
        <v>3832.3171540256176</v>
      </c>
      <c r="K128" s="8" cm="1">
        <f t="array" aca="1" ref="K128" ca="1">_xlfn.XLOOKUP(Table11[[#This Row],[Admin2PCODE]], tblPiNAnalysis[Admin2PCODE], INDIRECT("tblPiNAnalysis[" &amp; Table11[[#Headers],[ASH]] &amp; "]"), "NOT FOUND", 0, 1)</f>
        <v>9607.7999999999993</v>
      </c>
      <c r="L128" s="8" cm="1">
        <f t="array" aca="1" ref="L128" ca="1">_xlfn.XLOOKUP(Table11[[#This Row],[Admin2PCODE]], tblPiNAnalysis[Admin2PCODE], INDIRECT("tblPiNAnalysis[" &amp; Table11[[#Headers],[NNA]] &amp; "]"), "NOT FOUND", 0, 1)</f>
        <v>1230.1738064422234</v>
      </c>
      <c r="M128" s="8" cm="1">
        <f t="array" aca="1" ref="M128" ca="1">_xlfn.XLOOKUP(Table11[[#This Row],[Admin2PCODE]], tblPiNAnalysis[Admin2PCODE], INDIRECT("tblPiNAnalysis[" &amp; Table11[[#Headers],[VBG]] &amp; "]"), "NOT FOUND", 0, 1)</f>
        <v>1341.3110039089661</v>
      </c>
      <c r="N128" s="8" cm="1">
        <f t="array" aca="1" ref="N128" ca="1">_xlfn.XLOOKUP(Table11[[#This Row],[Admin2PCODE]], tblPiNAnalysis[Admin2PCODE], INDIRECT("tblPiNAnalysis[" &amp; Table11[[#Headers],[PiN más alto]] &amp; "]"), "NOT FOUND", 0, 1)</f>
        <v>9607.7999999999993</v>
      </c>
      <c r="O128" t="str" cm="1">
        <f t="array" aca="1" ref="O128" ca="1">_xlfn.XLOOKUP(Table11[[#This Row],[Admin2PCODE]], tblPiNAnalysis[Admin2PCODE], INDIRECT("tblPiNAnalysis[" &amp; Table11[[#Headers],[Sectores más altos]] &amp; "]"), "NOT FOUND", 0, 1)</f>
        <v>ASH</v>
      </c>
      <c r="P128" cm="1">
        <f t="array" ref="P128">_xlfn.XLOOKUP(Table11[[#This Row],[Admin2PCODE]], tblPiNAnalysis[Admin2PCODE], tblPiNAnalysis[Severidad], "NOT FOUND", 0, 1)</f>
        <v>3</v>
      </c>
      <c r="Q128" s="318">
        <v>0.7</v>
      </c>
      <c r="R128" s="318">
        <v>0.37301587301587302</v>
      </c>
      <c r="S128" s="318">
        <v>0.26111111111111113</v>
      </c>
      <c r="T128">
        <v>0</v>
      </c>
      <c r="W128">
        <f>_xlfn.XLOOKUP(Table11[[#This Row],[Admin2PCODE]],tblSeverityAnalysis[Admin 2 Código P],tblSeverityAnalysis[PRO],0,0)</f>
        <v>4</v>
      </c>
      <c r="Y128">
        <v>0</v>
      </c>
      <c r="Z128">
        <v>2.65</v>
      </c>
      <c r="AA128">
        <f t="shared" si="1"/>
        <v>3</v>
      </c>
    </row>
    <row r="129" spans="1:27">
      <c r="A129" t="s">
        <v>316</v>
      </c>
      <c r="B129" t="s">
        <v>317</v>
      </c>
      <c r="C129" s="42" t="s">
        <v>359</v>
      </c>
      <c r="D129" t="s">
        <v>360</v>
      </c>
      <c r="E129" s="8" cm="1">
        <f t="array" aca="1" ref="E129" ca="1">_xlfn.XLOOKUP(Table11[[#This Row],[Admin2PCODE]], tblPiNAnalysis[Admin2PCODE], INDIRECT("tblPiNAnalysis[" &amp; Table11[[#Headers],[Población]] &amp; "]"), "NOT FOUND", 0, 1)</f>
        <v>8543</v>
      </c>
      <c r="F129" s="8" cm="1">
        <f t="array" aca="1" ref="F129" ca="1">_xlfn.XLOOKUP(Table11[[#This Row],[Admin2PCODE]], tblPiNAnalysis[Admin2PCODE], INDIRECT("tblPiNAnalysis[" &amp; Table11[[#Headers],[SAMV]] &amp; "]"), "NOT FOUND", 0, 1)</f>
        <v>1384</v>
      </c>
      <c r="G129" s="8" cm="1">
        <f t="array" aca="1" ref="G129" ca="1">_xlfn.XLOOKUP(Table11[[#This Row],[Admin2PCODE]], tblPiNAnalysis[Admin2PCODE], INDIRECT("tblPiNAnalysis[" &amp; Table11[[#Headers],[NUT]] &amp; "]"), "NOT FOUND", 0, 1)</f>
        <v>301.29848694933526</v>
      </c>
      <c r="H129" s="8" cm="1">
        <f t="array" aca="1" ref="H129" ca="1">_xlfn.XLOOKUP(Table11[[#This Row],[Admin2PCODE]], tblPiNAnalysis[Admin2PCODE], INDIRECT("tblPiNAnalysis[" &amp; Table11[[#Headers],[SAL]] &amp; "]"), "NOT FOUND", 0, 1)</f>
        <v>7000</v>
      </c>
      <c r="I129" s="8" cm="1">
        <f t="array" aca="1" ref="I129" ca="1">_xlfn.XLOOKUP(Table11[[#This Row],[Admin2PCODE]], tblPiNAnalysis[Admin2PCODE], INDIRECT("tblPiNAnalysis[" &amp; Table11[[#Headers],[EDU]] &amp; "]"), "NOT FOUND", 0, 1)</f>
        <v>996.43837198321842</v>
      </c>
      <c r="J129" s="8" cm="1">
        <f t="array" aca="1" ref="J129" ca="1">_xlfn.XLOOKUP(Table11[[#This Row],[Admin2PCODE]], tblPiNAnalysis[Admin2PCODE], INDIRECT("tblPiNAnalysis[" &amp; Table11[[#Headers],[PRO]] &amp; "]"), "NOT FOUND", 0, 1)</f>
        <v>1703.7971984658748</v>
      </c>
      <c r="K129" s="8" cm="1">
        <f t="array" aca="1" ref="K129" ca="1">_xlfn.XLOOKUP(Table11[[#This Row],[Admin2PCODE]], tblPiNAnalysis[Admin2PCODE], INDIRECT("tblPiNAnalysis[" &amp; Table11[[#Headers],[ASH]] &amp; "]"), "NOT FOUND", 0, 1)</f>
        <v>1153.3049999999998</v>
      </c>
      <c r="L129" s="8" cm="1">
        <f t="array" aca="1" ref="L129" ca="1">_xlfn.XLOOKUP(Table11[[#This Row],[Admin2PCODE]], tblPiNAnalysis[Admin2PCODE], INDIRECT("tblPiNAnalysis[" &amp; Table11[[#Headers],[NNA]] &amp; "]"), "NOT FOUND", 0, 1)</f>
        <v>546.91890070754584</v>
      </c>
      <c r="M129" s="8" cm="1">
        <f t="array" aca="1" ref="M129" ca="1">_xlfn.XLOOKUP(Table11[[#This Row],[Admin2PCODE]], tblPiNAnalysis[Admin2PCODE], INDIRECT("tblPiNAnalysis[" &amp; Table11[[#Headers],[VBG]] &amp; "]"), "NOT FOUND", 0, 1)</f>
        <v>596.32901946305617</v>
      </c>
      <c r="N129" s="8" cm="1">
        <f t="array" aca="1" ref="N129" ca="1">_xlfn.XLOOKUP(Table11[[#This Row],[Admin2PCODE]], tblPiNAnalysis[Admin2PCODE], INDIRECT("tblPiNAnalysis[" &amp; Table11[[#Headers],[PiN más alto]] &amp; "]"), "NOT FOUND", 0, 1)</f>
        <v>7000</v>
      </c>
      <c r="O129" t="str" cm="1">
        <f t="array" aca="1" ref="O129" ca="1">_xlfn.XLOOKUP(Table11[[#This Row],[Admin2PCODE]], tblPiNAnalysis[Admin2PCODE], INDIRECT("tblPiNAnalysis[" &amp; Table11[[#Headers],[Sectores más altos]] &amp; "]"), "NOT FOUND", 0, 1)</f>
        <v>SAL</v>
      </c>
      <c r="P129" cm="1">
        <f t="array" ref="P129">_xlfn.XLOOKUP(Table11[[#This Row],[Admin2PCODE]], tblPiNAnalysis[Admin2PCODE], tblPiNAnalysis[Severidad], "NOT FOUND", 0, 1)</f>
        <v>3</v>
      </c>
      <c r="Q129" s="318">
        <v>0</v>
      </c>
      <c r="R129" s="318">
        <v>0</v>
      </c>
      <c r="S129" s="318">
        <v>0</v>
      </c>
      <c r="T129">
        <v>1</v>
      </c>
      <c r="W129">
        <f>_xlfn.XLOOKUP(Table11[[#This Row],[Admin2PCODE]],tblSeverityAnalysis[Admin 2 Código P],tblSeverityAnalysis[PRO],0,0)</f>
        <v>3</v>
      </c>
      <c r="Y129">
        <v>0</v>
      </c>
      <c r="Z129">
        <v>0</v>
      </c>
      <c r="AA129">
        <f t="shared" si="1"/>
        <v>0</v>
      </c>
    </row>
    <row r="130" spans="1:27">
      <c r="A130" t="s">
        <v>316</v>
      </c>
      <c r="B130" t="s">
        <v>317</v>
      </c>
      <c r="C130" s="42" t="s">
        <v>209</v>
      </c>
      <c r="D130" t="s">
        <v>361</v>
      </c>
      <c r="E130" s="8" cm="1">
        <f t="array" aca="1" ref="E130" ca="1">_xlfn.XLOOKUP(Table11[[#This Row],[Admin2PCODE]], tblPiNAnalysis[Admin2PCODE], INDIRECT("tblPiNAnalysis[" &amp; Table11[[#Headers],[Población]] &amp; "]"), "NOT FOUND", 0, 1)</f>
        <v>33967</v>
      </c>
      <c r="F130" s="8" cm="1">
        <f t="array" aca="1" ref="F130" ca="1">_xlfn.XLOOKUP(Table11[[#This Row],[Admin2PCODE]], tblPiNAnalysis[Admin2PCODE], INDIRECT("tblPiNAnalysis[" &amp; Table11[[#Headers],[SAMV]] &amp; "]"), "NOT FOUND", 0, 1)</f>
        <v>3019</v>
      </c>
      <c r="G130" s="8" cm="1">
        <f t="array" aca="1" ref="G130" ca="1">_xlfn.XLOOKUP(Table11[[#This Row],[Admin2PCODE]], tblPiNAnalysis[Admin2PCODE], INDIRECT("tblPiNAnalysis[" &amp; Table11[[#Headers],[NUT]] &amp; "]"), "NOT FOUND", 0, 1)</f>
        <v>806.86685380035101</v>
      </c>
      <c r="H130" s="8" cm="1">
        <f t="array" aca="1" ref="H130" ca="1">_xlfn.XLOOKUP(Table11[[#This Row],[Admin2PCODE]], tblPiNAnalysis[Admin2PCODE], INDIRECT("tblPiNAnalysis[" &amp; Table11[[#Headers],[SAL]] &amp; "]"), "NOT FOUND", 0, 1)</f>
        <v>12397.955</v>
      </c>
      <c r="I130" s="8" cm="1">
        <f t="array" aca="1" ref="I130" ca="1">_xlfn.XLOOKUP(Table11[[#This Row],[Admin2PCODE]], tblPiNAnalysis[Admin2PCODE], INDIRECT("tblPiNAnalysis[" &amp; Table11[[#Headers],[EDU]] &amp; "]"), "NOT FOUND", 0, 1)</f>
        <v>3734.0644683244968</v>
      </c>
      <c r="J130" s="8" cm="1">
        <f t="array" aca="1" ref="J130" ca="1">_xlfn.XLOOKUP(Table11[[#This Row],[Admin2PCODE]], tblPiNAnalysis[Admin2PCODE], INDIRECT("tblPiNAnalysis[" &amp; Table11[[#Headers],[PRO]] &amp; "]"), "NOT FOUND", 0, 1)</f>
        <v>8129.1648517322274</v>
      </c>
      <c r="K130" s="8" cm="1">
        <f t="array" aca="1" ref="K130" ca="1">_xlfn.XLOOKUP(Table11[[#This Row],[Admin2PCODE]], tblPiNAnalysis[Admin2PCODE], INDIRECT("tblPiNAnalysis[" &amp; Table11[[#Headers],[ASH]] &amp; "]"), "NOT FOUND", 0, 1)</f>
        <v>2292.7725</v>
      </c>
      <c r="L130" s="8" cm="1">
        <f t="array" aca="1" ref="L130" ca="1">_xlfn.XLOOKUP(Table11[[#This Row],[Admin2PCODE]], tblPiNAnalysis[Admin2PCODE], INDIRECT("tblPiNAnalysis[" &amp; Table11[[#Headers],[NNA]] &amp; "]"), "NOT FOUND", 0, 1)</f>
        <v>2609.4619174060449</v>
      </c>
      <c r="M130" s="8" cm="1">
        <f t="array" aca="1" ref="M130" ca="1">_xlfn.XLOOKUP(Table11[[#This Row],[Admin2PCODE]], tblPiNAnalysis[Admin2PCODE], INDIRECT("tblPiNAnalysis[" &amp; Table11[[#Headers],[VBG]] &amp; "]"), "NOT FOUND", 0, 1)</f>
        <v>2845.2076981062792</v>
      </c>
      <c r="N130" s="8" cm="1">
        <f t="array" aca="1" ref="N130" ca="1">_xlfn.XLOOKUP(Table11[[#This Row],[Admin2PCODE]], tblPiNAnalysis[Admin2PCODE], INDIRECT("tblPiNAnalysis[" &amp; Table11[[#Headers],[PiN más alto]] &amp; "]"), "NOT FOUND", 0, 1)</f>
        <v>12397.955</v>
      </c>
      <c r="O130" t="str" cm="1">
        <f t="array" aca="1" ref="O130" ca="1">_xlfn.XLOOKUP(Table11[[#This Row],[Admin2PCODE]], tblPiNAnalysis[Admin2PCODE], INDIRECT("tblPiNAnalysis[" &amp; Table11[[#Headers],[Sectores más altos]] &amp; "]"), "NOT FOUND", 0, 1)</f>
        <v>SAL</v>
      </c>
      <c r="P130" cm="1">
        <f t="array" ref="P130">_xlfn.XLOOKUP(Table11[[#This Row],[Admin2PCODE]], tblPiNAnalysis[Admin2PCODE], tblPiNAnalysis[Severidad], "NOT FOUND", 0, 1)</f>
        <v>3</v>
      </c>
      <c r="Q130" s="318">
        <v>0.1951219512195122</v>
      </c>
      <c r="R130" s="318">
        <v>0.44444444444444431</v>
      </c>
      <c r="S130" s="318">
        <v>8.6720867208672059E-2</v>
      </c>
      <c r="T130">
        <v>0</v>
      </c>
      <c r="W130">
        <f>_xlfn.XLOOKUP(Table11[[#This Row],[Admin2PCODE]],tblSeverityAnalysis[Admin 2 Código P],tblSeverityAnalysis[PRO],0,0)</f>
        <v>4</v>
      </c>
      <c r="Y130">
        <v>0</v>
      </c>
      <c r="Z130">
        <v>0</v>
      </c>
      <c r="AA130">
        <f t="shared" ref="AA130:AA193" si="2">ROUND(Z130,0)</f>
        <v>0</v>
      </c>
    </row>
    <row r="131" spans="1:27">
      <c r="A131" t="s">
        <v>362</v>
      </c>
      <c r="B131" t="s">
        <v>363</v>
      </c>
      <c r="C131" s="42" t="s">
        <v>364</v>
      </c>
      <c r="D131" t="s">
        <v>365</v>
      </c>
      <c r="E131" s="8" cm="1">
        <f t="array" aca="1" ref="E131" ca="1">_xlfn.XLOOKUP(Table11[[#This Row],[Admin2PCODE]], tblPiNAnalysis[Admin2PCODE], INDIRECT("tblPiNAnalysis[" &amp; Table11[[#Headers],[Población]] &amp; "]"), "NOT FOUND", 0, 1)</f>
        <v>24937</v>
      </c>
      <c r="F131" s="8" cm="1">
        <f t="array" aca="1" ref="F131" ca="1">_xlfn.XLOOKUP(Table11[[#This Row],[Admin2PCODE]], tblPiNAnalysis[Admin2PCODE], INDIRECT("tblPiNAnalysis[" &amp; Table11[[#Headers],[SAMV]] &amp; "]"), "NOT FOUND", 0, 1)</f>
        <v>8312</v>
      </c>
      <c r="G131" s="8" cm="1">
        <f t="array" aca="1" ref="G131" ca="1">_xlfn.XLOOKUP(Table11[[#This Row],[Admin2PCODE]], tblPiNAnalysis[Admin2PCODE], INDIRECT("tblPiNAnalysis[" &amp; Table11[[#Headers],[NUT]] &amp; "]"), "NOT FOUND", 0, 1)</f>
        <v>1375.8079489869829</v>
      </c>
      <c r="H131" s="8" cm="1">
        <f t="array" aca="1" ref="H131" ca="1">_xlfn.XLOOKUP(Table11[[#This Row],[Admin2PCODE]], tblPiNAnalysis[Admin2PCODE], INDIRECT("tblPiNAnalysis[" &amp; Table11[[#Headers],[SAL]] &amp; "]"), "NOT FOUND", 0, 1)</f>
        <v>9900</v>
      </c>
      <c r="I131" s="8" cm="1">
        <f t="array" aca="1" ref="I131" ca="1">_xlfn.XLOOKUP(Table11[[#This Row],[Admin2PCODE]], tblPiNAnalysis[Admin2PCODE], INDIRECT("tblPiNAnalysis[" &amp; Table11[[#Headers],[EDU]] &amp; "]"), "NOT FOUND", 0, 1)</f>
        <v>1825.0416204597836</v>
      </c>
      <c r="J131" s="8" cm="1">
        <f t="array" aca="1" ref="J131" ca="1">_xlfn.XLOOKUP(Table11[[#This Row],[Admin2PCODE]], tblPiNAnalysis[Admin2PCODE], INDIRECT("tblPiNAnalysis[" &amp; Table11[[#Headers],[PRO]] &amp; "]"), "NOT FOUND", 0, 1)</f>
        <v>4622.189804478041</v>
      </c>
      <c r="K131" s="8" cm="1">
        <f t="array" aca="1" ref="K131" ca="1">_xlfn.XLOOKUP(Table11[[#This Row],[Admin2PCODE]], tblPiNAnalysis[Admin2PCODE], INDIRECT("tblPiNAnalysis[" &amp; Table11[[#Headers],[ASH]] &amp; "]"), "NOT FOUND", 0, 1)</f>
        <v>0</v>
      </c>
      <c r="L131" s="8" cm="1">
        <f t="array" aca="1" ref="L131" ca="1">_xlfn.XLOOKUP(Table11[[#This Row],[Admin2PCODE]], tblPiNAnalysis[Admin2PCODE], INDIRECT("tblPiNAnalysis[" &amp; Table11[[#Headers],[NNA]] &amp; "]"), "NOT FOUND", 0, 1)</f>
        <v>1483.7229272374511</v>
      </c>
      <c r="M131" s="8" cm="1">
        <f t="array" aca="1" ref="M131" ca="1">_xlfn.XLOOKUP(Table11[[#This Row],[Admin2PCODE]], tblPiNAnalysis[Admin2PCODE], INDIRECT("tblPiNAnalysis[" &amp; Table11[[#Headers],[VBG]] &amp; "]"), "NOT FOUND", 0, 1)</f>
        <v>1617.7664315673142</v>
      </c>
      <c r="N131" s="8" cm="1">
        <f t="array" aca="1" ref="N131" ca="1">_xlfn.XLOOKUP(Table11[[#This Row],[Admin2PCODE]], tblPiNAnalysis[Admin2PCODE], INDIRECT("tblPiNAnalysis[" &amp; Table11[[#Headers],[PiN más alto]] &amp; "]"), "NOT FOUND", 0, 1)</f>
        <v>9900</v>
      </c>
      <c r="O131" t="str" cm="1">
        <f t="array" aca="1" ref="O131" ca="1">_xlfn.XLOOKUP(Table11[[#This Row],[Admin2PCODE]], tblPiNAnalysis[Admin2PCODE], INDIRECT("tblPiNAnalysis[" &amp; Table11[[#Headers],[Sectores más altos]] &amp; "]"), "NOT FOUND", 0, 1)</f>
        <v>SAL</v>
      </c>
      <c r="P131" cm="1">
        <f t="array" ref="P131">_xlfn.XLOOKUP(Table11[[#This Row],[Admin2PCODE]], tblPiNAnalysis[Admin2PCODE], tblPiNAnalysis[Severidad], "NOT FOUND", 0, 1)</f>
        <v>3</v>
      </c>
      <c r="Q131" s="318">
        <v>0.16981132075471697</v>
      </c>
      <c r="R131" s="318">
        <v>0.38888888888888867</v>
      </c>
      <c r="S131" s="318">
        <v>6.6037735849056561E-2</v>
      </c>
      <c r="T131">
        <v>0</v>
      </c>
      <c r="W131">
        <f>_xlfn.XLOOKUP(Table11[[#This Row],[Admin2PCODE]],tblSeverityAnalysis[Admin 2 Código P],tblSeverityAnalysis[PRO],0,0)</f>
        <v>3</v>
      </c>
      <c r="Y131">
        <v>0</v>
      </c>
      <c r="Z131">
        <v>8.65</v>
      </c>
      <c r="AA131">
        <f t="shared" si="2"/>
        <v>9</v>
      </c>
    </row>
    <row r="132" spans="1:27">
      <c r="A132" t="s">
        <v>362</v>
      </c>
      <c r="B132" t="s">
        <v>363</v>
      </c>
      <c r="C132" s="42" t="s">
        <v>366</v>
      </c>
      <c r="D132" t="s">
        <v>367</v>
      </c>
      <c r="E132" s="8" cm="1">
        <f t="array" aca="1" ref="E132" ca="1">_xlfn.XLOOKUP(Table11[[#This Row],[Admin2PCODE]], tblPiNAnalysis[Admin2PCODE], INDIRECT("tblPiNAnalysis[" &amp; Table11[[#Headers],[Población]] &amp; "]"), "NOT FOUND", 0, 1)</f>
        <v>13263</v>
      </c>
      <c r="F132" s="8" cm="1">
        <f t="array" aca="1" ref="F132" ca="1">_xlfn.XLOOKUP(Table11[[#This Row],[Admin2PCODE]], tblPiNAnalysis[Admin2PCODE], INDIRECT("tblPiNAnalysis[" &amp; Table11[[#Headers],[SAMV]] &amp; "]"), "NOT FOUND", 0, 1)</f>
        <v>5053</v>
      </c>
      <c r="G132" s="8" cm="1">
        <f t="array" aca="1" ref="G132" ca="1">_xlfn.XLOOKUP(Table11[[#This Row],[Admin2PCODE]], tblPiNAnalysis[Admin2PCODE], INDIRECT("tblPiNAnalysis[" &amp; Table11[[#Headers],[NUT]] &amp; "]"), "NOT FOUND", 0, 1)</f>
        <v>678.01838861406759</v>
      </c>
      <c r="H132" s="8" cm="1">
        <f t="array" aca="1" ref="H132" ca="1">_xlfn.XLOOKUP(Table11[[#This Row],[Admin2PCODE]], tblPiNAnalysis[Admin2PCODE], INDIRECT("tblPiNAnalysis[" &amp; Table11[[#Headers],[SAL]] &amp; "]"), "NOT FOUND", 0, 1)</f>
        <v>6300</v>
      </c>
      <c r="I132" s="8" cm="1">
        <f t="array" aca="1" ref="I132" ca="1">_xlfn.XLOOKUP(Table11[[#This Row],[Admin2PCODE]], tblPiNAnalysis[Admin2PCODE], INDIRECT("tblPiNAnalysis[" &amp; Table11[[#Headers],[EDU]] &amp; "]"), "NOT FOUND", 0, 1)</f>
        <v>976.78145024549997</v>
      </c>
      <c r="J132" s="8" cm="1">
        <f t="array" aca="1" ref="J132" ca="1">_xlfn.XLOOKUP(Table11[[#This Row],[Admin2PCODE]], tblPiNAnalysis[Admin2PCODE], INDIRECT("tblPiNAnalysis[" &amp; Table11[[#Headers],[PRO]] &amp; "]"), "NOT FOUND", 0, 1)</f>
        <v>2458.3592002563364</v>
      </c>
      <c r="K132" s="8" cm="1">
        <f t="array" aca="1" ref="K132" ca="1">_xlfn.XLOOKUP(Table11[[#This Row],[Admin2PCODE]], tblPiNAnalysis[Admin2PCODE], INDIRECT("tblPiNAnalysis[" &amp; Table11[[#Headers],[ASH]] &amp; "]"), "NOT FOUND", 0, 1)</f>
        <v>7957.7999999999993</v>
      </c>
      <c r="L132" s="8" cm="1">
        <f t="array" aca="1" ref="L132" ca="1">_xlfn.XLOOKUP(Table11[[#This Row],[Admin2PCODE]], tblPiNAnalysis[Admin2PCODE], INDIRECT("tblPiNAnalysis[" &amp; Table11[[#Headers],[NNA]] &amp; "]"), "NOT FOUND", 0, 1)</f>
        <v>786.67494408202765</v>
      </c>
      <c r="M132" s="8" cm="1">
        <f t="array" aca="1" ref="M132" ca="1">_xlfn.XLOOKUP(Table11[[#This Row],[Admin2PCODE]], tblPiNAnalysis[Admin2PCODE], INDIRECT("tblPiNAnalysis[" &amp; Table11[[#Headers],[VBG]] &amp; "]"), "NOT FOUND", 0, 1)</f>
        <v>860.42572008971774</v>
      </c>
      <c r="N132" s="8" cm="1">
        <f t="array" aca="1" ref="N132" ca="1">_xlfn.XLOOKUP(Table11[[#This Row],[Admin2PCODE]], tblPiNAnalysis[Admin2PCODE], INDIRECT("tblPiNAnalysis[" &amp; Table11[[#Headers],[PiN más alto]] &amp; "]"), "NOT FOUND", 0, 1)</f>
        <v>7957.7999999999993</v>
      </c>
      <c r="O132" t="str" cm="1">
        <f t="array" aca="1" ref="O132" ca="1">_xlfn.XLOOKUP(Table11[[#This Row],[Admin2PCODE]], tblPiNAnalysis[Admin2PCODE], INDIRECT("tblPiNAnalysis[" &amp; Table11[[#Headers],[Sectores más altos]] &amp; "]"), "NOT FOUND", 0, 1)</f>
        <v>ASH</v>
      </c>
      <c r="P132" cm="1">
        <f t="array" ref="P132">_xlfn.XLOOKUP(Table11[[#This Row],[Admin2PCODE]], tblPiNAnalysis[Admin2PCODE], tblPiNAnalysis[Severidad], "NOT FOUND", 0, 1)</f>
        <v>3</v>
      </c>
      <c r="Q132" s="318">
        <v>0.4358974358974359</v>
      </c>
      <c r="R132" s="318">
        <v>0.38888888888888867</v>
      </c>
      <c r="S132" s="318">
        <v>0.16951566951566943</v>
      </c>
      <c r="T132">
        <v>0</v>
      </c>
      <c r="W132">
        <f>_xlfn.XLOOKUP(Table11[[#This Row],[Admin2PCODE]],tblSeverityAnalysis[Admin 2 Código P],tblSeverityAnalysis[PRO],0,0)</f>
        <v>3</v>
      </c>
      <c r="Y132">
        <v>0</v>
      </c>
      <c r="Z132">
        <v>0</v>
      </c>
      <c r="AA132">
        <f t="shared" si="2"/>
        <v>0</v>
      </c>
    </row>
    <row r="133" spans="1:27">
      <c r="A133" t="s">
        <v>362</v>
      </c>
      <c r="B133" t="s">
        <v>363</v>
      </c>
      <c r="C133" s="42" t="s">
        <v>368</v>
      </c>
      <c r="D133" t="s">
        <v>369</v>
      </c>
      <c r="E133" s="8" cm="1">
        <f t="array" aca="1" ref="E133" ca="1">_xlfn.XLOOKUP(Table11[[#This Row],[Admin2PCODE]], tblPiNAnalysis[Admin2PCODE], INDIRECT("tblPiNAnalysis[" &amp; Table11[[#Headers],[Población]] &amp; "]"), "NOT FOUND", 0, 1)</f>
        <v>17475</v>
      </c>
      <c r="F133" s="8" cm="1">
        <f t="array" aca="1" ref="F133" ca="1">_xlfn.XLOOKUP(Table11[[#This Row],[Admin2PCODE]], tblPiNAnalysis[Admin2PCODE], INDIRECT("tblPiNAnalysis[" &amp; Table11[[#Headers],[SAMV]] &amp; "]"), "NOT FOUND", 0, 1)</f>
        <v>3102</v>
      </c>
      <c r="G133" s="8" cm="1">
        <f t="array" aca="1" ref="G133" ca="1">_xlfn.XLOOKUP(Table11[[#This Row],[Admin2PCODE]], tblPiNAnalysis[Admin2PCODE], INDIRECT("tblPiNAnalysis[" &amp; Table11[[#Headers],[NUT]] &amp; "]"), "NOT FOUND", 0, 1)</f>
        <v>1020.2898625197403</v>
      </c>
      <c r="H133" s="8" cm="1">
        <f t="array" aca="1" ref="H133" ca="1">_xlfn.XLOOKUP(Table11[[#This Row],[Admin2PCODE]], tblPiNAnalysis[Admin2PCODE], INDIRECT("tblPiNAnalysis[" &amp; Table11[[#Headers],[SAL]] &amp; "]"), "NOT FOUND", 0, 1)</f>
        <v>7700</v>
      </c>
      <c r="I133" s="8" cm="1">
        <f t="array" aca="1" ref="I133" ca="1">_xlfn.XLOOKUP(Table11[[#This Row],[Admin2PCODE]], tblPiNAnalysis[Admin2PCODE], INDIRECT("tblPiNAnalysis[" &amp; Table11[[#Headers],[EDU]] &amp; "]"), "NOT FOUND", 0, 1)</f>
        <v>1352.440333635805</v>
      </c>
      <c r="J133" s="8" cm="1">
        <f t="array" aca="1" ref="J133" ca="1">_xlfn.XLOOKUP(Table11[[#This Row],[Admin2PCODE]], tblPiNAnalysis[Admin2PCODE], INDIRECT("tblPiNAnalysis[" &amp; Table11[[#Headers],[PRO]] &amp; "]"), "NOT FOUND", 0, 1)</f>
        <v>1943.4438825821976</v>
      </c>
      <c r="K133" s="8" cm="1">
        <f t="array" aca="1" ref="K133" ca="1">_xlfn.XLOOKUP(Table11[[#This Row],[Admin2PCODE]], tblPiNAnalysis[Admin2PCODE], INDIRECT("tblPiNAnalysis[" &amp; Table11[[#Headers],[ASH]] &amp; "]"), "NOT FOUND", 0, 1)</f>
        <v>7863.75</v>
      </c>
      <c r="L133" s="8" cm="1">
        <f t="array" aca="1" ref="L133" ca="1">_xlfn.XLOOKUP(Table11[[#This Row],[Admin2PCODE]], tblPiNAnalysis[Admin2PCODE], INDIRECT("tblPiNAnalysis[" &amp; Table11[[#Headers],[NNA]] &amp; "]"), "NOT FOUND", 0, 1)</f>
        <v>621.9020424263033</v>
      </c>
      <c r="M133" s="8" cm="1">
        <f t="array" aca="1" ref="M133" ca="1">_xlfn.XLOOKUP(Table11[[#This Row],[Admin2PCODE]], tblPiNAnalysis[Admin2PCODE], INDIRECT("tblPiNAnalysis[" &amp; Table11[[#Headers],[VBG]] &amp; "]"), "NOT FOUND", 0, 1)</f>
        <v>680.20535890376914</v>
      </c>
      <c r="N133" s="8" cm="1">
        <f t="array" aca="1" ref="N133" ca="1">_xlfn.XLOOKUP(Table11[[#This Row],[Admin2PCODE]], tblPiNAnalysis[Admin2PCODE], INDIRECT("tblPiNAnalysis[" &amp; Table11[[#Headers],[PiN más alto]] &amp; "]"), "NOT FOUND", 0, 1)</f>
        <v>7863.75</v>
      </c>
      <c r="O133" t="str" cm="1">
        <f t="array" aca="1" ref="O133" ca="1">_xlfn.XLOOKUP(Table11[[#This Row],[Admin2PCODE]], tblPiNAnalysis[Admin2PCODE], INDIRECT("tblPiNAnalysis[" &amp; Table11[[#Headers],[Sectores más altos]] &amp; "]"), "NOT FOUND", 0, 1)</f>
        <v>ASH</v>
      </c>
      <c r="P133" cm="1">
        <f t="array" ref="P133">_xlfn.XLOOKUP(Table11[[#This Row],[Admin2PCODE]], tblPiNAnalysis[Admin2PCODE], tblPiNAnalysis[Severidad], "NOT FOUND", 0, 1)</f>
        <v>3</v>
      </c>
      <c r="Q133" s="318" t="e">
        <v>#N/A</v>
      </c>
      <c r="R133" s="318" t="e">
        <v>#N/A</v>
      </c>
      <c r="S133" s="318" t="e">
        <v>#N/A</v>
      </c>
      <c r="T133">
        <v>0</v>
      </c>
      <c r="W133">
        <f>_xlfn.XLOOKUP(Table11[[#This Row],[Admin2PCODE]],tblSeverityAnalysis[Admin 2 Código P],tblSeverityAnalysis[PRO],0,0)</f>
        <v>2</v>
      </c>
      <c r="Y133">
        <v>0</v>
      </c>
      <c r="Z133">
        <v>2.2000000000000002</v>
      </c>
      <c r="AA133">
        <f t="shared" si="2"/>
        <v>2</v>
      </c>
    </row>
    <row r="134" spans="1:27">
      <c r="A134" t="s">
        <v>362</v>
      </c>
      <c r="B134" t="s">
        <v>363</v>
      </c>
      <c r="C134" s="42" t="s">
        <v>820</v>
      </c>
      <c r="D134" t="s">
        <v>371</v>
      </c>
      <c r="E134" s="8" cm="1">
        <f t="array" aca="1" ref="E134" ca="1">_xlfn.XLOOKUP(Table11[[#This Row],[Admin2PCODE]], tblPiNAnalysis[Admin2PCODE], INDIRECT("tblPiNAnalysis[" &amp; Table11[[#Headers],[Población]] &amp; "]"), "NOT FOUND", 0, 1)</f>
        <v>20661</v>
      </c>
      <c r="F134" s="8" cm="1">
        <f t="array" aca="1" ref="F134" ca="1">_xlfn.XLOOKUP(Table11[[#This Row],[Admin2PCODE]], tblPiNAnalysis[Admin2PCODE], INDIRECT("tblPiNAnalysis[" &amp; Table11[[#Headers],[SAMV]] &amp; "]"), "NOT FOUND", 0, 1)</f>
        <v>0</v>
      </c>
      <c r="G134" s="8" cm="1">
        <f t="array" aca="1" ref="G134" ca="1">_xlfn.XLOOKUP(Table11[[#This Row],[Admin2PCODE]], tblPiNAnalysis[Admin2PCODE], INDIRECT("tblPiNAnalysis[" &amp; Table11[[#Headers],[NUT]] &amp; "]"), "NOT FOUND", 0, 1)</f>
        <v>1127.6680384267049</v>
      </c>
      <c r="H134" s="8" cm="1">
        <f t="array" aca="1" ref="H134" ca="1">_xlfn.XLOOKUP(Table11[[#This Row],[Admin2PCODE]], tblPiNAnalysis[Admin2PCODE], INDIRECT("tblPiNAnalysis[" &amp; Table11[[#Headers],[SAL]] &amp; "]"), "NOT FOUND", 0, 1)</f>
        <v>7541.2650000000003</v>
      </c>
      <c r="I134" s="8" cm="1">
        <f t="array" aca="1" ref="I134" ca="1">_xlfn.XLOOKUP(Table11[[#This Row],[Admin2PCODE]], tblPiNAnalysis[Admin2PCODE], INDIRECT("tblPiNAnalysis[" &amp; Table11[[#Headers],[EDU]] &amp; "]"), "NOT FOUND", 0, 1)</f>
        <v>1499.7524248814229</v>
      </c>
      <c r="J134" s="8" cm="1">
        <f t="array" aca="1" ref="J134" ca="1">_xlfn.XLOOKUP(Table11[[#This Row],[Admin2PCODE]], tblPiNAnalysis[Admin2PCODE], INDIRECT("tblPiNAnalysis[" &amp; Table11[[#Headers],[PRO]] &amp; "]"), "NOT FOUND", 0, 1)</f>
        <v>3829.6131671941616</v>
      </c>
      <c r="K134" s="8" cm="1">
        <f t="array" aca="1" ref="K134" ca="1">_xlfn.XLOOKUP(Table11[[#This Row],[Admin2PCODE]], tblPiNAnalysis[Admin2PCODE], INDIRECT("tblPiNAnalysis[" &amp; Table11[[#Headers],[ASH]] &amp; "]"), "NOT FOUND", 0, 1)</f>
        <v>2789.2350000000001</v>
      </c>
      <c r="L134" s="8" cm="1">
        <f t="array" aca="1" ref="L134" ca="1">_xlfn.XLOOKUP(Table11[[#This Row],[Admin2PCODE]], tblPiNAnalysis[Admin2PCODE], INDIRECT("tblPiNAnalysis[" &amp; Table11[[#Headers],[NNA]] &amp; "]"), "NOT FOUND", 0, 1)</f>
        <v>1229.3058266693261</v>
      </c>
      <c r="M134" s="8" cm="1">
        <f t="array" aca="1" ref="M134" ca="1">_xlfn.XLOOKUP(Table11[[#This Row],[Admin2PCODE]], tblPiNAnalysis[Admin2PCODE], INDIRECT("tblPiNAnalysis[" &amp; Table11[[#Headers],[VBG]] &amp; "]"), "NOT FOUND", 0, 1)</f>
        <v>1340.3646085179564</v>
      </c>
      <c r="N134" s="8" cm="1">
        <f t="array" aca="1" ref="N134" ca="1">_xlfn.XLOOKUP(Table11[[#This Row],[Admin2PCODE]], tblPiNAnalysis[Admin2PCODE], INDIRECT("tblPiNAnalysis[" &amp; Table11[[#Headers],[PiN más alto]] &amp; "]"), "NOT FOUND", 0, 1)</f>
        <v>7541.2650000000003</v>
      </c>
      <c r="O134" t="str" cm="1">
        <f t="array" aca="1" ref="O134" ca="1">_xlfn.XLOOKUP(Table11[[#This Row],[Admin2PCODE]], tblPiNAnalysis[Admin2PCODE], INDIRECT("tblPiNAnalysis[" &amp; Table11[[#Headers],[Sectores más altos]] &amp; "]"), "NOT FOUND", 0, 1)</f>
        <v>SAL</v>
      </c>
      <c r="P134" cm="1">
        <f t="array" ref="P134">_xlfn.XLOOKUP(Table11[[#This Row],[Admin2PCODE]], tblPiNAnalysis[Admin2PCODE], tblPiNAnalysis[Severidad], "NOT FOUND", 0, 1)</f>
        <v>3</v>
      </c>
      <c r="Q134" s="318">
        <v>1</v>
      </c>
      <c r="R134" s="318">
        <v>0.77777777777777746</v>
      </c>
      <c r="S134" s="318">
        <v>0.77777777777777746</v>
      </c>
      <c r="T134">
        <v>0</v>
      </c>
      <c r="W134">
        <f>_xlfn.XLOOKUP(Table11[[#This Row],[Admin2PCODE]],tblSeverityAnalysis[Admin 2 Código P],tblSeverityAnalysis[PRO],0,0)</f>
        <v>3</v>
      </c>
      <c r="Y134">
        <v>0</v>
      </c>
      <c r="Z134">
        <v>6.6</v>
      </c>
      <c r="AA134">
        <f t="shared" si="2"/>
        <v>7</v>
      </c>
    </row>
    <row r="135" spans="1:27">
      <c r="A135" t="s">
        <v>362</v>
      </c>
      <c r="B135" t="s">
        <v>363</v>
      </c>
      <c r="C135" s="42" t="s">
        <v>372</v>
      </c>
      <c r="D135" t="s">
        <v>373</v>
      </c>
      <c r="E135" s="8" cm="1">
        <f t="array" aca="1" ref="E135" ca="1">_xlfn.XLOOKUP(Table11[[#This Row],[Admin2PCODE]], tblPiNAnalysis[Admin2PCODE], INDIRECT("tblPiNAnalysis[" &amp; Table11[[#Headers],[Población]] &amp; "]"), "NOT FOUND", 0, 1)</f>
        <v>123622</v>
      </c>
      <c r="F135" s="8" cm="1">
        <f t="array" aca="1" ref="F135" ca="1">_xlfn.XLOOKUP(Table11[[#This Row],[Admin2PCODE]], tblPiNAnalysis[Admin2PCODE], INDIRECT("tblPiNAnalysis[" &amp; Table11[[#Headers],[SAMV]] &amp; "]"), "NOT FOUND", 0, 1)</f>
        <v>21943</v>
      </c>
      <c r="G135" s="8" cm="1">
        <f t="array" aca="1" ref="G135" ca="1">_xlfn.XLOOKUP(Table11[[#This Row],[Admin2PCODE]], tblPiNAnalysis[Admin2PCODE], INDIRECT("tblPiNAnalysis[" &amp; Table11[[#Headers],[NUT]] &amp; "]"), "NOT FOUND", 0, 1)</f>
        <v>6207.3295043550697</v>
      </c>
      <c r="H135" s="8" cm="1">
        <f t="array" aca="1" ref="H135" ca="1">_xlfn.XLOOKUP(Table11[[#This Row],[Admin2PCODE]], tblPiNAnalysis[Admin2PCODE], INDIRECT("tblPiNAnalysis[" &amp; Table11[[#Headers],[SAL]] &amp; "]"), "NOT FOUND", 0, 1)</f>
        <v>45122.03</v>
      </c>
      <c r="I135" s="8" cm="1">
        <f t="array" aca="1" ref="I135" ca="1">_xlfn.XLOOKUP(Table11[[#This Row],[Admin2PCODE]], tblPiNAnalysis[Admin2PCODE], INDIRECT("tblPiNAnalysis[" &amp; Table11[[#Headers],[EDU]] &amp; "]"), "NOT FOUND", 0, 1)</f>
        <v>14355.36541941502</v>
      </c>
      <c r="J135" s="8" cm="1">
        <f t="array" aca="1" ref="J135" ca="1">_xlfn.XLOOKUP(Table11[[#This Row],[Admin2PCODE]], tblPiNAnalysis[Admin2PCODE], INDIRECT("tblPiNAnalysis[" &amp; Table11[[#Headers],[PRO]] &amp; "]"), "NOT FOUND", 0, 1)</f>
        <v>13748.350194711096</v>
      </c>
      <c r="K135" s="8" cm="1">
        <f t="array" aca="1" ref="K135" ca="1">_xlfn.XLOOKUP(Table11[[#This Row],[Admin2PCODE]], tblPiNAnalysis[Admin2PCODE], INDIRECT("tblPiNAnalysis[" &amp; Table11[[#Headers],[ASH]] &amp; "]"), "NOT FOUND", 0, 1)</f>
        <v>16688.97</v>
      </c>
      <c r="L135" s="8" cm="1">
        <f t="array" aca="1" ref="L135" ca="1">_xlfn.XLOOKUP(Table11[[#This Row],[Admin2PCODE]], tblPiNAnalysis[Admin2PCODE], INDIRECT("tblPiNAnalysis[" &amp; Table11[[#Headers],[NNA]] &amp; "]"), "NOT FOUND", 0, 1)</f>
        <v>4399.4720623075509</v>
      </c>
      <c r="M135" s="8" cm="1">
        <f t="array" aca="1" ref="M135" ca="1">_xlfn.XLOOKUP(Table11[[#This Row],[Admin2PCODE]], tblPiNAnalysis[Admin2PCODE], INDIRECT("tblPiNAnalysis[" &amp; Table11[[#Headers],[VBG]] &amp; "]"), "NOT FOUND", 0, 1)</f>
        <v>4811.9225681488833</v>
      </c>
      <c r="N135" s="8" cm="1">
        <f t="array" aca="1" ref="N135" ca="1">_xlfn.XLOOKUP(Table11[[#This Row],[Admin2PCODE]], tblPiNAnalysis[Admin2PCODE], INDIRECT("tblPiNAnalysis[" &amp; Table11[[#Headers],[PiN más alto]] &amp; "]"), "NOT FOUND", 0, 1)</f>
        <v>45122.03</v>
      </c>
      <c r="O135" t="str" cm="1">
        <f t="array" aca="1" ref="O135" ca="1">_xlfn.XLOOKUP(Table11[[#This Row],[Admin2PCODE]], tblPiNAnalysis[Admin2PCODE], INDIRECT("tblPiNAnalysis[" &amp; Table11[[#Headers],[Sectores más altos]] &amp; "]"), "NOT FOUND", 0, 1)</f>
        <v>SAL</v>
      </c>
      <c r="P135" cm="1">
        <f t="array" ref="P135">_xlfn.XLOOKUP(Table11[[#This Row],[Admin2PCODE]], tblPiNAnalysis[Admin2PCODE], tblPiNAnalysis[Severidad], "NOT FOUND", 0, 1)</f>
        <v>3</v>
      </c>
      <c r="Q135" s="318" t="e">
        <v>#N/A</v>
      </c>
      <c r="R135" s="318" t="e">
        <v>#N/A</v>
      </c>
      <c r="S135" s="318" t="e">
        <v>#N/A</v>
      </c>
      <c r="T135">
        <v>1</v>
      </c>
      <c r="W135">
        <f>_xlfn.XLOOKUP(Table11[[#This Row],[Admin2PCODE]],tblSeverityAnalysis[Admin 2 Código P],tblSeverityAnalysis[PRO],0,0)</f>
        <v>2</v>
      </c>
      <c r="Y135">
        <v>0</v>
      </c>
      <c r="Z135">
        <v>3.9</v>
      </c>
      <c r="AA135">
        <f t="shared" si="2"/>
        <v>4</v>
      </c>
    </row>
    <row r="136" spans="1:27">
      <c r="A136" t="s">
        <v>362</v>
      </c>
      <c r="B136" t="s">
        <v>363</v>
      </c>
      <c r="C136" s="42" t="s">
        <v>374</v>
      </c>
      <c r="D136" t="s">
        <v>375</v>
      </c>
      <c r="E136" s="8" cm="1">
        <f t="array" aca="1" ref="E136" ca="1">_xlfn.XLOOKUP(Table11[[#This Row],[Admin2PCODE]], tblPiNAnalysis[Admin2PCODE], INDIRECT("tblPiNAnalysis[" &amp; Table11[[#Headers],[Población]] &amp; "]"), "NOT FOUND", 0, 1)</f>
        <v>33770</v>
      </c>
      <c r="F136" s="8" cm="1">
        <f t="array" aca="1" ref="F136" ca="1">_xlfn.XLOOKUP(Table11[[#This Row],[Admin2PCODE]], tblPiNAnalysis[Admin2PCODE], INDIRECT("tblPiNAnalysis[" &amp; Table11[[#Headers],[SAMV]] &amp; "]"), "NOT FOUND", 0, 1)</f>
        <v>11256</v>
      </c>
      <c r="G136" s="8" cm="1">
        <f t="array" aca="1" ref="G136" ca="1">_xlfn.XLOOKUP(Table11[[#This Row],[Admin2PCODE]], tblPiNAnalysis[Admin2PCODE], INDIRECT("tblPiNAnalysis[" &amp; Table11[[#Headers],[NUT]] &amp; "]"), "NOT FOUND", 0, 1)</f>
        <v>1890.2845536139289</v>
      </c>
      <c r="H136" s="8" cm="1">
        <f t="array" aca="1" ref="H136" ca="1">_xlfn.XLOOKUP(Table11[[#This Row],[Admin2PCODE]], tblPiNAnalysis[Admin2PCODE], INDIRECT("tblPiNAnalysis[" &amp; Table11[[#Headers],[SAL]] &amp; "]"), "NOT FOUND", 0, 1)</f>
        <v>12326.05</v>
      </c>
      <c r="I136" s="8" cm="1">
        <f t="array" aca="1" ref="I136" ca="1">_xlfn.XLOOKUP(Table11[[#This Row],[Admin2PCODE]], tblPiNAnalysis[Admin2PCODE], INDIRECT("tblPiNAnalysis[" &amp; Table11[[#Headers],[EDU]] &amp; "]"), "NOT FOUND", 0, 1)</f>
        <v>3419.9121158152179</v>
      </c>
      <c r="J136" s="8" cm="1">
        <f t="array" aca="1" ref="J136" ca="1">_xlfn.XLOOKUP(Table11[[#This Row],[Admin2PCODE]], tblPiNAnalysis[Admin2PCODE], INDIRECT("tblPiNAnalysis[" &amp; Table11[[#Headers],[PRO]] &amp; "]"), "NOT FOUND", 0, 1)</f>
        <v>7511.3132949700503</v>
      </c>
      <c r="K136" s="8" cm="1">
        <f t="array" aca="1" ref="K136" ca="1">_xlfn.XLOOKUP(Table11[[#This Row],[Admin2PCODE]], tblPiNAnalysis[Admin2PCODE], INDIRECT("tblPiNAnalysis[" &amp; Table11[[#Headers],[ASH]] &amp; "]"), "NOT FOUND", 0, 1)</f>
        <v>0</v>
      </c>
      <c r="L136" s="8" cm="1">
        <f t="array" aca="1" ref="L136" ca="1">_xlfn.XLOOKUP(Table11[[#This Row],[Admin2PCODE]], tblPiNAnalysis[Admin2PCODE], INDIRECT("tblPiNAnalysis[" &amp; Table11[[#Headers],[NNA]] &amp; "]"), "NOT FOUND", 0, 1)</f>
        <v>2403.620254390416</v>
      </c>
      <c r="M136" s="8" cm="1">
        <f t="array" aca="1" ref="M136" ca="1">_xlfn.XLOOKUP(Table11[[#This Row],[Admin2PCODE]], tblPiNAnalysis[Admin2PCODE], INDIRECT("tblPiNAnalysis[" &amp; Table11[[#Headers],[VBG]] &amp; "]"), "NOT FOUND", 0, 1)</f>
        <v>2628.9596532395171</v>
      </c>
      <c r="N136" s="8" cm="1">
        <f t="array" aca="1" ref="N136" ca="1">_xlfn.XLOOKUP(Table11[[#This Row],[Admin2PCODE]], tblPiNAnalysis[Admin2PCODE], INDIRECT("tblPiNAnalysis[" &amp; Table11[[#Headers],[PiN más alto]] &amp; "]"), "NOT FOUND", 0, 1)</f>
        <v>12326.05</v>
      </c>
      <c r="O136" t="str" cm="1">
        <f t="array" aca="1" ref="O136" ca="1">_xlfn.XLOOKUP(Table11[[#This Row],[Admin2PCODE]], tblPiNAnalysis[Admin2PCODE], INDIRECT("tblPiNAnalysis[" &amp; Table11[[#Headers],[Sectores más altos]] &amp; "]"), "NOT FOUND", 0, 1)</f>
        <v>SAL</v>
      </c>
      <c r="P136" cm="1">
        <f t="array" ref="P136">_xlfn.XLOOKUP(Table11[[#This Row],[Admin2PCODE]], tblPiNAnalysis[Admin2PCODE], tblPiNAnalysis[Severidad], "NOT FOUND", 0, 1)</f>
        <v>3</v>
      </c>
      <c r="Q136" s="318">
        <v>7.3529411764705885E-2</v>
      </c>
      <c r="R136" s="318">
        <v>0.38888888888888867</v>
      </c>
      <c r="S136" s="318">
        <v>2.8594771241830051E-2</v>
      </c>
      <c r="T136">
        <v>0</v>
      </c>
      <c r="W136">
        <f>_xlfn.XLOOKUP(Table11[[#This Row],[Admin2PCODE]],tblSeverityAnalysis[Admin 2 Código P],tblSeverityAnalysis[PRO],0,0)</f>
        <v>4</v>
      </c>
      <c r="Y136">
        <v>0</v>
      </c>
      <c r="Z136">
        <v>5.25</v>
      </c>
      <c r="AA136">
        <f t="shared" si="2"/>
        <v>5</v>
      </c>
    </row>
    <row r="137" spans="1:27">
      <c r="A137" t="s">
        <v>362</v>
      </c>
      <c r="B137" t="s">
        <v>363</v>
      </c>
      <c r="C137" s="42" t="s">
        <v>376</v>
      </c>
      <c r="D137" t="s">
        <v>377</v>
      </c>
      <c r="E137" s="8" cm="1">
        <f t="array" aca="1" ref="E137" ca="1">_xlfn.XLOOKUP(Table11[[#This Row],[Admin2PCODE]], tblPiNAnalysis[Admin2PCODE], INDIRECT("tblPiNAnalysis[" &amp; Table11[[#Headers],[Población]] &amp; "]"), "NOT FOUND", 0, 1)</f>
        <v>28291</v>
      </c>
      <c r="F137" s="8" cm="1">
        <f t="array" aca="1" ref="F137" ca="1">_xlfn.XLOOKUP(Table11[[#This Row],[Admin2PCODE]], tblPiNAnalysis[Admin2PCODE], INDIRECT("tblPiNAnalysis[" &amp; Table11[[#Headers],[SAMV]] &amp; "]"), "NOT FOUND", 0, 1)</f>
        <v>5022</v>
      </c>
      <c r="G137" s="8" cm="1">
        <f t="array" aca="1" ref="G137" ca="1">_xlfn.XLOOKUP(Table11[[#This Row],[Admin2PCODE]], tblPiNAnalysis[Admin2PCODE], INDIRECT("tblPiNAnalysis[" &amp; Table11[[#Headers],[NUT]] &amp; "]"), "NOT FOUND", 0, 1)</f>
        <v>1437.5561402678572</v>
      </c>
      <c r="H137" s="8" cm="1">
        <f t="array" aca="1" ref="H137" ca="1">_xlfn.XLOOKUP(Table11[[#This Row],[Admin2PCODE]], tblPiNAnalysis[Admin2PCODE], INDIRECT("tblPiNAnalysis[" &amp; Table11[[#Headers],[SAL]] &amp; "]"), "NOT FOUND", 0, 1)</f>
        <v>10326.215</v>
      </c>
      <c r="I137" s="8" cm="1">
        <f t="array" aca="1" ref="I137" ca="1">_xlfn.XLOOKUP(Table11[[#This Row],[Admin2PCODE]], tblPiNAnalysis[Admin2PCODE], INDIRECT("tblPiNAnalysis[" &amp; Table11[[#Headers],[EDU]] &amp; "]"), "NOT FOUND", 0, 1)</f>
        <v>2807.2836822234208</v>
      </c>
      <c r="J137" s="8" cm="1">
        <f t="array" aca="1" ref="J137" ca="1">_xlfn.XLOOKUP(Table11[[#This Row],[Admin2PCODE]], tblPiNAnalysis[Admin2PCODE], INDIRECT("tblPiNAnalysis[" &amp; Table11[[#Headers],[PRO]] &amp; "]"), "NOT FOUND", 0, 1)</f>
        <v>3146.3216527686955</v>
      </c>
      <c r="K137" s="8" cm="1">
        <f t="array" aca="1" ref="K137" ca="1">_xlfn.XLOOKUP(Table11[[#This Row],[Admin2PCODE]], tblPiNAnalysis[Admin2PCODE], INDIRECT("tblPiNAnalysis[" &amp; Table11[[#Headers],[ASH]] &amp; "]"), "NOT FOUND", 0, 1)</f>
        <v>0</v>
      </c>
      <c r="L137" s="8" cm="1">
        <f t="array" aca="1" ref="L137" ca="1">_xlfn.XLOOKUP(Table11[[#This Row],[Admin2PCODE]], tblPiNAnalysis[Admin2PCODE], INDIRECT("tblPiNAnalysis[" &amp; Table11[[#Headers],[NNA]] &amp; "]"), "NOT FOUND", 0, 1)</f>
        <v>1006.8229288859826</v>
      </c>
      <c r="M137" s="8" cm="1">
        <f t="array" aca="1" ref="M137" ca="1">_xlfn.XLOOKUP(Table11[[#This Row],[Admin2PCODE]], tblPiNAnalysis[Admin2PCODE], INDIRECT("tblPiNAnalysis[" &amp; Table11[[#Headers],[VBG]] &amp; "]"), "NOT FOUND", 0, 1)</f>
        <v>1101.2125784690434</v>
      </c>
      <c r="N137" s="8" cm="1">
        <f t="array" aca="1" ref="N137" ca="1">_xlfn.XLOOKUP(Table11[[#This Row],[Admin2PCODE]], tblPiNAnalysis[Admin2PCODE], INDIRECT("tblPiNAnalysis[" &amp; Table11[[#Headers],[PiN más alto]] &amp; "]"), "NOT FOUND", 0, 1)</f>
        <v>10326.215</v>
      </c>
      <c r="O137" t="str" cm="1">
        <f t="array" aca="1" ref="O137" ca="1">_xlfn.XLOOKUP(Table11[[#This Row],[Admin2PCODE]], tblPiNAnalysis[Admin2PCODE], INDIRECT("tblPiNAnalysis[" &amp; Table11[[#Headers],[Sectores más altos]] &amp; "]"), "NOT FOUND", 0, 1)</f>
        <v>SAL</v>
      </c>
      <c r="P137" cm="1">
        <f t="array" ref="P137">_xlfn.XLOOKUP(Table11[[#This Row],[Admin2PCODE]], tblPiNAnalysis[Admin2PCODE], tblPiNAnalysis[Severidad], "NOT FOUND", 0, 1)</f>
        <v>2</v>
      </c>
      <c r="Q137" s="318" t="e">
        <v>#N/A</v>
      </c>
      <c r="R137" s="318" t="e">
        <v>#N/A</v>
      </c>
      <c r="S137" s="318" t="e">
        <v>#N/A</v>
      </c>
      <c r="T137">
        <v>0</v>
      </c>
      <c r="W137">
        <f>_xlfn.XLOOKUP(Table11[[#This Row],[Admin2PCODE]],tblSeverityAnalysis[Admin 2 Código P],tblSeverityAnalysis[PRO],0,0)</f>
        <v>2</v>
      </c>
      <c r="Y137">
        <v>0</v>
      </c>
      <c r="Z137">
        <v>3.65</v>
      </c>
      <c r="AA137">
        <f t="shared" si="2"/>
        <v>4</v>
      </c>
    </row>
    <row r="138" spans="1:27">
      <c r="A138" t="s">
        <v>362</v>
      </c>
      <c r="B138" t="s">
        <v>363</v>
      </c>
      <c r="C138" s="42" t="s">
        <v>806</v>
      </c>
      <c r="D138" t="s">
        <v>378</v>
      </c>
      <c r="E138" s="8" cm="1">
        <f t="array" aca="1" ref="E138" ca="1">_xlfn.XLOOKUP(Table11[[#This Row],[Admin2PCODE]], tblPiNAnalysis[Admin2PCODE], INDIRECT("tblPiNAnalysis[" &amp; Table11[[#Headers],[Población]] &amp; "]"), "NOT FOUND", 0, 1)</f>
        <v>145194</v>
      </c>
      <c r="F138" s="8" cm="1">
        <f t="array" aca="1" ref="F138" ca="1">_xlfn.XLOOKUP(Table11[[#This Row],[Admin2PCODE]], tblPiNAnalysis[Admin2PCODE], INDIRECT("tblPiNAnalysis[" &amp; Table11[[#Headers],[SAMV]] &amp; "]"), "NOT FOUND", 0, 1)</f>
        <v>28513</v>
      </c>
      <c r="G138" s="8" cm="1">
        <f t="array" aca="1" ref="G138" ca="1">_xlfn.XLOOKUP(Table11[[#This Row],[Admin2PCODE]], tblPiNAnalysis[Admin2PCODE], INDIRECT("tblPiNAnalysis[" &amp; Table11[[#Headers],[NUT]] &amp; "]"), "NOT FOUND", 0, 1)</f>
        <v>5638.6621941758949</v>
      </c>
      <c r="H138" s="8" cm="1">
        <f t="array" aca="1" ref="H138" ca="1">_xlfn.XLOOKUP(Table11[[#This Row],[Admin2PCODE]], tblPiNAnalysis[Admin2PCODE], INDIRECT("tblPiNAnalysis[" &amp; Table11[[#Headers],[SAL]] &amp; "]"), "NOT FOUND", 0, 1)</f>
        <v>52995.81</v>
      </c>
      <c r="I138" s="8" cm="1">
        <f t="array" aca="1" ref="I138" ca="1">_xlfn.XLOOKUP(Table11[[#This Row],[Admin2PCODE]], tblPiNAnalysis[Admin2PCODE], INDIRECT("tblPiNAnalysis[" &amp; Table11[[#Headers],[EDU]] &amp; "]"), "NOT FOUND", 0, 1)</f>
        <v>14944.294423882566</v>
      </c>
      <c r="J138" s="8" cm="1">
        <f t="array" aca="1" ref="J138" ca="1">_xlfn.XLOOKUP(Table11[[#This Row],[Admin2PCODE]], tblPiNAnalysis[Admin2PCODE], INDIRECT("tblPiNAnalysis[" &amp; Table11[[#Headers],[PRO]] &amp; "]"), "NOT FOUND", 0, 1)</f>
        <v>32294.865932777066</v>
      </c>
      <c r="K138" s="8" cm="1">
        <f t="array" aca="1" ref="K138" ca="1">_xlfn.XLOOKUP(Table11[[#This Row],[Admin2PCODE]], tblPiNAnalysis[Admin2PCODE], INDIRECT("tblPiNAnalysis[" &amp; Table11[[#Headers],[ASH]] &amp; "]"), "NOT FOUND", 0, 1)</f>
        <v>0</v>
      </c>
      <c r="L138" s="8" cm="1">
        <f t="array" aca="1" ref="L138" ca="1">_xlfn.XLOOKUP(Table11[[#This Row],[Admin2PCODE]], tblPiNAnalysis[Admin2PCODE], INDIRECT("tblPiNAnalysis[" &amp; Table11[[#Headers],[NNA]] &amp; "]"), "NOT FOUND", 0, 1)</f>
        <v>10366.651964421439</v>
      </c>
      <c r="M138" s="8" cm="1">
        <f t="array" aca="1" ref="M138" ca="1">_xlfn.XLOOKUP(Table11[[#This Row],[Admin2PCODE]], tblPiNAnalysis[Admin2PCODE], INDIRECT("tblPiNAnalysis[" &amp; Table11[[#Headers],[VBG]] &amp; "]"), "NOT FOUND", 0, 1)</f>
        <v>11303.203076471973</v>
      </c>
      <c r="N138" s="8" cm="1">
        <f t="array" aca="1" ref="N138" ca="1">_xlfn.XLOOKUP(Table11[[#This Row],[Admin2PCODE]], tblPiNAnalysis[Admin2PCODE], INDIRECT("tblPiNAnalysis[" &amp; Table11[[#Headers],[PiN más alto]] &amp; "]"), "NOT FOUND", 0, 1)</f>
        <v>52995.81</v>
      </c>
      <c r="O138" t="str" cm="1">
        <f t="array" aca="1" ref="O138" ca="1">_xlfn.XLOOKUP(Table11[[#This Row],[Admin2PCODE]], tblPiNAnalysis[Admin2PCODE], INDIRECT("tblPiNAnalysis[" &amp; Table11[[#Headers],[Sectores más altos]] &amp; "]"), "NOT FOUND", 0, 1)</f>
        <v>SAL</v>
      </c>
      <c r="P138" cm="1">
        <f t="array" ref="P138">_xlfn.XLOOKUP(Table11[[#This Row],[Admin2PCODE]], tblPiNAnalysis[Admin2PCODE], tblPiNAnalysis[Severidad], "NOT FOUND", 0, 1)</f>
        <v>3</v>
      </c>
      <c r="Q138" s="318">
        <v>4.4222539229671898E-2</v>
      </c>
      <c r="R138" s="318">
        <v>0.37275985663082428</v>
      </c>
      <c r="S138" s="318">
        <v>1.64843873831035E-2</v>
      </c>
      <c r="T138">
        <v>0</v>
      </c>
      <c r="W138">
        <f>_xlfn.XLOOKUP(Table11[[#This Row],[Admin2PCODE]],tblSeverityAnalysis[Admin 2 Código P],tblSeverityAnalysis[PRO],0,0)</f>
        <v>4</v>
      </c>
      <c r="Y138">
        <v>0</v>
      </c>
      <c r="Z138">
        <v>5.0999999999999996</v>
      </c>
      <c r="AA138">
        <f t="shared" si="2"/>
        <v>5</v>
      </c>
    </row>
    <row r="139" spans="1:27">
      <c r="A139" t="s">
        <v>362</v>
      </c>
      <c r="B139" t="s">
        <v>363</v>
      </c>
      <c r="C139" s="42" t="s">
        <v>379</v>
      </c>
      <c r="D139" t="s">
        <v>380</v>
      </c>
      <c r="E139" s="8" cm="1">
        <f t="array" aca="1" ref="E139" ca="1">_xlfn.XLOOKUP(Table11[[#This Row],[Admin2PCODE]], tblPiNAnalysis[Admin2PCODE], INDIRECT("tblPiNAnalysis[" &amp; Table11[[#Headers],[Población]] &amp; "]"), "NOT FOUND", 0, 1)</f>
        <v>76246</v>
      </c>
      <c r="F139" s="8" cm="1">
        <f t="array" aca="1" ref="F139" ca="1">_xlfn.XLOOKUP(Table11[[#This Row],[Admin2PCODE]], tblPiNAnalysis[Admin2PCODE], INDIRECT("tblPiNAnalysis[" &amp; Table11[[#Headers],[SAMV]] &amp; "]"), "NOT FOUND", 0, 1)</f>
        <v>13534</v>
      </c>
      <c r="G139" s="8" cm="1">
        <f t="array" aca="1" ref="G139" ca="1">_xlfn.XLOOKUP(Table11[[#This Row],[Admin2PCODE]], tblPiNAnalysis[Admin2PCODE], INDIRECT("tblPiNAnalysis[" &amp; Table11[[#Headers],[NUT]] &amp; "]"), "NOT FOUND", 0, 1)</f>
        <v>3862.6008584669858</v>
      </c>
      <c r="H139" s="8" cm="1">
        <f t="array" aca="1" ref="H139" ca="1">_xlfn.XLOOKUP(Table11[[#This Row],[Admin2PCODE]], tblPiNAnalysis[Admin2PCODE], INDIRECT("tblPiNAnalysis[" &amp; Table11[[#Headers],[SAL]] &amp; "]"), "NOT FOUND", 0, 1)</f>
        <v>27829.79</v>
      </c>
      <c r="I139" s="8" cm="1">
        <f t="array" aca="1" ref="I139" ca="1">_xlfn.XLOOKUP(Table11[[#This Row],[Admin2PCODE]], tblPiNAnalysis[Admin2PCODE], INDIRECT("tblPiNAnalysis[" &amp; Table11[[#Headers],[EDU]] &amp; "]"), "NOT FOUND", 0, 1)</f>
        <v>9043.2888174120781</v>
      </c>
      <c r="J139" s="8" cm="1">
        <f t="array" aca="1" ref="J139" ca="1">_xlfn.XLOOKUP(Table11[[#This Row],[Admin2PCODE]], tblPiNAnalysis[Admin2PCODE], INDIRECT("tblPiNAnalysis[" &amp; Table11[[#Headers],[PRO]] &amp; "]"), "NOT FOUND", 0, 1)</f>
        <v>16959.064065391955</v>
      </c>
      <c r="K139" s="8" cm="1">
        <f t="array" aca="1" ref="K139" ca="1">_xlfn.XLOOKUP(Table11[[#This Row],[Admin2PCODE]], tblPiNAnalysis[Admin2PCODE], INDIRECT("tblPiNAnalysis[" &amp; Table11[[#Headers],[ASH]] &amp; "]"), "NOT FOUND", 0, 1)</f>
        <v>10293.210000000001</v>
      </c>
      <c r="L139" s="8" cm="1">
        <f t="array" aca="1" ref="L139" ca="1">_xlfn.XLOOKUP(Table11[[#This Row],[Admin2PCODE]], tblPiNAnalysis[Admin2PCODE], INDIRECT("tblPiNAnalysis[" &amp; Table11[[#Headers],[NNA]] &amp; "]"), "NOT FOUND", 0, 1)</f>
        <v>5443.8595649908175</v>
      </c>
      <c r="M139" s="8" cm="1">
        <f t="array" aca="1" ref="M139" ca="1">_xlfn.XLOOKUP(Table11[[#This Row],[Admin2PCODE]], tblPiNAnalysis[Admin2PCODE], INDIRECT("tblPiNAnalysis[" &amp; Table11[[#Headers],[VBG]] &amp; "]"), "NOT FOUND", 0, 1)</f>
        <v>5935.6724228871835</v>
      </c>
      <c r="N139" s="8" cm="1">
        <f t="array" aca="1" ref="N139" ca="1">_xlfn.XLOOKUP(Table11[[#This Row],[Admin2PCODE]], tblPiNAnalysis[Admin2PCODE], INDIRECT("tblPiNAnalysis[" &amp; Table11[[#Headers],[PiN más alto]] &amp; "]"), "NOT FOUND", 0, 1)</f>
        <v>27829.79</v>
      </c>
      <c r="O139" t="str" cm="1">
        <f t="array" aca="1" ref="O139" ca="1">_xlfn.XLOOKUP(Table11[[#This Row],[Admin2PCODE]], tblPiNAnalysis[Admin2PCODE], INDIRECT("tblPiNAnalysis[" &amp; Table11[[#Headers],[Sectores más altos]] &amp; "]"), "NOT FOUND", 0, 1)</f>
        <v>SAL</v>
      </c>
      <c r="P139" cm="1">
        <f t="array" ref="P139">_xlfn.XLOOKUP(Table11[[#This Row],[Admin2PCODE]], tblPiNAnalysis[Admin2PCODE], tblPiNAnalysis[Severidad], "NOT FOUND", 0, 1)</f>
        <v>3</v>
      </c>
      <c r="Q139" s="318"/>
      <c r="R139" s="318"/>
      <c r="S139" s="318"/>
      <c r="T139">
        <v>0</v>
      </c>
      <c r="W139">
        <f>_xlfn.XLOOKUP(Table11[[#This Row],[Admin2PCODE]],tblSeverityAnalysis[Admin 2 Código P],tblSeverityAnalysis[PRO],0,0)</f>
        <v>4</v>
      </c>
      <c r="Y139">
        <v>0</v>
      </c>
      <c r="Z139">
        <v>0</v>
      </c>
      <c r="AA139">
        <f t="shared" si="2"/>
        <v>0</v>
      </c>
    </row>
    <row r="140" spans="1:27">
      <c r="A140" t="s">
        <v>362</v>
      </c>
      <c r="B140" t="s">
        <v>363</v>
      </c>
      <c r="C140" s="42" t="s">
        <v>381</v>
      </c>
      <c r="D140" t="s">
        <v>382</v>
      </c>
      <c r="E140" s="8" cm="1">
        <f t="array" aca="1" ref="E140" ca="1">_xlfn.XLOOKUP(Table11[[#This Row],[Admin2PCODE]], tblPiNAnalysis[Admin2PCODE], INDIRECT("tblPiNAnalysis[" &amp; Table11[[#Headers],[Población]] &amp; "]"), "NOT FOUND", 0, 1)</f>
        <v>24281</v>
      </c>
      <c r="F140" s="8" cm="1">
        <f t="array" aca="1" ref="F140" ca="1">_xlfn.XLOOKUP(Table11[[#This Row],[Admin2PCODE]], tblPiNAnalysis[Admin2PCODE], INDIRECT("tblPiNAnalysis[" &amp; Table11[[#Headers],[SAMV]] &amp; "]"), "NOT FOUND", 0, 1)</f>
        <v>0</v>
      </c>
      <c r="G140" s="8" cm="1">
        <f t="array" aca="1" ref="G140" ca="1">_xlfn.XLOOKUP(Table11[[#This Row],[Admin2PCODE]], tblPiNAnalysis[Admin2PCODE], INDIRECT("tblPiNAnalysis[" &amp; Table11[[#Headers],[NUT]] &amp; "]"), "NOT FOUND", 0, 1)</f>
        <v>1261.2460013428754</v>
      </c>
      <c r="H140" s="8" cm="1">
        <f t="array" aca="1" ref="H140" ca="1">_xlfn.XLOOKUP(Table11[[#This Row],[Admin2PCODE]], tblPiNAnalysis[Admin2PCODE], INDIRECT("tblPiNAnalysis[" &amp; Table11[[#Headers],[SAL]] &amp; "]"), "NOT FOUND", 0, 1)</f>
        <v>8862.5650000000005</v>
      </c>
      <c r="I140" s="8" cm="1">
        <f t="array" aca="1" ref="I140" ca="1">_xlfn.XLOOKUP(Table11[[#This Row],[Admin2PCODE]], tblPiNAnalysis[Admin2PCODE], INDIRECT("tblPiNAnalysis[" &amp; Table11[[#Headers],[EDU]] &amp; "]"), "NOT FOUND", 0, 1)</f>
        <v>2579.0220908425704</v>
      </c>
      <c r="J140" s="8" cm="1">
        <f t="array" aca="1" ref="J140" ca="1">_xlfn.XLOOKUP(Table11[[#This Row],[Admin2PCODE]], tblPiNAnalysis[Admin2PCODE], INDIRECT("tblPiNAnalysis[" &amp; Table11[[#Headers],[PRO]] &amp; "]"), "NOT FOUND", 0, 1)</f>
        <v>4500.597130470037</v>
      </c>
      <c r="K140" s="8" cm="1">
        <f t="array" aca="1" ref="K140" ca="1">_xlfn.XLOOKUP(Table11[[#This Row],[Admin2PCODE]], tblPiNAnalysis[Admin2PCODE], INDIRECT("tblPiNAnalysis[" &amp; Table11[[#Headers],[ASH]] &amp; "]"), "NOT FOUND", 0, 1)</f>
        <v>0</v>
      </c>
      <c r="L140" s="8" cm="1">
        <f t="array" aca="1" ref="L140" ca="1">_xlfn.XLOOKUP(Table11[[#This Row],[Admin2PCODE]], tblPiNAnalysis[Admin2PCODE], INDIRECT("tblPiNAnalysis[" &amp; Table11[[#Headers],[NNA]] &amp; "]"), "NOT FOUND", 0, 1)</f>
        <v>1444.6916788808819</v>
      </c>
      <c r="M140" s="8" cm="1">
        <f t="array" aca="1" ref="M140" ca="1">_xlfn.XLOOKUP(Table11[[#This Row],[Admin2PCODE]], tblPiNAnalysis[Admin2PCODE], INDIRECT("tblPiNAnalysis[" &amp; Table11[[#Headers],[VBG]] &amp; "]"), "NOT FOUND", 0, 1)</f>
        <v>1575.2089956645129</v>
      </c>
      <c r="N140" s="8" cm="1">
        <f t="array" aca="1" ref="N140" ca="1">_xlfn.XLOOKUP(Table11[[#This Row],[Admin2PCODE]], tblPiNAnalysis[Admin2PCODE], INDIRECT("tblPiNAnalysis[" &amp; Table11[[#Headers],[PiN más alto]] &amp; "]"), "NOT FOUND", 0, 1)</f>
        <v>8862.5650000000005</v>
      </c>
      <c r="O140" t="str" cm="1">
        <f t="array" aca="1" ref="O140" ca="1">_xlfn.XLOOKUP(Table11[[#This Row],[Admin2PCODE]], tblPiNAnalysis[Admin2PCODE], INDIRECT("tblPiNAnalysis[" &amp; Table11[[#Headers],[Sectores más altos]] &amp; "]"), "NOT FOUND", 0, 1)</f>
        <v>SAL</v>
      </c>
      <c r="P140" cm="1">
        <f t="array" ref="P140">_xlfn.XLOOKUP(Table11[[#This Row],[Admin2PCODE]], tblPiNAnalysis[Admin2PCODE], tblPiNAnalysis[Severidad], "NOT FOUND", 0, 1)</f>
        <v>3</v>
      </c>
      <c r="Q140" s="318">
        <v>1</v>
      </c>
      <c r="R140" s="318">
        <v>0.33333333333333331</v>
      </c>
      <c r="S140" s="318">
        <v>0.33333333333333331</v>
      </c>
      <c r="T140">
        <v>0</v>
      </c>
      <c r="W140">
        <f>_xlfn.XLOOKUP(Table11[[#This Row],[Admin2PCODE]],tblSeverityAnalysis[Admin 2 Código P],tblSeverityAnalysis[PRO],0,0)</f>
        <v>3</v>
      </c>
      <c r="Y140">
        <v>0</v>
      </c>
      <c r="Z140">
        <v>1.5</v>
      </c>
      <c r="AA140">
        <f t="shared" si="2"/>
        <v>2</v>
      </c>
    </row>
    <row r="141" spans="1:27">
      <c r="A141" t="s">
        <v>362</v>
      </c>
      <c r="B141" t="s">
        <v>363</v>
      </c>
      <c r="C141" s="42" t="s">
        <v>188</v>
      </c>
      <c r="D141" t="s">
        <v>384</v>
      </c>
      <c r="E141" s="8" cm="1">
        <f t="array" aca="1" ref="E141" ca="1">_xlfn.XLOOKUP(Table11[[#This Row],[Admin2PCODE]], tblPiNAnalysis[Admin2PCODE], INDIRECT("tblPiNAnalysis[" &amp; Table11[[#Headers],[Población]] &amp; "]"), "NOT FOUND", 0, 1)</f>
        <v>39282</v>
      </c>
      <c r="F141" s="8" cm="1">
        <f t="array" aca="1" ref="F141" ca="1">_xlfn.XLOOKUP(Table11[[#This Row],[Admin2PCODE]], tblPiNAnalysis[Admin2PCODE], INDIRECT("tblPiNAnalysis[" &amp; Table11[[#Headers],[SAMV]] &amp; "]"), "NOT FOUND", 0, 1)</f>
        <v>6973</v>
      </c>
      <c r="G141" s="8" cm="1">
        <f t="array" aca="1" ref="G141" ca="1">_xlfn.XLOOKUP(Table11[[#This Row],[Admin2PCODE]], tblPiNAnalysis[Admin2PCODE], INDIRECT("tblPiNAnalysis[" &amp; Table11[[#Headers],[NUT]] &amp; "]"), "NOT FOUND", 0, 1)</f>
        <v>2565.9408945649348</v>
      </c>
      <c r="H141" s="8" cm="1">
        <f t="array" aca="1" ref="H141" ca="1">_xlfn.XLOOKUP(Table11[[#This Row],[Admin2PCODE]], tblPiNAnalysis[Admin2PCODE], INDIRECT("tblPiNAnalysis[" &amp; Table11[[#Headers],[SAL]] &amp; "]"), "NOT FOUND", 0, 1)</f>
        <v>14337.93</v>
      </c>
      <c r="I141" s="8" cm="1">
        <f t="array" aca="1" ref="I141" ca="1">_xlfn.XLOOKUP(Table11[[#This Row],[Admin2PCODE]], tblPiNAnalysis[Admin2PCODE], INDIRECT("tblPiNAnalysis[" &amp; Table11[[#Headers],[EDU]] &amp; "]"), "NOT FOUND", 0, 1)</f>
        <v>3248.3825137372783</v>
      </c>
      <c r="J141" s="8" cm="1">
        <f t="array" aca="1" ref="J141" ca="1">_xlfn.XLOOKUP(Table11[[#This Row],[Admin2PCODE]], tblPiNAnalysis[Admin2PCODE], INDIRECT("tblPiNAnalysis[" &amp; Table11[[#Headers],[PRO]] &amp; "]"), "NOT FOUND", 0, 1)</f>
        <v>4368.6616649839143</v>
      </c>
      <c r="K141" s="8" cm="1">
        <f t="array" aca="1" ref="K141" ca="1">_xlfn.XLOOKUP(Table11[[#This Row],[Admin2PCODE]], tblPiNAnalysis[Admin2PCODE], INDIRECT("tblPiNAnalysis[" &amp; Table11[[#Headers],[ASH]] &amp; "]"), "NOT FOUND", 0, 1)</f>
        <v>17676.900000000001</v>
      </c>
      <c r="L141" s="8" cm="1">
        <f t="array" aca="1" ref="L141" ca="1">_xlfn.XLOOKUP(Table11[[#This Row],[Admin2PCODE]], tblPiNAnalysis[Admin2PCODE], INDIRECT("tblPiNAnalysis[" &amp; Table11[[#Headers],[NNA]] &amp; "]"), "NOT FOUND", 0, 1)</f>
        <v>1397.9717327948524</v>
      </c>
      <c r="M141" s="8" cm="1">
        <f t="array" aca="1" ref="M141" ca="1">_xlfn.XLOOKUP(Table11[[#This Row],[Admin2PCODE]], tblPiNAnalysis[Admin2PCODE], INDIRECT("tblPiNAnalysis[" &amp; Table11[[#Headers],[VBG]] &amp; "]"), "NOT FOUND", 0, 1)</f>
        <v>1529.0315827443701</v>
      </c>
      <c r="N141" s="8" cm="1">
        <f t="array" aca="1" ref="N141" ca="1">_xlfn.XLOOKUP(Table11[[#This Row],[Admin2PCODE]], tblPiNAnalysis[Admin2PCODE], INDIRECT("tblPiNAnalysis[" &amp; Table11[[#Headers],[PiN más alto]] &amp; "]"), "NOT FOUND", 0, 1)</f>
        <v>17676.900000000001</v>
      </c>
      <c r="O141" t="str" cm="1">
        <f t="array" aca="1" ref="O141" ca="1">_xlfn.XLOOKUP(Table11[[#This Row],[Admin2PCODE]], tblPiNAnalysis[Admin2PCODE], INDIRECT("tblPiNAnalysis[" &amp; Table11[[#Headers],[Sectores más altos]] &amp; "]"), "NOT FOUND", 0, 1)</f>
        <v>ASH</v>
      </c>
      <c r="P141" cm="1">
        <f t="array" ref="P141">_xlfn.XLOOKUP(Table11[[#This Row],[Admin2PCODE]], tblPiNAnalysis[Admin2PCODE], tblPiNAnalysis[Severidad], "NOT FOUND", 0, 1)</f>
        <v>3</v>
      </c>
      <c r="Q141" s="318"/>
      <c r="R141" s="318"/>
      <c r="S141" s="318"/>
      <c r="T141">
        <v>0</v>
      </c>
      <c r="W141">
        <f>_xlfn.XLOOKUP(Table11[[#This Row],[Admin2PCODE]],tblSeverityAnalysis[Admin 2 Código P],tblSeverityAnalysis[PRO],0,0)</f>
        <v>2</v>
      </c>
      <c r="Y141">
        <v>0</v>
      </c>
      <c r="Z141">
        <v>0</v>
      </c>
      <c r="AA141">
        <f t="shared" si="2"/>
        <v>0</v>
      </c>
    </row>
    <row r="142" spans="1:27">
      <c r="A142" t="s">
        <v>362</v>
      </c>
      <c r="B142" t="s">
        <v>363</v>
      </c>
      <c r="C142" s="42" t="s">
        <v>385</v>
      </c>
      <c r="D142" t="s">
        <v>386</v>
      </c>
      <c r="E142" s="8" cm="1">
        <f t="array" aca="1" ref="E142" ca="1">_xlfn.XLOOKUP(Table11[[#This Row],[Admin2PCODE]], tblPiNAnalysis[Admin2PCODE], INDIRECT("tblPiNAnalysis[" &amp; Table11[[#Headers],[Población]] &amp; "]"), "NOT FOUND", 0, 1)</f>
        <v>129028</v>
      </c>
      <c r="F142" s="8" cm="1">
        <f t="array" aca="1" ref="F142" ca="1">_xlfn.XLOOKUP(Table11[[#This Row],[Admin2PCODE]], tblPiNAnalysis[Admin2PCODE], INDIRECT("tblPiNAnalysis[" &amp; Table11[[#Headers],[SAMV]] &amp; "]"), "NOT FOUND", 0, 1)</f>
        <v>0</v>
      </c>
      <c r="G142" s="8" cm="1">
        <f t="array" aca="1" ref="G142" ca="1">_xlfn.XLOOKUP(Table11[[#This Row],[Admin2PCODE]], tblPiNAnalysis[Admin2PCODE], INDIRECT("tblPiNAnalysis[" &amp; Table11[[#Headers],[NUT]] &amp; "]"), "NOT FOUND", 0, 1)</f>
        <v>4996.6350896594977</v>
      </c>
      <c r="H142" s="8" cm="1">
        <f t="array" aca="1" ref="H142" ca="1">_xlfn.XLOOKUP(Table11[[#This Row],[Admin2PCODE]], tblPiNAnalysis[Admin2PCODE], INDIRECT("tblPiNAnalysis[" &amp; Table11[[#Headers],[SAL]] &amp; "]"), "NOT FOUND", 0, 1)</f>
        <v>47095.22</v>
      </c>
      <c r="I142" s="8" cm="1">
        <f t="array" aca="1" ref="I142" ca="1">_xlfn.XLOOKUP(Table11[[#This Row],[Admin2PCODE]], tblPiNAnalysis[Admin2PCODE], INDIRECT("tblPiNAnalysis[" &amp; Table11[[#Headers],[EDU]] &amp; "]"), "NOT FOUND", 0, 1)</f>
        <v>15897.48084798592</v>
      </c>
      <c r="J142" s="8" cm="1">
        <f t="array" aca="1" ref="J142" ca="1">_xlfn.XLOOKUP(Table11[[#This Row],[Admin2PCODE]], tblPiNAnalysis[Admin2PCODE], INDIRECT("tblPiNAnalysis[" &amp; Table11[[#Headers],[PRO]] &amp; "]"), "NOT FOUND", 0, 1)</f>
        <v>28699.133308362321</v>
      </c>
      <c r="K142" s="8" cm="1">
        <f t="array" aca="1" ref="K142" ca="1">_xlfn.XLOOKUP(Table11[[#This Row],[Admin2PCODE]], tblPiNAnalysis[Admin2PCODE], INDIRECT("tblPiNAnalysis[" &amp; Table11[[#Headers],[ASH]] &amp; "]"), "NOT FOUND", 0, 1)</f>
        <v>17418.78</v>
      </c>
      <c r="L142" s="8" cm="1">
        <f t="array" aca="1" ref="L142" ca="1">_xlfn.XLOOKUP(Table11[[#This Row],[Admin2PCODE]], tblPiNAnalysis[Admin2PCODE], INDIRECT("tblPiNAnalysis[" &amp; Table11[[#Headers],[NNA]] &amp; "]"), "NOT FOUND", 0, 1)</f>
        <v>9183.7226586759425</v>
      </c>
      <c r="M142" s="8" cm="1">
        <f t="array" aca="1" ref="M142" ca="1">_xlfn.XLOOKUP(Table11[[#This Row],[Admin2PCODE]], tblPiNAnalysis[Admin2PCODE], INDIRECT("tblPiNAnalysis[" &amp; Table11[[#Headers],[VBG]] &amp; "]"), "NOT FOUND", 0, 1)</f>
        <v>10044.696657926812</v>
      </c>
      <c r="N142" s="8" cm="1">
        <f t="array" aca="1" ref="N142" ca="1">_xlfn.XLOOKUP(Table11[[#This Row],[Admin2PCODE]], tblPiNAnalysis[Admin2PCODE], INDIRECT("tblPiNAnalysis[" &amp; Table11[[#Headers],[PiN más alto]] &amp; "]"), "NOT FOUND", 0, 1)</f>
        <v>47095.22</v>
      </c>
      <c r="O142" t="str" cm="1">
        <f t="array" aca="1" ref="O142" ca="1">_xlfn.XLOOKUP(Table11[[#This Row],[Admin2PCODE]], tblPiNAnalysis[Admin2PCODE], INDIRECT("tblPiNAnalysis[" &amp; Table11[[#Headers],[Sectores más altos]] &amp; "]"), "NOT FOUND", 0, 1)</f>
        <v>SAL</v>
      </c>
      <c r="P142" cm="1">
        <f t="array" ref="P142">_xlfn.XLOOKUP(Table11[[#This Row],[Admin2PCODE]], tblPiNAnalysis[Admin2PCODE], tblPiNAnalysis[Severidad], "NOT FOUND", 0, 1)</f>
        <v>3</v>
      </c>
      <c r="Q142" s="318">
        <v>0</v>
      </c>
      <c r="R142" s="318">
        <v>0</v>
      </c>
      <c r="S142" s="318">
        <v>0</v>
      </c>
      <c r="T142">
        <v>0</v>
      </c>
      <c r="W142">
        <f>_xlfn.XLOOKUP(Table11[[#This Row],[Admin2PCODE]],tblSeverityAnalysis[Admin 2 Código P],tblSeverityAnalysis[PRO],0,0)</f>
        <v>4</v>
      </c>
      <c r="Y142">
        <v>0</v>
      </c>
      <c r="Z142">
        <v>0</v>
      </c>
      <c r="AA142">
        <f t="shared" si="2"/>
        <v>0</v>
      </c>
    </row>
    <row r="143" spans="1:27">
      <c r="A143" t="s">
        <v>362</v>
      </c>
      <c r="B143" t="s">
        <v>363</v>
      </c>
      <c r="C143" s="42" t="s">
        <v>821</v>
      </c>
      <c r="D143" t="s">
        <v>388</v>
      </c>
      <c r="E143" s="8" cm="1">
        <f t="array" aca="1" ref="E143" ca="1">_xlfn.XLOOKUP(Table11[[#This Row],[Admin2PCODE]], tblPiNAnalysis[Admin2PCODE], INDIRECT("tblPiNAnalysis[" &amp; Table11[[#Headers],[Población]] &amp; "]"), "NOT FOUND", 0, 1)</f>
        <v>11680</v>
      </c>
      <c r="F143" s="8" cm="1">
        <f t="array" aca="1" ref="F143" ca="1">_xlfn.XLOOKUP(Table11[[#This Row],[Admin2PCODE]], tblPiNAnalysis[Admin2PCODE], INDIRECT("tblPiNAnalysis[" &amp; Table11[[#Headers],[SAMV]] &amp; "]"), "NOT FOUND", 0, 1)</f>
        <v>2073</v>
      </c>
      <c r="G143" s="8" cm="1">
        <f t="array" aca="1" ref="G143" ca="1">_xlfn.XLOOKUP(Table11[[#This Row],[Admin2PCODE]], tblPiNAnalysis[Admin2PCODE], INDIRECT("tblPiNAnalysis[" &amp; Table11[[#Headers],[NUT]] &amp; "]"), "NOT FOUND", 0, 1)</f>
        <v>625.45348391388063</v>
      </c>
      <c r="H143" s="8" cm="1">
        <f t="array" aca="1" ref="H143" ca="1">_xlfn.XLOOKUP(Table11[[#This Row],[Admin2PCODE]], tblPiNAnalysis[Admin2PCODE], INDIRECT("tblPiNAnalysis[" &amp; Table11[[#Headers],[SAL]] &amp; "]"), "NOT FOUND", 0, 1)</f>
        <v>5600</v>
      </c>
      <c r="I143" s="8" cm="1">
        <f t="array" aca="1" ref="I143" ca="1">_xlfn.XLOOKUP(Table11[[#This Row],[Admin2PCODE]], tblPiNAnalysis[Admin2PCODE], INDIRECT("tblPiNAnalysis[" &amp; Table11[[#Headers],[EDU]] &amp; "]"), "NOT FOUND", 0, 1)</f>
        <v>859.20182473808234</v>
      </c>
      <c r="J143" s="8" cm="1">
        <f t="array" aca="1" ref="J143" ca="1">_xlfn.XLOOKUP(Table11[[#This Row],[Admin2PCODE]], tblPiNAnalysis[Admin2PCODE], INDIRECT("tblPiNAnalysis[" &amp; Table11[[#Headers],[PRO]] &amp; "]"), "NOT FOUND", 0, 1)</f>
        <v>1298.9656394025792</v>
      </c>
      <c r="K143" s="8" cm="1">
        <f t="array" aca="1" ref="K143" ca="1">_xlfn.XLOOKUP(Table11[[#This Row],[Admin2PCODE]], tblPiNAnalysis[Admin2PCODE], INDIRECT("tblPiNAnalysis[" &amp; Table11[[#Headers],[ASH]] &amp; "]"), "NOT FOUND", 0, 1)</f>
        <v>7008</v>
      </c>
      <c r="L143" s="8" cm="1">
        <f t="array" aca="1" ref="L143" ca="1">_xlfn.XLOOKUP(Table11[[#This Row],[Admin2PCODE]], tblPiNAnalysis[Admin2PCODE], INDIRECT("tblPiNAnalysis[" &amp; Table11[[#Headers],[NNA]] &amp; "]"), "NOT FOUND", 0, 1)</f>
        <v>415.66900460882539</v>
      </c>
      <c r="M143" s="8" cm="1">
        <f t="array" aca="1" ref="M143" ca="1">_xlfn.XLOOKUP(Table11[[#This Row],[Admin2PCODE]], tblPiNAnalysis[Admin2PCODE], INDIRECT("tblPiNAnalysis[" &amp; Table11[[#Headers],[VBG]] &amp; "]"), "NOT FOUND", 0, 1)</f>
        <v>454.63797379090266</v>
      </c>
      <c r="N143" s="8" cm="1">
        <f t="array" aca="1" ref="N143" ca="1">_xlfn.XLOOKUP(Table11[[#This Row],[Admin2PCODE]], tblPiNAnalysis[Admin2PCODE], INDIRECT("tblPiNAnalysis[" &amp; Table11[[#Headers],[PiN más alto]] &amp; "]"), "NOT FOUND", 0, 1)</f>
        <v>7008</v>
      </c>
      <c r="O143" t="str" cm="1">
        <f t="array" aca="1" ref="O143" ca="1">_xlfn.XLOOKUP(Table11[[#This Row],[Admin2PCODE]], tblPiNAnalysis[Admin2PCODE], INDIRECT("tblPiNAnalysis[" &amp; Table11[[#Headers],[Sectores más altos]] &amp; "]"), "NOT FOUND", 0, 1)</f>
        <v>ASH</v>
      </c>
      <c r="P143" cm="1">
        <f t="array" ref="P143">_xlfn.XLOOKUP(Table11[[#This Row],[Admin2PCODE]], tblPiNAnalysis[Admin2PCODE], tblPiNAnalysis[Severidad], "NOT FOUND", 0, 1)</f>
        <v>3</v>
      </c>
      <c r="Q143" s="318"/>
      <c r="R143" s="318"/>
      <c r="S143" s="318"/>
      <c r="T143">
        <v>0</v>
      </c>
      <c r="W143">
        <f>_xlfn.XLOOKUP(Table11[[#This Row],[Admin2PCODE]],tblSeverityAnalysis[Admin 2 Código P],tblSeverityAnalysis[PRO],0,0)</f>
        <v>2</v>
      </c>
      <c r="Y143">
        <v>0</v>
      </c>
      <c r="Z143">
        <v>0</v>
      </c>
      <c r="AA143">
        <f t="shared" si="2"/>
        <v>0</v>
      </c>
    </row>
    <row r="144" spans="1:27">
      <c r="A144" t="s">
        <v>362</v>
      </c>
      <c r="B144" t="s">
        <v>363</v>
      </c>
      <c r="C144" s="42" t="s">
        <v>823</v>
      </c>
      <c r="D144" t="s">
        <v>390</v>
      </c>
      <c r="E144" s="8" cm="1">
        <f t="array" aca="1" ref="E144" ca="1">_xlfn.XLOOKUP(Table11[[#This Row],[Admin2PCODE]], tblPiNAnalysis[Admin2PCODE], INDIRECT("tblPiNAnalysis[" &amp; Table11[[#Headers],[Población]] &amp; "]"), "NOT FOUND", 0, 1)</f>
        <v>13464</v>
      </c>
      <c r="F144" s="8" cm="1">
        <f t="array" aca="1" ref="F144" ca="1">_xlfn.XLOOKUP(Table11[[#This Row],[Admin2PCODE]], tblPiNAnalysis[Admin2PCODE], INDIRECT("tblPiNAnalysis[" &amp; Table11[[#Headers],[SAMV]] &amp; "]"), "NOT FOUND", 0, 1)</f>
        <v>2390</v>
      </c>
      <c r="G144" s="8" cm="1">
        <f t="array" aca="1" ref="G144" ca="1">_xlfn.XLOOKUP(Table11[[#This Row],[Admin2PCODE]], tblPiNAnalysis[Admin2PCODE], INDIRECT("tblPiNAnalysis[" &amp; Table11[[#Headers],[NUT]] &amp; "]"), "NOT FOUND", 0, 1)</f>
        <v>729.7478730795533</v>
      </c>
      <c r="H144" s="8" cm="1">
        <f t="array" aca="1" ref="H144" ca="1">_xlfn.XLOOKUP(Table11[[#This Row],[Admin2PCODE]], tblPiNAnalysis[Admin2PCODE], INDIRECT("tblPiNAnalysis[" &amp; Table11[[#Headers],[SAL]] &amp; "]"), "NOT FOUND", 0, 1)</f>
        <v>5600</v>
      </c>
      <c r="I144" s="8" cm="1">
        <f t="array" aca="1" ref="I144" ca="1">_xlfn.XLOOKUP(Table11[[#This Row],[Admin2PCODE]], tblPiNAnalysis[Admin2PCODE], INDIRECT("tblPiNAnalysis[" &amp; Table11[[#Headers],[EDU]] &amp; "]"), "NOT FOUND", 0, 1)</f>
        <v>1238.2303048707349</v>
      </c>
      <c r="J144" s="8" cm="1">
        <f t="array" aca="1" ref="J144" ca="1">_xlfn.XLOOKUP(Table11[[#This Row],[Admin2PCODE]], tblPiNAnalysis[Admin2PCODE], INDIRECT("tblPiNAnalysis[" &amp; Table11[[#Headers],[PRO]] &amp; "]"), "NOT FOUND", 0, 1)</f>
        <v>1497.3692952839319</v>
      </c>
      <c r="K144" s="8" cm="1">
        <f t="array" aca="1" ref="K144" ca="1">_xlfn.XLOOKUP(Table11[[#This Row],[Admin2PCODE]], tblPiNAnalysis[Admin2PCODE], INDIRECT("tblPiNAnalysis[" &amp; Table11[[#Headers],[ASH]] &amp; "]"), "NOT FOUND", 0, 1)</f>
        <v>0</v>
      </c>
      <c r="L144" s="8" cm="1">
        <f t="array" aca="1" ref="L144" ca="1">_xlfn.XLOOKUP(Table11[[#This Row],[Admin2PCODE]], tblPiNAnalysis[Admin2PCODE], INDIRECT("tblPiNAnalysis[" &amp; Table11[[#Headers],[NNA]] &amp; "]"), "NOT FOUND", 0, 1)</f>
        <v>479.15817449085819</v>
      </c>
      <c r="M144" s="8" cm="1">
        <f t="array" aca="1" ref="M144" ca="1">_xlfn.XLOOKUP(Table11[[#This Row],[Admin2PCODE]], tblPiNAnalysis[Admin2PCODE], INDIRECT("tblPiNAnalysis[" &amp; Table11[[#Headers],[VBG]] &amp; "]"), "NOT FOUND", 0, 1)</f>
        <v>524.07925334937613</v>
      </c>
      <c r="N144" s="8" cm="1">
        <f t="array" aca="1" ref="N144" ca="1">_xlfn.XLOOKUP(Table11[[#This Row],[Admin2PCODE]], tblPiNAnalysis[Admin2PCODE], INDIRECT("tblPiNAnalysis[" &amp; Table11[[#Headers],[PiN más alto]] &amp; "]"), "NOT FOUND", 0, 1)</f>
        <v>5600</v>
      </c>
      <c r="O144" t="str" cm="1">
        <f t="array" aca="1" ref="O144" ca="1">_xlfn.XLOOKUP(Table11[[#This Row],[Admin2PCODE]], tblPiNAnalysis[Admin2PCODE], INDIRECT("tblPiNAnalysis[" &amp; Table11[[#Headers],[Sectores más altos]] &amp; "]"), "NOT FOUND", 0, 1)</f>
        <v>SAL</v>
      </c>
      <c r="P144" cm="1">
        <f t="array" ref="P144">_xlfn.XLOOKUP(Table11[[#This Row],[Admin2PCODE]], tblPiNAnalysis[Admin2PCODE], tblPiNAnalysis[Severidad], "NOT FOUND", 0, 1)</f>
        <v>3</v>
      </c>
      <c r="Q144" s="318" t="e">
        <v>#N/A</v>
      </c>
      <c r="R144" s="318" t="e">
        <v>#N/A</v>
      </c>
      <c r="S144" s="318" t="e">
        <v>#N/A</v>
      </c>
      <c r="T144">
        <v>0</v>
      </c>
      <c r="W144">
        <f>_xlfn.XLOOKUP(Table11[[#This Row],[Admin2PCODE]],tblSeverityAnalysis[Admin 2 Código P],tblSeverityAnalysis[PRO],0,0)</f>
        <v>2</v>
      </c>
      <c r="Y144">
        <v>0</v>
      </c>
      <c r="Z144">
        <v>2.25</v>
      </c>
      <c r="AA144">
        <f t="shared" si="2"/>
        <v>2</v>
      </c>
    </row>
    <row r="145" spans="1:27">
      <c r="A145" t="s">
        <v>362</v>
      </c>
      <c r="B145" t="s">
        <v>363</v>
      </c>
      <c r="C145" s="42" t="s">
        <v>391</v>
      </c>
      <c r="D145" t="s">
        <v>392</v>
      </c>
      <c r="E145" s="8" cm="1">
        <f t="array" aca="1" ref="E145" ca="1">_xlfn.XLOOKUP(Table11[[#This Row],[Admin2PCODE]], tblPiNAnalysis[Admin2PCODE], INDIRECT("tblPiNAnalysis[" &amp; Table11[[#Headers],[Población]] &amp; "]"), "NOT FOUND", 0, 1)</f>
        <v>63426</v>
      </c>
      <c r="F145" s="8" cm="1">
        <f t="array" aca="1" ref="F145" ca="1">_xlfn.XLOOKUP(Table11[[#This Row],[Admin2PCODE]], tblPiNAnalysis[Admin2PCODE], INDIRECT("tblPiNAnalysis[" &amp; Table11[[#Headers],[SAMV]] &amp; "]"), "NOT FOUND", 0, 1)</f>
        <v>11258</v>
      </c>
      <c r="G145" s="8" cm="1">
        <f t="array" aca="1" ref="G145" ca="1">_xlfn.XLOOKUP(Table11[[#This Row],[Admin2PCODE]], tblPiNAnalysis[Admin2PCODE], INDIRECT("tblPiNAnalysis[" &amp; Table11[[#Headers],[NUT]] &amp; "]"), "NOT FOUND", 0, 1)</f>
        <v>3592.7632025827461</v>
      </c>
      <c r="H145" s="8" cm="1">
        <f t="array" aca="1" ref="H145" ca="1">_xlfn.XLOOKUP(Table11[[#This Row],[Admin2PCODE]], tblPiNAnalysis[Admin2PCODE], INDIRECT("tblPiNAnalysis[" &amp; Table11[[#Headers],[SAL]] &amp; "]"), "NOT FOUND", 0, 1)</f>
        <v>23150.49</v>
      </c>
      <c r="I145" s="8" cm="1">
        <f t="array" aca="1" ref="I145" ca="1">_xlfn.XLOOKUP(Table11[[#This Row],[Admin2PCODE]], tblPiNAnalysis[Admin2PCODE], INDIRECT("tblPiNAnalysis[" &amp; Table11[[#Headers],[EDU]] &amp; "]"), "NOT FOUND", 0, 1)</f>
        <v>6657.7792676099816</v>
      </c>
      <c r="J145" s="8" cm="1">
        <f t="array" aca="1" ref="J145" ca="1">_xlfn.XLOOKUP(Table11[[#This Row],[Admin2PCODE]], tblPiNAnalysis[Admin2PCODE], INDIRECT("tblPiNAnalysis[" &amp; Table11[[#Headers],[PRO]] &amp; "]"), "NOT FOUND", 0, 1)</f>
        <v>14107.567576155474</v>
      </c>
      <c r="K145" s="8" cm="1">
        <f t="array" aca="1" ref="K145" ca="1">_xlfn.XLOOKUP(Table11[[#This Row],[Admin2PCODE]], tblPiNAnalysis[Admin2PCODE], INDIRECT("tblPiNAnalysis[" &amp; Table11[[#Headers],[ASH]] &amp; "]"), "NOT FOUND", 0, 1)</f>
        <v>28541.7</v>
      </c>
      <c r="L145" s="8" cm="1">
        <f t="array" aca="1" ref="L145" ca="1">_xlfn.XLOOKUP(Table11[[#This Row],[Admin2PCODE]], tblPiNAnalysis[Admin2PCODE], INDIRECT("tblPiNAnalysis[" &amp; Table11[[#Headers],[NNA]] &amp; "]"), "NOT FOUND", 0, 1)</f>
        <v>4514.421624369752</v>
      </c>
      <c r="M145" s="8" cm="1">
        <f t="array" aca="1" ref="M145" ca="1">_xlfn.XLOOKUP(Table11[[#This Row],[Admin2PCODE]], tblPiNAnalysis[Admin2PCODE], INDIRECT("tblPiNAnalysis[" &amp; Table11[[#Headers],[VBG]] &amp; "]"), "NOT FOUND", 0, 1)</f>
        <v>4937.6486516544155</v>
      </c>
      <c r="N145" s="8" cm="1">
        <f t="array" aca="1" ref="N145" ca="1">_xlfn.XLOOKUP(Table11[[#This Row],[Admin2PCODE]], tblPiNAnalysis[Admin2PCODE], INDIRECT("tblPiNAnalysis[" &amp; Table11[[#Headers],[PiN más alto]] &amp; "]"), "NOT FOUND", 0, 1)</f>
        <v>28541.7</v>
      </c>
      <c r="O145" t="str" cm="1">
        <f t="array" aca="1" ref="O145" ca="1">_xlfn.XLOOKUP(Table11[[#This Row],[Admin2PCODE]], tblPiNAnalysis[Admin2PCODE], INDIRECT("tblPiNAnalysis[" &amp; Table11[[#Headers],[Sectores más altos]] &amp; "]"), "NOT FOUND", 0, 1)</f>
        <v>ASH</v>
      </c>
      <c r="P145" cm="1">
        <f t="array" ref="P145">_xlfn.XLOOKUP(Table11[[#This Row],[Admin2PCODE]], tblPiNAnalysis[Admin2PCODE], tblPiNAnalysis[Severidad], "NOT FOUND", 0, 1)</f>
        <v>3</v>
      </c>
      <c r="Q145" s="318"/>
      <c r="R145" s="318"/>
      <c r="S145" s="318"/>
      <c r="T145">
        <v>0</v>
      </c>
      <c r="W145">
        <f>_xlfn.XLOOKUP(Table11[[#This Row],[Admin2PCODE]],tblSeverityAnalysis[Admin 2 Código P],tblSeverityAnalysis[PRO],0,0)</f>
        <v>4</v>
      </c>
      <c r="Y145">
        <v>0</v>
      </c>
      <c r="Z145">
        <v>3.2</v>
      </c>
      <c r="AA145">
        <f t="shared" si="2"/>
        <v>3</v>
      </c>
    </row>
    <row r="146" spans="1:27">
      <c r="A146" t="s">
        <v>393</v>
      </c>
      <c r="B146" t="s">
        <v>394</v>
      </c>
      <c r="C146" s="42" t="s">
        <v>237</v>
      </c>
      <c r="D146" t="s">
        <v>395</v>
      </c>
      <c r="E146" s="8" cm="1">
        <f t="array" aca="1" ref="E146" ca="1">_xlfn.XLOOKUP(Table11[[#This Row],[Admin2PCODE]], tblPiNAnalysis[Admin2PCODE], INDIRECT("tblPiNAnalysis[" &amp; Table11[[#Headers],[Población]] &amp; "]"), "NOT FOUND", 0, 1)</f>
        <v>48313</v>
      </c>
      <c r="F146" s="8" cm="1">
        <f t="array" aca="1" ref="F146" ca="1">_xlfn.XLOOKUP(Table11[[#This Row],[Admin2PCODE]], tblPiNAnalysis[Admin2PCODE], INDIRECT("tblPiNAnalysis[" &amp; Table11[[#Headers],[SAMV]] &amp; "]"), "NOT FOUND", 0, 1)</f>
        <v>5510</v>
      </c>
      <c r="G146" s="8" cm="1">
        <f t="array" aca="1" ref="G146" ca="1">_xlfn.XLOOKUP(Table11[[#This Row],[Admin2PCODE]], tblPiNAnalysis[Admin2PCODE], INDIRECT("tblPiNAnalysis[" &amp; Table11[[#Headers],[NUT]] &amp; "]"), "NOT FOUND", 0, 1)</f>
        <v>2015.750991920838</v>
      </c>
      <c r="H146" s="8" cm="1">
        <f t="array" aca="1" ref="H146" ca="1">_xlfn.XLOOKUP(Table11[[#This Row],[Admin2PCODE]], tblPiNAnalysis[Admin2PCODE], INDIRECT("tblPiNAnalysis[" &amp; Table11[[#Headers],[SAL]] &amp; "]"), "NOT FOUND", 0, 1)</f>
        <v>17634.244999999999</v>
      </c>
      <c r="I146" s="8" cm="1">
        <f t="array" aca="1" ref="I146" ca="1">_xlfn.XLOOKUP(Table11[[#This Row],[Admin2PCODE]], tblPiNAnalysis[Admin2PCODE], INDIRECT("tblPiNAnalysis[" &amp; Table11[[#Headers],[EDU]] &amp; "]"), "NOT FOUND", 0, 1)</f>
        <v>7159.9278576803681</v>
      </c>
      <c r="J146" s="8" cm="1">
        <f t="array" aca="1" ref="J146" ca="1">_xlfn.XLOOKUP(Table11[[#This Row],[Admin2PCODE]], tblPiNAnalysis[Admin2PCODE], INDIRECT("tblPiNAnalysis[" &amp; Table11[[#Headers],[PRO]] &amp; "]"), "NOT FOUND", 0, 1)</f>
        <v>9594.9363090728602</v>
      </c>
      <c r="K146" s="8" cm="1">
        <f t="array" aca="1" ref="K146" ca="1">_xlfn.XLOOKUP(Table11[[#This Row],[Admin2PCODE]], tblPiNAnalysis[Admin2PCODE], INDIRECT("tblPiNAnalysis[" &amp; Table11[[#Headers],[ASH]] &amp; "]"), "NOT FOUND", 0, 1)</f>
        <v>6522.2550000000001</v>
      </c>
      <c r="L146" s="8" cm="1">
        <f t="array" aca="1" ref="L146" ca="1">_xlfn.XLOOKUP(Table11[[#This Row],[Admin2PCODE]], tblPiNAnalysis[Admin2PCODE], INDIRECT("tblPiNAnalysis[" &amp; Table11[[#Headers],[NNA]] &amp; "]"), "NOT FOUND", 0, 1)</f>
        <v>3070.3796189033155</v>
      </c>
      <c r="M146" s="8" cm="1">
        <f t="array" aca="1" ref="M146" ca="1">_xlfn.XLOOKUP(Table11[[#This Row],[Admin2PCODE]], tblPiNAnalysis[Admin2PCODE], INDIRECT("tblPiNAnalysis[" &amp; Table11[[#Headers],[VBG]] &amp; "]"), "NOT FOUND", 0, 1)</f>
        <v>3358.2277081755014</v>
      </c>
      <c r="N146" s="8" cm="1">
        <f t="array" aca="1" ref="N146" ca="1">_xlfn.XLOOKUP(Table11[[#This Row],[Admin2PCODE]], tblPiNAnalysis[Admin2PCODE], INDIRECT("tblPiNAnalysis[" &amp; Table11[[#Headers],[PiN más alto]] &amp; "]"), "NOT FOUND", 0, 1)</f>
        <v>17634.244999999999</v>
      </c>
      <c r="O146" t="str" cm="1">
        <f t="array" aca="1" ref="O146" ca="1">_xlfn.XLOOKUP(Table11[[#This Row],[Admin2PCODE]], tblPiNAnalysis[Admin2PCODE], INDIRECT("tblPiNAnalysis[" &amp; Table11[[#Headers],[Sectores más altos]] &amp; "]"), "NOT FOUND", 0, 1)</f>
        <v>SAL</v>
      </c>
      <c r="P146" cm="1">
        <f t="array" ref="P146">_xlfn.XLOOKUP(Table11[[#This Row],[Admin2PCODE]], tblPiNAnalysis[Admin2PCODE], tblPiNAnalysis[Severidad], "NOT FOUND", 0, 1)</f>
        <v>3</v>
      </c>
      <c r="Q146" s="318">
        <v>8.3333333333333329E-2</v>
      </c>
      <c r="R146" s="318">
        <v>0.41666666666666669</v>
      </c>
      <c r="S146" s="318">
        <v>3.4722222222222224E-2</v>
      </c>
      <c r="T146">
        <v>0</v>
      </c>
      <c r="W146">
        <f>_xlfn.XLOOKUP(Table11[[#This Row],[Admin2PCODE]],tblSeverityAnalysis[Admin 2 Código P],tblSeverityAnalysis[PRO],0,0)</f>
        <v>3</v>
      </c>
      <c r="Y146">
        <v>0</v>
      </c>
      <c r="Z146">
        <v>0</v>
      </c>
      <c r="AA146">
        <f t="shared" si="2"/>
        <v>0</v>
      </c>
    </row>
    <row r="147" spans="1:27">
      <c r="A147" t="s">
        <v>393</v>
      </c>
      <c r="B147" t="s">
        <v>394</v>
      </c>
      <c r="C147" s="42" t="s">
        <v>396</v>
      </c>
      <c r="D147" t="s">
        <v>397</v>
      </c>
      <c r="E147" s="8" cm="1">
        <f t="array" aca="1" ref="E147" ca="1">_xlfn.XLOOKUP(Table11[[#This Row],[Admin2PCODE]], tblPiNAnalysis[Admin2PCODE], INDIRECT("tblPiNAnalysis[" &amp; Table11[[#Headers],[Población]] &amp; "]"), "NOT FOUND", 0, 1)</f>
        <v>51079</v>
      </c>
      <c r="F147" s="8" cm="1">
        <f t="array" aca="1" ref="F147" ca="1">_xlfn.XLOOKUP(Table11[[#This Row],[Admin2PCODE]], tblPiNAnalysis[Admin2PCODE], INDIRECT("tblPiNAnalysis[" &amp; Table11[[#Headers],[SAMV]] &amp; "]"), "NOT FOUND", 0, 1)</f>
        <v>3870</v>
      </c>
      <c r="G147" s="8" cm="1">
        <f t="array" aca="1" ref="G147" ca="1">_xlfn.XLOOKUP(Table11[[#This Row],[Admin2PCODE]], tblPiNAnalysis[Admin2PCODE], INDIRECT("tblPiNAnalysis[" &amp; Table11[[#Headers],[NUT]] &amp; "]"), "NOT FOUND", 0, 1)</f>
        <v>1663.6718543774771</v>
      </c>
      <c r="H147" s="8" cm="1">
        <f t="array" aca="1" ref="H147" ca="1">_xlfn.XLOOKUP(Table11[[#This Row],[Admin2PCODE]], tblPiNAnalysis[Admin2PCODE], INDIRECT("tblPiNAnalysis[" &amp; Table11[[#Headers],[SAL]] &amp; "]"), "NOT FOUND", 0, 1)</f>
        <v>18643.834999999999</v>
      </c>
      <c r="I147" s="8" cm="1">
        <f t="array" aca="1" ref="I147" ca="1">_xlfn.XLOOKUP(Table11[[#This Row],[Admin2PCODE]], tblPiNAnalysis[Admin2PCODE], INDIRECT("tblPiNAnalysis[" &amp; Table11[[#Headers],[EDU]] &amp; "]"), "NOT FOUND", 0, 1)</f>
        <v>4302.0118652724377</v>
      </c>
      <c r="J147" s="8" cm="1">
        <f t="array" aca="1" ref="J147" ca="1">_xlfn.XLOOKUP(Table11[[#This Row],[Admin2PCODE]], tblPiNAnalysis[Admin2PCODE], INDIRECT("tblPiNAnalysis[" &amp; Table11[[#Headers],[PRO]] &amp; "]"), "NOT FOUND", 0, 1)</f>
        <v>10144.26244967467</v>
      </c>
      <c r="K147" s="8" cm="1">
        <f t="array" aca="1" ref="K147" ca="1">_xlfn.XLOOKUP(Table11[[#This Row],[Admin2PCODE]], tblPiNAnalysis[Admin2PCODE], INDIRECT("tblPiNAnalysis[" &amp; Table11[[#Headers],[ASH]] &amp; "]"), "NOT FOUND", 0, 1)</f>
        <v>0</v>
      </c>
      <c r="L147" s="8" cm="1">
        <f t="array" aca="1" ref="L147" ca="1">_xlfn.XLOOKUP(Table11[[#This Row],[Admin2PCODE]], tblPiNAnalysis[Admin2PCODE], INDIRECT("tblPiNAnalysis[" &amp; Table11[[#Headers],[NNA]] &amp; "]"), "NOT FOUND", 0, 1)</f>
        <v>3246.1639838958945</v>
      </c>
      <c r="M147" s="8" cm="1">
        <f t="array" aca="1" ref="M147" ca="1">_xlfn.XLOOKUP(Table11[[#This Row],[Admin2PCODE]], tblPiNAnalysis[Admin2PCODE], INDIRECT("tblPiNAnalysis[" &amp; Table11[[#Headers],[VBG]] &amp; "]"), "NOT FOUND", 0, 1)</f>
        <v>3550.4918573861346</v>
      </c>
      <c r="N147" s="8" cm="1">
        <f t="array" aca="1" ref="N147" ca="1">_xlfn.XLOOKUP(Table11[[#This Row],[Admin2PCODE]], tblPiNAnalysis[Admin2PCODE], INDIRECT("tblPiNAnalysis[" &amp; Table11[[#Headers],[PiN más alto]] &amp; "]"), "NOT FOUND", 0, 1)</f>
        <v>18643.834999999999</v>
      </c>
      <c r="O147" t="str" cm="1">
        <f t="array" aca="1" ref="O147" ca="1">_xlfn.XLOOKUP(Table11[[#This Row],[Admin2PCODE]], tblPiNAnalysis[Admin2PCODE], INDIRECT("tblPiNAnalysis[" &amp; Table11[[#Headers],[Sectores más altos]] &amp; "]"), "NOT FOUND", 0, 1)</f>
        <v>SAL</v>
      </c>
      <c r="P147" cm="1">
        <f t="array" ref="P147">_xlfn.XLOOKUP(Table11[[#This Row],[Admin2PCODE]], tblPiNAnalysis[Admin2PCODE], tblPiNAnalysis[Severidad], "NOT FOUND", 0, 1)</f>
        <v>3</v>
      </c>
      <c r="Q147" s="318"/>
      <c r="R147" s="318"/>
      <c r="S147" s="318"/>
      <c r="T147">
        <v>1</v>
      </c>
      <c r="W147">
        <f>_xlfn.XLOOKUP(Table11[[#This Row],[Admin2PCODE]],tblSeverityAnalysis[Admin 2 Código P],tblSeverityAnalysis[PRO],0,0)</f>
        <v>3</v>
      </c>
      <c r="Y147">
        <v>0</v>
      </c>
      <c r="Z147">
        <v>0</v>
      </c>
      <c r="AA147">
        <f t="shared" si="2"/>
        <v>0</v>
      </c>
    </row>
    <row r="148" spans="1:27">
      <c r="A148" t="s">
        <v>393</v>
      </c>
      <c r="B148" t="s">
        <v>394</v>
      </c>
      <c r="C148" s="42" t="s">
        <v>398</v>
      </c>
      <c r="D148" t="s">
        <v>399</v>
      </c>
      <c r="E148" s="8" cm="1">
        <f t="array" aca="1" ref="E148" ca="1">_xlfn.XLOOKUP(Table11[[#This Row],[Admin2PCODE]], tblPiNAnalysis[Admin2PCODE], INDIRECT("tblPiNAnalysis[" &amp; Table11[[#Headers],[Población]] &amp; "]"), "NOT FOUND", 0, 1)</f>
        <v>1018728</v>
      </c>
      <c r="F148" s="8" cm="1">
        <f t="array" aca="1" ref="F148" ca="1">_xlfn.XLOOKUP(Table11[[#This Row],[Admin2PCODE]], tblPiNAnalysis[Admin2PCODE], INDIRECT("tblPiNAnalysis[" &amp; Table11[[#Headers],[SAMV]] &amp; "]"), "NOT FOUND", 0, 1)</f>
        <v>92924</v>
      </c>
      <c r="G148" s="8" cm="1">
        <f t="array" aca="1" ref="G148" ca="1">_xlfn.XLOOKUP(Table11[[#This Row],[Admin2PCODE]], tblPiNAnalysis[Admin2PCODE], INDIRECT("tblPiNAnalysis[" &amp; Table11[[#Headers],[NUT]] &amp; "]"), "NOT FOUND", 0, 1)</f>
        <v>43618.730557566108</v>
      </c>
      <c r="H148" s="8" cm="1">
        <f t="array" aca="1" ref="H148" ca="1">_xlfn.XLOOKUP(Table11[[#This Row],[Admin2PCODE]], tblPiNAnalysis[Admin2PCODE], INDIRECT("tblPiNAnalysis[" &amp; Table11[[#Headers],[SAL]] &amp; "]"), "NOT FOUND", 0, 1)</f>
        <v>371835.72</v>
      </c>
      <c r="I148" s="8" cm="1">
        <f t="array" aca="1" ref="I148" ca="1">_xlfn.XLOOKUP(Table11[[#This Row],[Admin2PCODE]], tblPiNAnalysis[Admin2PCODE], INDIRECT("tblPiNAnalysis[" &amp; Table11[[#Headers],[EDU]] &amp; "]"), "NOT FOUND", 0, 1)</f>
        <v>106430.13227180515</v>
      </c>
      <c r="J148" s="8" cm="1">
        <f t="array" aca="1" ref="J148" ca="1">_xlfn.XLOOKUP(Table11[[#This Row],[Admin2PCODE]], tblPiNAnalysis[Admin2PCODE], INDIRECT("tblPiNAnalysis[" &amp; Table11[[#Headers],[PRO]] &amp; "]"), "NOT FOUND", 0, 1)</f>
        <v>202318.84329826702</v>
      </c>
      <c r="K148" s="8" cm="1">
        <f t="array" aca="1" ref="K148" ca="1">_xlfn.XLOOKUP(Table11[[#This Row],[Admin2PCODE]], tblPiNAnalysis[Admin2PCODE], INDIRECT("tblPiNAnalysis[" &amp; Table11[[#Headers],[ASH]] &amp; "]"), "NOT FOUND", 0, 1)</f>
        <v>0</v>
      </c>
      <c r="L148" s="8" cm="1">
        <f t="array" aca="1" ref="L148" ca="1">_xlfn.XLOOKUP(Table11[[#This Row],[Admin2PCODE]], tblPiNAnalysis[Admin2PCODE], INDIRECT("tblPiNAnalysis[" &amp; Table11[[#Headers],[NNA]] &amp; "]"), "NOT FOUND", 0, 1)</f>
        <v>64944.348698743721</v>
      </c>
      <c r="M148" s="8" cm="1">
        <f t="array" aca="1" ref="M148" ca="1">_xlfn.XLOOKUP(Table11[[#This Row],[Admin2PCODE]], tblPiNAnalysis[Admin2PCODE], INDIRECT("tblPiNAnalysis[" &amp; Table11[[#Headers],[VBG]] &amp; "]"), "NOT FOUND", 0, 1)</f>
        <v>70811.59515439345</v>
      </c>
      <c r="N148" s="8" cm="1">
        <f t="array" aca="1" ref="N148" ca="1">_xlfn.XLOOKUP(Table11[[#This Row],[Admin2PCODE]], tblPiNAnalysis[Admin2PCODE], INDIRECT("tblPiNAnalysis[" &amp; Table11[[#Headers],[PiN más alto]] &amp; "]"), "NOT FOUND", 0, 1)</f>
        <v>371835.72</v>
      </c>
      <c r="O148" t="str" cm="1">
        <f t="array" aca="1" ref="O148" ca="1">_xlfn.XLOOKUP(Table11[[#This Row],[Admin2PCODE]], tblPiNAnalysis[Admin2PCODE], INDIRECT("tblPiNAnalysis[" &amp; Table11[[#Headers],[Sectores más altos]] &amp; "]"), "NOT FOUND", 0, 1)</f>
        <v>SAL</v>
      </c>
      <c r="P148" cm="1">
        <f t="array" ref="P148">_xlfn.XLOOKUP(Table11[[#This Row],[Admin2PCODE]], tblPiNAnalysis[Admin2PCODE], tblPiNAnalysis[Severidad], "NOT FOUND", 0, 1)</f>
        <v>3</v>
      </c>
      <c r="Q148" s="318">
        <v>0.15927977839335181</v>
      </c>
      <c r="R148" s="318">
        <v>0.4173913043478259</v>
      </c>
      <c r="S148" s="318">
        <v>6.6481994459833771E-2</v>
      </c>
      <c r="T148">
        <v>0</v>
      </c>
      <c r="W148">
        <f>_xlfn.XLOOKUP(Table11[[#This Row],[Admin2PCODE]],tblSeverityAnalysis[Admin 2 Código P],tblSeverityAnalysis[PRO],0,0)</f>
        <v>3</v>
      </c>
      <c r="Y148">
        <v>0</v>
      </c>
      <c r="Z148">
        <v>0</v>
      </c>
      <c r="AA148">
        <f t="shared" si="2"/>
        <v>0</v>
      </c>
    </row>
    <row r="149" spans="1:27">
      <c r="A149" t="s">
        <v>393</v>
      </c>
      <c r="B149" t="s">
        <v>394</v>
      </c>
      <c r="C149" s="42" t="s">
        <v>400</v>
      </c>
      <c r="D149" t="s">
        <v>401</v>
      </c>
      <c r="E149" s="8" cm="1">
        <f t="array" aca="1" ref="E149" ca="1">_xlfn.XLOOKUP(Table11[[#This Row],[Admin2PCODE]], tblPiNAnalysis[Admin2PCODE], INDIRECT("tblPiNAnalysis[" &amp; Table11[[#Headers],[Población]] &amp; "]"), "NOT FOUND", 0, 1)</f>
        <v>103280</v>
      </c>
      <c r="F149" s="8" cm="1">
        <f t="array" aca="1" ref="F149" ca="1">_xlfn.XLOOKUP(Table11[[#This Row],[Admin2PCODE]], tblPiNAnalysis[Admin2PCODE], INDIRECT("tblPiNAnalysis[" &amp; Table11[[#Headers],[SAMV]] &amp; "]"), "NOT FOUND", 0, 1)</f>
        <v>36625</v>
      </c>
      <c r="G149" s="8" cm="1">
        <f t="array" aca="1" ref="G149" ca="1">_xlfn.XLOOKUP(Table11[[#This Row],[Admin2PCODE]], tblPiNAnalysis[Admin2PCODE], INDIRECT("tblPiNAnalysis[" &amp; Table11[[#Headers],[NUT]] &amp; "]"), "NOT FOUND", 0, 1)</f>
        <v>5174.8080732378194</v>
      </c>
      <c r="H149" s="8" cm="1">
        <f t="array" aca="1" ref="H149" ca="1">_xlfn.XLOOKUP(Table11[[#This Row],[Admin2PCODE]], tblPiNAnalysis[Admin2PCODE], INDIRECT("tblPiNAnalysis[" &amp; Table11[[#Headers],[SAL]] &amp; "]"), "NOT FOUND", 0, 1)</f>
        <v>37697.199999999997</v>
      </c>
      <c r="I149" s="8" cm="1">
        <f t="array" aca="1" ref="I149" ca="1">_xlfn.XLOOKUP(Table11[[#This Row],[Admin2PCODE]], tblPiNAnalysis[Admin2PCODE], INDIRECT("tblPiNAnalysis[" &amp; Table11[[#Headers],[EDU]] &amp; "]"), "NOT FOUND", 0, 1)</f>
        <v>7697.8646659721835</v>
      </c>
      <c r="J149" s="8" cm="1">
        <f t="array" aca="1" ref="J149" ca="1">_xlfn.XLOOKUP(Table11[[#This Row],[Admin2PCODE]], tblPiNAnalysis[Admin2PCODE], INDIRECT("tblPiNAnalysis[" &amp; Table11[[#Headers],[PRO]] &amp; "]"), "NOT FOUND", 0, 1)</f>
        <v>24613.624208831036</v>
      </c>
      <c r="K149" s="8" cm="1">
        <f t="array" aca="1" ref="K149" ca="1">_xlfn.XLOOKUP(Table11[[#This Row],[Admin2PCODE]], tblPiNAnalysis[Admin2PCODE], INDIRECT("tblPiNAnalysis[" &amp; Table11[[#Headers],[ASH]] &amp; "]"), "NOT FOUND", 0, 1)</f>
        <v>0</v>
      </c>
      <c r="L149" s="8" cm="1">
        <f t="array" aca="1" ref="L149" ca="1">_xlfn.XLOOKUP(Table11[[#This Row],[Admin2PCODE]], tblPiNAnalysis[Admin2PCODE], INDIRECT("tblPiNAnalysis[" &amp; Table11[[#Headers],[NNA]] &amp; "]"), "NOT FOUND", 0, 1)</f>
        <v>7900.9733710347627</v>
      </c>
      <c r="M149" s="8" cm="1">
        <f t="array" aca="1" ref="M149" ca="1">_xlfn.XLOOKUP(Table11[[#This Row],[Admin2PCODE]], tblPiNAnalysis[Admin2PCODE], INDIRECT("tblPiNAnalysis[" &amp; Table11[[#Headers],[VBG]] &amp; "]"), "NOT FOUND", 0, 1)</f>
        <v>8614.7684730908622</v>
      </c>
      <c r="N149" s="8" cm="1">
        <f t="array" aca="1" ref="N149" ca="1">_xlfn.XLOOKUP(Table11[[#This Row],[Admin2PCODE]], tblPiNAnalysis[Admin2PCODE], INDIRECT("tblPiNAnalysis[" &amp; Table11[[#Headers],[PiN más alto]] &amp; "]"), "NOT FOUND", 0, 1)</f>
        <v>37697.199999999997</v>
      </c>
      <c r="O149" t="str" cm="1">
        <f t="array" aca="1" ref="O149" ca="1">_xlfn.XLOOKUP(Table11[[#This Row],[Admin2PCODE]], tblPiNAnalysis[Admin2PCODE], INDIRECT("tblPiNAnalysis[" &amp; Table11[[#Headers],[Sectores más altos]] &amp; "]"), "NOT FOUND", 0, 1)</f>
        <v>SAL</v>
      </c>
      <c r="P149" cm="1">
        <f t="array" ref="P149">_xlfn.XLOOKUP(Table11[[#This Row],[Admin2PCODE]], tblPiNAnalysis[Admin2PCODE], tblPiNAnalysis[Severidad], "NOT FOUND", 0, 1)</f>
        <v>3</v>
      </c>
      <c r="Q149" s="318"/>
      <c r="R149" s="318"/>
      <c r="S149" s="318"/>
      <c r="T149">
        <v>0</v>
      </c>
      <c r="W149">
        <f>_xlfn.XLOOKUP(Table11[[#This Row],[Admin2PCODE]],tblSeverityAnalysis[Admin 2 Código P],tblSeverityAnalysis[PRO],0,0)</f>
        <v>4</v>
      </c>
      <c r="Y149">
        <v>0</v>
      </c>
      <c r="Z149">
        <v>0</v>
      </c>
      <c r="AA149">
        <f t="shared" si="2"/>
        <v>0</v>
      </c>
    </row>
    <row r="150" spans="1:27">
      <c r="A150" t="s">
        <v>393</v>
      </c>
      <c r="B150" t="s">
        <v>394</v>
      </c>
      <c r="C150" s="42" t="s">
        <v>402</v>
      </c>
      <c r="D150" t="s">
        <v>403</v>
      </c>
      <c r="E150" s="8" cm="1">
        <f t="array" aca="1" ref="E150" ca="1">_xlfn.XLOOKUP(Table11[[#This Row],[Admin2PCODE]], tblPiNAnalysis[Admin2PCODE], INDIRECT("tblPiNAnalysis[" &amp; Table11[[#Headers],[Población]] &amp; "]"), "NOT FOUND", 0, 1)</f>
        <v>126675</v>
      </c>
      <c r="F150" s="8" cm="1">
        <f t="array" aca="1" ref="F150" ca="1">_xlfn.XLOOKUP(Table11[[#This Row],[Admin2PCODE]], tblPiNAnalysis[Admin2PCODE], INDIRECT("tblPiNAnalysis[" &amp; Table11[[#Headers],[SAMV]] &amp; "]"), "NOT FOUND", 0, 1)</f>
        <v>16538</v>
      </c>
      <c r="G150" s="8" cm="1">
        <f t="array" aca="1" ref="G150" ca="1">_xlfn.XLOOKUP(Table11[[#This Row],[Admin2PCODE]], tblPiNAnalysis[Admin2PCODE], INDIRECT("tblPiNAnalysis[" &amp; Table11[[#Headers],[NUT]] &amp; "]"), "NOT FOUND", 0, 1)</f>
        <v>4123.4214478426702</v>
      </c>
      <c r="H150" s="8" cm="1">
        <f t="array" aca="1" ref="H150" ca="1">_xlfn.XLOOKUP(Table11[[#This Row],[Admin2PCODE]], tblPiNAnalysis[Admin2PCODE], INDIRECT("tblPiNAnalysis[" &amp; Table11[[#Headers],[SAL]] &amp; "]"), "NOT FOUND", 0, 1)</f>
        <v>46236.375</v>
      </c>
      <c r="I150" s="8" cm="1">
        <f t="array" aca="1" ref="I150" ca="1">_xlfn.XLOOKUP(Table11[[#This Row],[Admin2PCODE]], tblPiNAnalysis[Admin2PCODE], INDIRECT("tblPiNAnalysis[" &amp; Table11[[#Headers],[EDU]] &amp; "]"), "NOT FOUND", 0, 1)</f>
        <v>8754.3366301038095</v>
      </c>
      <c r="J150" s="8" cm="1">
        <f t="array" aca="1" ref="J150" ca="1">_xlfn.XLOOKUP(Table11[[#This Row],[Admin2PCODE]], tblPiNAnalysis[Admin2PCODE], INDIRECT("tblPiNAnalysis[" &amp; Table11[[#Headers],[PRO]] &amp; "]"), "NOT FOUND", 0, 1)</f>
        <v>30189.105796414318</v>
      </c>
      <c r="K150" s="8" cm="1">
        <f t="array" aca="1" ref="K150" ca="1">_xlfn.XLOOKUP(Table11[[#This Row],[Admin2PCODE]], tblPiNAnalysis[Admin2PCODE], INDIRECT("tblPiNAnalysis[" &amp; Table11[[#Headers],[ASH]] &amp; "]"), "NOT FOUND", 0, 1)</f>
        <v>8550.5625</v>
      </c>
      <c r="L150" s="8" cm="1">
        <f t="array" aca="1" ref="L150" ca="1">_xlfn.XLOOKUP(Table11[[#This Row],[Admin2PCODE]], tblPiNAnalysis[Admin2PCODE], INDIRECT("tblPiNAnalysis[" &amp; Table11[[#Headers],[NNA]] &amp; "]"), "NOT FOUND", 0, 1)</f>
        <v>9690.7029606489959</v>
      </c>
      <c r="M150" s="8" cm="1">
        <f t="array" aca="1" ref="M150" ca="1">_xlfn.XLOOKUP(Table11[[#This Row],[Admin2PCODE]], tblPiNAnalysis[Admin2PCODE], INDIRECT("tblPiNAnalysis[" &amp; Table11[[#Headers],[VBG]] &amp; "]"), "NOT FOUND", 0, 1)</f>
        <v>10566.187028745009</v>
      </c>
      <c r="N150" s="8" cm="1">
        <f t="array" aca="1" ref="N150" ca="1">_xlfn.XLOOKUP(Table11[[#This Row],[Admin2PCODE]], tblPiNAnalysis[Admin2PCODE], INDIRECT("tblPiNAnalysis[" &amp; Table11[[#Headers],[PiN más alto]] &amp; "]"), "NOT FOUND", 0, 1)</f>
        <v>46236.375</v>
      </c>
      <c r="O150" t="str" cm="1">
        <f t="array" aca="1" ref="O150" ca="1">_xlfn.XLOOKUP(Table11[[#This Row],[Admin2PCODE]], tblPiNAnalysis[Admin2PCODE], INDIRECT("tblPiNAnalysis[" &amp; Table11[[#Headers],[Sectores más altos]] &amp; "]"), "NOT FOUND", 0, 1)</f>
        <v>SAL</v>
      </c>
      <c r="P150" cm="1">
        <f t="array" ref="P150">_xlfn.XLOOKUP(Table11[[#This Row],[Admin2PCODE]], tblPiNAnalysis[Admin2PCODE], tblPiNAnalysis[Severidad], "NOT FOUND", 0, 1)</f>
        <v>3</v>
      </c>
      <c r="Q150" s="318"/>
      <c r="R150" s="318"/>
      <c r="S150" s="318"/>
      <c r="T150">
        <v>0</v>
      </c>
      <c r="W150">
        <f>_xlfn.XLOOKUP(Table11[[#This Row],[Admin2PCODE]],tblSeverityAnalysis[Admin 2 Código P],tblSeverityAnalysis[PRO],0,0)</f>
        <v>4</v>
      </c>
      <c r="Y150">
        <v>0</v>
      </c>
      <c r="Z150">
        <v>0</v>
      </c>
      <c r="AA150">
        <f t="shared" si="2"/>
        <v>0</v>
      </c>
    </row>
    <row r="151" spans="1:27">
      <c r="A151" t="s">
        <v>393</v>
      </c>
      <c r="B151" t="s">
        <v>394</v>
      </c>
      <c r="C151" s="42" t="s">
        <v>404</v>
      </c>
      <c r="D151" t="s">
        <v>405</v>
      </c>
      <c r="E151" s="8" cm="1">
        <f t="array" aca="1" ref="E151" ca="1">_xlfn.XLOOKUP(Table11[[#This Row],[Admin2PCODE]], tblPiNAnalysis[Admin2PCODE], INDIRECT("tblPiNAnalysis[" &amp; Table11[[#Headers],[Población]] &amp; "]"), "NOT FOUND", 0, 1)</f>
        <v>178035</v>
      </c>
      <c r="F151" s="8" cm="1">
        <f t="array" aca="1" ref="F151" ca="1">_xlfn.XLOOKUP(Table11[[#This Row],[Admin2PCODE]], tblPiNAnalysis[Admin2PCODE], INDIRECT("tblPiNAnalysis[" &amp; Table11[[#Headers],[SAMV]] &amp; "]"), "NOT FOUND", 0, 1)</f>
        <v>44156</v>
      </c>
      <c r="G151" s="8" cm="1">
        <f t="array" aca="1" ref="G151" ca="1">_xlfn.XLOOKUP(Table11[[#This Row],[Admin2PCODE]], tblPiNAnalysis[Admin2PCODE], INDIRECT("tblPiNAnalysis[" &amp; Table11[[#Headers],[NUT]] &amp; "]"), "NOT FOUND", 0, 1)</f>
        <v>5023.1804908069553</v>
      </c>
      <c r="H151" s="8" cm="1">
        <f t="array" aca="1" ref="H151" ca="1">_xlfn.XLOOKUP(Table11[[#This Row],[Admin2PCODE]], tblPiNAnalysis[Admin2PCODE], INDIRECT("tblPiNAnalysis[" &amp; Table11[[#Headers],[SAL]] &amp; "]"), "NOT FOUND", 0, 1)</f>
        <v>64982.775000000001</v>
      </c>
      <c r="I151" s="8" cm="1">
        <f t="array" aca="1" ref="I151" ca="1">_xlfn.XLOOKUP(Table11[[#This Row],[Admin2PCODE]], tblPiNAnalysis[Admin2PCODE], INDIRECT("tblPiNAnalysis[" &amp; Table11[[#Headers],[EDU]] &amp; "]"), "NOT FOUND", 0, 1)</f>
        <v>26944.260546227328</v>
      </c>
      <c r="J151" s="8" cm="1">
        <f t="array" aca="1" ref="J151" ca="1">_xlfn.XLOOKUP(Table11[[#This Row],[Admin2PCODE]], tblPiNAnalysis[Admin2PCODE], INDIRECT("tblPiNAnalysis[" &amp; Table11[[#Headers],[PRO]] &amp; "]"), "NOT FOUND", 0, 1)</f>
        <v>21214.594239055157</v>
      </c>
      <c r="K151" s="8" cm="1">
        <f t="array" aca="1" ref="K151" ca="1">_xlfn.XLOOKUP(Table11[[#This Row],[Admin2PCODE]], tblPiNAnalysis[Admin2PCODE], INDIRECT("tblPiNAnalysis[" &amp; Table11[[#Headers],[ASH]] &amp; "]"), "NOT FOUND", 0, 1)</f>
        <v>0</v>
      </c>
      <c r="L151" s="8" cm="1">
        <f t="array" aca="1" ref="L151" ca="1">_xlfn.XLOOKUP(Table11[[#This Row],[Admin2PCODE]], tblPiNAnalysis[Admin2PCODE], INDIRECT("tblPiNAnalysis[" &amp; Table11[[#Headers],[NNA]] &amp; "]"), "NOT FOUND", 0, 1)</f>
        <v>6788.6701564976502</v>
      </c>
      <c r="M151" s="8" cm="1">
        <f t="array" aca="1" ref="M151" ca="1">_xlfn.XLOOKUP(Table11[[#This Row],[Admin2PCODE]], tblPiNAnalysis[Admin2PCODE], INDIRECT("tblPiNAnalysis[" &amp; Table11[[#Headers],[VBG]] &amp; "]"), "NOT FOUND", 0, 1)</f>
        <v>7425.1079836693043</v>
      </c>
      <c r="N151" s="8" cm="1">
        <f t="array" aca="1" ref="N151" ca="1">_xlfn.XLOOKUP(Table11[[#This Row],[Admin2PCODE]], tblPiNAnalysis[Admin2PCODE], INDIRECT("tblPiNAnalysis[" &amp; Table11[[#Headers],[PiN más alto]] &amp; "]"), "NOT FOUND", 0, 1)</f>
        <v>64982.775000000001</v>
      </c>
      <c r="O151" t="str" cm="1">
        <f t="array" aca="1" ref="O151" ca="1">_xlfn.XLOOKUP(Table11[[#This Row],[Admin2PCODE]], tblPiNAnalysis[Admin2PCODE], INDIRECT("tblPiNAnalysis[" &amp; Table11[[#Headers],[Sectores más altos]] &amp; "]"), "NOT FOUND", 0, 1)</f>
        <v>SAL</v>
      </c>
      <c r="P151" cm="1">
        <f t="array" ref="P151">_xlfn.XLOOKUP(Table11[[#This Row],[Admin2PCODE]], tblPiNAnalysis[Admin2PCODE], tblPiNAnalysis[Severidad], "NOT FOUND", 0, 1)</f>
        <v>2</v>
      </c>
      <c r="Q151" s="318"/>
      <c r="R151" s="318"/>
      <c r="S151" s="318"/>
      <c r="T151">
        <v>0</v>
      </c>
      <c r="W151">
        <f>_xlfn.XLOOKUP(Table11[[#This Row],[Admin2PCODE]],tblSeverityAnalysis[Admin 2 Código P],tblSeverityAnalysis[PRO],0,0)</f>
        <v>2</v>
      </c>
      <c r="Y151">
        <v>5</v>
      </c>
      <c r="Z151">
        <v>0</v>
      </c>
      <c r="AA151">
        <f t="shared" si="2"/>
        <v>0</v>
      </c>
    </row>
    <row r="152" spans="1:27">
      <c r="A152" t="s">
        <v>393</v>
      </c>
      <c r="B152" t="s">
        <v>394</v>
      </c>
      <c r="C152" s="42" t="s">
        <v>830</v>
      </c>
      <c r="D152" t="s">
        <v>407</v>
      </c>
      <c r="E152" s="8" cm="1">
        <f t="array" aca="1" ref="E152" ca="1">_xlfn.XLOOKUP(Table11[[#This Row],[Admin2PCODE]], tblPiNAnalysis[Admin2PCODE], INDIRECT("tblPiNAnalysis[" &amp; Table11[[#Headers],[Población]] &amp; "]"), "NOT FOUND", 0, 1)</f>
        <v>36605</v>
      </c>
      <c r="F152" s="8" cm="1">
        <f t="array" aca="1" ref="F152" ca="1">_xlfn.XLOOKUP(Table11[[#This Row],[Admin2PCODE]], tblPiNAnalysis[Admin2PCODE], INDIRECT("tblPiNAnalysis[" &amp; Table11[[#Headers],[SAMV]] &amp; "]"), "NOT FOUND", 0, 1)</f>
        <v>3589</v>
      </c>
      <c r="G152" s="8" cm="1">
        <f t="array" aca="1" ref="G152" ca="1">_xlfn.XLOOKUP(Table11[[#This Row],[Admin2PCODE]], tblPiNAnalysis[Admin2PCODE], INDIRECT("tblPiNAnalysis[" &amp; Table11[[#Headers],[NUT]] &amp; "]"), "NOT FOUND", 0, 1)</f>
        <v>1189.1478528783309</v>
      </c>
      <c r="H152" s="8" cm="1">
        <f t="array" aca="1" ref="H152" ca="1">_xlfn.XLOOKUP(Table11[[#This Row],[Admin2PCODE]], tblPiNAnalysis[Admin2PCODE], INDIRECT("tblPiNAnalysis[" &amp; Table11[[#Headers],[SAL]] &amp; "]"), "NOT FOUND", 0, 1)</f>
        <v>14200</v>
      </c>
      <c r="I152" s="8" cm="1">
        <f t="array" aca="1" ref="I152" ca="1">_xlfn.XLOOKUP(Table11[[#This Row],[Admin2PCODE]], tblPiNAnalysis[Admin2PCODE], INDIRECT("tblPiNAnalysis[" &amp; Table11[[#Headers],[EDU]] &amp; "]"), "NOT FOUND", 0, 1)</f>
        <v>2387.1514870308474</v>
      </c>
      <c r="J152" s="8" cm="1">
        <f t="array" aca="1" ref="J152" ca="1">_xlfn.XLOOKUP(Table11[[#This Row],[Admin2PCODE]], tblPiNAnalysis[Admin2PCODE], INDIRECT("tblPiNAnalysis[" &amp; Table11[[#Headers],[PRO]] &amp; "]"), "NOT FOUND", 0, 1)</f>
        <v>7269.7336864531699</v>
      </c>
      <c r="K152" s="8" cm="1">
        <f t="array" aca="1" ref="K152" ca="1">_xlfn.XLOOKUP(Table11[[#This Row],[Admin2PCODE]], tblPiNAnalysis[Admin2PCODE], INDIRECT("tblPiNAnalysis[" &amp; Table11[[#Headers],[ASH]] &amp; "]"), "NOT FOUND", 0, 1)</f>
        <v>0</v>
      </c>
      <c r="L152" s="8" cm="1">
        <f t="array" aca="1" ref="L152" ca="1">_xlfn.XLOOKUP(Table11[[#This Row],[Admin2PCODE]], tblPiNAnalysis[Admin2PCODE], INDIRECT("tblPiNAnalysis[" &amp; Table11[[#Headers],[NNA]] &amp; "]"), "NOT FOUND", 0, 1)</f>
        <v>2333.5845133514676</v>
      </c>
      <c r="M152" s="8" cm="1">
        <f t="array" aca="1" ref="M152" ca="1">_xlfn.XLOOKUP(Table11[[#This Row],[Admin2PCODE]], tblPiNAnalysis[Admin2PCODE], INDIRECT("tblPiNAnalysis[" &amp; Table11[[#Headers],[VBG]] &amp; "]"), "NOT FOUND", 0, 1)</f>
        <v>2544.4067902586098</v>
      </c>
      <c r="N152" s="8" cm="1">
        <f t="array" aca="1" ref="N152" ca="1">_xlfn.XLOOKUP(Table11[[#This Row],[Admin2PCODE]], tblPiNAnalysis[Admin2PCODE], INDIRECT("tblPiNAnalysis[" &amp; Table11[[#Headers],[PiN más alto]] &amp; "]"), "NOT FOUND", 0, 1)</f>
        <v>14200</v>
      </c>
      <c r="O152" t="str" cm="1">
        <f t="array" aca="1" ref="O152" ca="1">_xlfn.XLOOKUP(Table11[[#This Row],[Admin2PCODE]], tblPiNAnalysis[Admin2PCODE], INDIRECT("tblPiNAnalysis[" &amp; Table11[[#Headers],[Sectores más altos]] &amp; "]"), "NOT FOUND", 0, 1)</f>
        <v>SAL</v>
      </c>
      <c r="P152" cm="1">
        <f t="array" ref="P152">_xlfn.XLOOKUP(Table11[[#This Row],[Admin2PCODE]], tblPiNAnalysis[Admin2PCODE], tblPiNAnalysis[Severidad], "NOT FOUND", 0, 1)</f>
        <v>2</v>
      </c>
      <c r="Q152" s="318">
        <v>0.19047619047619047</v>
      </c>
      <c r="R152" s="318">
        <v>0.47916666666666657</v>
      </c>
      <c r="S152" s="318">
        <v>9.1269841269841251E-2</v>
      </c>
      <c r="T152">
        <v>0</v>
      </c>
      <c r="W152">
        <f>_xlfn.XLOOKUP(Table11[[#This Row],[Admin2PCODE]],tblSeverityAnalysis[Admin 2 Código P],tblSeverityAnalysis[PRO],0,0)</f>
        <v>3</v>
      </c>
      <c r="Y152">
        <v>0</v>
      </c>
      <c r="Z152">
        <v>0</v>
      </c>
      <c r="AA152">
        <f t="shared" si="2"/>
        <v>0</v>
      </c>
    </row>
    <row r="153" spans="1:27">
      <c r="A153" t="s">
        <v>393</v>
      </c>
      <c r="B153" t="s">
        <v>394</v>
      </c>
      <c r="C153" s="42" t="s">
        <v>408</v>
      </c>
      <c r="D153" t="s">
        <v>409</v>
      </c>
      <c r="E153" s="8" cm="1">
        <f t="array" aca="1" ref="E153" ca="1">_xlfn.XLOOKUP(Table11[[#This Row],[Admin2PCODE]], tblPiNAnalysis[Admin2PCODE], INDIRECT("tblPiNAnalysis[" &amp; Table11[[#Headers],[Población]] &amp; "]"), "NOT FOUND", 0, 1)</f>
        <v>189462</v>
      </c>
      <c r="F153" s="8" cm="1">
        <f t="array" aca="1" ref="F153" ca="1">_xlfn.XLOOKUP(Table11[[#This Row],[Admin2PCODE]], tblPiNAnalysis[Admin2PCODE], INDIRECT("tblPiNAnalysis[" &amp; Table11[[#Headers],[SAMV]] &amp; "]"), "NOT FOUND", 0, 1)</f>
        <v>54312</v>
      </c>
      <c r="G153" s="8" cm="1">
        <f t="array" aca="1" ref="G153" ca="1">_xlfn.XLOOKUP(Table11[[#This Row],[Admin2PCODE]], tblPiNAnalysis[Admin2PCODE], INDIRECT("tblPiNAnalysis[" &amp; Table11[[#Headers],[NUT]] &amp; "]"), "NOT FOUND", 0, 1)</f>
        <v>5970.6197077205234</v>
      </c>
      <c r="H153" s="8" cm="1">
        <f t="array" aca="1" ref="H153" ca="1">_xlfn.XLOOKUP(Table11[[#This Row],[Admin2PCODE]], tblPiNAnalysis[Admin2PCODE], INDIRECT("tblPiNAnalysis[" &amp; Table11[[#Headers],[SAL]] &amp; "]"), "NOT FOUND", 0, 1)</f>
        <v>69153.63</v>
      </c>
      <c r="I153" s="8" cm="1">
        <f t="array" aca="1" ref="I153" ca="1">_xlfn.XLOOKUP(Table11[[#This Row],[Admin2PCODE]], tblPiNAnalysis[Admin2PCODE], INDIRECT("tblPiNAnalysis[" &amp; Table11[[#Headers],[EDU]] &amp; "]"), "NOT FOUND", 0, 1)</f>
        <v>15525.041553659696</v>
      </c>
      <c r="J153" s="8" cm="1">
        <f t="array" aca="1" ref="J153" ca="1">_xlfn.XLOOKUP(Table11[[#This Row],[Admin2PCODE]], tblPiNAnalysis[Admin2PCODE], INDIRECT("tblPiNAnalysis[" &amp; Table11[[#Headers],[PRO]] &amp; "]"), "NOT FOUND", 0, 1)</f>
        <v>22576.231941583777</v>
      </c>
      <c r="K153" s="8" cm="1">
        <f t="array" aca="1" ref="K153" ca="1">_xlfn.XLOOKUP(Table11[[#This Row],[Admin2PCODE]], tblPiNAnalysis[Admin2PCODE], INDIRECT("tblPiNAnalysis[" &amp; Table11[[#Headers],[ASH]] &amp; "]"), "NOT FOUND", 0, 1)</f>
        <v>12788.685000000001</v>
      </c>
      <c r="L153" s="8" cm="1">
        <f t="array" aca="1" ref="L153" ca="1">_xlfn.XLOOKUP(Table11[[#This Row],[Admin2PCODE]], tblPiNAnalysis[Admin2PCODE], INDIRECT("tblPiNAnalysis[" &amp; Table11[[#Headers],[NNA]] &amp; "]"), "NOT FOUND", 0, 1)</f>
        <v>7224.3942213068094</v>
      </c>
      <c r="M153" s="8" cm="1">
        <f t="array" aca="1" ref="M153" ca="1">_xlfn.XLOOKUP(Table11[[#This Row],[Admin2PCODE]], tblPiNAnalysis[Admin2PCODE], INDIRECT("tblPiNAnalysis[" &amp; Table11[[#Headers],[VBG]] &amp; "]"), "NOT FOUND", 0, 1)</f>
        <v>7901.6811795543217</v>
      </c>
      <c r="N153" s="8" cm="1">
        <f t="array" aca="1" ref="N153" ca="1">_xlfn.XLOOKUP(Table11[[#This Row],[Admin2PCODE]], tblPiNAnalysis[Admin2PCODE], INDIRECT("tblPiNAnalysis[" &amp; Table11[[#Headers],[PiN más alto]] &amp; "]"), "NOT FOUND", 0, 1)</f>
        <v>69153.63</v>
      </c>
      <c r="O153" t="str" cm="1">
        <f t="array" aca="1" ref="O153" ca="1">_xlfn.XLOOKUP(Table11[[#This Row],[Admin2PCODE]], tblPiNAnalysis[Admin2PCODE], INDIRECT("tblPiNAnalysis[" &amp; Table11[[#Headers],[Sectores más altos]] &amp; "]"), "NOT FOUND", 0, 1)</f>
        <v>SAL</v>
      </c>
      <c r="P153" cm="1">
        <f t="array" ref="P153">_xlfn.XLOOKUP(Table11[[#This Row],[Admin2PCODE]], tblPiNAnalysis[Admin2PCODE], tblPiNAnalysis[Severidad], "NOT FOUND", 0, 1)</f>
        <v>3</v>
      </c>
      <c r="Q153" s="318">
        <v>0.28378378378378377</v>
      </c>
      <c r="R153" s="318">
        <v>0.42724867724867704</v>
      </c>
      <c r="S153" s="318">
        <v>0.12124624624624618</v>
      </c>
      <c r="T153">
        <v>0</v>
      </c>
      <c r="W153">
        <f>_xlfn.XLOOKUP(Table11[[#This Row],[Admin2PCODE]],tblSeverityAnalysis[Admin 2 Código P],tblSeverityAnalysis[PRO],0,0)</f>
        <v>2</v>
      </c>
      <c r="Y153">
        <v>0</v>
      </c>
      <c r="Z153">
        <v>3.25</v>
      </c>
      <c r="AA153">
        <f t="shared" si="2"/>
        <v>3</v>
      </c>
    </row>
    <row r="154" spans="1:27">
      <c r="A154" t="s">
        <v>393</v>
      </c>
      <c r="B154" t="s">
        <v>394</v>
      </c>
      <c r="C154" s="42" t="s">
        <v>207</v>
      </c>
      <c r="D154" t="s">
        <v>410</v>
      </c>
      <c r="E154" s="8" cm="1">
        <f t="array" aca="1" ref="E154" ca="1">_xlfn.XLOOKUP(Table11[[#This Row],[Admin2PCODE]], tblPiNAnalysis[Admin2PCODE], INDIRECT("tblPiNAnalysis[" &amp; Table11[[#Headers],[Población]] &amp; "]"), "NOT FOUND", 0, 1)</f>
        <v>62764</v>
      </c>
      <c r="F154" s="8" cm="1">
        <f t="array" aca="1" ref="F154" ca="1">_xlfn.XLOOKUP(Table11[[#This Row],[Admin2PCODE]], tblPiNAnalysis[Admin2PCODE], INDIRECT("tblPiNAnalysis[" &amp; Table11[[#Headers],[SAMV]] &amp; "]"), "NOT FOUND", 0, 1)</f>
        <v>7113</v>
      </c>
      <c r="G154" s="8" cm="1">
        <f t="array" aca="1" ref="G154" ca="1">_xlfn.XLOOKUP(Table11[[#This Row],[Admin2PCODE]], tblPiNAnalysis[Admin2PCODE], INDIRECT("tblPiNAnalysis[" &amp; Table11[[#Headers],[NUT]] &amp; "]"), "NOT FOUND", 0, 1)</f>
        <v>2625.1246631407112</v>
      </c>
      <c r="H154" s="8" cm="1">
        <f t="array" aca="1" ref="H154" ca="1">_xlfn.XLOOKUP(Table11[[#This Row],[Admin2PCODE]], tblPiNAnalysis[Admin2PCODE], INDIRECT("tblPiNAnalysis[" &amp; Table11[[#Headers],[SAL]] &amp; "]"), "NOT FOUND", 0, 1)</f>
        <v>24500</v>
      </c>
      <c r="I154" s="8" cm="1">
        <f t="array" aca="1" ref="I154" ca="1">_xlfn.XLOOKUP(Table11[[#This Row],[Admin2PCODE]], tblPiNAnalysis[Admin2PCODE], INDIRECT("tblPiNAnalysis[" &amp; Table11[[#Headers],[EDU]] &amp; "]"), "NOT FOUND", 0, 1)</f>
        <v>3212.5750178089393</v>
      </c>
      <c r="J154" s="8" cm="1">
        <f t="array" aca="1" ref="J154" ca="1">_xlfn.XLOOKUP(Table11[[#This Row],[Admin2PCODE]], tblPiNAnalysis[Admin2PCODE], INDIRECT("tblPiNAnalysis[" &amp; Table11[[#Headers],[PRO]] &amp; "]"), "NOT FOUND", 0, 1)</f>
        <v>7478.9383706577783</v>
      </c>
      <c r="K154" s="8" cm="1">
        <f t="array" aca="1" ref="K154" ca="1">_xlfn.XLOOKUP(Table11[[#This Row],[Admin2PCODE]], tblPiNAnalysis[Admin2PCODE], INDIRECT("tblPiNAnalysis[" &amp; Table11[[#Headers],[ASH]] &amp; "]"), "NOT FOUND", 0, 1)</f>
        <v>8473.14</v>
      </c>
      <c r="L154" s="8" cm="1">
        <f t="array" aca="1" ref="L154" ca="1">_xlfn.XLOOKUP(Table11[[#This Row],[Admin2PCODE]], tblPiNAnalysis[Admin2PCODE], INDIRECT("tblPiNAnalysis[" &amp; Table11[[#Headers],[NNA]] &amp; "]"), "NOT FOUND", 0, 1)</f>
        <v>2393.260278610489</v>
      </c>
      <c r="M154" s="8" cm="1">
        <f t="array" aca="1" ref="M154" ca="1">_xlfn.XLOOKUP(Table11[[#This Row],[Admin2PCODE]], tblPiNAnalysis[Admin2PCODE], INDIRECT("tblPiNAnalysis[" &amp; Table11[[#Headers],[VBG]] &amp; "]"), "NOT FOUND", 0, 1)</f>
        <v>2617.6284297302227</v>
      </c>
      <c r="N154" s="8" cm="1">
        <f t="array" aca="1" ref="N154" ca="1">_xlfn.XLOOKUP(Table11[[#This Row],[Admin2PCODE]], tblPiNAnalysis[Admin2PCODE], INDIRECT("tblPiNAnalysis[" &amp; Table11[[#Headers],[PiN más alto]] &amp; "]"), "NOT FOUND", 0, 1)</f>
        <v>24500</v>
      </c>
      <c r="O154" t="str" cm="1">
        <f t="array" aca="1" ref="O154" ca="1">_xlfn.XLOOKUP(Table11[[#This Row],[Admin2PCODE]], tblPiNAnalysis[Admin2PCODE], INDIRECT("tblPiNAnalysis[" &amp; Table11[[#Headers],[Sectores más altos]] &amp; "]"), "NOT FOUND", 0, 1)</f>
        <v>SAL</v>
      </c>
      <c r="P154" cm="1">
        <f t="array" ref="P154">_xlfn.XLOOKUP(Table11[[#This Row],[Admin2PCODE]], tblPiNAnalysis[Admin2PCODE], tblPiNAnalysis[Severidad], "NOT FOUND", 0, 1)</f>
        <v>3</v>
      </c>
      <c r="Q154" s="318">
        <v>2.5000000000000001E-2</v>
      </c>
      <c r="R154" s="318">
        <v>0.44444444444444431</v>
      </c>
      <c r="S154" s="318">
        <v>1.1111111111111108E-2</v>
      </c>
      <c r="T154">
        <v>0</v>
      </c>
      <c r="W154">
        <f>_xlfn.XLOOKUP(Table11[[#This Row],[Admin2PCODE]],tblSeverityAnalysis[Admin 2 Código P],tblSeverityAnalysis[PRO],0,0)</f>
        <v>2</v>
      </c>
      <c r="Y154">
        <v>0</v>
      </c>
      <c r="Z154">
        <v>4.05</v>
      </c>
      <c r="AA154">
        <f t="shared" si="2"/>
        <v>4</v>
      </c>
    </row>
    <row r="155" spans="1:27">
      <c r="A155" t="s">
        <v>411</v>
      </c>
      <c r="B155" t="s">
        <v>412</v>
      </c>
      <c r="C155" s="42" t="s">
        <v>413</v>
      </c>
      <c r="D155" t="s">
        <v>414</v>
      </c>
      <c r="E155" s="8" cm="1">
        <f t="array" aca="1" ref="E155" ca="1">_xlfn.XLOOKUP(Table11[[#This Row],[Admin2PCODE]], tblPiNAnalysis[Admin2PCODE], INDIRECT("tblPiNAnalysis[" &amp; Table11[[#Headers],[Población]] &amp; "]"), "NOT FOUND", 0, 1)</f>
        <v>135683</v>
      </c>
      <c r="F155" s="8" cm="1">
        <f t="array" aca="1" ref="F155" ca="1">_xlfn.XLOOKUP(Table11[[#This Row],[Admin2PCODE]], tblPiNAnalysis[Admin2PCODE], INDIRECT("tblPiNAnalysis[" &amp; Table11[[#Headers],[SAMV]] &amp; "]"), "NOT FOUND", 0, 1)</f>
        <v>32790</v>
      </c>
      <c r="G155" s="8" cm="1">
        <f t="array" aca="1" ref="G155" ca="1">_xlfn.XLOOKUP(Table11[[#This Row],[Admin2PCODE]], tblPiNAnalysis[Admin2PCODE], INDIRECT("tblPiNAnalysis[" &amp; Table11[[#Headers],[NUT]] &amp; "]"), "NOT FOUND", 0, 1)</f>
        <v>5774.6494437724832</v>
      </c>
      <c r="H155" s="8" cm="1">
        <f t="array" aca="1" ref="H155" ca="1">_xlfn.XLOOKUP(Table11[[#This Row],[Admin2PCODE]], tblPiNAnalysis[Admin2PCODE], INDIRECT("tblPiNAnalysis[" &amp; Table11[[#Headers],[SAL]] &amp; "]"), "NOT FOUND", 0, 1)</f>
        <v>49524.294999999998</v>
      </c>
      <c r="I155" s="8" cm="1">
        <f t="array" aca="1" ref="I155" ca="1">_xlfn.XLOOKUP(Table11[[#This Row],[Admin2PCODE]], tblPiNAnalysis[Admin2PCODE], INDIRECT("tblPiNAnalysis[" &amp; Table11[[#Headers],[EDU]] &amp; "]"), "NOT FOUND", 0, 1)</f>
        <v>15747.790952202507</v>
      </c>
      <c r="J155" s="8" cm="1">
        <f t="array" aca="1" ref="J155" ca="1">_xlfn.XLOOKUP(Table11[[#This Row],[Admin2PCODE]], tblPiNAnalysis[Admin2PCODE], INDIRECT("tblPiNAnalysis[" &amp; Table11[[#Headers],[PRO]] &amp; "]"), "NOT FOUND", 0, 1)</f>
        <v>22696.049440500428</v>
      </c>
      <c r="K155" s="8" cm="1">
        <f t="array" aca="1" ref="K155" ca="1">_xlfn.XLOOKUP(Table11[[#This Row],[Admin2PCODE]], tblPiNAnalysis[Admin2PCODE], INDIRECT("tblPiNAnalysis[" &amp; Table11[[#Headers],[ASH]] &amp; "]"), "NOT FOUND", 0, 1)</f>
        <v>18317.204999999998</v>
      </c>
      <c r="L155" s="8" cm="1">
        <f t="array" aca="1" ref="L155" ca="1">_xlfn.XLOOKUP(Table11[[#This Row],[Admin2PCODE]], tblPiNAnalysis[Admin2PCODE], INDIRECT("tblPiNAnalysis[" &amp; Table11[[#Headers],[NNA]] &amp; "]"), "NOT FOUND", 0, 1)</f>
        <v>7262.7358209601371</v>
      </c>
      <c r="M155" s="8" cm="1">
        <f t="array" aca="1" ref="M155" ca="1">_xlfn.XLOOKUP(Table11[[#This Row],[Admin2PCODE]], tblPiNAnalysis[Admin2PCODE], INDIRECT("tblPiNAnalysis[" &amp; Table11[[#Headers],[VBG]] &amp; "]"), "NOT FOUND", 0, 1)</f>
        <v>7943.617304175149</v>
      </c>
      <c r="N155" s="8" cm="1">
        <f t="array" aca="1" ref="N155" ca="1">_xlfn.XLOOKUP(Table11[[#This Row],[Admin2PCODE]], tblPiNAnalysis[Admin2PCODE], INDIRECT("tblPiNAnalysis[" &amp; Table11[[#Headers],[PiN más alto]] &amp; "]"), "NOT FOUND", 0, 1)</f>
        <v>49524.294999999998</v>
      </c>
      <c r="O155" t="str" cm="1">
        <f t="array" aca="1" ref="O155" ca="1">_xlfn.XLOOKUP(Table11[[#This Row],[Admin2PCODE]], tblPiNAnalysis[Admin2PCODE], INDIRECT("tblPiNAnalysis[" &amp; Table11[[#Headers],[Sectores más altos]] &amp; "]"), "NOT FOUND", 0, 1)</f>
        <v>SAL</v>
      </c>
      <c r="P155" cm="1">
        <f t="array" ref="P155">_xlfn.XLOOKUP(Table11[[#This Row],[Admin2PCODE]], tblPiNAnalysis[Admin2PCODE], tblPiNAnalysis[Severidad], "NOT FOUND", 0, 1)</f>
        <v>3</v>
      </c>
      <c r="Q155" s="318">
        <v>0.49743589743589745</v>
      </c>
      <c r="R155" s="318">
        <v>0.35681557846506301</v>
      </c>
      <c r="S155" s="318">
        <v>0.17749287749287751</v>
      </c>
      <c r="T155">
        <v>0</v>
      </c>
      <c r="W155">
        <f>_xlfn.XLOOKUP(Table11[[#This Row],[Admin2PCODE]],tblSeverityAnalysis[Admin 2 Código P],tblSeverityAnalysis[PRO],0,0)</f>
        <v>3</v>
      </c>
      <c r="Y155">
        <v>0</v>
      </c>
      <c r="Z155">
        <v>0</v>
      </c>
      <c r="AA155">
        <f t="shared" si="2"/>
        <v>0</v>
      </c>
    </row>
    <row r="156" spans="1:27">
      <c r="A156" t="s">
        <v>411</v>
      </c>
      <c r="B156" t="s">
        <v>412</v>
      </c>
      <c r="C156" s="42" t="s">
        <v>415</v>
      </c>
      <c r="D156" t="s">
        <v>416</v>
      </c>
      <c r="E156" s="8" cm="1">
        <f t="array" aca="1" ref="E156" ca="1">_xlfn.XLOOKUP(Table11[[#This Row],[Admin2PCODE]], tblPiNAnalysis[Admin2PCODE], INDIRECT("tblPiNAnalysis[" &amp; Table11[[#Headers],[Población]] &amp; "]"), "NOT FOUND", 0, 1)</f>
        <v>14555</v>
      </c>
      <c r="F156" s="8" cm="1">
        <f t="array" aca="1" ref="F156" ca="1">_xlfn.XLOOKUP(Table11[[#This Row],[Admin2PCODE]], tblPiNAnalysis[Admin2PCODE], INDIRECT("tblPiNAnalysis[" &amp; Table11[[#Headers],[SAMV]] &amp; "]"), "NOT FOUND", 0, 1)</f>
        <v>4245</v>
      </c>
      <c r="G156" s="8" cm="1">
        <f t="array" aca="1" ref="G156" ca="1">_xlfn.XLOOKUP(Table11[[#This Row],[Admin2PCODE]], tblPiNAnalysis[Admin2PCODE], INDIRECT("tblPiNAnalysis[" &amp; Table11[[#Headers],[NUT]] &amp; "]"), "NOT FOUND", 0, 1)</f>
        <v>469.55532719131901</v>
      </c>
      <c r="H156" s="8" cm="1">
        <f t="array" aca="1" ref="H156" ca="1">_xlfn.XLOOKUP(Table11[[#This Row],[Admin2PCODE]], tblPiNAnalysis[Admin2PCODE], INDIRECT("tblPiNAnalysis[" &amp; Table11[[#Headers],[SAL]] &amp; "]"), "NOT FOUND", 0, 1)</f>
        <v>6300</v>
      </c>
      <c r="I156" s="8" cm="1">
        <f t="array" aca="1" ref="I156" ca="1">_xlfn.XLOOKUP(Table11[[#This Row],[Admin2PCODE]], tblPiNAnalysis[Admin2PCODE], INDIRECT("tblPiNAnalysis[" &amp; Table11[[#Headers],[EDU]] &amp; "]"), "NOT FOUND", 0, 1)</f>
        <v>1424.1678098333255</v>
      </c>
      <c r="J156" s="8" cm="1">
        <f t="array" aca="1" ref="J156" ca="1">_xlfn.XLOOKUP(Table11[[#This Row],[Admin2PCODE]], tblPiNAnalysis[Admin2PCODE], INDIRECT("tblPiNAnalysis[" &amp; Table11[[#Headers],[PRO]] &amp; "]"), "NOT FOUND", 0, 1)</f>
        <v>1460.7916965566078</v>
      </c>
      <c r="K156" s="8" cm="1">
        <f t="array" aca="1" ref="K156" ca="1">_xlfn.XLOOKUP(Table11[[#This Row],[Admin2PCODE]], tblPiNAnalysis[Admin2PCODE], INDIRECT("tblPiNAnalysis[" &amp; Table11[[#Headers],[ASH]] &amp; "]"), "NOT FOUND", 0, 1)</f>
        <v>0</v>
      </c>
      <c r="L156" s="8" cm="1">
        <f t="array" aca="1" ref="L156" ca="1">_xlfn.XLOOKUP(Table11[[#This Row],[Admin2PCODE]], tblPiNAnalysis[Admin2PCODE], INDIRECT("tblPiNAnalysis[" &amp; Table11[[#Headers],[NNA]] &amp; "]"), "NOT FOUND", 0, 1)</f>
        <v>468.91413459467111</v>
      </c>
      <c r="M156" s="8" cm="1">
        <f t="array" aca="1" ref="M156" ca="1">_xlfn.XLOOKUP(Table11[[#This Row],[Admin2PCODE]], tblPiNAnalysis[Admin2PCODE], INDIRECT("tblPiNAnalysis[" &amp; Table11[[#Headers],[VBG]] &amp; "]"), "NOT FOUND", 0, 1)</f>
        <v>511.27709379481269</v>
      </c>
      <c r="N156" s="8" cm="1">
        <f t="array" aca="1" ref="N156" ca="1">_xlfn.XLOOKUP(Table11[[#This Row],[Admin2PCODE]], tblPiNAnalysis[Admin2PCODE], INDIRECT("tblPiNAnalysis[" &amp; Table11[[#Headers],[PiN más alto]] &amp; "]"), "NOT FOUND", 0, 1)</f>
        <v>6300</v>
      </c>
      <c r="O156" t="str" cm="1">
        <f t="array" aca="1" ref="O156" ca="1">_xlfn.XLOOKUP(Table11[[#This Row],[Admin2PCODE]], tblPiNAnalysis[Admin2PCODE], INDIRECT("tblPiNAnalysis[" &amp; Table11[[#Headers],[Sectores más altos]] &amp; "]"), "NOT FOUND", 0, 1)</f>
        <v>SAL</v>
      </c>
      <c r="P156" cm="1">
        <f t="array" ref="P156">_xlfn.XLOOKUP(Table11[[#This Row],[Admin2PCODE]], tblPiNAnalysis[Admin2PCODE], tblPiNAnalysis[Severidad], "NOT FOUND", 0, 1)</f>
        <v>2</v>
      </c>
      <c r="Q156" s="318">
        <v>0.40740740740740738</v>
      </c>
      <c r="R156" s="318">
        <v>0.40909090909090912</v>
      </c>
      <c r="S156" s="318">
        <v>0.16666666666666666</v>
      </c>
      <c r="T156">
        <v>0</v>
      </c>
      <c r="W156">
        <f>_xlfn.XLOOKUP(Table11[[#This Row],[Admin2PCODE]],tblSeverityAnalysis[Admin 2 Código P],tblSeverityAnalysis[PRO],0,0)</f>
        <v>2</v>
      </c>
      <c r="Y156">
        <v>8</v>
      </c>
      <c r="Z156">
        <v>0</v>
      </c>
      <c r="AA156">
        <f t="shared" si="2"/>
        <v>0</v>
      </c>
    </row>
    <row r="157" spans="1:27">
      <c r="A157" t="s">
        <v>411</v>
      </c>
      <c r="B157" t="s">
        <v>412</v>
      </c>
      <c r="C157" s="42" t="s">
        <v>417</v>
      </c>
      <c r="D157" t="s">
        <v>418</v>
      </c>
      <c r="E157" s="8" cm="1">
        <f t="array" aca="1" ref="E157" ca="1">_xlfn.XLOOKUP(Table11[[#This Row],[Admin2PCODE]], tblPiNAnalysis[Admin2PCODE], INDIRECT("tblPiNAnalysis[" &amp; Table11[[#Headers],[Población]] &amp; "]"), "NOT FOUND", 0, 1)</f>
        <v>24553</v>
      </c>
      <c r="F157" s="8" cm="1">
        <f t="array" aca="1" ref="F157" ca="1">_xlfn.XLOOKUP(Table11[[#This Row],[Admin2PCODE]], tblPiNAnalysis[Admin2PCODE], INDIRECT("tblPiNAnalysis[" &amp; Table11[[#Headers],[SAMV]] &amp; "]"), "NOT FOUND", 0, 1)</f>
        <v>8556</v>
      </c>
      <c r="G157" s="8" cm="1">
        <f t="array" aca="1" ref="G157" ca="1">_xlfn.XLOOKUP(Table11[[#This Row],[Admin2PCODE]], tblPiNAnalysis[Admin2PCODE], INDIRECT("tblPiNAnalysis[" &amp; Table11[[#Headers],[NUT]] &amp; "]"), "NOT FOUND", 0, 1)</f>
        <v>805.38895250687324</v>
      </c>
      <c r="H157" s="8" cm="1">
        <f t="array" aca="1" ref="H157" ca="1">_xlfn.XLOOKUP(Table11[[#This Row],[Admin2PCODE]], tblPiNAnalysis[Admin2PCODE], INDIRECT("tblPiNAnalysis[" &amp; Table11[[#Headers],[SAL]] &amp; "]"), "NOT FOUND", 0, 1)</f>
        <v>17400</v>
      </c>
      <c r="I157" s="8" cm="1">
        <f t="array" aca="1" ref="I157" ca="1">_xlfn.XLOOKUP(Table11[[#This Row],[Admin2PCODE]], tblPiNAnalysis[Admin2PCODE], INDIRECT("tblPiNAnalysis[" &amp; Table11[[#Headers],[EDU]] &amp; "]"), "NOT FOUND", 0, 1)</f>
        <v>2479.4893026590148</v>
      </c>
      <c r="J157" s="8" cm="1">
        <f t="array" aca="1" ref="J157" ca="1">_xlfn.XLOOKUP(Table11[[#This Row],[Admin2PCODE]], tblPiNAnalysis[Admin2PCODE], INDIRECT("tblPiNAnalysis[" &amp; Table11[[#Headers],[PRO]] &amp; "]"), "NOT FOUND", 0, 1)</f>
        <v>4107.0443748487796</v>
      </c>
      <c r="K157" s="8" cm="1">
        <f t="array" aca="1" ref="K157" ca="1">_xlfn.XLOOKUP(Table11[[#This Row],[Admin2PCODE]], tblPiNAnalysis[Admin2PCODE], INDIRECT("tblPiNAnalysis[" &amp; Table11[[#Headers],[ASH]] &amp; "]"), "NOT FOUND", 0, 1)</f>
        <v>0</v>
      </c>
      <c r="L157" s="8" cm="1">
        <f t="array" aca="1" ref="L157" ca="1">_xlfn.XLOOKUP(Table11[[#This Row],[Admin2PCODE]], tblPiNAnalysis[Admin2PCODE], INDIRECT("tblPiNAnalysis[" &amp; Table11[[#Headers],[NNA]] &amp; "]"), "NOT FOUND", 0, 1)</f>
        <v>1314.2541999516095</v>
      </c>
      <c r="M157" s="8" cm="1">
        <f t="array" aca="1" ref="M157" ca="1">_xlfn.XLOOKUP(Table11[[#This Row],[Admin2PCODE]], tblPiNAnalysis[Admin2PCODE], INDIRECT("tblPiNAnalysis[" &amp; Table11[[#Headers],[VBG]] &amp; "]"), "NOT FOUND", 0, 1)</f>
        <v>1437.4655311970728</v>
      </c>
      <c r="N157" s="8" cm="1">
        <f t="array" aca="1" ref="N157" ca="1">_xlfn.XLOOKUP(Table11[[#This Row],[Admin2PCODE]], tblPiNAnalysis[Admin2PCODE], INDIRECT("tblPiNAnalysis[" &amp; Table11[[#Headers],[PiN más alto]] &amp; "]"), "NOT FOUND", 0, 1)</f>
        <v>17400</v>
      </c>
      <c r="O157" t="str" cm="1">
        <f t="array" aca="1" ref="O157" ca="1">_xlfn.XLOOKUP(Table11[[#This Row],[Admin2PCODE]], tblPiNAnalysis[Admin2PCODE], INDIRECT("tblPiNAnalysis[" &amp; Table11[[#Headers],[Sectores más altos]] &amp; "]"), "NOT FOUND", 0, 1)</f>
        <v>SAL</v>
      </c>
      <c r="P157" cm="1">
        <f t="array" ref="P157">_xlfn.XLOOKUP(Table11[[#This Row],[Admin2PCODE]], tblPiNAnalysis[Admin2PCODE], tblPiNAnalysis[Severidad], "NOT FOUND", 0, 1)</f>
        <v>3</v>
      </c>
      <c r="Q157" s="318">
        <v>0.42307692307692307</v>
      </c>
      <c r="R157" s="318">
        <v>0.39393939393939381</v>
      </c>
      <c r="S157" s="318">
        <v>0.1666666666666666</v>
      </c>
      <c r="T157">
        <v>0</v>
      </c>
      <c r="W157">
        <f>_xlfn.XLOOKUP(Table11[[#This Row],[Admin2PCODE]],tblSeverityAnalysis[Admin 2 Código P],tblSeverityAnalysis[PRO],0,0)</f>
        <v>3</v>
      </c>
      <c r="Y157">
        <v>8</v>
      </c>
      <c r="Z157">
        <v>0</v>
      </c>
      <c r="AA157">
        <f t="shared" si="2"/>
        <v>0</v>
      </c>
    </row>
    <row r="158" spans="1:27">
      <c r="A158" t="s">
        <v>411</v>
      </c>
      <c r="B158" t="s">
        <v>412</v>
      </c>
      <c r="C158" s="42" t="s">
        <v>419</v>
      </c>
      <c r="D158" t="s">
        <v>420</v>
      </c>
      <c r="E158" s="8" cm="1">
        <f t="array" aca="1" ref="E158" ca="1">_xlfn.XLOOKUP(Table11[[#This Row],[Admin2PCODE]], tblPiNAnalysis[Admin2PCODE], INDIRECT("tblPiNAnalysis[" &amp; Table11[[#Headers],[Población]] &amp; "]"), "NOT FOUND", 0, 1)</f>
        <v>4335</v>
      </c>
      <c r="F158" s="8" cm="1">
        <f t="array" aca="1" ref="F158" ca="1">_xlfn.XLOOKUP(Table11[[#This Row],[Admin2PCODE]], tblPiNAnalysis[Admin2PCODE], INDIRECT("tblPiNAnalysis[" &amp; Table11[[#Headers],[SAMV]] &amp; "]"), "NOT FOUND", 0, 1)</f>
        <v>733</v>
      </c>
      <c r="G158" s="8" cm="1">
        <f t="array" aca="1" ref="G158" ca="1">_xlfn.XLOOKUP(Table11[[#This Row],[Admin2PCODE]], tblPiNAnalysis[Admin2PCODE], INDIRECT("tblPiNAnalysis[" &amp; Table11[[#Headers],[NUT]] &amp; "]"), "NOT FOUND", 0, 1)</f>
        <v>189.82809688826026</v>
      </c>
      <c r="H158" s="8" cm="1">
        <f t="array" aca="1" ref="H158" ca="1">_xlfn.XLOOKUP(Table11[[#This Row],[Admin2PCODE]], tblPiNAnalysis[Admin2PCODE], INDIRECT("tblPiNAnalysis[" &amp; Table11[[#Headers],[SAL]] &amp; "]"), "NOT FOUND", 0, 1)</f>
        <v>3500</v>
      </c>
      <c r="I158" s="8" cm="1">
        <f t="array" aca="1" ref="I158" ca="1">_xlfn.XLOOKUP(Table11[[#This Row],[Admin2PCODE]], tblPiNAnalysis[Admin2PCODE], INDIRECT("tblPiNAnalysis[" &amp; Table11[[#Headers],[EDU]] &amp; "]"), "NOT FOUND", 0, 1)</f>
        <v>445.31725736203504</v>
      </c>
      <c r="J158" s="8" cm="1">
        <f t="array" aca="1" ref="J158" ca="1">_xlfn.XLOOKUP(Table11[[#This Row],[Admin2PCODE]], tblPiNAnalysis[Admin2PCODE], INDIRECT("tblPiNAnalysis[" &amp; Table11[[#Headers],[PRO]] &amp; "]"), "NOT FOUND", 0, 1)</f>
        <v>435.07605665220876</v>
      </c>
      <c r="K158" s="8" cm="1">
        <f t="array" aca="1" ref="K158" ca="1">_xlfn.XLOOKUP(Table11[[#This Row],[Admin2PCODE]], tblPiNAnalysis[Admin2PCODE], INDIRECT("tblPiNAnalysis[" &amp; Table11[[#Headers],[ASH]] &amp; "]"), "NOT FOUND", 0, 1)</f>
        <v>0</v>
      </c>
      <c r="L158" s="8" cm="1">
        <f t="array" aca="1" ref="L158" ca="1">_xlfn.XLOOKUP(Table11[[#This Row],[Admin2PCODE]], tblPiNAnalysis[Admin2PCODE], INDIRECT("tblPiNAnalysis[" &amp; Table11[[#Headers],[NNA]] &amp; "]"), "NOT FOUND", 0, 1)</f>
        <v>139.659414185359</v>
      </c>
      <c r="M158" s="8" cm="1">
        <f t="array" aca="1" ref="M158" ca="1">_xlfn.XLOOKUP(Table11[[#This Row],[Admin2PCODE]], tblPiNAnalysis[Admin2PCODE], INDIRECT("tblPiNAnalysis[" &amp; Table11[[#Headers],[VBG]] &amp; "]"), "NOT FOUND", 0, 1)</f>
        <v>152.27661982827306</v>
      </c>
      <c r="N158" s="8" cm="1">
        <f t="array" aca="1" ref="N158" ca="1">_xlfn.XLOOKUP(Table11[[#This Row],[Admin2PCODE]], tblPiNAnalysis[Admin2PCODE], INDIRECT("tblPiNAnalysis[" &amp; Table11[[#Headers],[PiN más alto]] &amp; "]"), "NOT FOUND", 0, 1)</f>
        <v>3500</v>
      </c>
      <c r="O158" t="str" cm="1">
        <f t="array" aca="1" ref="O158" ca="1">_xlfn.XLOOKUP(Table11[[#This Row],[Admin2PCODE]], tblPiNAnalysis[Admin2PCODE], INDIRECT("tblPiNAnalysis[" &amp; Table11[[#Headers],[Sectores más altos]] &amp; "]"), "NOT FOUND", 0, 1)</f>
        <v>SAL</v>
      </c>
      <c r="P158" cm="1">
        <f t="array" ref="P158">_xlfn.XLOOKUP(Table11[[#This Row],[Admin2PCODE]], tblPiNAnalysis[Admin2PCODE], tblPiNAnalysis[Severidad], "NOT FOUND", 0, 1)</f>
        <v>2</v>
      </c>
      <c r="Q158" s="318" t="e">
        <v>#N/A</v>
      </c>
      <c r="R158" s="318" t="e">
        <v>#N/A</v>
      </c>
      <c r="S158" s="318" t="e">
        <v>#N/A</v>
      </c>
      <c r="T158">
        <v>0</v>
      </c>
      <c r="W158">
        <f>_xlfn.XLOOKUP(Table11[[#This Row],[Admin2PCODE]],tblSeverityAnalysis[Admin 2 Código P],tblSeverityAnalysis[PRO],0,0)</f>
        <v>2</v>
      </c>
      <c r="Y158">
        <v>0</v>
      </c>
      <c r="Z158">
        <v>0</v>
      </c>
      <c r="AA158">
        <f t="shared" si="2"/>
        <v>0</v>
      </c>
    </row>
    <row r="159" spans="1:27">
      <c r="A159" t="s">
        <v>411</v>
      </c>
      <c r="B159" t="s">
        <v>412</v>
      </c>
      <c r="C159" s="42" t="s">
        <v>421</v>
      </c>
      <c r="D159" t="s">
        <v>422</v>
      </c>
      <c r="E159" s="8" cm="1">
        <f t="array" aca="1" ref="E159" ca="1">_xlfn.XLOOKUP(Table11[[#This Row],[Admin2PCODE]], tblPiNAnalysis[Admin2PCODE], INDIRECT("tblPiNAnalysis[" &amp; Table11[[#Headers],[Población]] &amp; "]"), "NOT FOUND", 0, 1)</f>
        <v>13375</v>
      </c>
      <c r="F159" s="8" cm="1">
        <f t="array" aca="1" ref="F159" ca="1">_xlfn.XLOOKUP(Table11[[#This Row],[Admin2PCODE]], tblPiNAnalysis[Admin2PCODE], INDIRECT("tblPiNAnalysis[" &amp; Table11[[#Headers],[SAMV]] &amp; "]"), "NOT FOUND", 0, 1)</f>
        <v>2260</v>
      </c>
      <c r="G159" s="8" cm="1">
        <f t="array" aca="1" ref="G159" ca="1">_xlfn.XLOOKUP(Table11[[#This Row],[Admin2PCODE]], tblPiNAnalysis[Admin2PCODE], INDIRECT("tblPiNAnalysis[" &amp; Table11[[#Headers],[NUT]] &amp; "]"), "NOT FOUND", 0, 1)</f>
        <v>528.83147596117101</v>
      </c>
      <c r="H159" s="8" cm="1">
        <f t="array" aca="1" ref="H159" ca="1">_xlfn.XLOOKUP(Table11[[#This Row],[Admin2PCODE]], tblPiNAnalysis[Admin2PCODE], INDIRECT("tblPiNAnalysis[" &amp; Table11[[#Headers],[SAL]] &amp; "]"), "NOT FOUND", 0, 1)</f>
        <v>8400</v>
      </c>
      <c r="I159" s="8" cm="1">
        <f t="array" aca="1" ref="I159" ca="1">_xlfn.XLOOKUP(Table11[[#This Row],[Admin2PCODE]], tblPiNAnalysis[Admin2PCODE], INDIRECT("tblPiNAnalysis[" &amp; Table11[[#Headers],[EDU]] &amp; "]"), "NOT FOUND", 0, 1)</f>
        <v>1330.934324580694</v>
      </c>
      <c r="J159" s="8" cm="1">
        <f t="array" aca="1" ref="J159" ca="1">_xlfn.XLOOKUP(Table11[[#This Row],[Admin2PCODE]], tblPiNAnalysis[Admin2PCODE], INDIRECT("tblPiNAnalysis[" &amp; Table11[[#Headers],[PRO]] &amp; "]"), "NOT FOUND", 0, 1)</f>
        <v>1342.3626892095244</v>
      </c>
      <c r="K159" s="8" cm="1">
        <f t="array" aca="1" ref="K159" ca="1">_xlfn.XLOOKUP(Table11[[#This Row],[Admin2PCODE]], tblPiNAnalysis[Admin2PCODE], INDIRECT("tblPiNAnalysis[" &amp; Table11[[#Headers],[ASH]] &amp; "]"), "NOT FOUND", 0, 1)</f>
        <v>0</v>
      </c>
      <c r="L159" s="8" cm="1">
        <f t="array" aca="1" ref="L159" ca="1">_xlfn.XLOOKUP(Table11[[#This Row],[Admin2PCODE]], tblPiNAnalysis[Admin2PCODE], INDIRECT("tblPiNAnalysis[" &amp; Table11[[#Headers],[NNA]] &amp; "]"), "NOT FOUND", 0, 1)</f>
        <v>430.89842323625732</v>
      </c>
      <c r="M159" s="8" cm="1">
        <f t="array" aca="1" ref="M159" ca="1">_xlfn.XLOOKUP(Table11[[#This Row],[Admin2PCODE]], tblPiNAnalysis[Admin2PCODE], INDIRECT("tblPiNAnalysis[" &amp; Table11[[#Headers],[VBG]] &amp; "]"), "NOT FOUND", 0, 1)</f>
        <v>469.82694122333356</v>
      </c>
      <c r="N159" s="8" cm="1">
        <f t="array" aca="1" ref="N159" ca="1">_xlfn.XLOOKUP(Table11[[#This Row],[Admin2PCODE]], tblPiNAnalysis[Admin2PCODE], INDIRECT("tblPiNAnalysis[" &amp; Table11[[#Headers],[PiN más alto]] &amp; "]"), "NOT FOUND", 0, 1)</f>
        <v>8400</v>
      </c>
      <c r="O159" t="str" cm="1">
        <f t="array" aca="1" ref="O159" ca="1">_xlfn.XLOOKUP(Table11[[#This Row],[Admin2PCODE]], tblPiNAnalysis[Admin2PCODE], INDIRECT("tblPiNAnalysis[" &amp; Table11[[#Headers],[Sectores más altos]] &amp; "]"), "NOT FOUND", 0, 1)</f>
        <v>SAL</v>
      </c>
      <c r="P159" cm="1">
        <f t="array" ref="P159">_xlfn.XLOOKUP(Table11[[#This Row],[Admin2PCODE]], tblPiNAnalysis[Admin2PCODE], tblPiNAnalysis[Severidad], "NOT FOUND", 0, 1)</f>
        <v>2</v>
      </c>
      <c r="Q159" s="318" t="e">
        <v>#N/A</v>
      </c>
      <c r="R159" s="318" t="e">
        <v>#N/A</v>
      </c>
      <c r="S159" s="318" t="e">
        <v>#N/A</v>
      </c>
      <c r="T159">
        <v>0</v>
      </c>
      <c r="W159">
        <f>_xlfn.XLOOKUP(Table11[[#This Row],[Admin2PCODE]],tblSeverityAnalysis[Admin 2 Código P],tblSeverityAnalysis[PRO],0,0)</f>
        <v>2</v>
      </c>
      <c r="Y159">
        <v>0</v>
      </c>
      <c r="Z159">
        <v>0</v>
      </c>
      <c r="AA159">
        <f t="shared" si="2"/>
        <v>0</v>
      </c>
    </row>
    <row r="160" spans="1:27">
      <c r="A160" t="s">
        <v>411</v>
      </c>
      <c r="B160" t="s">
        <v>412</v>
      </c>
      <c r="C160" s="42" t="s">
        <v>423</v>
      </c>
      <c r="D160" t="s">
        <v>424</v>
      </c>
      <c r="E160" s="8" cm="1">
        <f t="array" aca="1" ref="E160" ca="1">_xlfn.XLOOKUP(Table11[[#This Row],[Admin2PCODE]], tblPiNAnalysis[Admin2PCODE], INDIRECT("tblPiNAnalysis[" &amp; Table11[[#Headers],[Población]] &amp; "]"), "NOT FOUND", 0, 1)</f>
        <v>102133</v>
      </c>
      <c r="F160" s="8" cm="1">
        <f t="array" aca="1" ref="F160" ca="1">_xlfn.XLOOKUP(Table11[[#This Row],[Admin2PCODE]], tblPiNAnalysis[Admin2PCODE], INDIRECT("tblPiNAnalysis[" &amp; Table11[[#Headers],[SAMV]] &amp; "]"), "NOT FOUND", 0, 1)</f>
        <v>4642</v>
      </c>
      <c r="G160" s="8" cm="1">
        <f t="array" aca="1" ref="G160" ca="1">_xlfn.XLOOKUP(Table11[[#This Row],[Admin2PCODE]], tblPiNAnalysis[Admin2PCODE], INDIRECT("tblPiNAnalysis[" &amp; Table11[[#Headers],[NUT]] &amp; "]"), "NOT FOUND", 0, 1)</f>
        <v>2466.1111424030519</v>
      </c>
      <c r="H160" s="8" cm="1">
        <f t="array" aca="1" ref="H160" ca="1">_xlfn.XLOOKUP(Table11[[#This Row],[Admin2PCODE]], tblPiNAnalysis[Admin2PCODE], INDIRECT("tblPiNAnalysis[" &amp; Table11[[#Headers],[SAL]] &amp; "]"), "NOT FOUND", 0, 1)</f>
        <v>37278.544999999998</v>
      </c>
      <c r="I160" s="8" cm="1">
        <f t="array" aca="1" ref="I160" ca="1">_xlfn.XLOOKUP(Table11[[#This Row],[Admin2PCODE]], tblPiNAnalysis[Admin2PCODE], INDIRECT("tblPiNAnalysis[" &amp; Table11[[#Headers],[EDU]] &amp; "]"), "NOT FOUND", 0, 1)</f>
        <v>13344.091291575234</v>
      </c>
      <c r="J160" s="8" cm="1">
        <f t="array" aca="1" ref="J160" ca="1">_xlfn.XLOOKUP(Table11[[#This Row],[Admin2PCODE]], tblPiNAnalysis[Admin2PCODE], INDIRECT("tblPiNAnalysis[" &amp; Table11[[#Headers],[PRO]] &amp; "]"), "NOT FOUND", 0, 1)</f>
        <v>17084.053400253753</v>
      </c>
      <c r="K160" s="8" cm="1">
        <f t="array" aca="1" ref="K160" ca="1">_xlfn.XLOOKUP(Table11[[#This Row],[Admin2PCODE]], tblPiNAnalysis[Admin2PCODE], INDIRECT("tblPiNAnalysis[" &amp; Table11[[#Headers],[ASH]] &amp; "]"), "NOT FOUND", 0, 1)</f>
        <v>0</v>
      </c>
      <c r="L160" s="8" cm="1">
        <f t="array" aca="1" ref="L160" ca="1">_xlfn.XLOOKUP(Table11[[#This Row],[Admin2PCODE]], tblPiNAnalysis[Admin2PCODE], INDIRECT("tblPiNAnalysis[" &amp; Table11[[#Headers],[NNA]] &amp; "]"), "NOT FOUND", 0, 1)</f>
        <v>5483.9811414814549</v>
      </c>
      <c r="M160" s="8" cm="1">
        <f t="array" aca="1" ref="M160" ca="1">_xlfn.XLOOKUP(Table11[[#This Row],[Admin2PCODE]], tblPiNAnalysis[Admin2PCODE], INDIRECT("tblPiNAnalysis[" &amp; Table11[[#Headers],[VBG]] &amp; "]"), "NOT FOUND", 0, 1)</f>
        <v>5979.4186900888135</v>
      </c>
      <c r="N160" s="8" cm="1">
        <f t="array" aca="1" ref="N160" ca="1">_xlfn.XLOOKUP(Table11[[#This Row],[Admin2PCODE]], tblPiNAnalysis[Admin2PCODE], INDIRECT("tblPiNAnalysis[" &amp; Table11[[#Headers],[PiN más alto]] &amp; "]"), "NOT FOUND", 0, 1)</f>
        <v>37278.544999999998</v>
      </c>
      <c r="O160" t="str" cm="1">
        <f t="array" aca="1" ref="O160" ca="1">_xlfn.XLOOKUP(Table11[[#This Row],[Admin2PCODE]], tblPiNAnalysis[Admin2PCODE], INDIRECT("tblPiNAnalysis[" &amp; Table11[[#Headers],[Sectores más altos]] &amp; "]"), "NOT FOUND", 0, 1)</f>
        <v>SAL</v>
      </c>
      <c r="P160" cm="1">
        <f t="array" ref="P160">_xlfn.XLOOKUP(Table11[[#This Row],[Admin2PCODE]], tblPiNAnalysis[Admin2PCODE], tblPiNAnalysis[Severidad], "NOT FOUND", 0, 1)</f>
        <v>2</v>
      </c>
      <c r="Q160" s="318">
        <v>0.21568627450980393</v>
      </c>
      <c r="R160" s="318">
        <v>0.35858585858585867</v>
      </c>
      <c r="S160" s="318">
        <v>7.734204793028325E-2</v>
      </c>
      <c r="T160">
        <v>0</v>
      </c>
      <c r="W160">
        <f>_xlfn.XLOOKUP(Table11[[#This Row],[Admin2PCODE]],tblSeverityAnalysis[Admin 2 Código P],tblSeverityAnalysis[PRO],0,0)</f>
        <v>3</v>
      </c>
      <c r="Y160">
        <v>9</v>
      </c>
      <c r="Z160">
        <v>0</v>
      </c>
      <c r="AA160">
        <f t="shared" si="2"/>
        <v>0</v>
      </c>
    </row>
    <row r="161" spans="1:27">
      <c r="A161" t="s">
        <v>411</v>
      </c>
      <c r="B161" t="s">
        <v>412</v>
      </c>
      <c r="C161" s="42" t="s">
        <v>425</v>
      </c>
      <c r="D161" t="s">
        <v>426</v>
      </c>
      <c r="E161" s="8" cm="1">
        <f t="array" aca="1" ref="E161" ca="1">_xlfn.XLOOKUP(Table11[[#This Row],[Admin2PCODE]], tblPiNAnalysis[Admin2PCODE], INDIRECT("tblPiNAnalysis[" &amp; Table11[[#Headers],[Población]] &amp; "]"), "NOT FOUND", 0, 1)</f>
        <v>28255</v>
      </c>
      <c r="F161" s="8" cm="1">
        <f t="array" aca="1" ref="F161" ca="1">_xlfn.XLOOKUP(Table11[[#This Row],[Admin2PCODE]], tblPiNAnalysis[Admin2PCODE], INDIRECT("tblPiNAnalysis[" &amp; Table11[[#Headers],[SAMV]] &amp; "]"), "NOT FOUND", 0, 1)</f>
        <v>4775</v>
      </c>
      <c r="G161" s="8" cm="1">
        <f t="array" aca="1" ref="G161" ca="1">_xlfn.XLOOKUP(Table11[[#This Row],[Admin2PCODE]], tblPiNAnalysis[Admin2PCODE], INDIRECT("tblPiNAnalysis[" &amp; Table11[[#Headers],[NUT]] &amp; "]"), "NOT FOUND", 0, 1)</f>
        <v>945.87224101947027</v>
      </c>
      <c r="H161" s="8" cm="1">
        <f t="array" aca="1" ref="H161" ca="1">_xlfn.XLOOKUP(Table11[[#This Row],[Admin2PCODE]], tblPiNAnalysis[Admin2PCODE], INDIRECT("tblPiNAnalysis[" &amp; Table11[[#Headers],[SAL]] &amp; "]"), "NOT FOUND", 0, 1)</f>
        <v>15789.714285714284</v>
      </c>
      <c r="I161" s="8" cm="1">
        <f t="array" aca="1" ref="I161" ca="1">_xlfn.XLOOKUP(Table11[[#This Row],[Admin2PCODE]], tblPiNAnalysis[Admin2PCODE], INDIRECT("tblPiNAnalysis[" &amp; Table11[[#Headers],[EDU]] &amp; "]"), "NOT FOUND", 0, 1)</f>
        <v>1981.1064038764769</v>
      </c>
      <c r="J161" s="8" cm="1">
        <f t="array" aca="1" ref="J161" ca="1">_xlfn.XLOOKUP(Table11[[#This Row],[Admin2PCODE]], tblPiNAnalysis[Admin2PCODE], INDIRECT("tblPiNAnalysis[" &amp; Table11[[#Headers],[PRO]] &amp; "]"), "NOT FOUND", 0, 1)</f>
        <v>2835.772544569355</v>
      </c>
      <c r="K161" s="8" cm="1">
        <f t="array" aca="1" ref="K161" ca="1">_xlfn.XLOOKUP(Table11[[#This Row],[Admin2PCODE]], tblPiNAnalysis[Admin2PCODE], INDIRECT("tblPiNAnalysis[" &amp; Table11[[#Headers],[ASH]] &amp; "]"), "NOT FOUND", 0, 1)</f>
        <v>0</v>
      </c>
      <c r="L161" s="8" cm="1">
        <f t="array" aca="1" ref="L161" ca="1">_xlfn.XLOOKUP(Table11[[#This Row],[Admin2PCODE]], tblPiNAnalysis[Admin2PCODE], INDIRECT("tblPiNAnalysis[" &amp; Table11[[#Headers],[NNA]] &amp; "]"), "NOT FOUND", 0, 1)</f>
        <v>907.4472142621936</v>
      </c>
      <c r="M161" s="8" cm="1">
        <f t="array" aca="1" ref="M161" ca="1">_xlfn.XLOOKUP(Table11[[#This Row],[Admin2PCODE]], tblPiNAnalysis[Admin2PCODE], INDIRECT("tblPiNAnalysis[" &amp; Table11[[#Headers],[VBG]] &amp; "]"), "NOT FOUND", 0, 1)</f>
        <v>992.52039059927426</v>
      </c>
      <c r="N161" s="8" cm="1">
        <f t="array" aca="1" ref="N161" ca="1">_xlfn.XLOOKUP(Table11[[#This Row],[Admin2PCODE]], tblPiNAnalysis[Admin2PCODE], INDIRECT("tblPiNAnalysis[" &amp; Table11[[#Headers],[PiN más alto]] &amp; "]"), "NOT FOUND", 0, 1)</f>
        <v>15789.714285714284</v>
      </c>
      <c r="O161" t="str" cm="1">
        <f t="array" aca="1" ref="O161" ca="1">_xlfn.XLOOKUP(Table11[[#This Row],[Admin2PCODE]], tblPiNAnalysis[Admin2PCODE], INDIRECT("tblPiNAnalysis[" &amp; Table11[[#Headers],[Sectores más altos]] &amp; "]"), "NOT FOUND", 0, 1)</f>
        <v>SAL</v>
      </c>
      <c r="P161" cm="1">
        <f t="array" ref="P161">_xlfn.XLOOKUP(Table11[[#This Row],[Admin2PCODE]], tblPiNAnalysis[Admin2PCODE], tblPiNAnalysis[Severidad], "NOT FOUND", 0, 1)</f>
        <v>2</v>
      </c>
      <c r="Q161" s="318" t="e">
        <v>#N/A</v>
      </c>
      <c r="R161" s="318" t="e">
        <v>#N/A</v>
      </c>
      <c r="S161" s="318" t="e">
        <v>#N/A</v>
      </c>
      <c r="T161">
        <v>0</v>
      </c>
      <c r="W161">
        <f>_xlfn.XLOOKUP(Table11[[#This Row],[Admin2PCODE]],tblSeverityAnalysis[Admin 2 Código P],tblSeverityAnalysis[PRO],0,0)</f>
        <v>2</v>
      </c>
      <c r="Y161">
        <v>0</v>
      </c>
      <c r="Z161">
        <v>0</v>
      </c>
      <c r="AA161">
        <f t="shared" si="2"/>
        <v>0</v>
      </c>
    </row>
    <row r="162" spans="1:27">
      <c r="A162" t="s">
        <v>411</v>
      </c>
      <c r="B162" t="s">
        <v>412</v>
      </c>
      <c r="C162" s="42" t="s">
        <v>427</v>
      </c>
      <c r="D162" t="s">
        <v>428</v>
      </c>
      <c r="E162" s="8" cm="1">
        <f t="array" aca="1" ref="E162" ca="1">_xlfn.XLOOKUP(Table11[[#This Row],[Admin2PCODE]], tblPiNAnalysis[Admin2PCODE], INDIRECT("tblPiNAnalysis[" &amp; Table11[[#Headers],[Población]] &amp; "]"), "NOT FOUND", 0, 1)</f>
        <v>9655</v>
      </c>
      <c r="F162" s="8" cm="1">
        <f t="array" aca="1" ref="F162" ca="1">_xlfn.XLOOKUP(Table11[[#This Row],[Admin2PCODE]], tblPiNAnalysis[Admin2PCODE], INDIRECT("tblPiNAnalysis[" &amp; Table11[[#Headers],[SAMV]] &amp; "]"), "NOT FOUND", 0, 1)</f>
        <v>0</v>
      </c>
      <c r="G162" s="8" cm="1">
        <f t="array" aca="1" ref="G162" ca="1">_xlfn.XLOOKUP(Table11[[#This Row],[Admin2PCODE]], tblPiNAnalysis[Admin2PCODE], INDIRECT("tblPiNAnalysis[" &amp; Table11[[#Headers],[NUT]] &amp; "]"), "NOT FOUND", 0, 1)</f>
        <v>318.523220257388</v>
      </c>
      <c r="H162" s="8" cm="1">
        <f t="array" aca="1" ref="H162" ca="1">_xlfn.XLOOKUP(Table11[[#This Row],[Admin2PCODE]], tblPiNAnalysis[Admin2PCODE], INDIRECT("tblPiNAnalysis[" &amp; Table11[[#Headers],[SAL]] &amp; "]"), "NOT FOUND", 0, 1)</f>
        <v>3524.0749999999998</v>
      </c>
      <c r="I162" s="8" cm="1">
        <f t="array" aca="1" ref="I162" ca="1">_xlfn.XLOOKUP(Table11[[#This Row],[Admin2PCODE]], tblPiNAnalysis[Admin2PCODE], INDIRECT("tblPiNAnalysis[" &amp; Table11[[#Headers],[EDU]] &amp; "]"), "NOT FOUND", 0, 1)</f>
        <v>889.06114501106993</v>
      </c>
      <c r="J162" s="8" cm="1">
        <f t="array" aca="1" ref="J162" ca="1">_xlfn.XLOOKUP(Table11[[#This Row],[Admin2PCODE]], tblPiNAnalysis[Admin2PCODE], INDIRECT("tblPiNAnalysis[" &amp; Table11[[#Headers],[PRO]] &amp; "]"), "NOT FOUND", 0, 1)</f>
        <v>969.01022536956725</v>
      </c>
      <c r="K162" s="8" cm="1">
        <f t="array" aca="1" ref="K162" ca="1">_xlfn.XLOOKUP(Table11[[#This Row],[Admin2PCODE]], tblPiNAnalysis[Admin2PCODE], INDIRECT("tblPiNAnalysis[" &amp; Table11[[#Headers],[ASH]] &amp; "]"), "NOT FOUND", 0, 1)</f>
        <v>0</v>
      </c>
      <c r="L162" s="8" cm="1">
        <f t="array" aca="1" ref="L162" ca="1">_xlfn.XLOOKUP(Table11[[#This Row],[Admin2PCODE]], tblPiNAnalysis[Admin2PCODE], INDIRECT("tblPiNAnalysis[" &amp; Table11[[#Headers],[NNA]] &amp; "]"), "NOT FOUND", 0, 1)</f>
        <v>311.05228234363108</v>
      </c>
      <c r="M162" s="8" cm="1">
        <f t="array" aca="1" ref="M162" ca="1">_xlfn.XLOOKUP(Table11[[#This Row],[Admin2PCODE]], tblPiNAnalysis[Admin2PCODE], INDIRECT("tblPiNAnalysis[" &amp; Table11[[#Headers],[VBG]] &amp; "]"), "NOT FOUND", 0, 1)</f>
        <v>339.15357887934852</v>
      </c>
      <c r="N162" s="8" cm="1">
        <f t="array" aca="1" ref="N162" ca="1">_xlfn.XLOOKUP(Table11[[#This Row],[Admin2PCODE]], tblPiNAnalysis[Admin2PCODE], INDIRECT("tblPiNAnalysis[" &amp; Table11[[#Headers],[PiN más alto]] &amp; "]"), "NOT FOUND", 0, 1)</f>
        <v>3524.0749999999998</v>
      </c>
      <c r="O162" t="str" cm="1">
        <f t="array" aca="1" ref="O162" ca="1">_xlfn.XLOOKUP(Table11[[#This Row],[Admin2PCODE]], tblPiNAnalysis[Admin2PCODE], INDIRECT("tblPiNAnalysis[" &amp; Table11[[#Headers],[Sectores más altos]] &amp; "]"), "NOT FOUND", 0, 1)</f>
        <v>SAL</v>
      </c>
      <c r="P162" cm="1">
        <f t="array" ref="P162">_xlfn.XLOOKUP(Table11[[#This Row],[Admin2PCODE]], tblPiNAnalysis[Admin2PCODE], tblPiNAnalysis[Severidad], "NOT FOUND", 0, 1)</f>
        <v>2</v>
      </c>
      <c r="Q162" s="318">
        <v>0</v>
      </c>
      <c r="R162" s="318">
        <v>0</v>
      </c>
      <c r="S162" s="318">
        <v>0</v>
      </c>
      <c r="T162">
        <v>0</v>
      </c>
      <c r="W162">
        <f>_xlfn.XLOOKUP(Table11[[#This Row],[Admin2PCODE]],tblSeverityAnalysis[Admin 2 Código P],tblSeverityAnalysis[PRO],0,0)</f>
        <v>2</v>
      </c>
      <c r="Y162">
        <v>0</v>
      </c>
      <c r="Z162">
        <v>0</v>
      </c>
      <c r="AA162">
        <f t="shared" si="2"/>
        <v>0</v>
      </c>
    </row>
    <row r="163" spans="1:27">
      <c r="A163" t="s">
        <v>411</v>
      </c>
      <c r="B163" t="s">
        <v>412</v>
      </c>
      <c r="C163" s="42" t="s">
        <v>429</v>
      </c>
      <c r="D163" t="s">
        <v>430</v>
      </c>
      <c r="E163" s="8" cm="1">
        <f t="array" aca="1" ref="E163" ca="1">_xlfn.XLOOKUP(Table11[[#This Row],[Admin2PCODE]], tblPiNAnalysis[Admin2PCODE], INDIRECT("tblPiNAnalysis[" &amp; Table11[[#Headers],[Población]] &amp; "]"), "NOT FOUND", 0, 1)</f>
        <v>9262</v>
      </c>
      <c r="F163" s="8" cm="1">
        <f t="array" aca="1" ref="F163" ca="1">_xlfn.XLOOKUP(Table11[[#This Row],[Admin2PCODE]], tblPiNAnalysis[Admin2PCODE], INDIRECT("tblPiNAnalysis[" &amp; Table11[[#Headers],[SAMV]] &amp; "]"), "NOT FOUND", 0, 1)</f>
        <v>1158</v>
      </c>
      <c r="G163" s="8" cm="1">
        <f t="array" aca="1" ref="G163" ca="1">_xlfn.XLOOKUP(Table11[[#This Row],[Admin2PCODE]], tblPiNAnalysis[Admin2PCODE], INDIRECT("tblPiNAnalysis[" &amp; Table11[[#Headers],[NUT]] &amp; "]"), "NOT FOUND", 0, 1)</f>
        <v>305.16899987864076</v>
      </c>
      <c r="H163" s="8" cm="1">
        <f t="array" aca="1" ref="H163" ca="1">_xlfn.XLOOKUP(Table11[[#This Row],[Admin2PCODE]], tblPiNAnalysis[Admin2PCODE], INDIRECT("tblPiNAnalysis[" &amp; Table11[[#Headers],[SAL]] &amp; "]"), "NOT FOUND", 0, 1)</f>
        <v>4900</v>
      </c>
      <c r="I163" s="8" cm="1">
        <f t="array" aca="1" ref="I163" ca="1">_xlfn.XLOOKUP(Table11[[#This Row],[Admin2PCODE]], tblPiNAnalysis[Admin2PCODE], INDIRECT("tblPiNAnalysis[" &amp; Table11[[#Headers],[EDU]] &amp; "]"), "NOT FOUND", 0, 1)</f>
        <v>868.78559646071756</v>
      </c>
      <c r="J163" s="8" cm="1">
        <f t="array" aca="1" ref="J163" ca="1">_xlfn.XLOOKUP(Table11[[#This Row],[Admin2PCODE]], tblPiNAnalysis[Admin2PCODE], INDIRECT("tblPiNAnalysis[" &amp; Table11[[#Headers],[PRO]] &amp; "]"), "NOT FOUND", 0, 1)</f>
        <v>929.56734410905574</v>
      </c>
      <c r="K163" s="8" cm="1">
        <f t="array" aca="1" ref="K163" ca="1">_xlfn.XLOOKUP(Table11[[#This Row],[Admin2PCODE]], tblPiNAnalysis[Admin2PCODE], INDIRECT("tblPiNAnalysis[" &amp; Table11[[#Headers],[ASH]] &amp; "]"), "NOT FOUND", 0, 1)</f>
        <v>0</v>
      </c>
      <c r="L163" s="8" cm="1">
        <f t="array" aca="1" ref="L163" ca="1">_xlfn.XLOOKUP(Table11[[#This Row],[Admin2PCODE]], tblPiNAnalysis[Admin2PCODE], INDIRECT("tblPiNAnalysis[" &amp; Table11[[#Headers],[NNA]] &amp; "]"), "NOT FOUND", 0, 1)</f>
        <v>297.46155011489782</v>
      </c>
      <c r="M163" s="8" cm="1">
        <f t="array" aca="1" ref="M163" ca="1">_xlfn.XLOOKUP(Table11[[#This Row],[Admin2PCODE]], tblPiNAnalysis[Admin2PCODE], INDIRECT("tblPiNAnalysis[" &amp; Table11[[#Headers],[VBG]] &amp; "]"), "NOT FOUND", 0, 1)</f>
        <v>325.34857043816947</v>
      </c>
      <c r="N163" s="8" cm="1">
        <f t="array" aca="1" ref="N163" ca="1">_xlfn.XLOOKUP(Table11[[#This Row],[Admin2PCODE]], tblPiNAnalysis[Admin2PCODE], INDIRECT("tblPiNAnalysis[" &amp; Table11[[#Headers],[PiN más alto]] &amp; "]"), "NOT FOUND", 0, 1)</f>
        <v>4900</v>
      </c>
      <c r="O163" t="str" cm="1">
        <f t="array" aca="1" ref="O163" ca="1">_xlfn.XLOOKUP(Table11[[#This Row],[Admin2PCODE]], tblPiNAnalysis[Admin2PCODE], INDIRECT("tblPiNAnalysis[" &amp; Table11[[#Headers],[Sectores más altos]] &amp; "]"), "NOT FOUND", 0, 1)</f>
        <v>SAL</v>
      </c>
      <c r="P163" cm="1">
        <f t="array" ref="P163">_xlfn.XLOOKUP(Table11[[#This Row],[Admin2PCODE]], tblPiNAnalysis[Admin2PCODE], tblPiNAnalysis[Severidad], "NOT FOUND", 0, 1)</f>
        <v>2</v>
      </c>
      <c r="Q163" s="318">
        <v>0</v>
      </c>
      <c r="R163" s="318">
        <v>0</v>
      </c>
      <c r="S163" s="318">
        <v>0</v>
      </c>
      <c r="T163">
        <v>0</v>
      </c>
      <c r="W163">
        <f>_xlfn.XLOOKUP(Table11[[#This Row],[Admin2PCODE]],tblSeverityAnalysis[Admin 2 Código P],tblSeverityAnalysis[PRO],0,0)</f>
        <v>2</v>
      </c>
      <c r="Y163">
        <v>8</v>
      </c>
      <c r="Z163">
        <v>0</v>
      </c>
      <c r="AA163">
        <f t="shared" si="2"/>
        <v>0</v>
      </c>
    </row>
    <row r="164" spans="1:27">
      <c r="A164" t="s">
        <v>411</v>
      </c>
      <c r="B164" t="s">
        <v>412</v>
      </c>
      <c r="C164" s="42" t="s">
        <v>431</v>
      </c>
      <c r="D164" t="s">
        <v>432</v>
      </c>
      <c r="E164" s="8" cm="1">
        <f t="array" aca="1" ref="E164" ca="1">_xlfn.XLOOKUP(Table11[[#This Row],[Admin2PCODE]], tblPiNAnalysis[Admin2PCODE], INDIRECT("tblPiNAnalysis[" &amp; Table11[[#Headers],[Población]] &amp; "]"), "NOT FOUND", 0, 1)</f>
        <v>14996</v>
      </c>
      <c r="F164" s="8" cm="1">
        <f t="array" aca="1" ref="F164" ca="1">_xlfn.XLOOKUP(Table11[[#This Row],[Admin2PCODE]], tblPiNAnalysis[Admin2PCODE], INDIRECT("tblPiNAnalysis[" &amp; Table11[[#Headers],[SAMV]] &amp; "]"), "NOT FOUND", 0, 1)</f>
        <v>2534</v>
      </c>
      <c r="G164" s="8" cm="1">
        <f t="array" aca="1" ref="G164" ca="1">_xlfn.XLOOKUP(Table11[[#This Row],[Admin2PCODE]], tblPiNAnalysis[Admin2PCODE], INDIRECT("tblPiNAnalysis[" &amp; Table11[[#Headers],[NUT]] &amp; "]"), "NOT FOUND", 0, 1)</f>
        <v>522.72420593754259</v>
      </c>
      <c r="H164" s="8" cm="1">
        <f t="array" aca="1" ref="H164" ca="1">_xlfn.XLOOKUP(Table11[[#This Row],[Admin2PCODE]], tblPiNAnalysis[Admin2PCODE], INDIRECT("tblPiNAnalysis[" &amp; Table11[[#Headers],[SAL]] &amp; "]"), "NOT FOUND", 0, 1)</f>
        <v>5473.54</v>
      </c>
      <c r="I164" s="8" cm="1">
        <f t="array" aca="1" ref="I164" ca="1">_xlfn.XLOOKUP(Table11[[#This Row],[Admin2PCODE]], tblPiNAnalysis[Admin2PCODE], INDIRECT("tblPiNAnalysis[" &amp; Table11[[#Headers],[EDU]] &amp; "]"), "NOT FOUND", 0, 1)</f>
        <v>1002.8945037551084</v>
      </c>
      <c r="J164" s="8" cm="1">
        <f t="array" aca="1" ref="J164" ca="1">_xlfn.XLOOKUP(Table11[[#This Row],[Admin2PCODE]], tblPiNAnalysis[Admin2PCODE], INDIRECT("tblPiNAnalysis[" &amp; Table11[[#Headers],[PRO]] &amp; "]"), "NOT FOUND", 0, 1)</f>
        <v>1505.0520289634417</v>
      </c>
      <c r="K164" s="8" cm="1">
        <f t="array" aca="1" ref="K164" ca="1">_xlfn.XLOOKUP(Table11[[#This Row],[Admin2PCODE]], tblPiNAnalysis[Admin2PCODE], INDIRECT("tblPiNAnalysis[" &amp; Table11[[#Headers],[ASH]] &amp; "]"), "NOT FOUND", 0, 1)</f>
        <v>0</v>
      </c>
      <c r="L164" s="8" cm="1">
        <f t="array" aca="1" ref="L164" ca="1">_xlfn.XLOOKUP(Table11[[#This Row],[Admin2PCODE]], tblPiNAnalysis[Admin2PCODE], INDIRECT("tblPiNAnalysis[" &amp; Table11[[#Headers],[NNA]] &amp; "]"), "NOT FOUND", 0, 1)</f>
        <v>481.61664926830133</v>
      </c>
      <c r="M164" s="8" cm="1">
        <f t="array" aca="1" ref="M164" ca="1">_xlfn.XLOOKUP(Table11[[#This Row],[Admin2PCODE]], tblPiNAnalysis[Admin2PCODE], INDIRECT("tblPiNAnalysis[" &amp; Table11[[#Headers],[VBG]] &amp; "]"), "NOT FOUND", 0, 1)</f>
        <v>526.76821013720451</v>
      </c>
      <c r="N164" s="8" cm="1">
        <f t="array" aca="1" ref="N164" ca="1">_xlfn.XLOOKUP(Table11[[#This Row],[Admin2PCODE]], tblPiNAnalysis[Admin2PCODE], INDIRECT("tblPiNAnalysis[" &amp; Table11[[#Headers],[PiN más alto]] &amp; "]"), "NOT FOUND", 0, 1)</f>
        <v>5473.54</v>
      </c>
      <c r="O164" t="str" cm="1">
        <f t="array" aca="1" ref="O164" ca="1">_xlfn.XLOOKUP(Table11[[#This Row],[Admin2PCODE]], tblPiNAnalysis[Admin2PCODE], INDIRECT("tblPiNAnalysis[" &amp; Table11[[#Headers],[Sectores más altos]] &amp; "]"), "NOT FOUND", 0, 1)</f>
        <v>SAL</v>
      </c>
      <c r="P164" cm="1">
        <f t="array" ref="P164">_xlfn.XLOOKUP(Table11[[#This Row],[Admin2PCODE]], tblPiNAnalysis[Admin2PCODE], tblPiNAnalysis[Severidad], "NOT FOUND", 0, 1)</f>
        <v>2</v>
      </c>
      <c r="Q164" s="318"/>
      <c r="R164" s="318"/>
      <c r="S164" s="318"/>
      <c r="T164">
        <v>0</v>
      </c>
      <c r="W164">
        <f>_xlfn.XLOOKUP(Table11[[#This Row],[Admin2PCODE]],tblSeverityAnalysis[Admin 2 Código P],tblSeverityAnalysis[PRO],0,0)</f>
        <v>2</v>
      </c>
      <c r="Y164">
        <v>6</v>
      </c>
      <c r="Z164">
        <v>0</v>
      </c>
      <c r="AA164">
        <f t="shared" si="2"/>
        <v>0</v>
      </c>
    </row>
    <row r="165" spans="1:27">
      <c r="A165" t="s">
        <v>411</v>
      </c>
      <c r="B165" t="s">
        <v>412</v>
      </c>
      <c r="C165" s="42" t="s">
        <v>433</v>
      </c>
      <c r="D165" t="s">
        <v>434</v>
      </c>
      <c r="E165" s="8" cm="1">
        <f t="array" aca="1" ref="E165" ca="1">_xlfn.XLOOKUP(Table11[[#This Row],[Admin2PCODE]], tblPiNAnalysis[Admin2PCODE], INDIRECT("tblPiNAnalysis[" &amp; Table11[[#Headers],[Población]] &amp; "]"), "NOT FOUND", 0, 1)</f>
        <v>5000</v>
      </c>
      <c r="F165" s="8" cm="1">
        <f t="array" aca="1" ref="F165" ca="1">_xlfn.XLOOKUP(Table11[[#This Row],[Admin2PCODE]], tblPiNAnalysis[Admin2PCODE], INDIRECT("tblPiNAnalysis[" &amp; Table11[[#Headers],[SAMV]] &amp; "]"), "NOT FOUND", 0, 1)</f>
        <v>845</v>
      </c>
      <c r="G165" s="8" cm="1">
        <f t="array" aca="1" ref="G165" ca="1">_xlfn.XLOOKUP(Table11[[#This Row],[Admin2PCODE]], tblPiNAnalysis[Admin2PCODE], INDIRECT("tblPiNAnalysis[" &amp; Table11[[#Headers],[NUT]] &amp; "]"), "NOT FOUND", 0, 1)</f>
        <v>207.64490296220634</v>
      </c>
      <c r="H165" s="8" cm="1">
        <f t="array" aca="1" ref="H165" ca="1">_xlfn.XLOOKUP(Table11[[#This Row],[Admin2PCODE]], tblPiNAnalysis[Admin2PCODE], INDIRECT("tblPiNAnalysis[" &amp; Table11[[#Headers],[SAL]] &amp; "]"), "NOT FOUND", 0, 1)</f>
        <v>4495</v>
      </c>
      <c r="I165" s="8" cm="1">
        <f t="array" aca="1" ref="I165" ca="1">_xlfn.XLOOKUP(Table11[[#This Row],[Admin2PCODE]], tblPiNAnalysis[Admin2PCODE], INDIRECT("tblPiNAnalysis[" &amp; Table11[[#Headers],[EDU]] &amp; "]"), "NOT FOUND", 0, 1)</f>
        <v>292.25911754380951</v>
      </c>
      <c r="J165" s="8" cm="1">
        <f t="array" aca="1" ref="J165" ca="1">_xlfn.XLOOKUP(Table11[[#This Row],[Admin2PCODE]], tblPiNAnalysis[Admin2PCODE], INDIRECT("tblPiNAnalysis[" &amp; Table11[[#Headers],[PRO]] &amp; "]"), "NOT FOUND", 0, 1)</f>
        <v>167.27260924729282</v>
      </c>
      <c r="K165" s="8" cm="1">
        <f t="array" aca="1" ref="K165" ca="1">_xlfn.XLOOKUP(Table11[[#This Row],[Admin2PCODE]], tblPiNAnalysis[Admin2PCODE], INDIRECT("tblPiNAnalysis[" &amp; Table11[[#Headers],[ASH]] &amp; "]"), "NOT FOUND", 0, 1)</f>
        <v>0</v>
      </c>
      <c r="L165" s="8" cm="1">
        <f t="array" aca="1" ref="L165" ca="1">_xlfn.XLOOKUP(Table11[[#This Row],[Admin2PCODE]], tblPiNAnalysis[Admin2PCODE], INDIRECT("tblPiNAnalysis[" &amp; Table11[[#Headers],[NNA]] &amp; "]"), "NOT FOUND", 0, 1)</f>
        <v>53.527234959133693</v>
      </c>
      <c r="M165" s="8" cm="1">
        <f t="array" aca="1" ref="M165" ca="1">_xlfn.XLOOKUP(Table11[[#This Row],[Admin2PCODE]], tblPiNAnalysis[Admin2PCODE], INDIRECT("tblPiNAnalysis[" &amp; Table11[[#Headers],[VBG]] &amp; "]"), "NOT FOUND", 0, 1)</f>
        <v>58.545413236552477</v>
      </c>
      <c r="N165" s="8" cm="1">
        <f t="array" aca="1" ref="N165" ca="1">_xlfn.XLOOKUP(Table11[[#This Row],[Admin2PCODE]], tblPiNAnalysis[Admin2PCODE], INDIRECT("tblPiNAnalysis[" &amp; Table11[[#Headers],[PiN más alto]] &amp; "]"), "NOT FOUND", 0, 1)</f>
        <v>4495</v>
      </c>
      <c r="O165" t="str" cm="1">
        <f t="array" aca="1" ref="O165" ca="1">_xlfn.XLOOKUP(Table11[[#This Row],[Admin2PCODE]], tblPiNAnalysis[Admin2PCODE], INDIRECT("tblPiNAnalysis[" &amp; Table11[[#Headers],[Sectores más altos]] &amp; "]"), "NOT FOUND", 0, 1)</f>
        <v>SAL</v>
      </c>
      <c r="P165" cm="1">
        <f t="array" ref="P165">_xlfn.XLOOKUP(Table11[[#This Row],[Admin2PCODE]], tblPiNAnalysis[Admin2PCODE], tblPiNAnalysis[Severidad], "NOT FOUND", 0, 1)</f>
        <v>2</v>
      </c>
      <c r="Q165" s="318"/>
      <c r="R165" s="318"/>
      <c r="S165" s="318"/>
      <c r="T165">
        <v>0</v>
      </c>
      <c r="W165">
        <f>_xlfn.XLOOKUP(Table11[[#This Row],[Admin2PCODE]],tblSeverityAnalysis[Admin 2 Código P],tblSeverityAnalysis[PRO],0,0)</f>
        <v>1</v>
      </c>
      <c r="Y165">
        <v>8</v>
      </c>
      <c r="Z165">
        <v>0</v>
      </c>
      <c r="AA165">
        <f t="shared" si="2"/>
        <v>0</v>
      </c>
    </row>
    <row r="166" spans="1:27">
      <c r="A166" t="s">
        <v>411</v>
      </c>
      <c r="B166" t="s">
        <v>412</v>
      </c>
      <c r="C166" s="42" t="s">
        <v>100</v>
      </c>
      <c r="D166" t="s">
        <v>435</v>
      </c>
      <c r="E166" s="8" cm="1">
        <f t="array" aca="1" ref="E166" ca="1">_xlfn.XLOOKUP(Table11[[#This Row],[Admin2PCODE]], tblPiNAnalysis[Admin2PCODE], INDIRECT("tblPiNAnalysis[" &amp; Table11[[#Headers],[Población]] &amp; "]"), "NOT FOUND", 0, 1)</f>
        <v>222451</v>
      </c>
      <c r="F166" s="8" cm="1">
        <f t="array" aca="1" ref="F166" ca="1">_xlfn.XLOOKUP(Table11[[#This Row],[Admin2PCODE]], tblPiNAnalysis[Admin2PCODE], INDIRECT("tblPiNAnalysis[" &amp; Table11[[#Headers],[SAMV]] &amp; "]"), "NOT FOUND", 0, 1)</f>
        <v>48872</v>
      </c>
      <c r="G166" s="8" cm="1">
        <f t="array" aca="1" ref="G166" ca="1">_xlfn.XLOOKUP(Table11[[#This Row],[Admin2PCODE]], tblPiNAnalysis[Admin2PCODE], INDIRECT("tblPiNAnalysis[" &amp; Table11[[#Headers],[NUT]] &amp; "]"), "NOT FOUND", 0, 1)</f>
        <v>7548.0190967110184</v>
      </c>
      <c r="H166" s="8" cm="1">
        <f t="array" aca="1" ref="H166" ca="1">_xlfn.XLOOKUP(Table11[[#This Row],[Admin2PCODE]], tblPiNAnalysis[Admin2PCODE], INDIRECT("tblPiNAnalysis[" &amp; Table11[[#Headers],[SAL]] &amp; "]"), "NOT FOUND", 0, 1)</f>
        <v>81194.615000000005</v>
      </c>
      <c r="I166" s="8" cm="1">
        <f t="array" aca="1" ref="I166" ca="1">_xlfn.XLOOKUP(Table11[[#This Row],[Admin2PCODE]], tblPiNAnalysis[Admin2PCODE], INDIRECT("tblPiNAnalysis[" &amp; Table11[[#Headers],[EDU]] &amp; "]"), "NOT FOUND", 0, 1)</f>
        <v>29208.222446137479</v>
      </c>
      <c r="J166" s="8" cm="1">
        <f t="array" aca="1" ref="J166" ca="1">_xlfn.XLOOKUP(Table11[[#This Row],[Admin2PCODE]], tblPiNAnalysis[Admin2PCODE], INDIRECT("tblPiNAnalysis[" &amp; Table11[[#Headers],[PRO]] &amp; "]"), "NOT FOUND", 0, 1)</f>
        <v>37209.959199669524</v>
      </c>
      <c r="K166" s="8" cm="1">
        <f t="array" aca="1" ref="K166" ca="1">_xlfn.XLOOKUP(Table11[[#This Row],[Admin2PCODE]], tblPiNAnalysis[Admin2PCODE], INDIRECT("tblPiNAnalysis[" &amp; Table11[[#Headers],[ASH]] &amp; "]"), "NOT FOUND", 0, 1)</f>
        <v>0</v>
      </c>
      <c r="L166" s="8" cm="1">
        <f t="array" aca="1" ref="L166" ca="1">_xlfn.XLOOKUP(Table11[[#This Row],[Admin2PCODE]], tblPiNAnalysis[Admin2PCODE], INDIRECT("tblPiNAnalysis[" &amp; Table11[[#Headers],[NNA]] &amp; "]"), "NOT FOUND", 0, 1)</f>
        <v>11944.396903093917</v>
      </c>
      <c r="M166" s="8" cm="1">
        <f t="array" aca="1" ref="M166" ca="1">_xlfn.XLOOKUP(Table11[[#This Row],[Admin2PCODE]], tblPiNAnalysis[Admin2PCODE], INDIRECT("tblPiNAnalysis[" &amp; Table11[[#Headers],[VBG]] &amp; "]"), "NOT FOUND", 0, 1)</f>
        <v>13023.485719884333</v>
      </c>
      <c r="N166" s="8" cm="1">
        <f t="array" aca="1" ref="N166" ca="1">_xlfn.XLOOKUP(Table11[[#This Row],[Admin2PCODE]], tblPiNAnalysis[Admin2PCODE], INDIRECT("tblPiNAnalysis[" &amp; Table11[[#Headers],[PiN más alto]] &amp; "]"), "NOT FOUND", 0, 1)</f>
        <v>81194.615000000005</v>
      </c>
      <c r="O166" t="str" cm="1">
        <f t="array" aca="1" ref="O166" ca="1">_xlfn.XLOOKUP(Table11[[#This Row],[Admin2PCODE]], tblPiNAnalysis[Admin2PCODE], INDIRECT("tblPiNAnalysis[" &amp; Table11[[#Headers],[Sectores más altos]] &amp; "]"), "NOT FOUND", 0, 1)</f>
        <v>SAL</v>
      </c>
      <c r="P166" cm="1">
        <f t="array" ref="P166">_xlfn.XLOOKUP(Table11[[#This Row],[Admin2PCODE]], tblPiNAnalysis[Admin2PCODE], tblPiNAnalysis[Severidad], "NOT FOUND", 0, 1)</f>
        <v>3</v>
      </c>
      <c r="Q166" s="318">
        <v>5.5865921787709494E-2</v>
      </c>
      <c r="R166" s="318">
        <v>0.44166666666666671</v>
      </c>
      <c r="S166" s="318">
        <v>2.4674115456238363E-2</v>
      </c>
      <c r="T166">
        <v>0</v>
      </c>
      <c r="W166">
        <f>_xlfn.XLOOKUP(Table11[[#This Row],[Admin2PCODE]],tblSeverityAnalysis[Admin 2 Código P],tblSeverityAnalysis[PRO],0,0)</f>
        <v>3</v>
      </c>
      <c r="Y166">
        <v>0</v>
      </c>
      <c r="Z166">
        <v>0</v>
      </c>
      <c r="AA166">
        <f t="shared" si="2"/>
        <v>0</v>
      </c>
    </row>
    <row r="167" spans="1:27">
      <c r="A167" t="s">
        <v>411</v>
      </c>
      <c r="B167" t="s">
        <v>412</v>
      </c>
      <c r="C167" s="42" t="s">
        <v>276</v>
      </c>
      <c r="D167" t="s">
        <v>436</v>
      </c>
      <c r="E167" s="8" cm="1">
        <f t="array" aca="1" ref="E167" ca="1">_xlfn.XLOOKUP(Table11[[#This Row],[Admin2PCODE]], tblPiNAnalysis[Admin2PCODE], INDIRECT("tblPiNAnalysis[" &amp; Table11[[#Headers],[Población]] &amp; "]"), "NOT FOUND", 0, 1)</f>
        <v>22370</v>
      </c>
      <c r="F167" s="8" cm="1">
        <f t="array" aca="1" ref="F167" ca="1">_xlfn.XLOOKUP(Table11[[#This Row],[Admin2PCODE]], tblPiNAnalysis[Admin2PCODE], INDIRECT("tblPiNAnalysis[" &amp; Table11[[#Headers],[SAMV]] &amp; "]"), "NOT FOUND", 0, 1)</f>
        <v>746</v>
      </c>
      <c r="G167" s="8" cm="1">
        <f t="array" aca="1" ref="G167" ca="1">_xlfn.XLOOKUP(Table11[[#This Row],[Admin2PCODE]], tblPiNAnalysis[Admin2PCODE], INDIRECT("tblPiNAnalysis[" &amp; Table11[[#Headers],[NUT]] &amp; "]"), "NOT FOUND", 0, 1)</f>
        <v>693.6631542500686</v>
      </c>
      <c r="H167" s="8" cm="1">
        <f t="array" aca="1" ref="H167" ca="1">_xlfn.XLOOKUP(Table11[[#This Row],[Admin2PCODE]], tblPiNAnalysis[Admin2PCODE], INDIRECT("tblPiNAnalysis[" &amp; Table11[[#Headers],[SAL]] &amp; "]"), "NOT FOUND", 0, 1)</f>
        <v>8165.05</v>
      </c>
      <c r="I167" s="8" cm="1">
        <f t="array" aca="1" ref="I167" ca="1">_xlfn.XLOOKUP(Table11[[#This Row],[Admin2PCODE]], tblPiNAnalysis[Admin2PCODE], INDIRECT("tblPiNAnalysis[" &amp; Table11[[#Headers],[EDU]] &amp; "]"), "NOT FOUND", 0, 1)</f>
        <v>1868.6308938031632</v>
      </c>
      <c r="J167" s="8" cm="1">
        <f t="array" aca="1" ref="J167" ca="1">_xlfn.XLOOKUP(Table11[[#This Row],[Admin2PCODE]], tblPiNAnalysis[Admin2PCODE], INDIRECT("tblPiNAnalysis[" &amp; Table11[[#Headers],[PRO]] &amp; "]"), "NOT FOUND", 0, 1)</f>
        <v>2245.1329613171638</v>
      </c>
      <c r="K167" s="8" cm="1">
        <f t="array" aca="1" ref="K167" ca="1">_xlfn.XLOOKUP(Table11[[#This Row],[Admin2PCODE]], tblPiNAnalysis[Admin2PCODE], INDIRECT("tblPiNAnalysis[" &amp; Table11[[#Headers],[ASH]] &amp; "]"), "NOT FOUND", 0, 1)</f>
        <v>0</v>
      </c>
      <c r="L167" s="8" cm="1">
        <f t="array" aca="1" ref="L167" ca="1">_xlfn.XLOOKUP(Table11[[#This Row],[Admin2PCODE]], tblPiNAnalysis[Admin2PCODE], INDIRECT("tblPiNAnalysis[" &amp; Table11[[#Headers],[NNA]] &amp; "]"), "NOT FOUND", 0, 1)</f>
        <v>718.44254762149239</v>
      </c>
      <c r="M167" s="8" cm="1">
        <f t="array" aca="1" ref="M167" ca="1">_xlfn.XLOOKUP(Table11[[#This Row],[Admin2PCODE]], tblPiNAnalysis[Admin2PCODE], INDIRECT("tblPiNAnalysis[" &amp; Table11[[#Headers],[VBG]] &amp; "]"), "NOT FOUND", 0, 1)</f>
        <v>785.79653646100724</v>
      </c>
      <c r="N167" s="8" cm="1">
        <f t="array" aca="1" ref="N167" ca="1">_xlfn.XLOOKUP(Table11[[#This Row],[Admin2PCODE]], tblPiNAnalysis[Admin2PCODE], INDIRECT("tblPiNAnalysis[" &amp; Table11[[#Headers],[PiN más alto]] &amp; "]"), "NOT FOUND", 0, 1)</f>
        <v>8165.05</v>
      </c>
      <c r="O167" t="str" cm="1">
        <f t="array" aca="1" ref="O167" ca="1">_xlfn.XLOOKUP(Table11[[#This Row],[Admin2PCODE]], tblPiNAnalysis[Admin2PCODE], INDIRECT("tblPiNAnalysis[" &amp; Table11[[#Headers],[Sectores más altos]] &amp; "]"), "NOT FOUND", 0, 1)</f>
        <v>SAL</v>
      </c>
      <c r="P167" cm="1">
        <f t="array" ref="P167">_xlfn.XLOOKUP(Table11[[#This Row],[Admin2PCODE]], tblPiNAnalysis[Admin2PCODE], tblPiNAnalysis[Severidad], "NOT FOUND", 0, 1)</f>
        <v>2</v>
      </c>
      <c r="Q167" s="318"/>
      <c r="R167" s="318"/>
      <c r="S167" s="318"/>
      <c r="T167">
        <v>0</v>
      </c>
      <c r="W167">
        <f>_xlfn.XLOOKUP(Table11[[#This Row],[Admin2PCODE]],tblSeverityAnalysis[Admin 2 Código P],tblSeverityAnalysis[PRO],0,0)</f>
        <v>2</v>
      </c>
      <c r="Y167">
        <v>0</v>
      </c>
      <c r="Z167">
        <v>0</v>
      </c>
      <c r="AA167">
        <f t="shared" si="2"/>
        <v>0</v>
      </c>
    </row>
    <row r="168" spans="1:27">
      <c r="A168" t="s">
        <v>411</v>
      </c>
      <c r="B168" t="s">
        <v>412</v>
      </c>
      <c r="C168" s="42" t="s">
        <v>831</v>
      </c>
      <c r="D168" t="s">
        <v>438</v>
      </c>
      <c r="E168" s="8" cm="1">
        <f t="array" aca="1" ref="E168" ca="1">_xlfn.XLOOKUP(Table11[[#This Row],[Admin2PCODE]], tblPiNAnalysis[Admin2PCODE], INDIRECT("tblPiNAnalysis[" &amp; Table11[[#Headers],[Población]] &amp; "]"), "NOT FOUND", 0, 1)</f>
        <v>25338</v>
      </c>
      <c r="F168" s="8" cm="1">
        <f t="array" aca="1" ref="F168" ca="1">_xlfn.XLOOKUP(Table11[[#This Row],[Admin2PCODE]], tblPiNAnalysis[Admin2PCODE], INDIRECT("tblPiNAnalysis[" &amp; Table11[[#Headers],[SAMV]] &amp; "]"), "NOT FOUND", 0, 1)</f>
        <v>7679</v>
      </c>
      <c r="G168" s="8" cm="1">
        <f t="array" aca="1" ref="G168" ca="1">_xlfn.XLOOKUP(Table11[[#This Row],[Admin2PCODE]], tblPiNAnalysis[Admin2PCODE], INDIRECT("tblPiNAnalysis[" &amp; Table11[[#Headers],[NUT]] &amp; "]"), "NOT FOUND", 0, 1)</f>
        <v>857.33692726325989</v>
      </c>
      <c r="H168" s="8" cm="1">
        <f t="array" aca="1" ref="H168" ca="1">_xlfn.XLOOKUP(Table11[[#This Row],[Admin2PCODE]], tblPiNAnalysis[Admin2PCODE], INDIRECT("tblPiNAnalysis[" &amp; Table11[[#Headers],[SAL]] &amp; "]"), "NOT FOUND", 0, 1)</f>
        <v>9248.3700000000008</v>
      </c>
      <c r="I168" s="8" cm="1">
        <f t="array" aca="1" ref="I168" ca="1">_xlfn.XLOOKUP(Table11[[#This Row],[Admin2PCODE]], tblPiNAnalysis[Admin2PCODE], INDIRECT("tblPiNAnalysis[" &amp; Table11[[#Headers],[EDU]] &amp; "]"), "NOT FOUND", 0, 1)</f>
        <v>1349.8584867288907</v>
      </c>
      <c r="J168" s="8" cm="1">
        <f t="array" aca="1" ref="J168" ca="1">_xlfn.XLOOKUP(Table11[[#This Row],[Admin2PCODE]], tblPiNAnalysis[Admin2PCODE], INDIRECT("tblPiNAnalysis[" &amp; Table11[[#Headers],[PRO]] &amp; "]"), "NOT FOUND", 0, 1)</f>
        <v>2543.0120238647428</v>
      </c>
      <c r="K168" s="8" cm="1">
        <f t="array" aca="1" ref="K168" ca="1">_xlfn.XLOOKUP(Table11[[#This Row],[Admin2PCODE]], tblPiNAnalysis[Admin2PCODE], INDIRECT("tblPiNAnalysis[" &amp; Table11[[#Headers],[ASH]] &amp; "]"), "NOT FOUND", 0, 1)</f>
        <v>0</v>
      </c>
      <c r="L168" s="8" cm="1">
        <f t="array" aca="1" ref="L168" ca="1">_xlfn.XLOOKUP(Table11[[#This Row],[Admin2PCODE]], tblPiNAnalysis[Admin2PCODE], INDIRECT("tblPiNAnalysis[" &amp; Table11[[#Headers],[NNA]] &amp; "]"), "NOT FOUND", 0, 1)</f>
        <v>813.76384763671763</v>
      </c>
      <c r="M168" s="8" cm="1">
        <f t="array" aca="1" ref="M168" ca="1">_xlfn.XLOOKUP(Table11[[#This Row],[Admin2PCODE]], tblPiNAnalysis[Admin2PCODE], INDIRECT("tblPiNAnalysis[" &amp; Table11[[#Headers],[VBG]] &amp; "]"), "NOT FOUND", 0, 1)</f>
        <v>890.05420835265988</v>
      </c>
      <c r="N168" s="8" cm="1">
        <f t="array" aca="1" ref="N168" ca="1">_xlfn.XLOOKUP(Table11[[#This Row],[Admin2PCODE]], tblPiNAnalysis[Admin2PCODE], INDIRECT("tblPiNAnalysis[" &amp; Table11[[#Headers],[PiN más alto]] &amp; "]"), "NOT FOUND", 0, 1)</f>
        <v>9248.3700000000008</v>
      </c>
      <c r="O168" t="str" cm="1">
        <f t="array" aca="1" ref="O168" ca="1">_xlfn.XLOOKUP(Table11[[#This Row],[Admin2PCODE]], tblPiNAnalysis[Admin2PCODE], INDIRECT("tblPiNAnalysis[" &amp; Table11[[#Headers],[Sectores más altos]] &amp; "]"), "NOT FOUND", 0, 1)</f>
        <v>SAL</v>
      </c>
      <c r="P168" cm="1">
        <f t="array" ref="P168">_xlfn.XLOOKUP(Table11[[#This Row],[Admin2PCODE]], tblPiNAnalysis[Admin2PCODE], tblPiNAnalysis[Severidad], "NOT FOUND", 0, 1)</f>
        <v>2</v>
      </c>
      <c r="Q168" s="318">
        <v>0.45454545454545453</v>
      </c>
      <c r="R168" s="318">
        <v>0.33333333333333337</v>
      </c>
      <c r="S168" s="318">
        <v>0.15151515151515152</v>
      </c>
      <c r="T168">
        <v>0</v>
      </c>
      <c r="W168">
        <f>_xlfn.XLOOKUP(Table11[[#This Row],[Admin2PCODE]],tblSeverityAnalysis[Admin 2 Código P],tblSeverityAnalysis[PRO],0,0)</f>
        <v>2</v>
      </c>
      <c r="Y168">
        <v>5</v>
      </c>
      <c r="Z168">
        <v>0</v>
      </c>
      <c r="AA168">
        <f t="shared" si="2"/>
        <v>0</v>
      </c>
    </row>
    <row r="169" spans="1:27">
      <c r="A169" t="s">
        <v>411</v>
      </c>
      <c r="B169" t="s">
        <v>412</v>
      </c>
      <c r="C169" s="42" t="s">
        <v>439</v>
      </c>
      <c r="D169" t="s">
        <v>440</v>
      </c>
      <c r="E169" s="8" cm="1">
        <f t="array" aca="1" ref="E169" ca="1">_xlfn.XLOOKUP(Table11[[#This Row],[Admin2PCODE]], tblPiNAnalysis[Admin2PCODE], INDIRECT("tblPiNAnalysis[" &amp; Table11[[#Headers],[Población]] &amp; "]"), "NOT FOUND", 0, 1)</f>
        <v>3259</v>
      </c>
      <c r="F169" s="8" cm="1">
        <f t="array" aca="1" ref="F169" ca="1">_xlfn.XLOOKUP(Table11[[#This Row],[Admin2PCODE]], tblPiNAnalysis[Admin2PCODE], INDIRECT("tblPiNAnalysis[" &amp; Table11[[#Headers],[SAMV]] &amp; "]"), "NOT FOUND", 0, 1)</f>
        <v>551</v>
      </c>
      <c r="G169" s="8" cm="1">
        <f t="array" aca="1" ref="G169" ca="1">_xlfn.XLOOKUP(Table11[[#This Row],[Admin2PCODE]], tblPiNAnalysis[Admin2PCODE], INDIRECT("tblPiNAnalysis[" &amp; Table11[[#Headers],[NUT]] &amp; "]"), "NOT FOUND", 0, 1)</f>
        <v>101.06160878920954</v>
      </c>
      <c r="H169" s="8" cm="1">
        <f t="array" aca="1" ref="H169" ca="1">_xlfn.XLOOKUP(Table11[[#This Row],[Admin2PCODE]], tblPiNAnalysis[Admin2PCODE], INDIRECT("tblPiNAnalysis[" &amp; Table11[[#Headers],[SAL]] &amp; "]"), "NOT FOUND", 0, 1)</f>
        <v>2550.4</v>
      </c>
      <c r="I169" s="8" cm="1">
        <f t="array" aca="1" ref="I169" ca="1">_xlfn.XLOOKUP(Table11[[#This Row],[Admin2PCODE]], tblPiNAnalysis[Admin2PCODE], INDIRECT("tblPiNAnalysis[" &amp; Table11[[#Headers],[EDU]] &amp; "]"), "NOT FOUND", 0, 1)</f>
        <v>349.47561915041911</v>
      </c>
      <c r="J169" s="8" cm="1">
        <f t="array" aca="1" ref="J169" ca="1">_xlfn.XLOOKUP(Table11[[#This Row],[Admin2PCODE]], tblPiNAnalysis[Admin2PCODE], INDIRECT("tblPiNAnalysis[" &amp; Table11[[#Headers],[PRO]] &amp; "]"), "NOT FOUND", 0, 1)</f>
        <v>327.0848601221565</v>
      </c>
      <c r="K169" s="8" cm="1">
        <f t="array" aca="1" ref="K169" ca="1">_xlfn.XLOOKUP(Table11[[#This Row],[Admin2PCODE]], tblPiNAnalysis[Admin2PCODE], INDIRECT("tblPiNAnalysis[" &amp; Table11[[#Headers],[ASH]] &amp; "]"), "NOT FOUND", 0, 1)</f>
        <v>0</v>
      </c>
      <c r="L169" s="8" cm="1">
        <f t="array" aca="1" ref="L169" ca="1">_xlfn.XLOOKUP(Table11[[#This Row],[Admin2PCODE]], tblPiNAnalysis[Admin2PCODE], INDIRECT("tblPiNAnalysis[" &amp; Table11[[#Headers],[NNA]] &amp; "]"), "NOT FOUND", 0, 1)</f>
        <v>104.99424009921225</v>
      </c>
      <c r="M169" s="8" cm="1">
        <f t="array" aca="1" ref="M169" ca="1">_xlfn.XLOOKUP(Table11[[#This Row],[Admin2PCODE]], tblPiNAnalysis[Admin2PCODE], INDIRECT("tblPiNAnalysis[" &amp; Table11[[#Headers],[VBG]] &amp; "]"), "NOT FOUND", 0, 1)</f>
        <v>114.47970104275477</v>
      </c>
      <c r="N169" s="8" cm="1">
        <f t="array" aca="1" ref="N169" ca="1">_xlfn.XLOOKUP(Table11[[#This Row],[Admin2PCODE]], tblPiNAnalysis[Admin2PCODE], INDIRECT("tblPiNAnalysis[" &amp; Table11[[#Headers],[PiN más alto]] &amp; "]"), "NOT FOUND", 0, 1)</f>
        <v>2550.4</v>
      </c>
      <c r="O169" t="str" cm="1">
        <f t="array" aca="1" ref="O169" ca="1">_xlfn.XLOOKUP(Table11[[#This Row],[Admin2PCODE]], tblPiNAnalysis[Admin2PCODE], INDIRECT("tblPiNAnalysis[" &amp; Table11[[#Headers],[Sectores más altos]] &amp; "]"), "NOT FOUND", 0, 1)</f>
        <v>SAL</v>
      </c>
      <c r="P169" cm="1">
        <f t="array" ref="P169">_xlfn.XLOOKUP(Table11[[#This Row],[Admin2PCODE]], tblPiNAnalysis[Admin2PCODE], tblPiNAnalysis[Severidad], "NOT FOUND", 0, 1)</f>
        <v>2</v>
      </c>
      <c r="Q169" s="318" t="e">
        <v>#N/A</v>
      </c>
      <c r="R169" s="318" t="e">
        <v>#N/A</v>
      </c>
      <c r="S169" s="318" t="e">
        <v>#N/A</v>
      </c>
      <c r="T169">
        <v>0</v>
      </c>
      <c r="W169">
        <f>_xlfn.XLOOKUP(Table11[[#This Row],[Admin2PCODE]],tblSeverityAnalysis[Admin 2 Código P],tblSeverityAnalysis[PRO],0,0)</f>
        <v>2</v>
      </c>
      <c r="Y169">
        <v>0</v>
      </c>
      <c r="Z169">
        <v>0</v>
      </c>
      <c r="AA169">
        <f t="shared" si="2"/>
        <v>0</v>
      </c>
    </row>
    <row r="170" spans="1:27">
      <c r="A170" t="s">
        <v>411</v>
      </c>
      <c r="B170" t="s">
        <v>412</v>
      </c>
      <c r="C170" s="42" t="s">
        <v>441</v>
      </c>
      <c r="D170" t="s">
        <v>442</v>
      </c>
      <c r="E170" s="8" cm="1">
        <f t="array" aca="1" ref="E170" ca="1">_xlfn.XLOOKUP(Table11[[#This Row],[Admin2PCODE]], tblPiNAnalysis[Admin2PCODE], INDIRECT("tblPiNAnalysis[" &amp; Table11[[#Headers],[Población]] &amp; "]"), "NOT FOUND", 0, 1)</f>
        <v>10959</v>
      </c>
      <c r="F170" s="8" cm="1">
        <f t="array" aca="1" ref="F170" ca="1">_xlfn.XLOOKUP(Table11[[#This Row],[Admin2PCODE]], tblPiNAnalysis[Admin2PCODE], INDIRECT("tblPiNAnalysis[" &amp; Table11[[#Headers],[SAMV]] &amp; "]"), "NOT FOUND", 0, 1)</f>
        <v>731</v>
      </c>
      <c r="G170" s="8" cm="1">
        <f t="array" aca="1" ref="G170" ca="1">_xlfn.XLOOKUP(Table11[[#This Row],[Admin2PCODE]], tblPiNAnalysis[Admin2PCODE], INDIRECT("tblPiNAnalysis[" &amp; Table11[[#Headers],[NUT]] &amp; "]"), "NOT FOUND", 0, 1)</f>
        <v>361.92584057595525</v>
      </c>
      <c r="H170" s="8" cm="1">
        <f t="array" aca="1" ref="H170" ca="1">_xlfn.XLOOKUP(Table11[[#This Row],[Admin2PCODE]], tblPiNAnalysis[Admin2PCODE], INDIRECT("tblPiNAnalysis[" &amp; Table11[[#Headers],[SAL]] &amp; "]"), "NOT FOUND", 0, 1)</f>
        <v>4900</v>
      </c>
      <c r="I170" s="8" cm="1">
        <f t="array" aca="1" ref="I170" ca="1">_xlfn.XLOOKUP(Table11[[#This Row],[Admin2PCODE]], tblPiNAnalysis[Admin2PCODE], INDIRECT("tblPiNAnalysis[" &amp; Table11[[#Headers],[EDU]] &amp; "]"), "NOT FOUND", 0, 1)</f>
        <v>568.89259314690139</v>
      </c>
      <c r="J170" s="8" cm="1">
        <f t="array" aca="1" ref="J170" ca="1">_xlfn.XLOOKUP(Table11[[#This Row],[Admin2PCODE]], tblPiNAnalysis[Admin2PCODE], INDIRECT("tblPiNAnalysis[" &amp; Table11[[#Headers],[PRO]] &amp; "]"), "NOT FOUND", 0, 1)</f>
        <v>1099.884314844649</v>
      </c>
      <c r="K170" s="8" cm="1">
        <f t="array" aca="1" ref="K170" ca="1">_xlfn.XLOOKUP(Table11[[#This Row],[Admin2PCODE]], tblPiNAnalysis[Admin2PCODE], INDIRECT("tblPiNAnalysis[" &amp; Table11[[#Headers],[ASH]] &amp; "]"), "NOT FOUND", 0, 1)</f>
        <v>0</v>
      </c>
      <c r="L170" s="8" cm="1">
        <f t="array" aca="1" ref="L170" ca="1">_xlfn.XLOOKUP(Table11[[#This Row],[Admin2PCODE]], tblPiNAnalysis[Admin2PCODE], INDIRECT("tblPiNAnalysis[" &amp; Table11[[#Headers],[NNA]] &amp; "]"), "NOT FOUND", 0, 1)</f>
        <v>351.96298075028767</v>
      </c>
      <c r="M170" s="8" cm="1">
        <f t="array" aca="1" ref="M170" ca="1">_xlfn.XLOOKUP(Table11[[#This Row],[Admin2PCODE]], tblPiNAnalysis[Admin2PCODE], INDIRECT("tblPiNAnalysis[" &amp; Table11[[#Headers],[VBG]] &amp; "]"), "NOT FOUND", 0, 1)</f>
        <v>384.9595101956271</v>
      </c>
      <c r="N170" s="8" cm="1">
        <f t="array" aca="1" ref="N170" ca="1">_xlfn.XLOOKUP(Table11[[#This Row],[Admin2PCODE]], tblPiNAnalysis[Admin2PCODE], INDIRECT("tblPiNAnalysis[" &amp; Table11[[#Headers],[PiN más alto]] &amp; "]"), "NOT FOUND", 0, 1)</f>
        <v>4900</v>
      </c>
      <c r="O170" t="str" cm="1">
        <f t="array" aca="1" ref="O170" ca="1">_xlfn.XLOOKUP(Table11[[#This Row],[Admin2PCODE]], tblPiNAnalysis[Admin2PCODE], INDIRECT("tblPiNAnalysis[" &amp; Table11[[#Headers],[Sectores más altos]] &amp; "]"), "NOT FOUND", 0, 1)</f>
        <v>SAL</v>
      </c>
      <c r="P170" cm="1">
        <f t="array" ref="P170">_xlfn.XLOOKUP(Table11[[#This Row],[Admin2PCODE]], tblPiNAnalysis[Admin2PCODE], tblPiNAnalysis[Severidad], "NOT FOUND", 0, 1)</f>
        <v>2</v>
      </c>
      <c r="Q170" s="318"/>
      <c r="R170" s="318"/>
      <c r="S170" s="318"/>
      <c r="T170">
        <v>0</v>
      </c>
      <c r="W170">
        <f>_xlfn.XLOOKUP(Table11[[#This Row],[Admin2PCODE]],tblSeverityAnalysis[Admin 2 Código P],tblSeverityAnalysis[PRO],0,0)</f>
        <v>2</v>
      </c>
      <c r="Y170">
        <v>7</v>
      </c>
      <c r="Z170">
        <v>0</v>
      </c>
      <c r="AA170">
        <f t="shared" si="2"/>
        <v>0</v>
      </c>
    </row>
    <row r="171" spans="1:27">
      <c r="A171" t="s">
        <v>411</v>
      </c>
      <c r="B171" t="s">
        <v>412</v>
      </c>
      <c r="C171" s="42" t="s">
        <v>443</v>
      </c>
      <c r="D171" t="s">
        <v>444</v>
      </c>
      <c r="E171" s="8" cm="1">
        <f t="array" aca="1" ref="E171" ca="1">_xlfn.XLOOKUP(Table11[[#This Row],[Admin2PCODE]], tblPiNAnalysis[Admin2PCODE], INDIRECT("tblPiNAnalysis[" &amp; Table11[[#Headers],[Población]] &amp; "]"), "NOT FOUND", 0, 1)</f>
        <v>19441</v>
      </c>
      <c r="F171" s="8" cm="1">
        <f t="array" aca="1" ref="F171" ca="1">_xlfn.XLOOKUP(Table11[[#This Row],[Admin2PCODE]], tblPiNAnalysis[Admin2PCODE], INDIRECT("tblPiNAnalysis[" &amp; Table11[[#Headers],[SAMV]] &amp; "]"), "NOT FOUND", 0, 1)</f>
        <v>1215</v>
      </c>
      <c r="G171" s="8" cm="1">
        <f t="array" aca="1" ref="G171" ca="1">_xlfn.XLOOKUP(Table11[[#This Row],[Admin2PCODE]], tblPiNAnalysis[Admin2PCODE], INDIRECT("tblPiNAnalysis[" &amp; Table11[[#Headers],[NUT]] &amp; "]"), "NOT FOUND", 0, 1)</f>
        <v>618.26089629892681</v>
      </c>
      <c r="H171" s="8" cm="1">
        <f t="array" aca="1" ref="H171" ca="1">_xlfn.XLOOKUP(Table11[[#This Row],[Admin2PCODE]], tblPiNAnalysis[Admin2PCODE], INDIRECT("tblPiNAnalysis[" &amp; Table11[[#Headers],[SAL]] &amp; "]"), "NOT FOUND", 0, 1)</f>
        <v>14000</v>
      </c>
      <c r="I171" s="8" cm="1">
        <f t="array" aca="1" ref="I171" ca="1">_xlfn.XLOOKUP(Table11[[#This Row],[Admin2PCODE]], tblPiNAnalysis[Admin2PCODE], INDIRECT("tblPiNAnalysis[" &amp; Table11[[#Headers],[EDU]] &amp; "]"), "NOT FOUND", 0, 1)</f>
        <v>1588.824253037423</v>
      </c>
      <c r="J171" s="8" cm="1">
        <f t="array" aca="1" ref="J171" ca="1">_xlfn.XLOOKUP(Table11[[#This Row],[Admin2PCODE]], tblPiNAnalysis[Admin2PCODE], INDIRECT("tblPiNAnalysis[" &amp; Table11[[#Headers],[PRO]] &amp; "]"), "NOT FOUND", 0, 1)</f>
        <v>3251.9467963766192</v>
      </c>
      <c r="K171" s="8" cm="1">
        <f t="array" aca="1" ref="K171" ca="1">_xlfn.XLOOKUP(Table11[[#This Row],[Admin2PCODE]], tblPiNAnalysis[Admin2PCODE], INDIRECT("tblPiNAnalysis[" &amp; Table11[[#Headers],[ASH]] &amp; "]"), "NOT FOUND", 0, 1)</f>
        <v>1312.2675000000002</v>
      </c>
      <c r="L171" s="8" cm="1">
        <f t="array" aca="1" ref="L171" ca="1">_xlfn.XLOOKUP(Table11[[#This Row],[Admin2PCODE]], tblPiNAnalysis[Admin2PCODE], INDIRECT("tblPiNAnalysis[" &amp; Table11[[#Headers],[NNA]] &amp; "]"), "NOT FOUND", 0, 1)</f>
        <v>1040.6229748405181</v>
      </c>
      <c r="M171" s="8" cm="1">
        <f t="array" aca="1" ref="M171" ca="1">_xlfn.XLOOKUP(Table11[[#This Row],[Admin2PCODE]], tblPiNAnalysis[Admin2PCODE], INDIRECT("tblPiNAnalysis[" &amp; Table11[[#Headers],[VBG]] &amp; "]"), "NOT FOUND", 0, 1)</f>
        <v>1138.1813787318165</v>
      </c>
      <c r="N171" s="8" cm="1">
        <f t="array" aca="1" ref="N171" ca="1">_xlfn.XLOOKUP(Table11[[#This Row],[Admin2PCODE]], tblPiNAnalysis[Admin2PCODE], INDIRECT("tblPiNAnalysis[" &amp; Table11[[#Headers],[PiN más alto]] &amp; "]"), "NOT FOUND", 0, 1)</f>
        <v>14000</v>
      </c>
      <c r="O171" t="str" cm="1">
        <f t="array" aca="1" ref="O171" ca="1">_xlfn.XLOOKUP(Table11[[#This Row],[Admin2PCODE]], tblPiNAnalysis[Admin2PCODE], INDIRECT("tblPiNAnalysis[" &amp; Table11[[#Headers],[Sectores más altos]] &amp; "]"), "NOT FOUND", 0, 1)</f>
        <v>SAL</v>
      </c>
      <c r="P171" cm="1">
        <f t="array" ref="P171">_xlfn.XLOOKUP(Table11[[#This Row],[Admin2PCODE]], tblPiNAnalysis[Admin2PCODE], tblPiNAnalysis[Severidad], "NOT FOUND", 0, 1)</f>
        <v>3</v>
      </c>
      <c r="Q171" s="318"/>
      <c r="R171" s="318"/>
      <c r="S171" s="318"/>
      <c r="T171">
        <v>0</v>
      </c>
      <c r="W171">
        <f>_xlfn.XLOOKUP(Table11[[#This Row],[Admin2PCODE]],tblSeverityAnalysis[Admin 2 Código P],tblSeverityAnalysis[PRO],0,0)</f>
        <v>3</v>
      </c>
      <c r="Y171">
        <v>0</v>
      </c>
      <c r="Z171">
        <v>0</v>
      </c>
      <c r="AA171">
        <f t="shared" si="2"/>
        <v>0</v>
      </c>
    </row>
    <row r="172" spans="1:27">
      <c r="A172" t="s">
        <v>411</v>
      </c>
      <c r="B172" t="s">
        <v>412</v>
      </c>
      <c r="C172" s="42" t="s">
        <v>445</v>
      </c>
      <c r="D172" t="s">
        <v>446</v>
      </c>
      <c r="E172" s="8" cm="1">
        <f t="array" aca="1" ref="E172" ca="1">_xlfn.XLOOKUP(Table11[[#This Row],[Admin2PCODE]], tblPiNAnalysis[Admin2PCODE], INDIRECT("tblPiNAnalysis[" &amp; Table11[[#Headers],[Población]] &amp; "]"), "NOT FOUND", 0, 1)</f>
        <v>20581</v>
      </c>
      <c r="F172" s="8" cm="1">
        <f t="array" aca="1" ref="F172" ca="1">_xlfn.XLOOKUP(Table11[[#This Row],[Admin2PCODE]], tblPiNAnalysis[Admin2PCODE], INDIRECT("tblPiNAnalysis[" &amp; Table11[[#Headers],[SAMV]] &amp; "]"), "NOT FOUND", 0, 1)</f>
        <v>5038</v>
      </c>
      <c r="G172" s="8" cm="1">
        <f t="array" aca="1" ref="G172" ca="1">_xlfn.XLOOKUP(Table11[[#This Row],[Admin2PCODE]], tblPiNAnalysis[Admin2PCODE], INDIRECT("tblPiNAnalysis[" &amp; Table11[[#Headers],[NUT]] &amp; "]"), "NOT FOUND", 0, 1)</f>
        <v>601.39446715371628</v>
      </c>
      <c r="H172" s="8" cm="1">
        <f t="array" aca="1" ref="H172" ca="1">_xlfn.XLOOKUP(Table11[[#This Row],[Admin2PCODE]], tblPiNAnalysis[Admin2PCODE], INDIRECT("tblPiNAnalysis[" &amp; Table11[[#Headers],[SAL]] &amp; "]"), "NOT FOUND", 0, 1)</f>
        <v>7512.0649999999996</v>
      </c>
      <c r="I172" s="8" cm="1">
        <f t="array" aca="1" ref="I172" ca="1">_xlfn.XLOOKUP(Table11[[#This Row],[Admin2PCODE]], tblPiNAnalysis[Admin2PCODE], INDIRECT("tblPiNAnalysis[" &amp; Table11[[#Headers],[EDU]] &amp; "]"), "NOT FOUND", 0, 1)</f>
        <v>2287.1514982759304</v>
      </c>
      <c r="J172" s="8" cm="1">
        <f t="array" aca="1" ref="J172" ca="1">_xlfn.XLOOKUP(Table11[[#This Row],[Admin2PCODE]], tblPiNAnalysis[Admin2PCODE], INDIRECT("tblPiNAnalysis[" &amp; Table11[[#Headers],[PRO]] &amp; "]"), "NOT FOUND", 0, 1)</f>
        <v>3442.6375709185327</v>
      </c>
      <c r="K172" s="8" cm="1">
        <f t="array" aca="1" ref="K172" ca="1">_xlfn.XLOOKUP(Table11[[#This Row],[Admin2PCODE]], tblPiNAnalysis[Admin2PCODE], INDIRECT("tblPiNAnalysis[" &amp; Table11[[#Headers],[ASH]] &amp; "]"), "NOT FOUND", 0, 1)</f>
        <v>1389.2175</v>
      </c>
      <c r="L172" s="8" cm="1">
        <f t="array" aca="1" ref="L172" ca="1">_xlfn.XLOOKUP(Table11[[#This Row],[Admin2PCODE]], tblPiNAnalysis[Admin2PCODE], INDIRECT("tblPiNAnalysis[" &amp; Table11[[#Headers],[NNA]] &amp; "]"), "NOT FOUND", 0, 1)</f>
        <v>1105.0866602648489</v>
      </c>
      <c r="M172" s="8" cm="1">
        <f t="array" aca="1" ref="M172" ca="1">_xlfn.XLOOKUP(Table11[[#This Row],[Admin2PCODE]], tblPiNAnalysis[Admin2PCODE], INDIRECT("tblPiNAnalysis[" &amp; Table11[[#Headers],[VBG]] &amp; "]"), "NOT FOUND", 0, 1)</f>
        <v>1204.9231498214863</v>
      </c>
      <c r="N172" s="8" cm="1">
        <f t="array" aca="1" ref="N172" ca="1">_xlfn.XLOOKUP(Table11[[#This Row],[Admin2PCODE]], tblPiNAnalysis[Admin2PCODE], INDIRECT("tblPiNAnalysis[" &amp; Table11[[#Headers],[PiN más alto]] &amp; "]"), "NOT FOUND", 0, 1)</f>
        <v>7512.0649999999996</v>
      </c>
      <c r="O172" t="str" cm="1">
        <f t="array" aca="1" ref="O172" ca="1">_xlfn.XLOOKUP(Table11[[#This Row],[Admin2PCODE]], tblPiNAnalysis[Admin2PCODE], INDIRECT("tblPiNAnalysis[" &amp; Table11[[#Headers],[Sectores más altos]] &amp; "]"), "NOT FOUND", 0, 1)</f>
        <v>SAL</v>
      </c>
      <c r="P172" cm="1">
        <f t="array" ref="P172">_xlfn.XLOOKUP(Table11[[#This Row],[Admin2PCODE]], tblPiNAnalysis[Admin2PCODE], tblPiNAnalysis[Severidad], "NOT FOUND", 0, 1)</f>
        <v>3</v>
      </c>
      <c r="Q172" s="318">
        <v>0.40217391304347827</v>
      </c>
      <c r="R172" s="318">
        <v>0.39189189189189194</v>
      </c>
      <c r="S172" s="318">
        <v>0.15760869565217395</v>
      </c>
      <c r="T172">
        <v>0</v>
      </c>
      <c r="W172">
        <f>_xlfn.XLOOKUP(Table11[[#This Row],[Admin2PCODE]],tblSeverityAnalysis[Admin 2 Código P],tblSeverityAnalysis[PRO],0,0)</f>
        <v>3</v>
      </c>
      <c r="Y172">
        <v>0</v>
      </c>
      <c r="Z172">
        <v>0</v>
      </c>
      <c r="AA172">
        <f t="shared" si="2"/>
        <v>0</v>
      </c>
    </row>
    <row r="173" spans="1:27">
      <c r="A173" t="s">
        <v>411</v>
      </c>
      <c r="B173" t="s">
        <v>412</v>
      </c>
      <c r="C173" s="42" t="s">
        <v>447</v>
      </c>
      <c r="D173" t="s">
        <v>448</v>
      </c>
      <c r="E173" s="8" cm="1">
        <f t="array" aca="1" ref="E173" ca="1">_xlfn.XLOOKUP(Table11[[#This Row],[Admin2PCODE]], tblPiNAnalysis[Admin2PCODE], INDIRECT("tblPiNAnalysis[" &amp; Table11[[#Headers],[Población]] &amp; "]"), "NOT FOUND", 0, 1)</f>
        <v>18439</v>
      </c>
      <c r="F173" s="8" cm="1">
        <f t="array" aca="1" ref="F173" ca="1">_xlfn.XLOOKUP(Table11[[#This Row],[Admin2PCODE]], tblPiNAnalysis[Admin2PCODE], INDIRECT("tblPiNAnalysis[" &amp; Table11[[#Headers],[SAMV]] &amp; "]"), "NOT FOUND", 0, 1)</f>
        <v>307</v>
      </c>
      <c r="G173" s="8" cm="1">
        <f t="array" aca="1" ref="G173" ca="1">_xlfn.XLOOKUP(Table11[[#This Row],[Admin2PCODE]], tblPiNAnalysis[Admin2PCODE], INDIRECT("tblPiNAnalysis[" &amp; Table11[[#Headers],[NUT]] &amp; "]"), "NOT FOUND", 0, 1)</f>
        <v>442.62210821644396</v>
      </c>
      <c r="H173" s="8" cm="1">
        <f t="array" aca="1" ref="H173" ca="1">_xlfn.XLOOKUP(Table11[[#This Row],[Admin2PCODE]], tblPiNAnalysis[Admin2PCODE], INDIRECT("tblPiNAnalysis[" &amp; Table11[[#Headers],[SAL]] &amp; "]"), "NOT FOUND", 0, 1)</f>
        <v>7700</v>
      </c>
      <c r="I173" s="8" cm="1">
        <f t="array" aca="1" ref="I173" ca="1">_xlfn.XLOOKUP(Table11[[#This Row],[Admin2PCODE]], tblPiNAnalysis[Admin2PCODE], INDIRECT("tblPiNAnalysis[" &amp; Table11[[#Headers],[EDU]] &amp; "]"), "NOT FOUND", 0, 1)</f>
        <v>2817.5361394400416</v>
      </c>
      <c r="J173" s="8" cm="1">
        <f t="array" aca="1" ref="J173" ca="1">_xlfn.XLOOKUP(Table11[[#This Row],[Admin2PCODE]], tblPiNAnalysis[Admin2PCODE], INDIRECT("tblPiNAnalysis[" &amp; Table11[[#Headers],[PRO]] &amp; "]"), "NOT FOUND", 0, 1)</f>
        <v>1850.6037851464991</v>
      </c>
      <c r="K173" s="8" cm="1">
        <f t="array" aca="1" ref="K173" ca="1">_xlfn.XLOOKUP(Table11[[#This Row],[Admin2PCODE]], tblPiNAnalysis[Admin2PCODE], INDIRECT("tblPiNAnalysis[" &amp; Table11[[#Headers],[ASH]] &amp; "]"), "NOT FOUND", 0, 1)</f>
        <v>0</v>
      </c>
      <c r="L173" s="8" cm="1">
        <f t="array" aca="1" ref="L173" ca="1">_xlfn.XLOOKUP(Table11[[#This Row],[Admin2PCODE]], tblPiNAnalysis[Admin2PCODE], INDIRECT("tblPiNAnalysis[" &amp; Table11[[#Headers],[NNA]] &amp; "]"), "NOT FOUND", 0, 1)</f>
        <v>592.19321124687974</v>
      </c>
      <c r="M173" s="8" cm="1">
        <f t="array" aca="1" ref="M173" ca="1">_xlfn.XLOOKUP(Table11[[#This Row],[Admin2PCODE]], tblPiNAnalysis[Admin2PCODE], INDIRECT("tblPiNAnalysis[" &amp; Table11[[#Headers],[VBG]] &amp; "]"), "NOT FOUND", 0, 1)</f>
        <v>647.71132480127471</v>
      </c>
      <c r="N173" s="8" cm="1">
        <f t="array" aca="1" ref="N173" ca="1">_xlfn.XLOOKUP(Table11[[#This Row],[Admin2PCODE]], tblPiNAnalysis[Admin2PCODE], INDIRECT("tblPiNAnalysis[" &amp; Table11[[#Headers],[PiN más alto]] &amp; "]"), "NOT FOUND", 0, 1)</f>
        <v>7700</v>
      </c>
      <c r="O173" t="str" cm="1">
        <f t="array" aca="1" ref="O173" ca="1">_xlfn.XLOOKUP(Table11[[#This Row],[Admin2PCODE]], tblPiNAnalysis[Admin2PCODE], INDIRECT("tblPiNAnalysis[" &amp; Table11[[#Headers],[Sectores más altos]] &amp; "]"), "NOT FOUND", 0, 1)</f>
        <v>SAL</v>
      </c>
      <c r="P173" cm="1">
        <f t="array" ref="P173">_xlfn.XLOOKUP(Table11[[#This Row],[Admin2PCODE]], tblPiNAnalysis[Admin2PCODE], tblPiNAnalysis[Severidad], "NOT FOUND", 0, 1)</f>
        <v>2</v>
      </c>
      <c r="Q173" s="318">
        <v>0.27586206896551724</v>
      </c>
      <c r="R173" s="318">
        <v>0.33333333333333331</v>
      </c>
      <c r="S173" s="318">
        <v>9.1954022988505746E-2</v>
      </c>
      <c r="T173">
        <v>0</v>
      </c>
      <c r="W173">
        <f>_xlfn.XLOOKUP(Table11[[#This Row],[Admin2PCODE]],tblSeverityAnalysis[Admin 2 Código P],tblSeverityAnalysis[PRO],0,0)</f>
        <v>2</v>
      </c>
      <c r="Y173">
        <v>0</v>
      </c>
      <c r="Z173">
        <v>0</v>
      </c>
      <c r="AA173">
        <f t="shared" si="2"/>
        <v>0</v>
      </c>
    </row>
    <row r="174" spans="1:27">
      <c r="A174" t="s">
        <v>411</v>
      </c>
      <c r="B174" t="s">
        <v>412</v>
      </c>
      <c r="C174" s="42" t="s">
        <v>203</v>
      </c>
      <c r="D174" t="s">
        <v>449</v>
      </c>
      <c r="E174" s="8" cm="1">
        <f t="array" aca="1" ref="E174" ca="1">_xlfn.XLOOKUP(Table11[[#This Row],[Admin2PCODE]], tblPiNAnalysis[Admin2PCODE], INDIRECT("tblPiNAnalysis[" &amp; Table11[[#Headers],[Población]] &amp; "]"), "NOT FOUND", 0, 1)</f>
        <v>57096</v>
      </c>
      <c r="F174" s="8" cm="1">
        <f t="array" aca="1" ref="F174" ca="1">_xlfn.XLOOKUP(Table11[[#This Row],[Admin2PCODE]], tblPiNAnalysis[Admin2PCODE], INDIRECT("tblPiNAnalysis[" &amp; Table11[[#Headers],[SAMV]] &amp; "]"), "NOT FOUND", 0, 1)</f>
        <v>4964</v>
      </c>
      <c r="G174" s="8" cm="1">
        <f t="array" aca="1" ref="G174" ca="1">_xlfn.XLOOKUP(Table11[[#This Row],[Admin2PCODE]], tblPiNAnalysis[Admin2PCODE], INDIRECT("tblPiNAnalysis[" &amp; Table11[[#Headers],[NUT]] &amp; "]"), "NOT FOUND", 0, 1)</f>
        <v>1808.2568163481376</v>
      </c>
      <c r="H174" s="8" cm="1">
        <f t="array" aca="1" ref="H174" ca="1">_xlfn.XLOOKUP(Table11[[#This Row],[Admin2PCODE]], tblPiNAnalysis[Admin2PCODE], INDIRECT("tblPiNAnalysis[" &amp; Table11[[#Headers],[SAL]] &amp; "]"), "NOT FOUND", 0, 1)</f>
        <v>20840.04</v>
      </c>
      <c r="I174" s="8" cm="1">
        <f t="array" aca="1" ref="I174" ca="1">_xlfn.XLOOKUP(Table11[[#This Row],[Admin2PCODE]], tblPiNAnalysis[Admin2PCODE], INDIRECT("tblPiNAnalysis[" &amp; Table11[[#Headers],[EDU]] &amp; "]"), "NOT FOUND", 0, 1)</f>
        <v>6752.5322016719847</v>
      </c>
      <c r="J174" s="8" cm="1">
        <f t="array" aca="1" ref="J174" ca="1">_xlfn.XLOOKUP(Table11[[#This Row],[Admin2PCODE]], tblPiNAnalysis[Admin2PCODE], INDIRECT("tblPiNAnalysis[" &amp; Table11[[#Headers],[PRO]] &amp; "]"), "NOT FOUND", 0, 1)</f>
        <v>9550.5968975834294</v>
      </c>
      <c r="K174" s="8" cm="1">
        <f t="array" aca="1" ref="K174" ca="1">_xlfn.XLOOKUP(Table11[[#This Row],[Admin2PCODE]], tblPiNAnalysis[Admin2PCODE], INDIRECT("tblPiNAnalysis[" &amp; Table11[[#Headers],[ASH]] &amp; "]"), "NOT FOUND", 0, 1)</f>
        <v>0</v>
      </c>
      <c r="L174" s="8" cm="1">
        <f t="array" aca="1" ref="L174" ca="1">_xlfn.XLOOKUP(Table11[[#This Row],[Admin2PCODE]], tblPiNAnalysis[Admin2PCODE], INDIRECT("tblPiNAnalysis[" &amp; Table11[[#Headers],[NNA]] &amp; "]"), "NOT FOUND", 0, 1)</f>
        <v>3056.1910072266974</v>
      </c>
      <c r="M174" s="8" cm="1">
        <f t="array" aca="1" ref="M174" ca="1">_xlfn.XLOOKUP(Table11[[#This Row],[Admin2PCODE]], tblPiNAnalysis[Admin2PCODE], INDIRECT("tblPiNAnalysis[" &amp; Table11[[#Headers],[VBG]] &amp; "]"), "NOT FOUND", 0, 1)</f>
        <v>3342.7089141542001</v>
      </c>
      <c r="N174" s="8" cm="1">
        <f t="array" aca="1" ref="N174" ca="1">_xlfn.XLOOKUP(Table11[[#This Row],[Admin2PCODE]], tblPiNAnalysis[Admin2PCODE], INDIRECT("tblPiNAnalysis[" &amp; Table11[[#Headers],[PiN más alto]] &amp; "]"), "NOT FOUND", 0, 1)</f>
        <v>20840.04</v>
      </c>
      <c r="O174" t="str" cm="1">
        <f t="array" aca="1" ref="O174" ca="1">_xlfn.XLOOKUP(Table11[[#This Row],[Admin2PCODE]], tblPiNAnalysis[Admin2PCODE], INDIRECT("tblPiNAnalysis[" &amp; Table11[[#Headers],[Sectores más altos]] &amp; "]"), "NOT FOUND", 0, 1)</f>
        <v>SAL</v>
      </c>
      <c r="P174" cm="1">
        <f t="array" ref="P174">_xlfn.XLOOKUP(Table11[[#This Row],[Admin2PCODE]], tblPiNAnalysis[Admin2PCODE], tblPiNAnalysis[Severidad], "NOT FOUND", 0, 1)</f>
        <v>3</v>
      </c>
      <c r="Q174" s="318">
        <v>4.6153846153846156E-2</v>
      </c>
      <c r="R174" s="318">
        <v>0.33333333333333331</v>
      </c>
      <c r="S174" s="318">
        <v>1.5384615384615385E-2</v>
      </c>
      <c r="T174">
        <v>0</v>
      </c>
      <c r="W174">
        <f>_xlfn.XLOOKUP(Table11[[#This Row],[Admin2PCODE]],tblSeverityAnalysis[Admin 2 Código P],tblSeverityAnalysis[PRO],0,0)</f>
        <v>3</v>
      </c>
      <c r="Y174">
        <v>0</v>
      </c>
      <c r="Z174">
        <v>0</v>
      </c>
      <c r="AA174">
        <f t="shared" si="2"/>
        <v>0</v>
      </c>
    </row>
    <row r="175" spans="1:27">
      <c r="A175" t="s">
        <v>411</v>
      </c>
      <c r="B175" t="s">
        <v>412</v>
      </c>
      <c r="C175" s="42" t="s">
        <v>205</v>
      </c>
      <c r="D175" t="s">
        <v>450</v>
      </c>
      <c r="E175" s="8" cm="1">
        <f t="array" aca="1" ref="E175" ca="1">_xlfn.XLOOKUP(Table11[[#This Row],[Admin2PCODE]], tblPiNAnalysis[Admin2PCODE], INDIRECT("tblPiNAnalysis[" &amp; Table11[[#Headers],[Población]] &amp; "]"), "NOT FOUND", 0, 1)</f>
        <v>39330</v>
      </c>
      <c r="F175" s="8" cm="1">
        <f t="array" aca="1" ref="F175" ca="1">_xlfn.XLOOKUP(Table11[[#This Row],[Admin2PCODE]], tblPiNAnalysis[Admin2PCODE], INDIRECT("tblPiNAnalysis[" &amp; Table11[[#Headers],[SAMV]] &amp; "]"), "NOT FOUND", 0, 1)</f>
        <v>11018</v>
      </c>
      <c r="G175" s="8" cm="1">
        <f t="array" aca="1" ref="G175" ca="1">_xlfn.XLOOKUP(Table11[[#This Row],[Admin2PCODE]], tblPiNAnalysis[Admin2PCODE], INDIRECT("tblPiNAnalysis[" &amp; Table11[[#Headers],[NUT]] &amp; "]"), "NOT FOUND", 0, 1)</f>
        <v>1286.4335878708293</v>
      </c>
      <c r="H175" s="8" cm="1">
        <f t="array" aca="1" ref="H175" ca="1">_xlfn.XLOOKUP(Table11[[#This Row],[Admin2PCODE]], tblPiNAnalysis[Admin2PCODE], INDIRECT("tblPiNAnalysis[" &amp; Table11[[#Headers],[SAL]] &amp; "]"), "NOT FOUND", 0, 1)</f>
        <v>14355.45</v>
      </c>
      <c r="I175" s="8" cm="1">
        <f t="array" aca="1" ref="I175" ca="1">_xlfn.XLOOKUP(Table11[[#This Row],[Admin2PCODE]], tblPiNAnalysis[Admin2PCODE], INDIRECT("tblPiNAnalysis[" &amp; Table11[[#Headers],[EDU]] &amp; "]"), "NOT FOUND", 0, 1)</f>
        <v>4434.8305882454169</v>
      </c>
      <c r="J175" s="8" cm="1">
        <f t="array" aca="1" ref="J175" ca="1">_xlfn.XLOOKUP(Table11[[#This Row],[Admin2PCODE]], tblPiNAnalysis[Admin2PCODE], INDIRECT("tblPiNAnalysis[" &amp; Table11[[#Headers],[PRO]] &amp; "]"), "NOT FOUND", 0, 1)</f>
        <v>6578.8317216960249</v>
      </c>
      <c r="K175" s="8" cm="1">
        <f t="array" aca="1" ref="K175" ca="1">_xlfn.XLOOKUP(Table11[[#This Row],[Admin2PCODE]], tblPiNAnalysis[Admin2PCODE], INDIRECT("tblPiNAnalysis[" &amp; Table11[[#Headers],[ASH]] &amp; "]"), "NOT FOUND", 0, 1)</f>
        <v>0</v>
      </c>
      <c r="L175" s="8" cm="1">
        <f t="array" aca="1" ref="L175" ca="1">_xlfn.XLOOKUP(Table11[[#This Row],[Admin2PCODE]], tblPiNAnalysis[Admin2PCODE], INDIRECT("tblPiNAnalysis[" &amp; Table11[[#Headers],[NNA]] &amp; "]"), "NOT FOUND", 0, 1)</f>
        <v>2105.2261509427281</v>
      </c>
      <c r="M175" s="8" cm="1">
        <f t="array" aca="1" ref="M175" ca="1">_xlfn.XLOOKUP(Table11[[#This Row],[Admin2PCODE]], tblPiNAnalysis[Admin2PCODE], INDIRECT("tblPiNAnalysis[" &amp; Table11[[#Headers],[VBG]] &amp; "]"), "NOT FOUND", 0, 1)</f>
        <v>2302.5911025936089</v>
      </c>
      <c r="N175" s="8" cm="1">
        <f t="array" aca="1" ref="N175" ca="1">_xlfn.XLOOKUP(Table11[[#This Row],[Admin2PCODE]], tblPiNAnalysis[Admin2PCODE], INDIRECT("tblPiNAnalysis[" &amp; Table11[[#Headers],[PiN más alto]] &amp; "]"), "NOT FOUND", 0, 1)</f>
        <v>14355.45</v>
      </c>
      <c r="O175" t="str" cm="1">
        <f t="array" aca="1" ref="O175" ca="1">_xlfn.XLOOKUP(Table11[[#This Row],[Admin2PCODE]], tblPiNAnalysis[Admin2PCODE], INDIRECT("tblPiNAnalysis[" &amp; Table11[[#Headers],[Sectores más altos]] &amp; "]"), "NOT FOUND", 0, 1)</f>
        <v>SAL</v>
      </c>
      <c r="P175" cm="1">
        <f t="array" ref="P175">_xlfn.XLOOKUP(Table11[[#This Row],[Admin2PCODE]], tblPiNAnalysis[Admin2PCODE], tblPiNAnalysis[Severidad], "NOT FOUND", 0, 1)</f>
        <v>3</v>
      </c>
      <c r="Q175" s="318"/>
      <c r="R175" s="318"/>
      <c r="S175" s="318"/>
      <c r="T175">
        <v>0</v>
      </c>
      <c r="W175">
        <f>_xlfn.XLOOKUP(Table11[[#This Row],[Admin2PCODE]],tblSeverityAnalysis[Admin 2 Código P],tblSeverityAnalysis[PRO],0,0)</f>
        <v>3</v>
      </c>
      <c r="Y175">
        <v>9</v>
      </c>
      <c r="Z175">
        <v>0</v>
      </c>
      <c r="AA175">
        <f t="shared" si="2"/>
        <v>0</v>
      </c>
    </row>
    <row r="176" spans="1:27">
      <c r="A176" t="s">
        <v>411</v>
      </c>
      <c r="B176" t="s">
        <v>412</v>
      </c>
      <c r="C176" s="42" t="s">
        <v>451</v>
      </c>
      <c r="D176" t="s">
        <v>452</v>
      </c>
      <c r="E176" s="8" cm="1">
        <f t="array" aca="1" ref="E176" ca="1">_xlfn.XLOOKUP(Table11[[#This Row],[Admin2PCODE]], tblPiNAnalysis[Admin2PCODE], INDIRECT("tblPiNAnalysis[" &amp; Table11[[#Headers],[Población]] &amp; "]"), "NOT FOUND", 0, 1)</f>
        <v>34796</v>
      </c>
      <c r="F176" s="8" cm="1">
        <f t="array" aca="1" ref="F176" ca="1">_xlfn.XLOOKUP(Table11[[#This Row],[Admin2PCODE]], tblPiNAnalysis[Admin2PCODE], INDIRECT("tblPiNAnalysis[" &amp; Table11[[#Headers],[SAMV]] &amp; "]"), "NOT FOUND", 0, 1)</f>
        <v>5881</v>
      </c>
      <c r="G176" s="8" cm="1">
        <f t="array" aca="1" ref="G176" ca="1">_xlfn.XLOOKUP(Table11[[#This Row],[Admin2PCODE]], tblPiNAnalysis[Admin2PCODE], INDIRECT("tblPiNAnalysis[" &amp; Table11[[#Headers],[NUT]] &amp; "]"), "NOT FOUND", 0, 1)</f>
        <v>1184.7913139759037</v>
      </c>
      <c r="H176" s="8" cm="1">
        <f t="array" aca="1" ref="H176" ca="1">_xlfn.XLOOKUP(Table11[[#This Row],[Admin2PCODE]], tblPiNAnalysis[Admin2PCODE], INDIRECT("tblPiNAnalysis[" &amp; Table11[[#Headers],[SAL]] &amp; "]"), "NOT FOUND", 0, 1)</f>
        <v>13300</v>
      </c>
      <c r="I176" s="8" cm="1">
        <f t="array" aca="1" ref="I176" ca="1">_xlfn.XLOOKUP(Table11[[#This Row],[Admin2PCODE]], tblPiNAnalysis[Admin2PCODE], INDIRECT("tblPiNAnalysis[" &amp; Table11[[#Headers],[EDU]] &amp; "]"), "NOT FOUND", 0, 1)</f>
        <v>2484.0380892054091</v>
      </c>
      <c r="J176" s="8" cm="1">
        <f t="array" aca="1" ref="J176" ca="1">_xlfn.XLOOKUP(Table11[[#This Row],[Admin2PCODE]], tblPiNAnalysis[Admin2PCODE], INDIRECT("tblPiNAnalysis[" &amp; Table11[[#Headers],[PRO]] &amp; "]"), "NOT FOUND", 0, 1)</f>
        <v>3492.2506268212801</v>
      </c>
      <c r="K176" s="8" cm="1">
        <f t="array" aca="1" ref="K176" ca="1">_xlfn.XLOOKUP(Table11[[#This Row],[Admin2PCODE]], tblPiNAnalysis[Admin2PCODE], INDIRECT("tblPiNAnalysis[" &amp; Table11[[#Headers],[ASH]] &amp; "]"), "NOT FOUND", 0, 1)</f>
        <v>2348.73</v>
      </c>
      <c r="L176" s="8" cm="1">
        <f t="array" aca="1" ref="L176" ca="1">_xlfn.XLOOKUP(Table11[[#This Row],[Admin2PCODE]], tblPiNAnalysis[Admin2PCODE], INDIRECT("tblPiNAnalysis[" &amp; Table11[[#Headers],[NNA]] &amp; "]"), "NOT FOUND", 0, 1)</f>
        <v>1121.0124512096309</v>
      </c>
      <c r="M176" s="8" cm="1">
        <f t="array" aca="1" ref="M176" ca="1">_xlfn.XLOOKUP(Table11[[#This Row],[Admin2PCODE]], tblPiNAnalysis[Admin2PCODE], INDIRECT("tblPiNAnalysis[" &amp; Table11[[#Headers],[VBG]] &amp; "]"), "NOT FOUND", 0, 1)</f>
        <v>1222.2877193874479</v>
      </c>
      <c r="N176" s="8" cm="1">
        <f t="array" aca="1" ref="N176" ca="1">_xlfn.XLOOKUP(Table11[[#This Row],[Admin2PCODE]], tblPiNAnalysis[Admin2PCODE], INDIRECT("tblPiNAnalysis[" &amp; Table11[[#Headers],[PiN más alto]] &amp; "]"), "NOT FOUND", 0, 1)</f>
        <v>13300</v>
      </c>
      <c r="O176" t="str" cm="1">
        <f t="array" aca="1" ref="O176" ca="1">_xlfn.XLOOKUP(Table11[[#This Row],[Admin2PCODE]], tblPiNAnalysis[Admin2PCODE], INDIRECT("tblPiNAnalysis[" &amp; Table11[[#Headers],[Sectores más altos]] &amp; "]"), "NOT FOUND", 0, 1)</f>
        <v>SAL</v>
      </c>
      <c r="P176" cm="1">
        <f t="array" ref="P176">_xlfn.XLOOKUP(Table11[[#This Row],[Admin2PCODE]], tblPiNAnalysis[Admin2PCODE], tblPiNAnalysis[Severidad], "NOT FOUND", 0, 1)</f>
        <v>3</v>
      </c>
      <c r="Q176" s="318" t="e">
        <v>#N/A</v>
      </c>
      <c r="R176" s="318" t="e">
        <v>#N/A</v>
      </c>
      <c r="S176" s="318" t="e">
        <v>#N/A</v>
      </c>
      <c r="T176">
        <v>0</v>
      </c>
      <c r="W176">
        <f>_xlfn.XLOOKUP(Table11[[#This Row],[Admin2PCODE]],tblSeverityAnalysis[Admin 2 Código P],tblSeverityAnalysis[PRO],0,0)</f>
        <v>2</v>
      </c>
      <c r="Y176">
        <v>0</v>
      </c>
      <c r="Z176">
        <v>0</v>
      </c>
      <c r="AA176">
        <f t="shared" si="2"/>
        <v>0</v>
      </c>
    </row>
    <row r="177" spans="1:27">
      <c r="A177" t="s">
        <v>411</v>
      </c>
      <c r="B177" t="s">
        <v>412</v>
      </c>
      <c r="C177" s="42" t="s">
        <v>453</v>
      </c>
      <c r="D177" t="s">
        <v>454</v>
      </c>
      <c r="E177" s="8" cm="1">
        <f t="array" aca="1" ref="E177" ca="1">_xlfn.XLOOKUP(Table11[[#This Row],[Admin2PCODE]], tblPiNAnalysis[Admin2PCODE], INDIRECT("tblPiNAnalysis[" &amp; Table11[[#Headers],[Población]] &amp; "]"), "NOT FOUND", 0, 1)</f>
        <v>11413</v>
      </c>
      <c r="F177" s="8" cm="1">
        <f t="array" aca="1" ref="F177" ca="1">_xlfn.XLOOKUP(Table11[[#This Row],[Admin2PCODE]], tblPiNAnalysis[Admin2PCODE], INDIRECT("tblPiNAnalysis[" &amp; Table11[[#Headers],[SAMV]] &amp; "]"), "NOT FOUND", 0, 1)</f>
        <v>3804</v>
      </c>
      <c r="G177" s="8" cm="1">
        <f t="array" aca="1" ref="G177" ca="1">_xlfn.XLOOKUP(Table11[[#This Row],[Admin2PCODE]], tblPiNAnalysis[Admin2PCODE], INDIRECT("tblPiNAnalysis[" &amp; Table11[[#Headers],[NUT]] &amp; "]"), "NOT FOUND", 0, 1)</f>
        <v>360.08565603655256</v>
      </c>
      <c r="H177" s="8" cm="1">
        <f t="array" aca="1" ref="H177" ca="1">_xlfn.XLOOKUP(Table11[[#This Row],[Admin2PCODE]], tblPiNAnalysis[Admin2PCODE], INDIRECT("tblPiNAnalysis[" &amp; Table11[[#Headers],[SAL]] &amp; "]"), "NOT FOUND", 0, 1)</f>
        <v>4165.7449999999999</v>
      </c>
      <c r="I177" s="8" cm="1">
        <f t="array" aca="1" ref="I177" ca="1">_xlfn.XLOOKUP(Table11[[#This Row],[Admin2PCODE]], tblPiNAnalysis[Admin2PCODE], INDIRECT("tblPiNAnalysis[" &amp; Table11[[#Headers],[EDU]] &amp; "]"), "NOT FOUND", 0, 1)</f>
        <v>1296.6873932481874</v>
      </c>
      <c r="J177" s="8" cm="1">
        <f t="array" aca="1" ref="J177" ca="1">_xlfn.XLOOKUP(Table11[[#This Row],[Admin2PCODE]], tblPiNAnalysis[Admin2PCODE], INDIRECT("tblPiNAnalysis[" &amp; Table11[[#Headers],[PRO]] &amp; "]"), "NOT FOUND", 0, 1)</f>
        <v>1145.4493736036115</v>
      </c>
      <c r="K177" s="8" cm="1">
        <f t="array" aca="1" ref="K177" ca="1">_xlfn.XLOOKUP(Table11[[#This Row],[Admin2PCODE]], tblPiNAnalysis[Admin2PCODE], INDIRECT("tblPiNAnalysis[" &amp; Table11[[#Headers],[ASH]] &amp; "]"), "NOT FOUND", 0, 1)</f>
        <v>770.37750000000005</v>
      </c>
      <c r="L177" s="8" cm="1">
        <f t="array" aca="1" ref="L177" ca="1">_xlfn.XLOOKUP(Table11[[#This Row],[Admin2PCODE]], tblPiNAnalysis[Admin2PCODE], INDIRECT("tblPiNAnalysis[" &amp; Table11[[#Headers],[NNA]] &amp; "]"), "NOT FOUND", 0, 1)</f>
        <v>366.54379955315574</v>
      </c>
      <c r="M177" s="8" cm="1">
        <f t="array" aca="1" ref="M177" ca="1">_xlfn.XLOOKUP(Table11[[#This Row],[Admin2PCODE]], tblPiNAnalysis[Admin2PCODE], INDIRECT("tblPiNAnalysis[" &amp; Table11[[#Headers],[VBG]] &amp; "]"), "NOT FOUND", 0, 1)</f>
        <v>400.90728076126402</v>
      </c>
      <c r="N177" s="8" cm="1">
        <f t="array" aca="1" ref="N177" ca="1">_xlfn.XLOOKUP(Table11[[#This Row],[Admin2PCODE]], tblPiNAnalysis[Admin2PCODE], INDIRECT("tblPiNAnalysis[" &amp; Table11[[#Headers],[PiN más alto]] &amp; "]"), "NOT FOUND", 0, 1)</f>
        <v>4165.7449999999999</v>
      </c>
      <c r="O177" t="str" cm="1">
        <f t="array" aca="1" ref="O177" ca="1">_xlfn.XLOOKUP(Table11[[#This Row],[Admin2PCODE]], tblPiNAnalysis[Admin2PCODE], INDIRECT("tblPiNAnalysis[" &amp; Table11[[#Headers],[Sectores más altos]] &amp; "]"), "NOT FOUND", 0, 1)</f>
        <v>SAL</v>
      </c>
      <c r="P177" cm="1">
        <f t="array" ref="P177">_xlfn.XLOOKUP(Table11[[#This Row],[Admin2PCODE]], tblPiNAnalysis[Admin2PCODE], tblPiNAnalysis[Severidad], "NOT FOUND", 0, 1)</f>
        <v>3</v>
      </c>
      <c r="Q177" s="318">
        <v>1</v>
      </c>
      <c r="R177" s="318">
        <v>0.3856209150326797</v>
      </c>
      <c r="S177" s="318">
        <v>0.3856209150326797</v>
      </c>
      <c r="T177">
        <v>0</v>
      </c>
      <c r="W177">
        <f>_xlfn.XLOOKUP(Table11[[#This Row],[Admin2PCODE]],tblSeverityAnalysis[Admin 2 Código P],tblSeverityAnalysis[PRO],0,0)</f>
        <v>2</v>
      </c>
      <c r="Y177">
        <v>8</v>
      </c>
      <c r="Z177">
        <v>0</v>
      </c>
      <c r="AA177">
        <f t="shared" si="2"/>
        <v>0</v>
      </c>
    </row>
    <row r="178" spans="1:27">
      <c r="A178" t="s">
        <v>276</v>
      </c>
      <c r="B178" t="s">
        <v>455</v>
      </c>
      <c r="C178" s="42" t="s">
        <v>456</v>
      </c>
      <c r="D178" t="s">
        <v>457</v>
      </c>
      <c r="E178" s="8" cm="1">
        <f t="array" aca="1" ref="E178" ca="1">_xlfn.XLOOKUP(Table11[[#This Row],[Admin2PCODE]], tblPiNAnalysis[Admin2PCODE], INDIRECT("tblPiNAnalysis[" &amp; Table11[[#Headers],[Población]] &amp; "]"), "NOT FOUND", 0, 1)</f>
        <v>89335</v>
      </c>
      <c r="F178" s="8" cm="1">
        <f t="array" aca="1" ref="F178" ca="1">_xlfn.XLOOKUP(Table11[[#This Row],[Admin2PCODE]], tblPiNAnalysis[Admin2PCODE], INDIRECT("tblPiNAnalysis[" &amp; Table11[[#Headers],[SAMV]] &amp; "]"), "NOT FOUND", 0, 1)</f>
        <v>22136</v>
      </c>
      <c r="G178" s="8" cm="1">
        <f t="array" aca="1" ref="G178" ca="1">_xlfn.XLOOKUP(Table11[[#This Row],[Admin2PCODE]], tblPiNAnalysis[Admin2PCODE], INDIRECT("tblPiNAnalysis[" &amp; Table11[[#Headers],[NUT]] &amp; "]"), "NOT FOUND", 0, 1)</f>
        <v>3597.6361967716234</v>
      </c>
      <c r="H178" s="8" cm="1">
        <f t="array" aca="1" ref="H178" ca="1">_xlfn.XLOOKUP(Table11[[#This Row],[Admin2PCODE]], tblPiNAnalysis[Admin2PCODE], INDIRECT("tblPiNAnalysis[" &amp; Table11[[#Headers],[SAL]] &amp; "]"), "NOT FOUND", 0, 1)</f>
        <v>37100</v>
      </c>
      <c r="I178" s="8" cm="1">
        <f t="array" aca="1" ref="I178" ca="1">_xlfn.XLOOKUP(Table11[[#This Row],[Admin2PCODE]], tblPiNAnalysis[Admin2PCODE], INDIRECT("tblPiNAnalysis[" &amp; Table11[[#Headers],[EDU]] &amp; "]"), "NOT FOUND", 0, 1)</f>
        <v>9296.5220466373139</v>
      </c>
      <c r="J178" s="8" cm="1">
        <f t="array" aca="1" ref="J178" ca="1">_xlfn.XLOOKUP(Table11[[#This Row],[Admin2PCODE]], tblPiNAnalysis[Admin2PCODE], INDIRECT("tblPiNAnalysis[" &amp; Table11[[#Headers],[PRO]] &amp; "]"), "NOT FOUND", 0, 1)</f>
        <v>17809.644481572828</v>
      </c>
      <c r="K178" s="8" cm="1">
        <f t="array" aca="1" ref="K178" ca="1">_xlfn.XLOOKUP(Table11[[#This Row],[Admin2PCODE]], tblPiNAnalysis[Admin2PCODE], INDIRECT("tblPiNAnalysis[" &amp; Table11[[#Headers],[ASH]] &amp; "]"), "NOT FOUND", 0, 1)</f>
        <v>12060.225</v>
      </c>
      <c r="L178" s="8" cm="1">
        <f t="array" aca="1" ref="L178" ca="1">_xlfn.XLOOKUP(Table11[[#This Row],[Admin2PCODE]], tblPiNAnalysis[Admin2PCODE], INDIRECT("tblPiNAnalysis[" &amp; Table11[[#Headers],[NNA]] &amp; "]"), "NOT FOUND", 0, 1)</f>
        <v>5699.0862341033053</v>
      </c>
      <c r="M178" s="8" cm="1">
        <f t="array" aca="1" ref="M178" ca="1">_xlfn.XLOOKUP(Table11[[#This Row],[Admin2PCODE]], tblPiNAnalysis[Admin2PCODE], INDIRECT("tblPiNAnalysis[" &amp; Table11[[#Headers],[VBG]] &amp; "]"), "NOT FOUND", 0, 1)</f>
        <v>6233.3755685504902</v>
      </c>
      <c r="N178" s="8" cm="1">
        <f t="array" aca="1" ref="N178" ca="1">_xlfn.XLOOKUP(Table11[[#This Row],[Admin2PCODE]], tblPiNAnalysis[Admin2PCODE], INDIRECT("tblPiNAnalysis[" &amp; Table11[[#Headers],[PiN más alto]] &amp; "]"), "NOT FOUND", 0, 1)</f>
        <v>37100</v>
      </c>
      <c r="O178" t="str" cm="1">
        <f t="array" aca="1" ref="O178" ca="1">_xlfn.XLOOKUP(Table11[[#This Row],[Admin2PCODE]], tblPiNAnalysis[Admin2PCODE], INDIRECT("tblPiNAnalysis[" &amp; Table11[[#Headers],[Sectores más altos]] &amp; "]"), "NOT FOUND", 0, 1)</f>
        <v>SAL</v>
      </c>
      <c r="P178" cm="1">
        <f t="array" ref="P178">_xlfn.XLOOKUP(Table11[[#This Row],[Admin2PCODE]], tblPiNAnalysis[Admin2PCODE], tblPiNAnalysis[Severidad], "NOT FOUND", 0, 1)</f>
        <v>4</v>
      </c>
      <c r="Q178" s="318">
        <v>0.38016528925619836</v>
      </c>
      <c r="R178" s="318">
        <v>0.46256038647342973</v>
      </c>
      <c r="S178" s="318">
        <v>0.17584940312213032</v>
      </c>
      <c r="T178">
        <v>0</v>
      </c>
      <c r="W178">
        <f>_xlfn.XLOOKUP(Table11[[#This Row],[Admin2PCODE]],tblSeverityAnalysis[Admin 2 Código P],tblSeverityAnalysis[PRO],0,0)</f>
        <v>5</v>
      </c>
      <c r="Y178">
        <v>0</v>
      </c>
      <c r="Z178">
        <v>3.25</v>
      </c>
      <c r="AA178">
        <f t="shared" si="2"/>
        <v>3</v>
      </c>
    </row>
    <row r="179" spans="1:27">
      <c r="A179" t="s">
        <v>276</v>
      </c>
      <c r="B179" t="s">
        <v>455</v>
      </c>
      <c r="C179" s="42" t="s">
        <v>415</v>
      </c>
      <c r="D179" t="s">
        <v>458</v>
      </c>
      <c r="E179" s="8" cm="1">
        <f t="array" aca="1" ref="E179" ca="1">_xlfn.XLOOKUP(Table11[[#This Row],[Admin2PCODE]], tblPiNAnalysis[Admin2PCODE], INDIRECT("tblPiNAnalysis[" &amp; Table11[[#Headers],[Población]] &amp; "]"), "NOT FOUND", 0, 1)</f>
        <v>21447</v>
      </c>
      <c r="F179" s="8" cm="1">
        <f t="array" aca="1" ref="F179" ca="1">_xlfn.XLOOKUP(Table11[[#This Row],[Admin2PCODE]], tblPiNAnalysis[Admin2PCODE], INDIRECT("tblPiNAnalysis[" &amp; Table11[[#Headers],[SAMV]] &amp; "]"), "NOT FOUND", 0, 1)</f>
        <v>4874</v>
      </c>
      <c r="G179" s="8" cm="1">
        <f t="array" aca="1" ref="G179" ca="1">_xlfn.XLOOKUP(Table11[[#This Row],[Admin2PCODE]], tblPiNAnalysis[Admin2PCODE], INDIRECT("tblPiNAnalysis[" &amp; Table11[[#Headers],[NUT]] &amp; "]"), "NOT FOUND", 0, 1)</f>
        <v>1001.1743397731281</v>
      </c>
      <c r="H179" s="8" cm="1">
        <f t="array" aca="1" ref="H179" ca="1">_xlfn.XLOOKUP(Table11[[#This Row],[Admin2PCODE]], tblPiNAnalysis[Admin2PCODE], INDIRECT("tblPiNAnalysis[" &amp; Table11[[#Headers],[SAL]] &amp; "]"), "NOT FOUND", 0, 1)</f>
        <v>10500</v>
      </c>
      <c r="I179" s="8" cm="1">
        <f t="array" aca="1" ref="I179" ca="1">_xlfn.XLOOKUP(Table11[[#This Row],[Admin2PCODE]], tblPiNAnalysis[Admin2PCODE], INDIRECT("tblPiNAnalysis[" &amp; Table11[[#Headers],[EDU]] &amp; "]"), "NOT FOUND", 0, 1)</f>
        <v>801.64078710332751</v>
      </c>
      <c r="J179" s="8" cm="1">
        <f t="array" aca="1" ref="J179" ca="1">_xlfn.XLOOKUP(Table11[[#This Row],[Admin2PCODE]], tblPiNAnalysis[Admin2PCODE], INDIRECT("tblPiNAnalysis[" &amp; Table11[[#Headers],[PRO]] &amp; "]"), "NOT FOUND", 0, 1)</f>
        <v>4275.6304381965929</v>
      </c>
      <c r="K179" s="8" cm="1">
        <f t="array" aca="1" ref="K179" ca="1">_xlfn.XLOOKUP(Table11[[#This Row],[Admin2PCODE]], tblPiNAnalysis[Admin2PCODE], INDIRECT("tblPiNAnalysis[" &amp; Table11[[#Headers],[ASH]] &amp; "]"), "NOT FOUND", 0, 1)</f>
        <v>2895.3449999999998</v>
      </c>
      <c r="L179" s="8" cm="1">
        <f t="array" aca="1" ref="L179" ca="1">_xlfn.XLOOKUP(Table11[[#This Row],[Admin2PCODE]], tblPiNAnalysis[Admin2PCODE], INDIRECT("tblPiNAnalysis[" &amp; Table11[[#Headers],[NNA]] &amp; "]"), "NOT FOUND", 0, 1)</f>
        <v>1368.2017402229098</v>
      </c>
      <c r="M179" s="8" cm="1">
        <f t="array" aca="1" ref="M179" ca="1">_xlfn.XLOOKUP(Table11[[#This Row],[Admin2PCODE]], tblPiNAnalysis[Admin2PCODE], INDIRECT("tblPiNAnalysis[" &amp; Table11[[#Headers],[VBG]] &amp; "]"), "NOT FOUND", 0, 1)</f>
        <v>1496.4706533688075</v>
      </c>
      <c r="N179" s="8" cm="1">
        <f t="array" aca="1" ref="N179" ca="1">_xlfn.XLOOKUP(Table11[[#This Row],[Admin2PCODE]], tblPiNAnalysis[Admin2PCODE], INDIRECT("tblPiNAnalysis[" &amp; Table11[[#Headers],[PiN más alto]] &amp; "]"), "NOT FOUND", 0, 1)</f>
        <v>10500</v>
      </c>
      <c r="O179" t="str" cm="1">
        <f t="array" aca="1" ref="O179" ca="1">_xlfn.XLOOKUP(Table11[[#This Row],[Admin2PCODE]], tblPiNAnalysis[Admin2PCODE], INDIRECT("tblPiNAnalysis[" &amp; Table11[[#Headers],[Sectores más altos]] &amp; "]"), "NOT FOUND", 0, 1)</f>
        <v>SAL</v>
      </c>
      <c r="P179" cm="1">
        <f t="array" ref="P179">_xlfn.XLOOKUP(Table11[[#This Row],[Admin2PCODE]], tblPiNAnalysis[Admin2PCODE], tblPiNAnalysis[Severidad], "NOT FOUND", 0, 1)</f>
        <v>3</v>
      </c>
      <c r="Q179" s="318">
        <v>0.38709677419354838</v>
      </c>
      <c r="R179" s="318">
        <v>0.40277777777777773</v>
      </c>
      <c r="S179" s="318">
        <v>0.15591397849462363</v>
      </c>
      <c r="T179">
        <v>0</v>
      </c>
      <c r="W179">
        <f>_xlfn.XLOOKUP(Table11[[#This Row],[Admin2PCODE]],tblSeverityAnalysis[Admin 2 Código P],tblSeverityAnalysis[PRO],0,0)</f>
        <v>3</v>
      </c>
      <c r="Y179">
        <v>0</v>
      </c>
      <c r="Z179">
        <v>4</v>
      </c>
      <c r="AA179">
        <f t="shared" si="2"/>
        <v>4</v>
      </c>
    </row>
    <row r="180" spans="1:27">
      <c r="A180" t="s">
        <v>276</v>
      </c>
      <c r="B180" t="s">
        <v>455</v>
      </c>
      <c r="C180" s="42" t="s">
        <v>459</v>
      </c>
      <c r="D180" t="s">
        <v>460</v>
      </c>
      <c r="E180" s="8" cm="1">
        <f t="array" aca="1" ref="E180" ca="1">_xlfn.XLOOKUP(Table11[[#This Row],[Admin2PCODE]], tblPiNAnalysis[Admin2PCODE], INDIRECT("tblPiNAnalysis[" &amp; Table11[[#Headers],[Población]] &amp; "]"), "NOT FOUND", 0, 1)</f>
        <v>246194</v>
      </c>
      <c r="F180" s="8" cm="1">
        <f t="array" aca="1" ref="F180" ca="1">_xlfn.XLOOKUP(Table11[[#This Row],[Admin2PCODE]], tblPiNAnalysis[Admin2PCODE], INDIRECT("tblPiNAnalysis[" &amp; Table11[[#Headers],[SAMV]] &amp; "]"), "NOT FOUND", 0, 1)</f>
        <v>4924</v>
      </c>
      <c r="G180" s="8" cm="1">
        <f t="array" aca="1" ref="G180" ca="1">_xlfn.XLOOKUP(Table11[[#This Row],[Admin2PCODE]], tblPiNAnalysis[Admin2PCODE], INDIRECT("tblPiNAnalysis[" &amp; Table11[[#Headers],[NUT]] &amp; "]"), "NOT FOUND", 0, 1)</f>
        <v>7633.7607358854439</v>
      </c>
      <c r="H180" s="8" cm="1">
        <f t="array" aca="1" ref="H180" ca="1">_xlfn.XLOOKUP(Table11[[#This Row],[Admin2PCODE]], tblPiNAnalysis[Admin2PCODE], INDIRECT("tblPiNAnalysis[" &amp; Table11[[#Headers],[SAL]] &amp; "]"), "NOT FOUND", 0, 1)</f>
        <v>92919.5</v>
      </c>
      <c r="I180" s="8" cm="1">
        <f t="array" aca="1" ref="I180" ca="1">_xlfn.XLOOKUP(Table11[[#This Row],[Admin2PCODE]], tblPiNAnalysis[Admin2PCODE], INDIRECT("tblPiNAnalysis[" &amp; Table11[[#Headers],[EDU]] &amp; "]"), "NOT FOUND", 0, 1)</f>
        <v>36531.301399839474</v>
      </c>
      <c r="J180" s="8" cm="1">
        <f t="array" aca="1" ref="J180" ca="1">_xlfn.XLOOKUP(Table11[[#This Row],[Admin2PCODE]], tblPiNAnalysis[Admin2PCODE], INDIRECT("tblPiNAnalysis[" &amp; Table11[[#Headers],[PRO]] &amp; "]"), "NOT FOUND", 0, 1)</f>
        <v>49080.736704498151</v>
      </c>
      <c r="K180" s="8" cm="1">
        <f t="array" aca="1" ref="K180" ca="1">_xlfn.XLOOKUP(Table11[[#This Row],[Admin2PCODE]], tblPiNAnalysis[Admin2PCODE], INDIRECT("tblPiNAnalysis[" &amp; Table11[[#Headers],[ASH]] &amp; "]"), "NOT FOUND", 0, 1)</f>
        <v>16618.095000000001</v>
      </c>
      <c r="L180" s="8" cm="1">
        <f t="array" aca="1" ref="L180" ca="1">_xlfn.XLOOKUP(Table11[[#This Row],[Admin2PCODE]], tblPiNAnalysis[Admin2PCODE], INDIRECT("tblPiNAnalysis[" &amp; Table11[[#Headers],[NNA]] &amp; "]"), "NOT FOUND", 0, 1)</f>
        <v>15705.83574543941</v>
      </c>
      <c r="M180" s="8" cm="1">
        <f t="array" aca="1" ref="M180" ca="1">_xlfn.XLOOKUP(Table11[[#This Row],[Admin2PCODE]], tblPiNAnalysis[Admin2PCODE], INDIRECT("tblPiNAnalysis[" &amp; Table11[[#Headers],[VBG]] &amp; "]"), "NOT FOUND", 0, 1)</f>
        <v>17178.25784657435</v>
      </c>
      <c r="N180" s="8" cm="1">
        <f t="array" aca="1" ref="N180" ca="1">_xlfn.XLOOKUP(Table11[[#This Row],[Admin2PCODE]], tblPiNAnalysis[Admin2PCODE], INDIRECT("tblPiNAnalysis[" &amp; Table11[[#Headers],[PiN más alto]] &amp; "]"), "NOT FOUND", 0, 1)</f>
        <v>92919.5</v>
      </c>
      <c r="O180" t="str" cm="1">
        <f t="array" aca="1" ref="O180" ca="1">_xlfn.XLOOKUP(Table11[[#This Row],[Admin2PCODE]], tblPiNAnalysis[Admin2PCODE], INDIRECT("tblPiNAnalysis[" &amp; Table11[[#Headers],[Sectores más altos]] &amp; "]"), "NOT FOUND", 0, 1)</f>
        <v>SAL</v>
      </c>
      <c r="P180" cm="1">
        <f t="array" ref="P180">_xlfn.XLOOKUP(Table11[[#This Row],[Admin2PCODE]], tblPiNAnalysis[Admin2PCODE], tblPiNAnalysis[Severidad], "NOT FOUND", 0, 1)</f>
        <v>3</v>
      </c>
      <c r="Q180" s="318">
        <v>6.8493150684931503E-3</v>
      </c>
      <c r="R180" s="318">
        <v>0.33333333333333331</v>
      </c>
      <c r="S180" s="318">
        <v>2.2831050228310501E-3</v>
      </c>
      <c r="T180">
        <v>0</v>
      </c>
      <c r="W180">
        <f>_xlfn.XLOOKUP(Table11[[#This Row],[Admin2PCODE]],tblSeverityAnalysis[Admin 2 Código P],tblSeverityAnalysis[PRO],0,0)</f>
        <v>3</v>
      </c>
      <c r="Y180">
        <v>10</v>
      </c>
      <c r="Z180">
        <v>0</v>
      </c>
      <c r="AA180">
        <f t="shared" si="2"/>
        <v>0</v>
      </c>
    </row>
    <row r="181" spans="1:27">
      <c r="A181" t="s">
        <v>276</v>
      </c>
      <c r="B181" t="s">
        <v>455</v>
      </c>
      <c r="C181" s="42" t="s">
        <v>461</v>
      </c>
      <c r="D181" t="s">
        <v>462</v>
      </c>
      <c r="E181" s="8" cm="1">
        <f t="array" aca="1" ref="E181" ca="1">_xlfn.XLOOKUP(Table11[[#This Row],[Admin2PCODE]], tblPiNAnalysis[Admin2PCODE], INDIRECT("tblPiNAnalysis[" &amp; Table11[[#Headers],[Población]] &amp; "]"), "NOT FOUND", 0, 1)</f>
        <v>60274</v>
      </c>
      <c r="F181" s="8" cm="1">
        <f t="array" aca="1" ref="F181" ca="1">_xlfn.XLOOKUP(Table11[[#This Row],[Admin2PCODE]], tblPiNAnalysis[Admin2PCODE], INDIRECT("tblPiNAnalysis[" &amp; Table11[[#Headers],[SAMV]] &amp; "]"), "NOT FOUND", 0, 1)</f>
        <v>2184</v>
      </c>
      <c r="G181" s="8" cm="1">
        <f t="array" aca="1" ref="G181" ca="1">_xlfn.XLOOKUP(Table11[[#This Row],[Admin2PCODE]], tblPiNAnalysis[Admin2PCODE], INDIRECT("tblPiNAnalysis[" &amp; Table11[[#Headers],[NUT]] &amp; "]"), "NOT FOUND", 0, 1)</f>
        <v>3179.7856799341707</v>
      </c>
      <c r="H181" s="8" cm="1">
        <f t="array" aca="1" ref="H181" ca="1">_xlfn.XLOOKUP(Table11[[#This Row],[Admin2PCODE]], tblPiNAnalysis[Admin2PCODE], INDIRECT("tblPiNAnalysis[" &amp; Table11[[#Headers],[SAL]] &amp; "]"), "NOT FOUND", 0, 1)</f>
        <v>22500</v>
      </c>
      <c r="I181" s="8" cm="1">
        <f t="array" aca="1" ref="I181" ca="1">_xlfn.XLOOKUP(Table11[[#This Row],[Admin2PCODE]], tblPiNAnalysis[Admin2PCODE], INDIRECT("tblPiNAnalysis[" &amp; Table11[[#Headers],[EDU]] &amp; "]"), "NOT FOUND", 0, 1)</f>
        <v>5643.4249558007468</v>
      </c>
      <c r="J181" s="8" cm="1">
        <f t="array" aca="1" ref="J181" ca="1">_xlfn.XLOOKUP(Table11[[#This Row],[Admin2PCODE]], tblPiNAnalysis[Admin2PCODE], INDIRECT("tblPiNAnalysis[" &amp; Table11[[#Headers],[PRO]] &amp; "]"), "NOT FOUND", 0, 1)</f>
        <v>14419.322928066102</v>
      </c>
      <c r="K181" s="8" cm="1">
        <f t="array" aca="1" ref="K181" ca="1">_xlfn.XLOOKUP(Table11[[#This Row],[Admin2PCODE]], tblPiNAnalysis[Admin2PCODE], INDIRECT("tblPiNAnalysis[" &amp; Table11[[#Headers],[ASH]] &amp; "]"), "NOT FOUND", 0, 1)</f>
        <v>0</v>
      </c>
      <c r="L181" s="8" cm="1">
        <f t="array" aca="1" ref="L181" ca="1">_xlfn.XLOOKUP(Table11[[#This Row],[Admin2PCODE]], tblPiNAnalysis[Admin2PCODE], INDIRECT("tblPiNAnalysis[" &amp; Table11[[#Headers],[NNA]] &amp; "]"), "NOT FOUND", 0, 1)</f>
        <v>4614.183336981152</v>
      </c>
      <c r="M181" s="8" cm="1">
        <f t="array" aca="1" ref="M181" ca="1">_xlfn.XLOOKUP(Table11[[#This Row],[Admin2PCODE]], tblPiNAnalysis[Admin2PCODE], INDIRECT("tblPiNAnalysis[" &amp; Table11[[#Headers],[VBG]] &amp; "]"), "NOT FOUND", 0, 1)</f>
        <v>5046.7630248231353</v>
      </c>
      <c r="N181" s="8" cm="1">
        <f t="array" aca="1" ref="N181" ca="1">_xlfn.XLOOKUP(Table11[[#This Row],[Admin2PCODE]], tblPiNAnalysis[Admin2PCODE], INDIRECT("tblPiNAnalysis[" &amp; Table11[[#Headers],[PiN más alto]] &amp; "]"), "NOT FOUND", 0, 1)</f>
        <v>22500</v>
      </c>
      <c r="O181" t="str" cm="1">
        <f t="array" aca="1" ref="O181" ca="1">_xlfn.XLOOKUP(Table11[[#This Row],[Admin2PCODE]], tblPiNAnalysis[Admin2PCODE], INDIRECT("tblPiNAnalysis[" &amp; Table11[[#Headers],[Sectores más altos]] &amp; "]"), "NOT FOUND", 0, 1)</f>
        <v>SAL</v>
      </c>
      <c r="P181" cm="1">
        <f t="array" ref="P181">_xlfn.XLOOKUP(Table11[[#This Row],[Admin2PCODE]], tblPiNAnalysis[Admin2PCODE], tblPiNAnalysis[Severidad], "NOT FOUND", 0, 1)</f>
        <v>3</v>
      </c>
      <c r="Q181" s="318">
        <v>0.14893617021276595</v>
      </c>
      <c r="R181" s="318">
        <v>0.49206349206349198</v>
      </c>
      <c r="S181" s="318">
        <v>7.3286052009456246E-2</v>
      </c>
      <c r="T181">
        <v>0</v>
      </c>
      <c r="W181">
        <f>_xlfn.XLOOKUP(Table11[[#This Row],[Admin2PCODE]],tblSeverityAnalysis[Admin 2 Código P],tblSeverityAnalysis[PRO],0,0)</f>
        <v>4</v>
      </c>
      <c r="Y181">
        <v>0</v>
      </c>
      <c r="Z181">
        <v>2.15</v>
      </c>
      <c r="AA181">
        <f t="shared" si="2"/>
        <v>2</v>
      </c>
    </row>
    <row r="182" spans="1:27">
      <c r="A182" t="s">
        <v>276</v>
      </c>
      <c r="B182" t="s">
        <v>455</v>
      </c>
      <c r="C182" s="42" t="s">
        <v>463</v>
      </c>
      <c r="D182" t="s">
        <v>464</v>
      </c>
      <c r="E182" s="8" cm="1">
        <f t="array" aca="1" ref="E182" ca="1">_xlfn.XLOOKUP(Table11[[#This Row],[Admin2PCODE]], tblPiNAnalysis[Admin2PCODE], INDIRECT("tblPiNAnalysis[" &amp; Table11[[#Headers],[Población]] &amp; "]"), "NOT FOUND", 0, 1)</f>
        <v>28135</v>
      </c>
      <c r="F182" s="8" cm="1">
        <f t="array" aca="1" ref="F182" ca="1">_xlfn.XLOOKUP(Table11[[#This Row],[Admin2PCODE]], tblPiNAnalysis[Admin2PCODE], INDIRECT("tblPiNAnalysis[" &amp; Table11[[#Headers],[SAMV]] &amp; "]"), "NOT FOUND", 0, 1)</f>
        <v>5158</v>
      </c>
      <c r="G182" s="8" cm="1">
        <f t="array" aca="1" ref="G182" ca="1">_xlfn.XLOOKUP(Table11[[#This Row],[Admin2PCODE]], tblPiNAnalysis[Admin2PCODE], INDIRECT("tblPiNAnalysis[" &amp; Table11[[#Headers],[NUT]] &amp; "]"), "NOT FOUND", 0, 1)</f>
        <v>1432.7110070311301</v>
      </c>
      <c r="H182" s="8" cm="1">
        <f t="array" aca="1" ref="H182" ca="1">_xlfn.XLOOKUP(Table11[[#This Row],[Admin2PCODE]], tblPiNAnalysis[Admin2PCODE], INDIRECT("tblPiNAnalysis[" &amp; Table11[[#Headers],[SAL]] &amp; "]"), "NOT FOUND", 0, 1)</f>
        <v>11900</v>
      </c>
      <c r="I182" s="8" cm="1">
        <f t="array" aca="1" ref="I182" ca="1">_xlfn.XLOOKUP(Table11[[#This Row],[Admin2PCODE]], tblPiNAnalysis[Admin2PCODE], INDIRECT("tblPiNAnalysis[" &amp; Table11[[#Headers],[EDU]] &amp; "]"), "NOT FOUND", 0, 1)</f>
        <v>1771.5963990566322</v>
      </c>
      <c r="J182" s="8" cm="1">
        <f t="array" aca="1" ref="J182" ca="1">_xlfn.XLOOKUP(Table11[[#This Row],[Admin2PCODE]], tblPiNAnalysis[Admin2PCODE], INDIRECT("tblPiNAnalysis[" &amp; Table11[[#Headers],[PRO]] &amp; "]"), "NOT FOUND", 0, 1)</f>
        <v>6730.7238706762373</v>
      </c>
      <c r="K182" s="8" cm="1">
        <f t="array" aca="1" ref="K182" ca="1">_xlfn.XLOOKUP(Table11[[#This Row],[Admin2PCODE]], tblPiNAnalysis[Admin2PCODE], INDIRECT("tblPiNAnalysis[" &amp; Table11[[#Headers],[ASH]] &amp; "]"), "NOT FOUND", 0, 1)</f>
        <v>12660.75</v>
      </c>
      <c r="L182" s="8" cm="1">
        <f t="array" aca="1" ref="L182" ca="1">_xlfn.XLOOKUP(Table11[[#This Row],[Admin2PCODE]], tblPiNAnalysis[Admin2PCODE], INDIRECT("tblPiNAnalysis[" &amp; Table11[[#Headers],[NNA]] &amp; "]"), "NOT FOUND", 0, 1)</f>
        <v>2153.831638616396</v>
      </c>
      <c r="M182" s="8" cm="1">
        <f t="array" aca="1" ref="M182" ca="1">_xlfn.XLOOKUP(Table11[[#This Row],[Admin2PCODE]], tblPiNAnalysis[Admin2PCODE], INDIRECT("tblPiNAnalysis[" &amp; Table11[[#Headers],[VBG]] &amp; "]"), "NOT FOUND", 0, 1)</f>
        <v>2355.7533547366834</v>
      </c>
      <c r="N182" s="8" cm="1">
        <f t="array" aca="1" ref="N182" ca="1">_xlfn.XLOOKUP(Table11[[#This Row],[Admin2PCODE]], tblPiNAnalysis[Admin2PCODE], INDIRECT("tblPiNAnalysis[" &amp; Table11[[#Headers],[PiN más alto]] &amp; "]"), "NOT FOUND", 0, 1)</f>
        <v>12660.75</v>
      </c>
      <c r="O182" t="str" cm="1">
        <f t="array" aca="1" ref="O182" ca="1">_xlfn.XLOOKUP(Table11[[#This Row],[Admin2PCODE]], tblPiNAnalysis[Admin2PCODE], INDIRECT("tblPiNAnalysis[" &amp; Table11[[#Headers],[Sectores más altos]] &amp; "]"), "NOT FOUND", 0, 1)</f>
        <v>ASH</v>
      </c>
      <c r="P182" cm="1">
        <f t="array" ref="P182">_xlfn.XLOOKUP(Table11[[#This Row],[Admin2PCODE]], tblPiNAnalysis[Admin2PCODE], tblPiNAnalysis[Severidad], "NOT FOUND", 0, 1)</f>
        <v>3</v>
      </c>
      <c r="Q182" s="318"/>
      <c r="R182" s="318"/>
      <c r="S182" s="318"/>
      <c r="T182">
        <v>0</v>
      </c>
      <c r="W182">
        <f>_xlfn.XLOOKUP(Table11[[#This Row],[Admin2PCODE]],tblSeverityAnalysis[Admin 2 Código P],tblSeverityAnalysis[PRO],0,0)</f>
        <v>4</v>
      </c>
      <c r="Y182">
        <v>0</v>
      </c>
      <c r="Z182">
        <v>3.3</v>
      </c>
      <c r="AA182">
        <f t="shared" si="2"/>
        <v>3</v>
      </c>
    </row>
    <row r="183" spans="1:27">
      <c r="A183" t="s">
        <v>276</v>
      </c>
      <c r="B183" t="s">
        <v>455</v>
      </c>
      <c r="C183" s="42" t="s">
        <v>465</v>
      </c>
      <c r="D183" t="s">
        <v>466</v>
      </c>
      <c r="E183" s="8" cm="1">
        <f t="array" aca="1" ref="E183" ca="1">_xlfn.XLOOKUP(Table11[[#This Row],[Admin2PCODE]], tblPiNAnalysis[Admin2PCODE], INDIRECT("tblPiNAnalysis[" &amp; Table11[[#Headers],[Población]] &amp; "]"), "NOT FOUND", 0, 1)</f>
        <v>52877</v>
      </c>
      <c r="F183" s="8" cm="1">
        <f t="array" aca="1" ref="F183" ca="1">_xlfn.XLOOKUP(Table11[[#This Row],[Admin2PCODE]], tblPiNAnalysis[Admin2PCODE], INDIRECT("tblPiNAnalysis[" &amp; Table11[[#Headers],[SAMV]] &amp; "]"), "NOT FOUND", 0, 1)</f>
        <v>2005</v>
      </c>
      <c r="G183" s="8" cm="1">
        <f t="array" aca="1" ref="G183" ca="1">_xlfn.XLOOKUP(Table11[[#This Row],[Admin2PCODE]], tblPiNAnalysis[Admin2PCODE], INDIRECT("tblPiNAnalysis[" &amp; Table11[[#Headers],[NUT]] &amp; "]"), "NOT FOUND", 0, 1)</f>
        <v>1528.0685771064743</v>
      </c>
      <c r="H183" s="8" cm="1">
        <f t="array" aca="1" ref="H183" ca="1">_xlfn.XLOOKUP(Table11[[#This Row],[Admin2PCODE]], tblPiNAnalysis[Admin2PCODE], INDIRECT("tblPiNAnalysis[" &amp; Table11[[#Headers],[SAL]] &amp; "]"), "NOT FOUND", 0, 1)</f>
        <v>19300.105</v>
      </c>
      <c r="I183" s="8" cm="1">
        <f t="array" aca="1" ref="I183" ca="1">_xlfn.XLOOKUP(Table11[[#This Row],[Admin2PCODE]], tblPiNAnalysis[Admin2PCODE], INDIRECT("tblPiNAnalysis[" &amp; Table11[[#Headers],[EDU]] &amp; "]"), "NOT FOUND", 0, 1)</f>
        <v>6999.6638382914334</v>
      </c>
      <c r="J183" s="8" cm="1">
        <f t="array" aca="1" ref="J183" ca="1">_xlfn.XLOOKUP(Table11[[#This Row],[Admin2PCODE]], tblPiNAnalysis[Admin2PCODE], INDIRECT("tblPiNAnalysis[" &amp; Table11[[#Headers],[PRO]] &amp; "]"), "NOT FOUND", 0, 1)</f>
        <v>12649.74182014386</v>
      </c>
      <c r="K183" s="8" cm="1">
        <f t="array" aca="1" ref="K183" ca="1">_xlfn.XLOOKUP(Table11[[#This Row],[Admin2PCODE]], tblPiNAnalysis[Admin2PCODE], INDIRECT("tblPiNAnalysis[" &amp; Table11[[#Headers],[ASH]] &amp; "]"), "NOT FOUND", 0, 1)</f>
        <v>3569.1975000000002</v>
      </c>
      <c r="L183" s="8" cm="1">
        <f t="array" aca="1" ref="L183" ca="1">_xlfn.XLOOKUP(Table11[[#This Row],[Admin2PCODE]], tblPiNAnalysis[Admin2PCODE], INDIRECT("tblPiNAnalysis[" &amp; Table11[[#Headers],[NNA]] &amp; "]"), "NOT FOUND", 0, 1)</f>
        <v>4060.5671242661788</v>
      </c>
      <c r="M183" s="8" cm="1">
        <f t="array" aca="1" ref="M183" ca="1">_xlfn.XLOOKUP(Table11[[#This Row],[Admin2PCODE]], tblPiNAnalysis[Admin2PCODE], INDIRECT("tblPiNAnalysis[" &amp; Table11[[#Headers],[VBG]] &amp; "]"), "NOT FOUND", 0, 1)</f>
        <v>4427.4096370503503</v>
      </c>
      <c r="N183" s="8" cm="1">
        <f t="array" aca="1" ref="N183" ca="1">_xlfn.XLOOKUP(Table11[[#This Row],[Admin2PCODE]], tblPiNAnalysis[Admin2PCODE], INDIRECT("tblPiNAnalysis[" &amp; Table11[[#Headers],[PiN más alto]] &amp; "]"), "NOT FOUND", 0, 1)</f>
        <v>19300.105</v>
      </c>
      <c r="O183" t="str" cm="1">
        <f t="array" aca="1" ref="O183" ca="1">_xlfn.XLOOKUP(Table11[[#This Row],[Admin2PCODE]], tblPiNAnalysis[Admin2PCODE], INDIRECT("tblPiNAnalysis[" &amp; Table11[[#Headers],[Sectores más altos]] &amp; "]"), "NOT FOUND", 0, 1)</f>
        <v>SAL</v>
      </c>
      <c r="P183" cm="1">
        <f t="array" ref="P183">_xlfn.XLOOKUP(Table11[[#This Row],[Admin2PCODE]], tblPiNAnalysis[Admin2PCODE], tblPiNAnalysis[Severidad], "NOT FOUND", 0, 1)</f>
        <v>3</v>
      </c>
      <c r="Q183" s="318">
        <v>0</v>
      </c>
      <c r="R183" s="318">
        <v>0</v>
      </c>
      <c r="S183" s="318">
        <v>0</v>
      </c>
      <c r="T183">
        <v>0</v>
      </c>
      <c r="W183">
        <f>_xlfn.XLOOKUP(Table11[[#This Row],[Admin2PCODE]],tblSeverityAnalysis[Admin 2 Código P],tblSeverityAnalysis[PRO],0,0)</f>
        <v>4</v>
      </c>
      <c r="Y183">
        <v>9</v>
      </c>
      <c r="Z183">
        <v>0</v>
      </c>
      <c r="AA183">
        <f t="shared" si="2"/>
        <v>0</v>
      </c>
    </row>
    <row r="184" spans="1:27">
      <c r="A184" t="s">
        <v>276</v>
      </c>
      <c r="B184" t="s">
        <v>455</v>
      </c>
      <c r="C184" s="42" t="s">
        <v>467</v>
      </c>
      <c r="D184" t="s">
        <v>468</v>
      </c>
      <c r="E184" s="8" cm="1">
        <f t="array" aca="1" ref="E184" ca="1">_xlfn.XLOOKUP(Table11[[#This Row],[Admin2PCODE]], tblPiNAnalysis[Admin2PCODE], INDIRECT("tblPiNAnalysis[" &amp; Table11[[#Headers],[Población]] &amp; "]"), "NOT FOUND", 0, 1)</f>
        <v>62597</v>
      </c>
      <c r="F184" s="8" cm="1">
        <f t="array" aca="1" ref="F184" ca="1">_xlfn.XLOOKUP(Table11[[#This Row],[Admin2PCODE]], tblPiNAnalysis[Admin2PCODE], INDIRECT("tblPiNAnalysis[" &amp; Table11[[#Headers],[SAMV]] &amp; "]"), "NOT FOUND", 0, 1)</f>
        <v>5738</v>
      </c>
      <c r="G184" s="8" cm="1">
        <f t="array" aca="1" ref="G184" ca="1">_xlfn.XLOOKUP(Table11[[#This Row],[Admin2PCODE]], tblPiNAnalysis[Admin2PCODE], INDIRECT("tblPiNAnalysis[" &amp; Table11[[#Headers],[NUT]] &amp; "]"), "NOT FOUND", 0, 1)</f>
        <v>1793.4293125195629</v>
      </c>
      <c r="H184" s="8" cm="1">
        <f t="array" aca="1" ref="H184" ca="1">_xlfn.XLOOKUP(Table11[[#This Row],[Admin2PCODE]], tblPiNAnalysis[Admin2PCODE], INDIRECT("tblPiNAnalysis[" &amp; Table11[[#Headers],[SAL]] &amp; "]"), "NOT FOUND", 0, 1)</f>
        <v>22847.904999999999</v>
      </c>
      <c r="I184" s="8" cm="1">
        <f t="array" aca="1" ref="I184" ca="1">_xlfn.XLOOKUP(Table11[[#This Row],[Admin2PCODE]], tblPiNAnalysis[Admin2PCODE], INDIRECT("tblPiNAnalysis[" &amp; Table11[[#Headers],[EDU]] &amp; "]"), "NOT FOUND", 0, 1)</f>
        <v>4359.3628028084731</v>
      </c>
      <c r="J184" s="8" cm="1">
        <f t="array" aca="1" ref="J184" ca="1">_xlfn.XLOOKUP(Table11[[#This Row],[Admin2PCODE]], tblPiNAnalysis[Admin2PCODE], INDIRECT("tblPiNAnalysis[" &amp; Table11[[#Headers],[PRO]] &amp; "]"), "NOT FOUND", 0, 1)</f>
        <v>12479.21101038803</v>
      </c>
      <c r="K184" s="8" cm="1">
        <f t="array" aca="1" ref="K184" ca="1">_xlfn.XLOOKUP(Table11[[#This Row],[Admin2PCODE]], tblPiNAnalysis[Admin2PCODE], INDIRECT("tblPiNAnalysis[" &amp; Table11[[#Headers],[ASH]] &amp; "]"), "NOT FOUND", 0, 1)</f>
        <v>0</v>
      </c>
      <c r="L184" s="8" cm="1">
        <f t="array" aca="1" ref="L184" ca="1">_xlfn.XLOOKUP(Table11[[#This Row],[Admin2PCODE]], tblPiNAnalysis[Admin2PCODE], INDIRECT("tblPiNAnalysis[" &amp; Table11[[#Headers],[NNA]] &amp; "]"), "NOT FOUND", 0, 1)</f>
        <v>3993.3475233241697</v>
      </c>
      <c r="M184" s="8" cm="1">
        <f t="array" aca="1" ref="M184" ca="1">_xlfn.XLOOKUP(Table11[[#This Row],[Admin2PCODE]], tblPiNAnalysis[Admin2PCODE], INDIRECT("tblPiNAnalysis[" &amp; Table11[[#Headers],[VBG]] &amp; "]"), "NOT FOUND", 0, 1)</f>
        <v>4367.7238536358091</v>
      </c>
      <c r="N184" s="8" cm="1">
        <f t="array" aca="1" ref="N184" ca="1">_xlfn.XLOOKUP(Table11[[#This Row],[Admin2PCODE]], tblPiNAnalysis[Admin2PCODE], INDIRECT("tblPiNAnalysis[" &amp; Table11[[#Headers],[PiN más alto]] &amp; "]"), "NOT FOUND", 0, 1)</f>
        <v>22847.904999999999</v>
      </c>
      <c r="O184" t="str" cm="1">
        <f t="array" aca="1" ref="O184" ca="1">_xlfn.XLOOKUP(Table11[[#This Row],[Admin2PCODE]], tblPiNAnalysis[Admin2PCODE], INDIRECT("tblPiNAnalysis[" &amp; Table11[[#Headers],[Sectores más altos]] &amp; "]"), "NOT FOUND", 0, 1)</f>
        <v>SAL</v>
      </c>
      <c r="P184" cm="1">
        <f t="array" ref="P184">_xlfn.XLOOKUP(Table11[[#This Row],[Admin2PCODE]], tblPiNAnalysis[Admin2PCODE], tblPiNAnalysis[Severidad], "NOT FOUND", 0, 1)</f>
        <v>3</v>
      </c>
      <c r="Q184" s="318">
        <v>3.2967032967032968E-2</v>
      </c>
      <c r="R184" s="318">
        <v>0.48148148148148134</v>
      </c>
      <c r="S184" s="318">
        <v>1.5873015873015869E-2</v>
      </c>
      <c r="T184">
        <v>0</v>
      </c>
      <c r="W184">
        <f>_xlfn.XLOOKUP(Table11[[#This Row],[Admin2PCODE]],tblSeverityAnalysis[Admin 2 Código P],tblSeverityAnalysis[PRO],0,0)</f>
        <v>3</v>
      </c>
      <c r="Y184">
        <v>6</v>
      </c>
      <c r="Z184">
        <v>0</v>
      </c>
      <c r="AA184">
        <f t="shared" si="2"/>
        <v>0</v>
      </c>
    </row>
    <row r="185" spans="1:27">
      <c r="A185" t="s">
        <v>276</v>
      </c>
      <c r="B185" t="s">
        <v>455</v>
      </c>
      <c r="C185" s="42" t="s">
        <v>469</v>
      </c>
      <c r="D185" t="s">
        <v>470</v>
      </c>
      <c r="E185" s="8" cm="1">
        <f t="array" aca="1" ref="E185" ca="1">_xlfn.XLOOKUP(Table11[[#This Row],[Admin2PCODE]], tblPiNAnalysis[Admin2PCODE], INDIRECT("tblPiNAnalysis[" &amp; Table11[[#Headers],[Población]] &amp; "]"), "NOT FOUND", 0, 1)</f>
        <v>120553</v>
      </c>
      <c r="F185" s="8" cm="1">
        <f t="array" aca="1" ref="F185" ca="1">_xlfn.XLOOKUP(Table11[[#This Row],[Admin2PCODE]], tblPiNAnalysis[Admin2PCODE], INDIRECT("tblPiNAnalysis[" &amp; Table11[[#Headers],[SAMV]] &amp; "]"), "NOT FOUND", 0, 1)</f>
        <v>11592</v>
      </c>
      <c r="G185" s="8" cm="1">
        <f t="array" aca="1" ref="G185" ca="1">_xlfn.XLOOKUP(Table11[[#This Row],[Admin2PCODE]], tblPiNAnalysis[Admin2PCODE], INDIRECT("tblPiNAnalysis[" &amp; Table11[[#Headers],[NUT]] &amp; "]"), "NOT FOUND", 0, 1)</f>
        <v>3999.3011938744403</v>
      </c>
      <c r="H185" s="8" cm="1">
        <f t="array" aca="1" ref="H185" ca="1">_xlfn.XLOOKUP(Table11[[#This Row],[Admin2PCODE]], tblPiNAnalysis[Admin2PCODE], INDIRECT("tblPiNAnalysis[" &amp; Table11[[#Headers],[SAL]] &amp; "]"), "NOT FOUND", 0, 1)</f>
        <v>44001.845000000001</v>
      </c>
      <c r="I185" s="8" cm="1">
        <f t="array" aca="1" ref="I185" ca="1">_xlfn.XLOOKUP(Table11[[#This Row],[Admin2PCODE]], tblPiNAnalysis[Admin2PCODE], INDIRECT("tblPiNAnalysis[" &amp; Table11[[#Headers],[EDU]] &amp; "]"), "NOT FOUND", 0, 1)</f>
        <v>10037.878729624295</v>
      </c>
      <c r="J185" s="8" cm="1">
        <f t="array" aca="1" ref="J185" ca="1">_xlfn.XLOOKUP(Table11[[#This Row],[Admin2PCODE]], tblPiNAnalysis[Admin2PCODE], INDIRECT("tblPiNAnalysis[" &amp; Table11[[#Headers],[PRO]] &amp; "]"), "NOT FOUND", 0, 1)</f>
        <v>28839.842003967755</v>
      </c>
      <c r="K185" s="8" cm="1">
        <f t="array" aca="1" ref="K185" ca="1">_xlfn.XLOOKUP(Table11[[#This Row],[Admin2PCODE]], tblPiNAnalysis[Admin2PCODE], INDIRECT("tblPiNAnalysis[" &amp; Table11[[#Headers],[ASH]] &amp; "]"), "NOT FOUND", 0, 1)</f>
        <v>0</v>
      </c>
      <c r="L185" s="8" cm="1">
        <f t="array" aca="1" ref="L185" ca="1">_xlfn.XLOOKUP(Table11[[#This Row],[Admin2PCODE]], tblPiNAnalysis[Admin2PCODE], INDIRECT("tblPiNAnalysis[" &amp; Table11[[#Headers],[NNA]] &amp; "]"), "NOT FOUND", 0, 1)</f>
        <v>9257.5892832736499</v>
      </c>
      <c r="M185" s="8" cm="1">
        <f t="array" aca="1" ref="M185" ca="1">_xlfn.XLOOKUP(Table11[[#This Row],[Admin2PCODE]], tblPiNAnalysis[Admin2PCODE], INDIRECT("tblPiNAnalysis[" &amp; Table11[[#Headers],[VBG]] &amp; "]"), "NOT FOUND", 0, 1)</f>
        <v>10093.944701388713</v>
      </c>
      <c r="N185" s="8" cm="1">
        <f t="array" aca="1" ref="N185" ca="1">_xlfn.XLOOKUP(Table11[[#This Row],[Admin2PCODE]], tblPiNAnalysis[Admin2PCODE], INDIRECT("tblPiNAnalysis[" &amp; Table11[[#Headers],[PiN más alto]] &amp; "]"), "NOT FOUND", 0, 1)</f>
        <v>44001.845000000001</v>
      </c>
      <c r="O185" t="str" cm="1">
        <f t="array" aca="1" ref="O185" ca="1">_xlfn.XLOOKUP(Table11[[#This Row],[Admin2PCODE]], tblPiNAnalysis[Admin2PCODE], INDIRECT("tblPiNAnalysis[" &amp; Table11[[#Headers],[Sectores más altos]] &amp; "]"), "NOT FOUND", 0, 1)</f>
        <v>SAL</v>
      </c>
      <c r="P185" cm="1">
        <f t="array" ref="P185">_xlfn.XLOOKUP(Table11[[#This Row],[Admin2PCODE]], tblPiNAnalysis[Admin2PCODE], tblPiNAnalysis[Severidad], "NOT FOUND", 0, 1)</f>
        <v>3</v>
      </c>
      <c r="Q185" s="318">
        <v>7.6086956521739135E-2</v>
      </c>
      <c r="R185" s="318">
        <v>0.46825396825396809</v>
      </c>
      <c r="S185" s="318">
        <v>3.5628019323671489E-2</v>
      </c>
      <c r="T185">
        <v>0</v>
      </c>
      <c r="W185">
        <f>_xlfn.XLOOKUP(Table11[[#This Row],[Admin2PCODE]],tblSeverityAnalysis[Admin 2 Código P],tblSeverityAnalysis[PRO],0,0)</f>
        <v>4</v>
      </c>
      <c r="Y185">
        <v>0</v>
      </c>
      <c r="Z185">
        <v>0</v>
      </c>
      <c r="AA185">
        <f t="shared" si="2"/>
        <v>0</v>
      </c>
    </row>
    <row r="186" spans="1:27">
      <c r="A186" t="s">
        <v>276</v>
      </c>
      <c r="B186" t="s">
        <v>455</v>
      </c>
      <c r="C186" s="42" t="s">
        <v>471</v>
      </c>
      <c r="D186" t="s">
        <v>472</v>
      </c>
      <c r="E186" s="8" cm="1">
        <f t="array" aca="1" ref="E186" ca="1">_xlfn.XLOOKUP(Table11[[#This Row],[Admin2PCODE]], tblPiNAnalysis[Admin2PCODE], INDIRECT("tblPiNAnalysis[" &amp; Table11[[#Headers],[Población]] &amp; "]"), "NOT FOUND", 0, 1)</f>
        <v>59467</v>
      </c>
      <c r="F186" s="8" cm="1">
        <f t="array" aca="1" ref="F186" ca="1">_xlfn.XLOOKUP(Table11[[#This Row],[Admin2PCODE]], tblPiNAnalysis[Admin2PCODE], INDIRECT("tblPiNAnalysis[" &amp; Table11[[#Headers],[SAMV]] &amp; "]"), "NOT FOUND", 0, 1)</f>
        <v>17179</v>
      </c>
      <c r="G186" s="8" cm="1">
        <f t="array" aca="1" ref="G186" ca="1">_xlfn.XLOOKUP(Table11[[#This Row],[Admin2PCODE]], tblPiNAnalysis[Admin2PCODE], INDIRECT("tblPiNAnalysis[" &amp; Table11[[#Headers],[NUT]] &amp; "]"), "NOT FOUND", 0, 1)</f>
        <v>1827.1077707490199</v>
      </c>
      <c r="H186" s="8" cm="1">
        <f t="array" aca="1" ref="H186" ca="1">_xlfn.XLOOKUP(Table11[[#This Row],[Admin2PCODE]], tblPiNAnalysis[Admin2PCODE], INDIRECT("tblPiNAnalysis[" &amp; Table11[[#Headers],[SAL]] &amp; "]"), "NOT FOUND", 0, 1)</f>
        <v>21705.455000000002</v>
      </c>
      <c r="I186" s="8" cm="1">
        <f t="array" aca="1" ref="I186" ca="1">_xlfn.XLOOKUP(Table11[[#This Row],[Admin2PCODE]], tblPiNAnalysis[Admin2PCODE], INDIRECT("tblPiNAnalysis[" &amp; Table11[[#Headers],[EDU]] &amp; "]"), "NOT FOUND", 0, 1)</f>
        <v>10280.43031349696</v>
      </c>
      <c r="J186" s="8" cm="1">
        <f t="array" aca="1" ref="J186" ca="1">_xlfn.XLOOKUP(Table11[[#This Row],[Admin2PCODE]], tblPiNAnalysis[Admin2PCODE], INDIRECT("tblPiNAnalysis[" &amp; Table11[[#Headers],[PRO]] &amp; "]"), "NOT FOUND", 0, 1)</f>
        <v>11855.220556172742</v>
      </c>
      <c r="K186" s="8" cm="1">
        <f t="array" aca="1" ref="K186" ca="1">_xlfn.XLOOKUP(Table11[[#This Row],[Admin2PCODE]], tblPiNAnalysis[Admin2PCODE], INDIRECT("tblPiNAnalysis[" &amp; Table11[[#Headers],[ASH]] &amp; "]"), "NOT FOUND", 0, 1)</f>
        <v>4014.0225</v>
      </c>
      <c r="L186" s="8" cm="1">
        <f t="array" aca="1" ref="L186" ca="1">_xlfn.XLOOKUP(Table11[[#This Row],[Admin2PCODE]], tblPiNAnalysis[Admin2PCODE], INDIRECT("tblPiNAnalysis[" &amp; Table11[[#Headers],[NNA]] &amp; "]"), "NOT FOUND", 0, 1)</f>
        <v>3793.6705779752774</v>
      </c>
      <c r="M186" s="8" cm="1">
        <f t="array" aca="1" ref="M186" ca="1">_xlfn.XLOOKUP(Table11[[#This Row],[Admin2PCODE]], tblPiNAnalysis[Admin2PCODE], INDIRECT("tblPiNAnalysis[" &amp; Table11[[#Headers],[VBG]] &amp; "]"), "NOT FOUND", 0, 1)</f>
        <v>4149.32719466046</v>
      </c>
      <c r="N186" s="8" cm="1">
        <f t="array" aca="1" ref="N186" ca="1">_xlfn.XLOOKUP(Table11[[#This Row],[Admin2PCODE]], tblPiNAnalysis[Admin2PCODE], INDIRECT("tblPiNAnalysis[" &amp; Table11[[#Headers],[PiN más alto]] &amp; "]"), "NOT FOUND", 0, 1)</f>
        <v>21705.455000000002</v>
      </c>
      <c r="O186" t="str" cm="1">
        <f t="array" aca="1" ref="O186" ca="1">_xlfn.XLOOKUP(Table11[[#This Row],[Admin2PCODE]], tblPiNAnalysis[Admin2PCODE], INDIRECT("tblPiNAnalysis[" &amp; Table11[[#Headers],[Sectores más altos]] &amp; "]"), "NOT FOUND", 0, 1)</f>
        <v>SAL</v>
      </c>
      <c r="P186" cm="1">
        <f t="array" ref="P186">_xlfn.XLOOKUP(Table11[[#This Row],[Admin2PCODE]], tblPiNAnalysis[Admin2PCODE], tblPiNAnalysis[Severidad], "NOT FOUND", 0, 1)</f>
        <v>3</v>
      </c>
      <c r="Q186" s="318">
        <v>0.14814814814814814</v>
      </c>
      <c r="R186" s="318">
        <v>0.3518518518518518</v>
      </c>
      <c r="S186" s="318">
        <v>5.212620027434841E-2</v>
      </c>
      <c r="T186">
        <v>0</v>
      </c>
      <c r="W186">
        <f>_xlfn.XLOOKUP(Table11[[#This Row],[Admin2PCODE]],tblSeverityAnalysis[Admin 2 Código P],tblSeverityAnalysis[PRO],0,0)</f>
        <v>3</v>
      </c>
      <c r="Y186">
        <v>9</v>
      </c>
      <c r="Z186">
        <v>0</v>
      </c>
      <c r="AA186">
        <f t="shared" si="2"/>
        <v>0</v>
      </c>
    </row>
    <row r="187" spans="1:27">
      <c r="A187" t="s">
        <v>276</v>
      </c>
      <c r="B187" t="s">
        <v>455</v>
      </c>
      <c r="C187" s="42" t="s">
        <v>804</v>
      </c>
      <c r="D187" t="s">
        <v>474</v>
      </c>
      <c r="E187" s="8" cm="1">
        <f t="array" aca="1" ref="E187" ca="1">_xlfn.XLOOKUP(Table11[[#This Row],[Admin2PCODE]], tblPiNAnalysis[Admin2PCODE], INDIRECT("tblPiNAnalysis[" &amp; Table11[[#Headers],[Población]] &amp; "]"), "NOT FOUND", 0, 1)</f>
        <v>257935</v>
      </c>
      <c r="F187" s="8" cm="1">
        <f t="array" aca="1" ref="F187" ca="1">_xlfn.XLOOKUP(Table11[[#This Row],[Admin2PCODE]], tblPiNAnalysis[Admin2PCODE], INDIRECT("tblPiNAnalysis[" &amp; Table11[[#Headers],[SAMV]] &amp; "]"), "NOT FOUND", 0, 1)</f>
        <v>35886</v>
      </c>
      <c r="G187" s="8" cm="1">
        <f t="array" aca="1" ref="G187" ca="1">_xlfn.XLOOKUP(Table11[[#This Row],[Admin2PCODE]], tblPiNAnalysis[Admin2PCODE], INDIRECT("tblPiNAnalysis[" &amp; Table11[[#Headers],[NUT]] &amp; "]"), "NOT FOUND", 0, 1)</f>
        <v>10643.490049850534</v>
      </c>
      <c r="H187" s="8" cm="1">
        <f t="array" aca="1" ref="H187" ca="1">_xlfn.XLOOKUP(Table11[[#This Row],[Admin2PCODE]], tblPiNAnalysis[Admin2PCODE], INDIRECT("tblPiNAnalysis[" &amp; Table11[[#Headers],[SAL]] &amp; "]"), "NOT FOUND", 0, 1)</f>
        <v>94146.274999999994</v>
      </c>
      <c r="I187" s="8" cm="1">
        <f t="array" aca="1" ref="I187" ca="1">_xlfn.XLOOKUP(Table11[[#This Row],[Admin2PCODE]], tblPiNAnalysis[Admin2PCODE], INDIRECT("tblPiNAnalysis[" &amp; Table11[[#Headers],[EDU]] &amp; "]"), "NOT FOUND", 0, 1)</f>
        <v>33543.140159372037</v>
      </c>
      <c r="J187" s="8" cm="1">
        <f t="array" aca="1" ref="J187" ca="1">_xlfn.XLOOKUP(Table11[[#This Row],[Admin2PCODE]], tblPiNAnalysis[Admin2PCODE], INDIRECT("tblPiNAnalysis[" &amp; Table11[[#Headers],[PRO]] &amp; "]"), "NOT FOUND", 0, 1)</f>
        <v>61705.678392851456</v>
      </c>
      <c r="K187" s="8" cm="1">
        <f t="array" aca="1" ref="K187" ca="1">_xlfn.XLOOKUP(Table11[[#This Row],[Admin2PCODE]], tblPiNAnalysis[Admin2PCODE], INDIRECT("tblPiNAnalysis[" &amp; Table11[[#Headers],[ASH]] &amp; "]"), "NOT FOUND", 0, 1)</f>
        <v>154761</v>
      </c>
      <c r="L187" s="8" cm="1">
        <f t="array" aca="1" ref="L187" ca="1">_xlfn.XLOOKUP(Table11[[#This Row],[Admin2PCODE]], tblPiNAnalysis[Admin2PCODE], INDIRECT("tblPiNAnalysis[" &amp; Table11[[#Headers],[NNA]] &amp; "]"), "NOT FOUND", 0, 1)</f>
        <v>19745.817085712464</v>
      </c>
      <c r="M187" s="8" cm="1">
        <f t="array" aca="1" ref="M187" ca="1">_xlfn.XLOOKUP(Table11[[#This Row],[Admin2PCODE]], tblPiNAnalysis[Admin2PCODE], INDIRECT("tblPiNAnalysis[" &amp; Table11[[#Headers],[VBG]] &amp; "]"), "NOT FOUND", 0, 1)</f>
        <v>21596.987437498006</v>
      </c>
      <c r="N187" s="8" cm="1">
        <f t="array" aca="1" ref="N187" ca="1">_xlfn.XLOOKUP(Table11[[#This Row],[Admin2PCODE]], tblPiNAnalysis[Admin2PCODE], INDIRECT("tblPiNAnalysis[" &amp; Table11[[#Headers],[PiN más alto]] &amp; "]"), "NOT FOUND", 0, 1)</f>
        <v>154761</v>
      </c>
      <c r="O187" t="str" cm="1">
        <f t="array" aca="1" ref="O187" ca="1">_xlfn.XLOOKUP(Table11[[#This Row],[Admin2PCODE]], tblPiNAnalysis[Admin2PCODE], INDIRECT("tblPiNAnalysis[" &amp; Table11[[#Headers],[Sectores más altos]] &amp; "]"), "NOT FOUND", 0, 1)</f>
        <v>ASH</v>
      </c>
      <c r="P187" cm="1">
        <f t="array" ref="P187">_xlfn.XLOOKUP(Table11[[#This Row],[Admin2PCODE]], tblPiNAnalysis[Admin2PCODE], tblPiNAnalysis[Severidad], "NOT FOUND", 0, 1)</f>
        <v>3</v>
      </c>
      <c r="Q187" s="318">
        <v>0.14285714285714285</v>
      </c>
      <c r="R187" s="318">
        <v>0.36879432624113473</v>
      </c>
      <c r="S187" s="318">
        <v>5.2684903748733532E-2</v>
      </c>
      <c r="T187">
        <v>1</v>
      </c>
      <c r="W187">
        <f>_xlfn.XLOOKUP(Table11[[#This Row],[Admin2PCODE]],tblSeverityAnalysis[Admin 2 Código P],tblSeverityAnalysis[PRO],0,0)</f>
        <v>4</v>
      </c>
      <c r="Y187">
        <v>0</v>
      </c>
      <c r="Z187">
        <v>0</v>
      </c>
      <c r="AA187">
        <f t="shared" si="2"/>
        <v>0</v>
      </c>
    </row>
    <row r="188" spans="1:27">
      <c r="A188" t="s">
        <v>276</v>
      </c>
      <c r="B188" t="s">
        <v>455</v>
      </c>
      <c r="C188" s="42" t="s">
        <v>133</v>
      </c>
      <c r="D188" t="s">
        <v>475</v>
      </c>
      <c r="E188" s="8" cm="1">
        <f t="array" aca="1" ref="E188" ca="1">_xlfn.XLOOKUP(Table11[[#This Row],[Admin2PCODE]], tblPiNAnalysis[Admin2PCODE], INDIRECT("tblPiNAnalysis[" &amp; Table11[[#Headers],[Población]] &amp; "]"), "NOT FOUND", 0, 1)</f>
        <v>141913</v>
      </c>
      <c r="F188" s="8" cm="1">
        <f t="array" aca="1" ref="F188" ca="1">_xlfn.XLOOKUP(Table11[[#This Row],[Admin2PCODE]], tblPiNAnalysis[Admin2PCODE], INDIRECT("tblPiNAnalysis[" &amp; Table11[[#Headers],[SAMV]] &amp; "]"), "NOT FOUND", 0, 1)</f>
        <v>19075</v>
      </c>
      <c r="G188" s="8" cm="1">
        <f t="array" aca="1" ref="G188" ca="1">_xlfn.XLOOKUP(Table11[[#This Row],[Admin2PCODE]], tblPiNAnalysis[Admin2PCODE], INDIRECT("tblPiNAnalysis[" &amp; Table11[[#Headers],[NUT]] &amp; "]"), "NOT FOUND", 0, 1)</f>
        <v>7370.8181050802659</v>
      </c>
      <c r="H188" s="8" cm="1">
        <f t="array" aca="1" ref="H188" ca="1">_xlfn.XLOOKUP(Table11[[#This Row],[Admin2PCODE]], tblPiNAnalysis[Admin2PCODE], INDIRECT("tblPiNAnalysis[" &amp; Table11[[#Headers],[SAL]] &amp; "]"), "NOT FOUND", 0, 1)</f>
        <v>51798.245000000003</v>
      </c>
      <c r="I188" s="8" cm="1">
        <f t="array" aca="1" ref="I188" ca="1">_xlfn.XLOOKUP(Table11[[#This Row],[Admin2PCODE]], tblPiNAnalysis[Admin2PCODE], INDIRECT("tblPiNAnalysis[" &amp; Table11[[#Headers],[EDU]] &amp; "]"), "NOT FOUND", 0, 1)</f>
        <v>13051.285569376869</v>
      </c>
      <c r="J188" s="8" cm="1">
        <f t="array" aca="1" ref="J188" ca="1">_xlfn.XLOOKUP(Table11[[#This Row],[Admin2PCODE]], tblPiNAnalysis[Admin2PCODE], INDIRECT("tblPiNAnalysis[" &amp; Table11[[#Headers],[PRO]] &amp; "]"), "NOT FOUND", 0, 1)</f>
        <v>33949.78555746498</v>
      </c>
      <c r="K188" s="8" cm="1">
        <f t="array" aca="1" ref="K188" ca="1">_xlfn.XLOOKUP(Table11[[#This Row],[Admin2PCODE]], tblPiNAnalysis[Admin2PCODE], INDIRECT("tblPiNAnalysis[" &amp; Table11[[#Headers],[ASH]] &amp; "]"), "NOT FOUND", 0, 1)</f>
        <v>19158.254999999997</v>
      </c>
      <c r="L188" s="8" cm="1">
        <f t="array" aca="1" ref="L188" ca="1">_xlfn.XLOOKUP(Table11[[#This Row],[Admin2PCODE]], tblPiNAnalysis[Admin2PCODE], INDIRECT("tblPiNAnalysis[" &amp; Table11[[#Headers],[NNA]] &amp; "]"), "NOT FOUND", 0, 1)</f>
        <v>10863.931378388796</v>
      </c>
      <c r="M188" s="8" cm="1">
        <f t="array" aca="1" ref="M188" ca="1">_xlfn.XLOOKUP(Table11[[#This Row],[Admin2PCODE]], tblPiNAnalysis[Admin2PCODE], INDIRECT("tblPiNAnalysis[" &amp; Table11[[#Headers],[VBG]] &amp; "]"), "NOT FOUND", 0, 1)</f>
        <v>11882.424945112743</v>
      </c>
      <c r="N188" s="8" cm="1">
        <f t="array" aca="1" ref="N188" ca="1">_xlfn.XLOOKUP(Table11[[#This Row],[Admin2PCODE]], tblPiNAnalysis[Admin2PCODE], INDIRECT("tblPiNAnalysis[" &amp; Table11[[#Headers],[PiN más alto]] &amp; "]"), "NOT FOUND", 0, 1)</f>
        <v>51798.245000000003</v>
      </c>
      <c r="O188" t="str" cm="1">
        <f t="array" aca="1" ref="O188" ca="1">_xlfn.XLOOKUP(Table11[[#This Row],[Admin2PCODE]], tblPiNAnalysis[Admin2PCODE], INDIRECT("tblPiNAnalysis[" &amp; Table11[[#Headers],[Sectores más altos]] &amp; "]"), "NOT FOUND", 0, 1)</f>
        <v>SAL</v>
      </c>
      <c r="P188" cm="1">
        <f t="array" ref="P188">_xlfn.XLOOKUP(Table11[[#This Row],[Admin2PCODE]], tblPiNAnalysis[Admin2PCODE], tblPiNAnalysis[Severidad], "NOT FOUND", 0, 1)</f>
        <v>3</v>
      </c>
      <c r="Q188" s="318">
        <v>0.35978835978835977</v>
      </c>
      <c r="R188" s="318">
        <v>0.36192810457516333</v>
      </c>
      <c r="S188" s="318">
        <v>0.13021751910640797</v>
      </c>
      <c r="T188">
        <v>0</v>
      </c>
      <c r="W188">
        <f>_xlfn.XLOOKUP(Table11[[#This Row],[Admin2PCODE]],tblSeverityAnalysis[Admin 2 Código P],tblSeverityAnalysis[PRO],0,0)</f>
        <v>4</v>
      </c>
      <c r="Y188">
        <v>5</v>
      </c>
      <c r="Z188">
        <v>0</v>
      </c>
      <c r="AA188">
        <f t="shared" si="2"/>
        <v>0</v>
      </c>
    </row>
    <row r="189" spans="1:27">
      <c r="A189" t="s">
        <v>276</v>
      </c>
      <c r="B189" t="s">
        <v>455</v>
      </c>
      <c r="C189" s="42" t="s">
        <v>476</v>
      </c>
      <c r="D189" t="s">
        <v>477</v>
      </c>
      <c r="E189" s="8" cm="1">
        <f t="array" aca="1" ref="E189" ca="1">_xlfn.XLOOKUP(Table11[[#This Row],[Admin2PCODE]], tblPiNAnalysis[Admin2PCODE], INDIRECT("tblPiNAnalysis[" &amp; Table11[[#Headers],[Población]] &amp; "]"), "NOT FOUND", 0, 1)</f>
        <v>148218</v>
      </c>
      <c r="F189" s="8" cm="1">
        <f t="array" aca="1" ref="F189" ca="1">_xlfn.XLOOKUP(Table11[[#This Row],[Admin2PCODE]], tblPiNAnalysis[Admin2PCODE], INDIRECT("tblPiNAnalysis[" &amp; Table11[[#Headers],[SAMV]] &amp; "]"), "NOT FOUND", 0, 1)</f>
        <v>16036</v>
      </c>
      <c r="G189" s="8" cm="1">
        <f t="array" aca="1" ref="G189" ca="1">_xlfn.XLOOKUP(Table11[[#This Row],[Admin2PCODE]], tblPiNAnalysis[Admin2PCODE], INDIRECT("tblPiNAnalysis[" &amp; Table11[[#Headers],[NUT]] &amp; "]"), "NOT FOUND", 0, 1)</f>
        <v>11441.380194558114</v>
      </c>
      <c r="H189" s="8" cm="1">
        <f t="array" aca="1" ref="H189" ca="1">_xlfn.XLOOKUP(Table11[[#This Row],[Admin2PCODE]], tblPiNAnalysis[Admin2PCODE], INDIRECT("tblPiNAnalysis[" &amp; Table11[[#Headers],[SAL]] &amp; "]"), "NOT FOUND", 0, 1)</f>
        <v>54099.57</v>
      </c>
      <c r="I189" s="8" cm="1">
        <f t="array" aca="1" ref="I189" ca="1">_xlfn.XLOOKUP(Table11[[#This Row],[Admin2PCODE]], tblPiNAnalysis[Admin2PCODE], INDIRECT("tblPiNAnalysis[" &amp; Table11[[#Headers],[EDU]] &amp; "]"), "NOT FOUND", 0, 1)</f>
        <v>13405.051233996901</v>
      </c>
      <c r="J189" s="8" cm="1">
        <f t="array" aca="1" ref="J189" ca="1">_xlfn.XLOOKUP(Table11[[#This Row],[Admin2PCODE]], tblPiNAnalysis[Admin2PCODE], INDIRECT("tblPiNAnalysis[" &amp; Table11[[#Headers],[PRO]] &amp; "]"), "NOT FOUND", 0, 1)</f>
        <v>35458.127978101686</v>
      </c>
      <c r="K189" s="8" cm="1">
        <f t="array" aca="1" ref="K189" ca="1">_xlfn.XLOOKUP(Table11[[#This Row],[Admin2PCODE]], tblPiNAnalysis[Admin2PCODE], INDIRECT("tblPiNAnalysis[" &amp; Table11[[#Headers],[ASH]] &amp; "]"), "NOT FOUND", 0, 1)</f>
        <v>66698.100000000006</v>
      </c>
      <c r="L189" s="8" cm="1">
        <f t="array" aca="1" ref="L189" ca="1">_xlfn.XLOOKUP(Table11[[#This Row],[Admin2PCODE]], tblPiNAnalysis[Admin2PCODE], INDIRECT("tblPiNAnalysis[" &amp; Table11[[#Headers],[NNA]] &amp; "]"), "NOT FOUND", 0, 1)</f>
        <v>11346.60095299254</v>
      </c>
      <c r="M189" s="8" cm="1">
        <f t="array" aca="1" ref="M189" ca="1">_xlfn.XLOOKUP(Table11[[#This Row],[Admin2PCODE]], tblPiNAnalysis[Admin2PCODE], INDIRECT("tblPiNAnalysis[" &amp; Table11[[#Headers],[VBG]] &amp; "]"), "NOT FOUND", 0, 1)</f>
        <v>12410.344792335587</v>
      </c>
      <c r="N189" s="8" cm="1">
        <f t="array" aca="1" ref="N189" ca="1">_xlfn.XLOOKUP(Table11[[#This Row],[Admin2PCODE]], tblPiNAnalysis[Admin2PCODE], INDIRECT("tblPiNAnalysis[" &amp; Table11[[#Headers],[PiN más alto]] &amp; "]"), "NOT FOUND", 0, 1)</f>
        <v>66698.100000000006</v>
      </c>
      <c r="O189" t="str" cm="1">
        <f t="array" aca="1" ref="O189" ca="1">_xlfn.XLOOKUP(Table11[[#This Row],[Admin2PCODE]], tblPiNAnalysis[Admin2PCODE], INDIRECT("tblPiNAnalysis[" &amp; Table11[[#Headers],[Sectores más altos]] &amp; "]"), "NOT FOUND", 0, 1)</f>
        <v>ASH</v>
      </c>
      <c r="P189" cm="1">
        <f t="array" ref="P189">_xlfn.XLOOKUP(Table11[[#This Row],[Admin2PCODE]], tblPiNAnalysis[Admin2PCODE], tblPiNAnalysis[Severidad], "NOT FOUND", 0, 1)</f>
        <v>3</v>
      </c>
      <c r="Q189" s="318">
        <v>0.15053763440860216</v>
      </c>
      <c r="R189" s="318">
        <v>0.41666666666666663</v>
      </c>
      <c r="S189" s="318">
        <v>6.2724014336917558E-2</v>
      </c>
      <c r="T189">
        <v>0</v>
      </c>
      <c r="W189">
        <f>_xlfn.XLOOKUP(Table11[[#This Row],[Admin2PCODE]],tblSeverityAnalysis[Admin 2 Código P],tblSeverityAnalysis[PRO],0,0)</f>
        <v>4</v>
      </c>
      <c r="Y189">
        <v>0</v>
      </c>
      <c r="Z189">
        <v>0</v>
      </c>
      <c r="AA189">
        <f t="shared" si="2"/>
        <v>0</v>
      </c>
    </row>
    <row r="190" spans="1:27">
      <c r="A190" t="s">
        <v>276</v>
      </c>
      <c r="B190" t="s">
        <v>455</v>
      </c>
      <c r="C190" s="42" t="s">
        <v>478</v>
      </c>
      <c r="D190" t="s">
        <v>479</v>
      </c>
      <c r="E190" s="8" cm="1">
        <f t="array" aca="1" ref="E190" ca="1">_xlfn.XLOOKUP(Table11[[#This Row],[Admin2PCODE]], tblPiNAnalysis[Admin2PCODE], INDIRECT("tblPiNAnalysis[" &amp; Table11[[#Headers],[Población]] &amp; "]"), "NOT FOUND", 0, 1)</f>
        <v>69787</v>
      </c>
      <c r="F190" s="8" cm="1">
        <f t="array" aca="1" ref="F190" ca="1">_xlfn.XLOOKUP(Table11[[#This Row],[Admin2PCODE]], tblPiNAnalysis[Admin2PCODE], INDIRECT("tblPiNAnalysis[" &amp; Table11[[#Headers],[SAMV]] &amp; "]"), "NOT FOUND", 0, 1)</f>
        <v>684</v>
      </c>
      <c r="G190" s="8" cm="1">
        <f t="array" aca="1" ref="G190" ca="1">_xlfn.XLOOKUP(Table11[[#This Row],[Admin2PCODE]], tblPiNAnalysis[Admin2PCODE], INDIRECT("tblPiNAnalysis[" &amp; Table11[[#Headers],[NUT]] &amp; "]"), "NOT FOUND", 0, 1)</f>
        <v>1624.1428270476888</v>
      </c>
      <c r="H190" s="8" cm="1">
        <f t="array" aca="1" ref="H190" ca="1">_xlfn.XLOOKUP(Table11[[#This Row],[Admin2PCODE]], tblPiNAnalysis[Admin2PCODE], INDIRECT("tblPiNAnalysis[" &amp; Table11[[#Headers],[SAL]] &amp; "]"), "NOT FOUND", 0, 1)</f>
        <v>25472.255000000001</v>
      </c>
      <c r="I190" s="8" cm="1">
        <f t="array" aca="1" ref="I190" ca="1">_xlfn.XLOOKUP(Table11[[#This Row],[Admin2PCODE]], tblPiNAnalysis[Admin2PCODE], INDIRECT("tblPiNAnalysis[" &amp; Table11[[#Headers],[EDU]] &amp; "]"), "NOT FOUND", 0, 1)</f>
        <v>12153.83749973066</v>
      </c>
      <c r="J190" s="8" cm="1">
        <f t="array" aca="1" ref="J190" ca="1">_xlfn.XLOOKUP(Table11[[#This Row],[Admin2PCODE]], tblPiNAnalysis[Admin2PCODE], INDIRECT("tblPiNAnalysis[" &amp; Table11[[#Headers],[PRO]] &amp; "]"), "NOT FOUND", 0, 1)</f>
        <v>13912.59483332986</v>
      </c>
      <c r="K190" s="8" cm="1">
        <f t="array" aca="1" ref="K190" ca="1">_xlfn.XLOOKUP(Table11[[#This Row],[Admin2PCODE]], tblPiNAnalysis[Admin2PCODE], INDIRECT("tblPiNAnalysis[" &amp; Table11[[#Headers],[ASH]] &amp; "]"), "NOT FOUND", 0, 1)</f>
        <v>0</v>
      </c>
      <c r="L190" s="8" cm="1">
        <f t="array" aca="1" ref="L190" ca="1">_xlfn.XLOOKUP(Table11[[#This Row],[Admin2PCODE]], tblPiNAnalysis[Admin2PCODE], INDIRECT("tblPiNAnalysis[" &amp; Table11[[#Headers],[NNA]] &amp; "]"), "NOT FOUND", 0, 1)</f>
        <v>4452.030346665555</v>
      </c>
      <c r="M190" s="8" cm="1">
        <f t="array" aca="1" ref="M190" ca="1">_xlfn.XLOOKUP(Table11[[#This Row],[Admin2PCODE]], tblPiNAnalysis[Admin2PCODE], INDIRECT("tblPiNAnalysis[" &amp; Table11[[#Headers],[VBG]] &amp; "]"), "NOT FOUND", 0, 1)</f>
        <v>4869.4081916654504</v>
      </c>
      <c r="N190" s="8" cm="1">
        <f t="array" aca="1" ref="N190" ca="1">_xlfn.XLOOKUP(Table11[[#This Row],[Admin2PCODE]], tblPiNAnalysis[Admin2PCODE], INDIRECT("tblPiNAnalysis[" &amp; Table11[[#Headers],[PiN más alto]] &amp; "]"), "NOT FOUND", 0, 1)</f>
        <v>25472.255000000001</v>
      </c>
      <c r="O190" t="str" cm="1">
        <f t="array" aca="1" ref="O190" ca="1">_xlfn.XLOOKUP(Table11[[#This Row],[Admin2PCODE]], tblPiNAnalysis[Admin2PCODE], INDIRECT("tblPiNAnalysis[" &amp; Table11[[#Headers],[Sectores más altos]] &amp; "]"), "NOT FOUND", 0, 1)</f>
        <v>SAL</v>
      </c>
      <c r="P190" cm="1">
        <f t="array" ref="P190">_xlfn.XLOOKUP(Table11[[#This Row],[Admin2PCODE]], tblPiNAnalysis[Admin2PCODE], tblPiNAnalysis[Severidad], "NOT FOUND", 0, 1)</f>
        <v>2</v>
      </c>
      <c r="Q190" s="318">
        <v>0</v>
      </c>
      <c r="R190" s="318">
        <v>0</v>
      </c>
      <c r="S190" s="318">
        <v>0</v>
      </c>
      <c r="T190">
        <v>0</v>
      </c>
      <c r="W190">
        <f>_xlfn.XLOOKUP(Table11[[#This Row],[Admin2PCODE]],tblSeverityAnalysis[Admin 2 Código P],tblSeverityAnalysis[PRO],0,0)</f>
        <v>3</v>
      </c>
      <c r="Y190">
        <v>0</v>
      </c>
      <c r="Z190">
        <v>0</v>
      </c>
      <c r="AA190">
        <f t="shared" si="2"/>
        <v>0</v>
      </c>
    </row>
    <row r="191" spans="1:27">
      <c r="A191" t="s">
        <v>276</v>
      </c>
      <c r="B191" t="s">
        <v>455</v>
      </c>
      <c r="C191" s="42" t="s">
        <v>171</v>
      </c>
      <c r="D191" t="s">
        <v>480</v>
      </c>
      <c r="E191" s="8" cm="1">
        <f t="array" aca="1" ref="E191" ca="1">_xlfn.XLOOKUP(Table11[[#This Row],[Admin2PCODE]], tblPiNAnalysis[Admin2PCODE], INDIRECT("tblPiNAnalysis[" &amp; Table11[[#Headers],[Población]] &amp; "]"), "NOT FOUND", 0, 1)</f>
        <v>38798</v>
      </c>
      <c r="F191" s="8" cm="1">
        <f t="array" aca="1" ref="F191" ca="1">_xlfn.XLOOKUP(Table11[[#This Row],[Admin2PCODE]], tblPiNAnalysis[Admin2PCODE], INDIRECT("tblPiNAnalysis[" &amp; Table11[[#Headers],[SAMV]] &amp; "]"), "NOT FOUND", 0, 1)</f>
        <v>4445</v>
      </c>
      <c r="G191" s="8" cm="1">
        <f t="array" aca="1" ref="G191" ca="1">_xlfn.XLOOKUP(Table11[[#This Row],[Admin2PCODE]], tblPiNAnalysis[Admin2PCODE], INDIRECT("tblPiNAnalysis[" &amp; Table11[[#Headers],[NUT]] &amp; "]"), "NOT FOUND", 0, 1)</f>
        <v>1829.0509454631263</v>
      </c>
      <c r="H191" s="8" cm="1">
        <f t="array" aca="1" ref="H191" ca="1">_xlfn.XLOOKUP(Table11[[#This Row],[Admin2PCODE]], tblPiNAnalysis[Admin2PCODE], INDIRECT("tblPiNAnalysis[" &amp; Table11[[#Headers],[SAL]] &amp; "]"), "NOT FOUND", 0, 1)</f>
        <v>14161.27</v>
      </c>
      <c r="I191" s="8" cm="1">
        <f t="array" aca="1" ref="I191" ca="1">_xlfn.XLOOKUP(Table11[[#This Row],[Admin2PCODE]], tblPiNAnalysis[Admin2PCODE], INDIRECT("tblPiNAnalysis[" &amp; Table11[[#Headers],[EDU]] &amp; "]"), "NOT FOUND", 0, 1)</f>
        <v>2198.4547173935935</v>
      </c>
      <c r="J191" s="8" cm="1">
        <f t="array" aca="1" ref="J191" ca="1">_xlfn.XLOOKUP(Table11[[#This Row],[Admin2PCODE]], tblPiNAnalysis[Admin2PCODE], INDIRECT("tblPiNAnalysis[" &amp; Table11[[#Headers],[PRO]] &amp; "]"), "NOT FOUND", 0, 1)</f>
        <v>9281.6287447839604</v>
      </c>
      <c r="K191" s="8" cm="1">
        <f t="array" aca="1" ref="K191" ca="1">_xlfn.XLOOKUP(Table11[[#This Row],[Admin2PCODE]], tblPiNAnalysis[Admin2PCODE], INDIRECT("tblPiNAnalysis[" &amp; Table11[[#Headers],[ASH]] &amp; "]"), "NOT FOUND", 0, 1)</f>
        <v>0</v>
      </c>
      <c r="L191" s="8" cm="1">
        <f t="array" aca="1" ref="L191" ca="1">_xlfn.XLOOKUP(Table11[[#This Row],[Admin2PCODE]], tblPiNAnalysis[Admin2PCODE], INDIRECT("tblPiNAnalysis[" &amp; Table11[[#Headers],[NNA]] &amp; "]"), "NOT FOUND", 0, 1)</f>
        <v>2979.4028270756512</v>
      </c>
      <c r="M191" s="8" cm="1">
        <f t="array" aca="1" ref="M191" ca="1">_xlfn.XLOOKUP(Table11[[#This Row],[Admin2PCODE]], tblPiNAnalysis[Admin2PCODE], INDIRECT("tblPiNAnalysis[" &amp; Table11[[#Headers],[VBG]] &amp; "]"), "NOT FOUND", 0, 1)</f>
        <v>3248.5700606743858</v>
      </c>
      <c r="N191" s="8" cm="1">
        <f t="array" aca="1" ref="N191" ca="1">_xlfn.XLOOKUP(Table11[[#This Row],[Admin2PCODE]], tblPiNAnalysis[Admin2PCODE], INDIRECT("tblPiNAnalysis[" &amp; Table11[[#Headers],[PiN más alto]] &amp; "]"), "NOT FOUND", 0, 1)</f>
        <v>14161.27</v>
      </c>
      <c r="O191" t="str" cm="1">
        <f t="array" aca="1" ref="O191" ca="1">_xlfn.XLOOKUP(Table11[[#This Row],[Admin2PCODE]], tblPiNAnalysis[Admin2PCODE], INDIRECT("tblPiNAnalysis[" &amp; Table11[[#Headers],[Sectores más altos]] &amp; "]"), "NOT FOUND", 0, 1)</f>
        <v>SAL</v>
      </c>
      <c r="P191" cm="1">
        <f t="array" ref="P191">_xlfn.XLOOKUP(Table11[[#This Row],[Admin2PCODE]], tblPiNAnalysis[Admin2PCODE], tblPiNAnalysis[Severidad], "NOT FOUND", 0, 1)</f>
        <v>3</v>
      </c>
      <c r="Q191" s="318">
        <v>0.22222222222222221</v>
      </c>
      <c r="R191" s="318">
        <v>0.40277777777777773</v>
      </c>
      <c r="S191" s="318">
        <v>8.9506172839506154E-2</v>
      </c>
      <c r="T191">
        <v>0</v>
      </c>
      <c r="W191">
        <f>_xlfn.XLOOKUP(Table11[[#This Row],[Admin2PCODE]],tblSeverityAnalysis[Admin 2 Código P],tblSeverityAnalysis[PRO],0,0)</f>
        <v>4</v>
      </c>
      <c r="Y191">
        <v>0</v>
      </c>
      <c r="Z191">
        <v>4.3</v>
      </c>
      <c r="AA191">
        <f t="shared" si="2"/>
        <v>4</v>
      </c>
    </row>
    <row r="192" spans="1:27">
      <c r="A192" t="s">
        <v>276</v>
      </c>
      <c r="B192" t="s">
        <v>455</v>
      </c>
      <c r="C192" s="42" t="s">
        <v>481</v>
      </c>
      <c r="D192" t="s">
        <v>482</v>
      </c>
      <c r="E192" s="8" cm="1">
        <f t="array" aca="1" ref="E192" ca="1">_xlfn.XLOOKUP(Table11[[#This Row],[Admin2PCODE]], tblPiNAnalysis[Admin2PCODE], INDIRECT("tblPiNAnalysis[" &amp; Table11[[#Headers],[Población]] &amp; "]"), "NOT FOUND", 0, 1)</f>
        <v>113706</v>
      </c>
      <c r="F192" s="8" cm="1">
        <f t="array" aca="1" ref="F192" ca="1">_xlfn.XLOOKUP(Table11[[#This Row],[Admin2PCODE]], tblPiNAnalysis[Admin2PCODE], INDIRECT("tblPiNAnalysis[" &amp; Table11[[#Headers],[SAMV]] &amp; "]"), "NOT FOUND", 0, 1)</f>
        <v>14782</v>
      </c>
      <c r="G192" s="8" cm="1">
        <f t="array" aca="1" ref="G192" ca="1">_xlfn.XLOOKUP(Table11[[#This Row],[Admin2PCODE]], tblPiNAnalysis[Admin2PCODE], INDIRECT("tblPiNAnalysis[" &amp; Table11[[#Headers],[NUT]] &amp; "]"), "NOT FOUND", 0, 1)</f>
        <v>8814.0211796490003</v>
      </c>
      <c r="H192" s="8" cm="1">
        <f t="array" aca="1" ref="H192" ca="1">_xlfn.XLOOKUP(Table11[[#This Row],[Admin2PCODE]], tblPiNAnalysis[Admin2PCODE], INDIRECT("tblPiNAnalysis[" &amp; Table11[[#Headers],[SAL]] &amp; "]"), "NOT FOUND", 0, 1)</f>
        <v>41502.69</v>
      </c>
      <c r="I192" s="8" cm="1">
        <f t="array" aca="1" ref="I192" ca="1">_xlfn.XLOOKUP(Table11[[#This Row],[Admin2PCODE]], tblPiNAnalysis[Admin2PCODE], INDIRECT("tblPiNAnalysis[" &amp; Table11[[#Headers],[EDU]] &amp; "]"), "NOT FOUND", 0, 1)</f>
        <v>14852.772180237374</v>
      </c>
      <c r="J192" s="8" cm="1">
        <f t="array" aca="1" ref="J192" ca="1">_xlfn.XLOOKUP(Table11[[#This Row],[Admin2PCODE]], tblPiNAnalysis[Admin2PCODE], INDIRECT("tblPiNAnalysis[" &amp; Table11[[#Headers],[PRO]] &amp; "]"), "NOT FOUND", 0, 1)</f>
        <v>27201.837157956728</v>
      </c>
      <c r="K192" s="8" cm="1">
        <f t="array" aca="1" ref="K192" ca="1">_xlfn.XLOOKUP(Table11[[#This Row],[Admin2PCODE]], tblPiNAnalysis[Admin2PCODE], INDIRECT("tblPiNAnalysis[" &amp; Table11[[#Headers],[ASH]] &amp; "]"), "NOT FOUND", 0, 1)</f>
        <v>51167.700000000004</v>
      </c>
      <c r="L192" s="8" cm="1">
        <f t="array" aca="1" ref="L192" ca="1">_xlfn.XLOOKUP(Table11[[#This Row],[Admin2PCODE]], tblPiNAnalysis[Admin2PCODE], INDIRECT("tblPiNAnalysis[" &amp; Table11[[#Headers],[NNA]] &amp; "]"), "NOT FOUND", 0, 1)</f>
        <v>8731.7897277041102</v>
      </c>
      <c r="M192" s="8" cm="1">
        <f t="array" aca="1" ref="M192" ca="1">_xlfn.XLOOKUP(Table11[[#This Row],[Admin2PCODE]], tblPiNAnalysis[Admin2PCODE], INDIRECT("tblPiNAnalysis[" &amp; Table11[[#Headers],[VBG]] &amp; "]"), "NOT FOUND", 0, 1)</f>
        <v>9520.6430052848536</v>
      </c>
      <c r="N192" s="8" cm="1">
        <f t="array" aca="1" ref="N192" ca="1">_xlfn.XLOOKUP(Table11[[#This Row],[Admin2PCODE]], tblPiNAnalysis[Admin2PCODE], INDIRECT("tblPiNAnalysis[" &amp; Table11[[#Headers],[PiN más alto]] &amp; "]"), "NOT FOUND", 0, 1)</f>
        <v>51167.700000000004</v>
      </c>
      <c r="O192" t="str" cm="1">
        <f t="array" aca="1" ref="O192" ca="1">_xlfn.XLOOKUP(Table11[[#This Row],[Admin2PCODE]], tblPiNAnalysis[Admin2PCODE], INDIRECT("tblPiNAnalysis[" &amp; Table11[[#Headers],[Sectores más altos]] &amp; "]"), "NOT FOUND", 0, 1)</f>
        <v>ASH</v>
      </c>
      <c r="P192" cm="1">
        <f t="array" ref="P192">_xlfn.XLOOKUP(Table11[[#This Row],[Admin2PCODE]], tblPiNAnalysis[Admin2PCODE], tblPiNAnalysis[Severidad], "NOT FOUND", 0, 1)</f>
        <v>4</v>
      </c>
      <c r="Q192" s="318">
        <v>0.35114503816793891</v>
      </c>
      <c r="R192" s="318">
        <v>0.48429951690821249</v>
      </c>
      <c r="S192" s="318">
        <v>0.17005937234944865</v>
      </c>
      <c r="T192">
        <v>0</v>
      </c>
      <c r="W192">
        <f>_xlfn.XLOOKUP(Table11[[#This Row],[Admin2PCODE]],tblSeverityAnalysis[Admin 2 Código P],tblSeverityAnalysis[PRO],0,0)</f>
        <v>4</v>
      </c>
      <c r="Y192">
        <v>0</v>
      </c>
      <c r="Z192">
        <v>0</v>
      </c>
      <c r="AA192">
        <f t="shared" si="2"/>
        <v>0</v>
      </c>
    </row>
    <row r="193" spans="1:27">
      <c r="A193" t="s">
        <v>276</v>
      </c>
      <c r="B193" t="s">
        <v>455</v>
      </c>
      <c r="C193" s="42" t="s">
        <v>483</v>
      </c>
      <c r="D193" t="s">
        <v>484</v>
      </c>
      <c r="E193" s="8" cm="1">
        <f t="array" aca="1" ref="E193" ca="1">_xlfn.XLOOKUP(Table11[[#This Row],[Admin2PCODE]], tblPiNAnalysis[Admin2PCODE], INDIRECT("tblPiNAnalysis[" &amp; Table11[[#Headers],[Población]] &amp; "]"), "NOT FOUND", 0, 1)</f>
        <v>22331</v>
      </c>
      <c r="F193" s="8" cm="1">
        <f t="array" aca="1" ref="F193" ca="1">_xlfn.XLOOKUP(Table11[[#This Row],[Admin2PCODE]], tblPiNAnalysis[Admin2PCODE], INDIRECT("tblPiNAnalysis[" &amp; Table11[[#Headers],[SAMV]] &amp; "]"), "NOT FOUND", 0, 1)</f>
        <v>4839</v>
      </c>
      <c r="G193" s="8" cm="1">
        <f t="array" aca="1" ref="G193" ca="1">_xlfn.XLOOKUP(Table11[[#This Row],[Admin2PCODE]], tblPiNAnalysis[Admin2PCODE], INDIRECT("tblPiNAnalysis[" &amp; Table11[[#Headers],[NUT]] &amp; "]"), "NOT FOUND", 0, 1)</f>
        <v>856.93726003331824</v>
      </c>
      <c r="H193" s="8" cm="1">
        <f t="array" aca="1" ref="H193" ca="1">_xlfn.XLOOKUP(Table11[[#This Row],[Admin2PCODE]], tblPiNAnalysis[Admin2PCODE], INDIRECT("tblPiNAnalysis[" &amp; Table11[[#Headers],[SAL]] &amp; "]"), "NOT FOUND", 0, 1)</f>
        <v>12600</v>
      </c>
      <c r="I193" s="8" cm="1">
        <f t="array" aca="1" ref="I193" ca="1">_xlfn.XLOOKUP(Table11[[#This Row],[Admin2PCODE]], tblPiNAnalysis[Admin2PCODE], INDIRECT("tblPiNAnalysis[" &amp; Table11[[#Headers],[EDU]] &amp; "]"), "NOT FOUND", 0, 1)</f>
        <v>2826.2169632002428</v>
      </c>
      <c r="J193" s="8" cm="1">
        <f t="array" aca="1" ref="J193" ca="1">_xlfn.XLOOKUP(Table11[[#This Row],[Admin2PCODE]], tblPiNAnalysis[Admin2PCODE], INDIRECT("tblPiNAnalysis[" &amp; Table11[[#Headers],[PRO]] &amp; "]"), "NOT FOUND", 0, 1)</f>
        <v>5342.2354631622929</v>
      </c>
      <c r="K193" s="8" cm="1">
        <f t="array" aca="1" ref="K193" ca="1">_xlfn.XLOOKUP(Table11[[#This Row],[Admin2PCODE]], tblPiNAnalysis[Admin2PCODE], INDIRECT("tblPiNAnalysis[" &amp; Table11[[#Headers],[ASH]] &amp; "]"), "NOT FOUND", 0, 1)</f>
        <v>3014.6849999999999</v>
      </c>
      <c r="L193" s="8" cm="1">
        <f t="array" aca="1" ref="L193" ca="1">_xlfn.XLOOKUP(Table11[[#This Row],[Admin2PCODE]], tblPiNAnalysis[Admin2PCODE], INDIRECT("tblPiNAnalysis[" &amp; Table11[[#Headers],[NNA]] &amp; "]"), "NOT FOUND", 0, 1)</f>
        <v>1709.5153482119338</v>
      </c>
      <c r="M193" s="8" cm="1">
        <f t="array" aca="1" ref="M193" ca="1">_xlfn.XLOOKUP(Table11[[#This Row],[Admin2PCODE]], tblPiNAnalysis[Admin2PCODE], INDIRECT("tblPiNAnalysis[" &amp; Table11[[#Headers],[VBG]] &amp; "]"), "NOT FOUND", 0, 1)</f>
        <v>1869.7824121068022</v>
      </c>
      <c r="N193" s="8" cm="1">
        <f t="array" aca="1" ref="N193" ca="1">_xlfn.XLOOKUP(Table11[[#This Row],[Admin2PCODE]], tblPiNAnalysis[Admin2PCODE], INDIRECT("tblPiNAnalysis[" &amp; Table11[[#Headers],[PiN más alto]] &amp; "]"), "NOT FOUND", 0, 1)</f>
        <v>12600</v>
      </c>
      <c r="O193" t="str" cm="1">
        <f t="array" aca="1" ref="O193" ca="1">_xlfn.XLOOKUP(Table11[[#This Row],[Admin2PCODE]], tblPiNAnalysis[Admin2PCODE], INDIRECT("tblPiNAnalysis[" &amp; Table11[[#Headers],[Sectores más altos]] &amp; "]"), "NOT FOUND", 0, 1)</f>
        <v>SAL</v>
      </c>
      <c r="P193" cm="1">
        <f t="array" ref="P193">_xlfn.XLOOKUP(Table11[[#This Row],[Admin2PCODE]], tblPiNAnalysis[Admin2PCODE], tblPiNAnalysis[Severidad], "NOT FOUND", 0, 1)</f>
        <v>3</v>
      </c>
      <c r="Q193" s="318">
        <v>0.29032258064516131</v>
      </c>
      <c r="R193" s="318">
        <v>0.50617283950617264</v>
      </c>
      <c r="S193" s="318">
        <v>0.14695340501792109</v>
      </c>
      <c r="T193">
        <v>0</v>
      </c>
      <c r="W193">
        <f>_xlfn.XLOOKUP(Table11[[#This Row],[Admin2PCODE]],tblSeverityAnalysis[Admin 2 Código P],tblSeverityAnalysis[PRO],0,0)</f>
        <v>4</v>
      </c>
      <c r="Y193">
        <v>0</v>
      </c>
      <c r="Z193">
        <v>0</v>
      </c>
      <c r="AA193">
        <f t="shared" si="2"/>
        <v>0</v>
      </c>
    </row>
    <row r="194" spans="1:27">
      <c r="A194" t="s">
        <v>276</v>
      </c>
      <c r="B194" t="s">
        <v>455</v>
      </c>
      <c r="C194" s="42" t="s">
        <v>485</v>
      </c>
      <c r="D194" t="s">
        <v>486</v>
      </c>
      <c r="E194" s="8" cm="1">
        <f t="array" aca="1" ref="E194" ca="1">_xlfn.XLOOKUP(Table11[[#This Row],[Admin2PCODE]], tblPiNAnalysis[Admin2PCODE], INDIRECT("tblPiNAnalysis[" &amp; Table11[[#Headers],[Población]] &amp; "]"), "NOT FOUND", 0, 1)</f>
        <v>214736</v>
      </c>
      <c r="F194" s="8" cm="1">
        <f t="array" aca="1" ref="F194" ca="1">_xlfn.XLOOKUP(Table11[[#This Row],[Admin2PCODE]], tblPiNAnalysis[Admin2PCODE], INDIRECT("tblPiNAnalysis[" &amp; Table11[[#Headers],[SAMV]] &amp; "]"), "NOT FOUND", 0, 1)</f>
        <v>5423</v>
      </c>
      <c r="G194" s="8" cm="1">
        <f t="array" aca="1" ref="G194" ca="1">_xlfn.XLOOKUP(Table11[[#This Row],[Admin2PCODE]], tblPiNAnalysis[Admin2PCODE], INDIRECT("tblPiNAnalysis[" &amp; Table11[[#Headers],[NUT]] &amp; "]"), "NOT FOUND", 0, 1)</f>
        <v>5456.6570784762444</v>
      </c>
      <c r="H194" s="8" cm="1">
        <f t="array" aca="1" ref="H194" ca="1">_xlfn.XLOOKUP(Table11[[#This Row],[Admin2PCODE]], tblPiNAnalysis[Admin2PCODE], INDIRECT("tblPiNAnalysis[" &amp; Table11[[#Headers],[SAL]] &amp; "]"), "NOT FOUND", 0, 1)</f>
        <v>78378.64</v>
      </c>
      <c r="I194" s="8" cm="1">
        <f t="array" aca="1" ref="I194" ca="1">_xlfn.XLOOKUP(Table11[[#This Row],[Admin2PCODE]], tblPiNAnalysis[Admin2PCODE], INDIRECT("tblPiNAnalysis[" &amp; Table11[[#Headers],[EDU]] &amp; "]"), "NOT FOUND", 0, 1)</f>
        <v>30147.151139031852</v>
      </c>
      <c r="J194" s="8" cm="1">
        <f t="array" aca="1" ref="J194" ca="1">_xlfn.XLOOKUP(Table11[[#This Row],[Admin2PCODE]], tblPiNAnalysis[Admin2PCODE], INDIRECT("tblPiNAnalysis[" &amp; Table11[[#Headers],[PRO]] &amp; "]"), "NOT FOUND", 0, 1)</f>
        <v>51371.200323210702</v>
      </c>
      <c r="K194" s="8" cm="1">
        <f t="array" aca="1" ref="K194" ca="1">_xlfn.XLOOKUP(Table11[[#This Row],[Admin2PCODE]], tblPiNAnalysis[Admin2PCODE], INDIRECT("tblPiNAnalysis[" &amp; Table11[[#Headers],[ASH]] &amp; "]"), "NOT FOUND", 0, 1)</f>
        <v>0</v>
      </c>
      <c r="L194" s="8" cm="1">
        <f t="array" aca="1" ref="L194" ca="1">_xlfn.XLOOKUP(Table11[[#This Row],[Admin2PCODE]], tblPiNAnalysis[Admin2PCODE], INDIRECT("tblPiNAnalysis[" &amp; Table11[[#Headers],[NNA]] &amp; "]"), "NOT FOUND", 0, 1)</f>
        <v>16438.784103427424</v>
      </c>
      <c r="M194" s="8" cm="1">
        <f t="array" aca="1" ref="M194" ca="1">_xlfn.XLOOKUP(Table11[[#This Row],[Admin2PCODE]], tblPiNAnalysis[Admin2PCODE], INDIRECT("tblPiNAnalysis[" &amp; Table11[[#Headers],[VBG]] &amp; "]"), "NOT FOUND", 0, 1)</f>
        <v>17979.920113123746</v>
      </c>
      <c r="N194" s="8" cm="1">
        <f t="array" aca="1" ref="N194" ca="1">_xlfn.XLOOKUP(Table11[[#This Row],[Admin2PCODE]], tblPiNAnalysis[Admin2PCODE], INDIRECT("tblPiNAnalysis[" &amp; Table11[[#Headers],[PiN más alto]] &amp; "]"), "NOT FOUND", 0, 1)</f>
        <v>78378.64</v>
      </c>
      <c r="O194" t="str" cm="1">
        <f t="array" aca="1" ref="O194" ca="1">_xlfn.XLOOKUP(Table11[[#This Row],[Admin2PCODE]], tblPiNAnalysis[Admin2PCODE], INDIRECT("tblPiNAnalysis[" &amp; Table11[[#Headers],[Sectores más altos]] &amp; "]"), "NOT FOUND", 0, 1)</f>
        <v>SAL</v>
      </c>
      <c r="P194" cm="1">
        <f t="array" ref="P194">_xlfn.XLOOKUP(Table11[[#This Row],[Admin2PCODE]], tblPiNAnalysis[Admin2PCODE], tblPiNAnalysis[Severidad], "NOT FOUND", 0, 1)</f>
        <v>2</v>
      </c>
      <c r="Q194" s="318">
        <v>6.7226890756302518E-2</v>
      </c>
      <c r="R194" s="318">
        <v>0.35416666666666669</v>
      </c>
      <c r="S194" s="318">
        <v>2.3809523809523808E-2</v>
      </c>
      <c r="T194">
        <v>1</v>
      </c>
      <c r="W194">
        <f>_xlfn.XLOOKUP(Table11[[#This Row],[Admin2PCODE]],tblSeverityAnalysis[Admin 2 Código P],tblSeverityAnalysis[PRO],0,0)</f>
        <v>4</v>
      </c>
      <c r="Y194">
        <v>9</v>
      </c>
      <c r="Z194">
        <v>0</v>
      </c>
      <c r="AA194">
        <f t="shared" ref="AA194:AA257" si="3">ROUND(Z194,0)</f>
        <v>0</v>
      </c>
    </row>
    <row r="195" spans="1:27">
      <c r="A195" t="s">
        <v>276</v>
      </c>
      <c r="B195" t="s">
        <v>455</v>
      </c>
      <c r="C195" s="42" t="s">
        <v>155</v>
      </c>
      <c r="D195" t="s">
        <v>487</v>
      </c>
      <c r="E195" s="8" cm="1">
        <f t="array" aca="1" ref="E195" ca="1">_xlfn.XLOOKUP(Table11[[#This Row],[Admin2PCODE]], tblPiNAnalysis[Admin2PCODE], INDIRECT("tblPiNAnalysis[" &amp; Table11[[#Headers],[Población]] &amp; "]"), "NOT FOUND", 0, 1)</f>
        <v>43559</v>
      </c>
      <c r="F195" s="8" cm="1">
        <f t="array" aca="1" ref="F195" ca="1">_xlfn.XLOOKUP(Table11[[#This Row],[Admin2PCODE]], tblPiNAnalysis[Admin2PCODE], INDIRECT("tblPiNAnalysis[" &amp; Table11[[#Headers],[SAMV]] &amp; "]"), "NOT FOUND", 0, 1)</f>
        <v>7260</v>
      </c>
      <c r="G195" s="8" cm="1">
        <f t="array" aca="1" ref="G195" ca="1">_xlfn.XLOOKUP(Table11[[#This Row],[Admin2PCODE]], tblPiNAnalysis[Admin2PCODE], INDIRECT("tblPiNAnalysis[" &amp; Table11[[#Headers],[NUT]] &amp; "]"), "NOT FOUND", 0, 1)</f>
        <v>1270.4765280160575</v>
      </c>
      <c r="H195" s="8" cm="1">
        <f t="array" aca="1" ref="H195" ca="1">_xlfn.XLOOKUP(Table11[[#This Row],[Admin2PCODE]], tblPiNAnalysis[Admin2PCODE], INDIRECT("tblPiNAnalysis[" &amp; Table11[[#Headers],[SAL]] &amp; "]"), "NOT FOUND", 0, 1)</f>
        <v>18000</v>
      </c>
      <c r="I195" s="8" cm="1">
        <f t="array" aca="1" ref="I195" ca="1">_xlfn.XLOOKUP(Table11[[#This Row],[Admin2PCODE]], tblPiNAnalysis[Admin2PCODE], INDIRECT("tblPiNAnalysis[" &amp; Table11[[#Headers],[EDU]] &amp; "]"), "NOT FOUND", 0, 1)</f>
        <v>4535.1505941661726</v>
      </c>
      <c r="J195" s="8" cm="1">
        <f t="array" aca="1" ref="J195" ca="1">_xlfn.XLOOKUP(Table11[[#This Row],[Admin2PCODE]], tblPiNAnalysis[Admin2PCODE], INDIRECT("tblPiNAnalysis[" &amp; Table11[[#Headers],[PRO]] &amp; "]"), "NOT FOUND", 0, 1)</f>
        <v>10420.600713800832</v>
      </c>
      <c r="K195" s="8" cm="1">
        <f t="array" aca="1" ref="K195" ca="1">_xlfn.XLOOKUP(Table11[[#This Row],[Admin2PCODE]], tblPiNAnalysis[Admin2PCODE], INDIRECT("tblPiNAnalysis[" &amp; Table11[[#Headers],[ASH]] &amp; "]"), "NOT FOUND", 0, 1)</f>
        <v>0</v>
      </c>
      <c r="L195" s="8" cm="1">
        <f t="array" aca="1" ref="L195" ca="1">_xlfn.XLOOKUP(Table11[[#This Row],[Admin2PCODE]], tblPiNAnalysis[Admin2PCODE], INDIRECT("tblPiNAnalysis[" &amp; Table11[[#Headers],[NNA]] &amp; "]"), "NOT FOUND", 0, 1)</f>
        <v>3334.5922284162662</v>
      </c>
      <c r="M195" s="8" cm="1">
        <f t="array" aca="1" ref="M195" ca="1">_xlfn.XLOOKUP(Table11[[#This Row],[Admin2PCODE]], tblPiNAnalysis[Admin2PCODE], INDIRECT("tblPiNAnalysis[" &amp; Table11[[#Headers],[VBG]] &amp; "]"), "NOT FOUND", 0, 1)</f>
        <v>3647.2102498302911</v>
      </c>
      <c r="N195" s="8" cm="1">
        <f t="array" aca="1" ref="N195" ca="1">_xlfn.XLOOKUP(Table11[[#This Row],[Admin2PCODE]], tblPiNAnalysis[Admin2PCODE], INDIRECT("tblPiNAnalysis[" &amp; Table11[[#Headers],[PiN más alto]] &amp; "]"), "NOT FOUND", 0, 1)</f>
        <v>18000</v>
      </c>
      <c r="O195" t="str" cm="1">
        <f t="array" aca="1" ref="O195" ca="1">_xlfn.XLOOKUP(Table11[[#This Row],[Admin2PCODE]], tblPiNAnalysis[Admin2PCODE], INDIRECT("tblPiNAnalysis[" &amp; Table11[[#Headers],[Sectores más altos]] &amp; "]"), "NOT FOUND", 0, 1)</f>
        <v>SAL</v>
      </c>
      <c r="P195" cm="1">
        <f t="array" ref="P195">_xlfn.XLOOKUP(Table11[[#This Row],[Admin2PCODE]], tblPiNAnalysis[Admin2PCODE], tblPiNAnalysis[Severidad], "NOT FOUND", 0, 1)</f>
        <v>3</v>
      </c>
      <c r="Q195" s="318">
        <v>0.7857142857142857</v>
      </c>
      <c r="R195" s="318">
        <v>0.51010101010100994</v>
      </c>
      <c r="S195" s="318">
        <v>0.40079365079365065</v>
      </c>
      <c r="T195">
        <v>0</v>
      </c>
      <c r="W195">
        <f>_xlfn.XLOOKUP(Table11[[#This Row],[Admin2PCODE]],tblSeverityAnalysis[Admin 2 Código P],tblSeverityAnalysis[PRO],0,0)</f>
        <v>4</v>
      </c>
      <c r="Y195">
        <v>0</v>
      </c>
      <c r="Z195">
        <v>0</v>
      </c>
      <c r="AA195">
        <f t="shared" si="3"/>
        <v>0</v>
      </c>
    </row>
    <row r="196" spans="1:27">
      <c r="A196" t="s">
        <v>276</v>
      </c>
      <c r="B196" t="s">
        <v>455</v>
      </c>
      <c r="C196" s="42" t="s">
        <v>203</v>
      </c>
      <c r="D196" t="s">
        <v>488</v>
      </c>
      <c r="E196" s="8" cm="1">
        <f t="array" aca="1" ref="E196" ca="1">_xlfn.XLOOKUP(Table11[[#This Row],[Admin2PCODE]], tblPiNAnalysis[Admin2PCODE], INDIRECT("tblPiNAnalysis[" &amp; Table11[[#Headers],[Población]] &amp; "]"), "NOT FOUND", 0, 1)</f>
        <v>613902</v>
      </c>
      <c r="F196" s="8" cm="1">
        <f t="array" aca="1" ref="F196" ca="1">_xlfn.XLOOKUP(Table11[[#This Row],[Admin2PCODE]], tblPiNAnalysis[Admin2PCODE], INDIRECT("tblPiNAnalysis[" &amp; Table11[[#Headers],[SAMV]] &amp; "]"), "NOT FOUND", 0, 1)</f>
        <v>95637</v>
      </c>
      <c r="G196" s="8" cm="1">
        <f t="array" aca="1" ref="G196" ca="1">_xlfn.XLOOKUP(Table11[[#This Row],[Admin2PCODE]], tblPiNAnalysis[Admin2PCODE], INDIRECT("tblPiNAnalysis[" &amp; Table11[[#Headers],[NUT]] &amp; "]"), "NOT FOUND", 0, 1)</f>
        <v>32923.262776657502</v>
      </c>
      <c r="H196" s="8" cm="1">
        <f t="array" aca="1" ref="H196" ca="1">_xlfn.XLOOKUP(Table11[[#This Row],[Admin2PCODE]], tblPiNAnalysis[Admin2PCODE], INDIRECT("tblPiNAnalysis[" &amp; Table11[[#Headers],[SAL]] &amp; "]"), "NOT FOUND", 0, 1)</f>
        <v>224074.23</v>
      </c>
      <c r="I196" s="8" cm="1">
        <f t="array" aca="1" ref="I196" ca="1">_xlfn.XLOOKUP(Table11[[#This Row],[Admin2PCODE]], tblPiNAnalysis[Admin2PCODE], INDIRECT("tblPiNAnalysis[" &amp; Table11[[#Headers],[EDU]] &amp; "]"), "NOT FOUND", 0, 1)</f>
        <v>89542.975049871617</v>
      </c>
      <c r="J196" s="8" cm="1">
        <f t="array" aca="1" ref="J196" ca="1">_xlfn.XLOOKUP(Table11[[#This Row],[Admin2PCODE]], tblPiNAnalysis[Admin2PCODE], INDIRECT("tblPiNAnalysis[" &amp; Table11[[#Headers],[PRO]] &amp; "]"), "NOT FOUND", 0, 1)</f>
        <v>146863.50970875725</v>
      </c>
      <c r="K196" s="8" cm="1">
        <f t="array" aca="1" ref="K196" ca="1">_xlfn.XLOOKUP(Table11[[#This Row],[Admin2PCODE]], tblPiNAnalysis[Admin2PCODE], INDIRECT("tblPiNAnalysis[" &amp; Table11[[#Headers],[ASH]] &amp; "]"), "NOT FOUND", 0, 1)</f>
        <v>276255.90000000002</v>
      </c>
      <c r="L196" s="8" cm="1">
        <f t="array" aca="1" ref="L196" ca="1">_xlfn.XLOOKUP(Table11[[#This Row],[Admin2PCODE]], tblPiNAnalysis[Admin2PCODE], INDIRECT("tblPiNAnalysis[" &amp; Table11[[#Headers],[NNA]] &amp; "]"), "NOT FOUND", 0, 1)</f>
        <v>46996.323106802316</v>
      </c>
      <c r="M196" s="8" cm="1">
        <f t="array" aca="1" ref="M196" ca="1">_xlfn.XLOOKUP(Table11[[#This Row],[Admin2PCODE]], tblPiNAnalysis[Admin2PCODE], INDIRECT("tblPiNAnalysis[" &amp; Table11[[#Headers],[VBG]] &amp; "]"), "NOT FOUND", 0, 1)</f>
        <v>51402.228398065039</v>
      </c>
      <c r="N196" s="8" cm="1">
        <f t="array" aca="1" ref="N196" ca="1">_xlfn.XLOOKUP(Table11[[#This Row],[Admin2PCODE]], tblPiNAnalysis[Admin2PCODE], INDIRECT("tblPiNAnalysis[" &amp; Table11[[#Headers],[PiN más alto]] &amp; "]"), "NOT FOUND", 0, 1)</f>
        <v>276255.90000000002</v>
      </c>
      <c r="O196" t="str" cm="1">
        <f t="array" aca="1" ref="O196" ca="1">_xlfn.XLOOKUP(Table11[[#This Row],[Admin2PCODE]], tblPiNAnalysis[Admin2PCODE], INDIRECT("tblPiNAnalysis[" &amp; Table11[[#Headers],[Sectores más altos]] &amp; "]"), "NOT FOUND", 0, 1)</f>
        <v>ASH</v>
      </c>
      <c r="P196" cm="1">
        <f t="array" ref="P196">_xlfn.XLOOKUP(Table11[[#This Row],[Admin2PCODE]], tblPiNAnalysis[Admin2PCODE], tblPiNAnalysis[Severidad], "NOT FOUND", 0, 1)</f>
        <v>3</v>
      </c>
      <c r="Q196" s="318">
        <v>0.15789473684210525</v>
      </c>
      <c r="R196" s="318">
        <v>0.53262786596119915</v>
      </c>
      <c r="S196" s="318">
        <v>8.4099136730715646E-2</v>
      </c>
      <c r="T196">
        <v>0</v>
      </c>
      <c r="W196">
        <f>_xlfn.XLOOKUP(Table11[[#This Row],[Admin2PCODE]],tblSeverityAnalysis[Admin 2 Código P],tblSeverityAnalysis[PRO],0,0)</f>
        <v>4</v>
      </c>
      <c r="Y196">
        <v>0</v>
      </c>
      <c r="Z196">
        <v>0</v>
      </c>
      <c r="AA196">
        <f t="shared" si="3"/>
        <v>0</v>
      </c>
    </row>
    <row r="197" spans="1:27">
      <c r="A197" t="s">
        <v>276</v>
      </c>
      <c r="B197" t="s">
        <v>455</v>
      </c>
      <c r="C197" s="42" t="s">
        <v>207</v>
      </c>
      <c r="D197" t="s">
        <v>489</v>
      </c>
      <c r="E197" s="8" cm="1">
        <f t="array" aca="1" ref="E197" ca="1">_xlfn.XLOOKUP(Table11[[#This Row],[Admin2PCODE]], tblPiNAnalysis[Admin2PCODE], INDIRECT("tblPiNAnalysis[" &amp; Table11[[#Headers],[Población]] &amp; "]"), "NOT FOUND", 0, 1)</f>
        <v>138489</v>
      </c>
      <c r="F197" s="8" cm="1">
        <f t="array" aca="1" ref="F197" ca="1">_xlfn.XLOOKUP(Table11[[#This Row],[Admin2PCODE]], tblPiNAnalysis[Admin2PCODE], INDIRECT("tblPiNAnalysis[" &amp; Table11[[#Headers],[SAMV]] &amp; "]"), "NOT FOUND", 0, 1)</f>
        <v>23851</v>
      </c>
      <c r="G197" s="8" cm="1">
        <f t="array" aca="1" ref="G197" ca="1">_xlfn.XLOOKUP(Table11[[#This Row],[Admin2PCODE]], tblPiNAnalysis[Admin2PCODE], INDIRECT("tblPiNAnalysis[" &amp; Table11[[#Headers],[NUT]] &amp; "]"), "NOT FOUND", 0, 1)</f>
        <v>4641.3726721507173</v>
      </c>
      <c r="H197" s="8" cm="1">
        <f t="array" aca="1" ref="H197" ca="1">_xlfn.XLOOKUP(Table11[[#This Row],[Admin2PCODE]], tblPiNAnalysis[Admin2PCODE], INDIRECT("tblPiNAnalysis[" &amp; Table11[[#Headers],[SAL]] &amp; "]"), "NOT FOUND", 0, 1)</f>
        <v>50548.485000000001</v>
      </c>
      <c r="I197" s="8" cm="1">
        <f t="array" aca="1" ref="I197" ca="1">_xlfn.XLOOKUP(Table11[[#This Row],[Admin2PCODE]], tblPiNAnalysis[Admin2PCODE], INDIRECT("tblPiNAnalysis[" &amp; Table11[[#Headers],[EDU]] &amp; "]"), "NOT FOUND", 0, 1)</f>
        <v>14074.076193286957</v>
      </c>
      <c r="J197" s="8" cm="1">
        <f t="array" aca="1" ref="J197" ca="1">_xlfn.XLOOKUP(Table11[[#This Row],[Admin2PCODE]], tblPiNAnalysis[Admin2PCODE], INDIRECT("tblPiNAnalysis[" &amp; Table11[[#Headers],[PRO]] &amp; "]"), "NOT FOUND", 0, 1)</f>
        <v>33130.663519675916</v>
      </c>
      <c r="K197" s="8" cm="1">
        <f t="array" aca="1" ref="K197" ca="1">_xlfn.XLOOKUP(Table11[[#This Row],[Admin2PCODE]], tblPiNAnalysis[Admin2PCODE], INDIRECT("tblPiNAnalysis[" &amp; Table11[[#Headers],[ASH]] &amp; "]"), "NOT FOUND", 0, 1)</f>
        <v>9348.0074999999997</v>
      </c>
      <c r="L197" s="8" cm="1">
        <f t="array" aca="1" ref="L197" ca="1">_xlfn.XLOOKUP(Table11[[#This Row],[Admin2PCODE]], tblPiNAnalysis[Admin2PCODE], INDIRECT("tblPiNAnalysis[" &amp; Table11[[#Headers],[NNA]] &amp; "]"), "NOT FOUND", 0, 1)</f>
        <v>10601.812326296294</v>
      </c>
      <c r="M197" s="8" cm="1">
        <f t="array" aca="1" ref="M197" ca="1">_xlfn.XLOOKUP(Table11[[#This Row],[Admin2PCODE]], tblPiNAnalysis[Admin2PCODE], INDIRECT("tblPiNAnalysis[" &amp; Table11[[#Headers],[VBG]] &amp; "]"), "NOT FOUND", 0, 1)</f>
        <v>11595.73223188657</v>
      </c>
      <c r="N197" s="8" cm="1">
        <f t="array" aca="1" ref="N197" ca="1">_xlfn.XLOOKUP(Table11[[#This Row],[Admin2PCODE]], tblPiNAnalysis[Admin2PCODE], INDIRECT("tblPiNAnalysis[" &amp; Table11[[#Headers],[PiN más alto]] &amp; "]"), "NOT FOUND", 0, 1)</f>
        <v>50548.485000000001</v>
      </c>
      <c r="O197" t="str" cm="1">
        <f t="array" aca="1" ref="O197" ca="1">_xlfn.XLOOKUP(Table11[[#This Row],[Admin2PCODE]], tblPiNAnalysis[Admin2PCODE], INDIRECT("tblPiNAnalysis[" &amp; Table11[[#Headers],[Sectores más altos]] &amp; "]"), "NOT FOUND", 0, 1)</f>
        <v>SAL</v>
      </c>
      <c r="P197" cm="1">
        <f t="array" ref="P197">_xlfn.XLOOKUP(Table11[[#This Row],[Admin2PCODE]], tblPiNAnalysis[Admin2PCODE], tblPiNAnalysis[Severidad], "NOT FOUND", 0, 1)</f>
        <v>3</v>
      </c>
      <c r="Q197" s="318">
        <v>0.10377358490566038</v>
      </c>
      <c r="R197" s="318">
        <v>0.51515151515151503</v>
      </c>
      <c r="S197" s="318">
        <v>5.3459119496855334E-2</v>
      </c>
      <c r="T197">
        <v>0</v>
      </c>
      <c r="W197">
        <f>_xlfn.XLOOKUP(Table11[[#This Row],[Admin2PCODE]],tblSeverityAnalysis[Admin 2 Código P],tblSeverityAnalysis[PRO],0,0)</f>
        <v>4</v>
      </c>
      <c r="Y197">
        <v>0</v>
      </c>
      <c r="Z197">
        <v>0</v>
      </c>
      <c r="AA197">
        <f t="shared" si="3"/>
        <v>0</v>
      </c>
    </row>
    <row r="198" spans="1:27">
      <c r="A198" t="s">
        <v>276</v>
      </c>
      <c r="B198" t="s">
        <v>455</v>
      </c>
      <c r="C198" s="42" t="s">
        <v>209</v>
      </c>
      <c r="D198" t="s">
        <v>490</v>
      </c>
      <c r="E198" s="8" cm="1">
        <f t="array" aca="1" ref="E198" ca="1">_xlfn.XLOOKUP(Table11[[#This Row],[Admin2PCODE]], tblPiNAnalysis[Admin2PCODE], INDIRECT("tblPiNAnalysis[" &amp; Table11[[#Headers],[Población]] &amp; "]"), "NOT FOUND", 0, 1)</f>
        <v>191300</v>
      </c>
      <c r="F198" s="8" cm="1">
        <f t="array" aca="1" ref="F198" ca="1">_xlfn.XLOOKUP(Table11[[#This Row],[Admin2PCODE]], tblPiNAnalysis[Admin2PCODE], INDIRECT("tblPiNAnalysis[" &amp; Table11[[#Headers],[SAMV]] &amp; "]"), "NOT FOUND", 0, 1)</f>
        <v>3543</v>
      </c>
      <c r="G198" s="8" cm="1">
        <f t="array" aca="1" ref="G198" ca="1">_xlfn.XLOOKUP(Table11[[#This Row],[Admin2PCODE]], tblPiNAnalysis[Admin2PCODE], INDIRECT("tblPiNAnalysis[" &amp; Table11[[#Headers],[NUT]] &amp; "]"), "NOT FOUND", 0, 1)</f>
        <v>8570.8188499345197</v>
      </c>
      <c r="H198" s="8" cm="1">
        <f t="array" aca="1" ref="H198" ca="1">_xlfn.XLOOKUP(Table11[[#This Row],[Admin2PCODE]], tblPiNAnalysis[Admin2PCODE], INDIRECT("tblPiNAnalysis[" &amp; Table11[[#Headers],[SAL]] &amp; "]"), "NOT FOUND", 0, 1)</f>
        <v>69824.5</v>
      </c>
      <c r="I198" s="8" cm="1">
        <f t="array" aca="1" ref="I198" ca="1">_xlfn.XLOOKUP(Table11[[#This Row],[Admin2PCODE]], tblPiNAnalysis[Admin2PCODE], INDIRECT("tblPiNAnalysis[" &amp; Table11[[#Headers],[EDU]] &amp; "]"), "NOT FOUND", 0, 1)</f>
        <v>22396.212342262392</v>
      </c>
      <c r="J198" s="8" cm="1">
        <f t="array" aca="1" ref="J198" ca="1">_xlfn.XLOOKUP(Table11[[#This Row],[Admin2PCODE]], tblPiNAnalysis[Admin2PCODE], INDIRECT("tblPiNAnalysis[" &amp; Table11[[#Headers],[PRO]] &amp; "]"), "NOT FOUND", 0, 1)</f>
        <v>45764.616188390435</v>
      </c>
      <c r="K198" s="8" cm="1">
        <f t="array" aca="1" ref="K198" ca="1">_xlfn.XLOOKUP(Table11[[#This Row],[Admin2PCODE]], tblPiNAnalysis[Admin2PCODE], INDIRECT("tblPiNAnalysis[" &amp; Table11[[#Headers],[ASH]] &amp; "]"), "NOT FOUND", 0, 1)</f>
        <v>0</v>
      </c>
      <c r="L198" s="8" cm="1">
        <f t="array" aca="1" ref="L198" ca="1">_xlfn.XLOOKUP(Table11[[#This Row],[Admin2PCODE]], tblPiNAnalysis[Admin2PCODE], INDIRECT("tblPiNAnalysis[" &amp; Table11[[#Headers],[NNA]] &amp; "]"), "NOT FOUND", 0, 1)</f>
        <v>14644.67718028494</v>
      </c>
      <c r="M198" s="8" cm="1">
        <f t="array" aca="1" ref="M198" ca="1">_xlfn.XLOOKUP(Table11[[#This Row],[Admin2PCODE]], tblPiNAnalysis[Admin2PCODE], INDIRECT("tblPiNAnalysis[" &amp; Table11[[#Headers],[VBG]] &amp; "]"), "NOT FOUND", 0, 1)</f>
        <v>16017.615665936652</v>
      </c>
      <c r="N198" s="8" cm="1">
        <f t="array" aca="1" ref="N198" ca="1">_xlfn.XLOOKUP(Table11[[#This Row],[Admin2PCODE]], tblPiNAnalysis[Admin2PCODE], INDIRECT("tblPiNAnalysis[" &amp; Table11[[#Headers],[PiN más alto]] &amp; "]"), "NOT FOUND", 0, 1)</f>
        <v>69824.5</v>
      </c>
      <c r="O198" t="str" cm="1">
        <f t="array" aca="1" ref="O198" ca="1">_xlfn.XLOOKUP(Table11[[#This Row],[Admin2PCODE]], tblPiNAnalysis[Admin2PCODE], INDIRECT("tblPiNAnalysis[" &amp; Table11[[#Headers],[Sectores más altos]] &amp; "]"), "NOT FOUND", 0, 1)</f>
        <v>SAL</v>
      </c>
      <c r="P198" cm="1">
        <f t="array" ref="P198">_xlfn.XLOOKUP(Table11[[#This Row],[Admin2PCODE]], tblPiNAnalysis[Admin2PCODE], tblPiNAnalysis[Severidad], "NOT FOUND", 0, 1)</f>
        <v>2</v>
      </c>
      <c r="Q198" s="318">
        <v>4.712041884816754E-2</v>
      </c>
      <c r="R198" s="318">
        <v>0.37037037037037029</v>
      </c>
      <c r="S198" s="318">
        <v>1.7452006980802789E-2</v>
      </c>
      <c r="T198">
        <v>0</v>
      </c>
      <c r="W198">
        <f>_xlfn.XLOOKUP(Table11[[#This Row],[Admin2PCODE]],tblSeverityAnalysis[Admin 2 Código P],tblSeverityAnalysis[PRO],0,0)</f>
        <v>4</v>
      </c>
      <c r="Y198">
        <v>8</v>
      </c>
      <c r="Z198">
        <v>0</v>
      </c>
      <c r="AA198">
        <f t="shared" si="3"/>
        <v>0</v>
      </c>
    </row>
    <row r="199" spans="1:27">
      <c r="A199" t="s">
        <v>491</v>
      </c>
      <c r="B199" t="s">
        <v>492</v>
      </c>
      <c r="C199" s="42" t="s">
        <v>318</v>
      </c>
      <c r="D199" t="s">
        <v>493</v>
      </c>
      <c r="E199" s="8" cm="1">
        <f t="array" aca="1" ref="E199" ca="1">_xlfn.XLOOKUP(Table11[[#This Row],[Admin2PCODE]], tblPiNAnalysis[Admin2PCODE], INDIRECT("tblPiNAnalysis[" &amp; Table11[[#Headers],[Población]] &amp; "]"), "NOT FOUND", 0, 1)</f>
        <v>18632</v>
      </c>
      <c r="F199" s="8" cm="1">
        <f t="array" aca="1" ref="F199" ca="1">_xlfn.XLOOKUP(Table11[[#This Row],[Admin2PCODE]], tblPiNAnalysis[Admin2PCODE], INDIRECT("tblPiNAnalysis[" &amp; Table11[[#Headers],[SAMV]] &amp; "]"), "NOT FOUND", 0, 1)</f>
        <v>6599</v>
      </c>
      <c r="G199" s="8" cm="1">
        <f t="array" aca="1" ref="G199" ca="1">_xlfn.XLOOKUP(Table11[[#This Row],[Admin2PCODE]], tblPiNAnalysis[Admin2PCODE], INDIRECT("tblPiNAnalysis[" &amp; Table11[[#Headers],[NUT]] &amp; "]"), "NOT FOUND", 0, 1)</f>
        <v>666.48086845537387</v>
      </c>
      <c r="H199" s="8" cm="1">
        <f t="array" aca="1" ref="H199" ca="1">_xlfn.XLOOKUP(Table11[[#This Row],[Admin2PCODE]], tblPiNAnalysis[Admin2PCODE], INDIRECT("tblPiNAnalysis[" &amp; Table11[[#Headers],[SAL]] &amp; "]"), "NOT FOUND", 0, 1)</f>
        <v>12600</v>
      </c>
      <c r="I199" s="8" cm="1">
        <f t="array" aca="1" ref="I199" ca="1">_xlfn.XLOOKUP(Table11[[#This Row],[Admin2PCODE]], tblPiNAnalysis[Admin2PCODE], INDIRECT("tblPiNAnalysis[" &amp; Table11[[#Headers],[EDU]] &amp; "]"), "NOT FOUND", 0, 1)</f>
        <v>859.03253717400207</v>
      </c>
      <c r="J199" s="8" cm="1">
        <f t="array" aca="1" ref="J199" ca="1">_xlfn.XLOOKUP(Table11[[#This Row],[Admin2PCODE]], tblPiNAnalysis[Admin2PCODE], INDIRECT("tblPiNAnalysis[" &amp; Table11[[#Headers],[PRO]] &amp; "]"), "NOT FOUND", 0, 1)</f>
        <v>3720.558464639003</v>
      </c>
      <c r="K199" s="8" cm="1">
        <f t="array" aca="1" ref="K199" ca="1">_xlfn.XLOOKUP(Table11[[#This Row],[Admin2PCODE]], tblPiNAnalysis[Admin2PCODE], INDIRECT("tblPiNAnalysis[" &amp; Table11[[#Headers],[ASH]] &amp; "]"), "NOT FOUND", 0, 1)</f>
        <v>0</v>
      </c>
      <c r="L199" s="8" cm="1">
        <f t="array" aca="1" ref="L199" ca="1">_xlfn.XLOOKUP(Table11[[#This Row],[Admin2PCODE]], tblPiNAnalysis[Admin2PCODE], INDIRECT("tblPiNAnalysis[" &amp; Table11[[#Headers],[NNA]] &amp; "]"), "NOT FOUND", 0, 1)</f>
        <v>1190.5787086844809</v>
      </c>
      <c r="M199" s="8" cm="1">
        <f t="array" aca="1" ref="M199" ca="1">_xlfn.XLOOKUP(Table11[[#This Row],[Admin2PCODE]], tblPiNAnalysis[Admin2PCODE], INDIRECT("tblPiNAnalysis[" &amp; Table11[[#Headers],[VBG]] &amp; "]"), "NOT FOUND", 0, 1)</f>
        <v>1302.1954626236509</v>
      </c>
      <c r="N199" s="8" cm="1">
        <f t="array" aca="1" ref="N199" ca="1">_xlfn.XLOOKUP(Table11[[#This Row],[Admin2PCODE]], tblPiNAnalysis[Admin2PCODE], INDIRECT("tblPiNAnalysis[" &amp; Table11[[#Headers],[PiN más alto]] &amp; "]"), "NOT FOUND", 0, 1)</f>
        <v>12600</v>
      </c>
      <c r="O199" t="str" cm="1">
        <f t="array" aca="1" ref="O199" ca="1">_xlfn.XLOOKUP(Table11[[#This Row],[Admin2PCODE]], tblPiNAnalysis[Admin2PCODE], INDIRECT("tblPiNAnalysis[" &amp; Table11[[#Headers],[Sectores más altos]] &amp; "]"), "NOT FOUND", 0, 1)</f>
        <v>SAL</v>
      </c>
      <c r="P199" cm="1">
        <f t="array" ref="P199">_xlfn.XLOOKUP(Table11[[#This Row],[Admin2PCODE]], tblPiNAnalysis[Admin2PCODE], tblPiNAnalysis[Severidad], "NOT FOUND", 0, 1)</f>
        <v>3</v>
      </c>
      <c r="Q199" s="318">
        <v>0.14285714285714285</v>
      </c>
      <c r="R199" s="318">
        <v>0.33333333333333331</v>
      </c>
      <c r="S199" s="318">
        <v>4.7619047619047616E-2</v>
      </c>
      <c r="T199">
        <v>0</v>
      </c>
      <c r="W199">
        <f>_xlfn.XLOOKUP(Table11[[#This Row],[Admin2PCODE]],tblSeverityAnalysis[Admin 2 Código P],tblSeverityAnalysis[PRO],0,0)</f>
        <v>3</v>
      </c>
      <c r="Y199">
        <v>0</v>
      </c>
      <c r="Z199">
        <v>0</v>
      </c>
      <c r="AA199">
        <f t="shared" si="3"/>
        <v>0</v>
      </c>
    </row>
    <row r="200" spans="1:27">
      <c r="A200" t="s">
        <v>491</v>
      </c>
      <c r="B200" t="s">
        <v>492</v>
      </c>
      <c r="C200" s="42" t="s">
        <v>494</v>
      </c>
      <c r="D200" t="s">
        <v>495</v>
      </c>
      <c r="E200" s="8" cm="1">
        <f t="array" aca="1" ref="E200" ca="1">_xlfn.XLOOKUP(Table11[[#This Row],[Admin2PCODE]], tblPiNAnalysis[Admin2PCODE], INDIRECT("tblPiNAnalysis[" &amp; Table11[[#Headers],[Población]] &amp; "]"), "NOT FOUND", 0, 1)</f>
        <v>12116</v>
      </c>
      <c r="F200" s="8" cm="1">
        <f t="array" aca="1" ref="F200" ca="1">_xlfn.XLOOKUP(Table11[[#This Row],[Admin2PCODE]], tblPiNAnalysis[Admin2PCODE], INDIRECT("tblPiNAnalysis[" &amp; Table11[[#Headers],[SAMV]] &amp; "]"), "NOT FOUND", 0, 1)</f>
        <v>3365</v>
      </c>
      <c r="G200" s="8" cm="1">
        <f t="array" aca="1" ref="G200" ca="1">_xlfn.XLOOKUP(Table11[[#This Row],[Admin2PCODE]], tblPiNAnalysis[Admin2PCODE], INDIRECT("tblPiNAnalysis[" &amp; Table11[[#Headers],[NUT]] &amp; "]"), "NOT FOUND", 0, 1)</f>
        <v>903.27898301169591</v>
      </c>
      <c r="H200" s="8" cm="1">
        <f t="array" aca="1" ref="H200" ca="1">_xlfn.XLOOKUP(Table11[[#This Row],[Admin2PCODE]], tblPiNAnalysis[Admin2PCODE], INDIRECT("tblPiNAnalysis[" &amp; Table11[[#Headers],[SAL]] &amp; "]"), "NOT FOUND", 0, 1)</f>
        <v>10000</v>
      </c>
      <c r="I200" s="8" cm="1">
        <f t="array" aca="1" ref="I200" ca="1">_xlfn.XLOOKUP(Table11[[#This Row],[Admin2PCODE]], tblPiNAnalysis[Admin2PCODE], INDIRECT("tblPiNAnalysis[" &amp; Table11[[#Headers],[EDU]] &amp; "]"), "NOT FOUND", 0, 1)</f>
        <v>246.88168184300008</v>
      </c>
      <c r="J200" s="8" cm="1">
        <f t="array" aca="1" ref="J200" ca="1">_xlfn.XLOOKUP(Table11[[#This Row],[Admin2PCODE]], tblPiNAnalysis[Admin2PCODE], INDIRECT("tblPiNAnalysis[" &amp; Table11[[#Headers],[PRO]] &amp; "]"), "NOT FOUND", 0, 1)</f>
        <v>2419.4013717027783</v>
      </c>
      <c r="K200" s="8" cm="1">
        <f t="array" aca="1" ref="K200" ca="1">_xlfn.XLOOKUP(Table11[[#This Row],[Admin2PCODE]], tblPiNAnalysis[Admin2PCODE], INDIRECT("tblPiNAnalysis[" &amp; Table11[[#Headers],[ASH]] &amp; "]"), "NOT FOUND", 0, 1)</f>
        <v>0</v>
      </c>
      <c r="L200" s="8" cm="1">
        <f t="array" aca="1" ref="L200" ca="1">_xlfn.XLOOKUP(Table11[[#This Row],[Admin2PCODE]], tblPiNAnalysis[Admin2PCODE], INDIRECT("tblPiNAnalysis[" &amp; Table11[[#Headers],[NNA]] &amp; "]"), "NOT FOUND", 0, 1)</f>
        <v>774.20843894488905</v>
      </c>
      <c r="M200" s="8" cm="1">
        <f t="array" aca="1" ref="M200" ca="1">_xlfn.XLOOKUP(Table11[[#This Row],[Admin2PCODE]], tblPiNAnalysis[Admin2PCODE], INDIRECT("tblPiNAnalysis[" &amp; Table11[[#Headers],[VBG]] &amp; "]"), "NOT FOUND", 0, 1)</f>
        <v>846.79048009597227</v>
      </c>
      <c r="N200" s="8" cm="1">
        <f t="array" aca="1" ref="N200" ca="1">_xlfn.XLOOKUP(Table11[[#This Row],[Admin2PCODE]], tblPiNAnalysis[Admin2PCODE], INDIRECT("tblPiNAnalysis[" &amp; Table11[[#Headers],[PiN más alto]] &amp; "]"), "NOT FOUND", 0, 1)</f>
        <v>10000</v>
      </c>
      <c r="O200" t="str" cm="1">
        <f t="array" aca="1" ref="O200" ca="1">_xlfn.XLOOKUP(Table11[[#This Row],[Admin2PCODE]], tblPiNAnalysis[Admin2PCODE], INDIRECT("tblPiNAnalysis[" &amp; Table11[[#Headers],[Sectores más altos]] &amp; "]"), "NOT FOUND", 0, 1)</f>
        <v>SAL</v>
      </c>
      <c r="P200" cm="1">
        <f t="array" ref="P200">_xlfn.XLOOKUP(Table11[[#This Row],[Admin2PCODE]], tblPiNAnalysis[Admin2PCODE], tblPiNAnalysis[Severidad], "NOT FOUND", 0, 1)</f>
        <v>3</v>
      </c>
      <c r="Q200" s="318">
        <v>0.42857142857142855</v>
      </c>
      <c r="R200" s="318">
        <v>0.3888888888888889</v>
      </c>
      <c r="S200" s="318">
        <v>0.16666666666666666</v>
      </c>
      <c r="T200">
        <v>1</v>
      </c>
      <c r="W200">
        <f>_xlfn.XLOOKUP(Table11[[#This Row],[Admin2PCODE]],tblSeverityAnalysis[Admin 2 Código P],tblSeverityAnalysis[PRO],0,0)</f>
        <v>3</v>
      </c>
      <c r="Y200">
        <v>0</v>
      </c>
      <c r="Z200">
        <v>0</v>
      </c>
      <c r="AA200">
        <f t="shared" si="3"/>
        <v>0</v>
      </c>
    </row>
    <row r="201" spans="1:27">
      <c r="A201" t="s">
        <v>491</v>
      </c>
      <c r="B201" t="s">
        <v>492</v>
      </c>
      <c r="C201" s="42" t="s">
        <v>180</v>
      </c>
      <c r="D201" t="s">
        <v>496</v>
      </c>
      <c r="E201" s="8" cm="1">
        <f t="array" aca="1" ref="E201" ca="1">_xlfn.XLOOKUP(Table11[[#This Row],[Admin2PCODE]], tblPiNAnalysis[Admin2PCODE], INDIRECT("tblPiNAnalysis[" &amp; Table11[[#Headers],[Población]] &amp; "]"), "NOT FOUND", 0, 1)</f>
        <v>39522</v>
      </c>
      <c r="F201" s="8" cm="1">
        <f t="array" aca="1" ref="F201" ca="1">_xlfn.XLOOKUP(Table11[[#This Row],[Admin2PCODE]], tblPiNAnalysis[Admin2PCODE], INDIRECT("tblPiNAnalysis[" &amp; Table11[[#Headers],[SAMV]] &amp; "]"), "NOT FOUND", 0, 1)</f>
        <v>32935</v>
      </c>
      <c r="G201" s="8" cm="1">
        <f t="array" aca="1" ref="G201" ca="1">_xlfn.XLOOKUP(Table11[[#This Row],[Admin2PCODE]], tblPiNAnalysis[Admin2PCODE], INDIRECT("tblPiNAnalysis[" &amp; Table11[[#Headers],[NUT]] &amp; "]"), "NOT FOUND", 0, 1)</f>
        <v>1556.4735311369282</v>
      </c>
      <c r="H201" s="8" cm="1">
        <f t="array" aca="1" ref="H201" ca="1">_xlfn.XLOOKUP(Table11[[#This Row],[Admin2PCODE]], tblPiNAnalysis[Admin2PCODE], INDIRECT("tblPiNAnalysis[" &amp; Table11[[#Headers],[SAL]] &amp; "]"), "NOT FOUND", 0, 1)</f>
        <v>14425.53</v>
      </c>
      <c r="I201" s="8" cm="1">
        <f t="array" aca="1" ref="I201" ca="1">_xlfn.XLOOKUP(Table11[[#This Row],[Admin2PCODE]], tblPiNAnalysis[Admin2PCODE], INDIRECT("tblPiNAnalysis[" &amp; Table11[[#Headers],[EDU]] &amp; "]"), "NOT FOUND", 0, 1)</f>
        <v>2847.4822893862083</v>
      </c>
      <c r="J201" s="8" cm="1">
        <f t="array" aca="1" ref="J201" ca="1">_xlfn.XLOOKUP(Table11[[#This Row],[Admin2PCODE]], tblPiNAnalysis[Admin2PCODE], INDIRECT("tblPiNAnalysis[" &amp; Table11[[#Headers],[PRO]] &amp; "]"), "NOT FOUND", 0, 1)</f>
        <v>7892.0089973949462</v>
      </c>
      <c r="K201" s="8" cm="1">
        <f t="array" aca="1" ref="K201" ca="1">_xlfn.XLOOKUP(Table11[[#This Row],[Admin2PCODE]], tblPiNAnalysis[Admin2PCODE], INDIRECT("tblPiNAnalysis[" &amp; Table11[[#Headers],[ASH]] &amp; "]"), "NOT FOUND", 0, 1)</f>
        <v>5335.47</v>
      </c>
      <c r="L201" s="8" cm="1">
        <f t="array" aca="1" ref="L201" ca="1">_xlfn.XLOOKUP(Table11[[#This Row],[Admin2PCODE]], tblPiNAnalysis[Admin2PCODE], INDIRECT("tblPiNAnalysis[" &amp; Table11[[#Headers],[NNA]] &amp; "]"), "NOT FOUND", 0, 1)</f>
        <v>2533.3348881637776</v>
      </c>
      <c r="M201" s="8" cm="1">
        <f t="array" aca="1" ref="M201" ca="1">_xlfn.XLOOKUP(Table11[[#This Row],[Admin2PCODE]], tblPiNAnalysis[Admin2PCODE], INDIRECT("tblPiNAnalysis[" &amp; Table11[[#Headers],[VBG]] &amp; "]"), "NOT FOUND", 0, 1)</f>
        <v>2762.2031490882309</v>
      </c>
      <c r="N201" s="8" cm="1">
        <f t="array" aca="1" ref="N201" ca="1">_xlfn.XLOOKUP(Table11[[#This Row],[Admin2PCODE]], tblPiNAnalysis[Admin2PCODE], INDIRECT("tblPiNAnalysis[" &amp; Table11[[#Headers],[PiN más alto]] &amp; "]"), "NOT FOUND", 0, 1)</f>
        <v>32935</v>
      </c>
      <c r="O201" t="str" cm="1">
        <f t="array" aca="1" ref="O201" ca="1">_xlfn.XLOOKUP(Table11[[#This Row],[Admin2PCODE]], tblPiNAnalysis[Admin2PCODE], INDIRECT("tblPiNAnalysis[" &amp; Table11[[#Headers],[Sectores más altos]] &amp; "]"), "NOT FOUND", 0, 1)</f>
        <v>SAMV</v>
      </c>
      <c r="P201" cm="1">
        <f t="array" ref="P201">_xlfn.XLOOKUP(Table11[[#This Row],[Admin2PCODE]], tblPiNAnalysis[Admin2PCODE], tblPiNAnalysis[Severidad], "NOT FOUND", 0, 1)</f>
        <v>3</v>
      </c>
      <c r="Q201" s="318">
        <v>0.28301886792452829</v>
      </c>
      <c r="R201" s="318">
        <v>0.39259259259259255</v>
      </c>
      <c r="S201" s="318">
        <v>0.11111111111111109</v>
      </c>
      <c r="T201">
        <v>0</v>
      </c>
      <c r="W201">
        <f>_xlfn.XLOOKUP(Table11[[#This Row],[Admin2PCODE]],tblSeverityAnalysis[Admin 2 Código P],tblSeverityAnalysis[PRO],0,0)</f>
        <v>3</v>
      </c>
      <c r="Y201">
        <v>0</v>
      </c>
      <c r="Z201">
        <v>0</v>
      </c>
      <c r="AA201">
        <f t="shared" si="3"/>
        <v>0</v>
      </c>
    </row>
    <row r="202" spans="1:27">
      <c r="A202" t="s">
        <v>491</v>
      </c>
      <c r="B202" t="s">
        <v>492</v>
      </c>
      <c r="C202" s="42" t="s">
        <v>497</v>
      </c>
      <c r="D202" t="s">
        <v>498</v>
      </c>
      <c r="E202" s="8" cm="1">
        <f t="array" aca="1" ref="E202" ca="1">_xlfn.XLOOKUP(Table11[[#This Row],[Admin2PCODE]], tblPiNAnalysis[Admin2PCODE], INDIRECT("tblPiNAnalysis[" &amp; Table11[[#Headers],[Población]] &amp; "]"), "NOT FOUND", 0, 1)</f>
        <v>34496</v>
      </c>
      <c r="F202" s="8" cm="1">
        <f t="array" aca="1" ref="F202" ca="1">_xlfn.XLOOKUP(Table11[[#This Row],[Admin2PCODE]], tblPiNAnalysis[Admin2PCODE], INDIRECT("tblPiNAnalysis[" &amp; Table11[[#Headers],[SAMV]] &amp; "]"), "NOT FOUND", 0, 1)</f>
        <v>10823</v>
      </c>
      <c r="G202" s="8" cm="1">
        <f t="array" aca="1" ref="G202" ca="1">_xlfn.XLOOKUP(Table11[[#This Row],[Admin2PCODE]], tblPiNAnalysis[Admin2PCODE], INDIRECT("tblPiNAnalysis[" &amp; Table11[[#Headers],[NUT]] &amp; "]"), "NOT FOUND", 0, 1)</f>
        <v>1338.3356306597902</v>
      </c>
      <c r="H202" s="8" cm="1">
        <f t="array" aca="1" ref="H202" ca="1">_xlfn.XLOOKUP(Table11[[#This Row],[Admin2PCODE]], tblPiNAnalysis[Admin2PCODE], INDIRECT("tblPiNAnalysis[" &amp; Table11[[#Headers],[SAL]] &amp; "]"), "NOT FOUND", 0, 1)</f>
        <v>12591.04</v>
      </c>
      <c r="I202" s="8" cm="1">
        <f t="array" aca="1" ref="I202" ca="1">_xlfn.XLOOKUP(Table11[[#This Row],[Admin2PCODE]], tblPiNAnalysis[Admin2PCODE], INDIRECT("tblPiNAnalysis[" &amp; Table11[[#Headers],[EDU]] &amp; "]"), "NOT FOUND", 0, 1)</f>
        <v>2134.9111339864476</v>
      </c>
      <c r="J202" s="8" cm="1">
        <f t="array" aca="1" ref="J202" ca="1">_xlfn.XLOOKUP(Table11[[#This Row],[Admin2PCODE]], tblPiNAnalysis[Admin2PCODE], INDIRECT("tblPiNAnalysis[" &amp; Table11[[#Headers],[PRO]] &amp; "]"), "NOT FOUND", 0, 1)</f>
        <v>6888.3847572019658</v>
      </c>
      <c r="K202" s="8" cm="1">
        <f t="array" aca="1" ref="K202" ca="1">_xlfn.XLOOKUP(Table11[[#This Row],[Admin2PCODE]], tblPiNAnalysis[Admin2PCODE], INDIRECT("tblPiNAnalysis[" &amp; Table11[[#Headers],[ASH]] &amp; "]"), "NOT FOUND", 0, 1)</f>
        <v>0</v>
      </c>
      <c r="L202" s="8" cm="1">
        <f t="array" aca="1" ref="L202" ca="1">_xlfn.XLOOKUP(Table11[[#This Row],[Admin2PCODE]], tblPiNAnalysis[Admin2PCODE], INDIRECT("tblPiNAnalysis[" &amp; Table11[[#Headers],[NNA]] &amp; "]"), "NOT FOUND", 0, 1)</f>
        <v>2204.2831223046287</v>
      </c>
      <c r="M202" s="8" cm="1">
        <f t="array" aca="1" ref="M202" ca="1">_xlfn.XLOOKUP(Table11[[#This Row],[Admin2PCODE]], tblPiNAnalysis[Admin2PCODE], INDIRECT("tblPiNAnalysis[" &amp; Table11[[#Headers],[VBG]] &amp; "]"), "NOT FOUND", 0, 1)</f>
        <v>2410.934665020688</v>
      </c>
      <c r="N202" s="8" cm="1">
        <f t="array" aca="1" ref="N202" ca="1">_xlfn.XLOOKUP(Table11[[#This Row],[Admin2PCODE]], tblPiNAnalysis[Admin2PCODE], INDIRECT("tblPiNAnalysis[" &amp; Table11[[#Headers],[PiN más alto]] &amp; "]"), "NOT FOUND", 0, 1)</f>
        <v>12591.04</v>
      </c>
      <c r="O202" t="str" cm="1">
        <f t="array" aca="1" ref="O202" ca="1">_xlfn.XLOOKUP(Table11[[#This Row],[Admin2PCODE]], tblPiNAnalysis[Admin2PCODE], INDIRECT("tblPiNAnalysis[" &amp; Table11[[#Headers],[Sectores más altos]] &amp; "]"), "NOT FOUND", 0, 1)</f>
        <v>SAL</v>
      </c>
      <c r="P202" cm="1">
        <f t="array" ref="P202">_xlfn.XLOOKUP(Table11[[#This Row],[Admin2PCODE]], tblPiNAnalysis[Admin2PCODE], tblPiNAnalysis[Severidad], "NOT FOUND", 0, 1)</f>
        <v>3</v>
      </c>
      <c r="Q202" s="318">
        <v>0.10714285714285714</v>
      </c>
      <c r="R202" s="318">
        <v>0.46296296296296285</v>
      </c>
      <c r="S202" s="318">
        <v>4.9603174603174587E-2</v>
      </c>
      <c r="T202">
        <v>0</v>
      </c>
      <c r="W202">
        <f>_xlfn.XLOOKUP(Table11[[#This Row],[Admin2PCODE]],tblSeverityAnalysis[Admin 2 Código P],tblSeverityAnalysis[PRO],0,0)</f>
        <v>3</v>
      </c>
      <c r="Y202">
        <v>8</v>
      </c>
      <c r="Z202">
        <v>0</v>
      </c>
      <c r="AA202">
        <f t="shared" si="3"/>
        <v>0</v>
      </c>
    </row>
    <row r="203" spans="1:27">
      <c r="A203" t="s">
        <v>491</v>
      </c>
      <c r="B203" t="s">
        <v>492</v>
      </c>
      <c r="C203" s="42" t="s">
        <v>242</v>
      </c>
      <c r="D203" t="s">
        <v>499</v>
      </c>
      <c r="E203" s="8" cm="1">
        <f t="array" aca="1" ref="E203" ca="1">_xlfn.XLOOKUP(Table11[[#This Row],[Admin2PCODE]], tblPiNAnalysis[Admin2PCODE], INDIRECT("tblPiNAnalysis[" &amp; Table11[[#Headers],[Población]] &amp; "]"), "NOT FOUND", 0, 1)</f>
        <v>35245</v>
      </c>
      <c r="F203" s="8" cm="1">
        <f t="array" aca="1" ref="F203" ca="1">_xlfn.XLOOKUP(Table11[[#This Row],[Admin2PCODE]], tblPiNAnalysis[Admin2PCODE], INDIRECT("tblPiNAnalysis[" &amp; Table11[[#Headers],[SAMV]] &amp; "]"), "NOT FOUND", 0, 1)</f>
        <v>11748</v>
      </c>
      <c r="G203" s="8" cm="1">
        <f t="array" aca="1" ref="G203" ca="1">_xlfn.XLOOKUP(Table11[[#This Row],[Admin2PCODE]], tblPiNAnalysis[Admin2PCODE], INDIRECT("tblPiNAnalysis[" &amp; Table11[[#Headers],[NUT]] &amp; "]"), "NOT FOUND", 0, 1)</f>
        <v>1863.5224573282942</v>
      </c>
      <c r="H203" s="8" cm="1">
        <f t="array" aca="1" ref="H203" ca="1">_xlfn.XLOOKUP(Table11[[#This Row],[Admin2PCODE]], tblPiNAnalysis[Admin2PCODE], INDIRECT("tblPiNAnalysis[" &amp; Table11[[#Headers],[SAL]] &amp; "]"), "NOT FOUND", 0, 1)</f>
        <v>12864.424999999999</v>
      </c>
      <c r="I203" s="8" cm="1">
        <f t="array" aca="1" ref="I203" ca="1">_xlfn.XLOOKUP(Table11[[#This Row],[Admin2PCODE]], tblPiNAnalysis[Admin2PCODE], INDIRECT("tblPiNAnalysis[" &amp; Table11[[#Headers],[EDU]] &amp; "]"), "NOT FOUND", 0, 1)</f>
        <v>1309.4217816871515</v>
      </c>
      <c r="J203" s="8" cm="1">
        <f t="array" aca="1" ref="J203" ca="1">_xlfn.XLOOKUP(Table11[[#This Row],[Admin2PCODE]], tblPiNAnalysis[Admin2PCODE], INDIRECT("tblPiNAnalysis[" &amp; Table11[[#Headers],[PRO]] &amp; "]"), "NOT FOUND", 0, 1)</f>
        <v>8445.5399153843882</v>
      </c>
      <c r="K203" s="8" cm="1">
        <f t="array" aca="1" ref="K203" ca="1">_xlfn.XLOOKUP(Table11[[#This Row],[Admin2PCODE]], tblPiNAnalysis[Admin2PCODE], INDIRECT("tblPiNAnalysis[" &amp; Table11[[#Headers],[ASH]] &amp; "]"), "NOT FOUND", 0, 1)</f>
        <v>4758.0749999999998</v>
      </c>
      <c r="L203" s="8" cm="1">
        <f t="array" aca="1" ref="L203" ca="1">_xlfn.XLOOKUP(Table11[[#This Row],[Admin2PCODE]], tblPiNAnalysis[Admin2PCODE], INDIRECT("tblPiNAnalysis[" &amp; Table11[[#Headers],[NNA]] &amp; "]"), "NOT FOUND", 0, 1)</f>
        <v>2702.5727729230043</v>
      </c>
      <c r="M203" s="8" cm="1">
        <f t="array" aca="1" ref="M203" ca="1">_xlfn.XLOOKUP(Table11[[#This Row],[Admin2PCODE]], tblPiNAnalysis[Admin2PCODE], INDIRECT("tblPiNAnalysis[" &amp; Table11[[#Headers],[VBG]] &amp; "]"), "NOT FOUND", 0, 1)</f>
        <v>2955.9389703845359</v>
      </c>
      <c r="N203" s="8" cm="1">
        <f t="array" aca="1" ref="N203" ca="1">_xlfn.XLOOKUP(Table11[[#This Row],[Admin2PCODE]], tblPiNAnalysis[Admin2PCODE], INDIRECT("tblPiNAnalysis[" &amp; Table11[[#Headers],[PiN más alto]] &amp; "]"), "NOT FOUND", 0, 1)</f>
        <v>12864.424999999999</v>
      </c>
      <c r="O203" t="str" cm="1">
        <f t="array" aca="1" ref="O203" ca="1">_xlfn.XLOOKUP(Table11[[#This Row],[Admin2PCODE]], tblPiNAnalysis[Admin2PCODE], INDIRECT("tblPiNAnalysis[" &amp; Table11[[#Headers],[Sectores más altos]] &amp; "]"), "NOT FOUND", 0, 1)</f>
        <v>SAL</v>
      </c>
      <c r="P203" cm="1">
        <f t="array" ref="P203">_xlfn.XLOOKUP(Table11[[#This Row],[Admin2PCODE]], tblPiNAnalysis[Admin2PCODE], tblPiNAnalysis[Severidad], "NOT FOUND", 0, 1)</f>
        <v>3</v>
      </c>
      <c r="Q203" s="318">
        <v>0.3125</v>
      </c>
      <c r="R203" s="318">
        <v>0.33333333333333331</v>
      </c>
      <c r="S203" s="318">
        <v>0.10416666666666666</v>
      </c>
      <c r="T203">
        <v>0</v>
      </c>
      <c r="W203">
        <f>_xlfn.XLOOKUP(Table11[[#This Row],[Admin2PCODE]],tblSeverityAnalysis[Admin 2 Código P],tblSeverityAnalysis[PRO],0,0)</f>
        <v>4</v>
      </c>
      <c r="Y203">
        <v>3</v>
      </c>
      <c r="Z203">
        <v>0</v>
      </c>
      <c r="AA203">
        <f t="shared" si="3"/>
        <v>0</v>
      </c>
    </row>
    <row r="204" spans="1:27">
      <c r="A204" t="s">
        <v>491</v>
      </c>
      <c r="B204" t="s">
        <v>492</v>
      </c>
      <c r="C204" s="42" t="s">
        <v>227</v>
      </c>
      <c r="D204" t="s">
        <v>500</v>
      </c>
      <c r="E204" s="8" cm="1">
        <f t="array" aca="1" ref="E204" ca="1">_xlfn.XLOOKUP(Table11[[#This Row],[Admin2PCODE]], tblPiNAnalysis[Admin2PCODE], INDIRECT("tblPiNAnalysis[" &amp; Table11[[#Headers],[Población]] &amp; "]"), "NOT FOUND", 0, 1)</f>
        <v>64175</v>
      </c>
      <c r="F204" s="8" cm="1">
        <f t="array" aca="1" ref="F204" ca="1">_xlfn.XLOOKUP(Table11[[#This Row],[Admin2PCODE]], tblPiNAnalysis[Admin2PCODE], INDIRECT("tblPiNAnalysis[" &amp; Table11[[#Headers],[SAMV]] &amp; "]"), "NOT FOUND", 0, 1)</f>
        <v>11092</v>
      </c>
      <c r="G204" s="8" cm="1">
        <f t="array" aca="1" ref="G204" ca="1">_xlfn.XLOOKUP(Table11[[#This Row],[Admin2PCODE]], tblPiNAnalysis[Admin2PCODE], INDIRECT("tblPiNAnalysis[" &amp; Table11[[#Headers],[NUT]] &amp; "]"), "NOT FOUND", 0, 1)</f>
        <v>2362.2506272927922</v>
      </c>
      <c r="H204" s="8" cm="1">
        <f t="array" aca="1" ref="H204" ca="1">_xlfn.XLOOKUP(Table11[[#This Row],[Admin2PCODE]], tblPiNAnalysis[Admin2PCODE], INDIRECT("tblPiNAnalysis[" &amp; Table11[[#Headers],[SAL]] &amp; "]"), "NOT FOUND", 0, 1)</f>
        <v>23423.875</v>
      </c>
      <c r="I204" s="8" cm="1">
        <f t="array" aca="1" ref="I204" ca="1">_xlfn.XLOOKUP(Table11[[#This Row],[Admin2PCODE]], tblPiNAnalysis[Admin2PCODE], INDIRECT("tblPiNAnalysis[" &amp; Table11[[#Headers],[EDU]] &amp; "]"), "NOT FOUND", 0, 1)</f>
        <v>4636.9914419492197</v>
      </c>
      <c r="J204" s="8" cm="1">
        <f t="array" aca="1" ref="J204" ca="1">_xlfn.XLOOKUP(Table11[[#This Row],[Admin2PCODE]], tblPiNAnalysis[Admin2PCODE], INDIRECT("tblPiNAnalysis[" &amp; Table11[[#Headers],[PRO]] &amp; "]"), "NOT FOUND", 0, 1)</f>
        <v>12814.879748186348</v>
      </c>
      <c r="K204" s="8" cm="1">
        <f t="array" aca="1" ref="K204" ca="1">_xlfn.XLOOKUP(Table11[[#This Row],[Admin2PCODE]], tblPiNAnalysis[Admin2PCODE], INDIRECT("tblPiNAnalysis[" &amp; Table11[[#Headers],[ASH]] &amp; "]"), "NOT FOUND", 0, 1)</f>
        <v>0</v>
      </c>
      <c r="L204" s="8" cm="1">
        <f t="array" aca="1" ref="L204" ca="1">_xlfn.XLOOKUP(Table11[[#This Row],[Admin2PCODE]], tblPiNAnalysis[Admin2PCODE], INDIRECT("tblPiNAnalysis[" &amp; Table11[[#Headers],[NNA]] &amp; "]"), "NOT FOUND", 0, 1)</f>
        <v>4100.7615194196314</v>
      </c>
      <c r="M204" s="8" cm="1">
        <f t="array" aca="1" ref="M204" ca="1">_xlfn.XLOOKUP(Table11[[#This Row],[Admin2PCODE]], tblPiNAnalysis[Admin2PCODE], INDIRECT("tblPiNAnalysis[" &amp; Table11[[#Headers],[VBG]] &amp; "]"), "NOT FOUND", 0, 1)</f>
        <v>4485.2079118652209</v>
      </c>
      <c r="N204" s="8" cm="1">
        <f t="array" aca="1" ref="N204" ca="1">_xlfn.XLOOKUP(Table11[[#This Row],[Admin2PCODE]], tblPiNAnalysis[Admin2PCODE], INDIRECT("tblPiNAnalysis[" &amp; Table11[[#Headers],[PiN más alto]] &amp; "]"), "NOT FOUND", 0, 1)</f>
        <v>23423.875</v>
      </c>
      <c r="O204" t="str" cm="1">
        <f t="array" aca="1" ref="O204" ca="1">_xlfn.XLOOKUP(Table11[[#This Row],[Admin2PCODE]], tblPiNAnalysis[Admin2PCODE], INDIRECT("tblPiNAnalysis[" &amp; Table11[[#Headers],[Sectores más altos]] &amp; "]"), "NOT FOUND", 0, 1)</f>
        <v>SAL</v>
      </c>
      <c r="P204" cm="1">
        <f t="array" ref="P204">_xlfn.XLOOKUP(Table11[[#This Row],[Admin2PCODE]], tblPiNAnalysis[Admin2PCODE], tblPiNAnalysis[Severidad], "NOT FOUND", 0, 1)</f>
        <v>3</v>
      </c>
      <c r="Q204" s="318">
        <v>0.11627906976744186</v>
      </c>
      <c r="R204" s="318">
        <v>0.33333333333333331</v>
      </c>
      <c r="S204" s="318">
        <v>3.875968992248062E-2</v>
      </c>
      <c r="T204">
        <v>1</v>
      </c>
      <c r="W204">
        <f>_xlfn.XLOOKUP(Table11[[#This Row],[Admin2PCODE]],tblSeverityAnalysis[Admin 2 Código P],tblSeverityAnalysis[PRO],0,0)</f>
        <v>3</v>
      </c>
      <c r="Y204">
        <v>0</v>
      </c>
      <c r="Z204">
        <v>0</v>
      </c>
      <c r="AA204">
        <f t="shared" si="3"/>
        <v>0</v>
      </c>
    </row>
    <row r="205" spans="1:27">
      <c r="A205" t="s">
        <v>491</v>
      </c>
      <c r="B205" t="s">
        <v>492</v>
      </c>
      <c r="C205" s="42" t="s">
        <v>100</v>
      </c>
      <c r="D205" t="s">
        <v>501</v>
      </c>
      <c r="E205" s="8" cm="1">
        <f t="array" aca="1" ref="E205" ca="1">_xlfn.XLOOKUP(Table11[[#This Row],[Admin2PCODE]], tblPiNAnalysis[Admin2PCODE], INDIRECT("tblPiNAnalysis[" &amp; Table11[[#Headers],[Población]] &amp; "]"), "NOT FOUND", 0, 1)</f>
        <v>46295</v>
      </c>
      <c r="F205" s="8" cm="1">
        <f t="array" aca="1" ref="F205" ca="1">_xlfn.XLOOKUP(Table11[[#This Row],[Admin2PCODE]], tblPiNAnalysis[Admin2PCODE], INDIRECT("tblPiNAnalysis[" &amp; Table11[[#Headers],[SAMV]] &amp; "]"), "NOT FOUND", 0, 1)</f>
        <v>22258</v>
      </c>
      <c r="G205" s="8" cm="1">
        <f t="array" aca="1" ref="G205" ca="1">_xlfn.XLOOKUP(Table11[[#This Row],[Admin2PCODE]], tblPiNAnalysis[Admin2PCODE], INDIRECT("tblPiNAnalysis[" &amp; Table11[[#Headers],[NUT]] &amp; "]"), "NOT FOUND", 0, 1)</f>
        <v>2231.7423237660842</v>
      </c>
      <c r="H205" s="8" cm="1">
        <f t="array" aca="1" ref="H205" ca="1">_xlfn.XLOOKUP(Table11[[#This Row],[Admin2PCODE]], tblPiNAnalysis[Admin2PCODE], INDIRECT("tblPiNAnalysis[" &amp; Table11[[#Headers],[SAL]] &amp; "]"), "NOT FOUND", 0, 1)</f>
        <v>16897.674999999999</v>
      </c>
      <c r="I205" s="8" cm="1">
        <f t="array" aca="1" ref="I205" ca="1">_xlfn.XLOOKUP(Table11[[#This Row],[Admin2PCODE]], tblPiNAnalysis[Admin2PCODE], INDIRECT("tblPiNAnalysis[" &amp; Table11[[#Headers],[EDU]] &amp; "]"), "NOT FOUND", 0, 1)</f>
        <v>2414.548858930661</v>
      </c>
      <c r="J205" s="8" cm="1">
        <f t="array" aca="1" ref="J205" ca="1">_xlfn.XLOOKUP(Table11[[#This Row],[Admin2PCODE]], tblPiNAnalysis[Admin2PCODE], INDIRECT("tblPiNAnalysis[" &amp; Table11[[#Headers],[PRO]] &amp; "]"), "NOT FOUND", 0, 1)</f>
        <v>11093.382618320909</v>
      </c>
      <c r="K205" s="8" cm="1">
        <f t="array" aca="1" ref="K205" ca="1">_xlfn.XLOOKUP(Table11[[#This Row],[Admin2PCODE]], tblPiNAnalysis[Admin2PCODE], INDIRECT("tblPiNAnalysis[" &amp; Table11[[#Headers],[ASH]] &amp; "]"), "NOT FOUND", 0, 1)</f>
        <v>0</v>
      </c>
      <c r="L205" s="8" cm="1">
        <f t="array" aca="1" ref="L205" ca="1">_xlfn.XLOOKUP(Table11[[#This Row],[Admin2PCODE]], tblPiNAnalysis[Admin2PCODE], INDIRECT("tblPiNAnalysis[" &amp; Table11[[#Headers],[NNA]] &amp; "]"), "NOT FOUND", 0, 1)</f>
        <v>3549.8824378626914</v>
      </c>
      <c r="M205" s="8" cm="1">
        <f t="array" aca="1" ref="M205" ca="1">_xlfn.XLOOKUP(Table11[[#This Row],[Admin2PCODE]], tblPiNAnalysis[Admin2PCODE], INDIRECT("tblPiNAnalysis[" &amp; Table11[[#Headers],[VBG]] &amp; "]"), "NOT FOUND", 0, 1)</f>
        <v>3882.6839164123185</v>
      </c>
      <c r="N205" s="8" cm="1">
        <f t="array" aca="1" ref="N205" ca="1">_xlfn.XLOOKUP(Table11[[#This Row],[Admin2PCODE]], tblPiNAnalysis[Admin2PCODE], INDIRECT("tblPiNAnalysis[" &amp; Table11[[#Headers],[PiN más alto]] &amp; "]"), "NOT FOUND", 0, 1)</f>
        <v>22258</v>
      </c>
      <c r="O205" t="str" cm="1">
        <f t="array" aca="1" ref="O205" ca="1">_xlfn.XLOOKUP(Table11[[#This Row],[Admin2PCODE]], tblPiNAnalysis[Admin2PCODE], INDIRECT("tblPiNAnalysis[" &amp; Table11[[#Headers],[Sectores más altos]] &amp; "]"), "NOT FOUND", 0, 1)</f>
        <v>SAMV</v>
      </c>
      <c r="P205" cm="1">
        <f t="array" ref="P205">_xlfn.XLOOKUP(Table11[[#This Row],[Admin2PCODE]], tblPiNAnalysis[Admin2PCODE], tblPiNAnalysis[Severidad], "NOT FOUND", 0, 1)</f>
        <v>3</v>
      </c>
      <c r="Q205" s="318">
        <v>0.14864864864864866</v>
      </c>
      <c r="R205" s="318">
        <v>0.50505050505050497</v>
      </c>
      <c r="S205" s="318">
        <v>7.5075075075075062E-2</v>
      </c>
      <c r="T205">
        <v>0</v>
      </c>
      <c r="W205">
        <f>_xlfn.XLOOKUP(Table11[[#This Row],[Admin2PCODE]],tblSeverityAnalysis[Admin 2 Código P],tblSeverityAnalysis[PRO],0,0)</f>
        <v>4</v>
      </c>
      <c r="Y205">
        <v>0</v>
      </c>
      <c r="Z205">
        <v>3.9</v>
      </c>
      <c r="AA205">
        <f t="shared" si="3"/>
        <v>4</v>
      </c>
    </row>
    <row r="206" spans="1:27">
      <c r="A206" t="s">
        <v>491</v>
      </c>
      <c r="B206" t="s">
        <v>492</v>
      </c>
      <c r="C206" s="42" t="s">
        <v>502</v>
      </c>
      <c r="D206" t="s">
        <v>503</v>
      </c>
      <c r="E206" s="8" cm="1">
        <f t="array" aca="1" ref="E206" ca="1">_xlfn.XLOOKUP(Table11[[#This Row],[Admin2PCODE]], tblPiNAnalysis[Admin2PCODE], INDIRECT("tblPiNAnalysis[" &amp; Table11[[#Headers],[Población]] &amp; "]"), "NOT FOUND", 0, 1)</f>
        <v>554507</v>
      </c>
      <c r="F206" s="8" cm="1">
        <f t="array" aca="1" ref="F206" ca="1">_xlfn.XLOOKUP(Table11[[#This Row],[Admin2PCODE]], tblPiNAnalysis[Admin2PCODE], INDIRECT("tblPiNAnalysis[" &amp; Table11[[#Headers],[SAMV]] &amp; "]"), "NOT FOUND", 0, 1)</f>
        <v>161344</v>
      </c>
      <c r="G206" s="8" cm="1">
        <f t="array" aca="1" ref="G206" ca="1">_xlfn.XLOOKUP(Table11[[#This Row],[Admin2PCODE]], tblPiNAnalysis[Admin2PCODE], INDIRECT("tblPiNAnalysis[" &amp; Table11[[#Headers],[NUT]] &amp; "]"), "NOT FOUND", 0, 1)</f>
        <v>21117.765311778934</v>
      </c>
      <c r="H206" s="8" cm="1">
        <f t="array" aca="1" ref="H206" ca="1">_xlfn.XLOOKUP(Table11[[#This Row],[Admin2PCODE]], tblPiNAnalysis[Admin2PCODE], INDIRECT("tblPiNAnalysis[" &amp; Table11[[#Headers],[SAL]] &amp; "]"), "NOT FOUND", 0, 1)</f>
        <v>202395.05499999999</v>
      </c>
      <c r="I206" s="8" cm="1">
        <f t="array" aca="1" ref="I206" ca="1">_xlfn.XLOOKUP(Table11[[#This Row],[Admin2PCODE]], tblPiNAnalysis[Admin2PCODE], INDIRECT("tblPiNAnalysis[" &amp; Table11[[#Headers],[EDU]] &amp; "]"), "NOT FOUND", 0, 1)</f>
        <v>43027.272228408598</v>
      </c>
      <c r="J206" s="8" cm="1">
        <f t="array" aca="1" ref="J206" ca="1">_xlfn.XLOOKUP(Table11[[#This Row],[Admin2PCODE]], tblPiNAnalysis[Admin2PCODE], INDIRECT("tblPiNAnalysis[" &amp; Table11[[#Headers],[PRO]] &amp; "]"), "NOT FOUND", 0, 1)</f>
        <v>110727.55005107232</v>
      </c>
      <c r="K206" s="8" cm="1">
        <f t="array" aca="1" ref="K206" ca="1">_xlfn.XLOOKUP(Table11[[#This Row],[Admin2PCODE]], tblPiNAnalysis[Admin2PCODE], INDIRECT("tblPiNAnalysis[" &amp; Table11[[#Headers],[ASH]] &amp; "]"), "NOT FOUND", 0, 1)</f>
        <v>0</v>
      </c>
      <c r="L206" s="8" cm="1">
        <f t="array" aca="1" ref="L206" ca="1">_xlfn.XLOOKUP(Table11[[#This Row],[Admin2PCODE]], tblPiNAnalysis[Admin2PCODE], INDIRECT("tblPiNAnalysis[" &amp; Table11[[#Headers],[NNA]] &amp; "]"), "NOT FOUND", 0, 1)</f>
        <v>35432.816016343146</v>
      </c>
      <c r="M206" s="8" cm="1">
        <f t="array" aca="1" ref="M206" ca="1">_xlfn.XLOOKUP(Table11[[#This Row],[Admin2PCODE]], tblPiNAnalysis[Admin2PCODE], INDIRECT("tblPiNAnalysis[" &amp; Table11[[#Headers],[VBG]] &amp; "]"), "NOT FOUND", 0, 1)</f>
        <v>38754.642517875305</v>
      </c>
      <c r="N206" s="8" cm="1">
        <f t="array" aca="1" ref="N206" ca="1">_xlfn.XLOOKUP(Table11[[#This Row],[Admin2PCODE]], tblPiNAnalysis[Admin2PCODE], INDIRECT("tblPiNAnalysis[" &amp; Table11[[#Headers],[PiN más alto]] &amp; "]"), "NOT FOUND", 0, 1)</f>
        <v>202395.05499999999</v>
      </c>
      <c r="O206" t="str" cm="1">
        <f t="array" aca="1" ref="O206" ca="1">_xlfn.XLOOKUP(Table11[[#This Row],[Admin2PCODE]], tblPiNAnalysis[Admin2PCODE], INDIRECT("tblPiNAnalysis[" &amp; Table11[[#Headers],[Sectores más altos]] &amp; "]"), "NOT FOUND", 0, 1)</f>
        <v>SAL</v>
      </c>
      <c r="P206" cm="1">
        <f t="array" ref="P206">_xlfn.XLOOKUP(Table11[[#This Row],[Admin2PCODE]], tblPiNAnalysis[Admin2PCODE], tblPiNAnalysis[Severidad], "NOT FOUND", 0, 1)</f>
        <v>3</v>
      </c>
      <c r="Q206" s="318">
        <v>0.32885906040268459</v>
      </c>
      <c r="R206" s="318">
        <v>0.40164399092970526</v>
      </c>
      <c r="S206" s="318">
        <v>0.13208426547352725</v>
      </c>
      <c r="T206">
        <v>0</v>
      </c>
      <c r="W206">
        <f>_xlfn.XLOOKUP(Table11[[#This Row],[Admin2PCODE]],tblSeverityAnalysis[Admin 2 Código P],tblSeverityAnalysis[PRO],0,0)</f>
        <v>3</v>
      </c>
      <c r="Y206">
        <v>0</v>
      </c>
      <c r="Z206">
        <v>4.3499999999999996</v>
      </c>
      <c r="AA206">
        <f t="shared" si="3"/>
        <v>4</v>
      </c>
    </row>
    <row r="207" spans="1:27">
      <c r="A207" t="s">
        <v>491</v>
      </c>
      <c r="B207" t="s">
        <v>492</v>
      </c>
      <c r="C207" s="42" t="s">
        <v>250</v>
      </c>
      <c r="D207" t="s">
        <v>504</v>
      </c>
      <c r="E207" s="8" cm="1">
        <f t="array" aca="1" ref="E207" ca="1">_xlfn.XLOOKUP(Table11[[#This Row],[Admin2PCODE]], tblPiNAnalysis[Admin2PCODE], INDIRECT("tblPiNAnalysis[" &amp; Table11[[#Headers],[Población]] &amp; "]"), "NOT FOUND", 0, 1)</f>
        <v>47660</v>
      </c>
      <c r="F207" s="8" cm="1">
        <f t="array" aca="1" ref="F207" ca="1">_xlfn.XLOOKUP(Table11[[#This Row],[Admin2PCODE]], tblPiNAnalysis[Admin2PCODE], INDIRECT("tblPiNAnalysis[" &amp; Table11[[#Headers],[SAMV]] &amp; "]"), "NOT FOUND", 0, 1)</f>
        <v>36142</v>
      </c>
      <c r="G207" s="8" cm="1">
        <f t="array" aca="1" ref="G207" ca="1">_xlfn.XLOOKUP(Table11[[#This Row],[Admin2PCODE]], tblPiNAnalysis[Admin2PCODE], INDIRECT("tblPiNAnalysis[" &amp; Table11[[#Headers],[NUT]] &amp; "]"), "NOT FOUND", 0, 1)</f>
        <v>1875.4144491096331</v>
      </c>
      <c r="H207" s="8" cm="1">
        <f t="array" aca="1" ref="H207" ca="1">_xlfn.XLOOKUP(Table11[[#This Row],[Admin2PCODE]], tblPiNAnalysis[Admin2PCODE], INDIRECT("tblPiNAnalysis[" &amp; Table11[[#Headers],[SAL]] &amp; "]"), "NOT FOUND", 0, 1)</f>
        <v>17395.900000000001</v>
      </c>
      <c r="I207" s="8" cm="1">
        <f t="array" aca="1" ref="I207" ca="1">_xlfn.XLOOKUP(Table11[[#This Row],[Admin2PCODE]], tblPiNAnalysis[Admin2PCODE], INDIRECT("tblPiNAnalysis[" &amp; Table11[[#Headers],[EDU]] &amp; "]"), "NOT FOUND", 0, 1)</f>
        <v>2571.6372799130027</v>
      </c>
      <c r="J207" s="8" cm="1">
        <f t="array" aca="1" ref="J207" ca="1">_xlfn.XLOOKUP(Table11[[#This Row],[Admin2PCODE]], tblPiNAnalysis[Admin2PCODE], INDIRECT("tblPiNAnalysis[" &amp; Table11[[#Headers],[PRO]] &amp; "]"), "NOT FOUND", 0, 1)</f>
        <v>9517.0575582167694</v>
      </c>
      <c r="K207" s="8" cm="1">
        <f t="array" aca="1" ref="K207" ca="1">_xlfn.XLOOKUP(Table11[[#This Row],[Admin2PCODE]], tblPiNAnalysis[Admin2PCODE], INDIRECT("tblPiNAnalysis[" &amp; Table11[[#Headers],[ASH]] &amp; "]"), "NOT FOUND", 0, 1)</f>
        <v>0</v>
      </c>
      <c r="L207" s="8" cm="1">
        <f t="array" aca="1" ref="L207" ca="1">_xlfn.XLOOKUP(Table11[[#This Row],[Admin2PCODE]], tblPiNAnalysis[Admin2PCODE], INDIRECT("tblPiNAnalysis[" &amp; Table11[[#Headers],[NNA]] &amp; "]"), "NOT FOUND", 0, 1)</f>
        <v>3045.458418629366</v>
      </c>
      <c r="M207" s="8" cm="1">
        <f t="array" aca="1" ref="M207" ca="1">_xlfn.XLOOKUP(Table11[[#This Row],[Admin2PCODE]], tblPiNAnalysis[Admin2PCODE], INDIRECT("tblPiNAnalysis[" &amp; Table11[[#Headers],[VBG]] &amp; "]"), "NOT FOUND", 0, 1)</f>
        <v>3330.9701453758694</v>
      </c>
      <c r="N207" s="8" cm="1">
        <f t="array" aca="1" ref="N207" ca="1">_xlfn.XLOOKUP(Table11[[#This Row],[Admin2PCODE]], tblPiNAnalysis[Admin2PCODE], INDIRECT("tblPiNAnalysis[" &amp; Table11[[#Headers],[PiN más alto]] &amp; "]"), "NOT FOUND", 0, 1)</f>
        <v>36142</v>
      </c>
      <c r="O207" t="str" cm="1">
        <f t="array" aca="1" ref="O207" ca="1">_xlfn.XLOOKUP(Table11[[#This Row],[Admin2PCODE]], tblPiNAnalysis[Admin2PCODE], INDIRECT("tblPiNAnalysis[" &amp; Table11[[#Headers],[Sectores más altos]] &amp; "]"), "NOT FOUND", 0, 1)</f>
        <v>SAMV</v>
      </c>
      <c r="P207" cm="1">
        <f t="array" ref="P207">_xlfn.XLOOKUP(Table11[[#This Row],[Admin2PCODE]], tblPiNAnalysis[Admin2PCODE], tblPiNAnalysis[Severidad], "NOT FOUND", 0, 1)</f>
        <v>3</v>
      </c>
      <c r="Q207" s="318">
        <v>0.53968253968253965</v>
      </c>
      <c r="R207" s="318">
        <v>0.41666666666666657</v>
      </c>
      <c r="S207" s="318">
        <v>0.2248677248677248</v>
      </c>
      <c r="T207">
        <v>0</v>
      </c>
      <c r="W207">
        <f>_xlfn.XLOOKUP(Table11[[#This Row],[Admin2PCODE]],tblSeverityAnalysis[Admin 2 Código P],tblSeverityAnalysis[PRO],0,0)</f>
        <v>3</v>
      </c>
      <c r="Y207">
        <v>0</v>
      </c>
      <c r="Z207">
        <v>0</v>
      </c>
      <c r="AA207">
        <f t="shared" si="3"/>
        <v>0</v>
      </c>
    </row>
    <row r="208" spans="1:27">
      <c r="A208" t="s">
        <v>491</v>
      </c>
      <c r="B208" t="s">
        <v>492</v>
      </c>
      <c r="C208" s="42" t="s">
        <v>505</v>
      </c>
      <c r="D208" t="s">
        <v>506</v>
      </c>
      <c r="E208" s="8" cm="1">
        <f t="array" aca="1" ref="E208" ca="1">_xlfn.XLOOKUP(Table11[[#This Row],[Admin2PCODE]], tblPiNAnalysis[Admin2PCODE], INDIRECT("tblPiNAnalysis[" &amp; Table11[[#Headers],[Población]] &amp; "]"), "NOT FOUND", 0, 1)</f>
        <v>28594</v>
      </c>
      <c r="F208" s="8" cm="1">
        <f t="array" aca="1" ref="F208" ca="1">_xlfn.XLOOKUP(Table11[[#This Row],[Admin2PCODE]], tblPiNAnalysis[Admin2PCODE], INDIRECT("tblPiNAnalysis[" &amp; Table11[[#Headers],[SAMV]] &amp; "]"), "NOT FOUND", 0, 1)</f>
        <v>8737</v>
      </c>
      <c r="G208" s="8" cm="1">
        <f t="array" aca="1" ref="G208" ca="1">_xlfn.XLOOKUP(Table11[[#This Row],[Admin2PCODE]], tblPiNAnalysis[Admin2PCODE], INDIRECT("tblPiNAnalysis[" &amp; Table11[[#Headers],[NUT]] &amp; "]"), "NOT FOUND", 0, 1)</f>
        <v>898.68985601416614</v>
      </c>
      <c r="H208" s="8" cm="1">
        <f t="array" aca="1" ref="H208" ca="1">_xlfn.XLOOKUP(Table11[[#This Row],[Admin2PCODE]], tblPiNAnalysis[Admin2PCODE], INDIRECT("tblPiNAnalysis[" &amp; Table11[[#Headers],[SAL]] &amp; "]"), "NOT FOUND", 0, 1)</f>
        <v>10436.81</v>
      </c>
      <c r="I208" s="8" cm="1">
        <f t="array" aca="1" ref="I208" ca="1">_xlfn.XLOOKUP(Table11[[#This Row],[Admin2PCODE]], tblPiNAnalysis[Admin2PCODE], INDIRECT("tblPiNAnalysis[" &amp; Table11[[#Headers],[EDU]] &amp; "]"), "NOT FOUND", 0, 1)</f>
        <v>2770.1186547035877</v>
      </c>
      <c r="J208" s="8" cm="1">
        <f t="array" aca="1" ref="J208" ca="1">_xlfn.XLOOKUP(Table11[[#This Row],[Admin2PCODE]], tblPiNAnalysis[Admin2PCODE], INDIRECT("tblPiNAnalysis[" &amp; Table11[[#Headers],[PRO]] &amp; "]"), "NOT FOUND", 0, 1)</f>
        <v>5709.8351619733603</v>
      </c>
      <c r="K208" s="8" cm="1">
        <f t="array" aca="1" ref="K208" ca="1">_xlfn.XLOOKUP(Table11[[#This Row],[Admin2PCODE]], tblPiNAnalysis[Admin2PCODE], INDIRECT("tblPiNAnalysis[" &amp; Table11[[#Headers],[ASH]] &amp; "]"), "NOT FOUND", 0, 1)</f>
        <v>0</v>
      </c>
      <c r="L208" s="8" cm="1">
        <f t="array" aca="1" ref="L208" ca="1">_xlfn.XLOOKUP(Table11[[#This Row],[Admin2PCODE]], tblPiNAnalysis[Admin2PCODE], INDIRECT("tblPiNAnalysis[" &amp; Table11[[#Headers],[NNA]] &amp; "]"), "NOT FOUND", 0, 1)</f>
        <v>1827.1472518314754</v>
      </c>
      <c r="M208" s="8" cm="1">
        <f t="array" aca="1" ref="M208" ca="1">_xlfn.XLOOKUP(Table11[[#This Row],[Admin2PCODE]], tblPiNAnalysis[Admin2PCODE], INDIRECT("tblPiNAnalysis[" &amp; Table11[[#Headers],[VBG]] &amp; "]"), "NOT FOUND", 0, 1)</f>
        <v>1998.4423066906759</v>
      </c>
      <c r="N208" s="8" cm="1">
        <f t="array" aca="1" ref="N208" ca="1">_xlfn.XLOOKUP(Table11[[#This Row],[Admin2PCODE]], tblPiNAnalysis[Admin2PCODE], INDIRECT("tblPiNAnalysis[" &amp; Table11[[#Headers],[PiN más alto]] &amp; "]"), "NOT FOUND", 0, 1)</f>
        <v>10436.81</v>
      </c>
      <c r="O208" t="str" cm="1">
        <f t="array" aca="1" ref="O208" ca="1">_xlfn.XLOOKUP(Table11[[#This Row],[Admin2PCODE]], tblPiNAnalysis[Admin2PCODE], INDIRECT("tblPiNAnalysis[" &amp; Table11[[#Headers],[Sectores más altos]] &amp; "]"), "NOT FOUND", 0, 1)</f>
        <v>SAL</v>
      </c>
      <c r="P208" cm="1">
        <f t="array" ref="P208">_xlfn.XLOOKUP(Table11[[#This Row],[Admin2PCODE]], tblPiNAnalysis[Admin2PCODE], tblPiNAnalysis[Severidad], "NOT FOUND", 0, 1)</f>
        <v>3</v>
      </c>
      <c r="Q208" s="318">
        <v>0.69444444444444442</v>
      </c>
      <c r="R208" s="318">
        <v>0.35333333333333333</v>
      </c>
      <c r="S208" s="318">
        <v>0.24537037037037035</v>
      </c>
      <c r="T208">
        <v>0</v>
      </c>
      <c r="W208">
        <f>_xlfn.XLOOKUP(Table11[[#This Row],[Admin2PCODE]],tblSeverityAnalysis[Admin 2 Código P],tblSeverityAnalysis[PRO],0,0)</f>
        <v>3</v>
      </c>
      <c r="Y208">
        <v>0</v>
      </c>
      <c r="Z208">
        <v>0</v>
      </c>
      <c r="AA208">
        <f t="shared" si="3"/>
        <v>0</v>
      </c>
    </row>
    <row r="209" spans="1:27">
      <c r="A209" t="s">
        <v>491</v>
      </c>
      <c r="B209" t="s">
        <v>492</v>
      </c>
      <c r="C209" s="42" t="s">
        <v>507</v>
      </c>
      <c r="D209" t="s">
        <v>508</v>
      </c>
      <c r="E209" s="8" cm="1">
        <f t="array" aca="1" ref="E209" ca="1">_xlfn.XLOOKUP(Table11[[#This Row],[Admin2PCODE]], tblPiNAnalysis[Admin2PCODE], INDIRECT("tblPiNAnalysis[" &amp; Table11[[#Headers],[Población]] &amp; "]"), "NOT FOUND", 0, 1)</f>
        <v>10027</v>
      </c>
      <c r="F209" s="8" cm="1">
        <f t="array" aca="1" ref="F209" ca="1">_xlfn.XLOOKUP(Table11[[#This Row],[Admin2PCODE]], tblPiNAnalysis[Admin2PCODE], INDIRECT("tblPiNAnalysis[" &amp; Table11[[#Headers],[SAMV]] &amp; "]"), "NOT FOUND", 0, 1)</f>
        <v>2005</v>
      </c>
      <c r="G209" s="8" cm="1">
        <f t="array" aca="1" ref="G209" ca="1">_xlfn.XLOOKUP(Table11[[#This Row],[Admin2PCODE]], tblPiNAnalysis[Admin2PCODE], INDIRECT("tblPiNAnalysis[" &amp; Table11[[#Headers],[NUT]] &amp; "]"), "NOT FOUND", 0, 1)</f>
        <v>352.89594895911921</v>
      </c>
      <c r="H209" s="8" cm="1">
        <f t="array" aca="1" ref="H209" ca="1">_xlfn.XLOOKUP(Table11[[#This Row],[Admin2PCODE]], tblPiNAnalysis[Admin2PCODE], INDIRECT("tblPiNAnalysis[" &amp; Table11[[#Headers],[SAL]] &amp; "]"), "NOT FOUND", 0, 1)</f>
        <v>8800</v>
      </c>
      <c r="I209" s="8" cm="1">
        <f t="array" aca="1" ref="I209" ca="1">_xlfn.XLOOKUP(Table11[[#This Row],[Admin2PCODE]], tblPiNAnalysis[Admin2PCODE], INDIRECT("tblPiNAnalysis[" &amp; Table11[[#Headers],[EDU]] &amp; "]"), "NOT FOUND", 0, 1)</f>
        <v>682.39534427035653</v>
      </c>
      <c r="J209" s="8" cm="1">
        <f t="array" aca="1" ref="J209" ca="1">_xlfn.XLOOKUP(Table11[[#This Row],[Admin2PCODE]], tblPiNAnalysis[Admin2PCODE], INDIRECT("tblPiNAnalysis[" &amp; Table11[[#Headers],[PRO]] &amp; "]"), "NOT FOUND", 0, 1)</f>
        <v>2402.70758211262</v>
      </c>
      <c r="K209" s="8" cm="1">
        <f t="array" aca="1" ref="K209" ca="1">_xlfn.XLOOKUP(Table11[[#This Row],[Admin2PCODE]], tblPiNAnalysis[Admin2PCODE], INDIRECT("tblPiNAnalysis[" &amp; Table11[[#Headers],[ASH]] &amp; "]"), "NOT FOUND", 0, 1)</f>
        <v>0</v>
      </c>
      <c r="L209" s="8" cm="1">
        <f t="array" aca="1" ref="L209" ca="1">_xlfn.XLOOKUP(Table11[[#This Row],[Admin2PCODE]], tblPiNAnalysis[Admin2PCODE], INDIRECT("tblPiNAnalysis[" &amp; Table11[[#Headers],[NNA]] &amp; "]"), "NOT FOUND", 0, 1)</f>
        <v>768.8664262760384</v>
      </c>
      <c r="M209" s="8" cm="1">
        <f t="array" aca="1" ref="M209" ca="1">_xlfn.XLOOKUP(Table11[[#This Row],[Admin2PCODE]], tblPiNAnalysis[Admin2PCODE], INDIRECT("tblPiNAnalysis[" &amp; Table11[[#Headers],[VBG]] &amp; "]"), "NOT FOUND", 0, 1)</f>
        <v>840.94765373941698</v>
      </c>
      <c r="N209" s="8" cm="1">
        <f t="array" aca="1" ref="N209" ca="1">_xlfn.XLOOKUP(Table11[[#This Row],[Admin2PCODE]], tblPiNAnalysis[Admin2PCODE], INDIRECT("tblPiNAnalysis[" &amp; Table11[[#Headers],[PiN más alto]] &amp; "]"), "NOT FOUND", 0, 1)</f>
        <v>8800</v>
      </c>
      <c r="O209" t="str" cm="1">
        <f t="array" aca="1" ref="O209" ca="1">_xlfn.XLOOKUP(Table11[[#This Row],[Admin2PCODE]], tblPiNAnalysis[Admin2PCODE], INDIRECT("tblPiNAnalysis[" &amp; Table11[[#Headers],[Sectores más altos]] &amp; "]"), "NOT FOUND", 0, 1)</f>
        <v>SAL</v>
      </c>
      <c r="P209" cm="1">
        <f t="array" ref="P209">_xlfn.XLOOKUP(Table11[[#This Row],[Admin2PCODE]], tblPiNAnalysis[Admin2PCODE], tblPiNAnalysis[Severidad], "NOT FOUND", 0, 1)</f>
        <v>3</v>
      </c>
      <c r="Q209" s="318">
        <v>0.8571428571428571</v>
      </c>
      <c r="R209" s="318">
        <v>0.33333333333333331</v>
      </c>
      <c r="S209" s="318">
        <v>0.2857142857142857</v>
      </c>
      <c r="T209">
        <v>0</v>
      </c>
      <c r="W209">
        <f>_xlfn.XLOOKUP(Table11[[#This Row],[Admin2PCODE]],tblSeverityAnalysis[Admin 2 Código P],tblSeverityAnalysis[PRO],0,0)</f>
        <v>4</v>
      </c>
      <c r="Y209">
        <v>0</v>
      </c>
      <c r="Z209">
        <v>0</v>
      </c>
      <c r="AA209">
        <f t="shared" si="3"/>
        <v>0</v>
      </c>
    </row>
    <row r="210" spans="1:27">
      <c r="A210" t="s">
        <v>491</v>
      </c>
      <c r="B210" t="s">
        <v>492</v>
      </c>
      <c r="C210" s="42" t="s">
        <v>509</v>
      </c>
      <c r="D210" t="s">
        <v>510</v>
      </c>
      <c r="E210" s="8" cm="1">
        <f t="array" aca="1" ref="E210" ca="1">_xlfn.XLOOKUP(Table11[[#This Row],[Admin2PCODE]], tblPiNAnalysis[Admin2PCODE], INDIRECT("tblPiNAnalysis[" &amp; Table11[[#Headers],[Población]] &amp; "]"), "NOT FOUND", 0, 1)</f>
        <v>24788</v>
      </c>
      <c r="F210" s="8" cm="1">
        <f t="array" aca="1" ref="F210" ca="1">_xlfn.XLOOKUP(Table11[[#This Row],[Admin2PCODE]], tblPiNAnalysis[Admin2PCODE], INDIRECT("tblPiNAnalysis[" &amp; Table11[[#Headers],[SAMV]] &amp; "]"), "NOT FOUND", 0, 1)</f>
        <v>10099</v>
      </c>
      <c r="G210" s="8" cm="1">
        <f t="array" aca="1" ref="G210" ca="1">_xlfn.XLOOKUP(Table11[[#This Row],[Admin2PCODE]], tblPiNAnalysis[Admin2PCODE], INDIRECT("tblPiNAnalysis[" &amp; Table11[[#Headers],[NUT]] &amp; "]"), "NOT FOUND", 0, 1)</f>
        <v>1264.1302403729683</v>
      </c>
      <c r="H210" s="8" cm="1">
        <f t="array" aca="1" ref="H210" ca="1">_xlfn.XLOOKUP(Table11[[#This Row],[Admin2PCODE]], tblPiNAnalysis[Admin2PCODE], INDIRECT("tblPiNAnalysis[" &amp; Table11[[#Headers],[SAL]] &amp; "]"), "NOT FOUND", 0, 1)</f>
        <v>9820</v>
      </c>
      <c r="I210" s="8" cm="1">
        <f t="array" aca="1" ref="I210" ca="1">_xlfn.XLOOKUP(Table11[[#This Row],[Admin2PCODE]], tblPiNAnalysis[Admin2PCODE], INDIRECT("tblPiNAnalysis[" &amp; Table11[[#Headers],[EDU]] &amp; "]"), "NOT FOUND", 0, 1)</f>
        <v>3127.6448794487815</v>
      </c>
      <c r="J210" s="8" cm="1">
        <f t="array" aca="1" ref="J210" ca="1">_xlfn.XLOOKUP(Table11[[#This Row],[Admin2PCODE]], tblPiNAnalysis[Admin2PCODE], INDIRECT("tblPiNAnalysis[" &amp; Table11[[#Headers],[PRO]] &amp; "]"), "NOT FOUND", 0, 1)</f>
        <v>4949.8284253688062</v>
      </c>
      <c r="K210" s="8" cm="1">
        <f t="array" aca="1" ref="K210" ca="1">_xlfn.XLOOKUP(Table11[[#This Row],[Admin2PCODE]], tblPiNAnalysis[Admin2PCODE], INDIRECT("tblPiNAnalysis[" &amp; Table11[[#Headers],[ASH]] &amp; "]"), "NOT FOUND", 0, 1)</f>
        <v>0</v>
      </c>
      <c r="L210" s="8" cm="1">
        <f t="array" aca="1" ref="L210" ca="1">_xlfn.XLOOKUP(Table11[[#This Row],[Admin2PCODE]], tblPiNAnalysis[Admin2PCODE], INDIRECT("tblPiNAnalysis[" &amp; Table11[[#Headers],[NNA]] &amp; "]"), "NOT FOUND", 0, 1)</f>
        <v>1583.945096118018</v>
      </c>
      <c r="M210" s="8" cm="1">
        <f t="array" aca="1" ref="M210" ca="1">_xlfn.XLOOKUP(Table11[[#This Row],[Admin2PCODE]], tblPiNAnalysis[Admin2PCODE], INDIRECT("tblPiNAnalysis[" &amp; Table11[[#Headers],[VBG]] &amp; "]"), "NOT FOUND", 0, 1)</f>
        <v>1732.4399488790818</v>
      </c>
      <c r="N210" s="8" cm="1">
        <f t="array" aca="1" ref="N210" ca="1">_xlfn.XLOOKUP(Table11[[#This Row],[Admin2PCODE]], tblPiNAnalysis[Admin2PCODE], INDIRECT("tblPiNAnalysis[" &amp; Table11[[#Headers],[PiN más alto]] &amp; "]"), "NOT FOUND", 0, 1)</f>
        <v>10099</v>
      </c>
      <c r="O210" t="str" cm="1">
        <f t="array" aca="1" ref="O210" ca="1">_xlfn.XLOOKUP(Table11[[#This Row],[Admin2PCODE]], tblPiNAnalysis[Admin2PCODE], INDIRECT("tblPiNAnalysis[" &amp; Table11[[#Headers],[Sectores más altos]] &amp; "]"), "NOT FOUND", 0, 1)</f>
        <v>SAMV</v>
      </c>
      <c r="P210" cm="1">
        <f t="array" ref="P210">_xlfn.XLOOKUP(Table11[[#This Row],[Admin2PCODE]], tblPiNAnalysis[Admin2PCODE], tblPiNAnalysis[Severidad], "NOT FOUND", 0, 1)</f>
        <v>3</v>
      </c>
      <c r="Q210" s="318">
        <v>0.125</v>
      </c>
      <c r="R210" s="318">
        <v>0.33333333333333331</v>
      </c>
      <c r="S210" s="318">
        <v>4.1666666666666664E-2</v>
      </c>
      <c r="T210">
        <v>0</v>
      </c>
      <c r="W210">
        <f>_xlfn.XLOOKUP(Table11[[#This Row],[Admin2PCODE]],tblSeverityAnalysis[Admin 2 Código P],tblSeverityAnalysis[PRO],0,0)</f>
        <v>3</v>
      </c>
      <c r="Y210">
        <v>0</v>
      </c>
      <c r="Z210">
        <v>6.65</v>
      </c>
      <c r="AA210">
        <f t="shared" si="3"/>
        <v>7</v>
      </c>
    </row>
    <row r="211" spans="1:27">
      <c r="A211" t="s">
        <v>491</v>
      </c>
      <c r="B211" t="s">
        <v>492</v>
      </c>
      <c r="C211" s="42" t="s">
        <v>511</v>
      </c>
      <c r="D211" t="s">
        <v>512</v>
      </c>
      <c r="E211" s="8" cm="1">
        <f t="array" aca="1" ref="E211" ca="1">_xlfn.XLOOKUP(Table11[[#This Row],[Admin2PCODE]], tblPiNAnalysis[Admin2PCODE], INDIRECT("tblPiNAnalysis[" &amp; Table11[[#Headers],[Población]] &amp; "]"), "NOT FOUND", 0, 1)</f>
        <v>9836</v>
      </c>
      <c r="F211" s="8" cm="1">
        <f t="array" aca="1" ref="F211" ca="1">_xlfn.XLOOKUP(Table11[[#This Row],[Admin2PCODE]], tblPiNAnalysis[Admin2PCODE], INDIRECT("tblPiNAnalysis[" &amp; Table11[[#Headers],[SAMV]] &amp; "]"), "NOT FOUND", 0, 1)</f>
        <v>3279</v>
      </c>
      <c r="G211" s="8" cm="1">
        <f t="array" aca="1" ref="G211" ca="1">_xlfn.XLOOKUP(Table11[[#This Row],[Admin2PCODE]], tblPiNAnalysis[Admin2PCODE], INDIRECT("tblPiNAnalysis[" &amp; Table11[[#Headers],[NUT]] &amp; "]"), "NOT FOUND", 0, 1)</f>
        <v>750.37548371693617</v>
      </c>
      <c r="H211" s="8" cm="1">
        <f t="array" aca="1" ref="H211" ca="1">_xlfn.XLOOKUP(Table11[[#This Row],[Admin2PCODE]], tblPiNAnalysis[Admin2PCODE], INDIRECT("tblPiNAnalysis[" &amp; Table11[[#Headers],[SAL]] &amp; "]"), "NOT FOUND", 0, 1)</f>
        <v>7720</v>
      </c>
      <c r="I211" s="8" cm="1">
        <f t="array" aca="1" ref="I211" ca="1">_xlfn.XLOOKUP(Table11[[#This Row],[Admin2PCODE]], tblPiNAnalysis[Admin2PCODE], INDIRECT("tblPiNAnalysis[" &amp; Table11[[#Headers],[EDU]] &amp; "]"), "NOT FOUND", 0, 1)</f>
        <v>1234.5802627612934</v>
      </c>
      <c r="J211" s="8" cm="1">
        <f t="array" aca="1" ref="J211" ca="1">_xlfn.XLOOKUP(Table11[[#This Row],[Admin2PCODE]], tblPiNAnalysis[Admin2PCODE], INDIRECT("tblPiNAnalysis[" &amp; Table11[[#Headers],[PRO]] &amp; "]"), "NOT FOUND", 0, 1)</f>
        <v>1178.4697206372657</v>
      </c>
      <c r="K211" s="8" cm="1">
        <f t="array" aca="1" ref="K211" ca="1">_xlfn.XLOOKUP(Table11[[#This Row],[Admin2PCODE]], tblPiNAnalysis[Admin2PCODE], INDIRECT("tblPiNAnalysis[" &amp; Table11[[#Headers],[ASH]] &amp; "]"), "NOT FOUND", 0, 1)</f>
        <v>0</v>
      </c>
      <c r="L211" s="8" cm="1">
        <f t="array" aca="1" ref="L211" ca="1">_xlfn.XLOOKUP(Table11[[#This Row],[Admin2PCODE]], tblPiNAnalysis[Admin2PCODE], INDIRECT("tblPiNAnalysis[" &amp; Table11[[#Headers],[NNA]] &amp; "]"), "NOT FOUND", 0, 1)</f>
        <v>377.11031060392509</v>
      </c>
      <c r="M211" s="8" cm="1">
        <f t="array" aca="1" ref="M211" ca="1">_xlfn.XLOOKUP(Table11[[#This Row],[Admin2PCODE]], tblPiNAnalysis[Admin2PCODE], INDIRECT("tblPiNAnalysis[" &amp; Table11[[#Headers],[VBG]] &amp; "]"), "NOT FOUND", 0, 1)</f>
        <v>412.46440222304295</v>
      </c>
      <c r="N211" s="8" cm="1">
        <f t="array" aca="1" ref="N211" ca="1">_xlfn.XLOOKUP(Table11[[#This Row],[Admin2PCODE]], tblPiNAnalysis[Admin2PCODE], INDIRECT("tblPiNAnalysis[" &amp; Table11[[#Headers],[PiN más alto]] &amp; "]"), "NOT FOUND", 0, 1)</f>
        <v>7720</v>
      </c>
      <c r="O211" t="str" cm="1">
        <f t="array" aca="1" ref="O211" ca="1">_xlfn.XLOOKUP(Table11[[#This Row],[Admin2PCODE]], tblPiNAnalysis[Admin2PCODE], INDIRECT("tblPiNAnalysis[" &amp; Table11[[#Headers],[Sectores más altos]] &amp; "]"), "NOT FOUND", 0, 1)</f>
        <v>SAL</v>
      </c>
      <c r="P211" cm="1">
        <f t="array" ref="P211">_xlfn.XLOOKUP(Table11[[#This Row],[Admin2PCODE]], tblPiNAnalysis[Admin2PCODE], tblPiNAnalysis[Severidad], "NOT FOUND", 0, 1)</f>
        <v>3</v>
      </c>
      <c r="Q211" s="318">
        <v>0.7857142857142857</v>
      </c>
      <c r="R211" s="318">
        <v>0.33333333333333331</v>
      </c>
      <c r="S211" s="318">
        <v>0.26190476190476186</v>
      </c>
      <c r="T211">
        <v>0</v>
      </c>
      <c r="W211">
        <f>_xlfn.XLOOKUP(Table11[[#This Row],[Admin2PCODE]],tblSeverityAnalysis[Admin 2 Código P],tblSeverityAnalysis[PRO],0,0)</f>
        <v>2</v>
      </c>
      <c r="Y211">
        <v>0</v>
      </c>
      <c r="Z211">
        <v>7.45</v>
      </c>
      <c r="AA211">
        <f t="shared" si="3"/>
        <v>7</v>
      </c>
    </row>
    <row r="212" spans="1:27">
      <c r="A212" t="s">
        <v>513</v>
      </c>
      <c r="B212" t="s">
        <v>514</v>
      </c>
      <c r="C212" s="42" t="s">
        <v>832</v>
      </c>
      <c r="D212" t="s">
        <v>516</v>
      </c>
      <c r="E212" s="8" cm="1">
        <f t="array" aca="1" ref="E212" ca="1">_xlfn.XLOOKUP(Table11[[#This Row],[Admin2PCODE]], tblPiNAnalysis[Admin2PCODE], INDIRECT("tblPiNAnalysis[" &amp; Table11[[#Headers],[Población]] &amp; "]"), "NOT FOUND", 0, 1)</f>
        <v>28930</v>
      </c>
      <c r="F212" s="8" cm="1">
        <f t="array" aca="1" ref="F212" ca="1">_xlfn.XLOOKUP(Table11[[#This Row],[Admin2PCODE]], tblPiNAnalysis[Admin2PCODE], INDIRECT("tblPiNAnalysis[" &amp; Table11[[#Headers],[SAMV]] &amp; "]"), "NOT FOUND", 0, 1)</f>
        <v>5193</v>
      </c>
      <c r="G212" s="8" cm="1">
        <f t="array" aca="1" ref="G212" ca="1">_xlfn.XLOOKUP(Table11[[#This Row],[Admin2PCODE]], tblPiNAnalysis[Admin2PCODE], INDIRECT("tblPiNAnalysis[" &amp; Table11[[#Headers],[NUT]] &amp; "]"), "NOT FOUND", 0, 1)</f>
        <v>828.7233462712943</v>
      </c>
      <c r="H212" s="8" cm="1">
        <f t="array" aca="1" ref="H212" ca="1">_xlfn.XLOOKUP(Table11[[#This Row],[Admin2PCODE]], tblPiNAnalysis[Admin2PCODE], INDIRECT("tblPiNAnalysis[" &amp; Table11[[#Headers],[SAL]] &amp; "]"), "NOT FOUND", 0, 1)</f>
        <v>10559.45</v>
      </c>
      <c r="I212" s="8" cm="1">
        <f t="array" aca="1" ref="I212" ca="1">_xlfn.XLOOKUP(Table11[[#This Row],[Admin2PCODE]], tblPiNAnalysis[Admin2PCODE], INDIRECT("tblPiNAnalysis[" &amp; Table11[[#Headers],[EDU]] &amp; "]"), "NOT FOUND", 0, 1)</f>
        <v>3703.9087406533395</v>
      </c>
      <c r="J212" s="8" cm="1">
        <f t="array" aca="1" ref="J212" ca="1">_xlfn.XLOOKUP(Table11[[#This Row],[Admin2PCODE]], tblPiNAnalysis[Admin2PCODE], INDIRECT("tblPiNAnalysis[" &amp; Table11[[#Headers],[PRO]] &amp; "]"), "NOT FOUND", 0, 1)</f>
        <v>1161.6912499055102</v>
      </c>
      <c r="K212" s="8" cm="1">
        <f t="array" aca="1" ref="K212" ca="1">_xlfn.XLOOKUP(Table11[[#This Row],[Admin2PCODE]], tblPiNAnalysis[Admin2PCODE], INDIRECT("tblPiNAnalysis[" &amp; Table11[[#Headers],[ASH]] &amp; "]"), "NOT FOUND", 0, 1)</f>
        <v>17358</v>
      </c>
      <c r="L212" s="8" cm="1">
        <f t="array" aca="1" ref="L212" ca="1">_xlfn.XLOOKUP(Table11[[#This Row],[Admin2PCODE]], tblPiNAnalysis[Admin2PCODE], INDIRECT("tblPiNAnalysis[" &amp; Table11[[#Headers],[NNA]] &amp; "]"), "NOT FOUND", 0, 1)</f>
        <v>371.74119996976322</v>
      </c>
      <c r="M212" s="8" cm="1">
        <f t="array" aca="1" ref="M212" ca="1">_xlfn.XLOOKUP(Table11[[#This Row],[Admin2PCODE]], tblPiNAnalysis[Admin2PCODE], INDIRECT("tblPiNAnalysis[" &amp; Table11[[#Headers],[VBG]] &amp; "]"), "NOT FOUND", 0, 1)</f>
        <v>406.59193746692858</v>
      </c>
      <c r="N212" s="8" cm="1">
        <f t="array" aca="1" ref="N212" ca="1">_xlfn.XLOOKUP(Table11[[#This Row],[Admin2PCODE]], tblPiNAnalysis[Admin2PCODE], INDIRECT("tblPiNAnalysis[" &amp; Table11[[#Headers],[PiN más alto]] &amp; "]"), "NOT FOUND", 0, 1)</f>
        <v>17358</v>
      </c>
      <c r="O212" t="str" cm="1">
        <f t="array" aca="1" ref="O212" ca="1">_xlfn.XLOOKUP(Table11[[#This Row],[Admin2PCODE]], tblPiNAnalysis[Admin2PCODE], INDIRECT("tblPiNAnalysis[" &amp; Table11[[#Headers],[Sectores más altos]] &amp; "]"), "NOT FOUND", 0, 1)</f>
        <v>ASH</v>
      </c>
      <c r="P212" cm="1">
        <f t="array" ref="P212">_xlfn.XLOOKUP(Table11[[#This Row],[Admin2PCODE]], tblPiNAnalysis[Admin2PCODE], tblPiNAnalysis[Severidad], "NOT FOUND", 0, 1)</f>
        <v>2</v>
      </c>
      <c r="Q212" s="318">
        <v>0.1111111111111111</v>
      </c>
      <c r="R212" s="318">
        <v>0.44444444444444431</v>
      </c>
      <c r="S212" s="318">
        <v>4.9382716049382699E-2</v>
      </c>
      <c r="T212">
        <v>0</v>
      </c>
      <c r="W212">
        <f>_xlfn.XLOOKUP(Table11[[#This Row],[Admin2PCODE]],tblSeverityAnalysis[Admin 2 Código P],tblSeverityAnalysis[PRO],0,0)</f>
        <v>1</v>
      </c>
      <c r="Y212">
        <v>0</v>
      </c>
      <c r="Z212">
        <v>0</v>
      </c>
      <c r="AA212">
        <f t="shared" si="3"/>
        <v>0</v>
      </c>
    </row>
    <row r="213" spans="1:27">
      <c r="A213" t="s">
        <v>513</v>
      </c>
      <c r="B213" t="s">
        <v>514</v>
      </c>
      <c r="C213" s="42" t="s">
        <v>221</v>
      </c>
      <c r="D213" t="s">
        <v>517</v>
      </c>
      <c r="E213" s="8" cm="1">
        <f t="array" aca="1" ref="E213" ca="1">_xlfn.XLOOKUP(Table11[[#This Row],[Admin2PCODE]], tblPiNAnalysis[Admin2PCODE], INDIRECT("tblPiNAnalysis[" &amp; Table11[[#Headers],[Población]] &amp; "]"), "NOT FOUND", 0, 1)</f>
        <v>28948</v>
      </c>
      <c r="F213" s="8" cm="1">
        <f t="array" aca="1" ref="F213" ca="1">_xlfn.XLOOKUP(Table11[[#This Row],[Admin2PCODE]], tblPiNAnalysis[Admin2PCODE], INDIRECT("tblPiNAnalysis[" &amp; Table11[[#Headers],[SAMV]] &amp; "]"), "NOT FOUND", 0, 1)</f>
        <v>2227</v>
      </c>
      <c r="G213" s="8" cm="1">
        <f t="array" aca="1" ref="G213" ca="1">_xlfn.XLOOKUP(Table11[[#This Row],[Admin2PCODE]], tblPiNAnalysis[Admin2PCODE], INDIRECT("tblPiNAnalysis[" &amp; Table11[[#Headers],[NUT]] &amp; "]"), "NOT FOUND", 0, 1)</f>
        <v>825.50543134974737</v>
      </c>
      <c r="H213" s="8" cm="1">
        <f t="array" aca="1" ref="H213" ca="1">_xlfn.XLOOKUP(Table11[[#This Row],[Admin2PCODE]], tblPiNAnalysis[Admin2PCODE], INDIRECT("tblPiNAnalysis[" &amp; Table11[[#Headers],[SAL]] &amp; "]"), "NOT FOUND", 0, 1)</f>
        <v>10566.02</v>
      </c>
      <c r="I213" s="8" cm="1">
        <f t="array" aca="1" ref="I213" ca="1">_xlfn.XLOOKUP(Table11[[#This Row],[Admin2PCODE]], tblPiNAnalysis[Admin2PCODE], INDIRECT("tblPiNAnalysis[" &amp; Table11[[#Headers],[EDU]] &amp; "]"), "NOT FOUND", 0, 1)</f>
        <v>1866.5807147718033</v>
      </c>
      <c r="J213" s="8" cm="1">
        <f t="array" aca="1" ref="J213" ca="1">_xlfn.XLOOKUP(Table11[[#This Row],[Admin2PCODE]], tblPiNAnalysis[Admin2PCODE], INDIRECT("tblPiNAnalysis[" &amp; Table11[[#Headers],[PRO]] &amp; "]"), "NOT FOUND", 0, 1)</f>
        <v>5812.0702216150503</v>
      </c>
      <c r="K213" s="8" cm="1">
        <f t="array" aca="1" ref="K213" ca="1">_xlfn.XLOOKUP(Table11[[#This Row],[Admin2PCODE]], tblPiNAnalysis[Admin2PCODE], INDIRECT("tblPiNAnalysis[" &amp; Table11[[#Headers],[ASH]] &amp; "]"), "NOT FOUND", 0, 1)</f>
        <v>17368.8</v>
      </c>
      <c r="L213" s="8" cm="1">
        <f t="array" aca="1" ref="L213" ca="1">_xlfn.XLOOKUP(Table11[[#This Row],[Admin2PCODE]], tblPiNAnalysis[Admin2PCODE], INDIRECT("tblPiNAnalysis[" &amp; Table11[[#Headers],[NNA]] &amp; "]"), "NOT FOUND", 0, 1)</f>
        <v>1859.8624709168162</v>
      </c>
      <c r="M213" s="8" cm="1">
        <f t="array" aca="1" ref="M213" ca="1">_xlfn.XLOOKUP(Table11[[#This Row],[Admin2PCODE]], tblPiNAnalysis[Admin2PCODE], INDIRECT("tblPiNAnalysis[" &amp; Table11[[#Headers],[VBG]] &amp; "]"), "NOT FOUND", 0, 1)</f>
        <v>2034.2245775652677</v>
      </c>
      <c r="N213" s="8" cm="1">
        <f t="array" aca="1" ref="N213" ca="1">_xlfn.XLOOKUP(Table11[[#This Row],[Admin2PCODE]], tblPiNAnalysis[Admin2PCODE], INDIRECT("tblPiNAnalysis[" &amp; Table11[[#Headers],[PiN más alto]] &amp; "]"), "NOT FOUND", 0, 1)</f>
        <v>17368.8</v>
      </c>
      <c r="O213" t="str" cm="1">
        <f t="array" aca="1" ref="O213" ca="1">_xlfn.XLOOKUP(Table11[[#This Row],[Admin2PCODE]], tblPiNAnalysis[Admin2PCODE], INDIRECT("tblPiNAnalysis[" &amp; Table11[[#Headers],[Sectores más altos]] &amp; "]"), "NOT FOUND", 0, 1)</f>
        <v>ASH</v>
      </c>
      <c r="P213" cm="1">
        <f t="array" ref="P213">_xlfn.XLOOKUP(Table11[[#This Row],[Admin2PCODE]], tblPiNAnalysis[Admin2PCODE], tblPiNAnalysis[Severidad], "NOT FOUND", 0, 1)</f>
        <v>3</v>
      </c>
      <c r="Q213" s="318">
        <v>2.2727272727272728E-2</v>
      </c>
      <c r="R213" s="318">
        <v>0.44444444444444431</v>
      </c>
      <c r="S213" s="318">
        <v>1.0101010101010098E-2</v>
      </c>
      <c r="T213">
        <v>0</v>
      </c>
      <c r="W213">
        <f>_xlfn.XLOOKUP(Table11[[#This Row],[Admin2PCODE]],tblSeverityAnalysis[Admin 2 Código P],tblSeverityAnalysis[PRO],0,0)</f>
        <v>3</v>
      </c>
      <c r="Y213">
        <v>0</v>
      </c>
      <c r="Z213">
        <v>0</v>
      </c>
      <c r="AA213">
        <f t="shared" si="3"/>
        <v>0</v>
      </c>
    </row>
    <row r="214" spans="1:27">
      <c r="A214" t="s">
        <v>513</v>
      </c>
      <c r="B214" t="s">
        <v>514</v>
      </c>
      <c r="C214" s="42" t="s">
        <v>518</v>
      </c>
      <c r="D214" t="s">
        <v>519</v>
      </c>
      <c r="E214" s="8" cm="1">
        <f t="array" aca="1" ref="E214" ca="1">_xlfn.XLOOKUP(Table11[[#This Row],[Admin2PCODE]], tblPiNAnalysis[Admin2PCODE], INDIRECT("tblPiNAnalysis[" &amp; Table11[[#Headers],[Población]] &amp; "]"), "NOT FOUND", 0, 1)</f>
        <v>73078</v>
      </c>
      <c r="F214" s="8" cm="1">
        <f t="array" aca="1" ref="F214" ca="1">_xlfn.XLOOKUP(Table11[[#This Row],[Admin2PCODE]], tblPiNAnalysis[Admin2PCODE], INDIRECT("tblPiNAnalysis[" &amp; Table11[[#Headers],[SAMV]] &amp; "]"), "NOT FOUND", 0, 1)</f>
        <v>2610</v>
      </c>
      <c r="G214" s="8" cm="1">
        <f t="array" aca="1" ref="G214" ca="1">_xlfn.XLOOKUP(Table11[[#This Row],[Admin2PCODE]], tblPiNAnalysis[Admin2PCODE], INDIRECT("tblPiNAnalysis[" &amp; Table11[[#Headers],[NUT]] &amp; "]"), "NOT FOUND", 0, 1)</f>
        <v>1948.696026563121</v>
      </c>
      <c r="H214" s="8" cm="1">
        <f t="array" aca="1" ref="H214" ca="1">_xlfn.XLOOKUP(Table11[[#This Row],[Admin2PCODE]], tblPiNAnalysis[Admin2PCODE], INDIRECT("tblPiNAnalysis[" &amp; Table11[[#Headers],[SAL]] &amp; "]"), "NOT FOUND", 0, 1)</f>
        <v>26673.47</v>
      </c>
      <c r="I214" s="8" cm="1">
        <f t="array" aca="1" ref="I214" ca="1">_xlfn.XLOOKUP(Table11[[#This Row],[Admin2PCODE]], tblPiNAnalysis[Admin2PCODE], INDIRECT("tblPiNAnalysis[" &amp; Table11[[#Headers],[EDU]] &amp; "]"), "NOT FOUND", 0, 1)</f>
        <v>9683.3668470724515</v>
      </c>
      <c r="J214" s="8" cm="1">
        <f t="array" aca="1" ref="J214" ca="1">_xlfn.XLOOKUP(Table11[[#This Row],[Admin2PCODE]], tblPiNAnalysis[Admin2PCODE], INDIRECT("tblPiNAnalysis[" &amp; Table11[[#Headers],[PRO]] &amp; "]"), "NOT FOUND", 0, 1)</f>
        <v>8803.3950736876777</v>
      </c>
      <c r="K214" s="8" cm="1">
        <f t="array" aca="1" ref="K214" ca="1">_xlfn.XLOOKUP(Table11[[#This Row],[Admin2PCODE]], tblPiNAnalysis[Admin2PCODE], INDIRECT("tblPiNAnalysis[" &amp; Table11[[#Headers],[ASH]] &amp; "]"), "NOT FOUND", 0, 1)</f>
        <v>43846.799999999996</v>
      </c>
      <c r="L214" s="8" cm="1">
        <f t="array" aca="1" ref="L214" ca="1">_xlfn.XLOOKUP(Table11[[#This Row],[Admin2PCODE]], tblPiNAnalysis[Admin2PCODE], INDIRECT("tblPiNAnalysis[" &amp; Table11[[#Headers],[NNA]] &amp; "]"), "NOT FOUND", 0, 1)</f>
        <v>2825.8898186537444</v>
      </c>
      <c r="M214" s="8" cm="1">
        <f t="array" aca="1" ref="M214" ca="1">_xlfn.XLOOKUP(Table11[[#This Row],[Admin2PCODE]], tblPiNAnalysis[Admin2PCODE], INDIRECT("tblPiNAnalysis[" &amp; Table11[[#Headers],[VBG]] &amp; "]"), "NOT FOUND", 0, 1)</f>
        <v>3081.1882757906874</v>
      </c>
      <c r="N214" s="8" cm="1">
        <f t="array" aca="1" ref="N214" ca="1">_xlfn.XLOOKUP(Table11[[#This Row],[Admin2PCODE]], tblPiNAnalysis[Admin2PCODE], INDIRECT("tblPiNAnalysis[" &amp; Table11[[#Headers],[PiN más alto]] &amp; "]"), "NOT FOUND", 0, 1)</f>
        <v>43846.799999999996</v>
      </c>
      <c r="O214" t="str" cm="1">
        <f t="array" aca="1" ref="O214" ca="1">_xlfn.XLOOKUP(Table11[[#This Row],[Admin2PCODE]], tblPiNAnalysis[Admin2PCODE], INDIRECT("tblPiNAnalysis[" &amp; Table11[[#Headers],[Sectores más altos]] &amp; "]"), "NOT FOUND", 0, 1)</f>
        <v>ASH</v>
      </c>
      <c r="P214" cm="1">
        <f t="array" ref="P214">_xlfn.XLOOKUP(Table11[[#This Row],[Admin2PCODE]], tblPiNAnalysis[Admin2PCODE], tblPiNAnalysis[Severidad], "NOT FOUND", 0, 1)</f>
        <v>3</v>
      </c>
      <c r="Q214" s="318">
        <v>0</v>
      </c>
      <c r="R214" s="318">
        <v>0</v>
      </c>
      <c r="S214" s="318">
        <v>0</v>
      </c>
      <c r="T214">
        <v>0</v>
      </c>
      <c r="W214">
        <f>_xlfn.XLOOKUP(Table11[[#This Row],[Admin2PCODE]],tblSeverityAnalysis[Admin 2 Código P],tblSeverityAnalysis[PRO],0,0)</f>
        <v>2</v>
      </c>
      <c r="Y214">
        <v>0</v>
      </c>
      <c r="Z214">
        <v>0</v>
      </c>
      <c r="AA214">
        <f t="shared" si="3"/>
        <v>0</v>
      </c>
    </row>
    <row r="215" spans="1:27">
      <c r="A215" t="s">
        <v>513</v>
      </c>
      <c r="B215" t="s">
        <v>514</v>
      </c>
      <c r="C215" s="42" t="s">
        <v>520</v>
      </c>
      <c r="D215" t="s">
        <v>521</v>
      </c>
      <c r="E215" s="8" cm="1">
        <f t="array" aca="1" ref="E215" ca="1">_xlfn.XLOOKUP(Table11[[#This Row],[Admin2PCODE]], tblPiNAnalysis[Admin2PCODE], INDIRECT("tblPiNAnalysis[" &amp; Table11[[#Headers],[Población]] &amp; "]"), "NOT FOUND", 0, 1)</f>
        <v>70041</v>
      </c>
      <c r="F215" s="8" cm="1">
        <f t="array" aca="1" ref="F215" ca="1">_xlfn.XLOOKUP(Table11[[#This Row],[Admin2PCODE]], tblPiNAnalysis[Admin2PCODE], INDIRECT("tblPiNAnalysis[" &amp; Table11[[#Headers],[SAMV]] &amp; "]"), "NOT FOUND", 0, 1)</f>
        <v>15565</v>
      </c>
      <c r="G215" s="8" cm="1">
        <f t="array" aca="1" ref="G215" ca="1">_xlfn.XLOOKUP(Table11[[#This Row],[Admin2PCODE]], tblPiNAnalysis[Admin2PCODE], INDIRECT("tblPiNAnalysis[" &amp; Table11[[#Headers],[NUT]] &amp; "]"), "NOT FOUND", 0, 1)</f>
        <v>1866.381352977661</v>
      </c>
      <c r="H215" s="8" cm="1">
        <f t="array" aca="1" ref="H215" ca="1">_xlfn.XLOOKUP(Table11[[#This Row],[Admin2PCODE]], tblPiNAnalysis[Admin2PCODE], INDIRECT("tblPiNAnalysis[" &amp; Table11[[#Headers],[SAL]] &amp; "]"), "NOT FOUND", 0, 1)</f>
        <v>25564.965</v>
      </c>
      <c r="I215" s="8" cm="1">
        <f t="array" aca="1" ref="I215" ca="1">_xlfn.XLOOKUP(Table11[[#This Row],[Admin2PCODE]], tblPiNAnalysis[Admin2PCODE], INDIRECT("tblPiNAnalysis[" &amp; Table11[[#Headers],[EDU]] &amp; "]"), "NOT FOUND", 0, 1)</f>
        <v>9979.9957340485653</v>
      </c>
      <c r="J215" s="8" cm="1">
        <f t="array" aca="1" ref="J215" ca="1">_xlfn.XLOOKUP(Table11[[#This Row],[Admin2PCODE]], tblPiNAnalysis[Admin2PCODE], INDIRECT("tblPiNAnalysis[" &amp; Table11[[#Headers],[PRO]] &amp; "]"), "NOT FOUND", 0, 1)</f>
        <v>8437.5406326960037</v>
      </c>
      <c r="K215" s="8" cm="1">
        <f t="array" aca="1" ref="K215" ca="1">_xlfn.XLOOKUP(Table11[[#This Row],[Admin2PCODE]], tblPiNAnalysis[Admin2PCODE], INDIRECT("tblPiNAnalysis[" &amp; Table11[[#Headers],[ASH]] &amp; "]"), "NOT FOUND", 0, 1)</f>
        <v>42024.6</v>
      </c>
      <c r="L215" s="8" cm="1">
        <f t="array" aca="1" ref="L215" ca="1">_xlfn.XLOOKUP(Table11[[#This Row],[Admin2PCODE]], tblPiNAnalysis[Admin2PCODE], INDIRECT("tblPiNAnalysis[" &amp; Table11[[#Headers],[NNA]] &amp; "]"), "NOT FOUND", 0, 1)</f>
        <v>2700.0130024627215</v>
      </c>
      <c r="M215" s="8" cm="1">
        <f t="array" aca="1" ref="M215" ca="1">_xlfn.XLOOKUP(Table11[[#This Row],[Admin2PCODE]], tblPiNAnalysis[Admin2PCODE], INDIRECT("tblPiNAnalysis[" &amp; Table11[[#Headers],[VBG]] &amp; "]"), "NOT FOUND", 0, 1)</f>
        <v>2953.1392214436009</v>
      </c>
      <c r="N215" s="8" cm="1">
        <f t="array" aca="1" ref="N215" ca="1">_xlfn.XLOOKUP(Table11[[#This Row],[Admin2PCODE]], tblPiNAnalysis[Admin2PCODE], INDIRECT("tblPiNAnalysis[" &amp; Table11[[#Headers],[PiN más alto]] &amp; "]"), "NOT FOUND", 0, 1)</f>
        <v>42024.6</v>
      </c>
      <c r="O215" t="str" cm="1">
        <f t="array" aca="1" ref="O215" ca="1">_xlfn.XLOOKUP(Table11[[#This Row],[Admin2PCODE]], tblPiNAnalysis[Admin2PCODE], INDIRECT("tblPiNAnalysis[" &amp; Table11[[#Headers],[Sectores más altos]] &amp; "]"), "NOT FOUND", 0, 1)</f>
        <v>ASH</v>
      </c>
      <c r="P215" cm="1">
        <f t="array" ref="P215">_xlfn.XLOOKUP(Table11[[#This Row],[Admin2PCODE]], tblPiNAnalysis[Admin2PCODE], tblPiNAnalysis[Severidad], "NOT FOUND", 0, 1)</f>
        <v>3</v>
      </c>
      <c r="Q215" s="318">
        <v>0</v>
      </c>
      <c r="R215" s="318">
        <v>0</v>
      </c>
      <c r="S215" s="318">
        <v>0</v>
      </c>
      <c r="T215">
        <v>1</v>
      </c>
      <c r="W215">
        <f>_xlfn.XLOOKUP(Table11[[#This Row],[Admin2PCODE]],tblSeverityAnalysis[Admin 2 Código P],tblSeverityAnalysis[PRO],0,0)</f>
        <v>2</v>
      </c>
      <c r="Y215">
        <v>0</v>
      </c>
      <c r="Z215">
        <v>0</v>
      </c>
      <c r="AA215">
        <f t="shared" si="3"/>
        <v>0</v>
      </c>
    </row>
    <row r="216" spans="1:27">
      <c r="A216" t="s">
        <v>513</v>
      </c>
      <c r="B216" t="s">
        <v>514</v>
      </c>
      <c r="C216" s="42" t="s">
        <v>522</v>
      </c>
      <c r="D216" t="s">
        <v>523</v>
      </c>
      <c r="E216" s="8" cm="1">
        <f t="array" aca="1" ref="E216" ca="1">_xlfn.XLOOKUP(Table11[[#This Row],[Admin2PCODE]], tblPiNAnalysis[Admin2PCODE], INDIRECT("tblPiNAnalysis[" &amp; Table11[[#Headers],[Población]] &amp; "]"), "NOT FOUND", 0, 1)</f>
        <v>41323</v>
      </c>
      <c r="F216" s="8" cm="1">
        <f t="array" aca="1" ref="F216" ca="1">_xlfn.XLOOKUP(Table11[[#This Row],[Admin2PCODE]], tblPiNAnalysis[Admin2PCODE], INDIRECT("tblPiNAnalysis[" &amp; Table11[[#Headers],[SAMV]] &amp; "]"), "NOT FOUND", 0, 1)</f>
        <v>5165</v>
      </c>
      <c r="G216" s="8" cm="1">
        <f t="array" aca="1" ref="G216" ca="1">_xlfn.XLOOKUP(Table11[[#This Row],[Admin2PCODE]], tblPiNAnalysis[Admin2PCODE], INDIRECT("tblPiNAnalysis[" &amp; Table11[[#Headers],[NUT]] &amp; "]"), "NOT FOUND", 0, 1)</f>
        <v>1201.0811480764187</v>
      </c>
      <c r="H216" s="8" cm="1">
        <f t="array" aca="1" ref="H216" ca="1">_xlfn.XLOOKUP(Table11[[#This Row],[Admin2PCODE]], tblPiNAnalysis[Admin2PCODE], INDIRECT("tblPiNAnalysis[" &amp; Table11[[#Headers],[SAL]] &amp; "]"), "NOT FOUND", 0, 1)</f>
        <v>15082.895</v>
      </c>
      <c r="I216" s="8" cm="1">
        <f t="array" aca="1" ref="I216" ca="1">_xlfn.XLOOKUP(Table11[[#This Row],[Admin2PCODE]], tblPiNAnalysis[Admin2PCODE], INDIRECT("tblPiNAnalysis[" &amp; Table11[[#Headers],[EDU]] &amp; "]"), "NOT FOUND", 0, 1)</f>
        <v>5321.9602595917095</v>
      </c>
      <c r="J216" s="8" cm="1">
        <f t="array" aca="1" ref="J216" ca="1">_xlfn.XLOOKUP(Table11[[#This Row],[Admin2PCODE]], tblPiNAnalysis[Admin2PCODE], INDIRECT("tblPiNAnalysis[" &amp; Table11[[#Headers],[PRO]] &amp; "]"), "NOT FOUND", 0, 1)</f>
        <v>4978.0056190645055</v>
      </c>
      <c r="K216" s="8" cm="1">
        <f t="array" aca="1" ref="K216" ca="1">_xlfn.XLOOKUP(Table11[[#This Row],[Admin2PCODE]], tblPiNAnalysis[Admin2PCODE], INDIRECT("tblPiNAnalysis[" &amp; Table11[[#Headers],[ASH]] &amp; "]"), "NOT FOUND", 0, 1)</f>
        <v>24793.8</v>
      </c>
      <c r="L216" s="8" cm="1">
        <f t="array" aca="1" ref="L216" ca="1">_xlfn.XLOOKUP(Table11[[#This Row],[Admin2PCODE]], tblPiNAnalysis[Admin2PCODE], INDIRECT("tblPiNAnalysis[" &amp; Table11[[#Headers],[NNA]] &amp; "]"), "NOT FOUND", 0, 1)</f>
        <v>1592.9617981006418</v>
      </c>
      <c r="M216" s="8" cm="1">
        <f t="array" aca="1" ref="M216" ca="1">_xlfn.XLOOKUP(Table11[[#This Row],[Admin2PCODE]], tblPiNAnalysis[Admin2PCODE], INDIRECT("tblPiNAnalysis[" &amp; Table11[[#Headers],[VBG]] &amp; "]"), "NOT FOUND", 0, 1)</f>
        <v>1742.3019666725768</v>
      </c>
      <c r="N216" s="8" cm="1">
        <f t="array" aca="1" ref="N216" ca="1">_xlfn.XLOOKUP(Table11[[#This Row],[Admin2PCODE]], tblPiNAnalysis[Admin2PCODE], INDIRECT("tblPiNAnalysis[" &amp; Table11[[#Headers],[PiN más alto]] &amp; "]"), "NOT FOUND", 0, 1)</f>
        <v>24793.8</v>
      </c>
      <c r="O216" t="str" cm="1">
        <f t="array" aca="1" ref="O216" ca="1">_xlfn.XLOOKUP(Table11[[#This Row],[Admin2PCODE]], tblPiNAnalysis[Admin2PCODE], INDIRECT("tblPiNAnalysis[" &amp; Table11[[#Headers],[Sectores más altos]] &amp; "]"), "NOT FOUND", 0, 1)</f>
        <v>ASH</v>
      </c>
      <c r="P216" cm="1">
        <f t="array" ref="P216">_xlfn.XLOOKUP(Table11[[#This Row],[Admin2PCODE]], tblPiNAnalysis[Admin2PCODE], tblPiNAnalysis[Severidad], "NOT FOUND", 0, 1)</f>
        <v>2</v>
      </c>
      <c r="Q216" s="318">
        <v>0.10416666666666667</v>
      </c>
      <c r="R216" s="318">
        <v>0.39999999999999991</v>
      </c>
      <c r="S216" s="318">
        <v>4.1666666666666657E-2</v>
      </c>
      <c r="T216">
        <v>0</v>
      </c>
      <c r="W216">
        <f>_xlfn.XLOOKUP(Table11[[#This Row],[Admin2PCODE]],tblSeverityAnalysis[Admin 2 Código P],tblSeverityAnalysis[PRO],0,0)</f>
        <v>2</v>
      </c>
      <c r="Y216">
        <v>0</v>
      </c>
      <c r="Z216">
        <v>0</v>
      </c>
      <c r="AA216">
        <f t="shared" si="3"/>
        <v>0</v>
      </c>
    </row>
    <row r="217" spans="1:27">
      <c r="A217" t="s">
        <v>513</v>
      </c>
      <c r="B217" t="s">
        <v>514</v>
      </c>
      <c r="C217" s="42" t="s">
        <v>524</v>
      </c>
      <c r="D217" t="s">
        <v>525</v>
      </c>
      <c r="E217" s="8" cm="1">
        <f t="array" aca="1" ref="E217" ca="1">_xlfn.XLOOKUP(Table11[[#This Row],[Admin2PCODE]], tblPiNAnalysis[Admin2PCODE], INDIRECT("tblPiNAnalysis[" &amp; Table11[[#Headers],[Población]] &amp; "]"), "NOT FOUND", 0, 1)</f>
        <v>50050</v>
      </c>
      <c r="F217" s="8" cm="1">
        <f t="array" aca="1" ref="F217" ca="1">_xlfn.XLOOKUP(Table11[[#This Row],[Admin2PCODE]], tblPiNAnalysis[Admin2PCODE], INDIRECT("tblPiNAnalysis[" &amp; Table11[[#Headers],[SAMV]] &amp; "]"), "NOT FOUND", 0, 1)</f>
        <v>8008</v>
      </c>
      <c r="G217" s="8" cm="1">
        <f t="array" aca="1" ref="G217" ca="1">_xlfn.XLOOKUP(Table11[[#This Row],[Admin2PCODE]], tblPiNAnalysis[Admin2PCODE], INDIRECT("tblPiNAnalysis[" &amp; Table11[[#Headers],[NUT]] &amp; "]"), "NOT FOUND", 0, 1)</f>
        <v>1364.7572244034973</v>
      </c>
      <c r="H217" s="8" cm="1">
        <f t="array" aca="1" ref="H217" ca="1">_xlfn.XLOOKUP(Table11[[#This Row],[Admin2PCODE]], tblPiNAnalysis[Admin2PCODE], INDIRECT("tblPiNAnalysis[" &amp; Table11[[#Headers],[SAL]] &amp; "]"), "NOT FOUND", 0, 1)</f>
        <v>18268.25</v>
      </c>
      <c r="I217" s="8" cm="1">
        <f t="array" aca="1" ref="I217" ca="1">_xlfn.XLOOKUP(Table11[[#This Row],[Admin2PCODE]], tblPiNAnalysis[Admin2PCODE], INDIRECT("tblPiNAnalysis[" &amp; Table11[[#Headers],[EDU]] &amp; "]"), "NOT FOUND", 0, 1)</f>
        <v>6015.0133949058263</v>
      </c>
      <c r="J217" s="8" cm="1">
        <f t="array" aca="1" ref="J217" ca="1">_xlfn.XLOOKUP(Table11[[#This Row],[Admin2PCODE]], tblPiNAnalysis[Admin2PCODE], INDIRECT("tblPiNAnalysis[" &amp; Table11[[#Headers],[PRO]] &amp; "]"), "NOT FOUND", 0, 1)</f>
        <v>2009.7700331064902</v>
      </c>
      <c r="K217" s="8" cm="1">
        <f t="array" aca="1" ref="K217" ca="1">_xlfn.XLOOKUP(Table11[[#This Row],[Admin2PCODE]], tblPiNAnalysis[Admin2PCODE], INDIRECT("tblPiNAnalysis[" &amp; Table11[[#Headers],[ASH]] &amp; "]"), "NOT FOUND", 0, 1)</f>
        <v>30030</v>
      </c>
      <c r="L217" s="8" cm="1">
        <f t="array" aca="1" ref="L217" ca="1">_xlfn.XLOOKUP(Table11[[#This Row],[Admin2PCODE]], tblPiNAnalysis[Admin2PCODE], INDIRECT("tblPiNAnalysis[" &amp; Table11[[#Headers],[NNA]] &amp; "]"), "NOT FOUND", 0, 1)</f>
        <v>643.1264105940769</v>
      </c>
      <c r="M217" s="8" cm="1">
        <f t="array" aca="1" ref="M217" ca="1">_xlfn.XLOOKUP(Table11[[#This Row],[Admin2PCODE]], tblPiNAnalysis[Admin2PCODE], INDIRECT("tblPiNAnalysis[" &amp; Table11[[#Headers],[VBG]] &amp; "]"), "NOT FOUND", 0, 1)</f>
        <v>703.41951158727159</v>
      </c>
      <c r="N217" s="8" cm="1">
        <f t="array" aca="1" ref="N217" ca="1">_xlfn.XLOOKUP(Table11[[#This Row],[Admin2PCODE]], tblPiNAnalysis[Admin2PCODE], INDIRECT("tblPiNAnalysis[" &amp; Table11[[#Headers],[PiN más alto]] &amp; "]"), "NOT FOUND", 0, 1)</f>
        <v>30030</v>
      </c>
      <c r="O217" t="str" cm="1">
        <f t="array" aca="1" ref="O217" ca="1">_xlfn.XLOOKUP(Table11[[#This Row],[Admin2PCODE]], tblPiNAnalysis[Admin2PCODE], INDIRECT("tblPiNAnalysis[" &amp; Table11[[#Headers],[Sectores más altos]] &amp; "]"), "NOT FOUND", 0, 1)</f>
        <v>ASH</v>
      </c>
      <c r="P217" cm="1">
        <f t="array" ref="P217">_xlfn.XLOOKUP(Table11[[#This Row],[Admin2PCODE]], tblPiNAnalysis[Admin2PCODE], tblPiNAnalysis[Severidad], "NOT FOUND", 0, 1)</f>
        <v>2</v>
      </c>
      <c r="Q217" s="318">
        <v>7.792207792207792E-2</v>
      </c>
      <c r="R217" s="318">
        <v>0.42592592592592582</v>
      </c>
      <c r="S217" s="318">
        <v>3.3189033189033178E-2</v>
      </c>
      <c r="T217">
        <v>0</v>
      </c>
      <c r="W217">
        <f>_xlfn.XLOOKUP(Table11[[#This Row],[Admin2PCODE]],tblSeverityAnalysis[Admin 2 Código P],tblSeverityAnalysis[PRO],0,0)</f>
        <v>1</v>
      </c>
      <c r="Y217">
        <v>0</v>
      </c>
      <c r="Z217">
        <v>0</v>
      </c>
      <c r="AA217">
        <f t="shared" si="3"/>
        <v>0</v>
      </c>
    </row>
    <row r="218" spans="1:27">
      <c r="A218" t="s">
        <v>513</v>
      </c>
      <c r="B218" t="s">
        <v>514</v>
      </c>
      <c r="C218" s="42" t="s">
        <v>526</v>
      </c>
      <c r="D218" t="s">
        <v>527</v>
      </c>
      <c r="E218" s="8" cm="1">
        <f t="array" aca="1" ref="E218" ca="1">_xlfn.XLOOKUP(Table11[[#This Row],[Admin2PCODE]], tblPiNAnalysis[Admin2PCODE], INDIRECT("tblPiNAnalysis[" &amp; Table11[[#Headers],[Población]] &amp; "]"), "NOT FOUND", 0, 1)</f>
        <v>36496</v>
      </c>
      <c r="F218" s="8" cm="1">
        <f t="array" aca="1" ref="F218" ca="1">_xlfn.XLOOKUP(Table11[[#This Row],[Admin2PCODE]], tblPiNAnalysis[Admin2PCODE], INDIRECT("tblPiNAnalysis[" &amp; Table11[[#Headers],[SAMV]] &amp; "]"), "NOT FOUND", 0, 1)</f>
        <v>5725</v>
      </c>
      <c r="G218" s="8" cm="1">
        <f t="array" aca="1" ref="G218" ca="1">_xlfn.XLOOKUP(Table11[[#This Row],[Admin2PCODE]], tblPiNAnalysis[Admin2PCODE], INDIRECT("tblPiNAnalysis[" &amp; Table11[[#Headers],[NUT]] &amp; "]"), "NOT FOUND", 0, 1)</f>
        <v>1042.5382410310722</v>
      </c>
      <c r="H218" s="8" cm="1">
        <f t="array" aca="1" ref="H218" ca="1">_xlfn.XLOOKUP(Table11[[#This Row],[Admin2PCODE]], tblPiNAnalysis[Admin2PCODE], INDIRECT("tblPiNAnalysis[" &amp; Table11[[#Headers],[SAL]] &amp; "]"), "NOT FOUND", 0, 1)</f>
        <v>13321.04</v>
      </c>
      <c r="I218" s="8" cm="1">
        <f t="array" aca="1" ref="I218" ca="1">_xlfn.XLOOKUP(Table11[[#This Row],[Admin2PCODE]], tblPiNAnalysis[Admin2PCODE], INDIRECT("tblPiNAnalysis[" &amp; Table11[[#Headers],[EDU]] &amp; "]"), "NOT FOUND", 0, 1)</f>
        <v>2403.5124428855265</v>
      </c>
      <c r="J218" s="8" cm="1">
        <f t="array" aca="1" ref="J218" ca="1">_xlfn.XLOOKUP(Table11[[#This Row],[Admin2PCODE]], tblPiNAnalysis[Admin2PCODE], INDIRECT("tblPiNAnalysis[" &amp; Table11[[#Headers],[PRO]] &amp; "]"), "NOT FOUND", 0, 1)</f>
        <v>1465.5058367283609</v>
      </c>
      <c r="K218" s="8" cm="1">
        <f t="array" aca="1" ref="K218" ca="1">_xlfn.XLOOKUP(Table11[[#This Row],[Admin2PCODE]], tblPiNAnalysis[Admin2PCODE], INDIRECT("tblPiNAnalysis[" &amp; Table11[[#Headers],[ASH]] &amp; "]"), "NOT FOUND", 0, 1)</f>
        <v>21897.599999999999</v>
      </c>
      <c r="L218" s="8" cm="1">
        <f t="array" aca="1" ref="L218" ca="1">_xlfn.XLOOKUP(Table11[[#This Row],[Admin2PCODE]], tblPiNAnalysis[Admin2PCODE], INDIRECT("tblPiNAnalysis[" &amp; Table11[[#Headers],[NNA]] &amp; "]"), "NOT FOUND", 0, 1)</f>
        <v>470.42737358980389</v>
      </c>
      <c r="M218" s="8" cm="1">
        <f t="array" aca="1" ref="M218" ca="1">_xlfn.XLOOKUP(Table11[[#This Row],[Admin2PCODE]], tblPiNAnalysis[Admin2PCODE], INDIRECT("tblPiNAnalysis[" &amp; Table11[[#Headers],[VBG]] &amp; "]"), "NOT FOUND", 0, 1)</f>
        <v>512.9270428549263</v>
      </c>
      <c r="N218" s="8" cm="1">
        <f t="array" aca="1" ref="N218" ca="1">_xlfn.XLOOKUP(Table11[[#This Row],[Admin2PCODE]], tblPiNAnalysis[Admin2PCODE], INDIRECT("tblPiNAnalysis[" &amp; Table11[[#Headers],[PiN más alto]] &amp; "]"), "NOT FOUND", 0, 1)</f>
        <v>21897.599999999999</v>
      </c>
      <c r="O218" t="str" cm="1">
        <f t="array" aca="1" ref="O218" ca="1">_xlfn.XLOOKUP(Table11[[#This Row],[Admin2PCODE]], tblPiNAnalysis[Admin2PCODE], INDIRECT("tblPiNAnalysis[" &amp; Table11[[#Headers],[Sectores más altos]] &amp; "]"), "NOT FOUND", 0, 1)</f>
        <v>ASH</v>
      </c>
      <c r="P218" cm="1">
        <f t="array" ref="P218">_xlfn.XLOOKUP(Table11[[#This Row],[Admin2PCODE]], tblPiNAnalysis[Admin2PCODE], tblPiNAnalysis[Severidad], "NOT FOUND", 0, 1)</f>
        <v>2</v>
      </c>
      <c r="Q218" s="318">
        <v>0</v>
      </c>
      <c r="R218" s="318">
        <v>0</v>
      </c>
      <c r="S218" s="318">
        <v>0</v>
      </c>
      <c r="T218">
        <v>0</v>
      </c>
      <c r="W218">
        <f>_xlfn.XLOOKUP(Table11[[#This Row],[Admin2PCODE]],tblSeverityAnalysis[Admin 2 Código P],tblSeverityAnalysis[PRO],0,0)</f>
        <v>1</v>
      </c>
      <c r="Y218">
        <v>0</v>
      </c>
      <c r="Z218">
        <v>0</v>
      </c>
      <c r="AA218">
        <f t="shared" si="3"/>
        <v>0</v>
      </c>
    </row>
    <row r="219" spans="1:27">
      <c r="A219" t="s">
        <v>513</v>
      </c>
      <c r="B219" t="s">
        <v>514</v>
      </c>
      <c r="C219" s="42" t="s">
        <v>528</v>
      </c>
      <c r="D219" t="s">
        <v>529</v>
      </c>
      <c r="E219" s="8" cm="1">
        <f t="array" aca="1" ref="E219" ca="1">_xlfn.XLOOKUP(Table11[[#This Row],[Admin2PCODE]], tblPiNAnalysis[Admin2PCODE], INDIRECT("tblPiNAnalysis[" &amp; Table11[[#Headers],[Población]] &amp; "]"), "NOT FOUND", 0, 1)</f>
        <v>99867</v>
      </c>
      <c r="F219" s="8" cm="1">
        <f t="array" aca="1" ref="F219" ca="1">_xlfn.XLOOKUP(Table11[[#This Row],[Admin2PCODE]], tblPiNAnalysis[Admin2PCODE], INDIRECT("tblPiNAnalysis[" &amp; Table11[[#Headers],[SAMV]] &amp; "]"), "NOT FOUND", 0, 1)</f>
        <v>19419</v>
      </c>
      <c r="G219" s="8" cm="1">
        <f t="array" aca="1" ref="G219" ca="1">_xlfn.XLOOKUP(Table11[[#This Row],[Admin2PCODE]], tblPiNAnalysis[Admin2PCODE], INDIRECT("tblPiNAnalysis[" &amp; Table11[[#Headers],[NUT]] &amp; "]"), "NOT FOUND", 0, 1)</f>
        <v>2890.6980307975059</v>
      </c>
      <c r="H219" s="8" cm="1">
        <f t="array" aca="1" ref="H219" ca="1">_xlfn.XLOOKUP(Table11[[#This Row],[Admin2PCODE]], tblPiNAnalysis[Admin2PCODE], INDIRECT("tblPiNAnalysis[" &amp; Table11[[#Headers],[SAL]] &amp; "]"), "NOT FOUND", 0, 1)</f>
        <v>36451.455000000002</v>
      </c>
      <c r="I219" s="8" cm="1">
        <f t="array" aca="1" ref="I219" ca="1">_xlfn.XLOOKUP(Table11[[#This Row],[Admin2PCODE]], tblPiNAnalysis[Admin2PCODE], INDIRECT("tblPiNAnalysis[" &amp; Table11[[#Headers],[EDU]] &amp; "]"), "NOT FOUND", 0, 1)</f>
        <v>6781.7569346061528</v>
      </c>
      <c r="J219" s="8" cm="1">
        <f t="array" aca="1" ref="J219" ca="1">_xlfn.XLOOKUP(Table11[[#This Row],[Admin2PCODE]], tblPiNAnalysis[Admin2PCODE], INDIRECT("tblPiNAnalysis[" &amp; Table11[[#Headers],[PRO]] &amp; "]"), "NOT FOUND", 0, 1)</f>
        <v>12030.551682092657</v>
      </c>
      <c r="K219" s="8" cm="1">
        <f t="array" aca="1" ref="K219" ca="1">_xlfn.XLOOKUP(Table11[[#This Row],[Admin2PCODE]], tblPiNAnalysis[Admin2PCODE], INDIRECT("tblPiNAnalysis[" &amp; Table11[[#Headers],[ASH]] &amp; "]"), "NOT FOUND", 0, 1)</f>
        <v>59920.2</v>
      </c>
      <c r="L219" s="8" cm="1">
        <f t="array" aca="1" ref="L219" ca="1">_xlfn.XLOOKUP(Table11[[#This Row],[Admin2PCODE]], tblPiNAnalysis[Admin2PCODE], INDIRECT("tblPiNAnalysis[" &amp; Table11[[#Headers],[NNA]] &amp; "]"), "NOT FOUND", 0, 1)</f>
        <v>3849.7765382696502</v>
      </c>
      <c r="M219" s="8" cm="1">
        <f t="array" aca="1" ref="M219" ca="1">_xlfn.XLOOKUP(Table11[[#This Row],[Admin2PCODE]], tblPiNAnalysis[Admin2PCODE], INDIRECT("tblPiNAnalysis[" &amp; Table11[[#Headers],[VBG]] &amp; "]"), "NOT FOUND", 0, 1)</f>
        <v>4210.6930887324297</v>
      </c>
      <c r="N219" s="8" cm="1">
        <f t="array" aca="1" ref="N219" ca="1">_xlfn.XLOOKUP(Table11[[#This Row],[Admin2PCODE]], tblPiNAnalysis[Admin2PCODE], INDIRECT("tblPiNAnalysis[" &amp; Table11[[#Headers],[PiN más alto]] &amp; "]"), "NOT FOUND", 0, 1)</f>
        <v>59920.2</v>
      </c>
      <c r="O219" t="str" cm="1">
        <f t="array" aca="1" ref="O219" ca="1">_xlfn.XLOOKUP(Table11[[#This Row],[Admin2PCODE]], tblPiNAnalysis[Admin2PCODE], INDIRECT("tblPiNAnalysis[" &amp; Table11[[#Headers],[Sectores más altos]] &amp; "]"), "NOT FOUND", 0, 1)</f>
        <v>ASH</v>
      </c>
      <c r="P219" cm="1">
        <f t="array" ref="P219">_xlfn.XLOOKUP(Table11[[#This Row],[Admin2PCODE]], tblPiNAnalysis[Admin2PCODE], tblPiNAnalysis[Severidad], "NOT FOUND", 0, 1)</f>
        <v>2</v>
      </c>
      <c r="Q219" s="318">
        <v>8.3333333333333329E-2</v>
      </c>
      <c r="R219" s="318">
        <v>0.44444444444444436</v>
      </c>
      <c r="S219" s="318">
        <v>3.7037037037037028E-2</v>
      </c>
      <c r="T219">
        <v>0</v>
      </c>
      <c r="W219">
        <f>_xlfn.XLOOKUP(Table11[[#This Row],[Admin2PCODE]],tblSeverityAnalysis[Admin 2 Código P],tblSeverityAnalysis[PRO],0,0)</f>
        <v>2</v>
      </c>
      <c r="Y219">
        <v>0</v>
      </c>
      <c r="Z219">
        <v>0</v>
      </c>
      <c r="AA219">
        <f t="shared" si="3"/>
        <v>0</v>
      </c>
    </row>
    <row r="220" spans="1:27">
      <c r="A220" t="s">
        <v>513</v>
      </c>
      <c r="B220" t="s">
        <v>514</v>
      </c>
      <c r="C220" s="42" t="s">
        <v>818</v>
      </c>
      <c r="D220" t="s">
        <v>531</v>
      </c>
      <c r="E220" s="8" cm="1">
        <f t="array" aca="1" ref="E220" ca="1">_xlfn.XLOOKUP(Table11[[#This Row],[Admin2PCODE]], tblPiNAnalysis[Admin2PCODE], INDIRECT("tblPiNAnalysis[" &amp; Table11[[#Headers],[Población]] &amp; "]"), "NOT FOUND", 0, 1)</f>
        <v>27023</v>
      </c>
      <c r="F220" s="8" cm="1">
        <f t="array" aca="1" ref="F220" ca="1">_xlfn.XLOOKUP(Table11[[#This Row],[Admin2PCODE]], tblPiNAnalysis[Admin2PCODE], INDIRECT("tblPiNAnalysis[" &amp; Table11[[#Headers],[SAMV]] &amp; "]"), "NOT FOUND", 0, 1)</f>
        <v>450</v>
      </c>
      <c r="G220" s="8" cm="1">
        <f t="array" aca="1" ref="G220" ca="1">_xlfn.XLOOKUP(Table11[[#This Row],[Admin2PCODE]], tblPiNAnalysis[Admin2PCODE], INDIRECT("tblPiNAnalysis[" &amp; Table11[[#Headers],[NUT]] &amp; "]"), "NOT FOUND", 0, 1)</f>
        <v>1000.7781082326004</v>
      </c>
      <c r="H220" s="8" cm="1">
        <f t="array" aca="1" ref="H220" ca="1">_xlfn.XLOOKUP(Table11[[#This Row],[Admin2PCODE]], tblPiNAnalysis[Admin2PCODE], INDIRECT("tblPiNAnalysis[" &amp; Table11[[#Headers],[SAL]] &amp; "]"), "NOT FOUND", 0, 1)</f>
        <v>9863.3950000000004</v>
      </c>
      <c r="I220" s="8" cm="1">
        <f t="array" aca="1" ref="I220" ca="1">_xlfn.XLOOKUP(Table11[[#This Row],[Admin2PCODE]], tblPiNAnalysis[Admin2PCODE], INDIRECT("tblPiNAnalysis[" &amp; Table11[[#Headers],[EDU]] &amp; "]"), "NOT FOUND", 0, 1)</f>
        <v>1166.3467736388704</v>
      </c>
      <c r="J220" s="8" cm="1">
        <f t="array" aca="1" ref="J220" ca="1">_xlfn.XLOOKUP(Table11[[#This Row],[Admin2PCODE]], tblPiNAnalysis[Admin2PCODE], INDIRECT("tblPiNAnalysis[" &amp; Table11[[#Headers],[PRO]] &amp; "]"), "NOT FOUND", 0, 1)</f>
        <v>1085.1151968958382</v>
      </c>
      <c r="K220" s="8" cm="1">
        <f t="array" aca="1" ref="K220" ca="1">_xlfn.XLOOKUP(Table11[[#This Row],[Admin2PCODE]], tblPiNAnalysis[Admin2PCODE], INDIRECT("tblPiNAnalysis[" &amp; Table11[[#Headers],[ASH]] &amp; "]"), "NOT FOUND", 0, 1)</f>
        <v>3648.105</v>
      </c>
      <c r="L220" s="8" cm="1">
        <f t="array" aca="1" ref="L220" ca="1">_xlfn.XLOOKUP(Table11[[#This Row],[Admin2PCODE]], tblPiNAnalysis[Admin2PCODE], INDIRECT("tblPiNAnalysis[" &amp; Table11[[#Headers],[NNA]] &amp; "]"), "NOT FOUND", 0, 1)</f>
        <v>347.23686300666822</v>
      </c>
      <c r="M220" s="8" cm="1">
        <f t="array" aca="1" ref="M220" ca="1">_xlfn.XLOOKUP(Table11[[#This Row],[Admin2PCODE]], tblPiNAnalysis[Admin2PCODE], INDIRECT("tblPiNAnalysis[" &amp; Table11[[#Headers],[VBG]] &amp; "]"), "NOT FOUND", 0, 1)</f>
        <v>379.79031891354339</v>
      </c>
      <c r="N220" s="8" cm="1">
        <f t="array" aca="1" ref="N220" ca="1">_xlfn.XLOOKUP(Table11[[#This Row],[Admin2PCODE]], tblPiNAnalysis[Admin2PCODE], INDIRECT("tblPiNAnalysis[" &amp; Table11[[#Headers],[PiN más alto]] &amp; "]"), "NOT FOUND", 0, 1)</f>
        <v>9863.3950000000004</v>
      </c>
      <c r="O220" t="str" cm="1">
        <f t="array" aca="1" ref="O220" ca="1">_xlfn.XLOOKUP(Table11[[#This Row],[Admin2PCODE]], tblPiNAnalysis[Admin2PCODE], INDIRECT("tblPiNAnalysis[" &amp; Table11[[#Headers],[Sectores más altos]] &amp; "]"), "NOT FOUND", 0, 1)</f>
        <v>SAL</v>
      </c>
      <c r="P220" cm="1">
        <f t="array" ref="P220">_xlfn.XLOOKUP(Table11[[#This Row],[Admin2PCODE]], tblPiNAnalysis[Admin2PCODE], tblPiNAnalysis[Severidad], "NOT FOUND", 0, 1)</f>
        <v>3</v>
      </c>
      <c r="Q220" s="318">
        <v>0</v>
      </c>
      <c r="R220" s="318">
        <v>0</v>
      </c>
      <c r="S220" s="318">
        <v>0</v>
      </c>
      <c r="T220">
        <v>0</v>
      </c>
      <c r="W220">
        <f>_xlfn.XLOOKUP(Table11[[#This Row],[Admin2PCODE]],tblSeverityAnalysis[Admin 2 Código P],tblSeverityAnalysis[PRO],0,0)</f>
        <v>1</v>
      </c>
      <c r="Y220">
        <v>0</v>
      </c>
      <c r="Z220">
        <v>0</v>
      </c>
      <c r="AA220">
        <f t="shared" si="3"/>
        <v>0</v>
      </c>
    </row>
    <row r="221" spans="1:27">
      <c r="A221" t="s">
        <v>513</v>
      </c>
      <c r="B221" t="s">
        <v>514</v>
      </c>
      <c r="C221" s="42" t="s">
        <v>532</v>
      </c>
      <c r="D221" t="s">
        <v>533</v>
      </c>
      <c r="E221" s="8" cm="1">
        <f t="array" aca="1" ref="E221" ca="1">_xlfn.XLOOKUP(Table11[[#This Row],[Admin2PCODE]], tblPiNAnalysis[Admin2PCODE], INDIRECT("tblPiNAnalysis[" &amp; Table11[[#Headers],[Población]] &amp; "]"), "NOT FOUND", 0, 1)</f>
        <v>37758</v>
      </c>
      <c r="F221" s="8" cm="1">
        <f t="array" aca="1" ref="F221" ca="1">_xlfn.XLOOKUP(Table11[[#This Row],[Admin2PCODE]], tblPiNAnalysis[Admin2PCODE], INDIRECT("tblPiNAnalysis[" &amp; Table11[[#Headers],[SAMV]] &amp; "]"), "NOT FOUND", 0, 1)</f>
        <v>0</v>
      </c>
      <c r="G221" s="8" cm="1">
        <f t="array" aca="1" ref="G221" ca="1">_xlfn.XLOOKUP(Table11[[#This Row],[Admin2PCODE]], tblPiNAnalysis[Admin2PCODE], INDIRECT("tblPiNAnalysis[" &amp; Table11[[#Headers],[NUT]] &amp; "]"), "NOT FOUND", 0, 1)</f>
        <v>1103.2166846083849</v>
      </c>
      <c r="H221" s="8" cm="1">
        <f t="array" aca="1" ref="H221" ca="1">_xlfn.XLOOKUP(Table11[[#This Row],[Admin2PCODE]], tblPiNAnalysis[Admin2PCODE], INDIRECT("tblPiNAnalysis[" &amp; Table11[[#Headers],[SAL]] &amp; "]"), "NOT FOUND", 0, 1)</f>
        <v>13781.67</v>
      </c>
      <c r="I221" s="8" cm="1">
        <f t="array" aca="1" ref="I221" ca="1">_xlfn.XLOOKUP(Table11[[#This Row],[Admin2PCODE]], tblPiNAnalysis[Admin2PCODE], INDIRECT("tblPiNAnalysis[" &amp; Table11[[#Headers],[EDU]] &amp; "]"), "NOT FOUND", 0, 1)</f>
        <v>2402.4245040400083</v>
      </c>
      <c r="J221" s="8" cm="1">
        <f t="array" aca="1" ref="J221" ca="1">_xlfn.XLOOKUP(Table11[[#This Row],[Admin2PCODE]], tblPiNAnalysis[Admin2PCODE], INDIRECT("tblPiNAnalysis[" &amp; Table11[[#Headers],[PRO]] &amp; "]"), "NOT FOUND", 0, 1)</f>
        <v>4548.5452693327561</v>
      </c>
      <c r="K221" s="8" cm="1">
        <f t="array" aca="1" ref="K221" ca="1">_xlfn.XLOOKUP(Table11[[#This Row],[Admin2PCODE]], tblPiNAnalysis[Admin2PCODE], INDIRECT("tblPiNAnalysis[" &amp; Table11[[#Headers],[ASH]] &amp; "]"), "NOT FOUND", 0, 1)</f>
        <v>22654.799999999999</v>
      </c>
      <c r="L221" s="8" cm="1">
        <f t="array" aca="1" ref="L221" ca="1">_xlfn.XLOOKUP(Table11[[#This Row],[Admin2PCODE]], tblPiNAnalysis[Admin2PCODE], INDIRECT("tblPiNAnalysis[" &amp; Table11[[#Headers],[NNA]] &amp; "]"), "NOT FOUND", 0, 1)</f>
        <v>1455.5344861864819</v>
      </c>
      <c r="M221" s="8" cm="1">
        <f t="array" aca="1" ref="M221" ca="1">_xlfn.XLOOKUP(Table11[[#This Row],[Admin2PCODE]], tblPiNAnalysis[Admin2PCODE], INDIRECT("tblPiNAnalysis[" &amp; Table11[[#Headers],[VBG]] &amp; "]"), "NOT FOUND", 0, 1)</f>
        <v>1591.9908442664644</v>
      </c>
      <c r="N221" s="8" cm="1">
        <f t="array" aca="1" ref="N221" ca="1">_xlfn.XLOOKUP(Table11[[#This Row],[Admin2PCODE]], tblPiNAnalysis[Admin2PCODE], INDIRECT("tblPiNAnalysis[" &amp; Table11[[#Headers],[PiN más alto]] &amp; "]"), "NOT FOUND", 0, 1)</f>
        <v>22654.799999999999</v>
      </c>
      <c r="O221" t="str" cm="1">
        <f t="array" aca="1" ref="O221" ca="1">_xlfn.XLOOKUP(Table11[[#This Row],[Admin2PCODE]], tblPiNAnalysis[Admin2PCODE], INDIRECT("tblPiNAnalysis[" &amp; Table11[[#Headers],[Sectores más altos]] &amp; "]"), "NOT FOUND", 0, 1)</f>
        <v>ASH</v>
      </c>
      <c r="P221" cm="1">
        <f t="array" ref="P221">_xlfn.XLOOKUP(Table11[[#This Row],[Admin2PCODE]], tblPiNAnalysis[Admin2PCODE], tblPiNAnalysis[Severidad], "NOT FOUND", 0, 1)</f>
        <v>3</v>
      </c>
      <c r="Q221" s="318">
        <v>0</v>
      </c>
      <c r="R221" s="318">
        <v>0</v>
      </c>
      <c r="S221" s="318">
        <v>0</v>
      </c>
      <c r="T221">
        <v>0</v>
      </c>
      <c r="W221">
        <f>_xlfn.XLOOKUP(Table11[[#This Row],[Admin2PCODE]],tblSeverityAnalysis[Admin 2 Código P],tblSeverityAnalysis[PRO],0,0)</f>
        <v>2</v>
      </c>
      <c r="Y221">
        <v>0</v>
      </c>
      <c r="Z221">
        <v>0</v>
      </c>
      <c r="AA221">
        <f t="shared" si="3"/>
        <v>0</v>
      </c>
    </row>
    <row r="222" spans="1:27">
      <c r="A222" t="s">
        <v>513</v>
      </c>
      <c r="B222" t="s">
        <v>514</v>
      </c>
      <c r="C222" s="42" t="s">
        <v>534</v>
      </c>
      <c r="D222" t="s">
        <v>535</v>
      </c>
      <c r="E222" s="8" cm="1">
        <f t="array" aca="1" ref="E222" ca="1">_xlfn.XLOOKUP(Table11[[#This Row],[Admin2PCODE]], tblPiNAnalysis[Admin2PCODE], INDIRECT("tblPiNAnalysis[" &amp; Table11[[#Headers],[Población]] &amp; "]"), "NOT FOUND", 0, 1)</f>
        <v>9182</v>
      </c>
      <c r="F222" s="8" cm="1">
        <f t="array" aca="1" ref="F222" ca="1">_xlfn.XLOOKUP(Table11[[#This Row],[Admin2PCODE]], tblPiNAnalysis[Admin2PCODE], INDIRECT("tblPiNAnalysis[" &amp; Table11[[#Headers],[SAMV]] &amp; "]"), "NOT FOUND", 0, 1)</f>
        <v>874</v>
      </c>
      <c r="G222" s="8" cm="1">
        <f t="array" aca="1" ref="G222" ca="1">_xlfn.XLOOKUP(Table11[[#This Row],[Admin2PCODE]], tblPiNAnalysis[Admin2PCODE], INDIRECT("tblPiNAnalysis[" &amp; Table11[[#Headers],[NUT]] &amp; "]"), "NOT FOUND", 0, 1)</f>
        <v>283.07551045075127</v>
      </c>
      <c r="H222" s="8" cm="1">
        <f t="array" aca="1" ref="H222" ca="1">_xlfn.XLOOKUP(Table11[[#This Row],[Admin2PCODE]], tblPiNAnalysis[Admin2PCODE], INDIRECT("tblPiNAnalysis[" &amp; Table11[[#Headers],[SAL]] &amp; "]"), "NOT FOUND", 0, 1)</f>
        <v>4800</v>
      </c>
      <c r="I222" s="8" cm="1">
        <f t="array" aca="1" ref="I222" ca="1">_xlfn.XLOOKUP(Table11[[#This Row],[Admin2PCODE]], tblPiNAnalysis[Admin2PCODE], INDIRECT("tblPiNAnalysis[" &amp; Table11[[#Headers],[EDU]] &amp; "]"), "NOT FOUND", 0, 1)</f>
        <v>548.50316720818068</v>
      </c>
      <c r="J222" s="8" cm="1">
        <f t="array" aca="1" ref="J222" ca="1">_xlfn.XLOOKUP(Table11[[#This Row],[Admin2PCODE]], tblPiNAnalysis[Admin2PCODE], INDIRECT("tblPiNAnalysis[" &amp; Table11[[#Headers],[PRO]] &amp; "]"), "NOT FOUND", 0, 1)</f>
        <v>368.70546341625953</v>
      </c>
      <c r="K222" s="8" cm="1">
        <f t="array" aca="1" ref="K222" ca="1">_xlfn.XLOOKUP(Table11[[#This Row],[Admin2PCODE]], tblPiNAnalysis[Admin2PCODE], INDIRECT("tblPiNAnalysis[" &amp; Table11[[#Headers],[ASH]] &amp; "]"), "NOT FOUND", 0, 1)</f>
        <v>5509.2</v>
      </c>
      <c r="L222" s="8" cm="1">
        <f t="array" aca="1" ref="L222" ca="1">_xlfn.XLOOKUP(Table11[[#This Row],[Admin2PCODE]], tblPiNAnalysis[Admin2PCODE], INDIRECT("tblPiNAnalysis[" &amp; Table11[[#Headers],[NNA]] &amp; "]"), "NOT FOUND", 0, 1)</f>
        <v>117.98574829320305</v>
      </c>
      <c r="M222" s="8" cm="1">
        <f t="array" aca="1" ref="M222" ca="1">_xlfn.XLOOKUP(Table11[[#This Row],[Admin2PCODE]], tblPiNAnalysis[Admin2PCODE], INDIRECT("tblPiNAnalysis[" &amp; Table11[[#Headers],[VBG]] &amp; "]"), "NOT FOUND", 0, 1)</f>
        <v>129.04691219569082</v>
      </c>
      <c r="N222" s="8" cm="1">
        <f t="array" aca="1" ref="N222" ca="1">_xlfn.XLOOKUP(Table11[[#This Row],[Admin2PCODE]], tblPiNAnalysis[Admin2PCODE], INDIRECT("tblPiNAnalysis[" &amp; Table11[[#Headers],[PiN más alto]] &amp; "]"), "NOT FOUND", 0, 1)</f>
        <v>5509.2</v>
      </c>
      <c r="O222" t="str" cm="1">
        <f t="array" aca="1" ref="O222" ca="1">_xlfn.XLOOKUP(Table11[[#This Row],[Admin2PCODE]], tblPiNAnalysis[Admin2PCODE], INDIRECT("tblPiNAnalysis[" &amp; Table11[[#Headers],[Sectores más altos]] &amp; "]"), "NOT FOUND", 0, 1)</f>
        <v>ASH</v>
      </c>
      <c r="P222" cm="1">
        <f t="array" ref="P222">_xlfn.XLOOKUP(Table11[[#This Row],[Admin2PCODE]], tblPiNAnalysis[Admin2PCODE], tblPiNAnalysis[Severidad], "NOT FOUND", 0, 1)</f>
        <v>3</v>
      </c>
      <c r="Q222" s="318">
        <v>0</v>
      </c>
      <c r="R222" s="318">
        <v>0</v>
      </c>
      <c r="S222" s="318">
        <v>0</v>
      </c>
      <c r="T222">
        <v>0</v>
      </c>
      <c r="W222">
        <f>_xlfn.XLOOKUP(Table11[[#This Row],[Admin2PCODE]],tblSeverityAnalysis[Admin 2 Código P],tblSeverityAnalysis[PRO],0,0)</f>
        <v>1</v>
      </c>
      <c r="Y222">
        <v>0</v>
      </c>
      <c r="Z222">
        <v>0</v>
      </c>
      <c r="AA222">
        <f t="shared" si="3"/>
        <v>0</v>
      </c>
    </row>
    <row r="223" spans="1:27">
      <c r="A223" t="s">
        <v>536</v>
      </c>
      <c r="B223" t="s">
        <v>537</v>
      </c>
      <c r="C223" s="42" t="s">
        <v>538</v>
      </c>
      <c r="D223" t="s">
        <v>539</v>
      </c>
      <c r="E223" s="8" cm="1">
        <f t="array" aca="1" ref="E223" ca="1">_xlfn.XLOOKUP(Table11[[#This Row],[Admin2PCODE]], tblPiNAnalysis[Admin2PCODE], INDIRECT("tblPiNAnalysis[" &amp; Table11[[#Headers],[Población]] &amp; "]"), "NOT FOUND", 0, 1)</f>
        <v>21185</v>
      </c>
      <c r="F223" s="8" cm="1">
        <f t="array" aca="1" ref="F223" ca="1">_xlfn.XLOOKUP(Table11[[#This Row],[Admin2PCODE]], tblPiNAnalysis[Admin2PCODE], INDIRECT("tblPiNAnalysis[" &amp; Table11[[#Headers],[SAMV]] &amp; "]"), "NOT FOUND", 0, 1)</f>
        <v>11556</v>
      </c>
      <c r="G223" s="8" cm="1">
        <f t="array" aca="1" ref="G223" ca="1">_xlfn.XLOOKUP(Table11[[#This Row],[Admin2PCODE]], tblPiNAnalysis[Admin2PCODE], INDIRECT("tblPiNAnalysis[" &amp; Table11[[#Headers],[NUT]] &amp; "]"), "NOT FOUND", 0, 1)</f>
        <v>790.32703456896263</v>
      </c>
      <c r="H223" s="8" cm="1">
        <f t="array" aca="1" ref="H223" ca="1">_xlfn.XLOOKUP(Table11[[#This Row],[Admin2PCODE]], tblPiNAnalysis[Admin2PCODE], INDIRECT("tblPiNAnalysis[" &amp; Table11[[#Headers],[SAL]] &amp; "]"), "NOT FOUND", 0, 1)</f>
        <v>7732.5249999999996</v>
      </c>
      <c r="I223" s="8" cm="1">
        <f t="array" aca="1" ref="I223" ca="1">_xlfn.XLOOKUP(Table11[[#This Row],[Admin2PCODE]], tblPiNAnalysis[Admin2PCODE], INDIRECT("tblPiNAnalysis[" &amp; Table11[[#Headers],[EDU]] &amp; "]"), "NOT FOUND", 0, 1)</f>
        <v>1456.9017377648943</v>
      </c>
      <c r="J223" s="8" cm="1">
        <f t="array" aca="1" ref="J223" ca="1">_xlfn.XLOOKUP(Table11[[#This Row],[Admin2PCODE]], tblPiNAnalysis[Admin2PCODE], INDIRECT("tblPiNAnalysis[" &amp; Table11[[#Headers],[PRO]] &amp; "]"), "NOT FOUND", 0, 1)</f>
        <v>2009.9342229665276</v>
      </c>
      <c r="K223" s="8" cm="1">
        <f t="array" aca="1" ref="K223" ca="1">_xlfn.XLOOKUP(Table11[[#This Row],[Admin2PCODE]], tblPiNAnalysis[Admin2PCODE], INDIRECT("tblPiNAnalysis[" &amp; Table11[[#Headers],[ASH]] &amp; "]"), "NOT FOUND", 0, 1)</f>
        <v>0</v>
      </c>
      <c r="L223" s="8" cm="1">
        <f t="array" aca="1" ref="L223" ca="1">_xlfn.XLOOKUP(Table11[[#This Row],[Admin2PCODE]], tblPiNAnalysis[Admin2PCODE], INDIRECT("tblPiNAnalysis[" &amp; Table11[[#Headers],[NNA]] &amp; "]"), "NOT FOUND", 0, 1)</f>
        <v>643.17895134928881</v>
      </c>
      <c r="M223" s="8" cm="1">
        <f t="array" aca="1" ref="M223" ca="1">_xlfn.XLOOKUP(Table11[[#This Row],[Admin2PCODE]], tblPiNAnalysis[Admin2PCODE], INDIRECT("tblPiNAnalysis[" &amp; Table11[[#Headers],[VBG]] &amp; "]"), "NOT FOUND", 0, 1)</f>
        <v>703.47697803828476</v>
      </c>
      <c r="N223" s="8" cm="1">
        <f t="array" aca="1" ref="N223" ca="1">_xlfn.XLOOKUP(Table11[[#This Row],[Admin2PCODE]], tblPiNAnalysis[Admin2PCODE], INDIRECT("tblPiNAnalysis[" &amp; Table11[[#Headers],[PiN más alto]] &amp; "]"), "NOT FOUND", 0, 1)</f>
        <v>11556</v>
      </c>
      <c r="O223" t="str" cm="1">
        <f t="array" aca="1" ref="O223" ca="1">_xlfn.XLOOKUP(Table11[[#This Row],[Admin2PCODE]], tblPiNAnalysis[Admin2PCODE], INDIRECT("tblPiNAnalysis[" &amp; Table11[[#Headers],[Sectores más altos]] &amp; "]"), "NOT FOUND", 0, 1)</f>
        <v>SAMV</v>
      </c>
      <c r="P223" cm="1">
        <f t="array" ref="P223">_xlfn.XLOOKUP(Table11[[#This Row],[Admin2PCODE]], tblPiNAnalysis[Admin2PCODE], tblPiNAnalysis[Severidad], "NOT FOUND", 0, 1)</f>
        <v>2</v>
      </c>
      <c r="Q223" s="318">
        <v>0.75510204081632648</v>
      </c>
      <c r="R223" s="318">
        <v>0.42042042042042044</v>
      </c>
      <c r="S223" s="318">
        <v>0.31746031746031744</v>
      </c>
      <c r="T223">
        <v>0</v>
      </c>
      <c r="W223">
        <f>_xlfn.XLOOKUP(Table11[[#This Row],[Admin2PCODE]],tblSeverityAnalysis[Admin 2 Código P],tblSeverityAnalysis[PRO],0,0)</f>
        <v>2</v>
      </c>
      <c r="Y223">
        <v>0</v>
      </c>
      <c r="Z223">
        <v>0</v>
      </c>
      <c r="AA223">
        <f t="shared" si="3"/>
        <v>0</v>
      </c>
    </row>
    <row r="224" spans="1:27">
      <c r="A224" t="s">
        <v>536</v>
      </c>
      <c r="B224" t="s">
        <v>537</v>
      </c>
      <c r="C224" s="42" t="s">
        <v>540</v>
      </c>
      <c r="D224" t="s">
        <v>541</v>
      </c>
      <c r="E224" s="8" cm="1">
        <f t="array" aca="1" ref="E224" ca="1">_xlfn.XLOOKUP(Table11[[#This Row],[Admin2PCODE]], tblPiNAnalysis[Admin2PCODE], INDIRECT("tblPiNAnalysis[" &amp; Table11[[#Headers],[Población]] &amp; "]"), "NOT FOUND", 0, 1)</f>
        <v>154747</v>
      </c>
      <c r="F224" s="8" cm="1">
        <f t="array" aca="1" ref="F224" ca="1">_xlfn.XLOOKUP(Table11[[#This Row],[Admin2PCODE]], tblPiNAnalysis[Admin2PCODE], INDIRECT("tblPiNAnalysis[" &amp; Table11[[#Headers],[SAMV]] &amp; "]"), "NOT FOUND", 0, 1)</f>
        <v>71091</v>
      </c>
      <c r="G224" s="8" cm="1">
        <f t="array" aca="1" ref="G224" ca="1">_xlfn.XLOOKUP(Table11[[#This Row],[Admin2PCODE]], tblPiNAnalysis[Admin2PCODE], INDIRECT("tblPiNAnalysis[" &amp; Table11[[#Headers],[NUT]] &amp; "]"), "NOT FOUND", 0, 1)</f>
        <v>10325.885254931716</v>
      </c>
      <c r="H224" s="8" cm="1">
        <f t="array" aca="1" ref="H224" ca="1">_xlfn.XLOOKUP(Table11[[#This Row],[Admin2PCODE]], tblPiNAnalysis[Admin2PCODE], INDIRECT("tblPiNAnalysis[" &amp; Table11[[#Headers],[SAL]] &amp; "]"), "NOT FOUND", 0, 1)</f>
        <v>56482.654999999999</v>
      </c>
      <c r="I224" s="8" cm="1">
        <f t="array" aca="1" ref="I224" ca="1">_xlfn.XLOOKUP(Table11[[#This Row],[Admin2PCODE]], tblPiNAnalysis[Admin2PCODE], INDIRECT("tblPiNAnalysis[" &amp; Table11[[#Headers],[EDU]] &amp; "]"), "NOT FOUND", 0, 1)</f>
        <v>14899.692363806806</v>
      </c>
      <c r="J224" s="8" cm="1">
        <f t="array" aca="1" ref="J224" ca="1">_xlfn.XLOOKUP(Table11[[#This Row],[Admin2PCODE]], tblPiNAnalysis[Admin2PCODE], INDIRECT("tblPiNAnalysis[" &amp; Table11[[#Headers],[PRO]] &amp; "]"), "NOT FOUND", 0, 1)</f>
        <v>29363.350597252887</v>
      </c>
      <c r="K224" s="8" cm="1">
        <f t="array" aca="1" ref="K224" ca="1">_xlfn.XLOOKUP(Table11[[#This Row],[Admin2PCODE]], tblPiNAnalysis[Admin2PCODE], INDIRECT("tblPiNAnalysis[" &amp; Table11[[#Headers],[ASH]] &amp; "]"), "NOT FOUND", 0, 1)</f>
        <v>69636.150000000009</v>
      </c>
      <c r="L224" s="8" cm="1">
        <f t="array" aca="1" ref="L224" ca="1">_xlfn.XLOOKUP(Table11[[#This Row],[Admin2PCODE]], tblPiNAnalysis[Admin2PCODE], INDIRECT("tblPiNAnalysis[" &amp; Table11[[#Headers],[NNA]] &amp; "]"), "NOT FOUND", 0, 1)</f>
        <v>9396.2721911209246</v>
      </c>
      <c r="M224" s="8" cm="1">
        <f t="array" aca="1" ref="M224" ca="1">_xlfn.XLOOKUP(Table11[[#This Row],[Admin2PCODE]], tblPiNAnalysis[Admin2PCODE], INDIRECT("tblPiNAnalysis[" &amp; Table11[[#Headers],[VBG]] &amp; "]"), "NOT FOUND", 0, 1)</f>
        <v>10277.17270903851</v>
      </c>
      <c r="N224" s="8" cm="1">
        <f t="array" aca="1" ref="N224" ca="1">_xlfn.XLOOKUP(Table11[[#This Row],[Admin2PCODE]], tblPiNAnalysis[Admin2PCODE], INDIRECT("tblPiNAnalysis[" &amp; Table11[[#Headers],[PiN más alto]] &amp; "]"), "NOT FOUND", 0, 1)</f>
        <v>71091</v>
      </c>
      <c r="O224" t="str" cm="1">
        <f t="array" aca="1" ref="O224" ca="1">_xlfn.XLOOKUP(Table11[[#This Row],[Admin2PCODE]], tblPiNAnalysis[Admin2PCODE], INDIRECT("tblPiNAnalysis[" &amp; Table11[[#Headers],[Sectores más altos]] &amp; "]"), "NOT FOUND", 0, 1)</f>
        <v>SAMV</v>
      </c>
      <c r="P224" cm="1">
        <f t="array" ref="P224">_xlfn.XLOOKUP(Table11[[#This Row],[Admin2PCODE]], tblPiNAnalysis[Admin2PCODE], tblPiNAnalysis[Severidad], "NOT FOUND", 0, 1)</f>
        <v>3</v>
      </c>
      <c r="Q224" s="318">
        <v>0.47933884297520662</v>
      </c>
      <c r="R224" s="318">
        <v>0.37643678160919536</v>
      </c>
      <c r="S224" s="318">
        <v>0.18044077134986225</v>
      </c>
      <c r="T224">
        <v>0</v>
      </c>
      <c r="W224">
        <f>_xlfn.XLOOKUP(Table11[[#This Row],[Admin2PCODE]],tblSeverityAnalysis[Admin 2 Código P],tblSeverityAnalysis[PRO],0,0)</f>
        <v>4</v>
      </c>
      <c r="Y224">
        <v>0</v>
      </c>
      <c r="Z224">
        <v>0</v>
      </c>
      <c r="AA224">
        <f t="shared" si="3"/>
        <v>0</v>
      </c>
    </row>
    <row r="225" spans="1:27">
      <c r="A225" t="s">
        <v>536</v>
      </c>
      <c r="B225" t="s">
        <v>537</v>
      </c>
      <c r="C225" s="42" t="s">
        <v>542</v>
      </c>
      <c r="D225" t="s">
        <v>543</v>
      </c>
      <c r="E225" s="8" cm="1">
        <f t="array" aca="1" ref="E225" ca="1">_xlfn.XLOOKUP(Table11[[#This Row],[Admin2PCODE]], tblPiNAnalysis[Admin2PCODE], INDIRECT("tblPiNAnalysis[" &amp; Table11[[#Headers],[Población]] &amp; "]"), "NOT FOUND", 0, 1)</f>
        <v>45965</v>
      </c>
      <c r="F225" s="8" cm="1">
        <f t="array" aca="1" ref="F225" ca="1">_xlfn.XLOOKUP(Table11[[#This Row],[Admin2PCODE]], tblPiNAnalysis[Admin2PCODE], INDIRECT("tblPiNAnalysis[" &amp; Table11[[#Headers],[SAMV]] &amp; "]"), "NOT FOUND", 0, 1)</f>
        <v>29434</v>
      </c>
      <c r="G225" s="8" cm="1">
        <f t="array" aca="1" ref="G225" ca="1">_xlfn.XLOOKUP(Table11[[#This Row],[Admin2PCODE]], tblPiNAnalysis[Admin2PCODE], INDIRECT("tblPiNAnalysis[" &amp; Table11[[#Headers],[NUT]] &amp; "]"), "NOT FOUND", 0, 1)</f>
        <v>1302.5412101897991</v>
      </c>
      <c r="H225" s="8" cm="1">
        <f t="array" aca="1" ref="H225" ca="1">_xlfn.XLOOKUP(Table11[[#This Row],[Admin2PCODE]], tblPiNAnalysis[Admin2PCODE], INDIRECT("tblPiNAnalysis[" &amp; Table11[[#Headers],[SAL]] &amp; "]"), "NOT FOUND", 0, 1)</f>
        <v>16777.224999999999</v>
      </c>
      <c r="I225" s="8" cm="1">
        <f t="array" aca="1" ref="I225" ca="1">_xlfn.XLOOKUP(Table11[[#This Row],[Admin2PCODE]], tblPiNAnalysis[Admin2PCODE], INDIRECT("tblPiNAnalysis[" &amp; Table11[[#Headers],[EDU]] &amp; "]"), "NOT FOUND", 0, 1)</f>
        <v>3212.9177316097021</v>
      </c>
      <c r="J225" s="8" cm="1">
        <f t="array" aca="1" ref="J225" ca="1">_xlfn.XLOOKUP(Table11[[#This Row],[Admin2PCODE]], tblPiNAnalysis[Admin2PCODE], INDIRECT("tblPiNAnalysis[" &amp; Table11[[#Headers],[PRO]] &amp; "]"), "NOT FOUND", 0, 1)</f>
        <v>7268.2421964169953</v>
      </c>
      <c r="K225" s="8" cm="1">
        <f t="array" aca="1" ref="K225" ca="1">_xlfn.XLOOKUP(Table11[[#This Row],[Admin2PCODE]], tblPiNAnalysis[Admin2PCODE], INDIRECT("tblPiNAnalysis[" &amp; Table11[[#Headers],[ASH]] &amp; "]"), "NOT FOUND", 0, 1)</f>
        <v>0</v>
      </c>
      <c r="L225" s="8" cm="1">
        <f t="array" aca="1" ref="L225" ca="1">_xlfn.XLOOKUP(Table11[[#This Row],[Admin2PCODE]], tblPiNAnalysis[Admin2PCODE], INDIRECT("tblPiNAnalysis[" &amp; Table11[[#Headers],[NNA]] &amp; "]"), "NOT FOUND", 0, 1)</f>
        <v>2325.8375028534383</v>
      </c>
      <c r="M225" s="8" cm="1">
        <f t="array" aca="1" ref="M225" ca="1">_xlfn.XLOOKUP(Table11[[#This Row],[Admin2PCODE]], tblPiNAnalysis[Admin2PCODE], INDIRECT("tblPiNAnalysis[" &amp; Table11[[#Headers],[VBG]] &amp; "]"), "NOT FOUND", 0, 1)</f>
        <v>2543.8847687459483</v>
      </c>
      <c r="N225" s="8" cm="1">
        <f t="array" aca="1" ref="N225" ca="1">_xlfn.XLOOKUP(Table11[[#This Row],[Admin2PCODE]], tblPiNAnalysis[Admin2PCODE], INDIRECT("tblPiNAnalysis[" &amp; Table11[[#Headers],[PiN más alto]] &amp; "]"), "NOT FOUND", 0, 1)</f>
        <v>29434</v>
      </c>
      <c r="O225" t="str" cm="1">
        <f t="array" aca="1" ref="O225" ca="1">_xlfn.XLOOKUP(Table11[[#This Row],[Admin2PCODE]], tblPiNAnalysis[Admin2PCODE], INDIRECT("tblPiNAnalysis[" &amp; Table11[[#Headers],[Sectores más altos]] &amp; "]"), "NOT FOUND", 0, 1)</f>
        <v>SAMV</v>
      </c>
      <c r="P225" cm="1">
        <f t="array" ref="P225">_xlfn.XLOOKUP(Table11[[#This Row],[Admin2PCODE]], tblPiNAnalysis[Admin2PCODE], tblPiNAnalysis[Severidad], "NOT FOUND", 0, 1)</f>
        <v>3</v>
      </c>
      <c r="Q225" s="318">
        <v>0.81818181818181823</v>
      </c>
      <c r="R225" s="318">
        <v>0.45414462081128742</v>
      </c>
      <c r="S225" s="318">
        <v>0.37157287157287155</v>
      </c>
      <c r="T225">
        <v>0</v>
      </c>
      <c r="W225">
        <f>_xlfn.XLOOKUP(Table11[[#This Row],[Admin2PCODE]],tblSeverityAnalysis[Admin 2 Código P],tblSeverityAnalysis[PRO],0,0)</f>
        <v>3</v>
      </c>
      <c r="Y225">
        <v>0</v>
      </c>
      <c r="Z225">
        <v>1.7</v>
      </c>
      <c r="AA225">
        <f t="shared" si="3"/>
        <v>2</v>
      </c>
    </row>
    <row r="226" spans="1:27">
      <c r="A226" t="s">
        <v>536</v>
      </c>
      <c r="B226" t="s">
        <v>537</v>
      </c>
      <c r="C226" s="42" t="s">
        <v>544</v>
      </c>
      <c r="D226" t="s">
        <v>545</v>
      </c>
      <c r="E226" s="8" cm="1">
        <f t="array" aca="1" ref="E226" ca="1">_xlfn.XLOOKUP(Table11[[#This Row],[Admin2PCODE]], tblPiNAnalysis[Admin2PCODE], INDIRECT("tblPiNAnalysis[" &amp; Table11[[#Headers],[Población]] &amp; "]"), "NOT FOUND", 0, 1)</f>
        <v>196996</v>
      </c>
      <c r="F226" s="8" cm="1">
        <f t="array" aca="1" ref="F226" ca="1">_xlfn.XLOOKUP(Table11[[#This Row],[Admin2PCODE]], tblPiNAnalysis[Admin2PCODE], INDIRECT("tblPiNAnalysis[" &amp; Table11[[#Headers],[SAMV]] &amp; "]"), "NOT FOUND", 0, 1)</f>
        <v>107958</v>
      </c>
      <c r="G226" s="8" cm="1">
        <f t="array" aca="1" ref="G226" ca="1">_xlfn.XLOOKUP(Table11[[#This Row],[Admin2PCODE]], tblPiNAnalysis[Admin2PCODE], INDIRECT("tblPiNAnalysis[" &amp; Table11[[#Headers],[NUT]] &amp; "]"), "NOT FOUND", 0, 1)</f>
        <v>8696.0417474611477</v>
      </c>
      <c r="H226" s="8" cm="1">
        <f t="array" aca="1" ref="H226" ca="1">_xlfn.XLOOKUP(Table11[[#This Row],[Admin2PCODE]], tblPiNAnalysis[Admin2PCODE], INDIRECT("tblPiNAnalysis[" &amp; Table11[[#Headers],[SAL]] &amp; "]"), "NOT FOUND", 0, 1)</f>
        <v>71903.539999999994</v>
      </c>
      <c r="I226" s="8" cm="1">
        <f t="array" aca="1" ref="I226" ca="1">_xlfn.XLOOKUP(Table11[[#This Row],[Admin2PCODE]], tblPiNAnalysis[Admin2PCODE], INDIRECT("tblPiNAnalysis[" &amp; Table11[[#Headers],[EDU]] &amp; "]"), "NOT FOUND", 0, 1)</f>
        <v>17762.778481389076</v>
      </c>
      <c r="J226" s="8" cm="1">
        <f t="array" aca="1" ref="J226" ca="1">_xlfn.XLOOKUP(Table11[[#This Row],[Admin2PCODE]], tblPiNAnalysis[Admin2PCODE], INDIRECT("tblPiNAnalysis[" &amp; Table11[[#Headers],[PRO]] &amp; "]"), "NOT FOUND", 0, 1)</f>
        <v>18690.063827590944</v>
      </c>
      <c r="K226" s="8" cm="1">
        <f t="array" aca="1" ref="K226" ca="1">_xlfn.XLOOKUP(Table11[[#This Row],[Admin2PCODE]], tblPiNAnalysis[Admin2PCODE], INDIRECT("tblPiNAnalysis[" &amp; Table11[[#Headers],[ASH]] &amp; "]"), "NOT FOUND", 0, 1)</f>
        <v>0</v>
      </c>
      <c r="L226" s="8" cm="1">
        <f t="array" aca="1" ref="L226" ca="1">_xlfn.XLOOKUP(Table11[[#This Row],[Admin2PCODE]], tblPiNAnalysis[Admin2PCODE], INDIRECT("tblPiNAnalysis[" &amp; Table11[[#Headers],[NNA]] &amp; "]"), "NOT FOUND", 0, 1)</f>
        <v>5980.8204248291022</v>
      </c>
      <c r="M226" s="8" cm="1">
        <f t="array" aca="1" ref="M226" ca="1">_xlfn.XLOOKUP(Table11[[#This Row],[Admin2PCODE]], tblPiNAnalysis[Admin2PCODE], INDIRECT("tblPiNAnalysis[" &amp; Table11[[#Headers],[VBG]] &amp; "]"), "NOT FOUND", 0, 1)</f>
        <v>6541.5223396568299</v>
      </c>
      <c r="N226" s="8" cm="1">
        <f t="array" aca="1" ref="N226" ca="1">_xlfn.XLOOKUP(Table11[[#This Row],[Admin2PCODE]], tblPiNAnalysis[Admin2PCODE], INDIRECT("tblPiNAnalysis[" &amp; Table11[[#Headers],[PiN más alto]] &amp; "]"), "NOT FOUND", 0, 1)</f>
        <v>107958</v>
      </c>
      <c r="O226" t="str" cm="1">
        <f t="array" aca="1" ref="O226" ca="1">_xlfn.XLOOKUP(Table11[[#This Row],[Admin2PCODE]], tblPiNAnalysis[Admin2PCODE], INDIRECT("tblPiNAnalysis[" &amp; Table11[[#Headers],[Sectores más altos]] &amp; "]"), "NOT FOUND", 0, 1)</f>
        <v>SAMV</v>
      </c>
      <c r="P226" cm="1">
        <f t="array" ref="P226">_xlfn.XLOOKUP(Table11[[#This Row],[Admin2PCODE]], tblPiNAnalysis[Admin2PCODE], tblPiNAnalysis[Severidad], "NOT FOUND", 0, 1)</f>
        <v>2</v>
      </c>
      <c r="Q226" s="318">
        <v>0.2413793103448276</v>
      </c>
      <c r="R226" s="318">
        <v>0.35260770975056693</v>
      </c>
      <c r="S226" s="318">
        <v>8.5112205801860991E-2</v>
      </c>
      <c r="T226">
        <v>0</v>
      </c>
      <c r="W226">
        <f>_xlfn.XLOOKUP(Table11[[#This Row],[Admin2PCODE]],tblSeverityAnalysis[Admin 2 Código P],tblSeverityAnalysis[PRO],0,0)</f>
        <v>2</v>
      </c>
      <c r="Y226">
        <v>0</v>
      </c>
      <c r="Z226">
        <v>0</v>
      </c>
      <c r="AA226">
        <f t="shared" si="3"/>
        <v>0</v>
      </c>
    </row>
    <row r="227" spans="1:27">
      <c r="A227" t="s">
        <v>536</v>
      </c>
      <c r="B227" t="s">
        <v>537</v>
      </c>
      <c r="C227" s="42" t="s">
        <v>546</v>
      </c>
      <c r="D227" t="s">
        <v>547</v>
      </c>
      <c r="E227" s="8" cm="1">
        <f t="array" aca="1" ref="E227" ca="1">_xlfn.XLOOKUP(Table11[[#This Row],[Admin2PCODE]], tblPiNAnalysis[Admin2PCODE], INDIRECT("tblPiNAnalysis[" &amp; Table11[[#Headers],[Población]] &amp; "]"), "NOT FOUND", 0, 1)</f>
        <v>38403</v>
      </c>
      <c r="F227" s="8" cm="1">
        <f t="array" aca="1" ref="F227" ca="1">_xlfn.XLOOKUP(Table11[[#This Row],[Admin2PCODE]], tblPiNAnalysis[Admin2PCODE], INDIRECT("tblPiNAnalysis[" &amp; Table11[[#Headers],[SAMV]] &amp; "]"), "NOT FOUND", 0, 1)</f>
        <v>18840.6878</v>
      </c>
      <c r="G227" s="8" cm="1">
        <f t="array" aca="1" ref="G227" ca="1">_xlfn.XLOOKUP(Table11[[#This Row],[Admin2PCODE]], tblPiNAnalysis[Admin2PCODE], INDIRECT("tblPiNAnalysis[" &amp; Table11[[#Headers],[NUT]] &amp; "]"), "NOT FOUND", 0, 1)</f>
        <v>1664.5379794024445</v>
      </c>
      <c r="H227" s="8" cm="1">
        <f t="array" aca="1" ref="H227" ca="1">_xlfn.XLOOKUP(Table11[[#This Row],[Admin2PCODE]], tblPiNAnalysis[Admin2PCODE], INDIRECT("tblPiNAnalysis[" &amp; Table11[[#Headers],[SAL]] &amp; "]"), "NOT FOUND", 0, 1)</f>
        <v>14017.094999999999</v>
      </c>
      <c r="I227" s="8" cm="1">
        <f t="array" aca="1" ref="I227" ca="1">_xlfn.XLOOKUP(Table11[[#This Row],[Admin2PCODE]], tblPiNAnalysis[Admin2PCODE], INDIRECT("tblPiNAnalysis[" &amp; Table11[[#Headers],[EDU]] &amp; "]"), "NOT FOUND", 0, 1)</f>
        <v>1829.0919414811497</v>
      </c>
      <c r="J227" s="8" cm="1">
        <f t="array" aca="1" ref="J227" ca="1">_xlfn.XLOOKUP(Table11[[#This Row],[Admin2PCODE]], tblPiNAnalysis[Admin2PCODE], INDIRECT("tblPiNAnalysis[" &amp; Table11[[#Headers],[PRO]] &amp; "]"), "NOT FOUND", 0, 1)</f>
        <v>1214.4993149962011</v>
      </c>
      <c r="K227" s="8" cm="1">
        <f t="array" aca="1" ref="K227" ca="1">_xlfn.XLOOKUP(Table11[[#This Row],[Admin2PCODE]], tblPiNAnalysis[Admin2PCODE], INDIRECT("tblPiNAnalysis[" &amp; Table11[[#Headers],[ASH]] &amp; "]"), "NOT FOUND", 0, 1)</f>
        <v>0</v>
      </c>
      <c r="L227" s="8" cm="1">
        <f t="array" aca="1" ref="L227" ca="1">_xlfn.XLOOKUP(Table11[[#This Row],[Admin2PCODE]], tblPiNAnalysis[Admin2PCODE], INDIRECT("tblPiNAnalysis[" &amp; Table11[[#Headers],[NNA]] &amp; "]"), "NOT FOUND", 0, 1)</f>
        <v>388.63978079878439</v>
      </c>
      <c r="M227" s="8" cm="1">
        <f t="array" aca="1" ref="M227" ca="1">_xlfn.XLOOKUP(Table11[[#This Row],[Admin2PCODE]], tblPiNAnalysis[Admin2PCODE], INDIRECT("tblPiNAnalysis[" &amp; Table11[[#Headers],[VBG]] &amp; "]"), "NOT FOUND", 0, 1)</f>
        <v>425.07476024867037</v>
      </c>
      <c r="N227" s="8" cm="1">
        <f t="array" aca="1" ref="N227" ca="1">_xlfn.XLOOKUP(Table11[[#This Row],[Admin2PCODE]], tblPiNAnalysis[Admin2PCODE], INDIRECT("tblPiNAnalysis[" &amp; Table11[[#Headers],[PiN más alto]] &amp; "]"), "NOT FOUND", 0, 1)</f>
        <v>18840.6878</v>
      </c>
      <c r="O227" t="str" cm="1">
        <f t="array" aca="1" ref="O227" ca="1">_xlfn.XLOOKUP(Table11[[#This Row],[Admin2PCODE]], tblPiNAnalysis[Admin2PCODE], INDIRECT("tblPiNAnalysis[" &amp; Table11[[#Headers],[Sectores más altos]] &amp; "]"), "NOT FOUND", 0, 1)</f>
        <v>SAMV</v>
      </c>
      <c r="P227" cm="1">
        <f t="array" ref="P227">_xlfn.XLOOKUP(Table11[[#This Row],[Admin2PCODE]], tblPiNAnalysis[Admin2PCODE], tblPiNAnalysis[Severidad], "NOT FOUND", 0, 1)</f>
        <v>2</v>
      </c>
      <c r="Q227" s="318" t="e">
        <v>#N/A</v>
      </c>
      <c r="R227" s="318" t="e">
        <v>#N/A</v>
      </c>
      <c r="S227" s="318" t="e">
        <v>#N/A</v>
      </c>
      <c r="T227">
        <v>0</v>
      </c>
      <c r="W227">
        <f>_xlfn.XLOOKUP(Table11[[#This Row],[Admin2PCODE]],tblSeverityAnalysis[Admin 2 Código P],tblSeverityAnalysis[PRO],0,0)</f>
        <v>1</v>
      </c>
      <c r="Y227">
        <v>0</v>
      </c>
      <c r="Z227">
        <v>3</v>
      </c>
      <c r="AA227">
        <f t="shared" si="3"/>
        <v>3</v>
      </c>
    </row>
    <row r="228" spans="1:27">
      <c r="A228" t="s">
        <v>536</v>
      </c>
      <c r="B228" t="s">
        <v>537</v>
      </c>
      <c r="C228" s="42" t="s">
        <v>819</v>
      </c>
      <c r="D228" t="s">
        <v>549</v>
      </c>
      <c r="E228" s="8" cm="1">
        <f t="array" aca="1" ref="E228" ca="1">_xlfn.XLOOKUP(Table11[[#This Row],[Admin2PCODE]], tblPiNAnalysis[Admin2PCODE], INDIRECT("tblPiNAnalysis[" &amp; Table11[[#Headers],[Población]] &amp; "]"), "NOT FOUND", 0, 1)</f>
        <v>24287</v>
      </c>
      <c r="F228" s="8" cm="1">
        <f t="array" aca="1" ref="F228" ca="1">_xlfn.XLOOKUP(Table11[[#This Row],[Admin2PCODE]], tblPiNAnalysis[Admin2PCODE], INDIRECT("tblPiNAnalysis[" &amp; Table11[[#Headers],[SAMV]] &amp; "]"), "NOT FOUND", 0, 1)</f>
        <v>9445</v>
      </c>
      <c r="G228" s="8" cm="1">
        <f t="array" aca="1" ref="G228" ca="1">_xlfn.XLOOKUP(Table11[[#This Row],[Admin2PCODE]], tblPiNAnalysis[Admin2PCODE], INDIRECT("tblPiNAnalysis[" &amp; Table11[[#Headers],[NUT]] &amp; "]"), "NOT FOUND", 0, 1)</f>
        <v>1096.4043039980627</v>
      </c>
      <c r="H228" s="8" cm="1">
        <f t="array" aca="1" ref="H228" ca="1">_xlfn.XLOOKUP(Table11[[#This Row],[Admin2PCODE]], tblPiNAnalysis[Admin2PCODE], INDIRECT("tblPiNAnalysis[" &amp; Table11[[#Headers],[SAL]] &amp; "]"), "NOT FOUND", 0, 1)</f>
        <v>8864.7549999999992</v>
      </c>
      <c r="I228" s="8" cm="1">
        <f t="array" aca="1" ref="I228" ca="1">_xlfn.XLOOKUP(Table11[[#This Row],[Admin2PCODE]], tblPiNAnalysis[Admin2PCODE], INDIRECT("tblPiNAnalysis[" &amp; Table11[[#Headers],[EDU]] &amp; "]"), "NOT FOUND", 0, 1)</f>
        <v>4128.5936195182403</v>
      </c>
      <c r="J228" s="8" cm="1">
        <f t="array" aca="1" ref="J228" ca="1">_xlfn.XLOOKUP(Table11[[#This Row],[Admin2PCODE]], tblPiNAnalysis[Admin2PCODE], INDIRECT("tblPiNAnalysis[" &amp; Table11[[#Headers],[PRO]] &amp; "]"), "NOT FOUND", 0, 1)</f>
        <v>3840.3959148130007</v>
      </c>
      <c r="K228" s="8" cm="1">
        <f t="array" aca="1" ref="K228" ca="1">_xlfn.XLOOKUP(Table11[[#This Row],[Admin2PCODE]], tblPiNAnalysis[Admin2PCODE], INDIRECT("tblPiNAnalysis[" &amp; Table11[[#Headers],[ASH]] &amp; "]"), "NOT FOUND", 0, 1)</f>
        <v>0</v>
      </c>
      <c r="L228" s="8" cm="1">
        <f t="array" aca="1" ref="L228" ca="1">_xlfn.XLOOKUP(Table11[[#This Row],[Admin2PCODE]], tblPiNAnalysis[Admin2PCODE], INDIRECT("tblPiNAnalysis[" &amp; Table11[[#Headers],[NNA]] &amp; "]"), "NOT FOUND", 0, 1)</f>
        <v>1228.9266927401602</v>
      </c>
      <c r="M228" s="8" cm="1">
        <f t="array" aca="1" ref="M228" ca="1">_xlfn.XLOOKUP(Table11[[#This Row],[Admin2PCODE]], tblPiNAnalysis[Admin2PCODE], INDIRECT("tblPiNAnalysis[" &amp; Table11[[#Headers],[VBG]] &amp; "]"), "NOT FOUND", 0, 1)</f>
        <v>1344.1385701845502</v>
      </c>
      <c r="N228" s="8" cm="1">
        <f t="array" aca="1" ref="N228" ca="1">_xlfn.XLOOKUP(Table11[[#This Row],[Admin2PCODE]], tblPiNAnalysis[Admin2PCODE], INDIRECT("tblPiNAnalysis[" &amp; Table11[[#Headers],[PiN más alto]] &amp; "]"), "NOT FOUND", 0, 1)</f>
        <v>9445</v>
      </c>
      <c r="O228" t="str" cm="1">
        <f t="array" aca="1" ref="O228" ca="1">_xlfn.XLOOKUP(Table11[[#This Row],[Admin2PCODE]], tblPiNAnalysis[Admin2PCODE], INDIRECT("tblPiNAnalysis[" &amp; Table11[[#Headers],[Sectores más altos]] &amp; "]"), "NOT FOUND", 0, 1)</f>
        <v>SAMV</v>
      </c>
      <c r="P228" cm="1">
        <f t="array" ref="P228">_xlfn.XLOOKUP(Table11[[#This Row],[Admin2PCODE]], tblPiNAnalysis[Admin2PCODE], tblPiNAnalysis[Severidad], "NOT FOUND", 0, 1)</f>
        <v>3</v>
      </c>
      <c r="Q228" s="318">
        <v>0.38095238095238093</v>
      </c>
      <c r="R228" s="318">
        <v>0.45833333333333331</v>
      </c>
      <c r="S228" s="318">
        <v>0.17460317460317459</v>
      </c>
      <c r="T228">
        <v>1</v>
      </c>
      <c r="W228">
        <f>_xlfn.XLOOKUP(Table11[[#This Row],[Admin2PCODE]],tblSeverityAnalysis[Admin 2 Código P],tblSeverityAnalysis[PRO],0,0)</f>
        <v>3</v>
      </c>
      <c r="Y228">
        <v>8</v>
      </c>
      <c r="Z228">
        <v>0</v>
      </c>
      <c r="AA228">
        <f t="shared" si="3"/>
        <v>0</v>
      </c>
    </row>
    <row r="229" spans="1:27">
      <c r="A229" t="s">
        <v>536</v>
      </c>
      <c r="B229" t="s">
        <v>537</v>
      </c>
      <c r="C229" s="42" t="s">
        <v>550</v>
      </c>
      <c r="D229" t="s">
        <v>551</v>
      </c>
      <c r="E229" s="8" cm="1">
        <f t="array" aca="1" ref="E229" ca="1">_xlfn.XLOOKUP(Table11[[#This Row],[Admin2PCODE]], tblPiNAnalysis[Admin2PCODE], INDIRECT("tblPiNAnalysis[" &amp; Table11[[#Headers],[Población]] &amp; "]"), "NOT FOUND", 0, 1)</f>
        <v>50334</v>
      </c>
      <c r="F229" s="8" cm="1">
        <f t="array" aca="1" ref="F229" ca="1">_xlfn.XLOOKUP(Table11[[#This Row],[Admin2PCODE]], tblPiNAnalysis[Admin2PCODE], INDIRECT("tblPiNAnalysis[" &amp; Table11[[#Headers],[SAMV]] &amp; "]"), "NOT FOUND", 0, 1)</f>
        <v>22117</v>
      </c>
      <c r="G229" s="8" cm="1">
        <f t="array" aca="1" ref="G229" ca="1">_xlfn.XLOOKUP(Table11[[#This Row],[Admin2PCODE]], tblPiNAnalysis[Admin2PCODE], INDIRECT("tblPiNAnalysis[" &amp; Table11[[#Headers],[NUT]] &amp; "]"), "NOT FOUND", 0, 1)</f>
        <v>1747.0312648443976</v>
      </c>
      <c r="H229" s="8" cm="1">
        <f t="array" aca="1" ref="H229" ca="1">_xlfn.XLOOKUP(Table11[[#This Row],[Admin2PCODE]], tblPiNAnalysis[Admin2PCODE], INDIRECT("tblPiNAnalysis[" &amp; Table11[[#Headers],[SAL]] &amp; "]"), "NOT FOUND", 0, 1)</f>
        <v>18371.91</v>
      </c>
      <c r="I229" s="8" cm="1">
        <f t="array" aca="1" ref="I229" ca="1">_xlfn.XLOOKUP(Table11[[#This Row],[Admin2PCODE]], tblPiNAnalysis[Admin2PCODE], INDIRECT("tblPiNAnalysis[" &amp; Table11[[#Headers],[EDU]] &amp; "]"), "NOT FOUND", 0, 1)</f>
        <v>2612.3250879443831</v>
      </c>
      <c r="J229" s="8" cm="1">
        <f t="array" aca="1" ref="J229" ca="1">_xlfn.XLOOKUP(Table11[[#This Row],[Admin2PCODE]], tblPiNAnalysis[Admin2PCODE], INDIRECT("tblPiNAnalysis[" &amp; Table11[[#Headers],[PRO]] &amp; "]"), "NOT FOUND", 0, 1)</f>
        <v>7959.0928470456447</v>
      </c>
      <c r="K229" s="8" cm="1">
        <f t="array" aca="1" ref="K229" ca="1">_xlfn.XLOOKUP(Table11[[#This Row],[Admin2PCODE]], tblPiNAnalysis[Admin2PCODE], INDIRECT("tblPiNAnalysis[" &amp; Table11[[#Headers],[ASH]] &amp; "]"), "NOT FOUND", 0, 1)</f>
        <v>0</v>
      </c>
      <c r="L229" s="8" cm="1">
        <f t="array" aca="1" ref="L229" ca="1">_xlfn.XLOOKUP(Table11[[#This Row],[Admin2PCODE]], tblPiNAnalysis[Admin2PCODE], INDIRECT("tblPiNAnalysis[" &amp; Table11[[#Headers],[NNA]] &amp; "]"), "NOT FOUND", 0, 1)</f>
        <v>2554.868803901652</v>
      </c>
      <c r="M229" s="8" cm="1">
        <f t="array" aca="1" ref="M229" ca="1">_xlfn.XLOOKUP(Table11[[#This Row],[Admin2PCODE]], tblPiNAnalysis[Admin2PCODE], INDIRECT("tblPiNAnalysis[" &amp; Table11[[#Headers],[VBG]] &amp; "]"), "NOT FOUND", 0, 1)</f>
        <v>2785.6824964659754</v>
      </c>
      <c r="N229" s="8" cm="1">
        <f t="array" aca="1" ref="N229" ca="1">_xlfn.XLOOKUP(Table11[[#This Row],[Admin2PCODE]], tblPiNAnalysis[Admin2PCODE], INDIRECT("tblPiNAnalysis[" &amp; Table11[[#Headers],[PiN más alto]] &amp; "]"), "NOT FOUND", 0, 1)</f>
        <v>22117</v>
      </c>
      <c r="O229" t="str" cm="1">
        <f t="array" aca="1" ref="O229" ca="1">_xlfn.XLOOKUP(Table11[[#This Row],[Admin2PCODE]], tblPiNAnalysis[Admin2PCODE], INDIRECT("tblPiNAnalysis[" &amp; Table11[[#Headers],[Sectores más altos]] &amp; "]"), "NOT FOUND", 0, 1)</f>
        <v>SAMV</v>
      </c>
      <c r="P229" cm="1">
        <f t="array" ref="P229">_xlfn.XLOOKUP(Table11[[#This Row],[Admin2PCODE]], tblPiNAnalysis[Admin2PCODE], tblPiNAnalysis[Severidad], "NOT FOUND", 0, 1)</f>
        <v>3</v>
      </c>
      <c r="Q229" s="318">
        <v>0.55434782608695654</v>
      </c>
      <c r="R229" s="318">
        <v>0.43246187363834404</v>
      </c>
      <c r="S229" s="318">
        <v>0.23973429951690811</v>
      </c>
      <c r="T229">
        <v>0</v>
      </c>
      <c r="W229">
        <f>_xlfn.XLOOKUP(Table11[[#This Row],[Admin2PCODE]],tblSeverityAnalysis[Admin 2 Código P],tblSeverityAnalysis[PRO],0,0)</f>
        <v>3</v>
      </c>
      <c r="Y229">
        <v>0</v>
      </c>
      <c r="Z229">
        <v>0.75</v>
      </c>
      <c r="AA229">
        <f t="shared" si="3"/>
        <v>1</v>
      </c>
    </row>
    <row r="230" spans="1:27">
      <c r="A230" t="s">
        <v>536</v>
      </c>
      <c r="B230" t="s">
        <v>537</v>
      </c>
      <c r="C230" s="42" t="s">
        <v>171</v>
      </c>
      <c r="D230" t="s">
        <v>552</v>
      </c>
      <c r="E230" s="8" cm="1">
        <f t="array" aca="1" ref="E230" ca="1">_xlfn.XLOOKUP(Table11[[#This Row],[Admin2PCODE]], tblPiNAnalysis[Admin2PCODE], INDIRECT("tblPiNAnalysis[" &amp; Table11[[#Headers],[Población]] &amp; "]"), "NOT FOUND", 0, 1)</f>
        <v>181169</v>
      </c>
      <c r="F230" s="8" cm="1">
        <f t="array" aca="1" ref="F230" ca="1">_xlfn.XLOOKUP(Table11[[#This Row],[Admin2PCODE]], tblPiNAnalysis[Admin2PCODE], INDIRECT("tblPiNAnalysis[" &amp; Table11[[#Headers],[SAMV]] &amp; "]"), "NOT FOUND", 0, 1)</f>
        <v>72468</v>
      </c>
      <c r="G230" s="8" cm="1">
        <f t="array" aca="1" ref="G230" ca="1">_xlfn.XLOOKUP(Table11[[#This Row],[Admin2PCODE]], tblPiNAnalysis[Admin2PCODE], INDIRECT("tblPiNAnalysis[" &amp; Table11[[#Headers],[NUT]] &amp; "]"), "NOT FOUND", 0, 1)</f>
        <v>6790.738386966309</v>
      </c>
      <c r="H230" s="8" cm="1">
        <f t="array" aca="1" ref="H230" ca="1">_xlfn.XLOOKUP(Table11[[#This Row],[Admin2PCODE]], tblPiNAnalysis[Admin2PCODE], INDIRECT("tblPiNAnalysis[" &amp; Table11[[#Headers],[SAL]] &amp; "]"), "NOT FOUND", 0, 1)</f>
        <v>66126.684999999998</v>
      </c>
      <c r="I230" s="8" cm="1">
        <f t="array" aca="1" ref="I230" ca="1">_xlfn.XLOOKUP(Table11[[#This Row],[Admin2PCODE]], tblPiNAnalysis[Admin2PCODE], INDIRECT("tblPiNAnalysis[" &amp; Table11[[#Headers],[EDU]] &amp; "]"), "NOT FOUND", 0, 1)</f>
        <v>15418.335225793078</v>
      </c>
      <c r="J230" s="8" cm="1">
        <f t="array" aca="1" ref="J230" ca="1">_xlfn.XLOOKUP(Table11[[#This Row],[Admin2PCODE]], tblPiNAnalysis[Admin2PCODE], INDIRECT("tblPiNAnalysis[" &amp; Table11[[#Headers],[PRO]] &amp; "]"), "NOT FOUND", 0, 1)</f>
        <v>34376.943426067759</v>
      </c>
      <c r="K230" s="8" cm="1">
        <f t="array" aca="1" ref="K230" ca="1">_xlfn.XLOOKUP(Table11[[#This Row],[Admin2PCODE]], tblPiNAnalysis[Admin2PCODE], INDIRECT("tblPiNAnalysis[" &amp; Table11[[#Headers],[ASH]] &amp; "]"), "NOT FOUND", 0, 1)</f>
        <v>0</v>
      </c>
      <c r="L230" s="8" cm="1">
        <f t="array" aca="1" ref="L230" ca="1">_xlfn.XLOOKUP(Table11[[#This Row],[Admin2PCODE]], tblPiNAnalysis[Admin2PCODE], INDIRECT("tblPiNAnalysis[" &amp; Table11[[#Headers],[NNA]] &amp; "]"), "NOT FOUND", 0, 1)</f>
        <v>11000.621896341683</v>
      </c>
      <c r="M230" s="8" cm="1">
        <f t="array" aca="1" ref="M230" ca="1">_xlfn.XLOOKUP(Table11[[#This Row],[Admin2PCODE]], tblPiNAnalysis[Admin2PCODE], INDIRECT("tblPiNAnalysis[" &amp; Table11[[#Headers],[VBG]] &amp; "]"), "NOT FOUND", 0, 1)</f>
        <v>12031.930199123717</v>
      </c>
      <c r="N230" s="8" cm="1">
        <f t="array" aca="1" ref="N230" ca="1">_xlfn.XLOOKUP(Table11[[#This Row],[Admin2PCODE]], tblPiNAnalysis[Admin2PCODE], INDIRECT("tblPiNAnalysis[" &amp; Table11[[#Headers],[PiN más alto]] &amp; "]"), "NOT FOUND", 0, 1)</f>
        <v>72468</v>
      </c>
      <c r="O230" t="str" cm="1">
        <f t="array" aca="1" ref="O230" ca="1">_xlfn.XLOOKUP(Table11[[#This Row],[Admin2PCODE]], tblPiNAnalysis[Admin2PCODE], INDIRECT("tblPiNAnalysis[" &amp; Table11[[#Headers],[Sectores más altos]] &amp; "]"), "NOT FOUND", 0, 1)</f>
        <v>SAMV</v>
      </c>
      <c r="P230" cm="1">
        <f t="array" ref="P230">_xlfn.XLOOKUP(Table11[[#This Row],[Admin2PCODE]], tblPiNAnalysis[Admin2PCODE], tblPiNAnalysis[Severidad], "NOT FOUND", 0, 1)</f>
        <v>3</v>
      </c>
      <c r="Q230" s="318">
        <v>0.25641025641025639</v>
      </c>
      <c r="R230" s="318">
        <v>0.58333333333333326</v>
      </c>
      <c r="S230" s="318">
        <v>0.14957264957264954</v>
      </c>
      <c r="T230">
        <v>0</v>
      </c>
      <c r="W230">
        <f>_xlfn.XLOOKUP(Table11[[#This Row],[Admin2PCODE]],tblSeverityAnalysis[Admin 2 Código P],tblSeverityAnalysis[PRO],0,0)</f>
        <v>4</v>
      </c>
      <c r="Y230">
        <v>0</v>
      </c>
      <c r="Z230">
        <v>1.4</v>
      </c>
      <c r="AA230">
        <f t="shared" si="3"/>
        <v>1</v>
      </c>
    </row>
    <row r="231" spans="1:27">
      <c r="A231" t="s">
        <v>536</v>
      </c>
      <c r="B231" t="s">
        <v>537</v>
      </c>
      <c r="C231" s="42" t="s">
        <v>553</v>
      </c>
      <c r="D231" t="s">
        <v>554</v>
      </c>
      <c r="E231" s="8" cm="1">
        <f t="array" aca="1" ref="E231" ca="1">_xlfn.XLOOKUP(Table11[[#This Row],[Admin2PCODE]], tblPiNAnalysis[Admin2PCODE], INDIRECT("tblPiNAnalysis[" &amp; Table11[[#Headers],[Población]] &amp; "]"), "NOT FOUND", 0, 1)</f>
        <v>16550</v>
      </c>
      <c r="F231" s="8" cm="1">
        <f t="array" aca="1" ref="F231" ca="1">_xlfn.XLOOKUP(Table11[[#This Row],[Admin2PCODE]], tblPiNAnalysis[Admin2PCODE], INDIRECT("tblPiNAnalysis[" &amp; Table11[[#Headers],[SAMV]] &amp; "]"), "NOT FOUND", 0, 1)</f>
        <v>7586</v>
      </c>
      <c r="G231" s="8" cm="1">
        <f t="array" aca="1" ref="G231" ca="1">_xlfn.XLOOKUP(Table11[[#This Row],[Admin2PCODE]], tblPiNAnalysis[Admin2PCODE], INDIRECT("tblPiNAnalysis[" &amp; Table11[[#Headers],[NUT]] &amp; "]"), "NOT FOUND", 0, 1)</f>
        <v>898.4298243468595</v>
      </c>
      <c r="H231" s="8" cm="1">
        <f t="array" aca="1" ref="H231" ca="1">_xlfn.XLOOKUP(Table11[[#This Row],[Admin2PCODE]], tblPiNAnalysis[Admin2PCODE], INDIRECT("tblPiNAnalysis[" &amp; Table11[[#Headers],[SAL]] &amp; "]"), "NOT FOUND", 0, 1)</f>
        <v>10100</v>
      </c>
      <c r="I231" s="8" cm="1">
        <f t="array" aca="1" ref="I231" ca="1">_xlfn.XLOOKUP(Table11[[#This Row],[Admin2PCODE]], tblPiNAnalysis[Admin2PCODE], INDIRECT("tblPiNAnalysis[" &amp; Table11[[#Headers],[EDU]] &amp; "]"), "NOT FOUND", 0, 1)</f>
        <v>1075.9238296589212</v>
      </c>
      <c r="J231" s="8" cm="1">
        <f t="array" aca="1" ref="J231" ca="1">_xlfn.XLOOKUP(Table11[[#This Row],[Admin2PCODE]], tblPiNAnalysis[Admin2PCODE], INDIRECT("tblPiNAnalysis[" &amp; Table11[[#Headers],[PRO]] &amp; "]"), "NOT FOUND", 0, 1)</f>
        <v>1570.1869903278748</v>
      </c>
      <c r="K231" s="8" cm="1">
        <f t="array" aca="1" ref="K231" ca="1">_xlfn.XLOOKUP(Table11[[#This Row],[Admin2PCODE]], tblPiNAnalysis[Admin2PCODE], INDIRECT("tblPiNAnalysis[" &amp; Table11[[#Headers],[ASH]] &amp; "]"), "NOT FOUND", 0, 1)</f>
        <v>0</v>
      </c>
      <c r="L231" s="8" cm="1">
        <f t="array" aca="1" ref="L231" ca="1">_xlfn.XLOOKUP(Table11[[#This Row],[Admin2PCODE]], tblPiNAnalysis[Admin2PCODE], INDIRECT("tblPiNAnalysis[" &amp; Table11[[#Headers],[NNA]] &amp; "]"), "NOT FOUND", 0, 1)</f>
        <v>504.03002389524778</v>
      </c>
      <c r="M231" s="8" cm="1">
        <f t="array" aca="1" ref="M231" ca="1">_xlfn.XLOOKUP(Table11[[#This Row],[Admin2PCODE]], tblPiNAnalysis[Admin2PCODE], INDIRECT("tblPiNAnalysis[" &amp; Table11[[#Headers],[VBG]] &amp; "]"), "NOT FOUND", 0, 1)</f>
        <v>549.56544661475607</v>
      </c>
      <c r="N231" s="8" cm="1">
        <f t="array" aca="1" ref="N231" ca="1">_xlfn.XLOOKUP(Table11[[#This Row],[Admin2PCODE]], tblPiNAnalysis[Admin2PCODE], INDIRECT("tblPiNAnalysis[" &amp; Table11[[#Headers],[PiN más alto]] &amp; "]"), "NOT FOUND", 0, 1)</f>
        <v>10100</v>
      </c>
      <c r="O231" t="str" cm="1">
        <f t="array" aca="1" ref="O231" ca="1">_xlfn.XLOOKUP(Table11[[#This Row],[Admin2PCODE]], tblPiNAnalysis[Admin2PCODE], INDIRECT("tblPiNAnalysis[" &amp; Table11[[#Headers],[Sectores más altos]] &amp; "]"), "NOT FOUND", 0, 1)</f>
        <v>SAL</v>
      </c>
      <c r="P231" cm="1">
        <f t="array" ref="P231">_xlfn.XLOOKUP(Table11[[#This Row],[Admin2PCODE]], tblPiNAnalysis[Admin2PCODE], tblPiNAnalysis[Severidad], "NOT FOUND", 0, 1)</f>
        <v>2</v>
      </c>
      <c r="Q231" s="318"/>
      <c r="R231" s="318"/>
      <c r="S231" s="318"/>
      <c r="T231">
        <v>0</v>
      </c>
      <c r="W231">
        <f>_xlfn.XLOOKUP(Table11[[#This Row],[Admin2PCODE]],tblSeverityAnalysis[Admin 2 Código P],tblSeverityAnalysis[PRO],0,0)</f>
        <v>2</v>
      </c>
      <c r="Y231">
        <v>0</v>
      </c>
      <c r="Z231">
        <v>2.5499999999999998</v>
      </c>
      <c r="AA231">
        <f t="shared" si="3"/>
        <v>3</v>
      </c>
    </row>
    <row r="232" spans="1:27">
      <c r="A232" t="s">
        <v>536</v>
      </c>
      <c r="B232" t="s">
        <v>537</v>
      </c>
      <c r="C232" s="42" t="s">
        <v>833</v>
      </c>
      <c r="D232" t="s">
        <v>556</v>
      </c>
      <c r="E232" s="8" cm="1">
        <f t="array" aca="1" ref="E232" ca="1">_xlfn.XLOOKUP(Table11[[#This Row],[Admin2PCODE]], tblPiNAnalysis[Admin2PCODE], INDIRECT("tblPiNAnalysis[" &amp; Table11[[#Headers],[Población]] &amp; "]"), "NOT FOUND", 0, 1)</f>
        <v>24296</v>
      </c>
      <c r="F232" s="8" cm="1">
        <f t="array" aca="1" ref="F232" ca="1">_xlfn.XLOOKUP(Table11[[#This Row],[Admin2PCODE]], tblPiNAnalysis[Admin2PCODE], INDIRECT("tblPiNAnalysis[" &amp; Table11[[#Headers],[SAMV]] &amp; "]"), "NOT FOUND", 0, 1)</f>
        <v>8467</v>
      </c>
      <c r="G232" s="8" cm="1">
        <f t="array" aca="1" ref="G232" ca="1">_xlfn.XLOOKUP(Table11[[#This Row],[Admin2PCODE]], tblPiNAnalysis[Admin2PCODE], INDIRECT("tblPiNAnalysis[" &amp; Table11[[#Headers],[NUT]] &amp; "]"), "NOT FOUND", 0, 1)</f>
        <v>1319.2623032302058</v>
      </c>
      <c r="H232" s="8" cm="1">
        <f t="array" aca="1" ref="H232" ca="1">_xlfn.XLOOKUP(Table11[[#This Row],[Admin2PCODE]], tblPiNAnalysis[Admin2PCODE], INDIRECT("tblPiNAnalysis[" &amp; Table11[[#Headers],[SAL]] &amp; "]"), "NOT FOUND", 0, 1)</f>
        <v>8868.0400000000009</v>
      </c>
      <c r="I232" s="8" cm="1">
        <f t="array" aca="1" ref="I232" ca="1">_xlfn.XLOOKUP(Table11[[#This Row],[Admin2PCODE]], tblPiNAnalysis[Admin2PCODE], INDIRECT("tblPiNAnalysis[" &amp; Table11[[#Headers],[EDU]] &amp; "]"), "NOT FOUND", 0, 1)</f>
        <v>1225.8096815621477</v>
      </c>
      <c r="J232" s="8" cm="1">
        <f t="array" aca="1" ref="J232" ca="1">_xlfn.XLOOKUP(Table11[[#This Row],[Admin2PCODE]], tblPiNAnalysis[Admin2PCODE], INDIRECT("tblPiNAnalysis[" &amp; Table11[[#Headers],[PRO]] &amp; "]"), "NOT FOUND", 0, 1)</f>
        <v>2305.091427009429</v>
      </c>
      <c r="K232" s="8" cm="1">
        <f t="array" aca="1" ref="K232" ca="1">_xlfn.XLOOKUP(Table11[[#This Row],[Admin2PCODE]], tblPiNAnalysis[Admin2PCODE], INDIRECT("tblPiNAnalysis[" &amp; Table11[[#Headers],[ASH]] &amp; "]"), "NOT FOUND", 0, 1)</f>
        <v>0</v>
      </c>
      <c r="L232" s="8" cm="1">
        <f t="array" aca="1" ref="L232" ca="1">_xlfn.XLOOKUP(Table11[[#This Row],[Admin2PCODE]], tblPiNAnalysis[Admin2PCODE], INDIRECT("tblPiNAnalysis[" &amp; Table11[[#Headers],[NNA]] &amp; "]"), "NOT FOUND", 0, 1)</f>
        <v>737.62925664301724</v>
      </c>
      <c r="M232" s="8" cm="1">
        <f t="array" aca="1" ref="M232" ca="1">_xlfn.XLOOKUP(Table11[[#This Row],[Admin2PCODE]], tblPiNAnalysis[Admin2PCODE], INDIRECT("tblPiNAnalysis[" &amp; Table11[[#Headers],[VBG]] &amp; "]"), "NOT FOUND", 0, 1)</f>
        <v>806.78199945330005</v>
      </c>
      <c r="N232" s="8" cm="1">
        <f t="array" aca="1" ref="N232" ca="1">_xlfn.XLOOKUP(Table11[[#This Row],[Admin2PCODE]], tblPiNAnalysis[Admin2PCODE], INDIRECT("tblPiNAnalysis[" &amp; Table11[[#Headers],[PiN más alto]] &amp; "]"), "NOT FOUND", 0, 1)</f>
        <v>8868.0400000000009</v>
      </c>
      <c r="O232" t="str" cm="1">
        <f t="array" aca="1" ref="O232" ca="1">_xlfn.XLOOKUP(Table11[[#This Row],[Admin2PCODE]], tblPiNAnalysis[Admin2PCODE], INDIRECT("tblPiNAnalysis[" &amp; Table11[[#Headers],[Sectores más altos]] &amp; "]"), "NOT FOUND", 0, 1)</f>
        <v>SAL</v>
      </c>
      <c r="P232" cm="1">
        <f t="array" ref="P232">_xlfn.XLOOKUP(Table11[[#This Row],[Admin2PCODE]], tblPiNAnalysis[Admin2PCODE], tblPiNAnalysis[Severidad], "NOT FOUND", 0, 1)</f>
        <v>2</v>
      </c>
      <c r="Q232" s="318">
        <v>0.54</v>
      </c>
      <c r="R232" s="318">
        <v>0.33333333333333326</v>
      </c>
      <c r="S232" s="318">
        <v>0.17999999999999997</v>
      </c>
      <c r="T232">
        <v>0</v>
      </c>
      <c r="W232">
        <f>_xlfn.XLOOKUP(Table11[[#This Row],[Admin2PCODE]],tblSeverityAnalysis[Admin 2 Código P],tblSeverityAnalysis[PRO],0,0)</f>
        <v>2</v>
      </c>
      <c r="Y232">
        <v>0</v>
      </c>
      <c r="Z232">
        <v>0</v>
      </c>
      <c r="AA232">
        <f t="shared" si="3"/>
        <v>0</v>
      </c>
    </row>
    <row r="233" spans="1:27">
      <c r="A233" t="s">
        <v>536</v>
      </c>
      <c r="B233" t="s">
        <v>537</v>
      </c>
      <c r="C233" s="42" t="s">
        <v>834</v>
      </c>
      <c r="D233" t="s">
        <v>558</v>
      </c>
      <c r="E233" s="8" cm="1">
        <f t="array" aca="1" ref="E233" ca="1">_xlfn.XLOOKUP(Table11[[#This Row],[Admin2PCODE]], tblPiNAnalysis[Admin2PCODE], INDIRECT("tblPiNAnalysis[" &amp; Table11[[#Headers],[Población]] &amp; "]"), "NOT FOUND", 0, 1)</f>
        <v>18020</v>
      </c>
      <c r="F233" s="8" cm="1">
        <f t="array" aca="1" ref="F233" ca="1">_xlfn.XLOOKUP(Table11[[#This Row],[Admin2PCODE]], tblPiNAnalysis[Admin2PCODE], INDIRECT("tblPiNAnalysis[" &amp; Table11[[#Headers],[SAMV]] &amp; "]"), "NOT FOUND", 0, 1)</f>
        <v>13015</v>
      </c>
      <c r="G233" s="8" cm="1">
        <f t="array" aca="1" ref="G233" ca="1">_xlfn.XLOOKUP(Table11[[#This Row],[Admin2PCODE]], tblPiNAnalysis[Admin2PCODE], INDIRECT("tblPiNAnalysis[" &amp; Table11[[#Headers],[NUT]] &amp; "]"), "NOT FOUND", 0, 1)</f>
        <v>804.34030044827784</v>
      </c>
      <c r="H233" s="8" cm="1">
        <f t="array" aca="1" ref="H233" ca="1">_xlfn.XLOOKUP(Table11[[#This Row],[Admin2PCODE]], tblPiNAnalysis[Admin2PCODE], INDIRECT("tblPiNAnalysis[" &amp; Table11[[#Headers],[SAL]] &amp; "]"), "NOT FOUND", 0, 1)</f>
        <v>6577.3</v>
      </c>
      <c r="I233" s="8" cm="1">
        <f t="array" aca="1" ref="I233" ca="1">_xlfn.XLOOKUP(Table11[[#This Row],[Admin2PCODE]], tblPiNAnalysis[Admin2PCODE], INDIRECT("tblPiNAnalysis[" &amp; Table11[[#Headers],[EDU]] &amp; "]"), "NOT FOUND", 0, 1)</f>
        <v>936.40127438740296</v>
      </c>
      <c r="J233" s="8" cm="1">
        <f t="array" aca="1" ref="J233" ca="1">_xlfn.XLOOKUP(Table11[[#This Row],[Admin2PCODE]], tblPiNAnalysis[Admin2PCODE], INDIRECT("tblPiNAnalysis[" &amp; Table11[[#Headers],[PRO]] &amp; "]"), "NOT FOUND", 0, 1)</f>
        <v>1709.6537501938551</v>
      </c>
      <c r="K233" s="8" cm="1">
        <f t="array" aca="1" ref="K233" ca="1">_xlfn.XLOOKUP(Table11[[#This Row],[Admin2PCODE]], tblPiNAnalysis[Admin2PCODE], INDIRECT("tblPiNAnalysis[" &amp; Table11[[#Headers],[ASH]] &amp; "]"), "NOT FOUND", 0, 1)</f>
        <v>0</v>
      </c>
      <c r="L233" s="8" cm="1">
        <f t="array" aca="1" ref="L233" ca="1">_xlfn.XLOOKUP(Table11[[#This Row],[Admin2PCODE]], tblPiNAnalysis[Admin2PCODE], INDIRECT("tblPiNAnalysis[" &amp; Table11[[#Headers],[NNA]] &amp; "]"), "NOT FOUND", 0, 1)</f>
        <v>547.08920006203368</v>
      </c>
      <c r="M233" s="8" cm="1">
        <f t="array" aca="1" ref="M233" ca="1">_xlfn.XLOOKUP(Table11[[#This Row],[Admin2PCODE]], tblPiNAnalysis[Admin2PCODE], INDIRECT("tblPiNAnalysis[" &amp; Table11[[#Headers],[VBG]] &amp; "]"), "NOT FOUND", 0, 1)</f>
        <v>598.3788125678492</v>
      </c>
      <c r="N233" s="8" cm="1">
        <f t="array" aca="1" ref="N233" ca="1">_xlfn.XLOOKUP(Table11[[#This Row],[Admin2PCODE]], tblPiNAnalysis[Admin2PCODE], INDIRECT("tblPiNAnalysis[" &amp; Table11[[#Headers],[PiN más alto]] &amp; "]"), "NOT FOUND", 0, 1)</f>
        <v>13015</v>
      </c>
      <c r="O233" t="str" cm="1">
        <f t="array" aca="1" ref="O233" ca="1">_xlfn.XLOOKUP(Table11[[#This Row],[Admin2PCODE]], tblPiNAnalysis[Admin2PCODE], INDIRECT("tblPiNAnalysis[" &amp; Table11[[#Headers],[Sectores más altos]] &amp; "]"), "NOT FOUND", 0, 1)</f>
        <v>SAMV</v>
      </c>
      <c r="P233" cm="1">
        <f t="array" ref="P233">_xlfn.XLOOKUP(Table11[[#This Row],[Admin2PCODE]], tblPiNAnalysis[Admin2PCODE], tblPiNAnalysis[Severidad], "NOT FOUND", 0, 1)</f>
        <v>2</v>
      </c>
      <c r="Q233" s="318">
        <v>1</v>
      </c>
      <c r="R233" s="318">
        <v>0.47530864197530853</v>
      </c>
      <c r="S233" s="318">
        <v>0.47530864197530853</v>
      </c>
      <c r="T233">
        <v>0</v>
      </c>
      <c r="W233">
        <f>_xlfn.XLOOKUP(Table11[[#This Row],[Admin2PCODE]],tblSeverityAnalysis[Admin 2 Código P],tblSeverityAnalysis[PRO],0,0)</f>
        <v>2</v>
      </c>
      <c r="Y233">
        <v>0</v>
      </c>
      <c r="Z233">
        <v>0</v>
      </c>
      <c r="AA233">
        <f t="shared" si="3"/>
        <v>0</v>
      </c>
    </row>
    <row r="234" spans="1:27">
      <c r="A234" t="s">
        <v>536</v>
      </c>
      <c r="B234" t="s">
        <v>537</v>
      </c>
      <c r="C234" s="42" t="s">
        <v>559</v>
      </c>
      <c r="D234" t="s">
        <v>560</v>
      </c>
      <c r="E234" s="8" cm="1">
        <f t="array" aca="1" ref="E234" ca="1">_xlfn.XLOOKUP(Table11[[#This Row],[Admin2PCODE]], tblPiNAnalysis[Admin2PCODE], INDIRECT("tblPiNAnalysis[" &amp; Table11[[#Headers],[Población]] &amp; "]"), "NOT FOUND", 0, 1)</f>
        <v>18002</v>
      </c>
      <c r="F234" s="8" cm="1">
        <f t="array" aca="1" ref="F234" ca="1">_xlfn.XLOOKUP(Table11[[#This Row],[Admin2PCODE]], tblPiNAnalysis[Admin2PCODE], INDIRECT("tblPiNAnalysis[" &amp; Table11[[#Headers],[SAMV]] &amp; "]"), "NOT FOUND", 0, 1)</f>
        <v>7125</v>
      </c>
      <c r="G234" s="8" cm="1">
        <f t="array" aca="1" ref="G234" ca="1">_xlfn.XLOOKUP(Table11[[#This Row],[Admin2PCODE]], tblPiNAnalysis[Admin2PCODE], INDIRECT("tblPiNAnalysis[" &amp; Table11[[#Headers],[NUT]] &amp; "]"), "NOT FOUND", 0, 1)</f>
        <v>576.86059030059187</v>
      </c>
      <c r="H234" s="8" cm="1">
        <f t="array" aca="1" ref="H234" ca="1">_xlfn.XLOOKUP(Table11[[#This Row],[Admin2PCODE]], tblPiNAnalysis[Admin2PCODE], INDIRECT("tblPiNAnalysis[" &amp; Table11[[#Headers],[SAL]] &amp; "]"), "NOT FOUND", 0, 1)</f>
        <v>6570.73</v>
      </c>
      <c r="I234" s="8" cm="1">
        <f t="array" aca="1" ref="I234" ca="1">_xlfn.XLOOKUP(Table11[[#This Row],[Admin2PCODE]], tblPiNAnalysis[Admin2PCODE], INDIRECT("tblPiNAnalysis[" &amp; Table11[[#Headers],[EDU]] &amp; "]"), "NOT FOUND", 0, 1)</f>
        <v>607.0968860992474</v>
      </c>
      <c r="J234" s="8" cm="1">
        <f t="array" aca="1" ref="J234" ca="1">_xlfn.XLOOKUP(Table11[[#This Row],[Admin2PCODE]], tblPiNAnalysis[Admin2PCODE], INDIRECT("tblPiNAnalysis[" &amp; Table11[[#Headers],[PRO]] &amp; "]"), "NOT FOUND", 0, 1)</f>
        <v>2846.5766565843305</v>
      </c>
      <c r="K234" s="8" cm="1">
        <f t="array" aca="1" ref="K234" ca="1">_xlfn.XLOOKUP(Table11[[#This Row],[Admin2PCODE]], tblPiNAnalysis[Admin2PCODE], INDIRECT("tblPiNAnalysis[" &amp; Table11[[#Headers],[ASH]] &amp; "]"), "NOT FOUND", 0, 1)</f>
        <v>0</v>
      </c>
      <c r="L234" s="8" cm="1">
        <f t="array" aca="1" ref="L234" ca="1">_xlfn.XLOOKUP(Table11[[#This Row],[Admin2PCODE]], tblPiNAnalysis[Admin2PCODE], INDIRECT("tblPiNAnalysis[" &amp; Table11[[#Headers],[NNA]] &amp; "]"), "NOT FOUND", 0, 1)</f>
        <v>910.90453010698582</v>
      </c>
      <c r="M234" s="8" cm="1">
        <f t="array" aca="1" ref="M234" ca="1">_xlfn.XLOOKUP(Table11[[#This Row],[Admin2PCODE]], tblPiNAnalysis[Admin2PCODE], INDIRECT("tblPiNAnalysis[" &amp; Table11[[#Headers],[VBG]] &amp; "]"), "NOT FOUND", 0, 1)</f>
        <v>996.30182980451559</v>
      </c>
      <c r="N234" s="8" cm="1">
        <f t="array" aca="1" ref="N234" ca="1">_xlfn.XLOOKUP(Table11[[#This Row],[Admin2PCODE]], tblPiNAnalysis[Admin2PCODE], INDIRECT("tblPiNAnalysis[" &amp; Table11[[#Headers],[PiN más alto]] &amp; "]"), "NOT FOUND", 0, 1)</f>
        <v>7125</v>
      </c>
      <c r="O234" t="str" cm="1">
        <f t="array" aca="1" ref="O234" ca="1">_xlfn.XLOOKUP(Table11[[#This Row],[Admin2PCODE]], tblPiNAnalysis[Admin2PCODE], INDIRECT("tblPiNAnalysis[" &amp; Table11[[#Headers],[Sectores más altos]] &amp; "]"), "NOT FOUND", 0, 1)</f>
        <v>SAMV</v>
      </c>
      <c r="P234" cm="1">
        <f t="array" ref="P234">_xlfn.XLOOKUP(Table11[[#This Row],[Admin2PCODE]], tblPiNAnalysis[Admin2PCODE], tblPiNAnalysis[Severidad], "NOT FOUND", 0, 1)</f>
        <v>3</v>
      </c>
      <c r="Q234" s="318">
        <v>0.40625</v>
      </c>
      <c r="R234" s="318">
        <v>0.38461538461538464</v>
      </c>
      <c r="S234" s="318">
        <v>0.15625</v>
      </c>
      <c r="T234">
        <v>0</v>
      </c>
      <c r="W234">
        <f>_xlfn.XLOOKUP(Table11[[#This Row],[Admin2PCODE]],tblSeverityAnalysis[Admin 2 Código P],tblSeverityAnalysis[PRO],0,0)</f>
        <v>3</v>
      </c>
      <c r="Y234">
        <v>0</v>
      </c>
      <c r="Z234">
        <v>3.65</v>
      </c>
      <c r="AA234">
        <f t="shared" si="3"/>
        <v>4</v>
      </c>
    </row>
    <row r="235" spans="1:27">
      <c r="A235" t="s">
        <v>536</v>
      </c>
      <c r="B235" t="s">
        <v>537</v>
      </c>
      <c r="C235" s="42" t="s">
        <v>203</v>
      </c>
      <c r="D235" t="s">
        <v>561</v>
      </c>
      <c r="E235" s="8" cm="1">
        <f t="array" aca="1" ref="E235" ca="1">_xlfn.XLOOKUP(Table11[[#This Row],[Admin2PCODE]], tblPiNAnalysis[Admin2PCODE], INDIRECT("tblPiNAnalysis[" &amp; Table11[[#Headers],[Población]] &amp; "]"), "NOT FOUND", 0, 1)</f>
        <v>41965</v>
      </c>
      <c r="F235" s="8" cm="1">
        <f t="array" aca="1" ref="F235" ca="1">_xlfn.XLOOKUP(Table11[[#This Row],[Admin2PCODE]], tblPiNAnalysis[Admin2PCODE], INDIRECT("tblPiNAnalysis[" &amp; Table11[[#Headers],[SAMV]] &amp; "]"), "NOT FOUND", 0, 1)</f>
        <v>22381</v>
      </c>
      <c r="G235" s="8" cm="1">
        <f t="array" aca="1" ref="G235" ca="1">_xlfn.XLOOKUP(Table11[[#This Row],[Admin2PCODE]], tblPiNAnalysis[Admin2PCODE], INDIRECT("tblPiNAnalysis[" &amp; Table11[[#Headers],[NUT]] &amp; "]"), "NOT FOUND", 0, 1)</f>
        <v>1706.8130058593465</v>
      </c>
      <c r="H235" s="8" cm="1">
        <f t="array" aca="1" ref="H235" ca="1">_xlfn.XLOOKUP(Table11[[#This Row],[Admin2PCODE]], tblPiNAnalysis[Admin2PCODE], INDIRECT("tblPiNAnalysis[" &amp; Table11[[#Headers],[SAL]] &amp; "]"), "NOT FOUND", 0, 1)</f>
        <v>15317.225</v>
      </c>
      <c r="I235" s="8" cm="1">
        <f t="array" aca="1" ref="I235" ca="1">_xlfn.XLOOKUP(Table11[[#This Row],[Admin2PCODE]], tblPiNAnalysis[Admin2PCODE], INDIRECT("tblPiNAnalysis[" &amp; Table11[[#Headers],[EDU]] &amp; "]"), "NOT FOUND", 0, 1)</f>
        <v>1612.6245805246131</v>
      </c>
      <c r="J235" s="8" cm="1">
        <f t="array" aca="1" ref="J235" ca="1">_xlfn.XLOOKUP(Table11[[#This Row],[Admin2PCODE]], tblPiNAnalysis[Admin2PCODE], INDIRECT("tblPiNAnalysis[" &amp; Table11[[#Headers],[PRO]] &amp; "]"), "NOT FOUND", 0, 1)</f>
        <v>3981.4439304597754</v>
      </c>
      <c r="K235" s="8" cm="1">
        <f t="array" aca="1" ref="K235" ca="1">_xlfn.XLOOKUP(Table11[[#This Row],[Admin2PCODE]], tblPiNAnalysis[Admin2PCODE], INDIRECT("tblPiNAnalysis[" &amp; Table11[[#Headers],[ASH]] &amp; "]"), "NOT FOUND", 0, 1)</f>
        <v>0</v>
      </c>
      <c r="L235" s="8" cm="1">
        <f t="array" aca="1" ref="L235" ca="1">_xlfn.XLOOKUP(Table11[[#This Row],[Admin2PCODE]], tblPiNAnalysis[Admin2PCODE], INDIRECT("tblPiNAnalysis[" &amp; Table11[[#Headers],[NNA]] &amp; "]"), "NOT FOUND", 0, 1)</f>
        <v>1274.0620577471282</v>
      </c>
      <c r="M235" s="8" cm="1">
        <f t="array" aca="1" ref="M235" ca="1">_xlfn.XLOOKUP(Table11[[#This Row],[Admin2PCODE]], tblPiNAnalysis[Admin2PCODE], INDIRECT("tblPiNAnalysis[" &amp; Table11[[#Headers],[VBG]] &amp; "]"), "NOT FOUND", 0, 1)</f>
        <v>1393.5053756609209</v>
      </c>
      <c r="N235" s="8" cm="1">
        <f t="array" aca="1" ref="N235" ca="1">_xlfn.XLOOKUP(Table11[[#This Row],[Admin2PCODE]], tblPiNAnalysis[Admin2PCODE], INDIRECT("tblPiNAnalysis[" &amp; Table11[[#Headers],[PiN más alto]] &amp; "]"), "NOT FOUND", 0, 1)</f>
        <v>22381</v>
      </c>
      <c r="O235" t="str" cm="1">
        <f t="array" aca="1" ref="O235" ca="1">_xlfn.XLOOKUP(Table11[[#This Row],[Admin2PCODE]], tblPiNAnalysis[Admin2PCODE], INDIRECT("tblPiNAnalysis[" &amp; Table11[[#Headers],[Sectores más altos]] &amp; "]"), "NOT FOUND", 0, 1)</f>
        <v>SAMV</v>
      </c>
      <c r="P235" cm="1">
        <f t="array" ref="P235">_xlfn.XLOOKUP(Table11[[#This Row],[Admin2PCODE]], tblPiNAnalysis[Admin2PCODE], tblPiNAnalysis[Severidad], "NOT FOUND", 0, 1)</f>
        <v>2</v>
      </c>
      <c r="Q235" s="318">
        <v>0.83333333333333337</v>
      </c>
      <c r="R235" s="318">
        <v>0.33333333333333331</v>
      </c>
      <c r="S235" s="318">
        <v>0.27777777777777779</v>
      </c>
      <c r="T235">
        <v>0</v>
      </c>
      <c r="W235">
        <f>_xlfn.XLOOKUP(Table11[[#This Row],[Admin2PCODE]],tblSeverityAnalysis[Admin 2 Código P],tblSeverityAnalysis[PRO],0,0)</f>
        <v>2</v>
      </c>
      <c r="Y235">
        <v>0</v>
      </c>
      <c r="Z235">
        <v>0</v>
      </c>
      <c r="AA235">
        <f t="shared" si="3"/>
        <v>0</v>
      </c>
    </row>
    <row r="236" spans="1:27">
      <c r="A236" t="s">
        <v>536</v>
      </c>
      <c r="B236" t="s">
        <v>537</v>
      </c>
      <c r="C236" s="42" t="s">
        <v>562</v>
      </c>
      <c r="D236" t="s">
        <v>563</v>
      </c>
      <c r="E236" s="8" cm="1">
        <f t="array" aca="1" ref="E236" ca="1">_xlfn.XLOOKUP(Table11[[#This Row],[Admin2PCODE]], tblPiNAnalysis[Admin2PCODE], INDIRECT("tblPiNAnalysis[" &amp; Table11[[#Headers],[Población]] &amp; "]"), "NOT FOUND", 0, 1)</f>
        <v>64368</v>
      </c>
      <c r="F236" s="8" cm="1">
        <f t="array" aca="1" ref="F236" ca="1">_xlfn.XLOOKUP(Table11[[#This Row],[Admin2PCODE]], tblPiNAnalysis[Admin2PCODE], INDIRECT("tblPiNAnalysis[" &amp; Table11[[#Headers],[SAMV]] &amp; "]"), "NOT FOUND", 0, 1)</f>
        <v>34866</v>
      </c>
      <c r="G236" s="8" cm="1">
        <f t="array" aca="1" ref="G236" ca="1">_xlfn.XLOOKUP(Table11[[#This Row],[Admin2PCODE]], tblPiNAnalysis[Admin2PCODE], INDIRECT("tblPiNAnalysis[" &amp; Table11[[#Headers],[NUT]] &amp; "]"), "NOT FOUND", 0, 1)</f>
        <v>2425.0194820477091</v>
      </c>
      <c r="H236" s="8" cm="1">
        <f t="array" aca="1" ref="H236" ca="1">_xlfn.XLOOKUP(Table11[[#This Row],[Admin2PCODE]], tblPiNAnalysis[Admin2PCODE], INDIRECT("tblPiNAnalysis[" &amp; Table11[[#Headers],[SAL]] &amp; "]"), "NOT FOUND", 0, 1)</f>
        <v>23494.32</v>
      </c>
      <c r="I236" s="8" cm="1">
        <f t="array" aca="1" ref="I236" ca="1">_xlfn.XLOOKUP(Table11[[#This Row],[Admin2PCODE]], tblPiNAnalysis[Admin2PCODE], INDIRECT("tblPiNAnalysis[" &amp; Table11[[#Headers],[EDU]] &amp; "]"), "NOT FOUND", 0, 1)</f>
        <v>4300.5296577383288</v>
      </c>
      <c r="J236" s="8" cm="1">
        <f t="array" aca="1" ref="J236" ca="1">_xlfn.XLOOKUP(Table11[[#This Row],[Admin2PCODE]], tblPiNAnalysis[Admin2PCODE], INDIRECT("tblPiNAnalysis[" &amp; Table11[[#Headers],[PRO]] &amp; "]"), "NOT FOUND", 0, 1)</f>
        <v>12213.872651773372</v>
      </c>
      <c r="K236" s="8" cm="1">
        <f t="array" aca="1" ref="K236" ca="1">_xlfn.XLOOKUP(Table11[[#This Row],[Admin2PCODE]], tblPiNAnalysis[Admin2PCODE], INDIRECT("tblPiNAnalysis[" &amp; Table11[[#Headers],[ASH]] &amp; "]"), "NOT FOUND", 0, 1)</f>
        <v>0</v>
      </c>
      <c r="L236" s="8" cm="1">
        <f t="array" aca="1" ref="L236" ca="1">_xlfn.XLOOKUP(Table11[[#This Row],[Admin2PCODE]], tblPiNAnalysis[Admin2PCODE], INDIRECT("tblPiNAnalysis[" &amp; Table11[[#Headers],[NNA]] &amp; "]"), "NOT FOUND", 0, 1)</f>
        <v>3908.4392485674789</v>
      </c>
      <c r="M236" s="8" cm="1">
        <f t="array" aca="1" ref="M236" ca="1">_xlfn.XLOOKUP(Table11[[#This Row],[Admin2PCODE]], tblPiNAnalysis[Admin2PCODE], INDIRECT("tblPiNAnalysis[" &amp; Table11[[#Headers],[VBG]] &amp; "]"), "NOT FOUND", 0, 1)</f>
        <v>4274.8554281206798</v>
      </c>
      <c r="N236" s="8" cm="1">
        <f t="array" aca="1" ref="N236" ca="1">_xlfn.XLOOKUP(Table11[[#This Row],[Admin2PCODE]], tblPiNAnalysis[Admin2PCODE], INDIRECT("tblPiNAnalysis[" &amp; Table11[[#Headers],[PiN más alto]] &amp; "]"), "NOT FOUND", 0, 1)</f>
        <v>34866</v>
      </c>
      <c r="O236" t="str" cm="1">
        <f t="array" aca="1" ref="O236" ca="1">_xlfn.XLOOKUP(Table11[[#This Row],[Admin2PCODE]], tblPiNAnalysis[Admin2PCODE], INDIRECT("tblPiNAnalysis[" &amp; Table11[[#Headers],[Sectores más altos]] &amp; "]"), "NOT FOUND", 0, 1)</f>
        <v>SAMV</v>
      </c>
      <c r="P236" cm="1">
        <f t="array" ref="P236">_xlfn.XLOOKUP(Table11[[#This Row],[Admin2PCODE]], tblPiNAnalysis[Admin2PCODE], tblPiNAnalysis[Severidad], "NOT FOUND", 0, 1)</f>
        <v>3</v>
      </c>
      <c r="Q236" s="318">
        <v>0.61206896551724133</v>
      </c>
      <c r="R236" s="318">
        <v>0.48748043818466336</v>
      </c>
      <c r="S236" s="318">
        <v>0.2983716475095784</v>
      </c>
      <c r="T236">
        <v>0</v>
      </c>
      <c r="W236">
        <f>_xlfn.XLOOKUP(Table11[[#This Row],[Admin2PCODE]],tblSeverityAnalysis[Admin 2 Código P],tblSeverityAnalysis[PRO],0,0)</f>
        <v>4</v>
      </c>
      <c r="Y236">
        <v>0</v>
      </c>
      <c r="Z236">
        <v>3.25</v>
      </c>
      <c r="AA236">
        <f t="shared" si="3"/>
        <v>3</v>
      </c>
    </row>
    <row r="237" spans="1:27">
      <c r="A237" t="s">
        <v>203</v>
      </c>
      <c r="B237" t="s">
        <v>564</v>
      </c>
      <c r="C237" s="42" t="s">
        <v>237</v>
      </c>
      <c r="D237" t="s">
        <v>565</v>
      </c>
      <c r="E237" s="8" cm="1">
        <f t="array" aca="1" ref="E237" ca="1">_xlfn.XLOOKUP(Table11[[#This Row],[Admin2PCODE]], tblPiNAnalysis[Admin2PCODE], INDIRECT("tblPiNAnalysis[" &amp; Table11[[#Headers],[Población]] &amp; "]"), "NOT FOUND", 0, 1)</f>
        <v>26228</v>
      </c>
      <c r="F237" s="8" cm="1">
        <f t="array" aca="1" ref="F237" ca="1">_xlfn.XLOOKUP(Table11[[#This Row],[Admin2PCODE]], tblPiNAnalysis[Admin2PCODE], INDIRECT("tblPiNAnalysis[" &amp; Table11[[#Headers],[SAMV]] &amp; "]"), "NOT FOUND", 0, 1)</f>
        <v>3995</v>
      </c>
      <c r="G237" s="8" cm="1">
        <f t="array" aca="1" ref="G237" ca="1">_xlfn.XLOOKUP(Table11[[#This Row],[Admin2PCODE]], tblPiNAnalysis[Admin2PCODE], INDIRECT("tblPiNAnalysis[" &amp; Table11[[#Headers],[NUT]] &amp; "]"), "NOT FOUND", 0, 1)</f>
        <v>1256.7226782629036</v>
      </c>
      <c r="H237" s="8" cm="1">
        <f t="array" aca="1" ref="H237" ca="1">_xlfn.XLOOKUP(Table11[[#This Row],[Admin2PCODE]], tblPiNAnalysis[Admin2PCODE], INDIRECT("tblPiNAnalysis[" &amp; Table11[[#Headers],[SAL]] &amp; "]"), "NOT FOUND", 0, 1)</f>
        <v>9573.2199999999993</v>
      </c>
      <c r="I237" s="8" cm="1">
        <f t="array" aca="1" ref="I237" ca="1">_xlfn.XLOOKUP(Table11[[#This Row],[Admin2PCODE]], tblPiNAnalysis[Admin2PCODE], INDIRECT("tblPiNAnalysis[" &amp; Table11[[#Headers],[EDU]] &amp; "]"), "NOT FOUND", 0, 1)</f>
        <v>1499.9332107983814</v>
      </c>
      <c r="J237" s="8" cm="1">
        <f t="array" aca="1" ref="J237" ca="1">_xlfn.XLOOKUP(Table11[[#This Row],[Admin2PCODE]], tblPiNAnalysis[Admin2PCODE], INDIRECT("tblPiNAnalysis[" &amp; Table11[[#Headers],[PRO]] &amp; "]"), "NOT FOUND", 0, 1)</f>
        <v>5232.1632431114303</v>
      </c>
      <c r="K237" s="8" cm="1">
        <f t="array" aca="1" ref="K237" ca="1">_xlfn.XLOOKUP(Table11[[#This Row],[Admin2PCODE]], tblPiNAnalysis[Admin2PCODE], INDIRECT("tblPiNAnalysis[" &amp; Table11[[#Headers],[ASH]] &amp; "]"), "NOT FOUND", 0, 1)</f>
        <v>3540.78</v>
      </c>
      <c r="L237" s="8" cm="1">
        <f t="array" aca="1" ref="L237" ca="1">_xlfn.XLOOKUP(Table11[[#This Row],[Admin2PCODE]], tblPiNAnalysis[Admin2PCODE], INDIRECT("tblPiNAnalysis[" &amp; Table11[[#Headers],[NNA]] &amp; "]"), "NOT FOUND", 0, 1)</f>
        <v>1674.2922377956579</v>
      </c>
      <c r="M237" s="8" cm="1">
        <f t="array" aca="1" ref="M237" ca="1">_xlfn.XLOOKUP(Table11[[#This Row],[Admin2PCODE]], tblPiNAnalysis[Admin2PCODE], INDIRECT("tblPiNAnalysis[" &amp; Table11[[#Headers],[VBG]] &amp; "]"), "NOT FOUND", 0, 1)</f>
        <v>1831.2571350890003</v>
      </c>
      <c r="N237" s="8" cm="1">
        <f t="array" aca="1" ref="N237" ca="1">_xlfn.XLOOKUP(Table11[[#This Row],[Admin2PCODE]], tblPiNAnalysis[Admin2PCODE], INDIRECT("tblPiNAnalysis[" &amp; Table11[[#Headers],[PiN más alto]] &amp; "]"), "NOT FOUND", 0, 1)</f>
        <v>9573.2199999999993</v>
      </c>
      <c r="O237" t="str" cm="1">
        <f t="array" aca="1" ref="O237" ca="1">_xlfn.XLOOKUP(Table11[[#This Row],[Admin2PCODE]], tblPiNAnalysis[Admin2PCODE], INDIRECT("tblPiNAnalysis[" &amp; Table11[[#Headers],[Sectores más altos]] &amp; "]"), "NOT FOUND", 0, 1)</f>
        <v>SAL</v>
      </c>
      <c r="P237" cm="1">
        <f t="array" ref="P237">_xlfn.XLOOKUP(Table11[[#This Row],[Admin2PCODE]], tblPiNAnalysis[Admin2PCODE], tblPiNAnalysis[Severidad], "NOT FOUND", 0, 1)</f>
        <v>3</v>
      </c>
      <c r="Q237" s="318">
        <v>0.24444444444444444</v>
      </c>
      <c r="R237" s="318">
        <v>0.33333333333333326</v>
      </c>
      <c r="S237" s="318">
        <v>8.148148148148146E-2</v>
      </c>
      <c r="T237">
        <v>0</v>
      </c>
      <c r="W237">
        <f>_xlfn.XLOOKUP(Table11[[#This Row],[Admin2PCODE]],tblSeverityAnalysis[Admin 2 Código P],tblSeverityAnalysis[PRO],0,0)</f>
        <v>3</v>
      </c>
      <c r="Y237">
        <v>0</v>
      </c>
      <c r="Z237">
        <v>0</v>
      </c>
      <c r="AA237">
        <f t="shared" si="3"/>
        <v>0</v>
      </c>
    </row>
    <row r="238" spans="1:27">
      <c r="A238" t="s">
        <v>203</v>
      </c>
      <c r="B238" t="s">
        <v>564</v>
      </c>
      <c r="C238" s="42" t="s">
        <v>566</v>
      </c>
      <c r="D238" t="s">
        <v>567</v>
      </c>
      <c r="E238" s="8" cm="1">
        <f t="array" aca="1" ref="E238" ca="1">_xlfn.XLOOKUP(Table11[[#This Row],[Admin2PCODE]], tblPiNAnalysis[Admin2PCODE], INDIRECT("tblPiNAnalysis[" &amp; Table11[[#Headers],[Población]] &amp; "]"), "NOT FOUND", 0, 1)</f>
        <v>20531</v>
      </c>
      <c r="F238" s="8" cm="1">
        <f t="array" aca="1" ref="F238" ca="1">_xlfn.XLOOKUP(Table11[[#This Row],[Admin2PCODE]], tblPiNAnalysis[Admin2PCODE], INDIRECT("tblPiNAnalysis[" &amp; Table11[[#Headers],[SAMV]] &amp; "]"), "NOT FOUND", 0, 1)</f>
        <v>6501</v>
      </c>
      <c r="G238" s="8" cm="1">
        <f t="array" aca="1" ref="G238" ca="1">_xlfn.XLOOKUP(Table11[[#This Row],[Admin2PCODE]], tblPiNAnalysis[Admin2PCODE], INDIRECT("tblPiNAnalysis[" &amp; Table11[[#Headers],[NUT]] &amp; "]"), "NOT FOUND", 0, 1)</f>
        <v>1216.7153240588023</v>
      </c>
      <c r="H238" s="8" cm="1">
        <f t="array" aca="1" ref="H238" ca="1">_xlfn.XLOOKUP(Table11[[#This Row],[Admin2PCODE]], tblPiNAnalysis[Admin2PCODE], INDIRECT("tblPiNAnalysis[" &amp; Table11[[#Headers],[SAL]] &amp; "]"), "NOT FOUND", 0, 1)</f>
        <v>7493.8149999999996</v>
      </c>
      <c r="I238" s="8" cm="1">
        <f t="array" aca="1" ref="I238" ca="1">_xlfn.XLOOKUP(Table11[[#This Row],[Admin2PCODE]], tblPiNAnalysis[Admin2PCODE], INDIRECT("tblPiNAnalysis[" &amp; Table11[[#Headers],[EDU]] &amp; "]"), "NOT FOUND", 0, 1)</f>
        <v>774.02808328521144</v>
      </c>
      <c r="J238" s="8" cm="1">
        <f t="array" aca="1" ref="J238" ca="1">_xlfn.XLOOKUP(Table11[[#This Row],[Admin2PCODE]], tblPiNAnalysis[Admin2PCODE], INDIRECT("tblPiNAnalysis[" &amp; Table11[[#Headers],[PRO]] &amp; "]"), "NOT FOUND", 0, 1)</f>
        <v>4914.8182192002769</v>
      </c>
      <c r="K238" s="8" cm="1">
        <f t="array" aca="1" ref="K238" ca="1">_xlfn.XLOOKUP(Table11[[#This Row],[Admin2PCODE]], tblPiNAnalysis[Admin2PCODE], INDIRECT("tblPiNAnalysis[" &amp; Table11[[#Headers],[ASH]] &amp; "]"), "NOT FOUND", 0, 1)</f>
        <v>0</v>
      </c>
      <c r="L238" s="8" cm="1">
        <f t="array" aca="1" ref="L238" ca="1">_xlfn.XLOOKUP(Table11[[#This Row],[Admin2PCODE]], tblPiNAnalysis[Admin2PCODE], INDIRECT("tblPiNAnalysis[" &amp; Table11[[#Headers],[NNA]] &amp; "]"), "NOT FOUND", 0, 1)</f>
        <v>1577.6566483632889</v>
      </c>
      <c r="M238" s="8" cm="1">
        <f t="array" aca="1" ref="M238" ca="1">_xlfn.XLOOKUP(Table11[[#This Row],[Admin2PCODE]], tblPiNAnalysis[Admin2PCODE], INDIRECT("tblPiNAnalysis[" &amp; Table11[[#Headers],[VBG]] &amp; "]"), "NOT FOUND", 0, 1)</f>
        <v>1720.1863767200966</v>
      </c>
      <c r="N238" s="8" cm="1">
        <f t="array" aca="1" ref="N238" ca="1">_xlfn.XLOOKUP(Table11[[#This Row],[Admin2PCODE]], tblPiNAnalysis[Admin2PCODE], INDIRECT("tblPiNAnalysis[" &amp; Table11[[#Headers],[PiN más alto]] &amp; "]"), "NOT FOUND", 0, 1)</f>
        <v>7493.8149999999996</v>
      </c>
      <c r="O238" t="str" cm="1">
        <f t="array" aca="1" ref="O238" ca="1">_xlfn.XLOOKUP(Table11[[#This Row],[Admin2PCODE]], tblPiNAnalysis[Admin2PCODE], INDIRECT("tblPiNAnalysis[" &amp; Table11[[#Headers],[Sectores más altos]] &amp; "]"), "NOT FOUND", 0, 1)</f>
        <v>SAL</v>
      </c>
      <c r="P238" cm="1">
        <f t="array" ref="P238">_xlfn.XLOOKUP(Table11[[#This Row],[Admin2PCODE]], tblPiNAnalysis[Admin2PCODE], tblPiNAnalysis[Severidad], "NOT FOUND", 0, 1)</f>
        <v>2</v>
      </c>
      <c r="Q238" s="318">
        <v>0</v>
      </c>
      <c r="R238" s="318">
        <v>0</v>
      </c>
      <c r="S238" s="318">
        <v>0</v>
      </c>
      <c r="T238">
        <v>0</v>
      </c>
      <c r="W238">
        <f>_xlfn.XLOOKUP(Table11[[#This Row],[Admin2PCODE]],tblSeverityAnalysis[Admin 2 Código P],tblSeverityAnalysis[PRO],0,0)</f>
        <v>4</v>
      </c>
      <c r="Y238">
        <v>8</v>
      </c>
      <c r="Z238">
        <v>0</v>
      </c>
      <c r="AA238">
        <f t="shared" si="3"/>
        <v>0</v>
      </c>
    </row>
    <row r="239" spans="1:27">
      <c r="A239" t="s">
        <v>203</v>
      </c>
      <c r="B239" t="s">
        <v>564</v>
      </c>
      <c r="C239" s="42" t="s">
        <v>221</v>
      </c>
      <c r="D239" t="s">
        <v>568</v>
      </c>
      <c r="E239" s="8" cm="1">
        <f t="array" aca="1" ref="E239" ca="1">_xlfn.XLOOKUP(Table11[[#This Row],[Admin2PCODE]], tblPiNAnalysis[Admin2PCODE], INDIRECT("tblPiNAnalysis[" &amp; Table11[[#Headers],[Población]] &amp; "]"), "NOT FOUND", 0, 1)</f>
        <v>48268</v>
      </c>
      <c r="F239" s="8" cm="1">
        <f t="array" aca="1" ref="F239" ca="1">_xlfn.XLOOKUP(Table11[[#This Row],[Admin2PCODE]], tblPiNAnalysis[Admin2PCODE], INDIRECT("tblPiNAnalysis[" &amp; Table11[[#Headers],[SAMV]] &amp; "]"), "NOT FOUND", 0, 1)</f>
        <v>10773</v>
      </c>
      <c r="G239" s="8" cm="1">
        <f t="array" aca="1" ref="G239" ca="1">_xlfn.XLOOKUP(Table11[[#This Row],[Admin2PCODE]], tblPiNAnalysis[Admin2PCODE], INDIRECT("tblPiNAnalysis[" &amp; Table11[[#Headers],[NUT]] &amp; "]"), "NOT FOUND", 0, 1)</f>
        <v>5570.5708381610048</v>
      </c>
      <c r="H239" s="8" cm="1">
        <f t="array" aca="1" ref="H239" ca="1">_xlfn.XLOOKUP(Table11[[#This Row],[Admin2PCODE]], tblPiNAnalysis[Admin2PCODE], INDIRECT("tblPiNAnalysis[" &amp; Table11[[#Headers],[SAL]] &amp; "]"), "NOT FOUND", 0, 1)</f>
        <v>17617.82</v>
      </c>
      <c r="I239" s="8" cm="1">
        <f t="array" aca="1" ref="I239" ca="1">_xlfn.XLOOKUP(Table11[[#This Row],[Admin2PCODE]], tblPiNAnalysis[Admin2PCODE], INDIRECT("tblPiNAnalysis[" &amp; Table11[[#Headers],[EDU]] &amp; "]"), "NOT FOUND", 0, 1)</f>
        <v>3108.3234911339991</v>
      </c>
      <c r="J239" s="8" cm="1">
        <f t="array" aca="1" ref="J239" ca="1">_xlfn.XLOOKUP(Table11[[#This Row],[Admin2PCODE]], tblPiNAnalysis[Admin2PCODE], INDIRECT("tblPiNAnalysis[" &amp; Table11[[#Headers],[PRO]] &amp; "]"), "NOT FOUND", 0, 1)</f>
        <v>11554.646427566071</v>
      </c>
      <c r="K239" s="8" cm="1">
        <f t="array" aca="1" ref="K239" ca="1">_xlfn.XLOOKUP(Table11[[#This Row],[Admin2PCODE]], tblPiNAnalysis[Admin2PCODE], INDIRECT("tblPiNAnalysis[" &amp; Table11[[#Headers],[ASH]] &amp; "]"), "NOT FOUND", 0, 1)</f>
        <v>0</v>
      </c>
      <c r="L239" s="8" cm="1">
        <f t="array" aca="1" ref="L239" ca="1">_xlfn.XLOOKUP(Table11[[#This Row],[Admin2PCODE]], tblPiNAnalysis[Admin2PCODE], INDIRECT("tblPiNAnalysis[" &amp; Table11[[#Headers],[NNA]] &amp; "]"), "NOT FOUND", 0, 1)</f>
        <v>3697.4868568211432</v>
      </c>
      <c r="M239" s="8" cm="1">
        <f t="array" aca="1" ref="M239" ca="1">_xlfn.XLOOKUP(Table11[[#This Row],[Admin2PCODE]], tblPiNAnalysis[Admin2PCODE], INDIRECT("tblPiNAnalysis[" &amp; Table11[[#Headers],[VBG]] &amp; "]"), "NOT FOUND", 0, 1)</f>
        <v>4044.1262496481249</v>
      </c>
      <c r="N239" s="8" cm="1">
        <f t="array" aca="1" ref="N239" ca="1">_xlfn.XLOOKUP(Table11[[#This Row],[Admin2PCODE]], tblPiNAnalysis[Admin2PCODE], INDIRECT("tblPiNAnalysis[" &amp; Table11[[#Headers],[PiN más alto]] &amp; "]"), "NOT FOUND", 0, 1)</f>
        <v>17617.82</v>
      </c>
      <c r="O239" t="str" cm="1">
        <f t="array" aca="1" ref="O239" ca="1">_xlfn.XLOOKUP(Table11[[#This Row],[Admin2PCODE]], tblPiNAnalysis[Admin2PCODE], INDIRECT("tblPiNAnalysis[" &amp; Table11[[#Headers],[Sectores más altos]] &amp; "]"), "NOT FOUND", 0, 1)</f>
        <v>SAL</v>
      </c>
      <c r="P239" cm="1">
        <f t="array" ref="P239">_xlfn.XLOOKUP(Table11[[#This Row],[Admin2PCODE]], tblPiNAnalysis[Admin2PCODE], tblPiNAnalysis[Severidad], "NOT FOUND", 0, 1)</f>
        <v>3</v>
      </c>
      <c r="Q239" s="318">
        <v>0.43421052631578949</v>
      </c>
      <c r="R239" s="318">
        <v>0.47811447811447805</v>
      </c>
      <c r="S239" s="318">
        <v>0.20760233918128654</v>
      </c>
      <c r="T239">
        <v>0</v>
      </c>
      <c r="W239">
        <f>_xlfn.XLOOKUP(Table11[[#This Row],[Admin2PCODE]],tblSeverityAnalysis[Admin 2 Código P],tblSeverityAnalysis[PRO],0,0)</f>
        <v>4</v>
      </c>
      <c r="Y239">
        <v>0</v>
      </c>
      <c r="Z239">
        <v>0</v>
      </c>
      <c r="AA239">
        <f t="shared" si="3"/>
        <v>0</v>
      </c>
    </row>
    <row r="240" spans="1:27">
      <c r="A240" t="s">
        <v>203</v>
      </c>
      <c r="B240" t="s">
        <v>564</v>
      </c>
      <c r="C240" s="42" t="s">
        <v>569</v>
      </c>
      <c r="D240" t="s">
        <v>570</v>
      </c>
      <c r="E240" s="8" cm="1">
        <f t="array" aca="1" ref="E240" ca="1">_xlfn.XLOOKUP(Table11[[#This Row],[Admin2PCODE]], tblPiNAnalysis[Admin2PCODE], INDIRECT("tblPiNAnalysis[" &amp; Table11[[#Headers],[Población]] &amp; "]"), "NOT FOUND", 0, 1)</f>
        <v>31809</v>
      </c>
      <c r="F240" s="8" cm="1">
        <f t="array" aca="1" ref="F240" ca="1">_xlfn.XLOOKUP(Table11[[#This Row],[Admin2PCODE]], tblPiNAnalysis[Admin2PCODE], INDIRECT("tblPiNAnalysis[" &amp; Table11[[#Headers],[SAMV]] &amp; "]"), "NOT FOUND", 0, 1)</f>
        <v>7583</v>
      </c>
      <c r="G240" s="8" cm="1">
        <f t="array" aca="1" ref="G240" ca="1">_xlfn.XLOOKUP(Table11[[#This Row],[Admin2PCODE]], tblPiNAnalysis[Admin2PCODE], INDIRECT("tblPiNAnalysis[" &amp; Table11[[#Headers],[NUT]] &amp; "]"), "NOT FOUND", 0, 1)</f>
        <v>3776.3076856644811</v>
      </c>
      <c r="H240" s="8" cm="1">
        <f t="array" aca="1" ref="H240" ca="1">_xlfn.XLOOKUP(Table11[[#This Row],[Admin2PCODE]], tblPiNAnalysis[Admin2PCODE], INDIRECT("tblPiNAnalysis[" &amp; Table11[[#Headers],[SAL]] &amp; "]"), "NOT FOUND", 0, 1)</f>
        <v>11610.285</v>
      </c>
      <c r="I240" s="8" cm="1">
        <f t="array" aca="1" ref="I240" ca="1">_xlfn.XLOOKUP(Table11[[#This Row],[Admin2PCODE]], tblPiNAnalysis[Admin2PCODE], INDIRECT("tblPiNAnalysis[" &amp; Table11[[#Headers],[EDU]] &amp; "]"), "NOT FOUND", 0, 1)</f>
        <v>902.69684372307597</v>
      </c>
      <c r="J240" s="8" cm="1">
        <f t="array" aca="1" ref="J240" ca="1">_xlfn.XLOOKUP(Table11[[#This Row],[Admin2PCODE]], tblPiNAnalysis[Admin2PCODE], INDIRECT("tblPiNAnalysis[" &amp; Table11[[#Headers],[PRO]] &amp; "]"), "NOT FOUND", 0, 1)</f>
        <v>6345.5040643637112</v>
      </c>
      <c r="K240" s="8" cm="1">
        <f t="array" aca="1" ref="K240" ca="1">_xlfn.XLOOKUP(Table11[[#This Row],[Admin2PCODE]], tblPiNAnalysis[Admin2PCODE], INDIRECT("tblPiNAnalysis[" &amp; Table11[[#Headers],[ASH]] &amp; "]"), "NOT FOUND", 0, 1)</f>
        <v>4294.2150000000001</v>
      </c>
      <c r="L240" s="8" cm="1">
        <f t="array" aca="1" ref="L240" ca="1">_xlfn.XLOOKUP(Table11[[#This Row],[Admin2PCODE]], tblPiNAnalysis[Admin2PCODE], INDIRECT("tblPiNAnalysis[" &amp; Table11[[#Headers],[NNA]] &amp; "]"), "NOT FOUND", 0, 1)</f>
        <v>2030.5613005963874</v>
      </c>
      <c r="M240" s="8" cm="1">
        <f t="array" aca="1" ref="M240" ca="1">_xlfn.XLOOKUP(Table11[[#This Row],[Admin2PCODE]], tblPiNAnalysis[Admin2PCODE], INDIRECT("tblPiNAnalysis[" &amp; Table11[[#Headers],[VBG]] &amp; "]"), "NOT FOUND", 0, 1)</f>
        <v>2220.9264225272987</v>
      </c>
      <c r="N240" s="8" cm="1">
        <f t="array" aca="1" ref="N240" ca="1">_xlfn.XLOOKUP(Table11[[#This Row],[Admin2PCODE]], tblPiNAnalysis[Admin2PCODE], INDIRECT("tblPiNAnalysis[" &amp; Table11[[#Headers],[PiN más alto]] &amp; "]"), "NOT FOUND", 0, 1)</f>
        <v>11610.285</v>
      </c>
      <c r="O240" t="str" cm="1">
        <f t="array" aca="1" ref="O240" ca="1">_xlfn.XLOOKUP(Table11[[#This Row],[Admin2PCODE]], tblPiNAnalysis[Admin2PCODE], INDIRECT("tblPiNAnalysis[" &amp; Table11[[#Headers],[Sectores más altos]] &amp; "]"), "NOT FOUND", 0, 1)</f>
        <v>SAL</v>
      </c>
      <c r="P240" cm="1">
        <f t="array" ref="P240">_xlfn.XLOOKUP(Table11[[#This Row],[Admin2PCODE]], tblPiNAnalysis[Admin2PCODE], tblPiNAnalysis[Severidad], "NOT FOUND", 0, 1)</f>
        <v>3</v>
      </c>
      <c r="Q240" s="318">
        <v>0</v>
      </c>
      <c r="R240" s="318">
        <v>0</v>
      </c>
      <c r="S240" s="318">
        <v>0</v>
      </c>
      <c r="T240">
        <v>0</v>
      </c>
      <c r="W240">
        <f>_xlfn.XLOOKUP(Table11[[#This Row],[Admin2PCODE]],tblSeverityAnalysis[Admin 2 Código P],tblSeverityAnalysis[PRO],0,0)</f>
        <v>3</v>
      </c>
      <c r="Y240">
        <v>0</v>
      </c>
      <c r="Z240">
        <v>1.75</v>
      </c>
      <c r="AA240">
        <f t="shared" si="3"/>
        <v>2</v>
      </c>
    </row>
    <row r="241" spans="1:27">
      <c r="A241" t="s">
        <v>203</v>
      </c>
      <c r="B241" t="s">
        <v>564</v>
      </c>
      <c r="C241" s="42" t="s">
        <v>571</v>
      </c>
      <c r="D241" t="s">
        <v>572</v>
      </c>
      <c r="E241" s="8" cm="1">
        <f t="array" aca="1" ref="E241" ca="1">_xlfn.XLOOKUP(Table11[[#This Row],[Admin2PCODE]], tblPiNAnalysis[Admin2PCODE], INDIRECT("tblPiNAnalysis[" &amp; Table11[[#Headers],[Población]] &amp; "]"), "NOT FOUND", 0, 1)</f>
        <v>141932</v>
      </c>
      <c r="F241" s="8" cm="1">
        <f t="array" aca="1" ref="F241" ca="1">_xlfn.XLOOKUP(Table11[[#This Row],[Admin2PCODE]], tblPiNAnalysis[Admin2PCODE], INDIRECT("tblPiNAnalysis[" &amp; Table11[[#Headers],[SAMV]] &amp; "]"), "NOT FOUND", 0, 1)</f>
        <v>28066</v>
      </c>
      <c r="G241" s="8" cm="1">
        <f t="array" aca="1" ref="G241" ca="1">_xlfn.XLOOKUP(Table11[[#This Row],[Admin2PCODE]], tblPiNAnalysis[Admin2PCODE], INDIRECT("tblPiNAnalysis[" &amp; Table11[[#Headers],[NUT]] &amp; "]"), "NOT FOUND", 0, 1)</f>
        <v>13156.614991851757</v>
      </c>
      <c r="H241" s="8" cm="1">
        <f t="array" aca="1" ref="H241" ca="1">_xlfn.XLOOKUP(Table11[[#This Row],[Admin2PCODE]], tblPiNAnalysis[Admin2PCODE], INDIRECT("tblPiNAnalysis[" &amp; Table11[[#Headers],[SAL]] &amp; "]"), "NOT FOUND", 0, 1)</f>
        <v>51805.18</v>
      </c>
      <c r="I241" s="8" cm="1">
        <f t="array" aca="1" ref="I241" ca="1">_xlfn.XLOOKUP(Table11[[#This Row],[Admin2PCODE]], tblPiNAnalysis[Admin2PCODE], INDIRECT("tblPiNAnalysis[" &amp; Table11[[#Headers],[EDU]] &amp; "]"), "NOT FOUND", 0, 1)</f>
        <v>10767.604768487316</v>
      </c>
      <c r="J241" s="8" cm="1">
        <f t="array" aca="1" ref="J241" ca="1">_xlfn.XLOOKUP(Table11[[#This Row],[Admin2PCODE]], tblPiNAnalysis[Admin2PCODE], INDIRECT("tblPiNAnalysis[" &amp; Table11[[#Headers],[PRO]] &amp; "]"), "NOT FOUND", 0, 1)</f>
        <v>33976.424893455449</v>
      </c>
      <c r="K241" s="8" cm="1">
        <f t="array" aca="1" ref="K241" ca="1">_xlfn.XLOOKUP(Table11[[#This Row],[Admin2PCODE]], tblPiNAnalysis[Admin2PCODE], INDIRECT("tblPiNAnalysis[" &amp; Table11[[#Headers],[ASH]] &amp; "]"), "NOT FOUND", 0, 1)</f>
        <v>85159.2</v>
      </c>
      <c r="L241" s="8" cm="1">
        <f t="array" aca="1" ref="L241" ca="1">_xlfn.XLOOKUP(Table11[[#This Row],[Admin2PCODE]], tblPiNAnalysis[Admin2PCODE], INDIRECT("tblPiNAnalysis[" &amp; Table11[[#Headers],[NNA]] &amp; "]"), "NOT FOUND", 0, 1)</f>
        <v>10872.455965905743</v>
      </c>
      <c r="M241" s="8" cm="1">
        <f t="array" aca="1" ref="M241" ca="1">_xlfn.XLOOKUP(Table11[[#This Row],[Admin2PCODE]], tblPiNAnalysis[Admin2PCODE], INDIRECT("tblPiNAnalysis[" &amp; Table11[[#Headers],[VBG]] &amp; "]"), "NOT FOUND", 0, 1)</f>
        <v>11891.748712709406</v>
      </c>
      <c r="N241" s="8" cm="1">
        <f t="array" aca="1" ref="N241" ca="1">_xlfn.XLOOKUP(Table11[[#This Row],[Admin2PCODE]], tblPiNAnalysis[Admin2PCODE], INDIRECT("tblPiNAnalysis[" &amp; Table11[[#Headers],[PiN más alto]] &amp; "]"), "NOT FOUND", 0, 1)</f>
        <v>85159.2</v>
      </c>
      <c r="O241" t="str" cm="1">
        <f t="array" aca="1" ref="O241" ca="1">_xlfn.XLOOKUP(Table11[[#This Row],[Admin2PCODE]], tblPiNAnalysis[Admin2PCODE], INDIRECT("tblPiNAnalysis[" &amp; Table11[[#Headers],[Sectores más altos]] &amp; "]"), "NOT FOUND", 0, 1)</f>
        <v>ASH</v>
      </c>
      <c r="P241" cm="1">
        <f t="array" ref="P241">_xlfn.XLOOKUP(Table11[[#This Row],[Admin2PCODE]], tblPiNAnalysis[Admin2PCODE], tblPiNAnalysis[Severidad], "NOT FOUND", 0, 1)</f>
        <v>3</v>
      </c>
      <c r="Q241" s="318">
        <v>0.32019704433497537</v>
      </c>
      <c r="R241" s="318">
        <v>0.4102564102564103</v>
      </c>
      <c r="S241" s="318">
        <v>0.13136288998357964</v>
      </c>
      <c r="T241">
        <v>0</v>
      </c>
      <c r="W241">
        <f>_xlfn.XLOOKUP(Table11[[#This Row],[Admin2PCODE]],tblSeverityAnalysis[Admin 2 Código P],tblSeverityAnalysis[PRO],0,0)</f>
        <v>4</v>
      </c>
      <c r="Y241">
        <v>0</v>
      </c>
      <c r="Z241">
        <v>0</v>
      </c>
      <c r="AA241">
        <f t="shared" si="3"/>
        <v>0</v>
      </c>
    </row>
    <row r="242" spans="1:27">
      <c r="A242" t="s">
        <v>203</v>
      </c>
      <c r="B242" t="s">
        <v>564</v>
      </c>
      <c r="C242" s="42" t="s">
        <v>180</v>
      </c>
      <c r="D242" t="s">
        <v>573</v>
      </c>
      <c r="E242" s="8" cm="1">
        <f t="array" aca="1" ref="E242" ca="1">_xlfn.XLOOKUP(Table11[[#This Row],[Admin2PCODE]], tblPiNAnalysis[Admin2PCODE], INDIRECT("tblPiNAnalysis[" &amp; Table11[[#Headers],[Población]] &amp; "]"), "NOT FOUND", 0, 1)</f>
        <v>22365</v>
      </c>
      <c r="F242" s="8" cm="1">
        <f t="array" aca="1" ref="F242" ca="1">_xlfn.XLOOKUP(Table11[[#This Row],[Admin2PCODE]], tblPiNAnalysis[Admin2PCODE], INDIRECT("tblPiNAnalysis[" &amp; Table11[[#Headers],[SAMV]] &amp; "]"), "NOT FOUND", 0, 1)</f>
        <v>3313</v>
      </c>
      <c r="G242" s="8" cm="1">
        <f t="array" aca="1" ref="G242" ca="1">_xlfn.XLOOKUP(Table11[[#This Row],[Admin2PCODE]], tblPiNAnalysis[Admin2PCODE], INDIRECT("tblPiNAnalysis[" &amp; Table11[[#Headers],[NUT]] &amp; "]"), "NOT FOUND", 0, 1)</f>
        <v>834.19808545334001</v>
      </c>
      <c r="H242" s="8" cm="1">
        <f t="array" aca="1" ref="H242" ca="1">_xlfn.XLOOKUP(Table11[[#This Row],[Admin2PCODE]], tblPiNAnalysis[Admin2PCODE], INDIRECT("tblPiNAnalysis[" &amp; Table11[[#Headers],[SAL]] &amp; "]"), "NOT FOUND", 0, 1)</f>
        <v>8163.2250000000004</v>
      </c>
      <c r="I242" s="8" cm="1">
        <f t="array" aca="1" ref="I242" ca="1">_xlfn.XLOOKUP(Table11[[#This Row],[Admin2PCODE]], tblPiNAnalysis[Admin2PCODE], INDIRECT("tblPiNAnalysis[" &amp; Table11[[#Headers],[EDU]] &amp; "]"), "NOT FOUND", 0, 1)</f>
        <v>1008.1076222661311</v>
      </c>
      <c r="J242" s="8" cm="1">
        <f t="array" aca="1" ref="J242" ca="1">_xlfn.XLOOKUP(Table11[[#This Row],[Admin2PCODE]], tblPiNAnalysis[Admin2PCODE], INDIRECT("tblPiNAnalysis[" &amp; Table11[[#Headers],[PRO]] &amp; "]"), "NOT FOUND", 0, 1)</f>
        <v>4461.5422804707596</v>
      </c>
      <c r="K242" s="8" cm="1">
        <f t="array" aca="1" ref="K242" ca="1">_xlfn.XLOOKUP(Table11[[#This Row],[Admin2PCODE]], tblPiNAnalysis[Admin2PCODE], INDIRECT("tblPiNAnalysis[" &amp; Table11[[#Headers],[ASH]] &amp; "]"), "NOT FOUND", 0, 1)</f>
        <v>0</v>
      </c>
      <c r="L242" s="8" cm="1">
        <f t="array" aca="1" ref="L242" ca="1">_xlfn.XLOOKUP(Table11[[#This Row],[Admin2PCODE]], tblPiNAnalysis[Admin2PCODE], INDIRECT("tblPiNAnalysis[" &amp; Table11[[#Headers],[NNA]] &amp; "]"), "NOT FOUND", 0, 1)</f>
        <v>1427.6935297506429</v>
      </c>
      <c r="M242" s="8" cm="1">
        <f t="array" aca="1" ref="M242" ca="1">_xlfn.XLOOKUP(Table11[[#This Row],[Admin2PCODE]], tblPiNAnalysis[Admin2PCODE], INDIRECT("tblPiNAnalysis[" &amp; Table11[[#Headers],[VBG]] &amp; "]"), "NOT FOUND", 0, 1)</f>
        <v>1561.5397981647659</v>
      </c>
      <c r="N242" s="8" cm="1">
        <f t="array" aca="1" ref="N242" ca="1">_xlfn.XLOOKUP(Table11[[#This Row],[Admin2PCODE]], tblPiNAnalysis[Admin2PCODE], INDIRECT("tblPiNAnalysis[" &amp; Table11[[#Headers],[PiN más alto]] &amp; "]"), "NOT FOUND", 0, 1)</f>
        <v>8163.2250000000004</v>
      </c>
      <c r="O242" t="str" cm="1">
        <f t="array" aca="1" ref="O242" ca="1">_xlfn.XLOOKUP(Table11[[#This Row],[Admin2PCODE]], tblPiNAnalysis[Admin2PCODE], INDIRECT("tblPiNAnalysis[" &amp; Table11[[#Headers],[Sectores más altos]] &amp; "]"), "NOT FOUND", 0, 1)</f>
        <v>SAL</v>
      </c>
      <c r="P242" cm="1">
        <f t="array" ref="P242">_xlfn.XLOOKUP(Table11[[#This Row],[Admin2PCODE]], tblPiNAnalysis[Admin2PCODE], tblPiNAnalysis[Severidad], "NOT FOUND", 0, 1)</f>
        <v>3</v>
      </c>
      <c r="Q242" s="318">
        <v>0.16666666666666666</v>
      </c>
      <c r="R242" s="318">
        <v>0.38888888888888867</v>
      </c>
      <c r="S242" s="318">
        <v>6.481481481481477E-2</v>
      </c>
      <c r="T242">
        <v>0</v>
      </c>
      <c r="W242">
        <f>_xlfn.XLOOKUP(Table11[[#This Row],[Admin2PCODE]],tblSeverityAnalysis[Admin 2 Código P],tblSeverityAnalysis[PRO],0,0)</f>
        <v>3</v>
      </c>
      <c r="Y242">
        <v>0</v>
      </c>
      <c r="Z242">
        <v>0</v>
      </c>
      <c r="AA242">
        <f t="shared" si="3"/>
        <v>0</v>
      </c>
    </row>
    <row r="243" spans="1:27">
      <c r="A243" t="s">
        <v>203</v>
      </c>
      <c r="B243" t="s">
        <v>564</v>
      </c>
      <c r="C243" s="42" t="s">
        <v>574</v>
      </c>
      <c r="D243" t="s">
        <v>575</v>
      </c>
      <c r="E243" s="8" cm="1">
        <f t="array" aca="1" ref="E243" ca="1">_xlfn.XLOOKUP(Table11[[#This Row],[Admin2PCODE]], tblPiNAnalysis[Admin2PCODE], INDIRECT("tblPiNAnalysis[" &amp; Table11[[#Headers],[Población]] &amp; "]"), "NOT FOUND", 0, 1)</f>
        <v>21381</v>
      </c>
      <c r="F243" s="8" cm="1">
        <f t="array" aca="1" ref="F243" ca="1">_xlfn.XLOOKUP(Table11[[#This Row],[Admin2PCODE]], tblPiNAnalysis[Admin2PCODE], INDIRECT("tblPiNAnalysis[" &amp; Table11[[#Headers],[SAMV]] &amp; "]"), "NOT FOUND", 0, 1)</f>
        <v>4276</v>
      </c>
      <c r="G243" s="8" cm="1">
        <f t="array" aca="1" ref="G243" ca="1">_xlfn.XLOOKUP(Table11[[#This Row],[Admin2PCODE]], tblPiNAnalysis[Admin2PCODE], INDIRECT("tblPiNAnalysis[" &amp; Table11[[#Headers],[NUT]] &amp; "]"), "NOT FOUND", 0, 1)</f>
        <v>3126.436574519882</v>
      </c>
      <c r="H243" s="8" cm="1">
        <f t="array" aca="1" ref="H243" ca="1">_xlfn.XLOOKUP(Table11[[#This Row],[Admin2PCODE]], tblPiNAnalysis[Admin2PCODE], INDIRECT("tblPiNAnalysis[" &amp; Table11[[#Headers],[SAL]] &amp; "]"), "NOT FOUND", 0, 1)</f>
        <v>7804.0649999999996</v>
      </c>
      <c r="I243" s="8" cm="1">
        <f t="array" aca="1" ref="I243" ca="1">_xlfn.XLOOKUP(Table11[[#This Row],[Admin2PCODE]], tblPiNAnalysis[Admin2PCODE], INDIRECT("tblPiNAnalysis[" &amp; Table11[[#Headers],[EDU]] &amp; "]"), "NOT FOUND", 0, 1)</f>
        <v>340.2867341397673</v>
      </c>
      <c r="J243" s="8" cm="1">
        <f t="array" aca="1" ref="J243" ca="1">_xlfn.XLOOKUP(Table11[[#This Row],[Admin2PCODE]], tblPiNAnalysis[Admin2PCODE], INDIRECT("tblPiNAnalysis[" &amp; Table11[[#Headers],[PRO]] &amp; "]"), "NOT FOUND", 0, 1)</f>
        <v>5118.2956672700366</v>
      </c>
      <c r="K243" s="8" cm="1">
        <f t="array" aca="1" ref="K243" ca="1">_xlfn.XLOOKUP(Table11[[#This Row],[Admin2PCODE]], tblPiNAnalysis[Admin2PCODE], INDIRECT("tblPiNAnalysis[" &amp; Table11[[#Headers],[ASH]] &amp; "]"), "NOT FOUND", 0, 1)</f>
        <v>9621.4500000000007</v>
      </c>
      <c r="L243" s="8" cm="1">
        <f t="array" aca="1" ref="L243" ca="1">_xlfn.XLOOKUP(Table11[[#This Row],[Admin2PCODE]], tblPiNAnalysis[Admin2PCODE], INDIRECT("tblPiNAnalysis[" &amp; Table11[[#Headers],[NNA]] &amp; "]"), "NOT FOUND", 0, 1)</f>
        <v>1642.972909193682</v>
      </c>
      <c r="M243" s="8" cm="1">
        <f t="array" aca="1" ref="M243" ca="1">_xlfn.XLOOKUP(Table11[[#This Row],[Admin2PCODE]], tblPiNAnalysis[Admin2PCODE], INDIRECT("tblPiNAnalysis[" &amp; Table11[[#Headers],[VBG]] &amp; "]"), "NOT FOUND", 0, 1)</f>
        <v>1791.4034835445127</v>
      </c>
      <c r="N243" s="8" cm="1">
        <f t="array" aca="1" ref="N243" ca="1">_xlfn.XLOOKUP(Table11[[#This Row],[Admin2PCODE]], tblPiNAnalysis[Admin2PCODE], INDIRECT("tblPiNAnalysis[" &amp; Table11[[#Headers],[PiN más alto]] &amp; "]"), "NOT FOUND", 0, 1)</f>
        <v>9621.4500000000007</v>
      </c>
      <c r="O243" t="str" cm="1">
        <f t="array" aca="1" ref="O243" ca="1">_xlfn.XLOOKUP(Table11[[#This Row],[Admin2PCODE]], tblPiNAnalysis[Admin2PCODE], INDIRECT("tblPiNAnalysis[" &amp; Table11[[#Headers],[Sectores más altos]] &amp; "]"), "NOT FOUND", 0, 1)</f>
        <v>ASH</v>
      </c>
      <c r="P243" cm="1">
        <f t="array" ref="P243">_xlfn.XLOOKUP(Table11[[#This Row],[Admin2PCODE]], tblPiNAnalysis[Admin2PCODE], tblPiNAnalysis[Severidad], "NOT FOUND", 0, 1)</f>
        <v>3</v>
      </c>
      <c r="Q243" s="318">
        <v>0</v>
      </c>
      <c r="R243" s="318">
        <v>0</v>
      </c>
      <c r="S243" s="318">
        <v>0</v>
      </c>
      <c r="T243">
        <v>0</v>
      </c>
      <c r="W243">
        <f>_xlfn.XLOOKUP(Table11[[#This Row],[Admin2PCODE]],tblSeverityAnalysis[Admin 2 Código P],tblSeverityAnalysis[PRO],0,0)</f>
        <v>4</v>
      </c>
      <c r="Y243">
        <v>0</v>
      </c>
      <c r="Z243">
        <v>0</v>
      </c>
      <c r="AA243">
        <f t="shared" si="3"/>
        <v>0</v>
      </c>
    </row>
    <row r="244" spans="1:27">
      <c r="A244" t="s">
        <v>203</v>
      </c>
      <c r="B244" t="s">
        <v>564</v>
      </c>
      <c r="C244" s="42" t="s">
        <v>576</v>
      </c>
      <c r="D244" t="s">
        <v>577</v>
      </c>
      <c r="E244" s="8" cm="1">
        <f t="array" aca="1" ref="E244" ca="1">_xlfn.XLOOKUP(Table11[[#This Row],[Admin2PCODE]], tblPiNAnalysis[Admin2PCODE], INDIRECT("tblPiNAnalysis[" &amp; Table11[[#Headers],[Población]] &amp; "]"), "NOT FOUND", 0, 1)</f>
        <v>35731</v>
      </c>
      <c r="F244" s="8" cm="1">
        <f t="array" aca="1" ref="F244" ca="1">_xlfn.XLOOKUP(Table11[[#This Row],[Admin2PCODE]], tblPiNAnalysis[Admin2PCODE], INDIRECT("tblPiNAnalysis[" &amp; Table11[[#Headers],[SAMV]] &amp; "]"), "NOT FOUND", 0, 1)</f>
        <v>6414</v>
      </c>
      <c r="G244" s="8" cm="1">
        <f t="array" aca="1" ref="G244" ca="1">_xlfn.XLOOKUP(Table11[[#This Row],[Admin2PCODE]], tblPiNAnalysis[Admin2PCODE], INDIRECT("tblPiNAnalysis[" &amp; Table11[[#Headers],[NUT]] &amp; "]"), "NOT FOUND", 0, 1)</f>
        <v>1537.2418604392319</v>
      </c>
      <c r="H244" s="8" cm="1">
        <f t="array" aca="1" ref="H244" ca="1">_xlfn.XLOOKUP(Table11[[#This Row],[Admin2PCODE]], tblPiNAnalysis[Admin2PCODE], INDIRECT("tblPiNAnalysis[" &amp; Table11[[#Headers],[SAL]] &amp; "]"), "NOT FOUND", 0, 1)</f>
        <v>13041.815000000001</v>
      </c>
      <c r="I244" s="8" cm="1">
        <f t="array" aca="1" ref="I244" ca="1">_xlfn.XLOOKUP(Table11[[#This Row],[Admin2PCODE]], tblPiNAnalysis[Admin2PCODE], INDIRECT("tblPiNAnalysis[" &amp; Table11[[#Headers],[EDU]] &amp; "]"), "NOT FOUND", 0, 1)</f>
        <v>1978.4485672164108</v>
      </c>
      <c r="J244" s="8" cm="1">
        <f t="array" aca="1" ref="J244" ca="1">_xlfn.XLOOKUP(Table11[[#This Row],[Admin2PCODE]], tblPiNAnalysis[Admin2PCODE], INDIRECT("tblPiNAnalysis[" &amp; Table11[[#Headers],[PRO]] &amp; "]"), "NOT FOUND", 0, 1)</f>
        <v>8553.4737611536257</v>
      </c>
      <c r="K244" s="8" cm="1">
        <f t="array" aca="1" ref="K244" ca="1">_xlfn.XLOOKUP(Table11[[#This Row],[Admin2PCODE]], tblPiNAnalysis[Admin2PCODE], INDIRECT("tblPiNAnalysis[" &amp; Table11[[#Headers],[ASH]] &amp; "]"), "NOT FOUND", 0, 1)</f>
        <v>21438.6</v>
      </c>
      <c r="L244" s="8" cm="1">
        <f t="array" aca="1" ref="L244" ca="1">_xlfn.XLOOKUP(Table11[[#This Row],[Admin2PCODE]], tblPiNAnalysis[Admin2PCODE], INDIRECT("tblPiNAnalysis[" &amp; Table11[[#Headers],[NNA]] &amp; "]"), "NOT FOUND", 0, 1)</f>
        <v>2745.6650773303136</v>
      </c>
      <c r="M244" s="8" cm="1">
        <f t="array" aca="1" ref="M244" ca="1">_xlfn.XLOOKUP(Table11[[#This Row],[Admin2PCODE]], tblPiNAnalysis[Admin2PCODE], INDIRECT("tblPiNAnalysis[" &amp; Table11[[#Headers],[VBG]] &amp; "]"), "NOT FOUND", 0, 1)</f>
        <v>2993.7158164037687</v>
      </c>
      <c r="N244" s="8" cm="1">
        <f t="array" aca="1" ref="N244" ca="1">_xlfn.XLOOKUP(Table11[[#This Row],[Admin2PCODE]], tblPiNAnalysis[Admin2PCODE], INDIRECT("tblPiNAnalysis[" &amp; Table11[[#Headers],[PiN más alto]] &amp; "]"), "NOT FOUND", 0, 1)</f>
        <v>21438.6</v>
      </c>
      <c r="O244" t="str" cm="1">
        <f t="array" aca="1" ref="O244" ca="1">_xlfn.XLOOKUP(Table11[[#This Row],[Admin2PCODE]], tblPiNAnalysis[Admin2PCODE], INDIRECT("tblPiNAnalysis[" &amp; Table11[[#Headers],[Sectores más altos]] &amp; "]"), "NOT FOUND", 0, 1)</f>
        <v>ASH</v>
      </c>
      <c r="P244" cm="1">
        <f t="array" ref="P244">_xlfn.XLOOKUP(Table11[[#This Row],[Admin2PCODE]], tblPiNAnalysis[Admin2PCODE], tblPiNAnalysis[Severidad], "NOT FOUND", 0, 1)</f>
        <v>4</v>
      </c>
      <c r="Q244" s="318">
        <v>0.41269841269841268</v>
      </c>
      <c r="R244" s="318">
        <v>0.53632478632478631</v>
      </c>
      <c r="S244" s="318">
        <v>0.22134038800705466</v>
      </c>
      <c r="T244">
        <v>0</v>
      </c>
      <c r="W244">
        <f>_xlfn.XLOOKUP(Table11[[#This Row],[Admin2PCODE]],tblSeverityAnalysis[Admin 2 Código P],tblSeverityAnalysis[PRO],0,0)</f>
        <v>4</v>
      </c>
      <c r="Y244">
        <v>0</v>
      </c>
      <c r="Z244">
        <v>0</v>
      </c>
      <c r="AA244">
        <f t="shared" si="3"/>
        <v>0</v>
      </c>
    </row>
    <row r="245" spans="1:27">
      <c r="A245" t="s">
        <v>203</v>
      </c>
      <c r="B245" t="s">
        <v>564</v>
      </c>
      <c r="C245" s="42" t="s">
        <v>100</v>
      </c>
      <c r="D245" t="s">
        <v>578</v>
      </c>
      <c r="E245" s="8" cm="1">
        <f t="array" aca="1" ref="E245" ca="1">_xlfn.XLOOKUP(Table11[[#This Row],[Admin2PCODE]], tblPiNAnalysis[Admin2PCODE], INDIRECT("tblPiNAnalysis[" &amp; Table11[[#Headers],[Población]] &amp; "]"), "NOT FOUND", 0, 1)</f>
        <v>9796</v>
      </c>
      <c r="F245" s="8" cm="1">
        <f t="array" aca="1" ref="F245" ca="1">_xlfn.XLOOKUP(Table11[[#This Row],[Admin2PCODE]], tblPiNAnalysis[Admin2PCODE], INDIRECT("tblPiNAnalysis[" &amp; Table11[[#Headers],[SAMV]] &amp; "]"), "NOT FOUND", 0, 1)</f>
        <v>2041</v>
      </c>
      <c r="G245" s="8" cm="1">
        <f t="array" aca="1" ref="G245" ca="1">_xlfn.XLOOKUP(Table11[[#This Row],[Admin2PCODE]], tblPiNAnalysis[Admin2PCODE], INDIRECT("tblPiNAnalysis[" &amp; Table11[[#Headers],[NUT]] &amp; "]"), "NOT FOUND", 0, 1)</f>
        <v>296.04012024201961</v>
      </c>
      <c r="H245" s="8" cm="1">
        <f t="array" aca="1" ref="H245" ca="1">_xlfn.XLOOKUP(Table11[[#This Row],[Admin2PCODE]], tblPiNAnalysis[Admin2PCODE], INDIRECT("tblPiNAnalysis[" &amp; Table11[[#Headers],[SAL]] &amp; "]"), "NOT FOUND", 0, 1)</f>
        <v>3575.54</v>
      </c>
      <c r="I245" s="8" cm="1">
        <f t="array" aca="1" ref="I245" ca="1">_xlfn.XLOOKUP(Table11[[#This Row],[Admin2PCODE]], tblPiNAnalysis[Admin2PCODE], INDIRECT("tblPiNAnalysis[" &amp; Table11[[#Headers],[EDU]] &amp; "]"), "NOT FOUND", 0, 1)</f>
        <v>1191.3681633360216</v>
      </c>
      <c r="J245" s="8" cm="1">
        <f t="array" aca="1" ref="J245" ca="1">_xlfn.XLOOKUP(Table11[[#This Row],[Admin2PCODE]], tblPiNAnalysis[Admin2PCODE], INDIRECT("tblPiNAnalysis[" &amp; Table11[[#Headers],[PRO]] &amp; "]"), "NOT FOUND", 0, 1)</f>
        <v>1954.1814522464369</v>
      </c>
      <c r="K245" s="8" cm="1">
        <f t="array" aca="1" ref="K245" ca="1">_xlfn.XLOOKUP(Table11[[#This Row],[Admin2PCODE]], tblPiNAnalysis[Admin2PCODE], INDIRECT("tblPiNAnalysis[" &amp; Table11[[#Headers],[ASH]] &amp; "]"), "NOT FOUND", 0, 1)</f>
        <v>0</v>
      </c>
      <c r="L245" s="8" cm="1">
        <f t="array" aca="1" ref="L245" ca="1">_xlfn.XLOOKUP(Table11[[#This Row],[Admin2PCODE]], tblPiNAnalysis[Admin2PCODE], INDIRECT("tblPiNAnalysis[" &amp; Table11[[#Headers],[NNA]] &amp; "]"), "NOT FOUND", 0, 1)</f>
        <v>627.29224617110629</v>
      </c>
      <c r="M245" s="8" cm="1">
        <f t="array" aca="1" ref="M245" ca="1">_xlfn.XLOOKUP(Table11[[#This Row],[Admin2PCODE]], tblPiNAnalysis[Admin2PCODE], INDIRECT("tblPiNAnalysis[" &amp; Table11[[#Headers],[VBG]] &amp; "]"), "NOT FOUND", 0, 1)</f>
        <v>683.96350828625282</v>
      </c>
      <c r="N245" s="8" cm="1">
        <f t="array" aca="1" ref="N245" ca="1">_xlfn.XLOOKUP(Table11[[#This Row],[Admin2PCODE]], tblPiNAnalysis[Admin2PCODE], INDIRECT("tblPiNAnalysis[" &amp; Table11[[#Headers],[PiN más alto]] &amp; "]"), "NOT FOUND", 0, 1)</f>
        <v>3575.54</v>
      </c>
      <c r="O245" t="str" cm="1">
        <f t="array" aca="1" ref="O245" ca="1">_xlfn.XLOOKUP(Table11[[#This Row],[Admin2PCODE]], tblPiNAnalysis[Admin2PCODE], INDIRECT("tblPiNAnalysis[" &amp; Table11[[#Headers],[Sectores más altos]] &amp; "]"), "NOT FOUND", 0, 1)</f>
        <v>SAL</v>
      </c>
      <c r="P245" cm="1">
        <f t="array" ref="P245">_xlfn.XLOOKUP(Table11[[#This Row],[Admin2PCODE]], tblPiNAnalysis[Admin2PCODE], tblPiNAnalysis[Severidad], "NOT FOUND", 0, 1)</f>
        <v>3</v>
      </c>
      <c r="Q245" s="318">
        <v>0</v>
      </c>
      <c r="R245" s="318">
        <v>0</v>
      </c>
      <c r="S245" s="318">
        <v>0</v>
      </c>
      <c r="T245">
        <v>0</v>
      </c>
      <c r="W245">
        <f>_xlfn.XLOOKUP(Table11[[#This Row],[Admin2PCODE]],tblSeverityAnalysis[Admin 2 Código P],tblSeverityAnalysis[PRO],0,0)</f>
        <v>3</v>
      </c>
      <c r="Y245">
        <v>0</v>
      </c>
      <c r="Z245">
        <v>0</v>
      </c>
      <c r="AA245">
        <f t="shared" si="3"/>
        <v>0</v>
      </c>
    </row>
    <row r="246" spans="1:27">
      <c r="A246" t="s">
        <v>203</v>
      </c>
      <c r="B246" t="s">
        <v>564</v>
      </c>
      <c r="C246" s="42" t="s">
        <v>528</v>
      </c>
      <c r="D246" t="s">
        <v>579</v>
      </c>
      <c r="E246" s="8" cm="1">
        <f t="array" aca="1" ref="E246" ca="1">_xlfn.XLOOKUP(Table11[[#This Row],[Admin2PCODE]], tblPiNAnalysis[Admin2PCODE], INDIRECT("tblPiNAnalysis[" &amp; Table11[[#Headers],[Población]] &amp; "]"), "NOT FOUND", 0, 1)</f>
        <v>22838</v>
      </c>
      <c r="F246" s="8" cm="1">
        <f t="array" aca="1" ref="F246" ca="1">_xlfn.XLOOKUP(Table11[[#This Row],[Admin2PCODE]], tblPiNAnalysis[Admin2PCODE], INDIRECT("tblPiNAnalysis[" &amp; Table11[[#Headers],[SAMV]] &amp; "]"), "NOT FOUND", 0, 1)</f>
        <v>5057</v>
      </c>
      <c r="G246" s="8" cm="1">
        <f t="array" aca="1" ref="G246" ca="1">_xlfn.XLOOKUP(Table11[[#This Row],[Admin2PCODE]], tblPiNAnalysis[Admin2PCODE], INDIRECT("tblPiNAnalysis[" &amp; Table11[[#Headers],[NUT]] &amp; "]"), "NOT FOUND", 0, 1)</f>
        <v>2066.5821854677597</v>
      </c>
      <c r="H246" s="8" cm="1">
        <f t="array" aca="1" ref="H246" ca="1">_xlfn.XLOOKUP(Table11[[#This Row],[Admin2PCODE]], tblPiNAnalysis[Admin2PCODE], INDIRECT("tblPiNAnalysis[" &amp; Table11[[#Headers],[SAL]] &amp; "]"), "NOT FOUND", 0, 1)</f>
        <v>8335.8700000000008</v>
      </c>
      <c r="I246" s="8" cm="1">
        <f t="array" aca="1" ref="I246" ca="1">_xlfn.XLOOKUP(Table11[[#This Row],[Admin2PCODE]], tblPiNAnalysis[Admin2PCODE], INDIRECT("tblPiNAnalysis[" &amp; Table11[[#Headers],[EDU]] &amp; "]"), "NOT FOUND", 0, 1)</f>
        <v>557.68394852382698</v>
      </c>
      <c r="J246" s="8" cm="1">
        <f t="array" aca="1" ref="J246" ca="1">_xlfn.XLOOKUP(Table11[[#This Row],[Admin2PCODE]], tblPiNAnalysis[Admin2PCODE], INDIRECT("tblPiNAnalysis[" &amp; Table11[[#Headers],[PRO]] &amp; "]"), "NOT FOUND", 0, 1)</f>
        <v>4555.8999598207565</v>
      </c>
      <c r="K246" s="8" cm="1">
        <f t="array" aca="1" ref="K246" ca="1">_xlfn.XLOOKUP(Table11[[#This Row],[Admin2PCODE]], tblPiNAnalysis[Admin2PCODE], INDIRECT("tblPiNAnalysis[" &amp; Table11[[#Headers],[ASH]] &amp; "]"), "NOT FOUND", 0, 1)</f>
        <v>0</v>
      </c>
      <c r="L246" s="8" cm="1">
        <f t="array" aca="1" ref="L246" ca="1">_xlfn.XLOOKUP(Table11[[#This Row],[Admin2PCODE]], tblPiNAnalysis[Admin2PCODE], INDIRECT("tblPiNAnalysis[" &amp; Table11[[#Headers],[NNA]] &amp; "]"), "NOT FOUND", 0, 1)</f>
        <v>1457.887987142642</v>
      </c>
      <c r="M246" s="8" cm="1">
        <f t="array" aca="1" ref="M246" ca="1">_xlfn.XLOOKUP(Table11[[#This Row],[Admin2PCODE]], tblPiNAnalysis[Admin2PCODE], INDIRECT("tblPiNAnalysis[" &amp; Table11[[#Headers],[VBG]] &amp; "]"), "NOT FOUND", 0, 1)</f>
        <v>1594.5649859372645</v>
      </c>
      <c r="N246" s="8" cm="1">
        <f t="array" aca="1" ref="N246" ca="1">_xlfn.XLOOKUP(Table11[[#This Row],[Admin2PCODE]], tblPiNAnalysis[Admin2PCODE], INDIRECT("tblPiNAnalysis[" &amp; Table11[[#Headers],[PiN más alto]] &amp; "]"), "NOT FOUND", 0, 1)</f>
        <v>8335.8700000000008</v>
      </c>
      <c r="O246" t="str" cm="1">
        <f t="array" aca="1" ref="O246" ca="1">_xlfn.XLOOKUP(Table11[[#This Row],[Admin2PCODE]], tblPiNAnalysis[Admin2PCODE], INDIRECT("tblPiNAnalysis[" &amp; Table11[[#Headers],[Sectores más altos]] &amp; "]"), "NOT FOUND", 0, 1)</f>
        <v>SAL</v>
      </c>
      <c r="P246" cm="1">
        <f t="array" ref="P246">_xlfn.XLOOKUP(Table11[[#This Row],[Admin2PCODE]], tblPiNAnalysis[Admin2PCODE], tblPiNAnalysis[Severidad], "NOT FOUND", 0, 1)</f>
        <v>3</v>
      </c>
      <c r="Q246" s="318">
        <v>0</v>
      </c>
      <c r="R246" s="318">
        <v>0</v>
      </c>
      <c r="S246" s="318">
        <v>0</v>
      </c>
      <c r="T246">
        <v>0</v>
      </c>
      <c r="W246">
        <f>_xlfn.XLOOKUP(Table11[[#This Row],[Admin2PCODE]],tblSeverityAnalysis[Admin 2 Código P],tblSeverityAnalysis[PRO],0,0)</f>
        <v>3</v>
      </c>
      <c r="Y246">
        <v>0</v>
      </c>
      <c r="Z246">
        <v>0</v>
      </c>
      <c r="AA246">
        <f t="shared" si="3"/>
        <v>0</v>
      </c>
    </row>
    <row r="247" spans="1:27">
      <c r="A247" t="s">
        <v>203</v>
      </c>
      <c r="B247" t="s">
        <v>564</v>
      </c>
      <c r="C247" s="42" t="s">
        <v>824</v>
      </c>
      <c r="D247" t="s">
        <v>581</v>
      </c>
      <c r="E247" s="8" cm="1">
        <f t="array" aca="1" ref="E247" ca="1">_xlfn.XLOOKUP(Table11[[#This Row],[Admin2PCODE]], tblPiNAnalysis[Admin2PCODE], INDIRECT("tblPiNAnalysis[" &amp; Table11[[#Headers],[Población]] &amp; "]"), "NOT FOUND", 0, 1)</f>
        <v>14627</v>
      </c>
      <c r="F247" s="8" cm="1">
        <f t="array" aca="1" ref="F247" ca="1">_xlfn.XLOOKUP(Table11[[#This Row],[Admin2PCODE]], tblPiNAnalysis[Admin2PCODE], INDIRECT("tblPiNAnalysis[" &amp; Table11[[#Headers],[SAMV]] &amp; "]"), "NOT FOUND", 0, 1)</f>
        <v>813</v>
      </c>
      <c r="G247" s="8" cm="1">
        <f t="array" aca="1" ref="G247" ca="1">_xlfn.XLOOKUP(Table11[[#This Row],[Admin2PCODE]], tblPiNAnalysis[Admin2PCODE], INDIRECT("tblPiNAnalysis[" &amp; Table11[[#Headers],[NUT]] &amp; "]"), "NOT FOUND", 0, 1)</f>
        <v>559.55234364825174</v>
      </c>
      <c r="H247" s="8" cm="1">
        <f t="array" aca="1" ref="H247" ca="1">_xlfn.XLOOKUP(Table11[[#This Row],[Admin2PCODE]], tblPiNAnalysis[Admin2PCODE], INDIRECT("tblPiNAnalysis[" &amp; Table11[[#Headers],[SAL]] &amp; "]"), "NOT FOUND", 0, 1)</f>
        <v>5338.8549999999996</v>
      </c>
      <c r="I247" s="8" cm="1">
        <f t="array" aca="1" ref="I247" ca="1">_xlfn.XLOOKUP(Table11[[#This Row],[Admin2PCODE]], tblPiNAnalysis[Admin2PCODE], INDIRECT("tblPiNAnalysis[" &amp; Table11[[#Headers],[EDU]] &amp; "]"), "NOT FOUND", 0, 1)</f>
        <v>1034.4343188909027</v>
      </c>
      <c r="J247" s="8" cm="1">
        <f t="array" aca="1" ref="J247" ca="1">_xlfn.XLOOKUP(Table11[[#This Row],[Admin2PCODE]], tblPiNAnalysis[Admin2PCODE], INDIRECT("tblPiNAnalysis[" &amp; Table11[[#Headers],[PRO]] &amp; "]"), "NOT FOUND", 0, 1)</f>
        <v>2917.9065028591913</v>
      </c>
      <c r="K247" s="8" cm="1">
        <f t="array" aca="1" ref="K247" ca="1">_xlfn.XLOOKUP(Table11[[#This Row],[Admin2PCODE]], tblPiNAnalysis[Admin2PCODE], INDIRECT("tblPiNAnalysis[" &amp; Table11[[#Headers],[ASH]] &amp; "]"), "NOT FOUND", 0, 1)</f>
        <v>0</v>
      </c>
      <c r="L247" s="8" cm="1">
        <f t="array" aca="1" ref="L247" ca="1">_xlfn.XLOOKUP(Table11[[#This Row],[Admin2PCODE]], tblPiNAnalysis[Admin2PCODE], INDIRECT("tblPiNAnalysis[" &amp; Table11[[#Headers],[NNA]] &amp; "]"), "NOT FOUND", 0, 1)</f>
        <v>933.73008091494125</v>
      </c>
      <c r="M247" s="8" cm="1">
        <f t="array" aca="1" ref="M247" ca="1">_xlfn.XLOOKUP(Table11[[#This Row],[Admin2PCODE]], tblPiNAnalysis[Admin2PCODE], INDIRECT("tblPiNAnalysis[" &amp; Table11[[#Headers],[VBG]] &amp; "]"), "NOT FOUND", 0, 1)</f>
        <v>1021.2672760007168</v>
      </c>
      <c r="N247" s="8" cm="1">
        <f t="array" aca="1" ref="N247" ca="1">_xlfn.XLOOKUP(Table11[[#This Row],[Admin2PCODE]], tblPiNAnalysis[Admin2PCODE], INDIRECT("tblPiNAnalysis[" &amp; Table11[[#Headers],[PiN más alto]] &amp; "]"), "NOT FOUND", 0, 1)</f>
        <v>5338.8549999999996</v>
      </c>
      <c r="O247" t="str" cm="1">
        <f t="array" aca="1" ref="O247" ca="1">_xlfn.XLOOKUP(Table11[[#This Row],[Admin2PCODE]], tblPiNAnalysis[Admin2PCODE], INDIRECT("tblPiNAnalysis[" &amp; Table11[[#Headers],[Sectores más altos]] &amp; "]"), "NOT FOUND", 0, 1)</f>
        <v>SAL</v>
      </c>
      <c r="P247" cm="1">
        <f t="array" ref="P247">_xlfn.XLOOKUP(Table11[[#This Row],[Admin2PCODE]], tblPiNAnalysis[Admin2PCODE], tblPiNAnalysis[Severidad], "NOT FOUND", 0, 1)</f>
        <v>3</v>
      </c>
      <c r="Q247" s="318">
        <v>0.2</v>
      </c>
      <c r="R247" s="318">
        <v>0.33333333333333331</v>
      </c>
      <c r="S247" s="318">
        <v>6.6666666666666666E-2</v>
      </c>
      <c r="T247">
        <v>1</v>
      </c>
      <c r="W247">
        <f>_xlfn.XLOOKUP(Table11[[#This Row],[Admin2PCODE]],tblSeverityAnalysis[Admin 2 Código P],tblSeverityAnalysis[PRO],0,0)</f>
        <v>3</v>
      </c>
      <c r="Y247">
        <v>0</v>
      </c>
      <c r="Z247">
        <v>0</v>
      </c>
      <c r="AA247">
        <f t="shared" si="3"/>
        <v>0</v>
      </c>
    </row>
    <row r="248" spans="1:27">
      <c r="A248" t="s">
        <v>203</v>
      </c>
      <c r="B248" t="s">
        <v>564</v>
      </c>
      <c r="C248" s="42" t="s">
        <v>582</v>
      </c>
      <c r="D248" t="s">
        <v>583</v>
      </c>
      <c r="E248" s="8" cm="1">
        <f t="array" aca="1" ref="E248" ca="1">_xlfn.XLOOKUP(Table11[[#This Row],[Admin2PCODE]], tblPiNAnalysis[Admin2PCODE], INDIRECT("tblPiNAnalysis[" &amp; Table11[[#Headers],[Población]] &amp; "]"), "NOT FOUND", 0, 1)</f>
        <v>55104</v>
      </c>
      <c r="F248" s="8" cm="1">
        <f t="array" aca="1" ref="F248" ca="1">_xlfn.XLOOKUP(Table11[[#This Row],[Admin2PCODE]], tblPiNAnalysis[Admin2PCODE], INDIRECT("tblPiNAnalysis[" &amp; Table11[[#Headers],[SAMV]] &amp; "]"), "NOT FOUND", 0, 1)</f>
        <v>13011</v>
      </c>
      <c r="G248" s="8" cm="1">
        <f t="array" aca="1" ref="G248" ca="1">_xlfn.XLOOKUP(Table11[[#This Row],[Admin2PCODE]], tblPiNAnalysis[Admin2PCODE], INDIRECT("tblPiNAnalysis[" &amp; Table11[[#Headers],[NUT]] &amp; "]"), "NOT FOUND", 0, 1)</f>
        <v>2518.6704656282359</v>
      </c>
      <c r="H248" s="8" cm="1">
        <f t="array" aca="1" ref="H248" ca="1">_xlfn.XLOOKUP(Table11[[#This Row],[Admin2PCODE]], tblPiNAnalysis[Admin2PCODE], INDIRECT("tblPiNAnalysis[" &amp; Table11[[#Headers],[SAL]] &amp; "]"), "NOT FOUND", 0, 1)</f>
        <v>20112.96</v>
      </c>
      <c r="I248" s="8" cm="1">
        <f t="array" aca="1" ref="I248" ca="1">_xlfn.XLOOKUP(Table11[[#This Row],[Admin2PCODE]], tblPiNAnalysis[Admin2PCODE], INDIRECT("tblPiNAnalysis[" &amp; Table11[[#Headers],[EDU]] &amp; "]"), "NOT FOUND", 0, 1)</f>
        <v>2239.9969085969688</v>
      </c>
      <c r="J248" s="8" cm="1">
        <f t="array" aca="1" ref="J248" ca="1">_xlfn.XLOOKUP(Table11[[#This Row],[Admin2PCODE]], tblPiNAnalysis[Admin2PCODE], INDIRECT("tblPiNAnalysis[" &amp; Table11[[#Headers],[PRO]] &amp; "]"), "NOT FOUND", 0, 1)</f>
        <v>10992.569900427487</v>
      </c>
      <c r="K248" s="8" cm="1">
        <f t="array" aca="1" ref="K248" ca="1">_xlfn.XLOOKUP(Table11[[#This Row],[Admin2PCODE]], tblPiNAnalysis[Admin2PCODE], INDIRECT("tblPiNAnalysis[" &amp; Table11[[#Headers],[ASH]] &amp; "]"), "NOT FOUND", 0, 1)</f>
        <v>0</v>
      </c>
      <c r="L248" s="8" cm="1">
        <f t="array" aca="1" ref="L248" ca="1">_xlfn.XLOOKUP(Table11[[#This Row],[Admin2PCODE]], tblPiNAnalysis[Admin2PCODE], INDIRECT("tblPiNAnalysis[" &amp; Table11[[#Headers],[NNA]] &amp; "]"), "NOT FOUND", 0, 1)</f>
        <v>3517.6223681367956</v>
      </c>
      <c r="M248" s="8" cm="1">
        <f t="array" aca="1" ref="M248" ca="1">_xlfn.XLOOKUP(Table11[[#This Row],[Admin2PCODE]], tblPiNAnalysis[Admin2PCODE], INDIRECT("tblPiNAnalysis[" &amp; Table11[[#Headers],[VBG]] &amp; "]"), "NOT FOUND", 0, 1)</f>
        <v>3847.39946514962</v>
      </c>
      <c r="N248" s="8" cm="1">
        <f t="array" aca="1" ref="N248" ca="1">_xlfn.XLOOKUP(Table11[[#This Row],[Admin2PCODE]], tblPiNAnalysis[Admin2PCODE], INDIRECT("tblPiNAnalysis[" &amp; Table11[[#Headers],[PiN más alto]] &amp; "]"), "NOT FOUND", 0, 1)</f>
        <v>20112.96</v>
      </c>
      <c r="O248" t="str" cm="1">
        <f t="array" aca="1" ref="O248" ca="1">_xlfn.XLOOKUP(Table11[[#This Row],[Admin2PCODE]], tblPiNAnalysis[Admin2PCODE], INDIRECT("tblPiNAnalysis[" &amp; Table11[[#Headers],[Sectores más altos]] &amp; "]"), "NOT FOUND", 0, 1)</f>
        <v>SAL</v>
      </c>
      <c r="P248" cm="1">
        <f t="array" ref="P248">_xlfn.XLOOKUP(Table11[[#This Row],[Admin2PCODE]], tblPiNAnalysis[Admin2PCODE], tblPiNAnalysis[Severidad], "NOT FOUND", 0, 1)</f>
        <v>3</v>
      </c>
      <c r="Q248" s="318">
        <v>0.33333333333333331</v>
      </c>
      <c r="R248" s="318">
        <v>0.49382716049382719</v>
      </c>
      <c r="S248" s="318">
        <v>0.16460905349794239</v>
      </c>
      <c r="T248">
        <v>0</v>
      </c>
      <c r="W248">
        <f>_xlfn.XLOOKUP(Table11[[#This Row],[Admin2PCODE]],tblSeverityAnalysis[Admin 2 Código P],tblSeverityAnalysis[PRO],0,0)</f>
        <v>3</v>
      </c>
      <c r="Y248">
        <v>8</v>
      </c>
      <c r="Z248">
        <v>0</v>
      </c>
      <c r="AA248">
        <f t="shared" si="3"/>
        <v>0</v>
      </c>
    </row>
    <row r="249" spans="1:27">
      <c r="A249" t="s">
        <v>203</v>
      </c>
      <c r="B249" t="s">
        <v>564</v>
      </c>
      <c r="C249" s="42" t="s">
        <v>584</v>
      </c>
      <c r="D249" t="s">
        <v>585</v>
      </c>
      <c r="E249" s="8" cm="1">
        <f t="array" aca="1" ref="E249" ca="1">_xlfn.XLOOKUP(Table11[[#This Row],[Admin2PCODE]], tblPiNAnalysis[Admin2PCODE], INDIRECT("tblPiNAnalysis[" &amp; Table11[[#Headers],[Población]] &amp; "]"), "NOT FOUND", 0, 1)</f>
        <v>59508</v>
      </c>
      <c r="F249" s="8" cm="1">
        <f t="array" aca="1" ref="F249" ca="1">_xlfn.XLOOKUP(Table11[[#This Row],[Admin2PCODE]], tblPiNAnalysis[Admin2PCODE], INDIRECT("tblPiNAnalysis[" &amp; Table11[[#Headers],[SAMV]] &amp; "]"), "NOT FOUND", 0, 1)</f>
        <v>7731</v>
      </c>
      <c r="G249" s="8" cm="1">
        <f t="array" aca="1" ref="G249" ca="1">_xlfn.XLOOKUP(Table11[[#This Row],[Admin2PCODE]], tblPiNAnalysis[Admin2PCODE], INDIRECT("tblPiNAnalysis[" &amp; Table11[[#Headers],[NUT]] &amp; "]"), "NOT FOUND", 0, 1)</f>
        <v>2441.753786154798</v>
      </c>
      <c r="H249" s="8" cm="1">
        <f t="array" aca="1" ref="H249" ca="1">_xlfn.XLOOKUP(Table11[[#This Row],[Admin2PCODE]], tblPiNAnalysis[Admin2PCODE], INDIRECT("tblPiNAnalysis[" &amp; Table11[[#Headers],[SAL]] &amp; "]"), "NOT FOUND", 0, 1)</f>
        <v>21720.42</v>
      </c>
      <c r="I249" s="8" cm="1">
        <f t="array" aca="1" ref="I249" ca="1">_xlfn.XLOOKUP(Table11[[#This Row],[Admin2PCODE]], tblPiNAnalysis[Admin2PCODE], INDIRECT("tblPiNAnalysis[" &amp; Table11[[#Headers],[EDU]] &amp; "]"), "NOT FOUND", 0, 1)</f>
        <v>1885.123341986196</v>
      </c>
      <c r="J249" s="8" cm="1">
        <f t="array" aca="1" ref="J249" ca="1">_xlfn.XLOOKUP(Table11[[#This Row],[Admin2PCODE]], tblPiNAnalysis[Admin2PCODE], INDIRECT("tblPiNAnalysis[" &amp; Table11[[#Headers],[PRO]] &amp; "]"), "NOT FOUND", 0, 1)</f>
        <v>11871.113705622807</v>
      </c>
      <c r="K249" s="8" cm="1">
        <f t="array" aca="1" ref="K249" ca="1">_xlfn.XLOOKUP(Table11[[#This Row],[Admin2PCODE]], tblPiNAnalysis[Admin2PCODE], INDIRECT("tblPiNAnalysis[" &amp; Table11[[#Headers],[ASH]] &amp; "]"), "NOT FOUND", 0, 1)</f>
        <v>0</v>
      </c>
      <c r="L249" s="8" cm="1">
        <f t="array" aca="1" ref="L249" ca="1">_xlfn.XLOOKUP(Table11[[#This Row],[Admin2PCODE]], tblPiNAnalysis[Admin2PCODE], INDIRECT("tblPiNAnalysis[" &amp; Table11[[#Headers],[NNA]] &amp; "]"), "NOT FOUND", 0, 1)</f>
        <v>3798.7563857992982</v>
      </c>
      <c r="M249" s="8" cm="1">
        <f t="array" aca="1" ref="M249" ca="1">_xlfn.XLOOKUP(Table11[[#This Row],[Admin2PCODE]], tblPiNAnalysis[Admin2PCODE], INDIRECT("tblPiNAnalysis[" &amp; Table11[[#Headers],[VBG]] &amp; "]"), "NOT FOUND", 0, 1)</f>
        <v>4154.8897969679829</v>
      </c>
      <c r="N249" s="8" cm="1">
        <f t="array" aca="1" ref="N249" ca="1">_xlfn.XLOOKUP(Table11[[#This Row],[Admin2PCODE]], tblPiNAnalysis[Admin2PCODE], INDIRECT("tblPiNAnalysis[" &amp; Table11[[#Headers],[PiN más alto]] &amp; "]"), "NOT FOUND", 0, 1)</f>
        <v>21720.42</v>
      </c>
      <c r="O249" t="str" cm="1">
        <f t="array" aca="1" ref="O249" ca="1">_xlfn.XLOOKUP(Table11[[#This Row],[Admin2PCODE]], tblPiNAnalysis[Admin2PCODE], INDIRECT("tblPiNAnalysis[" &amp; Table11[[#Headers],[Sectores más altos]] &amp; "]"), "NOT FOUND", 0, 1)</f>
        <v>SAL</v>
      </c>
      <c r="P249" cm="1">
        <f t="array" ref="P249">_xlfn.XLOOKUP(Table11[[#This Row],[Admin2PCODE]], tblPiNAnalysis[Admin2PCODE], tblPiNAnalysis[Severidad], "NOT FOUND", 0, 1)</f>
        <v>3</v>
      </c>
      <c r="Q249" s="318">
        <v>6.6666666666666666E-2</v>
      </c>
      <c r="R249" s="318">
        <v>0.40740740740740727</v>
      </c>
      <c r="S249" s="318">
        <v>2.7160493827160483E-2</v>
      </c>
      <c r="T249">
        <v>0</v>
      </c>
      <c r="W249">
        <f>_xlfn.XLOOKUP(Table11[[#This Row],[Admin2PCODE]],tblSeverityAnalysis[Admin 2 Código P],tblSeverityAnalysis[PRO],0,0)</f>
        <v>3</v>
      </c>
      <c r="Y249">
        <v>0</v>
      </c>
      <c r="Z249">
        <v>0</v>
      </c>
      <c r="AA249">
        <f t="shared" si="3"/>
        <v>0</v>
      </c>
    </row>
    <row r="250" spans="1:27">
      <c r="A250" t="s">
        <v>203</v>
      </c>
      <c r="B250" t="s">
        <v>564</v>
      </c>
      <c r="C250" s="42" t="s">
        <v>203</v>
      </c>
      <c r="D250" t="s">
        <v>586</v>
      </c>
      <c r="E250" s="8" cm="1">
        <f t="array" aca="1" ref="E250" ca="1">_xlfn.XLOOKUP(Table11[[#This Row],[Admin2PCODE]], tblPiNAnalysis[Admin2PCODE], INDIRECT("tblPiNAnalysis[" &amp; Table11[[#Headers],[Población]] &amp; "]"), "NOT FOUND", 0, 1)</f>
        <v>367023</v>
      </c>
      <c r="F250" s="8" cm="1">
        <f t="array" aca="1" ref="F250" ca="1">_xlfn.XLOOKUP(Table11[[#This Row],[Admin2PCODE]], tblPiNAnalysis[Admin2PCODE], INDIRECT("tblPiNAnalysis[" &amp; Table11[[#Headers],[SAMV]] &amp; "]"), "NOT FOUND", 0, 1)</f>
        <v>65550</v>
      </c>
      <c r="G250" s="8" cm="1">
        <f t="array" aca="1" ref="G250" ca="1">_xlfn.XLOOKUP(Table11[[#This Row],[Admin2PCODE]], tblPiNAnalysis[Admin2PCODE], INDIRECT("tblPiNAnalysis[" &amp; Table11[[#Headers],[NUT]] &amp; "]"), "NOT FOUND", 0, 1)</f>
        <v>18143.747461477506</v>
      </c>
      <c r="H250" s="8" cm="1">
        <f t="array" aca="1" ref="H250" ca="1">_xlfn.XLOOKUP(Table11[[#This Row],[Admin2PCODE]], tblPiNAnalysis[Admin2PCODE], INDIRECT("tblPiNAnalysis[" &amp; Table11[[#Headers],[SAL]] &amp; "]"), "NOT FOUND", 0, 1)</f>
        <v>133963.39499999999</v>
      </c>
      <c r="I250" s="8" cm="1">
        <f t="array" aca="1" ref="I250" ca="1">_xlfn.XLOOKUP(Table11[[#This Row],[Admin2PCODE]], tblPiNAnalysis[Admin2PCODE], INDIRECT("tblPiNAnalysis[" &amp; Table11[[#Headers],[EDU]] &amp; "]"), "NOT FOUND", 0, 1)</f>
        <v>30150.587126316201</v>
      </c>
      <c r="J250" s="8" cm="1">
        <f t="array" aca="1" ref="J250" ca="1">_xlfn.XLOOKUP(Table11[[#This Row],[Admin2PCODE]], tblPiNAnalysis[Admin2PCODE], INDIRECT("tblPiNAnalysis[" &amp; Table11[[#Headers],[PRO]] &amp; "]"), "NOT FOUND", 0, 1)</f>
        <v>87859.886379891061</v>
      </c>
      <c r="K250" s="8" cm="1">
        <f t="array" aca="1" ref="K250" ca="1">_xlfn.XLOOKUP(Table11[[#This Row],[Admin2PCODE]], tblPiNAnalysis[Admin2PCODE], INDIRECT("tblPiNAnalysis[" &amp; Table11[[#Headers],[ASH]] &amp; "]"), "NOT FOUND", 0, 1)</f>
        <v>49548.105000000003</v>
      </c>
      <c r="L250" s="8" cm="1">
        <f t="array" aca="1" ref="L250" ca="1">_xlfn.XLOOKUP(Table11[[#This Row],[Admin2PCODE]], tblPiNAnalysis[Admin2PCODE], INDIRECT("tblPiNAnalysis[" &amp; Table11[[#Headers],[NNA]] &amp; "]"), "NOT FOUND", 0, 1)</f>
        <v>28203.023527945032</v>
      </c>
      <c r="M250" s="8" cm="1">
        <f t="array" aca="1" ref="M250" ca="1">_xlfn.XLOOKUP(Table11[[#This Row],[Admin2PCODE]], tblPiNAnalysis[Admin2PCODE], INDIRECT("tblPiNAnalysis[" &amp; Table11[[#Headers],[VBG]] &amp; "]"), "NOT FOUND", 0, 1)</f>
        <v>30750.960232961868</v>
      </c>
      <c r="N250" s="8" cm="1">
        <f t="array" aca="1" ref="N250" ca="1">_xlfn.XLOOKUP(Table11[[#This Row],[Admin2PCODE]], tblPiNAnalysis[Admin2PCODE], INDIRECT("tblPiNAnalysis[" &amp; Table11[[#Headers],[PiN más alto]] &amp; "]"), "NOT FOUND", 0, 1)</f>
        <v>133963.39499999999</v>
      </c>
      <c r="O250" t="str" cm="1">
        <f t="array" aca="1" ref="O250" ca="1">_xlfn.XLOOKUP(Table11[[#This Row],[Admin2PCODE]], tblPiNAnalysis[Admin2PCODE], INDIRECT("tblPiNAnalysis[" &amp; Table11[[#Headers],[Sectores más altos]] &amp; "]"), "NOT FOUND", 0, 1)</f>
        <v>SAL</v>
      </c>
      <c r="P250" cm="1">
        <f t="array" ref="P250">_xlfn.XLOOKUP(Table11[[#This Row],[Admin2PCODE]], tblPiNAnalysis[Admin2PCODE], tblPiNAnalysis[Severidad], "NOT FOUND", 0, 1)</f>
        <v>3</v>
      </c>
      <c r="Q250" s="318">
        <v>0.14139344262295081</v>
      </c>
      <c r="R250" s="318">
        <v>0.40177133655394526</v>
      </c>
      <c r="S250" s="318">
        <v>5.6807832422586517E-2</v>
      </c>
      <c r="T250">
        <v>1</v>
      </c>
      <c r="W250">
        <f>_xlfn.XLOOKUP(Table11[[#This Row],[Admin2PCODE]],tblSeverityAnalysis[Admin 2 Código P],tblSeverityAnalysis[PRO],0,0)</f>
        <v>4</v>
      </c>
      <c r="Y250">
        <v>0</v>
      </c>
      <c r="Z250">
        <v>0</v>
      </c>
      <c r="AA250">
        <f t="shared" si="3"/>
        <v>0</v>
      </c>
    </row>
    <row r="251" spans="1:27">
      <c r="A251" t="s">
        <v>203</v>
      </c>
      <c r="B251" t="s">
        <v>564</v>
      </c>
      <c r="C251" s="42" t="s">
        <v>587</v>
      </c>
      <c r="D251" t="s">
        <v>588</v>
      </c>
      <c r="E251" s="8" cm="1">
        <f t="array" aca="1" ref="E251" ca="1">_xlfn.XLOOKUP(Table11[[#This Row],[Admin2PCODE]], tblPiNAnalysis[Admin2PCODE], INDIRECT("tblPiNAnalysis[" &amp; Table11[[#Headers],[Población]] &amp; "]"), "NOT FOUND", 0, 1)</f>
        <v>39377</v>
      </c>
      <c r="F251" s="8" cm="1">
        <f t="array" aca="1" ref="F251" ca="1">_xlfn.XLOOKUP(Table11[[#This Row],[Admin2PCODE]], tblPiNAnalysis[Admin2PCODE], INDIRECT("tblPiNAnalysis[" &amp; Table11[[#Headers],[SAMV]] &amp; "]"), "NOT FOUND", 0, 1)</f>
        <v>11398</v>
      </c>
      <c r="G251" s="8" cm="1">
        <f t="array" aca="1" ref="G251" ca="1">_xlfn.XLOOKUP(Table11[[#This Row],[Admin2PCODE]], tblPiNAnalysis[Admin2PCODE], INDIRECT("tblPiNAnalysis[" &amp; Table11[[#Headers],[NUT]] &amp; "]"), "NOT FOUND", 0, 1)</f>
        <v>2531.4080645362196</v>
      </c>
      <c r="H251" s="8" cm="1">
        <f t="array" aca="1" ref="H251" ca="1">_xlfn.XLOOKUP(Table11[[#This Row],[Admin2PCODE]], tblPiNAnalysis[Admin2PCODE], INDIRECT("tblPiNAnalysis[" &amp; Table11[[#Headers],[SAL]] &amp; "]"), "NOT FOUND", 0, 1)</f>
        <v>14372.605</v>
      </c>
      <c r="I251" s="8" cm="1">
        <f t="array" aca="1" ref="I251" ca="1">_xlfn.XLOOKUP(Table11[[#This Row],[Admin2PCODE]], tblPiNAnalysis[Admin2PCODE], INDIRECT("tblPiNAnalysis[" &amp; Table11[[#Headers],[EDU]] &amp; "]"), "NOT FOUND", 0, 1)</f>
        <v>2065.9507327970409</v>
      </c>
      <c r="J251" s="8" cm="1">
        <f t="array" aca="1" ref="J251" ca="1">_xlfn.XLOOKUP(Table11[[#This Row],[Admin2PCODE]], tblPiNAnalysis[Admin2PCODE], INDIRECT("tblPiNAnalysis[" &amp; Table11[[#Headers],[PRO]] &amp; "]"), "NOT FOUND", 0, 1)</f>
        <v>7855.226933963655</v>
      </c>
      <c r="K251" s="8" cm="1">
        <f t="array" aca="1" ref="K251" ca="1">_xlfn.XLOOKUP(Table11[[#This Row],[Admin2PCODE]], tblPiNAnalysis[Admin2PCODE], INDIRECT("tblPiNAnalysis[" &amp; Table11[[#Headers],[ASH]] &amp; "]"), "NOT FOUND", 0, 1)</f>
        <v>23626.2</v>
      </c>
      <c r="L251" s="8" cm="1">
        <f t="array" aca="1" ref="L251" ca="1">_xlfn.XLOOKUP(Table11[[#This Row],[Admin2PCODE]], tblPiNAnalysis[Admin2PCODE], INDIRECT("tblPiNAnalysis[" &amp; Table11[[#Headers],[NNA]] &amp; "]"), "NOT FOUND", 0, 1)</f>
        <v>2513.6726188683697</v>
      </c>
      <c r="M251" s="8" cm="1">
        <f t="array" aca="1" ref="M251" ca="1">_xlfn.XLOOKUP(Table11[[#This Row],[Admin2PCODE]], tblPiNAnalysis[Admin2PCODE], INDIRECT("tblPiNAnalysis[" &amp; Table11[[#Headers],[VBG]] &amp; "]"), "NOT FOUND", 0, 1)</f>
        <v>2749.3294268872792</v>
      </c>
      <c r="N251" s="8" cm="1">
        <f t="array" aca="1" ref="N251" ca="1">_xlfn.XLOOKUP(Table11[[#This Row],[Admin2PCODE]], tblPiNAnalysis[Admin2PCODE], INDIRECT("tblPiNAnalysis[" &amp; Table11[[#Headers],[PiN más alto]] &amp; "]"), "NOT FOUND", 0, 1)</f>
        <v>23626.2</v>
      </c>
      <c r="O251" t="str" cm="1">
        <f t="array" aca="1" ref="O251" ca="1">_xlfn.XLOOKUP(Table11[[#This Row],[Admin2PCODE]], tblPiNAnalysis[Admin2PCODE], INDIRECT("tblPiNAnalysis[" &amp; Table11[[#Headers],[Sectores más altos]] &amp; "]"), "NOT FOUND", 0, 1)</f>
        <v>ASH</v>
      </c>
      <c r="P251" cm="1">
        <f t="array" ref="P251">_xlfn.XLOOKUP(Table11[[#This Row],[Admin2PCODE]], tblPiNAnalysis[Admin2PCODE], tblPiNAnalysis[Severidad], "NOT FOUND", 0, 1)</f>
        <v>4</v>
      </c>
      <c r="Q251" s="318">
        <v>0</v>
      </c>
      <c r="R251" s="318">
        <v>0</v>
      </c>
      <c r="S251" s="318">
        <v>0</v>
      </c>
      <c r="T251">
        <v>0</v>
      </c>
      <c r="W251">
        <f>_xlfn.XLOOKUP(Table11[[#This Row],[Admin2PCODE]],tblSeverityAnalysis[Admin 2 Código P],tblSeverityAnalysis[PRO],0,0)</f>
        <v>5</v>
      </c>
      <c r="Y251">
        <v>0</v>
      </c>
      <c r="Z251">
        <v>0</v>
      </c>
      <c r="AA251">
        <f t="shared" si="3"/>
        <v>0</v>
      </c>
    </row>
    <row r="252" spans="1:27">
      <c r="A252" t="s">
        <v>589</v>
      </c>
      <c r="B252" t="s">
        <v>590</v>
      </c>
      <c r="C252" s="42" t="s">
        <v>415</v>
      </c>
      <c r="D252" t="s">
        <v>592</v>
      </c>
      <c r="E252" s="8" cm="1">
        <f t="array" aca="1" ref="E252" ca="1">_xlfn.XLOOKUP(Table11[[#This Row],[Admin2PCODE]], tblPiNAnalysis[Admin2PCODE], INDIRECT("tblPiNAnalysis[" &amp; Table11[[#Headers],[Población]] &amp; "]"), "NOT FOUND", 0, 1)</f>
        <v>20820</v>
      </c>
      <c r="F252" s="8" cm="1">
        <f t="array" aca="1" ref="F252" ca="1">_xlfn.XLOOKUP(Table11[[#This Row],[Admin2PCODE]], tblPiNAnalysis[Admin2PCODE], INDIRECT("tblPiNAnalysis[" &amp; Table11[[#Headers],[SAMV]] &amp; "]"), "NOT FOUND", 0, 1)</f>
        <v>5205</v>
      </c>
      <c r="G252" s="8" cm="1">
        <f t="array" aca="1" ref="G252" ca="1">_xlfn.XLOOKUP(Table11[[#This Row],[Admin2PCODE]], tblPiNAnalysis[Admin2PCODE], INDIRECT("tblPiNAnalysis[" &amp; Table11[[#Headers],[NUT]] &amp; "]"), "NOT FOUND", 0, 1)</f>
        <v>617.64677181813954</v>
      </c>
      <c r="H252" s="8" cm="1">
        <f t="array" aca="1" ref="H252" ca="1">_xlfn.XLOOKUP(Table11[[#This Row],[Admin2PCODE]], tblPiNAnalysis[Admin2PCODE], INDIRECT("tblPiNAnalysis[" &amp; Table11[[#Headers],[SAL]] &amp; "]"), "NOT FOUND", 0, 1)</f>
        <v>7599.3</v>
      </c>
      <c r="I252" s="8" cm="1">
        <f t="array" aca="1" ref="I252" ca="1">_xlfn.XLOOKUP(Table11[[#This Row],[Admin2PCODE]], tblPiNAnalysis[Admin2PCODE], INDIRECT("tblPiNAnalysis[" &amp; Table11[[#Headers],[EDU]] &amp; "]"), "NOT FOUND", 0, 1)</f>
        <v>1512.7607018517988</v>
      </c>
      <c r="J252" s="8" cm="1">
        <f t="array" aca="1" ref="J252" ca="1">_xlfn.XLOOKUP(Table11[[#This Row],[Admin2PCODE]], tblPiNAnalysis[Admin2PCODE], INDIRECT("tblPiNAnalysis[" &amp; Table11[[#Headers],[PRO]] &amp; "]"), "NOT FOUND", 0, 1)</f>
        <v>4167.6474701510706</v>
      </c>
      <c r="K252" s="8" cm="1">
        <f t="array" aca="1" ref="K252" ca="1">_xlfn.XLOOKUP(Table11[[#This Row],[Admin2PCODE]], tblPiNAnalysis[Admin2PCODE], INDIRECT("tblPiNAnalysis[" &amp; Table11[[#Headers],[ASH]] &amp; "]"), "NOT FOUND", 0, 1)</f>
        <v>0</v>
      </c>
      <c r="L252" s="8" cm="1">
        <f t="array" aca="1" ref="L252" ca="1">_xlfn.XLOOKUP(Table11[[#This Row],[Admin2PCODE]], tblPiNAnalysis[Admin2PCODE], INDIRECT("tblPiNAnalysis[" &amp; Table11[[#Headers],[NNA]] &amp; "]"), "NOT FOUND", 0, 1)</f>
        <v>1333.6471904483426</v>
      </c>
      <c r="M252" s="8" cm="1">
        <f t="array" aca="1" ref="M252" ca="1">_xlfn.XLOOKUP(Table11[[#This Row],[Admin2PCODE]], tblPiNAnalysis[Admin2PCODE], INDIRECT("tblPiNAnalysis[" &amp; Table11[[#Headers],[VBG]] &amp; "]"), "NOT FOUND", 0, 1)</f>
        <v>1458.6766145528745</v>
      </c>
      <c r="N252" s="8" cm="1">
        <f t="array" aca="1" ref="N252" ca="1">_xlfn.XLOOKUP(Table11[[#This Row],[Admin2PCODE]], tblPiNAnalysis[Admin2PCODE], INDIRECT("tblPiNAnalysis[" &amp; Table11[[#Headers],[PiN más alto]] &amp; "]"), "NOT FOUND", 0, 1)</f>
        <v>7599.3</v>
      </c>
      <c r="O252" t="str" cm="1">
        <f t="array" aca="1" ref="O252" ca="1">_xlfn.XLOOKUP(Table11[[#This Row],[Admin2PCODE]], tblPiNAnalysis[Admin2PCODE], INDIRECT("tblPiNAnalysis[" &amp; Table11[[#Headers],[Sectores más altos]] &amp; "]"), "NOT FOUND", 0, 1)</f>
        <v>SAL</v>
      </c>
      <c r="P252" cm="1">
        <f t="array" ref="P252">_xlfn.XLOOKUP(Table11[[#This Row],[Admin2PCODE]], tblPiNAnalysis[Admin2PCODE], tblPiNAnalysis[Severidad], "NOT FOUND", 0, 1)</f>
        <v>2</v>
      </c>
      <c r="Q252" s="318">
        <v>0.78431372549019607</v>
      </c>
      <c r="R252" s="318">
        <v>0.42361111111111105</v>
      </c>
      <c r="S252" s="318">
        <v>0.33224400871459692</v>
      </c>
      <c r="T252">
        <v>0</v>
      </c>
      <c r="W252">
        <f>_xlfn.XLOOKUP(Table11[[#This Row],[Admin2PCODE]],tblSeverityAnalysis[Admin 2 Código P],tblSeverityAnalysis[PRO],0,0)</f>
        <v>3</v>
      </c>
      <c r="Y252">
        <v>8</v>
      </c>
      <c r="Z252">
        <v>0</v>
      </c>
      <c r="AA252">
        <f t="shared" si="3"/>
        <v>0</v>
      </c>
    </row>
    <row r="253" spans="1:27">
      <c r="A253" t="s">
        <v>589</v>
      </c>
      <c r="B253" t="s">
        <v>590</v>
      </c>
      <c r="C253" s="42" t="s">
        <v>835</v>
      </c>
      <c r="D253" t="s">
        <v>594</v>
      </c>
      <c r="E253" s="8" cm="1">
        <f t="array" aca="1" ref="E253" ca="1">_xlfn.XLOOKUP(Table11[[#This Row],[Admin2PCODE]], tblPiNAnalysis[Admin2PCODE], INDIRECT("tblPiNAnalysis[" &amp; Table11[[#Headers],[Población]] &amp; "]"), "NOT FOUND", 0, 1)</f>
        <v>10284</v>
      </c>
      <c r="F253" s="8" cm="1">
        <f t="array" aca="1" ref="F253" ca="1">_xlfn.XLOOKUP(Table11[[#This Row],[Admin2PCODE]], tblPiNAnalysis[Admin2PCODE], INDIRECT("tblPiNAnalysis[" &amp; Table11[[#Headers],[SAMV]] &amp; "]"), "NOT FOUND", 0, 1)</f>
        <v>3085</v>
      </c>
      <c r="G253" s="8" cm="1">
        <f t="array" aca="1" ref="G253" ca="1">_xlfn.XLOOKUP(Table11[[#This Row],[Admin2PCODE]], tblPiNAnalysis[Admin2PCODE], INDIRECT("tblPiNAnalysis[" &amp; Table11[[#Headers],[NUT]] &amp; "]"), "NOT FOUND", 0, 1)</f>
        <v>411.79607385815615</v>
      </c>
      <c r="H253" s="8" cm="1">
        <f t="array" aca="1" ref="H253" ca="1">_xlfn.XLOOKUP(Table11[[#This Row],[Admin2PCODE]], tblPiNAnalysis[Admin2PCODE], INDIRECT("tblPiNAnalysis[" &amp; Table11[[#Headers],[SAL]] &amp; "]"), "NOT FOUND", 0, 1)</f>
        <v>8200</v>
      </c>
      <c r="I253" s="8" cm="1">
        <f t="array" aca="1" ref="I253" ca="1">_xlfn.XLOOKUP(Table11[[#This Row],[Admin2PCODE]], tblPiNAnalysis[Admin2PCODE], INDIRECT("tblPiNAnalysis[" &amp; Table11[[#Headers],[EDU]] &amp; "]"), "NOT FOUND", 0, 1)</f>
        <v>782.74782937169016</v>
      </c>
      <c r="J253" s="8" cm="1">
        <f t="array" aca="1" ref="J253" ca="1">_xlfn.XLOOKUP(Table11[[#This Row],[Admin2PCODE]], tblPiNAnalysis[Admin2PCODE], INDIRECT("tblPiNAnalysis[" &amp; Table11[[#Headers],[PRO]] &amp; "]"), "NOT FOUND", 0, 1)</f>
        <v>1235.1609966292108</v>
      </c>
      <c r="K253" s="8" cm="1">
        <f t="array" aca="1" ref="K253" ca="1">_xlfn.XLOOKUP(Table11[[#This Row],[Admin2PCODE]], tblPiNAnalysis[Admin2PCODE], INDIRECT("tblPiNAnalysis[" &amp; Table11[[#Headers],[ASH]] &amp; "]"), "NOT FOUND", 0, 1)</f>
        <v>0</v>
      </c>
      <c r="L253" s="8" cm="1">
        <f t="array" aca="1" ref="L253" ca="1">_xlfn.XLOOKUP(Table11[[#This Row],[Admin2PCODE]], tblPiNAnalysis[Admin2PCODE], INDIRECT("tblPiNAnalysis[" &amp; Table11[[#Headers],[NNA]] &amp; "]"), "NOT FOUND", 0, 1)</f>
        <v>395.2515189213475</v>
      </c>
      <c r="M253" s="8" cm="1">
        <f t="array" aca="1" ref="M253" ca="1">_xlfn.XLOOKUP(Table11[[#This Row],[Admin2PCODE]], tblPiNAnalysis[Admin2PCODE], INDIRECT("tblPiNAnalysis[" &amp; Table11[[#Headers],[VBG]] &amp; "]"), "NOT FOUND", 0, 1)</f>
        <v>432.30634882022372</v>
      </c>
      <c r="N253" s="8" cm="1">
        <f t="array" aca="1" ref="N253" ca="1">_xlfn.XLOOKUP(Table11[[#This Row],[Admin2PCODE]], tblPiNAnalysis[Admin2PCODE], INDIRECT("tblPiNAnalysis[" &amp; Table11[[#Headers],[PiN más alto]] &amp; "]"), "NOT FOUND", 0, 1)</f>
        <v>8200</v>
      </c>
      <c r="O253" t="str" cm="1">
        <f t="array" aca="1" ref="O253" ca="1">_xlfn.XLOOKUP(Table11[[#This Row],[Admin2PCODE]], tblPiNAnalysis[Admin2PCODE], INDIRECT("tblPiNAnalysis[" &amp; Table11[[#Headers],[Sectores más altos]] &amp; "]"), "NOT FOUND", 0, 1)</f>
        <v>SAL</v>
      </c>
      <c r="P253" cm="1">
        <f t="array" ref="P253">_xlfn.XLOOKUP(Table11[[#This Row],[Admin2PCODE]], tblPiNAnalysis[Admin2PCODE], tblPiNAnalysis[Severidad], "NOT FOUND", 0, 1)</f>
        <v>2</v>
      </c>
      <c r="Q253" s="318">
        <v>0.2857142857142857</v>
      </c>
      <c r="R253" s="318">
        <v>0.55555555555555547</v>
      </c>
      <c r="S253" s="318">
        <v>0.15873015873015869</v>
      </c>
      <c r="T253">
        <v>0</v>
      </c>
      <c r="W253">
        <f>_xlfn.XLOOKUP(Table11[[#This Row],[Admin2PCODE]],tblSeverityAnalysis[Admin 2 Código P],tblSeverityAnalysis[PRO],0,0)</f>
        <v>2</v>
      </c>
      <c r="Y253">
        <v>7</v>
      </c>
      <c r="Z253">
        <v>0</v>
      </c>
      <c r="AA253">
        <f t="shared" si="3"/>
        <v>0</v>
      </c>
    </row>
    <row r="254" spans="1:27">
      <c r="A254" t="s">
        <v>589</v>
      </c>
      <c r="B254" t="s">
        <v>590</v>
      </c>
      <c r="C254" s="42" t="s">
        <v>595</v>
      </c>
      <c r="D254" t="s">
        <v>596</v>
      </c>
      <c r="E254" s="8" cm="1">
        <f t="array" aca="1" ref="E254" ca="1">_xlfn.XLOOKUP(Table11[[#This Row],[Admin2PCODE]], tblPiNAnalysis[Admin2PCODE], INDIRECT("tblPiNAnalysis[" &amp; Table11[[#Headers],[Población]] &amp; "]"), "NOT FOUND", 0, 1)</f>
        <v>60678</v>
      </c>
      <c r="F254" s="8" cm="1">
        <f t="array" aca="1" ref="F254" ca="1">_xlfn.XLOOKUP(Table11[[#This Row],[Admin2PCODE]], tblPiNAnalysis[Admin2PCODE], INDIRECT("tblPiNAnalysis[" &amp; Table11[[#Headers],[SAMV]] &amp; "]"), "NOT FOUND", 0, 1)</f>
        <v>14448</v>
      </c>
      <c r="G254" s="8" cm="1">
        <f t="array" aca="1" ref="G254" ca="1">_xlfn.XLOOKUP(Table11[[#This Row],[Admin2PCODE]], tblPiNAnalysis[Admin2PCODE], INDIRECT("tblPiNAnalysis[" &amp; Table11[[#Headers],[NUT]] &amp; "]"), "NOT FOUND", 0, 1)</f>
        <v>2212.9798862816215</v>
      </c>
      <c r="H254" s="8" cm="1">
        <f t="array" aca="1" ref="H254" ca="1">_xlfn.XLOOKUP(Table11[[#This Row],[Admin2PCODE]], tblPiNAnalysis[Admin2PCODE], INDIRECT("tblPiNAnalysis[" &amp; Table11[[#Headers],[SAL]] &amp; "]"), "NOT FOUND", 0, 1)</f>
        <v>22147.47</v>
      </c>
      <c r="I254" s="8" cm="1">
        <f t="array" aca="1" ref="I254" ca="1">_xlfn.XLOOKUP(Table11[[#This Row],[Admin2PCODE]], tblPiNAnalysis[Admin2PCODE], INDIRECT("tblPiNAnalysis[" &amp; Table11[[#Headers],[EDU]] &amp; "]"), "NOT FOUND", 0, 1)</f>
        <v>7493.618245715983</v>
      </c>
      <c r="J254" s="8" cm="1">
        <f t="array" aca="1" ref="J254" ca="1">_xlfn.XLOOKUP(Table11[[#This Row],[Admin2PCODE]], tblPiNAnalysis[Admin2PCODE], INDIRECT("tblPiNAnalysis[" &amp; Table11[[#Headers],[PRO]] &amp; "]"), "NOT FOUND", 0, 1)</f>
        <v>7287.7381323869377</v>
      </c>
      <c r="K254" s="8" cm="1">
        <f t="array" aca="1" ref="K254" ca="1">_xlfn.XLOOKUP(Table11[[#This Row],[Admin2PCODE]], tblPiNAnalysis[Admin2PCODE], INDIRECT("tblPiNAnalysis[" &amp; Table11[[#Headers],[ASH]] &amp; "]"), "NOT FOUND", 0, 1)</f>
        <v>8191.5300000000007</v>
      </c>
      <c r="L254" s="8" cm="1">
        <f t="array" aca="1" ref="L254" ca="1">_xlfn.XLOOKUP(Table11[[#This Row],[Admin2PCODE]], tblPiNAnalysis[Admin2PCODE], INDIRECT("tblPiNAnalysis[" &amp; Table11[[#Headers],[NNA]] &amp; "]"), "NOT FOUND", 0, 1)</f>
        <v>2332.0762023638199</v>
      </c>
      <c r="M254" s="8" cm="1">
        <f t="array" aca="1" ref="M254" ca="1">_xlfn.XLOOKUP(Table11[[#This Row],[Admin2PCODE]], tblPiNAnalysis[Admin2PCODE], INDIRECT("tblPiNAnalysis[" &amp; Table11[[#Headers],[VBG]] &amp; "]"), "NOT FOUND", 0, 1)</f>
        <v>2550.7083463354279</v>
      </c>
      <c r="N254" s="8" cm="1">
        <f t="array" aca="1" ref="N254" ca="1">_xlfn.XLOOKUP(Table11[[#This Row],[Admin2PCODE]], tblPiNAnalysis[Admin2PCODE], INDIRECT("tblPiNAnalysis[" &amp; Table11[[#Headers],[PiN más alto]] &amp; "]"), "NOT FOUND", 0, 1)</f>
        <v>22147.47</v>
      </c>
      <c r="O254" t="str" cm="1">
        <f t="array" aca="1" ref="O254" ca="1">_xlfn.XLOOKUP(Table11[[#This Row],[Admin2PCODE]], tblPiNAnalysis[Admin2PCODE], INDIRECT("tblPiNAnalysis[" &amp; Table11[[#Headers],[Sectores más altos]] &amp; "]"), "NOT FOUND", 0, 1)</f>
        <v>SAL</v>
      </c>
      <c r="P254" cm="1">
        <f t="array" ref="P254">_xlfn.XLOOKUP(Table11[[#This Row],[Admin2PCODE]], tblPiNAnalysis[Admin2PCODE], tblPiNAnalysis[Severidad], "NOT FOUND", 0, 1)</f>
        <v>3</v>
      </c>
      <c r="Q254" s="318">
        <v>0.79365079365079361</v>
      </c>
      <c r="R254" s="318">
        <v>0.37444444444444436</v>
      </c>
      <c r="S254" s="318">
        <v>0.29717813051146375</v>
      </c>
      <c r="T254">
        <v>0</v>
      </c>
      <c r="W254">
        <f>_xlfn.XLOOKUP(Table11[[#This Row],[Admin2PCODE]],tblSeverityAnalysis[Admin 2 Código P],tblSeverityAnalysis[PRO],0,0)</f>
        <v>2</v>
      </c>
      <c r="Y254">
        <v>0</v>
      </c>
      <c r="Z254">
        <v>0</v>
      </c>
      <c r="AA254">
        <f t="shared" si="3"/>
        <v>0</v>
      </c>
    </row>
    <row r="255" spans="1:27">
      <c r="A255" t="s">
        <v>589</v>
      </c>
      <c r="B255" t="s">
        <v>590</v>
      </c>
      <c r="C255" s="42" t="s">
        <v>180</v>
      </c>
      <c r="D255" t="s">
        <v>597</v>
      </c>
      <c r="E255" s="8" cm="1">
        <f t="array" aca="1" ref="E255" ca="1">_xlfn.XLOOKUP(Table11[[#This Row],[Admin2PCODE]], tblPiNAnalysis[Admin2PCODE], INDIRECT("tblPiNAnalysis[" &amp; Table11[[#Headers],[Población]] &amp; "]"), "NOT FOUND", 0, 1)</f>
        <v>63020</v>
      </c>
      <c r="F255" s="8" cm="1">
        <f t="array" aca="1" ref="F255" ca="1">_xlfn.XLOOKUP(Table11[[#This Row],[Admin2PCODE]], tblPiNAnalysis[Admin2PCODE], INDIRECT("tblPiNAnalysis[" &amp; Table11[[#Headers],[SAMV]] &amp; "]"), "NOT FOUND", 0, 1)</f>
        <v>21357</v>
      </c>
      <c r="G255" s="8" cm="1">
        <f t="array" aca="1" ref="G255" ca="1">_xlfn.XLOOKUP(Table11[[#This Row],[Admin2PCODE]], tblPiNAnalysis[Admin2PCODE], INDIRECT("tblPiNAnalysis[" &amp; Table11[[#Headers],[NUT]] &amp; "]"), "NOT FOUND", 0, 1)</f>
        <v>6500.6362125534288</v>
      </c>
      <c r="H255" s="8" cm="1">
        <f t="array" aca="1" ref="H255" ca="1">_xlfn.XLOOKUP(Table11[[#This Row],[Admin2PCODE]], tblPiNAnalysis[Admin2PCODE], INDIRECT("tblPiNAnalysis[" &amp; Table11[[#Headers],[SAL]] &amp; "]"), "NOT FOUND", 0, 1)</f>
        <v>23002.3</v>
      </c>
      <c r="I255" s="8" cm="1">
        <f t="array" aca="1" ref="I255" ca="1">_xlfn.XLOOKUP(Table11[[#This Row],[Admin2PCODE]], tblPiNAnalysis[Admin2PCODE], INDIRECT("tblPiNAnalysis[" &amp; Table11[[#Headers],[EDU]] &amp; "]"), "NOT FOUND", 0, 1)</f>
        <v>8705.1525610777862</v>
      </c>
      <c r="J255" s="8" cm="1">
        <f t="array" aca="1" ref="J255" ca="1">_xlfn.XLOOKUP(Table11[[#This Row],[Admin2PCODE]], tblPiNAnalysis[Admin2PCODE], INDIRECT("tblPiNAnalysis[" &amp; Table11[[#Headers],[PRO]] &amp; "]"), "NOT FOUND", 0, 1)</f>
        <v>15138.048620687057</v>
      </c>
      <c r="K255" s="8" cm="1">
        <f t="array" aca="1" ref="K255" ca="1">_xlfn.XLOOKUP(Table11[[#This Row],[Admin2PCODE]], tblPiNAnalysis[Admin2PCODE], INDIRECT("tblPiNAnalysis[" &amp; Table11[[#Headers],[ASH]] &amp; "]"), "NOT FOUND", 0, 1)</f>
        <v>37812</v>
      </c>
      <c r="L255" s="8" cm="1">
        <f t="array" aca="1" ref="L255" ca="1">_xlfn.XLOOKUP(Table11[[#This Row],[Admin2PCODE]], tblPiNAnalysis[Admin2PCODE], INDIRECT("tblPiNAnalysis[" &amp; Table11[[#Headers],[NNA]] &amp; "]"), "NOT FOUND", 0, 1)</f>
        <v>4844.1755586198578</v>
      </c>
      <c r="M255" s="8" cm="1">
        <f t="array" aca="1" ref="M255" ca="1">_xlfn.XLOOKUP(Table11[[#This Row],[Admin2PCODE]], tblPiNAnalysis[Admin2PCODE], INDIRECT("tblPiNAnalysis[" &amp; Table11[[#Headers],[VBG]] &amp; "]"), "NOT FOUND", 0, 1)</f>
        <v>5298.3170172404698</v>
      </c>
      <c r="N255" s="8" cm="1">
        <f t="array" aca="1" ref="N255" ca="1">_xlfn.XLOOKUP(Table11[[#This Row],[Admin2PCODE]], tblPiNAnalysis[Admin2PCODE], INDIRECT("tblPiNAnalysis[" &amp; Table11[[#Headers],[PiN más alto]] &amp; "]"), "NOT FOUND", 0, 1)</f>
        <v>37812</v>
      </c>
      <c r="O255" t="str" cm="1">
        <f t="array" aca="1" ref="O255" ca="1">_xlfn.XLOOKUP(Table11[[#This Row],[Admin2PCODE]], tblPiNAnalysis[Admin2PCODE], INDIRECT("tblPiNAnalysis[" &amp; Table11[[#Headers],[Sectores más altos]] &amp; "]"), "NOT FOUND", 0, 1)</f>
        <v>ASH</v>
      </c>
      <c r="P255" cm="1">
        <f t="array" ref="P255">_xlfn.XLOOKUP(Table11[[#This Row],[Admin2PCODE]], tblPiNAnalysis[Admin2PCODE], tblPiNAnalysis[Severidad], "NOT FOUND", 0, 1)</f>
        <v>4</v>
      </c>
      <c r="Q255" s="318">
        <v>3.7735849056603772E-2</v>
      </c>
      <c r="R255" s="318">
        <v>0.45833333333333326</v>
      </c>
      <c r="S255" s="318">
        <v>1.7295597484276726E-2</v>
      </c>
      <c r="T255">
        <v>0</v>
      </c>
      <c r="W255">
        <f>_xlfn.XLOOKUP(Table11[[#This Row],[Admin2PCODE]],tblSeverityAnalysis[Admin 2 Código P],tblSeverityAnalysis[PRO],0,0)</f>
        <v>4</v>
      </c>
      <c r="Y255">
        <v>0</v>
      </c>
      <c r="Z255">
        <v>0</v>
      </c>
      <c r="AA255">
        <f t="shared" si="3"/>
        <v>0</v>
      </c>
    </row>
    <row r="256" spans="1:27">
      <c r="A256" t="s">
        <v>589</v>
      </c>
      <c r="B256" t="s">
        <v>590</v>
      </c>
      <c r="C256" s="42" t="s">
        <v>598</v>
      </c>
      <c r="D256" t="s">
        <v>599</v>
      </c>
      <c r="E256" s="8" cm="1">
        <f t="array" aca="1" ref="E256" ca="1">_xlfn.XLOOKUP(Table11[[#This Row],[Admin2PCODE]], tblPiNAnalysis[Admin2PCODE], INDIRECT("tblPiNAnalysis[" &amp; Table11[[#Headers],[Población]] &amp; "]"), "NOT FOUND", 0, 1)</f>
        <v>124803</v>
      </c>
      <c r="F256" s="8" cm="1">
        <f t="array" aca="1" ref="F256" ca="1">_xlfn.XLOOKUP(Table11[[#This Row],[Admin2PCODE]], tblPiNAnalysis[Admin2PCODE], INDIRECT("tblPiNAnalysis[" &amp; Table11[[#Headers],[SAMV]] &amp; "]"), "NOT FOUND", 0, 1)</f>
        <v>7664</v>
      </c>
      <c r="G256" s="8" cm="1">
        <f t="array" aca="1" ref="G256" ca="1">_xlfn.XLOOKUP(Table11[[#This Row],[Admin2PCODE]], tblPiNAnalysis[Admin2PCODE], INDIRECT("tblPiNAnalysis[" &amp; Table11[[#Headers],[NUT]] &amp; "]"), "NOT FOUND", 0, 1)</f>
        <v>2855.4371760479462</v>
      </c>
      <c r="H256" s="8" cm="1">
        <f t="array" aca="1" ref="H256" ca="1">_xlfn.XLOOKUP(Table11[[#This Row],[Admin2PCODE]], tblPiNAnalysis[Admin2PCODE], INDIRECT("tblPiNAnalysis[" &amp; Table11[[#Headers],[SAL]] &amp; "]"), "NOT FOUND", 0, 1)</f>
        <v>45553.095000000001</v>
      </c>
      <c r="I256" s="8" cm="1">
        <f t="array" aca="1" ref="I256" ca="1">_xlfn.XLOOKUP(Table11[[#This Row],[Admin2PCODE]], tblPiNAnalysis[Admin2PCODE], INDIRECT("tblPiNAnalysis[" &amp; Table11[[#Headers],[EDU]] &amp; "]"), "NOT FOUND", 0, 1)</f>
        <v>21180.136763199589</v>
      </c>
      <c r="J256" s="8" cm="1">
        <f t="array" aca="1" ref="J256" ca="1">_xlfn.XLOOKUP(Table11[[#This Row],[Admin2PCODE]], tblPiNAnalysis[Admin2PCODE], INDIRECT("tblPiNAnalysis[" &amp; Table11[[#Headers],[PRO]] &amp; "]"), "NOT FOUND", 0, 1)</f>
        <v>24982.464323595777</v>
      </c>
      <c r="K256" s="8" cm="1">
        <f t="array" aca="1" ref="K256" ca="1">_xlfn.XLOOKUP(Table11[[#This Row],[Admin2PCODE]], tblPiNAnalysis[Admin2PCODE], INDIRECT("tblPiNAnalysis[" &amp; Table11[[#Headers],[ASH]] &amp; "]"), "NOT FOUND", 0, 1)</f>
        <v>0</v>
      </c>
      <c r="L256" s="8" cm="1">
        <f t="array" aca="1" ref="L256" ca="1">_xlfn.XLOOKUP(Table11[[#This Row],[Admin2PCODE]], tblPiNAnalysis[Admin2PCODE], INDIRECT("tblPiNAnalysis[" &amp; Table11[[#Headers],[NNA]] &amp; "]"), "NOT FOUND", 0, 1)</f>
        <v>7994.3885835506489</v>
      </c>
      <c r="M256" s="8" cm="1">
        <f t="array" aca="1" ref="M256" ca="1">_xlfn.XLOOKUP(Table11[[#This Row],[Admin2PCODE]], tblPiNAnalysis[Admin2PCODE], INDIRECT("tblPiNAnalysis[" &amp; Table11[[#Headers],[VBG]] &amp; "]"), "NOT FOUND", 0, 1)</f>
        <v>8743.8625132585203</v>
      </c>
      <c r="N256" s="8" cm="1">
        <f t="array" aca="1" ref="N256" ca="1">_xlfn.XLOOKUP(Table11[[#This Row],[Admin2PCODE]], tblPiNAnalysis[Admin2PCODE], INDIRECT("tblPiNAnalysis[" &amp; Table11[[#Headers],[PiN más alto]] &amp; "]"), "NOT FOUND", 0, 1)</f>
        <v>45553.095000000001</v>
      </c>
      <c r="O256" t="str" cm="1">
        <f t="array" aca="1" ref="O256" ca="1">_xlfn.XLOOKUP(Table11[[#This Row],[Admin2PCODE]], tblPiNAnalysis[Admin2PCODE], INDIRECT("tblPiNAnalysis[" &amp; Table11[[#Headers],[Sectores más altos]] &amp; "]"), "NOT FOUND", 0, 1)</f>
        <v>SAL</v>
      </c>
      <c r="P256" cm="1">
        <f t="array" ref="P256">_xlfn.XLOOKUP(Table11[[#This Row],[Admin2PCODE]], tblPiNAnalysis[Admin2PCODE], tblPiNAnalysis[Severidad], "NOT FOUND", 0, 1)</f>
        <v>2</v>
      </c>
      <c r="Q256" s="318">
        <v>6.6666666666666666E-2</v>
      </c>
      <c r="R256" s="318">
        <v>0.33333333333333331</v>
      </c>
      <c r="S256" s="318">
        <v>2.222222222222222E-2</v>
      </c>
      <c r="T256">
        <v>0</v>
      </c>
      <c r="W256">
        <f>_xlfn.XLOOKUP(Table11[[#This Row],[Admin2PCODE]],tblSeverityAnalysis[Admin 2 Código P],tblSeverityAnalysis[PRO],0,0)</f>
        <v>3</v>
      </c>
      <c r="Y256">
        <v>0</v>
      </c>
      <c r="Z256">
        <v>0</v>
      </c>
      <c r="AA256">
        <f t="shared" si="3"/>
        <v>0</v>
      </c>
    </row>
    <row r="257" spans="1:27">
      <c r="A257" t="s">
        <v>589</v>
      </c>
      <c r="B257" t="s">
        <v>590</v>
      </c>
      <c r="C257" s="42" t="s">
        <v>600</v>
      </c>
      <c r="D257" t="s">
        <v>601</v>
      </c>
      <c r="E257" s="8" cm="1">
        <f t="array" aca="1" ref="E257" ca="1">_xlfn.XLOOKUP(Table11[[#This Row],[Admin2PCODE]], tblPiNAnalysis[Admin2PCODE], INDIRECT("tblPiNAnalysis[" &amp; Table11[[#Headers],[Población]] &amp; "]"), "NOT FOUND", 0, 1)</f>
        <v>33872</v>
      </c>
      <c r="F257" s="8" cm="1">
        <f t="array" aca="1" ref="F257" ca="1">_xlfn.XLOOKUP(Table11[[#This Row],[Admin2PCODE]], tblPiNAnalysis[Admin2PCODE], INDIRECT("tblPiNAnalysis[" &amp; Table11[[#Headers],[SAMV]] &amp; "]"), "NOT FOUND", 0, 1)</f>
        <v>806</v>
      </c>
      <c r="G257" s="8" cm="1">
        <f t="array" aca="1" ref="G257" ca="1">_xlfn.XLOOKUP(Table11[[#This Row],[Admin2PCODE]], tblPiNAnalysis[Admin2PCODE], INDIRECT("tblPiNAnalysis[" &amp; Table11[[#Headers],[NUT]] &amp; "]"), "NOT FOUND", 0, 1)</f>
        <v>974.30231466457576</v>
      </c>
      <c r="H257" s="8" cm="1">
        <f t="array" aca="1" ref="H257" ca="1">_xlfn.XLOOKUP(Table11[[#This Row],[Admin2PCODE]], tblPiNAnalysis[Admin2PCODE], INDIRECT("tblPiNAnalysis[" &amp; Table11[[#Headers],[SAL]] &amp; "]"), "NOT FOUND", 0, 1)</f>
        <v>12363.28</v>
      </c>
      <c r="I257" s="8" cm="1">
        <f t="array" aca="1" ref="I257" ca="1">_xlfn.XLOOKUP(Table11[[#This Row],[Admin2PCODE]], tblPiNAnalysis[Admin2PCODE], INDIRECT("tblPiNAnalysis[" &amp; Table11[[#Headers],[EDU]] &amp; "]"), "NOT FOUND", 0, 1)</f>
        <v>5596.0528667103608</v>
      </c>
      <c r="J257" s="8" cm="1">
        <f t="array" aca="1" ref="J257" ca="1">_xlfn.XLOOKUP(Table11[[#This Row],[Admin2PCODE]], tblPiNAnalysis[Admin2PCODE], INDIRECT("tblPiNAnalysis[" &amp; Table11[[#Headers],[PRO]] &amp; "]"), "NOT FOUND", 0, 1)</f>
        <v>4068.2004354166324</v>
      </c>
      <c r="K257" s="8" cm="1">
        <f t="array" aca="1" ref="K257" ca="1">_xlfn.XLOOKUP(Table11[[#This Row],[Admin2PCODE]], tblPiNAnalysis[Admin2PCODE], INDIRECT("tblPiNAnalysis[" &amp; Table11[[#Headers],[ASH]] &amp; "]"), "NOT FOUND", 0, 1)</f>
        <v>0</v>
      </c>
      <c r="L257" s="8" cm="1">
        <f t="array" aca="1" ref="L257" ca="1">_xlfn.XLOOKUP(Table11[[#This Row],[Admin2PCODE]], tblPiNAnalysis[Admin2PCODE], INDIRECT("tblPiNAnalysis[" &amp; Table11[[#Headers],[NNA]] &amp; "]"), "NOT FOUND", 0, 1)</f>
        <v>1305.892339768739</v>
      </c>
      <c r="M257" s="8" cm="1">
        <f t="array" aca="1" ref="M257" ca="1">_xlfn.XLOOKUP(Table11[[#This Row],[Admin2PCODE]], tblPiNAnalysis[Admin2PCODE], INDIRECT("tblPiNAnalysis[" &amp; Table11[[#Headers],[VBG]] &amp; "]"), "NOT FOUND", 0, 1)</f>
        <v>1423.8701523958214</v>
      </c>
      <c r="N257" s="8" cm="1">
        <f t="array" aca="1" ref="N257" ca="1">_xlfn.XLOOKUP(Table11[[#This Row],[Admin2PCODE]], tblPiNAnalysis[Admin2PCODE], INDIRECT("tblPiNAnalysis[" &amp; Table11[[#Headers],[PiN más alto]] &amp; "]"), "NOT FOUND", 0, 1)</f>
        <v>12363.28</v>
      </c>
      <c r="O257" t="str" cm="1">
        <f t="array" aca="1" ref="O257" ca="1">_xlfn.XLOOKUP(Table11[[#This Row],[Admin2PCODE]], tblPiNAnalysis[Admin2PCODE], INDIRECT("tblPiNAnalysis[" &amp; Table11[[#Headers],[Sectores más altos]] &amp; "]"), "NOT FOUND", 0, 1)</f>
        <v>SAL</v>
      </c>
      <c r="P257" cm="1">
        <f t="array" ref="P257">_xlfn.XLOOKUP(Table11[[#This Row],[Admin2PCODE]], tblPiNAnalysis[Admin2PCODE], tblPiNAnalysis[Severidad], "NOT FOUND", 0, 1)</f>
        <v>2</v>
      </c>
      <c r="Q257" s="318">
        <v>9.0909090909090912E-2</v>
      </c>
      <c r="R257" s="318">
        <v>0.33333333333333331</v>
      </c>
      <c r="S257" s="318">
        <v>3.0303030303030304E-2</v>
      </c>
      <c r="T257">
        <v>0</v>
      </c>
      <c r="W257">
        <f>_xlfn.XLOOKUP(Table11[[#This Row],[Admin2PCODE]],tblSeverityAnalysis[Admin 2 Código P],tblSeverityAnalysis[PRO],0,0)</f>
        <v>2</v>
      </c>
      <c r="Y257">
        <v>0</v>
      </c>
      <c r="Z257">
        <v>0</v>
      </c>
      <c r="AA257">
        <f t="shared" si="3"/>
        <v>0</v>
      </c>
    </row>
    <row r="258" spans="1:27">
      <c r="A258" t="s">
        <v>589</v>
      </c>
      <c r="B258" t="s">
        <v>590</v>
      </c>
      <c r="C258" s="42" t="s">
        <v>602</v>
      </c>
      <c r="D258" t="s">
        <v>603</v>
      </c>
      <c r="E258" s="8" cm="1">
        <f t="array" aca="1" ref="E258" ca="1">_xlfn.XLOOKUP(Table11[[#This Row],[Admin2PCODE]], tblPiNAnalysis[Admin2PCODE], INDIRECT("tblPiNAnalysis[" &amp; Table11[[#Headers],[Población]] &amp; "]"), "NOT FOUND", 0, 1)</f>
        <v>46923</v>
      </c>
      <c r="F258" s="8" cm="1">
        <f t="array" aca="1" ref="F258" ca="1">_xlfn.XLOOKUP(Table11[[#This Row],[Admin2PCODE]], tblPiNAnalysis[Admin2PCODE], INDIRECT("tblPiNAnalysis[" &amp; Table11[[#Headers],[SAMV]] &amp; "]"), "NOT FOUND", 0, 1)</f>
        <v>6331</v>
      </c>
      <c r="G258" s="8" cm="1">
        <f t="array" aca="1" ref="G258" ca="1">_xlfn.XLOOKUP(Table11[[#This Row],[Admin2PCODE]], tblPiNAnalysis[Admin2PCODE], INDIRECT("tblPiNAnalysis[" &amp; Table11[[#Headers],[NUT]] &amp; "]"), "NOT FOUND", 0, 1)</f>
        <v>2100.7307218983515</v>
      </c>
      <c r="H258" s="8" cm="1">
        <f t="array" aca="1" ref="H258" ca="1">_xlfn.XLOOKUP(Table11[[#This Row],[Admin2PCODE]], tblPiNAnalysis[Admin2PCODE], INDIRECT("tblPiNAnalysis[" &amp; Table11[[#Headers],[SAL]] &amp; "]"), "NOT FOUND", 0, 1)</f>
        <v>17126.895</v>
      </c>
      <c r="I258" s="8" cm="1">
        <f t="array" aca="1" ref="I258" ca="1">_xlfn.XLOOKUP(Table11[[#This Row],[Admin2PCODE]], tblPiNAnalysis[Admin2PCODE], INDIRECT("tblPiNAnalysis[" &amp; Table11[[#Headers],[EDU]] &amp; "]"), "NOT FOUND", 0, 1)</f>
        <v>3926.0622671970582</v>
      </c>
      <c r="J258" s="8" cm="1">
        <f t="array" aca="1" ref="J258" ca="1">_xlfn.XLOOKUP(Table11[[#This Row],[Admin2PCODE]], tblPiNAnalysis[Admin2PCODE], INDIRECT("tblPiNAnalysis[" &amp; Table11[[#Headers],[PRO]] &amp; "]"), "NOT FOUND", 0, 1)</f>
        <v>11271.384567256409</v>
      </c>
      <c r="K258" s="8" cm="1">
        <f t="array" aca="1" ref="K258" ca="1">_xlfn.XLOOKUP(Table11[[#This Row],[Admin2PCODE]], tblPiNAnalysis[Admin2PCODE], INDIRECT("tblPiNAnalysis[" &amp; Table11[[#Headers],[ASH]] &amp; "]"), "NOT FOUND", 0, 1)</f>
        <v>0</v>
      </c>
      <c r="L258" s="8" cm="1">
        <f t="array" aca="1" ref="L258" ca="1">_xlfn.XLOOKUP(Table11[[#This Row],[Admin2PCODE]], tblPiNAnalysis[Admin2PCODE], INDIRECT("tblPiNAnalysis[" &amp; Table11[[#Headers],[NNA]] &amp; "]"), "NOT FOUND", 0, 1)</f>
        <v>3606.8430615220514</v>
      </c>
      <c r="M258" s="8" cm="1">
        <f t="array" aca="1" ref="M258" ca="1">_xlfn.XLOOKUP(Table11[[#This Row],[Admin2PCODE]], tblPiNAnalysis[Admin2PCODE], INDIRECT("tblPiNAnalysis[" &amp; Table11[[#Headers],[VBG]] &amp; "]"), "NOT FOUND", 0, 1)</f>
        <v>3944.9845985397428</v>
      </c>
      <c r="N258" s="8" cm="1">
        <f t="array" aca="1" ref="N258" ca="1">_xlfn.XLOOKUP(Table11[[#This Row],[Admin2PCODE]], tblPiNAnalysis[Admin2PCODE], INDIRECT("tblPiNAnalysis[" &amp; Table11[[#Headers],[PiN más alto]] &amp; "]"), "NOT FOUND", 0, 1)</f>
        <v>17126.895</v>
      </c>
      <c r="O258" t="str" cm="1">
        <f t="array" aca="1" ref="O258" ca="1">_xlfn.XLOOKUP(Table11[[#This Row],[Admin2PCODE]], tblPiNAnalysis[Admin2PCODE], INDIRECT("tblPiNAnalysis[" &amp; Table11[[#Headers],[Sectores más altos]] &amp; "]"), "NOT FOUND", 0, 1)</f>
        <v>SAL</v>
      </c>
      <c r="P258" cm="1">
        <f t="array" ref="P258">_xlfn.XLOOKUP(Table11[[#This Row],[Admin2PCODE]], tblPiNAnalysis[Admin2PCODE], tblPiNAnalysis[Severidad], "NOT FOUND", 0, 1)</f>
        <v>3</v>
      </c>
      <c r="Q258" s="318">
        <v>0.4925373134328358</v>
      </c>
      <c r="R258" s="318">
        <v>0.33333333333333331</v>
      </c>
      <c r="S258" s="318">
        <v>0.16417910447761191</v>
      </c>
      <c r="T258">
        <v>0</v>
      </c>
      <c r="W258">
        <f>_xlfn.XLOOKUP(Table11[[#This Row],[Admin2PCODE]],tblSeverityAnalysis[Admin 2 Código P],tblSeverityAnalysis[PRO],0,0)</f>
        <v>4</v>
      </c>
      <c r="Y258">
        <v>0</v>
      </c>
      <c r="Z258">
        <v>2.95</v>
      </c>
      <c r="AA258">
        <f t="shared" ref="AA258:AA321" si="4">ROUND(Z258,0)</f>
        <v>3</v>
      </c>
    </row>
    <row r="259" spans="1:27">
      <c r="A259" t="s">
        <v>589</v>
      </c>
      <c r="B259" t="s">
        <v>590</v>
      </c>
      <c r="C259" s="42" t="s">
        <v>806</v>
      </c>
      <c r="D259" t="s">
        <v>604</v>
      </c>
      <c r="E259" s="8" cm="1">
        <f t="array" aca="1" ref="E259" ca="1">_xlfn.XLOOKUP(Table11[[#This Row],[Admin2PCODE]], tblPiNAnalysis[Admin2PCODE], INDIRECT("tblPiNAnalysis[" &amp; Table11[[#Headers],[Población]] &amp; "]"), "NOT FOUND", 0, 1)</f>
        <v>4224</v>
      </c>
      <c r="F259" s="8" cm="1">
        <f t="array" aca="1" ref="F259" ca="1">_xlfn.XLOOKUP(Table11[[#This Row],[Admin2PCODE]], tblPiNAnalysis[Admin2PCODE], INDIRECT("tblPiNAnalysis[" &amp; Table11[[#Headers],[SAMV]] &amp; "]"), "NOT FOUND", 0, 1)</f>
        <v>0</v>
      </c>
      <c r="G259" s="8" cm="1">
        <f t="array" aca="1" ref="G259" ca="1">_xlfn.XLOOKUP(Table11[[#This Row],[Admin2PCODE]], tblPiNAnalysis[Admin2PCODE], INDIRECT("tblPiNAnalysis[" &amp; Table11[[#Headers],[NUT]] &amp; "]"), "NOT FOUND", 0, 1)</f>
        <v>136.085768063969</v>
      </c>
      <c r="H259" s="8" cm="1">
        <f t="array" aca="1" ref="H259" ca="1">_xlfn.XLOOKUP(Table11[[#This Row],[Admin2PCODE]], tblPiNAnalysis[Admin2PCODE], INDIRECT("tblPiNAnalysis[" &amp; Table11[[#Headers],[SAL]] &amp; "]"), "NOT FOUND", 0, 1)</f>
        <v>1541.76</v>
      </c>
      <c r="I259" s="8" cm="1">
        <f t="array" aca="1" ref="I259" ca="1">_xlfn.XLOOKUP(Table11[[#This Row],[Admin2PCODE]], tblPiNAnalysis[Admin2PCODE], INDIRECT("tblPiNAnalysis[" &amp; Table11[[#Headers],[EDU]] &amp; "]"), "NOT FOUND", 0, 1)</f>
        <v>340.19368156891676</v>
      </c>
      <c r="J259" s="8" cm="1">
        <f t="array" aca="1" ref="J259" ca="1">_xlfn.XLOOKUP(Table11[[#This Row],[Admin2PCODE]], tblPiNAnalysis[Admin2PCODE], INDIRECT("tblPiNAnalysis[" &amp; Table11[[#Headers],[PRO]] &amp; "]"), "NOT FOUND", 0, 1)</f>
        <v>507.32400328294295</v>
      </c>
      <c r="K259" s="8" cm="1">
        <f t="array" aca="1" ref="K259" ca="1">_xlfn.XLOOKUP(Table11[[#This Row],[Admin2PCODE]], tblPiNAnalysis[Admin2PCODE], INDIRECT("tblPiNAnalysis[" &amp; Table11[[#Headers],[ASH]] &amp; "]"), "NOT FOUND", 0, 1)</f>
        <v>0</v>
      </c>
      <c r="L259" s="8" cm="1">
        <f t="array" aca="1" ref="L259" ca="1">_xlfn.XLOOKUP(Table11[[#This Row],[Admin2PCODE]], tblPiNAnalysis[Admin2PCODE], INDIRECT("tblPiNAnalysis[" &amp; Table11[[#Headers],[NNA]] &amp; "]"), "NOT FOUND", 0, 1)</f>
        <v>162.34368105054176</v>
      </c>
      <c r="M259" s="8" cm="1">
        <f t="array" aca="1" ref="M259" ca="1">_xlfn.XLOOKUP(Table11[[#This Row],[Admin2PCODE]], tblPiNAnalysis[Admin2PCODE], INDIRECT("tblPiNAnalysis[" &amp; Table11[[#Headers],[VBG]] &amp; "]"), "NOT FOUND", 0, 1)</f>
        <v>177.56340114903</v>
      </c>
      <c r="N259" s="8" cm="1">
        <f t="array" aca="1" ref="N259" ca="1">_xlfn.XLOOKUP(Table11[[#This Row],[Admin2PCODE]], tblPiNAnalysis[Admin2PCODE], INDIRECT("tblPiNAnalysis[" &amp; Table11[[#Headers],[PiN más alto]] &amp; "]"), "NOT FOUND", 0, 1)</f>
        <v>1541.76</v>
      </c>
      <c r="O259" t="str" cm="1">
        <f t="array" aca="1" ref="O259" ca="1">_xlfn.XLOOKUP(Table11[[#This Row],[Admin2PCODE]], tblPiNAnalysis[Admin2PCODE], INDIRECT("tblPiNAnalysis[" &amp; Table11[[#Headers],[Sectores más altos]] &amp; "]"), "NOT FOUND", 0, 1)</f>
        <v>SAL</v>
      </c>
      <c r="P259" cm="1">
        <f t="array" ref="P259">_xlfn.XLOOKUP(Table11[[#This Row],[Admin2PCODE]], tblPiNAnalysis[Admin2PCODE], tblPiNAnalysis[Severidad], "NOT FOUND", 0, 1)</f>
        <v>2</v>
      </c>
      <c r="Q259" s="318">
        <v>1</v>
      </c>
      <c r="R259" s="318">
        <v>0.33333333333333331</v>
      </c>
      <c r="S259" s="318">
        <v>0.33333333333333331</v>
      </c>
      <c r="T259">
        <v>1</v>
      </c>
      <c r="W259">
        <f>_xlfn.XLOOKUP(Table11[[#This Row],[Admin2PCODE]],tblSeverityAnalysis[Admin 2 Código P],tblSeverityAnalysis[PRO],0,0)</f>
        <v>2</v>
      </c>
      <c r="Y259">
        <v>7</v>
      </c>
      <c r="Z259">
        <v>0</v>
      </c>
      <c r="AA259">
        <f t="shared" si="4"/>
        <v>0</v>
      </c>
    </row>
    <row r="260" spans="1:27">
      <c r="A260" t="s">
        <v>589</v>
      </c>
      <c r="B260" t="s">
        <v>590</v>
      </c>
      <c r="C260" s="42" t="s">
        <v>814</v>
      </c>
      <c r="D260" t="s">
        <v>606</v>
      </c>
      <c r="E260" s="8" cm="1">
        <f t="array" aca="1" ref="E260" ca="1">_xlfn.XLOOKUP(Table11[[#This Row],[Admin2PCODE]], tblPiNAnalysis[Admin2PCODE], INDIRECT("tblPiNAnalysis[" &amp; Table11[[#Headers],[Población]] &amp; "]"), "NOT FOUND", 0, 1)</f>
        <v>49570</v>
      </c>
      <c r="F260" s="8" cm="1">
        <f t="array" aca="1" ref="F260" ca="1">_xlfn.XLOOKUP(Table11[[#This Row],[Admin2PCODE]], tblPiNAnalysis[Admin2PCODE], INDIRECT("tblPiNAnalysis[" &amp; Table11[[#Headers],[SAMV]] &amp; "]"), "NOT FOUND", 0, 1)</f>
        <v>19152</v>
      </c>
      <c r="G260" s="8" cm="1">
        <f t="array" aca="1" ref="G260" ca="1">_xlfn.XLOOKUP(Table11[[#This Row],[Admin2PCODE]], tblPiNAnalysis[Admin2PCODE], INDIRECT("tblPiNAnalysis[" &amp; Table11[[#Headers],[NUT]] &amp; "]"), "NOT FOUND", 0, 1)</f>
        <v>2284.2050741202611</v>
      </c>
      <c r="H260" s="8" cm="1">
        <f t="array" aca="1" ref="H260" ca="1">_xlfn.XLOOKUP(Table11[[#This Row],[Admin2PCODE]], tblPiNAnalysis[Admin2PCODE], INDIRECT("tblPiNAnalysis[" &amp; Table11[[#Headers],[SAL]] &amp; "]"), "NOT FOUND", 0, 1)</f>
        <v>18093.05</v>
      </c>
      <c r="I260" s="8" cm="1">
        <f t="array" aca="1" ref="I260" ca="1">_xlfn.XLOOKUP(Table11[[#This Row],[Admin2PCODE]], tblPiNAnalysis[Admin2PCODE], INDIRECT("tblPiNAnalysis[" &amp; Table11[[#Headers],[EDU]] &amp; "]"), "NOT FOUND", 0, 1)</f>
        <v>4021.2830935506327</v>
      </c>
      <c r="J260" s="8" cm="1">
        <f t="array" aca="1" ref="J260" ca="1">_xlfn.XLOOKUP(Table11[[#This Row],[Admin2PCODE]], tblPiNAnalysis[Admin2PCODE], INDIRECT("tblPiNAnalysis[" &amp; Table11[[#Headers],[PRO]] &amp; "]"), "NOT FOUND", 0, 1)</f>
        <v>11907.221042961875</v>
      </c>
      <c r="K260" s="8" cm="1">
        <f t="array" aca="1" ref="K260" ca="1">_xlfn.XLOOKUP(Table11[[#This Row],[Admin2PCODE]], tblPiNAnalysis[Admin2PCODE], INDIRECT("tblPiNAnalysis[" &amp; Table11[[#Headers],[ASH]] &amp; "]"), "NOT FOUND", 0, 1)</f>
        <v>0</v>
      </c>
      <c r="L260" s="8" cm="1">
        <f t="array" aca="1" ref="L260" ca="1">_xlfn.XLOOKUP(Table11[[#This Row],[Admin2PCODE]], tblPiNAnalysis[Admin2PCODE], INDIRECT("tblPiNAnalysis[" &amp; Table11[[#Headers],[NNA]] &amp; "]"), "NOT FOUND", 0, 1)</f>
        <v>3810.3107337478</v>
      </c>
      <c r="M260" s="8" cm="1">
        <f t="array" aca="1" ref="M260" ca="1">_xlfn.XLOOKUP(Table11[[#This Row],[Admin2PCODE]], tblPiNAnalysis[Admin2PCODE], INDIRECT("tblPiNAnalysis[" &amp; Table11[[#Headers],[VBG]] &amp; "]"), "NOT FOUND", 0, 1)</f>
        <v>4167.5273650366571</v>
      </c>
      <c r="N260" s="8" cm="1">
        <f t="array" aca="1" ref="N260" ca="1">_xlfn.XLOOKUP(Table11[[#This Row],[Admin2PCODE]], tblPiNAnalysis[Admin2PCODE], INDIRECT("tblPiNAnalysis[" &amp; Table11[[#Headers],[PiN más alto]] &amp; "]"), "NOT FOUND", 0, 1)</f>
        <v>19152</v>
      </c>
      <c r="O260" t="str" cm="1">
        <f t="array" aca="1" ref="O260" ca="1">_xlfn.XLOOKUP(Table11[[#This Row],[Admin2PCODE]], tblPiNAnalysis[Admin2PCODE], INDIRECT("tblPiNAnalysis[" &amp; Table11[[#Headers],[Sectores más altos]] &amp; "]"), "NOT FOUND", 0, 1)</f>
        <v>SAMV</v>
      </c>
      <c r="P260" cm="1">
        <f t="array" ref="P260">_xlfn.XLOOKUP(Table11[[#This Row],[Admin2PCODE]], tblPiNAnalysis[Admin2PCODE], tblPiNAnalysis[Severidad], "NOT FOUND", 0, 1)</f>
        <v>3</v>
      </c>
      <c r="Q260" s="318">
        <v>0.8</v>
      </c>
      <c r="R260" s="318">
        <v>0.40909090909090901</v>
      </c>
      <c r="S260" s="318">
        <v>0.32727272727272722</v>
      </c>
      <c r="T260">
        <v>0</v>
      </c>
      <c r="W260">
        <f>_xlfn.XLOOKUP(Table11[[#This Row],[Admin2PCODE]],tblSeverityAnalysis[Admin 2 Código P],tblSeverityAnalysis[PRO],0,0)</f>
        <v>4</v>
      </c>
      <c r="Y260">
        <v>0</v>
      </c>
      <c r="Z260">
        <v>3.35</v>
      </c>
      <c r="AA260">
        <f t="shared" si="4"/>
        <v>3</v>
      </c>
    </row>
    <row r="261" spans="1:27">
      <c r="A261" t="s">
        <v>589</v>
      </c>
      <c r="B261" t="s">
        <v>590</v>
      </c>
      <c r="C261" s="42" t="s">
        <v>607</v>
      </c>
      <c r="D261" t="s">
        <v>608</v>
      </c>
      <c r="E261" s="8" cm="1">
        <f t="array" aca="1" ref="E261" ca="1">_xlfn.XLOOKUP(Table11[[#This Row],[Admin2PCODE]], tblPiNAnalysis[Admin2PCODE], INDIRECT("tblPiNAnalysis[" &amp; Table11[[#Headers],[Población]] &amp; "]"), "NOT FOUND", 0, 1)</f>
        <v>44214</v>
      </c>
      <c r="F261" s="8" cm="1">
        <f t="array" aca="1" ref="F261" ca="1">_xlfn.XLOOKUP(Table11[[#This Row],[Admin2PCODE]], tblPiNAnalysis[Admin2PCODE], INDIRECT("tblPiNAnalysis[" &amp; Table11[[#Headers],[SAMV]] &amp; "]"), "NOT FOUND", 0, 1)</f>
        <v>11422</v>
      </c>
      <c r="G261" s="8" cm="1">
        <f t="array" aca="1" ref="G261" ca="1">_xlfn.XLOOKUP(Table11[[#This Row],[Admin2PCODE]], tblPiNAnalysis[Admin2PCODE], INDIRECT("tblPiNAnalysis[" &amp; Table11[[#Headers],[NUT]] &amp; "]"), "NOT FOUND", 0, 1)</f>
        <v>1154.498159594782</v>
      </c>
      <c r="H261" s="8" cm="1">
        <f t="array" aca="1" ref="H261" ca="1">_xlfn.XLOOKUP(Table11[[#This Row],[Admin2PCODE]], tblPiNAnalysis[Admin2PCODE], INDIRECT("tblPiNAnalysis[" &amp; Table11[[#Headers],[SAL]] &amp; "]"), "NOT FOUND", 0, 1)</f>
        <v>17085.5</v>
      </c>
      <c r="I261" s="8" cm="1">
        <f t="array" aca="1" ref="I261" ca="1">_xlfn.XLOOKUP(Table11[[#This Row],[Admin2PCODE]], tblPiNAnalysis[Admin2PCODE], INDIRECT("tblPiNAnalysis[" &amp; Table11[[#Headers],[EDU]] &amp; "]"), "NOT FOUND", 0, 1)</f>
        <v>7429.7611499163168</v>
      </c>
      <c r="J261" s="8" cm="1">
        <f t="array" aca="1" ref="J261" ca="1">_xlfn.XLOOKUP(Table11[[#This Row],[Admin2PCODE]], tblPiNAnalysis[Admin2PCODE], INDIRECT("tblPiNAnalysis[" &amp; Table11[[#Headers],[PRO]] &amp; "]"), "NOT FOUND", 0, 1)</f>
        <v>8850.5458811363824</v>
      </c>
      <c r="K261" s="8" cm="1">
        <f t="array" aca="1" ref="K261" ca="1">_xlfn.XLOOKUP(Table11[[#This Row],[Admin2PCODE]], tblPiNAnalysis[Admin2PCODE], INDIRECT("tblPiNAnalysis[" &amp; Table11[[#Headers],[ASH]] &amp; "]"), "NOT FOUND", 0, 1)</f>
        <v>0</v>
      </c>
      <c r="L261" s="8" cm="1">
        <f t="array" aca="1" ref="L261" ca="1">_xlfn.XLOOKUP(Table11[[#This Row],[Admin2PCODE]], tblPiNAnalysis[Admin2PCODE], INDIRECT("tblPiNAnalysis[" &amp; Table11[[#Headers],[NNA]] &amp; "]"), "NOT FOUND", 0, 1)</f>
        <v>2841.0252278447788</v>
      </c>
      <c r="M261" s="8" cm="1">
        <f t="array" aca="1" ref="M261" ca="1">_xlfn.XLOOKUP(Table11[[#This Row],[Admin2PCODE]], tblPiNAnalysis[Admin2PCODE], INDIRECT("tblPiNAnalysis[" &amp; Table11[[#Headers],[VBG]] &amp; "]"), "NOT FOUND", 0, 1)</f>
        <v>3097.6910583977333</v>
      </c>
      <c r="N261" s="8" cm="1">
        <f t="array" aca="1" ref="N261" ca="1">_xlfn.XLOOKUP(Table11[[#This Row],[Admin2PCODE]], tblPiNAnalysis[Admin2PCODE], INDIRECT("tblPiNAnalysis[" &amp; Table11[[#Headers],[PiN más alto]] &amp; "]"), "NOT FOUND", 0, 1)</f>
        <v>17085.5</v>
      </c>
      <c r="O261" t="str" cm="1">
        <f t="array" aca="1" ref="O261" ca="1">_xlfn.XLOOKUP(Table11[[#This Row],[Admin2PCODE]], tblPiNAnalysis[Admin2PCODE], INDIRECT("tblPiNAnalysis[" &amp; Table11[[#Headers],[Sectores más altos]] &amp; "]"), "NOT FOUND", 0, 1)</f>
        <v>SAL</v>
      </c>
      <c r="P261" cm="1">
        <f t="array" ref="P261">_xlfn.XLOOKUP(Table11[[#This Row],[Admin2PCODE]], tblPiNAnalysis[Admin2PCODE], tblPiNAnalysis[Severidad], "NOT FOUND", 0, 1)</f>
        <v>3</v>
      </c>
      <c r="Q261" s="318">
        <v>0.79220779220779225</v>
      </c>
      <c r="R261" s="318">
        <v>0.35792349726775952</v>
      </c>
      <c r="S261" s="318">
        <v>0.28354978354978355</v>
      </c>
      <c r="T261">
        <v>0</v>
      </c>
      <c r="W261">
        <f>_xlfn.XLOOKUP(Table11[[#This Row],[Admin2PCODE]],tblSeverityAnalysis[Admin 2 Código P],tblSeverityAnalysis[PRO],0,0)</f>
        <v>3</v>
      </c>
      <c r="Y261">
        <v>8</v>
      </c>
      <c r="Z261">
        <v>0</v>
      </c>
      <c r="AA261">
        <f t="shared" si="4"/>
        <v>0</v>
      </c>
    </row>
    <row r="262" spans="1:27">
      <c r="A262" t="s">
        <v>589</v>
      </c>
      <c r="B262" t="s">
        <v>590</v>
      </c>
      <c r="C262" s="42" t="s">
        <v>133</v>
      </c>
      <c r="D262" t="s">
        <v>609</v>
      </c>
      <c r="E262" s="8" cm="1">
        <f t="array" aca="1" ref="E262" ca="1">_xlfn.XLOOKUP(Table11[[#This Row],[Admin2PCODE]], tblPiNAnalysis[Admin2PCODE], INDIRECT("tblPiNAnalysis[" &amp; Table11[[#Headers],[Población]] &amp; "]"), "NOT FOUND", 0, 1)</f>
        <v>37797</v>
      </c>
      <c r="F262" s="8" cm="1">
        <f t="array" aca="1" ref="F262" ca="1">_xlfn.XLOOKUP(Table11[[#This Row],[Admin2PCODE]], tblPiNAnalysis[Admin2PCODE], INDIRECT("tblPiNAnalysis[" &amp; Table11[[#Headers],[SAMV]] &amp; "]"), "NOT FOUND", 0, 1)</f>
        <v>18199</v>
      </c>
      <c r="G262" s="8" cm="1">
        <f t="array" aca="1" ref="G262" ca="1">_xlfn.XLOOKUP(Table11[[#This Row],[Admin2PCODE]], tblPiNAnalysis[Admin2PCODE], INDIRECT("tblPiNAnalysis[" &amp; Table11[[#Headers],[NUT]] &amp; "]"), "NOT FOUND", 0, 1)</f>
        <v>1084.5786496147603</v>
      </c>
      <c r="H262" s="8" cm="1">
        <f t="array" aca="1" ref="H262" ca="1">_xlfn.XLOOKUP(Table11[[#This Row],[Admin2PCODE]], tblPiNAnalysis[Admin2PCODE], INDIRECT("tblPiNAnalysis[" &amp; Table11[[#Headers],[SAL]] &amp; "]"), "NOT FOUND", 0, 1)</f>
        <v>13795.905000000001</v>
      </c>
      <c r="I262" s="8" cm="1">
        <f t="array" aca="1" ref="I262" ca="1">_xlfn.XLOOKUP(Table11[[#This Row],[Admin2PCODE]], tblPiNAnalysis[Admin2PCODE], INDIRECT("tblPiNAnalysis[" &amp; Table11[[#Headers],[EDU]] &amp; "]"), "NOT FOUND", 0, 1)</f>
        <v>5616.0317417153929</v>
      </c>
      <c r="J262" s="8" cm="1">
        <f t="array" aca="1" ref="J262" ca="1">_xlfn.XLOOKUP(Table11[[#This Row],[Admin2PCODE]], tblPiNAnalysis[Admin2PCODE], INDIRECT("tblPiNAnalysis[" &amp; Table11[[#Headers],[PRO]] &amp; "]"), "NOT FOUND", 0, 1)</f>
        <v>9079.2260189798271</v>
      </c>
      <c r="K262" s="8" cm="1">
        <f t="array" aca="1" ref="K262" ca="1">_xlfn.XLOOKUP(Table11[[#This Row],[Admin2PCODE]], tblPiNAnalysis[Admin2PCODE], INDIRECT("tblPiNAnalysis[" &amp; Table11[[#Headers],[ASH]] &amp; "]"), "NOT FOUND", 0, 1)</f>
        <v>0</v>
      </c>
      <c r="L262" s="8" cm="1">
        <f t="array" aca="1" ref="L262" ca="1">_xlfn.XLOOKUP(Table11[[#This Row],[Admin2PCODE]], tblPiNAnalysis[Admin2PCODE], INDIRECT("tblPiNAnalysis[" &amp; Table11[[#Headers],[NNA]] &amp; "]"), "NOT FOUND", 0, 1)</f>
        <v>2905.3523260735446</v>
      </c>
      <c r="M262" s="8" cm="1">
        <f t="array" aca="1" ref="M262" ca="1">_xlfn.XLOOKUP(Table11[[#This Row],[Admin2PCODE]], tblPiNAnalysis[Admin2PCODE], INDIRECT("tblPiNAnalysis[" &amp; Table11[[#Headers],[VBG]] &amp; "]"), "NOT FOUND", 0, 1)</f>
        <v>3177.7291066429393</v>
      </c>
      <c r="N262" s="8" cm="1">
        <f t="array" aca="1" ref="N262" ca="1">_xlfn.XLOOKUP(Table11[[#This Row],[Admin2PCODE]], tblPiNAnalysis[Admin2PCODE], INDIRECT("tblPiNAnalysis[" &amp; Table11[[#Headers],[PiN más alto]] &amp; "]"), "NOT FOUND", 0, 1)</f>
        <v>18199</v>
      </c>
      <c r="O262" t="str" cm="1">
        <f t="array" aca="1" ref="O262" ca="1">_xlfn.XLOOKUP(Table11[[#This Row],[Admin2PCODE]], tblPiNAnalysis[Admin2PCODE], INDIRECT("tblPiNAnalysis[" &amp; Table11[[#Headers],[Sectores más altos]] &amp; "]"), "NOT FOUND", 0, 1)</f>
        <v>SAMV</v>
      </c>
      <c r="P262" cm="1">
        <f t="array" ref="P262">_xlfn.XLOOKUP(Table11[[#This Row],[Admin2PCODE]], tblPiNAnalysis[Admin2PCODE], tblPiNAnalysis[Severidad], "NOT FOUND", 0, 1)</f>
        <v>3</v>
      </c>
      <c r="Q262" s="318">
        <v>0.30909090909090908</v>
      </c>
      <c r="R262" s="318">
        <v>0.39215686274509798</v>
      </c>
      <c r="S262" s="318">
        <v>0.12121212121212119</v>
      </c>
      <c r="T262">
        <v>0</v>
      </c>
      <c r="W262">
        <f>_xlfn.XLOOKUP(Table11[[#This Row],[Admin2PCODE]],tblSeverityAnalysis[Admin 2 Código P],tblSeverityAnalysis[PRO],0,0)</f>
        <v>4</v>
      </c>
      <c r="Y262">
        <v>8</v>
      </c>
      <c r="Z262">
        <v>0</v>
      </c>
      <c r="AA262">
        <f t="shared" si="4"/>
        <v>0</v>
      </c>
    </row>
    <row r="263" spans="1:27">
      <c r="A263" t="s">
        <v>589</v>
      </c>
      <c r="B263" t="s">
        <v>590</v>
      </c>
      <c r="C263" s="42" t="s">
        <v>610</v>
      </c>
      <c r="D263" t="s">
        <v>611</v>
      </c>
      <c r="E263" s="8" cm="1">
        <f t="array" aca="1" ref="E263" ca="1">_xlfn.XLOOKUP(Table11[[#This Row],[Admin2PCODE]], tblPiNAnalysis[Admin2PCODE], INDIRECT("tblPiNAnalysis[" &amp; Table11[[#Headers],[Población]] &amp; "]"), "NOT FOUND", 0, 1)</f>
        <v>41927</v>
      </c>
      <c r="F263" s="8" cm="1">
        <f t="array" aca="1" ref="F263" ca="1">_xlfn.XLOOKUP(Table11[[#This Row],[Admin2PCODE]], tblPiNAnalysis[Admin2PCODE], INDIRECT("tblPiNAnalysis[" &amp; Table11[[#Headers],[SAMV]] &amp; "]"), "NOT FOUND", 0, 1)</f>
        <v>6988</v>
      </c>
      <c r="G263" s="8" cm="1">
        <f t="array" aca="1" ref="G263" ca="1">_xlfn.XLOOKUP(Table11[[#This Row],[Admin2PCODE]], tblPiNAnalysis[Admin2PCODE], INDIRECT("tblPiNAnalysis[" &amp; Table11[[#Headers],[NUT]] &amp; "]"), "NOT FOUND", 0, 1)</f>
        <v>1314.45144744</v>
      </c>
      <c r="H263" s="8" cm="1">
        <f t="array" aca="1" ref="H263" ca="1">_xlfn.XLOOKUP(Table11[[#This Row],[Admin2PCODE]], tblPiNAnalysis[Admin2PCODE], INDIRECT("tblPiNAnalysis[" &amp; Table11[[#Headers],[SAL]] &amp; "]"), "NOT FOUND", 0, 1)</f>
        <v>15303.355</v>
      </c>
      <c r="I263" s="8" cm="1">
        <f t="array" aca="1" ref="I263" ca="1">_xlfn.XLOOKUP(Table11[[#This Row],[Admin2PCODE]], tblPiNAnalysis[Admin2PCODE], INDIRECT("tblPiNAnalysis[" &amp; Table11[[#Headers],[EDU]] &amp; "]"), "NOT FOUND", 0, 1)</f>
        <v>4054.6957429376753</v>
      </c>
      <c r="J263" s="8" cm="1">
        <f t="array" aca="1" ref="J263" ca="1">_xlfn.XLOOKUP(Table11[[#This Row],[Admin2PCODE]], tblPiNAnalysis[Admin2PCODE], INDIRECT("tblPiNAnalysis[" &amp; Table11[[#Headers],[PRO]] &amp; "]"), "NOT FOUND", 0, 1)</f>
        <v>5035.6471320179826</v>
      </c>
      <c r="K263" s="8" cm="1">
        <f t="array" aca="1" ref="K263" ca="1">_xlfn.XLOOKUP(Table11[[#This Row],[Admin2PCODE]], tblPiNAnalysis[Admin2PCODE], INDIRECT("tblPiNAnalysis[" &amp; Table11[[#Headers],[ASH]] &amp; "]"), "NOT FOUND", 0, 1)</f>
        <v>0</v>
      </c>
      <c r="L263" s="8" cm="1">
        <f t="array" aca="1" ref="L263" ca="1">_xlfn.XLOOKUP(Table11[[#This Row],[Admin2PCODE]], tblPiNAnalysis[Admin2PCODE], INDIRECT("tblPiNAnalysis[" &amp; Table11[[#Headers],[NNA]] &amp; "]"), "NOT FOUND", 0, 1)</f>
        <v>1611.4070822457543</v>
      </c>
      <c r="M263" s="8" cm="1">
        <f t="array" aca="1" ref="M263" ca="1">_xlfn.XLOOKUP(Table11[[#This Row],[Admin2PCODE]], tblPiNAnalysis[Admin2PCODE], INDIRECT("tblPiNAnalysis[" &amp; Table11[[#Headers],[VBG]] &amp; "]"), "NOT FOUND", 0, 1)</f>
        <v>1762.4764962062939</v>
      </c>
      <c r="N263" s="8" cm="1">
        <f t="array" aca="1" ref="N263" ca="1">_xlfn.XLOOKUP(Table11[[#This Row],[Admin2PCODE]], tblPiNAnalysis[Admin2PCODE], INDIRECT("tblPiNAnalysis[" &amp; Table11[[#Headers],[PiN más alto]] &amp; "]"), "NOT FOUND", 0, 1)</f>
        <v>15303.355</v>
      </c>
      <c r="O263" t="str" cm="1">
        <f t="array" aca="1" ref="O263" ca="1">_xlfn.XLOOKUP(Table11[[#This Row],[Admin2PCODE]], tblPiNAnalysis[Admin2PCODE], INDIRECT("tblPiNAnalysis[" &amp; Table11[[#Headers],[Sectores más altos]] &amp; "]"), "NOT FOUND", 0, 1)</f>
        <v>SAL</v>
      </c>
      <c r="P263" cm="1">
        <f t="array" ref="P263">_xlfn.XLOOKUP(Table11[[#This Row],[Admin2PCODE]], tblPiNAnalysis[Admin2PCODE], tblPiNAnalysis[Severidad], "NOT FOUND", 0, 1)</f>
        <v>2</v>
      </c>
      <c r="Q263" s="318">
        <v>0</v>
      </c>
      <c r="R263" s="318">
        <v>0</v>
      </c>
      <c r="S263" s="318">
        <v>0</v>
      </c>
      <c r="T263">
        <v>0</v>
      </c>
      <c r="W263">
        <f>_xlfn.XLOOKUP(Table11[[#This Row],[Admin2PCODE]],tblSeverityAnalysis[Admin 2 Código P],tblSeverityAnalysis[PRO],0,0)</f>
        <v>2</v>
      </c>
      <c r="Y263">
        <v>0</v>
      </c>
      <c r="Z263">
        <v>0</v>
      </c>
      <c r="AA263">
        <f t="shared" si="4"/>
        <v>0</v>
      </c>
    </row>
    <row r="264" spans="1:27">
      <c r="A264" t="s">
        <v>589</v>
      </c>
      <c r="B264" t="s">
        <v>590</v>
      </c>
      <c r="C264" s="42" t="s">
        <v>612</v>
      </c>
      <c r="D264" t="s">
        <v>613</v>
      </c>
      <c r="E264" s="8" cm="1">
        <f t="array" aca="1" ref="E264" ca="1">_xlfn.XLOOKUP(Table11[[#This Row],[Admin2PCODE]], tblPiNAnalysis[Admin2PCODE], INDIRECT("tblPiNAnalysis[" &amp; Table11[[#Headers],[Población]] &amp; "]"), "NOT FOUND", 0, 1)</f>
        <v>10097</v>
      </c>
      <c r="F264" s="8" cm="1">
        <f t="array" aca="1" ref="F264" ca="1">_xlfn.XLOOKUP(Table11[[#This Row],[Admin2PCODE]], tblPiNAnalysis[Admin2PCODE], INDIRECT("tblPiNAnalysis[" &amp; Table11[[#Headers],[SAMV]] &amp; "]"), "NOT FOUND", 0, 1)</f>
        <v>337</v>
      </c>
      <c r="G264" s="8" cm="1">
        <f t="array" aca="1" ref="G264" ca="1">_xlfn.XLOOKUP(Table11[[#This Row],[Admin2PCODE]], tblPiNAnalysis[Admin2PCODE], INDIRECT("tblPiNAnalysis[" &amp; Table11[[#Headers],[NUT]] &amp; "]"), "NOT FOUND", 0, 1)</f>
        <v>397.40872664439723</v>
      </c>
      <c r="H264" s="8" cm="1">
        <f t="array" aca="1" ref="H264" ca="1">_xlfn.XLOOKUP(Table11[[#This Row],[Admin2PCODE]], tblPiNAnalysis[Admin2PCODE], INDIRECT("tblPiNAnalysis[" &amp; Table11[[#Headers],[SAL]] &amp; "]"), "NOT FOUND", 0, 1)</f>
        <v>3685.4050000000002</v>
      </c>
      <c r="I264" s="8" cm="1">
        <f t="array" aca="1" ref="I264" ca="1">_xlfn.XLOOKUP(Table11[[#This Row],[Admin2PCODE]], tblPiNAnalysis[Admin2PCODE], INDIRECT("tblPiNAnalysis[" &amp; Table11[[#Headers],[EDU]] &amp; "]"), "NOT FOUND", 0, 1)</f>
        <v>676.12951401902478</v>
      </c>
      <c r="J264" s="8" cm="1">
        <f t="array" aca="1" ref="J264" ca="1">_xlfn.XLOOKUP(Table11[[#This Row],[Admin2PCODE]], tblPiNAnalysis[Admin2PCODE], INDIRECT("tblPiNAnalysis[" &amp; Table11[[#Headers],[PRO]] &amp; "]"), "NOT FOUND", 0, 1)</f>
        <v>1212.7013402338721</v>
      </c>
      <c r="K264" s="8" cm="1">
        <f t="array" aca="1" ref="K264" ca="1">_xlfn.XLOOKUP(Table11[[#This Row],[Admin2PCODE]], tblPiNAnalysis[Admin2PCODE], INDIRECT("tblPiNAnalysis[" &amp; Table11[[#Headers],[ASH]] &amp; "]"), "NOT FOUND", 0, 1)</f>
        <v>0</v>
      </c>
      <c r="L264" s="8" cm="1">
        <f t="array" aca="1" ref="L264" ca="1">_xlfn.XLOOKUP(Table11[[#This Row],[Admin2PCODE]], tblPiNAnalysis[Admin2PCODE], INDIRECT("tblPiNAnalysis[" &amp; Table11[[#Headers],[NNA]] &amp; "]"), "NOT FOUND", 0, 1)</f>
        <v>388.06442887483911</v>
      </c>
      <c r="M264" s="8" cm="1">
        <f t="array" aca="1" ref="M264" ca="1">_xlfn.XLOOKUP(Table11[[#This Row],[Admin2PCODE]], tblPiNAnalysis[Admin2PCODE], INDIRECT("tblPiNAnalysis[" &amp; Table11[[#Headers],[VBG]] &amp; "]"), "NOT FOUND", 0, 1)</f>
        <v>424.44546908185521</v>
      </c>
      <c r="N264" s="8" cm="1">
        <f t="array" aca="1" ref="N264" ca="1">_xlfn.XLOOKUP(Table11[[#This Row],[Admin2PCODE]], tblPiNAnalysis[Admin2PCODE], INDIRECT("tblPiNAnalysis[" &amp; Table11[[#Headers],[PiN más alto]] &amp; "]"), "NOT FOUND", 0, 1)</f>
        <v>3685.4050000000002</v>
      </c>
      <c r="O264" t="str" cm="1">
        <f t="array" aca="1" ref="O264" ca="1">_xlfn.XLOOKUP(Table11[[#This Row],[Admin2PCODE]], tblPiNAnalysis[Admin2PCODE], INDIRECT("tblPiNAnalysis[" &amp; Table11[[#Headers],[Sectores más altos]] &amp; "]"), "NOT FOUND", 0, 1)</f>
        <v>SAL</v>
      </c>
      <c r="P264" cm="1">
        <f t="array" ref="P264">_xlfn.XLOOKUP(Table11[[#This Row],[Admin2PCODE]], tblPiNAnalysis[Admin2PCODE], tblPiNAnalysis[Severidad], "NOT FOUND", 0, 1)</f>
        <v>2</v>
      </c>
      <c r="Q264" s="318">
        <v>0</v>
      </c>
      <c r="R264" s="318">
        <v>0</v>
      </c>
      <c r="S264" s="318">
        <v>0</v>
      </c>
      <c r="T264">
        <v>0</v>
      </c>
      <c r="W264">
        <f>_xlfn.XLOOKUP(Table11[[#This Row],[Admin2PCODE]],tblSeverityAnalysis[Admin 2 Código P],tblSeverityAnalysis[PRO],0,0)</f>
        <v>2</v>
      </c>
      <c r="Y264">
        <v>8</v>
      </c>
      <c r="Z264">
        <v>0</v>
      </c>
      <c r="AA264">
        <f t="shared" si="4"/>
        <v>0</v>
      </c>
    </row>
    <row r="265" spans="1:27">
      <c r="A265" t="s">
        <v>589</v>
      </c>
      <c r="B265" t="s">
        <v>590</v>
      </c>
      <c r="C265" s="42" t="s">
        <v>614</v>
      </c>
      <c r="D265" t="s">
        <v>615</v>
      </c>
      <c r="E265" s="8" cm="1">
        <f t="array" aca="1" ref="E265" ca="1">_xlfn.XLOOKUP(Table11[[#This Row],[Admin2PCODE]], tblPiNAnalysis[Admin2PCODE], INDIRECT("tblPiNAnalysis[" &amp; Table11[[#Headers],[Población]] &amp; "]"), "NOT FOUND", 0, 1)</f>
        <v>82497</v>
      </c>
      <c r="F265" s="8" cm="1">
        <f t="array" aca="1" ref="F265" ca="1">_xlfn.XLOOKUP(Table11[[#This Row],[Admin2PCODE]], tblPiNAnalysis[Admin2PCODE], INDIRECT("tblPiNAnalysis[" &amp; Table11[[#Headers],[SAMV]] &amp; "]"), "NOT FOUND", 0, 1)</f>
        <v>33817</v>
      </c>
      <c r="G265" s="8" cm="1">
        <f t="array" aca="1" ref="G265" ca="1">_xlfn.XLOOKUP(Table11[[#This Row],[Admin2PCODE]], tblPiNAnalysis[Admin2PCODE], INDIRECT("tblPiNAnalysis[" &amp; Table11[[#Headers],[NUT]] &amp; "]"), "NOT FOUND", 0, 1)</f>
        <v>7923.4663576178737</v>
      </c>
      <c r="H265" s="8" cm="1">
        <f t="array" aca="1" ref="H265" ca="1">_xlfn.XLOOKUP(Table11[[#This Row],[Admin2PCODE]], tblPiNAnalysis[Admin2PCODE], INDIRECT("tblPiNAnalysis[" &amp; Table11[[#Headers],[SAL]] &amp; "]"), "NOT FOUND", 0, 1)</f>
        <v>30111.404999999999</v>
      </c>
      <c r="I265" s="8" cm="1">
        <f t="array" aca="1" ref="I265" ca="1">_xlfn.XLOOKUP(Table11[[#This Row],[Admin2PCODE]], tblPiNAnalysis[Admin2PCODE], INDIRECT("tblPiNAnalysis[" &amp; Table11[[#Headers],[EDU]] &amp; "]"), "NOT FOUND", 0, 1)</f>
        <v>9122.0082799226893</v>
      </c>
      <c r="J265" s="8" cm="1">
        <f t="array" aca="1" ref="J265" ca="1">_xlfn.XLOOKUP(Table11[[#This Row],[Admin2PCODE]], tblPiNAnalysis[Admin2PCODE], INDIRECT("tblPiNAnalysis[" &amp; Table11[[#Headers],[PRO]] &amp; "]"), "NOT FOUND", 0, 1)</f>
        <v>16513.852706294569</v>
      </c>
      <c r="K265" s="8" cm="1">
        <f t="array" aca="1" ref="K265" ca="1">_xlfn.XLOOKUP(Table11[[#This Row],[Admin2PCODE]], tblPiNAnalysis[Admin2PCODE], INDIRECT("tblPiNAnalysis[" &amp; Table11[[#Headers],[ASH]] &amp; "]"), "NOT FOUND", 0, 1)</f>
        <v>11137.094999999999</v>
      </c>
      <c r="L265" s="8" cm="1">
        <f t="array" aca="1" ref="L265" ca="1">_xlfn.XLOOKUP(Table11[[#This Row],[Admin2PCODE]], tblPiNAnalysis[Admin2PCODE], INDIRECT("tblPiNAnalysis[" &amp; Table11[[#Headers],[NNA]] &amp; "]"), "NOT FOUND", 0, 1)</f>
        <v>5284.4328660142619</v>
      </c>
      <c r="M265" s="8" cm="1">
        <f t="array" aca="1" ref="M265" ca="1">_xlfn.XLOOKUP(Table11[[#This Row],[Admin2PCODE]], tblPiNAnalysis[Admin2PCODE], INDIRECT("tblPiNAnalysis[" &amp; Table11[[#Headers],[VBG]] &amp; "]"), "NOT FOUND", 0, 1)</f>
        <v>5779.8484472030996</v>
      </c>
      <c r="N265" s="8" cm="1">
        <f t="array" aca="1" ref="N265" ca="1">_xlfn.XLOOKUP(Table11[[#This Row],[Admin2PCODE]], tblPiNAnalysis[Admin2PCODE], INDIRECT("tblPiNAnalysis[" &amp; Table11[[#Headers],[PiN más alto]] &amp; "]"), "NOT FOUND", 0, 1)</f>
        <v>33817</v>
      </c>
      <c r="O265" t="str" cm="1">
        <f t="array" aca="1" ref="O265" ca="1">_xlfn.XLOOKUP(Table11[[#This Row],[Admin2PCODE]], tblPiNAnalysis[Admin2PCODE], INDIRECT("tblPiNAnalysis[" &amp; Table11[[#Headers],[Sectores más altos]] &amp; "]"), "NOT FOUND", 0, 1)</f>
        <v>SAMV</v>
      </c>
      <c r="P265" cm="1">
        <f t="array" ref="P265">_xlfn.XLOOKUP(Table11[[#This Row],[Admin2PCODE]], tblPiNAnalysis[Admin2PCODE], tblPiNAnalysis[Severidad], "NOT FOUND", 0, 1)</f>
        <v>3</v>
      </c>
      <c r="Q265" s="318">
        <v>0.52121212121212124</v>
      </c>
      <c r="R265" s="318">
        <v>0.47157622739018079</v>
      </c>
      <c r="S265" s="318">
        <v>0.24579124579124575</v>
      </c>
      <c r="T265">
        <v>0</v>
      </c>
      <c r="W265">
        <f>_xlfn.XLOOKUP(Table11[[#This Row],[Admin2PCODE]],tblSeverityAnalysis[Admin 2 Código P],tblSeverityAnalysis[PRO],0,0)</f>
        <v>3</v>
      </c>
      <c r="Y265">
        <v>8</v>
      </c>
      <c r="Z265">
        <v>0</v>
      </c>
      <c r="AA265">
        <f t="shared" si="4"/>
        <v>0</v>
      </c>
    </row>
    <row r="266" spans="1:27">
      <c r="A266" t="s">
        <v>589</v>
      </c>
      <c r="B266" t="s">
        <v>590</v>
      </c>
      <c r="C266" s="42" t="s">
        <v>141</v>
      </c>
      <c r="D266" t="s">
        <v>616</v>
      </c>
      <c r="E266" s="8" cm="1">
        <f t="array" aca="1" ref="E266" ca="1">_xlfn.XLOOKUP(Table11[[#This Row],[Admin2PCODE]], tblPiNAnalysis[Admin2PCODE], INDIRECT("tblPiNAnalysis[" &amp; Table11[[#Headers],[Población]] &amp; "]"), "NOT FOUND", 0, 1)</f>
        <v>28167</v>
      </c>
      <c r="F266" s="8" cm="1">
        <f t="array" aca="1" ref="F266" ca="1">_xlfn.XLOOKUP(Table11[[#This Row],[Admin2PCODE]], tblPiNAnalysis[Admin2PCODE], INDIRECT("tblPiNAnalysis[" &amp; Table11[[#Headers],[SAMV]] &amp; "]"), "NOT FOUND", 0, 1)</f>
        <v>10833</v>
      </c>
      <c r="G266" s="8" cm="1">
        <f t="array" aca="1" ref="G266" ca="1">_xlfn.XLOOKUP(Table11[[#This Row],[Admin2PCODE]], tblPiNAnalysis[Admin2PCODE], INDIRECT("tblPiNAnalysis[" &amp; Table11[[#Headers],[NUT]] &amp; "]"), "NOT FOUND", 0, 1)</f>
        <v>834.42130302973101</v>
      </c>
      <c r="H266" s="8" cm="1">
        <f t="array" aca="1" ref="H266" ca="1">_xlfn.XLOOKUP(Table11[[#This Row],[Admin2PCODE]], tblPiNAnalysis[Admin2PCODE], INDIRECT("tblPiNAnalysis[" &amp; Table11[[#Headers],[SAL]] &amp; "]"), "NOT FOUND", 0, 1)</f>
        <v>10280.955</v>
      </c>
      <c r="I266" s="8" cm="1">
        <f t="array" aca="1" ref="I266" ca="1">_xlfn.XLOOKUP(Table11[[#This Row],[Admin2PCODE]], tblPiNAnalysis[Admin2PCODE], INDIRECT("tblPiNAnalysis[" &amp; Table11[[#Headers],[EDU]] &amp; "]"), "NOT FOUND", 0, 1)</f>
        <v>3814.8835926432689</v>
      </c>
      <c r="J266" s="8" cm="1">
        <f t="array" aca="1" ref="J266" ca="1">_xlfn.XLOOKUP(Table11[[#This Row],[Admin2PCODE]], tblPiNAnalysis[Admin2PCODE], INDIRECT("tblPiNAnalysis[" &amp; Table11[[#Headers],[PRO]] &amp; "]"), "NOT FOUND", 0, 1)</f>
        <v>5638.3345961453051</v>
      </c>
      <c r="K266" s="8" cm="1">
        <f t="array" aca="1" ref="K266" ca="1">_xlfn.XLOOKUP(Table11[[#This Row],[Admin2PCODE]], tblPiNAnalysis[Admin2PCODE], INDIRECT("tblPiNAnalysis[" &amp; Table11[[#Headers],[ASH]] &amp; "]"), "NOT FOUND", 0, 1)</f>
        <v>0</v>
      </c>
      <c r="L266" s="8" cm="1">
        <f t="array" aca="1" ref="L266" ca="1">_xlfn.XLOOKUP(Table11[[#This Row],[Admin2PCODE]], tblPiNAnalysis[Admin2PCODE], INDIRECT("tblPiNAnalysis[" &amp; Table11[[#Headers],[NNA]] &amp; "]"), "NOT FOUND", 0, 1)</f>
        <v>1809.905405362643</v>
      </c>
      <c r="M266" s="8" cm="1">
        <f t="array" aca="1" ref="M266" ca="1">_xlfn.XLOOKUP(Table11[[#This Row],[Admin2PCODE]], tblPiNAnalysis[Admin2PCODE], INDIRECT("tblPiNAnalysis[" &amp; Table11[[#Headers],[VBG]] &amp; "]"), "NOT FOUND", 0, 1)</f>
        <v>1973.4171086508568</v>
      </c>
      <c r="N266" s="8" cm="1">
        <f t="array" aca="1" ref="N266" ca="1">_xlfn.XLOOKUP(Table11[[#This Row],[Admin2PCODE]], tblPiNAnalysis[Admin2PCODE], INDIRECT("tblPiNAnalysis[" &amp; Table11[[#Headers],[PiN más alto]] &amp; "]"), "NOT FOUND", 0, 1)</f>
        <v>10833</v>
      </c>
      <c r="O266" t="str" cm="1">
        <f t="array" aca="1" ref="O266" ca="1">_xlfn.XLOOKUP(Table11[[#This Row],[Admin2PCODE]], tblPiNAnalysis[Admin2PCODE], INDIRECT("tblPiNAnalysis[" &amp; Table11[[#Headers],[Sectores más altos]] &amp; "]"), "NOT FOUND", 0, 1)</f>
        <v>SAMV</v>
      </c>
      <c r="P266" cm="1">
        <f t="array" ref="P266">_xlfn.XLOOKUP(Table11[[#This Row],[Admin2PCODE]], tblPiNAnalysis[Admin2PCODE], tblPiNAnalysis[Severidad], "NOT FOUND", 0, 1)</f>
        <v>3</v>
      </c>
      <c r="Q266" s="318">
        <v>0.48717948717948717</v>
      </c>
      <c r="R266" s="318">
        <v>0.39766081871345021</v>
      </c>
      <c r="S266" s="318">
        <v>0.19373219373219369</v>
      </c>
      <c r="T266">
        <v>0</v>
      </c>
      <c r="W266">
        <f>_xlfn.XLOOKUP(Table11[[#This Row],[Admin2PCODE]],tblSeverityAnalysis[Admin 2 Código P],tblSeverityAnalysis[PRO],0,0)</f>
        <v>3</v>
      </c>
      <c r="Y266">
        <v>9</v>
      </c>
      <c r="Z266">
        <v>0</v>
      </c>
      <c r="AA266">
        <f t="shared" si="4"/>
        <v>0</v>
      </c>
    </row>
    <row r="267" spans="1:27">
      <c r="A267" t="s">
        <v>589</v>
      </c>
      <c r="B267" t="s">
        <v>590</v>
      </c>
      <c r="C267" s="42" t="s">
        <v>100</v>
      </c>
      <c r="D267" t="s">
        <v>617</v>
      </c>
      <c r="E267" s="8" cm="1">
        <f t="array" aca="1" ref="E267" ca="1">_xlfn.XLOOKUP(Table11[[#This Row],[Admin2PCODE]], tblPiNAnalysis[Admin2PCODE], INDIRECT("tblPiNAnalysis[" &amp; Table11[[#Headers],[Población]] &amp; "]"), "NOT FOUND", 0, 1)</f>
        <v>22976</v>
      </c>
      <c r="F267" s="8" cm="1">
        <f t="array" aca="1" ref="F267" ca="1">_xlfn.XLOOKUP(Table11[[#This Row],[Admin2PCODE]], tblPiNAnalysis[Admin2PCODE], INDIRECT("tblPiNAnalysis[" &amp; Table11[[#Headers],[SAMV]] &amp; "]"), "NOT FOUND", 0, 1)</f>
        <v>6063</v>
      </c>
      <c r="G267" s="8" cm="1">
        <f t="array" aca="1" ref="G267" ca="1">_xlfn.XLOOKUP(Table11[[#This Row],[Admin2PCODE]], tblPiNAnalysis[Admin2PCODE], INDIRECT("tblPiNAnalysis[" &amp; Table11[[#Headers],[NUT]] &amp; "]"), "NOT FOUND", 0, 1)</f>
        <v>2444.3455748165311</v>
      </c>
      <c r="H267" s="8" cm="1">
        <f t="array" aca="1" ref="H267" ca="1">_xlfn.XLOOKUP(Table11[[#This Row],[Admin2PCODE]], tblPiNAnalysis[Admin2PCODE], INDIRECT("tblPiNAnalysis[" &amp; Table11[[#Headers],[SAL]] &amp; "]"), "NOT FOUND", 0, 1)</f>
        <v>8386.24</v>
      </c>
      <c r="I267" s="8" cm="1">
        <f t="array" aca="1" ref="I267" ca="1">_xlfn.XLOOKUP(Table11[[#This Row],[Admin2PCODE]], tblPiNAnalysis[Admin2PCODE], INDIRECT("tblPiNAnalysis[" &amp; Table11[[#Headers],[EDU]] &amp; "]"), "NOT FOUND", 0, 1)</f>
        <v>2433.6208823545603</v>
      </c>
      <c r="J267" s="8" cm="1">
        <f t="array" aca="1" ref="J267" ca="1">_xlfn.XLOOKUP(Table11[[#This Row],[Admin2PCODE]], tblPiNAnalysis[Admin2PCODE], INDIRECT("tblPiNAnalysis[" &amp; Table11[[#Headers],[PRO]] &amp; "]"), "NOT FOUND", 0, 1)</f>
        <v>4599.2251812771865</v>
      </c>
      <c r="K267" s="8" cm="1">
        <f t="array" aca="1" ref="K267" ca="1">_xlfn.XLOOKUP(Table11[[#This Row],[Admin2PCODE]], tblPiNAnalysis[Admin2PCODE], INDIRECT("tblPiNAnalysis[" &amp; Table11[[#Headers],[ASH]] &amp; "]"), "NOT FOUND", 0, 1)</f>
        <v>0</v>
      </c>
      <c r="L267" s="8" cm="1">
        <f t="array" aca="1" ref="L267" ca="1">_xlfn.XLOOKUP(Table11[[#This Row],[Admin2PCODE]], tblPiNAnalysis[Admin2PCODE], INDIRECT("tblPiNAnalysis[" &amp; Table11[[#Headers],[NNA]] &amp; "]"), "NOT FOUND", 0, 1)</f>
        <v>1471.7520580086998</v>
      </c>
      <c r="M267" s="8" cm="1">
        <f t="array" aca="1" ref="M267" ca="1">_xlfn.XLOOKUP(Table11[[#This Row],[Admin2PCODE]], tblPiNAnalysis[Admin2PCODE], INDIRECT("tblPiNAnalysis[" &amp; Table11[[#Headers],[VBG]] &amp; "]"), "NOT FOUND", 0, 1)</f>
        <v>1609.7288134470152</v>
      </c>
      <c r="N267" s="8" cm="1">
        <f t="array" aca="1" ref="N267" ca="1">_xlfn.XLOOKUP(Table11[[#This Row],[Admin2PCODE]], tblPiNAnalysis[Admin2PCODE], INDIRECT("tblPiNAnalysis[" &amp; Table11[[#Headers],[PiN más alto]] &amp; "]"), "NOT FOUND", 0, 1)</f>
        <v>8386.24</v>
      </c>
      <c r="O267" t="str" cm="1">
        <f t="array" aca="1" ref="O267" ca="1">_xlfn.XLOOKUP(Table11[[#This Row],[Admin2PCODE]], tblPiNAnalysis[Admin2PCODE], INDIRECT("tblPiNAnalysis[" &amp; Table11[[#Headers],[Sectores más altos]] &amp; "]"), "NOT FOUND", 0, 1)</f>
        <v>SAL</v>
      </c>
      <c r="P267" cm="1">
        <f t="array" ref="P267">_xlfn.XLOOKUP(Table11[[#This Row],[Admin2PCODE]], tblPiNAnalysis[Admin2PCODE], tblPiNAnalysis[Severidad], "NOT FOUND", 0, 1)</f>
        <v>3</v>
      </c>
      <c r="Q267" s="318">
        <v>0.43243243243243246</v>
      </c>
      <c r="R267" s="318">
        <v>0.45833333333333331</v>
      </c>
      <c r="S267" s="318">
        <v>0.1981981981981982</v>
      </c>
      <c r="T267">
        <v>0</v>
      </c>
      <c r="W267">
        <f>_xlfn.XLOOKUP(Table11[[#This Row],[Admin2PCODE]],tblSeverityAnalysis[Admin 2 Código P],tblSeverityAnalysis[PRO],0,0)</f>
        <v>3</v>
      </c>
      <c r="Y267">
        <v>0</v>
      </c>
      <c r="Z267">
        <v>3.6</v>
      </c>
      <c r="AA267">
        <f t="shared" si="4"/>
        <v>4</v>
      </c>
    </row>
    <row r="268" spans="1:27">
      <c r="A268" t="s">
        <v>589</v>
      </c>
      <c r="B268" t="s">
        <v>590</v>
      </c>
      <c r="C268" s="42" t="s">
        <v>618</v>
      </c>
      <c r="D268" t="s">
        <v>619</v>
      </c>
      <c r="E268" s="8" cm="1">
        <f t="array" aca="1" ref="E268" ca="1">_xlfn.XLOOKUP(Table11[[#This Row],[Admin2PCODE]], tblPiNAnalysis[Admin2PCODE], INDIRECT("tblPiNAnalysis[" &amp; Table11[[#Headers],[Población]] &amp; "]"), "NOT FOUND", 0, 1)</f>
        <v>13862</v>
      </c>
      <c r="F268" s="8" cm="1">
        <f t="array" aca="1" ref="F268" ca="1">_xlfn.XLOOKUP(Table11[[#This Row],[Admin2PCODE]], tblPiNAnalysis[Admin2PCODE], INDIRECT("tblPiNAnalysis[" &amp; Table11[[#Headers],[SAMV]] &amp; "]"), "NOT FOUND", 0, 1)</f>
        <v>4364</v>
      </c>
      <c r="G268" s="8" cm="1">
        <f t="array" aca="1" ref="G268" ca="1">_xlfn.XLOOKUP(Table11[[#This Row],[Admin2PCODE]], tblPiNAnalysis[Admin2PCODE], INDIRECT("tblPiNAnalysis[" &amp; Table11[[#Headers],[NUT]] &amp; "]"), "NOT FOUND", 0, 1)</f>
        <v>328.35682092048978</v>
      </c>
      <c r="H268" s="8" cm="1">
        <f t="array" aca="1" ref="H268" ca="1">_xlfn.XLOOKUP(Table11[[#This Row],[Admin2PCODE]], tblPiNAnalysis[Admin2PCODE], INDIRECT("tblPiNAnalysis[" &amp; Table11[[#Headers],[SAL]] &amp; "]"), "NOT FOUND", 0, 1)</f>
        <v>5059.63</v>
      </c>
      <c r="I268" s="8" cm="1">
        <f t="array" aca="1" ref="I268" ca="1">_xlfn.XLOOKUP(Table11[[#This Row],[Admin2PCODE]], tblPiNAnalysis[Admin2PCODE], INDIRECT("tblPiNAnalysis[" &amp; Table11[[#Headers],[EDU]] &amp; "]"), "NOT FOUND", 0, 1)</f>
        <v>2079.4913569233327</v>
      </c>
      <c r="J268" s="8" cm="1">
        <f t="array" aca="1" ref="J268" ca="1">_xlfn.XLOOKUP(Table11[[#This Row],[Admin2PCODE]], tblPiNAnalysis[Admin2PCODE], INDIRECT("tblPiNAnalysis[" &amp; Table11[[#Headers],[PRO]] &amp; "]"), "NOT FOUND", 0, 1)</f>
        <v>2774.8284933349732</v>
      </c>
      <c r="K268" s="8" cm="1">
        <f t="array" aca="1" ref="K268" ca="1">_xlfn.XLOOKUP(Table11[[#This Row],[Admin2PCODE]], tblPiNAnalysis[Admin2PCODE], INDIRECT("tblPiNAnalysis[" &amp; Table11[[#Headers],[ASH]] &amp; "]"), "NOT FOUND", 0, 1)</f>
        <v>0</v>
      </c>
      <c r="L268" s="8" cm="1">
        <f t="array" aca="1" ref="L268" ca="1">_xlfn.XLOOKUP(Table11[[#This Row],[Admin2PCODE]], tblPiNAnalysis[Admin2PCODE], INDIRECT("tblPiNAnalysis[" &amp; Table11[[#Headers],[NNA]] &amp; "]"), "NOT FOUND", 0, 1)</f>
        <v>887.94511786719136</v>
      </c>
      <c r="M268" s="8" cm="1">
        <f t="array" aca="1" ref="M268" ca="1">_xlfn.XLOOKUP(Table11[[#This Row],[Admin2PCODE]], tblPiNAnalysis[Admin2PCODE], INDIRECT("tblPiNAnalysis[" &amp; Table11[[#Headers],[VBG]] &amp; "]"), "NOT FOUND", 0, 1)</f>
        <v>971.18997266724068</v>
      </c>
      <c r="N268" s="8" cm="1">
        <f t="array" aca="1" ref="N268" ca="1">_xlfn.XLOOKUP(Table11[[#This Row],[Admin2PCODE]], tblPiNAnalysis[Admin2PCODE], INDIRECT("tblPiNAnalysis[" &amp; Table11[[#Headers],[PiN más alto]] &amp; "]"), "NOT FOUND", 0, 1)</f>
        <v>5059.63</v>
      </c>
      <c r="O268" t="str" cm="1">
        <f t="array" aca="1" ref="O268" ca="1">_xlfn.XLOOKUP(Table11[[#This Row],[Admin2PCODE]], tblPiNAnalysis[Admin2PCODE], INDIRECT("tblPiNAnalysis[" &amp; Table11[[#Headers],[Sectores más altos]] &amp; "]"), "NOT FOUND", 0, 1)</f>
        <v>SAL</v>
      </c>
      <c r="P268" cm="1">
        <f t="array" ref="P268">_xlfn.XLOOKUP(Table11[[#This Row],[Admin2PCODE]], tblPiNAnalysis[Admin2PCODE], tblPiNAnalysis[Severidad], "NOT FOUND", 0, 1)</f>
        <v>2</v>
      </c>
      <c r="Q268" s="318">
        <v>0.61702127659574468</v>
      </c>
      <c r="R268" s="318">
        <v>0.45977011494252856</v>
      </c>
      <c r="S268" s="318">
        <v>0.28368794326241126</v>
      </c>
      <c r="T268">
        <v>0</v>
      </c>
      <c r="W268">
        <f>_xlfn.XLOOKUP(Table11[[#This Row],[Admin2PCODE]],tblSeverityAnalysis[Admin 2 Código P],tblSeverityAnalysis[PRO],0,0)</f>
        <v>3</v>
      </c>
      <c r="Y268">
        <v>0</v>
      </c>
      <c r="Z268">
        <v>0</v>
      </c>
      <c r="AA268">
        <f t="shared" si="4"/>
        <v>0</v>
      </c>
    </row>
    <row r="269" spans="1:27">
      <c r="A269" t="s">
        <v>589</v>
      </c>
      <c r="B269" t="s">
        <v>590</v>
      </c>
      <c r="C269" s="42" t="s">
        <v>620</v>
      </c>
      <c r="D269" t="s">
        <v>621</v>
      </c>
      <c r="E269" s="8" cm="1">
        <f t="array" aca="1" ref="E269" ca="1">_xlfn.XLOOKUP(Table11[[#This Row],[Admin2PCODE]], tblPiNAnalysis[Admin2PCODE], INDIRECT("tblPiNAnalysis[" &amp; Table11[[#Headers],[Población]] &amp; "]"), "NOT FOUND", 0, 1)</f>
        <v>19993</v>
      </c>
      <c r="F269" s="8" cm="1">
        <f t="array" aca="1" ref="F269" ca="1">_xlfn.XLOOKUP(Table11[[#This Row],[Admin2PCODE]], tblPiNAnalysis[Admin2PCODE], INDIRECT("tblPiNAnalysis[" &amp; Table11[[#Headers],[SAMV]] &amp; "]"), "NOT FOUND", 0, 1)</f>
        <v>6665</v>
      </c>
      <c r="G269" s="8" cm="1">
        <f t="array" aca="1" ref="G269" ca="1">_xlfn.XLOOKUP(Table11[[#This Row],[Admin2PCODE]], tblPiNAnalysis[Admin2PCODE], INDIRECT("tblPiNAnalysis[" &amp; Table11[[#Headers],[NUT]] &amp; "]"), "NOT FOUND", 0, 1)</f>
        <v>606.48514632526735</v>
      </c>
      <c r="H269" s="8" cm="1">
        <f t="array" aca="1" ref="H269" ca="1">_xlfn.XLOOKUP(Table11[[#This Row],[Admin2PCODE]], tblPiNAnalysis[Admin2PCODE], INDIRECT("tblPiNAnalysis[" &amp; Table11[[#Headers],[SAL]] &amp; "]"), "NOT FOUND", 0, 1)</f>
        <v>7297.4449999999997</v>
      </c>
      <c r="I269" s="8" cm="1">
        <f t="array" aca="1" ref="I269" ca="1">_xlfn.XLOOKUP(Table11[[#This Row],[Admin2PCODE]], tblPiNAnalysis[Admin2PCODE], INDIRECT("tblPiNAnalysis[" &amp; Table11[[#Headers],[EDU]] &amp; "]"), "NOT FOUND", 0, 1)</f>
        <v>2442.2626103369207</v>
      </c>
      <c r="J269" s="8" cm="1">
        <f t="array" aca="1" ref="J269" ca="1">_xlfn.XLOOKUP(Table11[[#This Row],[Admin2PCODE]], tblPiNAnalysis[Admin2PCODE], INDIRECT("tblPiNAnalysis[" &amp; Table11[[#Headers],[PRO]] &amp; "]"), "NOT FOUND", 0, 1)</f>
        <v>4002.1025874510265</v>
      </c>
      <c r="K269" s="8" cm="1">
        <f t="array" aca="1" ref="K269" ca="1">_xlfn.XLOOKUP(Table11[[#This Row],[Admin2PCODE]], tblPiNAnalysis[Admin2PCODE], INDIRECT("tblPiNAnalysis[" &amp; Table11[[#Headers],[ASH]] &amp; "]"), "NOT FOUND", 0, 1)</f>
        <v>0</v>
      </c>
      <c r="L269" s="8" cm="1">
        <f t="array" aca="1" ref="L269" ca="1">_xlfn.XLOOKUP(Table11[[#This Row],[Admin2PCODE]], tblPiNAnalysis[Admin2PCODE], INDIRECT("tblPiNAnalysis[" &amp; Table11[[#Headers],[NNA]] &amp; "]"), "NOT FOUND", 0, 1)</f>
        <v>1280.6728279843285</v>
      </c>
      <c r="M269" s="8" cm="1">
        <f t="array" aca="1" ref="M269" ca="1">_xlfn.XLOOKUP(Table11[[#This Row],[Admin2PCODE]], tblPiNAnalysis[Admin2PCODE], INDIRECT("tblPiNAnalysis[" &amp; Table11[[#Headers],[VBG]] &amp; "]"), "NOT FOUND", 0, 1)</f>
        <v>1400.7359056078594</v>
      </c>
      <c r="N269" s="8" cm="1">
        <f t="array" aca="1" ref="N269" ca="1">_xlfn.XLOOKUP(Table11[[#This Row],[Admin2PCODE]], tblPiNAnalysis[Admin2PCODE], INDIRECT("tblPiNAnalysis[" &amp; Table11[[#Headers],[PiN más alto]] &amp; "]"), "NOT FOUND", 0, 1)</f>
        <v>7297.4449999999997</v>
      </c>
      <c r="O269" t="str" cm="1">
        <f t="array" aca="1" ref="O269" ca="1">_xlfn.XLOOKUP(Table11[[#This Row],[Admin2PCODE]], tblPiNAnalysis[Admin2PCODE], INDIRECT("tblPiNAnalysis[" &amp; Table11[[#Headers],[Sectores más altos]] &amp; "]"), "NOT FOUND", 0, 1)</f>
        <v>SAL</v>
      </c>
      <c r="P269" cm="1">
        <f t="array" ref="P269">_xlfn.XLOOKUP(Table11[[#This Row],[Admin2PCODE]], tblPiNAnalysis[Admin2PCODE], tblPiNAnalysis[Severidad], "NOT FOUND", 0, 1)</f>
        <v>2</v>
      </c>
      <c r="Q269" s="318">
        <v>0.83018867924528306</v>
      </c>
      <c r="R269" s="318">
        <v>0.38131313131313127</v>
      </c>
      <c r="S269" s="318">
        <v>0.31656184486373162</v>
      </c>
      <c r="T269">
        <v>1</v>
      </c>
      <c r="W269">
        <f>_xlfn.XLOOKUP(Table11[[#This Row],[Admin2PCODE]],tblSeverityAnalysis[Admin 2 Código P],tblSeverityAnalysis[PRO],0,0)</f>
        <v>3</v>
      </c>
      <c r="Y269">
        <v>8</v>
      </c>
      <c r="Z269">
        <v>0</v>
      </c>
      <c r="AA269">
        <f t="shared" si="4"/>
        <v>0</v>
      </c>
    </row>
    <row r="270" spans="1:27">
      <c r="A270" t="s">
        <v>589</v>
      </c>
      <c r="B270" t="s">
        <v>590</v>
      </c>
      <c r="C270" s="42" t="s">
        <v>622</v>
      </c>
      <c r="D270" t="s">
        <v>623</v>
      </c>
      <c r="E270" s="8" cm="1">
        <f t="array" aca="1" ref="E270" ca="1">_xlfn.XLOOKUP(Table11[[#This Row],[Admin2PCODE]], tblPiNAnalysis[Admin2PCODE], INDIRECT("tblPiNAnalysis[" &amp; Table11[[#Headers],[Población]] &amp; "]"), "NOT FOUND", 0, 1)</f>
        <v>32901</v>
      </c>
      <c r="F270" s="8" cm="1">
        <f t="array" aca="1" ref="F270" ca="1">_xlfn.XLOOKUP(Table11[[#This Row],[Admin2PCODE]], tblPiNAnalysis[Admin2PCODE], INDIRECT("tblPiNAnalysis[" &amp; Table11[[#Headers],[SAMV]] &amp; "]"), "NOT FOUND", 0, 1)</f>
        <v>9400</v>
      </c>
      <c r="G270" s="8" cm="1">
        <f t="array" aca="1" ref="G270" ca="1">_xlfn.XLOOKUP(Table11[[#This Row],[Admin2PCODE]], tblPiNAnalysis[Admin2PCODE], INDIRECT("tblPiNAnalysis[" &amp; Table11[[#Headers],[NUT]] &amp; "]"), "NOT FOUND", 0, 1)</f>
        <v>1249.2733867399661</v>
      </c>
      <c r="H270" s="8" cm="1">
        <f t="array" aca="1" ref="H270" ca="1">_xlfn.XLOOKUP(Table11[[#This Row],[Admin2PCODE]], tblPiNAnalysis[Admin2PCODE], INDIRECT("tblPiNAnalysis[" &amp; Table11[[#Headers],[SAL]] &amp; "]"), "NOT FOUND", 0, 1)</f>
        <v>12008.865</v>
      </c>
      <c r="I270" s="8" cm="1">
        <f t="array" aca="1" ref="I270" ca="1">_xlfn.XLOOKUP(Table11[[#This Row],[Admin2PCODE]], tblPiNAnalysis[Admin2PCODE], INDIRECT("tblPiNAnalysis[" &amp; Table11[[#Headers],[EDU]] &amp; "]"), "NOT FOUND", 0, 1)</f>
        <v>2659.5132413567894</v>
      </c>
      <c r="J270" s="8" cm="1">
        <f t="array" aca="1" ref="J270" ca="1">_xlfn.XLOOKUP(Table11[[#This Row],[Admin2PCODE]], tblPiNAnalysis[Admin2PCODE], INDIRECT("tblPiNAnalysis[" &amp; Table11[[#Headers],[PRO]] &amp; "]"), "NOT FOUND", 0, 1)</f>
        <v>6585.9639488684161</v>
      </c>
      <c r="K270" s="8" cm="1">
        <f t="array" aca="1" ref="K270" ca="1">_xlfn.XLOOKUP(Table11[[#This Row],[Admin2PCODE]], tblPiNAnalysis[Admin2PCODE], INDIRECT("tblPiNAnalysis[" &amp; Table11[[#Headers],[ASH]] &amp; "]"), "NOT FOUND", 0, 1)</f>
        <v>4441.6350000000002</v>
      </c>
      <c r="L270" s="8" cm="1">
        <f t="array" aca="1" ref="L270" ca="1">_xlfn.XLOOKUP(Table11[[#This Row],[Admin2PCODE]], tblPiNAnalysis[Admin2PCODE], INDIRECT("tblPiNAnalysis[" &amp; Table11[[#Headers],[NNA]] &amp; "]"), "NOT FOUND", 0, 1)</f>
        <v>2107.5084636378933</v>
      </c>
      <c r="M270" s="8" cm="1">
        <f t="array" aca="1" ref="M270" ca="1">_xlfn.XLOOKUP(Table11[[#This Row],[Admin2PCODE]], tblPiNAnalysis[Admin2PCODE], INDIRECT("tblPiNAnalysis[" &amp; Table11[[#Headers],[VBG]] &amp; "]"), "NOT FOUND", 0, 1)</f>
        <v>2305.0873821039459</v>
      </c>
      <c r="N270" s="8" cm="1">
        <f t="array" aca="1" ref="N270" ca="1">_xlfn.XLOOKUP(Table11[[#This Row],[Admin2PCODE]], tblPiNAnalysis[Admin2PCODE], INDIRECT("tblPiNAnalysis[" &amp; Table11[[#Headers],[PiN más alto]] &amp; "]"), "NOT FOUND", 0, 1)</f>
        <v>12008.865</v>
      </c>
      <c r="O270" t="str" cm="1">
        <f t="array" aca="1" ref="O270" ca="1">_xlfn.XLOOKUP(Table11[[#This Row],[Admin2PCODE]], tblPiNAnalysis[Admin2PCODE], INDIRECT("tblPiNAnalysis[" &amp; Table11[[#Headers],[Sectores más altos]] &amp; "]"), "NOT FOUND", 0, 1)</f>
        <v>SAL</v>
      </c>
      <c r="P270" cm="1">
        <f t="array" ref="P270">_xlfn.XLOOKUP(Table11[[#This Row],[Admin2PCODE]], tblPiNAnalysis[Admin2PCODE], tblPiNAnalysis[Severidad], "NOT FOUND", 0, 1)</f>
        <v>3</v>
      </c>
      <c r="Q270" s="318">
        <v>0.91666666666666663</v>
      </c>
      <c r="R270" s="318">
        <v>0.39292929292929285</v>
      </c>
      <c r="S270" s="318">
        <v>0.36018518518518511</v>
      </c>
      <c r="T270">
        <v>0</v>
      </c>
      <c r="W270">
        <f>_xlfn.XLOOKUP(Table11[[#This Row],[Admin2PCODE]],tblSeverityAnalysis[Admin 2 Código P],tblSeverityAnalysis[PRO],0,0)</f>
        <v>3</v>
      </c>
      <c r="Y270">
        <v>2</v>
      </c>
      <c r="Z270">
        <v>0</v>
      </c>
      <c r="AA270">
        <f t="shared" si="4"/>
        <v>0</v>
      </c>
    </row>
    <row r="271" spans="1:27">
      <c r="A271" t="s">
        <v>589</v>
      </c>
      <c r="B271" t="s">
        <v>590</v>
      </c>
      <c r="C271" s="42" t="s">
        <v>624</v>
      </c>
      <c r="D271" t="s">
        <v>625</v>
      </c>
      <c r="E271" s="8" cm="1">
        <f t="array" aca="1" ref="E271" ca="1">_xlfn.XLOOKUP(Table11[[#This Row],[Admin2PCODE]], tblPiNAnalysis[Admin2PCODE], INDIRECT("tblPiNAnalysis[" &amp; Table11[[#Headers],[Población]] &amp; "]"), "NOT FOUND", 0, 1)</f>
        <v>53049</v>
      </c>
      <c r="F271" s="8" cm="1">
        <f t="array" aca="1" ref="F271" ca="1">_xlfn.XLOOKUP(Table11[[#This Row],[Admin2PCODE]], tblPiNAnalysis[Admin2PCODE], INDIRECT("tblPiNAnalysis[" &amp; Table11[[#Headers],[SAMV]] &amp; "]"), "NOT FOUND", 0, 1)</f>
        <v>28225</v>
      </c>
      <c r="G271" s="8" cm="1">
        <f t="array" aca="1" ref="G271" ca="1">_xlfn.XLOOKUP(Table11[[#This Row],[Admin2PCODE]], tblPiNAnalysis[Admin2PCODE], INDIRECT("tblPiNAnalysis[" &amp; Table11[[#Headers],[NUT]] &amp; "]"), "NOT FOUND", 0, 1)</f>
        <v>1783.518817212745</v>
      </c>
      <c r="H271" s="8" cm="1">
        <f t="array" aca="1" ref="H271" ca="1">_xlfn.XLOOKUP(Table11[[#This Row],[Admin2PCODE]], tblPiNAnalysis[Admin2PCODE], INDIRECT("tblPiNAnalysis[" &amp; Table11[[#Headers],[SAL]] &amp; "]"), "NOT FOUND", 0, 1)</f>
        <v>19362.884999999998</v>
      </c>
      <c r="I271" s="8" cm="1">
        <f t="array" aca="1" ref="I271" ca="1">_xlfn.XLOOKUP(Table11[[#This Row],[Admin2PCODE]], tblPiNAnalysis[Admin2PCODE], INDIRECT("tblPiNAnalysis[" &amp; Table11[[#Headers],[EDU]] &amp; "]"), "NOT FOUND", 0, 1)</f>
        <v>9320.8238035168688</v>
      </c>
      <c r="J271" s="8" cm="1">
        <f t="array" aca="1" ref="J271" ca="1">_xlfn.XLOOKUP(Table11[[#This Row],[Admin2PCODE]], tblPiNAnalysis[Admin2PCODE], INDIRECT("tblPiNAnalysis[" &amp; Table11[[#Headers],[PRO]] &amp; "]"), "NOT FOUND", 0, 1)</f>
        <v>12742.912429051536</v>
      </c>
      <c r="K271" s="8" cm="1">
        <f t="array" aca="1" ref="K271" ca="1">_xlfn.XLOOKUP(Table11[[#This Row],[Admin2PCODE]], tblPiNAnalysis[Admin2PCODE], INDIRECT("tblPiNAnalysis[" &amp; Table11[[#Headers],[ASH]] &amp; "]"), "NOT FOUND", 0, 1)</f>
        <v>31829.399999999998</v>
      </c>
      <c r="L271" s="8" cm="1">
        <f t="array" aca="1" ref="L271" ca="1">_xlfn.XLOOKUP(Table11[[#This Row],[Admin2PCODE]], tblPiNAnalysis[Admin2PCODE], INDIRECT("tblPiNAnalysis[" &amp; Table11[[#Headers],[NNA]] &amp; "]"), "NOT FOUND", 0, 1)</f>
        <v>4077.7319772964916</v>
      </c>
      <c r="M271" s="8" cm="1">
        <f t="array" aca="1" ref="M271" ca="1">_xlfn.XLOOKUP(Table11[[#This Row],[Admin2PCODE]], tblPiNAnalysis[Admin2PCODE], INDIRECT("tblPiNAnalysis[" &amp; Table11[[#Headers],[VBG]] &amp; "]"), "NOT FOUND", 0, 1)</f>
        <v>4460.0193501680369</v>
      </c>
      <c r="N271" s="8" cm="1">
        <f t="array" aca="1" ref="N271" ca="1">_xlfn.XLOOKUP(Table11[[#This Row],[Admin2PCODE]], tblPiNAnalysis[Admin2PCODE], INDIRECT("tblPiNAnalysis[" &amp; Table11[[#Headers],[PiN más alto]] &amp; "]"), "NOT FOUND", 0, 1)</f>
        <v>31829.399999999998</v>
      </c>
      <c r="O271" t="str" cm="1">
        <f t="array" aca="1" ref="O271" ca="1">_xlfn.XLOOKUP(Table11[[#This Row],[Admin2PCODE]], tblPiNAnalysis[Admin2PCODE], INDIRECT("tblPiNAnalysis[" &amp; Table11[[#Headers],[Sectores más altos]] &amp; "]"), "NOT FOUND", 0, 1)</f>
        <v>ASH</v>
      </c>
      <c r="P271" cm="1">
        <f t="array" ref="P271">_xlfn.XLOOKUP(Table11[[#This Row],[Admin2PCODE]], tblPiNAnalysis[Admin2PCODE], tblPiNAnalysis[Severidad], "NOT FOUND", 0, 1)</f>
        <v>4</v>
      </c>
      <c r="Q271" s="318">
        <v>0.48148148148148145</v>
      </c>
      <c r="R271" s="318">
        <v>0.41880341880341887</v>
      </c>
      <c r="S271" s="318">
        <v>0.20164609053497945</v>
      </c>
      <c r="T271">
        <v>0</v>
      </c>
      <c r="W271">
        <f>_xlfn.XLOOKUP(Table11[[#This Row],[Admin2PCODE]],tblSeverityAnalysis[Admin 2 Código P],tblSeverityAnalysis[PRO],0,0)</f>
        <v>4</v>
      </c>
      <c r="Y271">
        <v>0</v>
      </c>
      <c r="Z271">
        <v>0</v>
      </c>
      <c r="AA271">
        <f t="shared" si="4"/>
        <v>0</v>
      </c>
    </row>
    <row r="272" spans="1:27">
      <c r="A272" t="s">
        <v>589</v>
      </c>
      <c r="B272" t="s">
        <v>590</v>
      </c>
      <c r="C272" s="42" t="s">
        <v>626</v>
      </c>
      <c r="D272" t="s">
        <v>627</v>
      </c>
      <c r="E272" s="8" cm="1">
        <f t="array" aca="1" ref="E272" ca="1">_xlfn.XLOOKUP(Table11[[#This Row],[Admin2PCODE]], tblPiNAnalysis[Admin2PCODE], INDIRECT("tblPiNAnalysis[" &amp; Table11[[#Headers],[Población]] &amp; "]"), "NOT FOUND", 0, 1)</f>
        <v>6030</v>
      </c>
      <c r="F272" s="8" cm="1">
        <f t="array" aca="1" ref="F272" ca="1">_xlfn.XLOOKUP(Table11[[#This Row],[Admin2PCODE]], tblPiNAnalysis[Admin2PCODE], INDIRECT("tblPiNAnalysis[" &amp; Table11[[#Headers],[SAMV]] &amp; "]"), "NOT FOUND", 0, 1)</f>
        <v>2010</v>
      </c>
      <c r="G272" s="8" cm="1">
        <f t="array" aca="1" ref="G272" ca="1">_xlfn.XLOOKUP(Table11[[#This Row],[Admin2PCODE]], tblPiNAnalysis[Admin2PCODE], INDIRECT("tblPiNAnalysis[" &amp; Table11[[#Headers],[NUT]] &amp; "]"), "NOT FOUND", 0, 1)</f>
        <v>265.02125379108611</v>
      </c>
      <c r="H272" s="8" cm="1">
        <f t="array" aca="1" ref="H272" ca="1">_xlfn.XLOOKUP(Table11[[#This Row],[Admin2PCODE]], tblPiNAnalysis[Admin2PCODE], INDIRECT("tblPiNAnalysis[" &amp; Table11[[#Headers],[SAL]] &amp; "]"), "NOT FOUND", 0, 1)</f>
        <v>2200.9499999999998</v>
      </c>
      <c r="I272" s="8" cm="1">
        <f t="array" aca="1" ref="I272" ca="1">_xlfn.XLOOKUP(Table11[[#This Row],[Admin2PCODE]], tblPiNAnalysis[Admin2PCODE], INDIRECT("tblPiNAnalysis[" &amp; Table11[[#Headers],[EDU]] &amp; "]"), "NOT FOUND", 0, 1)</f>
        <v>658.45090590077473</v>
      </c>
      <c r="J272" s="8" cm="1">
        <f t="array" aca="1" ref="J272" ca="1">_xlfn.XLOOKUP(Table11[[#This Row],[Admin2PCODE]], tblPiNAnalysis[Admin2PCODE], INDIRECT("tblPiNAnalysis[" &amp; Table11[[#Headers],[PRO]] &amp; "]"), "NOT FOUND", 0, 1)</f>
        <v>1207.0563998564339</v>
      </c>
      <c r="K272" s="8" cm="1">
        <f t="array" aca="1" ref="K272" ca="1">_xlfn.XLOOKUP(Table11[[#This Row],[Admin2PCODE]], tblPiNAnalysis[Admin2PCODE], INDIRECT("tblPiNAnalysis[" &amp; Table11[[#Headers],[ASH]] &amp; "]"), "NOT FOUND", 0, 1)</f>
        <v>0</v>
      </c>
      <c r="L272" s="8" cm="1">
        <f t="array" aca="1" ref="L272" ca="1">_xlfn.XLOOKUP(Table11[[#This Row],[Admin2PCODE]], tblPiNAnalysis[Admin2PCODE], INDIRECT("tblPiNAnalysis[" &amp; Table11[[#Headers],[NNA]] &amp; "]"), "NOT FOUND", 0, 1)</f>
        <v>386.25804795405884</v>
      </c>
      <c r="M272" s="8" cm="1">
        <f t="array" aca="1" ref="M272" ca="1">_xlfn.XLOOKUP(Table11[[#This Row],[Admin2PCODE]], tblPiNAnalysis[Admin2PCODE], INDIRECT("tblPiNAnalysis[" &amp; Table11[[#Headers],[VBG]] &amp; "]"), "NOT FOUND", 0, 1)</f>
        <v>422.46973994975184</v>
      </c>
      <c r="N272" s="8" cm="1">
        <f t="array" aca="1" ref="N272" ca="1">_xlfn.XLOOKUP(Table11[[#This Row],[Admin2PCODE]], tblPiNAnalysis[Admin2PCODE], INDIRECT("tblPiNAnalysis[" &amp; Table11[[#Headers],[PiN más alto]] &amp; "]"), "NOT FOUND", 0, 1)</f>
        <v>2200.9499999999998</v>
      </c>
      <c r="O272" t="str" cm="1">
        <f t="array" aca="1" ref="O272" ca="1">_xlfn.XLOOKUP(Table11[[#This Row],[Admin2PCODE]], tblPiNAnalysis[Admin2PCODE], INDIRECT("tblPiNAnalysis[" &amp; Table11[[#Headers],[Sectores más altos]] &amp; "]"), "NOT FOUND", 0, 1)</f>
        <v>SAL</v>
      </c>
      <c r="P272" cm="1">
        <f t="array" ref="P272">_xlfn.XLOOKUP(Table11[[#This Row],[Admin2PCODE]], tblPiNAnalysis[Admin2PCODE], tblPiNAnalysis[Severidad], "NOT FOUND", 0, 1)</f>
        <v>2</v>
      </c>
      <c r="Q272" s="318">
        <v>0</v>
      </c>
      <c r="R272" s="318">
        <v>0</v>
      </c>
      <c r="S272" s="318">
        <v>0</v>
      </c>
      <c r="T272">
        <v>0</v>
      </c>
      <c r="W272">
        <f>_xlfn.XLOOKUP(Table11[[#This Row],[Admin2PCODE]],tblSeverityAnalysis[Admin 2 Código P],tblSeverityAnalysis[PRO],0,0)</f>
        <v>3</v>
      </c>
      <c r="Y272">
        <v>0</v>
      </c>
      <c r="Z272">
        <v>0</v>
      </c>
      <c r="AA272">
        <f t="shared" si="4"/>
        <v>0</v>
      </c>
    </row>
    <row r="273" spans="1:27">
      <c r="A273" t="s">
        <v>589</v>
      </c>
      <c r="B273" t="s">
        <v>590</v>
      </c>
      <c r="C273" s="42" t="s">
        <v>628</v>
      </c>
      <c r="D273" t="s">
        <v>629</v>
      </c>
      <c r="E273" s="8" cm="1">
        <f t="array" aca="1" ref="E273" ca="1">_xlfn.XLOOKUP(Table11[[#This Row],[Admin2PCODE]], tblPiNAnalysis[Admin2PCODE], INDIRECT("tblPiNAnalysis[" &amp; Table11[[#Headers],[Población]] &amp; "]"), "NOT FOUND", 0, 1)</f>
        <v>18316</v>
      </c>
      <c r="F273" s="8" cm="1">
        <f t="array" aca="1" ref="F273" ca="1">_xlfn.XLOOKUP(Table11[[#This Row],[Admin2PCODE]], tblPiNAnalysis[Admin2PCODE], INDIRECT("tblPiNAnalysis[" &amp; Table11[[#Headers],[SAMV]] &amp; "]"), "NOT FOUND", 0, 1)</f>
        <v>6869</v>
      </c>
      <c r="G273" s="8" cm="1">
        <f t="array" aca="1" ref="G273" ca="1">_xlfn.XLOOKUP(Table11[[#This Row],[Admin2PCODE]], tblPiNAnalysis[Admin2PCODE], INDIRECT("tblPiNAnalysis[" &amp; Table11[[#Headers],[NUT]] &amp; "]"), "NOT FOUND", 0, 1)</f>
        <v>541.97979722789773</v>
      </c>
      <c r="H273" s="8" cm="1">
        <f t="array" aca="1" ref="H273" ca="1">_xlfn.XLOOKUP(Table11[[#This Row],[Admin2PCODE]], tblPiNAnalysis[Admin2PCODE], INDIRECT("tblPiNAnalysis[" &amp; Table11[[#Headers],[SAL]] &amp; "]"), "NOT FOUND", 0, 1)</f>
        <v>6685.34</v>
      </c>
      <c r="I273" s="8" cm="1">
        <f t="array" aca="1" ref="I273" ca="1">_xlfn.XLOOKUP(Table11[[#This Row],[Admin2PCODE]], tblPiNAnalysis[Admin2PCODE], INDIRECT("tblPiNAnalysis[" &amp; Table11[[#Headers],[EDU]] &amp; "]"), "NOT FOUND", 0, 1)</f>
        <v>1230.2589417867293</v>
      </c>
      <c r="J273" s="8" cm="1">
        <f t="array" aca="1" ref="J273" ca="1">_xlfn.XLOOKUP(Table11[[#This Row],[Admin2PCODE]], tblPiNAnalysis[Admin2PCODE], INDIRECT("tblPiNAnalysis[" &amp; Table11[[#Headers],[PRO]] &amp; "]"), "NOT FOUND", 0, 1)</f>
        <v>3666.4087926650827</v>
      </c>
      <c r="K273" s="8" cm="1">
        <f t="array" aca="1" ref="K273" ca="1">_xlfn.XLOOKUP(Table11[[#This Row],[Admin2PCODE]], tblPiNAnalysis[Admin2PCODE], INDIRECT("tblPiNAnalysis[" &amp; Table11[[#Headers],[ASH]] &amp; "]"), "NOT FOUND", 0, 1)</f>
        <v>0</v>
      </c>
      <c r="L273" s="8" cm="1">
        <f t="array" aca="1" ref="L273" ca="1">_xlfn.XLOOKUP(Table11[[#This Row],[Admin2PCODE]], tblPiNAnalysis[Admin2PCODE], INDIRECT("tblPiNAnalysis[" &amp; Table11[[#Headers],[NNA]] &amp; "]"), "NOT FOUND", 0, 1)</f>
        <v>1173.2508136528265</v>
      </c>
      <c r="M273" s="8" cm="1">
        <f t="array" aca="1" ref="M273" ca="1">_xlfn.XLOOKUP(Table11[[#This Row],[Admin2PCODE]], tblPiNAnalysis[Admin2PCODE], INDIRECT("tblPiNAnalysis[" &amp; Table11[[#Headers],[VBG]] &amp; "]"), "NOT FOUND", 0, 1)</f>
        <v>1283.243077432779</v>
      </c>
      <c r="N273" s="8" cm="1">
        <f t="array" aca="1" ref="N273" ca="1">_xlfn.XLOOKUP(Table11[[#This Row],[Admin2PCODE]], tblPiNAnalysis[Admin2PCODE], INDIRECT("tblPiNAnalysis[" &amp; Table11[[#Headers],[PiN más alto]] &amp; "]"), "NOT FOUND", 0, 1)</f>
        <v>6869</v>
      </c>
      <c r="O273" t="str" cm="1">
        <f t="array" aca="1" ref="O273" ca="1">_xlfn.XLOOKUP(Table11[[#This Row],[Admin2PCODE]], tblPiNAnalysis[Admin2PCODE], INDIRECT("tblPiNAnalysis[" &amp; Table11[[#Headers],[Sectores más altos]] &amp; "]"), "NOT FOUND", 0, 1)</f>
        <v>SAMV</v>
      </c>
      <c r="P273" cm="1">
        <f t="array" ref="P273">_xlfn.XLOOKUP(Table11[[#This Row],[Admin2PCODE]], tblPiNAnalysis[Admin2PCODE], tblPiNAnalysis[Severidad], "NOT FOUND", 0, 1)</f>
        <v>3</v>
      </c>
      <c r="Q273" s="318">
        <v>1</v>
      </c>
      <c r="R273" s="318">
        <v>0.45833333333333326</v>
      </c>
      <c r="S273" s="318">
        <v>0.45833333333333326</v>
      </c>
      <c r="T273">
        <v>0</v>
      </c>
      <c r="W273">
        <f>_xlfn.XLOOKUP(Table11[[#This Row],[Admin2PCODE]],tblSeverityAnalysis[Admin 2 Código P],tblSeverityAnalysis[PRO],0,0)</f>
        <v>3</v>
      </c>
      <c r="Y273">
        <v>4</v>
      </c>
      <c r="Z273">
        <v>0</v>
      </c>
      <c r="AA273">
        <f t="shared" si="4"/>
        <v>0</v>
      </c>
    </row>
    <row r="274" spans="1:27">
      <c r="A274" t="s">
        <v>589</v>
      </c>
      <c r="B274" t="s">
        <v>590</v>
      </c>
      <c r="C274" s="42" t="s">
        <v>630</v>
      </c>
      <c r="D274" t="s">
        <v>631</v>
      </c>
      <c r="E274" s="8" cm="1">
        <f t="array" aca="1" ref="E274" ca="1">_xlfn.XLOOKUP(Table11[[#This Row],[Admin2PCODE]], tblPiNAnalysis[Admin2PCODE], INDIRECT("tblPiNAnalysis[" &amp; Table11[[#Headers],[Población]] &amp; "]"), "NOT FOUND", 0, 1)</f>
        <v>269720</v>
      </c>
      <c r="F274" s="8" cm="1">
        <f t="array" aca="1" ref="F274" ca="1">_xlfn.XLOOKUP(Table11[[#This Row],[Admin2PCODE]], tblPiNAnalysis[Admin2PCODE], INDIRECT("tblPiNAnalysis[" &amp; Table11[[#Headers],[SAMV]] &amp; "]"), "NOT FOUND", 0, 1)</f>
        <v>54165</v>
      </c>
      <c r="G274" s="8" cm="1">
        <f t="array" aca="1" ref="G274" ca="1">_xlfn.XLOOKUP(Table11[[#This Row],[Admin2PCODE]], tblPiNAnalysis[Admin2PCODE], INDIRECT("tblPiNAnalysis[" &amp; Table11[[#Headers],[NUT]] &amp; "]"), "NOT FOUND", 0, 1)</f>
        <v>21209.378874243779</v>
      </c>
      <c r="H274" s="8" cm="1">
        <f t="array" aca="1" ref="H274" ca="1">_xlfn.XLOOKUP(Table11[[#This Row],[Admin2PCODE]], tblPiNAnalysis[Admin2PCODE], INDIRECT("tblPiNAnalysis[" &amp; Table11[[#Headers],[SAL]] &amp; "]"), "NOT FOUND", 0, 1)</f>
        <v>98447.8</v>
      </c>
      <c r="I274" s="8" cm="1">
        <f t="array" aca="1" ref="I274" ca="1">_xlfn.XLOOKUP(Table11[[#This Row],[Admin2PCODE]], tblPiNAnalysis[Admin2PCODE], INDIRECT("tblPiNAnalysis[" &amp; Table11[[#Headers],[EDU]] &amp; "]"), "NOT FOUND", 0, 1)</f>
        <v>35479.946217767319</v>
      </c>
      <c r="J274" s="8" cm="1">
        <f t="array" aca="1" ref="J274" ca="1">_xlfn.XLOOKUP(Table11[[#This Row],[Admin2PCODE]], tblPiNAnalysis[Admin2PCODE], INDIRECT("tblPiNAnalysis[" &amp; Table11[[#Headers],[PRO]] &amp; "]"), "NOT FOUND", 0, 1)</f>
        <v>53991.252432715999</v>
      </c>
      <c r="K274" s="8" cm="1">
        <f t="array" aca="1" ref="K274" ca="1">_xlfn.XLOOKUP(Table11[[#This Row],[Admin2PCODE]], tblPiNAnalysis[Admin2PCODE], INDIRECT("tblPiNAnalysis[" &amp; Table11[[#Headers],[ASH]] &amp; "]"), "NOT FOUND", 0, 1)</f>
        <v>0</v>
      </c>
      <c r="L274" s="8" cm="1">
        <f t="array" aca="1" ref="L274" ca="1">_xlfn.XLOOKUP(Table11[[#This Row],[Admin2PCODE]], tblPiNAnalysis[Admin2PCODE], INDIRECT("tblPiNAnalysis[" &amp; Table11[[#Headers],[NNA]] &amp; "]"), "NOT FOUND", 0, 1)</f>
        <v>17277.20077846912</v>
      </c>
      <c r="M274" s="8" cm="1">
        <f t="array" aca="1" ref="M274" ca="1">_xlfn.XLOOKUP(Table11[[#This Row],[Admin2PCODE]], tblPiNAnalysis[Admin2PCODE], INDIRECT("tblPiNAnalysis[" &amp; Table11[[#Headers],[VBG]] &amp; "]"), "NOT FOUND", 0, 1)</f>
        <v>18896.938351450597</v>
      </c>
      <c r="N274" s="8" cm="1">
        <f t="array" aca="1" ref="N274" ca="1">_xlfn.XLOOKUP(Table11[[#This Row],[Admin2PCODE]], tblPiNAnalysis[Admin2PCODE], INDIRECT("tblPiNAnalysis[" &amp; Table11[[#Headers],[PiN más alto]] &amp; "]"), "NOT FOUND", 0, 1)</f>
        <v>98447.8</v>
      </c>
      <c r="O274" t="str" cm="1">
        <f t="array" aca="1" ref="O274" ca="1">_xlfn.XLOOKUP(Table11[[#This Row],[Admin2PCODE]], tblPiNAnalysis[Admin2PCODE], INDIRECT("tblPiNAnalysis[" &amp; Table11[[#Headers],[Sectores más altos]] &amp; "]"), "NOT FOUND", 0, 1)</f>
        <v>SAL</v>
      </c>
      <c r="P274" cm="1">
        <f t="array" ref="P274">_xlfn.XLOOKUP(Table11[[#This Row],[Admin2PCODE]], tblPiNAnalysis[Admin2PCODE], tblPiNAnalysis[Severidad], "NOT FOUND", 0, 1)</f>
        <v>3</v>
      </c>
      <c r="Q274" s="318">
        <v>0.15498938428874734</v>
      </c>
      <c r="R274" s="318">
        <v>0.48325722983257213</v>
      </c>
      <c r="S274" s="318">
        <v>7.4899740504836013E-2</v>
      </c>
      <c r="T274">
        <v>0</v>
      </c>
      <c r="W274">
        <f>_xlfn.XLOOKUP(Table11[[#This Row],[Admin2PCODE]],tblSeverityAnalysis[Admin 2 Código P],tblSeverityAnalysis[PRO],0,0)</f>
        <v>3</v>
      </c>
      <c r="Y274">
        <v>0</v>
      </c>
      <c r="Z274">
        <v>0</v>
      </c>
      <c r="AA274">
        <f t="shared" si="4"/>
        <v>0</v>
      </c>
    </row>
    <row r="275" spans="1:27">
      <c r="A275" t="s">
        <v>589</v>
      </c>
      <c r="B275" t="s">
        <v>590</v>
      </c>
      <c r="C275" s="42" t="s">
        <v>632</v>
      </c>
      <c r="D275" t="s">
        <v>633</v>
      </c>
      <c r="E275" s="8" cm="1">
        <f t="array" aca="1" ref="E275" ca="1">_xlfn.XLOOKUP(Table11[[#This Row],[Admin2PCODE]], tblPiNAnalysis[Admin2PCODE], INDIRECT("tblPiNAnalysis[" &amp; Table11[[#Headers],[Población]] &amp; "]"), "NOT FOUND", 0, 1)</f>
        <v>10470</v>
      </c>
      <c r="F275" s="8" cm="1">
        <f t="array" aca="1" ref="F275" ca="1">_xlfn.XLOOKUP(Table11[[#This Row],[Admin2PCODE]], tblPiNAnalysis[Admin2PCODE], INDIRECT("tblPiNAnalysis[" &amp; Table11[[#Headers],[SAMV]] &amp; "]"), "NOT FOUND", 0, 1)</f>
        <v>3839</v>
      </c>
      <c r="G275" s="8" cm="1">
        <f t="array" aca="1" ref="G275" ca="1">_xlfn.XLOOKUP(Table11[[#This Row],[Admin2PCODE]], tblPiNAnalysis[Admin2PCODE], INDIRECT("tblPiNAnalysis[" &amp; Table11[[#Headers],[NUT]] &amp; "]"), "NOT FOUND", 0, 1)</f>
        <v>345.52603913440515</v>
      </c>
      <c r="H275" s="8" cm="1">
        <f t="array" aca="1" ref="H275" ca="1">_xlfn.XLOOKUP(Table11[[#This Row],[Admin2PCODE]], tblPiNAnalysis[Admin2PCODE], INDIRECT("tblPiNAnalysis[" &amp; Table11[[#Headers],[SAL]] &amp; "]"), "NOT FOUND", 0, 1)</f>
        <v>3821.55</v>
      </c>
      <c r="I275" s="8" cm="1">
        <f t="array" aca="1" ref="I275" ca="1">_xlfn.XLOOKUP(Table11[[#This Row],[Admin2PCODE]], tblPiNAnalysis[Admin2PCODE], INDIRECT("tblPiNAnalysis[" &amp; Table11[[#Headers],[EDU]] &amp; "]"), "NOT FOUND", 0, 1)</f>
        <v>994.09074375115142</v>
      </c>
      <c r="J275" s="8" cm="1">
        <f t="array" aca="1" ref="J275" ca="1">_xlfn.XLOOKUP(Table11[[#This Row],[Admin2PCODE]], tblPiNAnalysis[Admin2PCODE], INDIRECT("tblPiNAnalysis[" &amp; Table11[[#Headers],[PRO]] &amp; "]"), "NOT FOUND", 0, 1)</f>
        <v>1257.500547910136</v>
      </c>
      <c r="K275" s="8" cm="1">
        <f t="array" aca="1" ref="K275" ca="1">_xlfn.XLOOKUP(Table11[[#This Row],[Admin2PCODE]], tblPiNAnalysis[Admin2PCODE], INDIRECT("tblPiNAnalysis[" &amp; Table11[[#Headers],[ASH]] &amp; "]"), "NOT FOUND", 0, 1)</f>
        <v>0</v>
      </c>
      <c r="L275" s="8" cm="1">
        <f t="array" aca="1" ref="L275" ca="1">_xlfn.XLOOKUP(Table11[[#This Row],[Admin2PCODE]], tblPiNAnalysis[Admin2PCODE], INDIRECT("tblPiNAnalysis[" &amp; Table11[[#Headers],[NNA]] &amp; "]"), "NOT FOUND", 0, 1)</f>
        <v>403.65767587915366</v>
      </c>
      <c r="M275" s="8" cm="1">
        <f t="array" aca="1" ref="M275" ca="1">_xlfn.XLOOKUP(Table11[[#This Row],[Admin2PCODE]], tblPiNAnalysis[Admin2PCODE], INDIRECT("tblPiNAnalysis[" &amp; Table11[[#Headers],[VBG]] &amp; "]"), "NOT FOUND", 0, 1)</f>
        <v>440.1251917685475</v>
      </c>
      <c r="N275" s="8" cm="1">
        <f t="array" aca="1" ref="N275" ca="1">_xlfn.XLOOKUP(Table11[[#This Row],[Admin2PCODE]], tblPiNAnalysis[Admin2PCODE], INDIRECT("tblPiNAnalysis[" &amp; Table11[[#Headers],[PiN más alto]] &amp; "]"), "NOT FOUND", 0, 1)</f>
        <v>3839</v>
      </c>
      <c r="O275" t="str" cm="1">
        <f t="array" aca="1" ref="O275" ca="1">_xlfn.XLOOKUP(Table11[[#This Row],[Admin2PCODE]], tblPiNAnalysis[Admin2PCODE], INDIRECT("tblPiNAnalysis[" &amp; Table11[[#Headers],[Sectores más altos]] &amp; "]"), "NOT FOUND", 0, 1)</f>
        <v>SAMV</v>
      </c>
      <c r="P275" cm="1">
        <f t="array" ref="P275">_xlfn.XLOOKUP(Table11[[#This Row],[Admin2PCODE]], tblPiNAnalysis[Admin2PCODE], tblPiNAnalysis[Severidad], "NOT FOUND", 0, 1)</f>
        <v>2</v>
      </c>
      <c r="Q275" s="318">
        <v>0.75</v>
      </c>
      <c r="R275" s="318">
        <v>0.56296296296296289</v>
      </c>
      <c r="S275" s="318">
        <v>0.42222222222222217</v>
      </c>
      <c r="T275">
        <v>0</v>
      </c>
      <c r="W275">
        <f>_xlfn.XLOOKUP(Table11[[#This Row],[Admin2PCODE]],tblSeverityAnalysis[Admin 2 Código P],tblSeverityAnalysis[PRO],0,0)</f>
        <v>2</v>
      </c>
      <c r="Y275">
        <v>8</v>
      </c>
      <c r="Z275">
        <v>0</v>
      </c>
      <c r="AA275">
        <f t="shared" si="4"/>
        <v>0</v>
      </c>
    </row>
    <row r="276" spans="1:27">
      <c r="A276" t="s">
        <v>589</v>
      </c>
      <c r="B276" t="s">
        <v>590</v>
      </c>
      <c r="C276" s="42" t="s">
        <v>157</v>
      </c>
      <c r="D276" t="s">
        <v>634</v>
      </c>
      <c r="E276" s="8" cm="1">
        <f t="array" aca="1" ref="E276" ca="1">_xlfn.XLOOKUP(Table11[[#This Row],[Admin2PCODE]], tblPiNAnalysis[Admin2PCODE], INDIRECT("tblPiNAnalysis[" &amp; Table11[[#Headers],[Población]] &amp; "]"), "NOT FOUND", 0, 1)</f>
        <v>2498</v>
      </c>
      <c r="F276" s="8" cm="1">
        <f t="array" aca="1" ref="F276" ca="1">_xlfn.XLOOKUP(Table11[[#This Row],[Admin2PCODE]], tblPiNAnalysis[Admin2PCODE], INDIRECT("tblPiNAnalysis[" &amp; Table11[[#Headers],[SAMV]] &amp; "]"), "NOT FOUND", 0, 1)</f>
        <v>416</v>
      </c>
      <c r="G276" s="8" cm="1">
        <f t="array" aca="1" ref="G276" ca="1">_xlfn.XLOOKUP(Table11[[#This Row],[Admin2PCODE]], tblPiNAnalysis[Admin2PCODE], INDIRECT("tblPiNAnalysis[" &amp; Table11[[#Headers],[NUT]] &amp; "]"), "NOT FOUND", 0, 1)</f>
        <v>105.62325593337326</v>
      </c>
      <c r="H276" s="8" cm="1">
        <f t="array" aca="1" ref="H276" ca="1">_xlfn.XLOOKUP(Table11[[#This Row],[Admin2PCODE]], tblPiNAnalysis[Admin2PCODE], INDIRECT("tblPiNAnalysis[" &amp; Table11[[#Headers],[SAL]] &amp; "]"), "NOT FOUND", 0, 1)</f>
        <v>1415.5263157894738</v>
      </c>
      <c r="I276" s="8" cm="1">
        <f t="array" aca="1" ref="I276" ca="1">_xlfn.XLOOKUP(Table11[[#This Row],[Admin2PCODE]], tblPiNAnalysis[Admin2PCODE], INDIRECT("tblPiNAnalysis[" &amp; Table11[[#Headers],[EDU]] &amp; "]"), "NOT FOUND", 0, 1)</f>
        <v>202.30879295016928</v>
      </c>
      <c r="J276" s="8" cm="1">
        <f t="array" aca="1" ref="J276" ca="1">_xlfn.XLOOKUP(Table11[[#This Row],[Admin2PCODE]], tblPiNAnalysis[Admin2PCODE], INDIRECT("tblPiNAnalysis[" &amp; Table11[[#Headers],[PRO]] &amp; "]"), "NOT FOUND", 0, 1)</f>
        <v>300.02257580511184</v>
      </c>
      <c r="K276" s="8" cm="1">
        <f t="array" aca="1" ref="K276" ca="1">_xlfn.XLOOKUP(Table11[[#This Row],[Admin2PCODE]], tblPiNAnalysis[Admin2PCODE], INDIRECT("tblPiNAnalysis[" &amp; Table11[[#Headers],[ASH]] &amp; "]"), "NOT FOUND", 0, 1)</f>
        <v>0</v>
      </c>
      <c r="L276" s="8" cm="1">
        <f t="array" aca="1" ref="L276" ca="1">_xlfn.XLOOKUP(Table11[[#This Row],[Admin2PCODE]], tblPiNAnalysis[Admin2PCODE], INDIRECT("tblPiNAnalysis[" &amp; Table11[[#Headers],[NNA]] &amp; "]"), "NOT FOUND", 0, 1)</f>
        <v>96.3072468334409</v>
      </c>
      <c r="M276" s="8" cm="1">
        <f t="array" aca="1" ref="M276" ca="1">_xlfn.XLOOKUP(Table11[[#This Row],[Admin2PCODE]], tblPiNAnalysis[Admin2PCODE], INDIRECT("tblPiNAnalysis[" &amp; Table11[[#Headers],[VBG]] &amp; "]"), "NOT FOUND", 0, 1)</f>
        <v>105.00790153178914</v>
      </c>
      <c r="N276" s="8" cm="1">
        <f t="array" aca="1" ref="N276" ca="1">_xlfn.XLOOKUP(Table11[[#This Row],[Admin2PCODE]], tblPiNAnalysis[Admin2PCODE], INDIRECT("tblPiNAnalysis[" &amp; Table11[[#Headers],[PiN más alto]] &amp; "]"), "NOT FOUND", 0, 1)</f>
        <v>1415.5263157894738</v>
      </c>
      <c r="O276" t="str" cm="1">
        <f t="array" aca="1" ref="O276" ca="1">_xlfn.XLOOKUP(Table11[[#This Row],[Admin2PCODE]], tblPiNAnalysis[Admin2PCODE], INDIRECT("tblPiNAnalysis[" &amp; Table11[[#Headers],[Sectores más altos]] &amp; "]"), "NOT FOUND", 0, 1)</f>
        <v>SAL</v>
      </c>
      <c r="P276" cm="1">
        <f t="array" ref="P276">_xlfn.XLOOKUP(Table11[[#This Row],[Admin2PCODE]], tblPiNAnalysis[Admin2PCODE], tblPiNAnalysis[Severidad], "NOT FOUND", 0, 1)</f>
        <v>2</v>
      </c>
      <c r="Q276" s="318">
        <v>0</v>
      </c>
      <c r="R276" s="318">
        <v>0</v>
      </c>
      <c r="S276" s="318">
        <v>0</v>
      </c>
      <c r="T276">
        <v>0</v>
      </c>
      <c r="W276">
        <f>_xlfn.XLOOKUP(Table11[[#This Row],[Admin2PCODE]],tblSeverityAnalysis[Admin 2 Código P],tblSeverityAnalysis[PRO],0,0)</f>
        <v>2</v>
      </c>
      <c r="Y276">
        <v>6</v>
      </c>
      <c r="Z276">
        <v>0</v>
      </c>
      <c r="AA276">
        <f t="shared" si="4"/>
        <v>0</v>
      </c>
    </row>
    <row r="277" spans="1:27">
      <c r="A277" t="s">
        <v>589</v>
      </c>
      <c r="B277" t="s">
        <v>590</v>
      </c>
      <c r="C277" s="42" t="s">
        <v>203</v>
      </c>
      <c r="D277" t="s">
        <v>635</v>
      </c>
      <c r="E277" s="8" cm="1">
        <f t="array" aca="1" ref="E277" ca="1">_xlfn.XLOOKUP(Table11[[#This Row],[Admin2PCODE]], tblPiNAnalysis[Admin2PCODE], INDIRECT("tblPiNAnalysis[" &amp; Table11[[#Headers],[Población]] &amp; "]"), "NOT FOUND", 0, 1)</f>
        <v>7480</v>
      </c>
      <c r="F277" s="8" cm="1">
        <f t="array" aca="1" ref="F277" ca="1">_xlfn.XLOOKUP(Table11[[#This Row],[Admin2PCODE]], tblPiNAnalysis[Admin2PCODE], INDIRECT("tblPiNAnalysis[" &amp; Table11[[#Headers],[SAMV]] &amp; "]"), "NOT FOUND", 0, 1)</f>
        <v>623</v>
      </c>
      <c r="G277" s="8" cm="1">
        <f t="array" aca="1" ref="G277" ca="1">_xlfn.XLOOKUP(Table11[[#This Row],[Admin2PCODE]], tblPiNAnalysis[Admin2PCODE], INDIRECT("tblPiNAnalysis[" &amp; Table11[[#Headers],[NUT]] &amp; "]"), "NOT FOUND", 0, 1)</f>
        <v>252.1395101639344</v>
      </c>
      <c r="H277" s="8" cm="1">
        <f t="array" aca="1" ref="H277" ca="1">_xlfn.XLOOKUP(Table11[[#This Row],[Admin2PCODE]], tblPiNAnalysis[Admin2PCODE], INDIRECT("tblPiNAnalysis[" &amp; Table11[[#Headers],[SAL]] &amp; "]"), "NOT FOUND", 0, 1)</f>
        <v>2883.6363636363635</v>
      </c>
      <c r="I277" s="8" cm="1">
        <f t="array" aca="1" ref="I277" ca="1">_xlfn.XLOOKUP(Table11[[#This Row],[Admin2PCODE]], tblPiNAnalysis[Admin2PCODE], INDIRECT("tblPiNAnalysis[" &amp; Table11[[#Headers],[EDU]] &amp; "]"), "NOT FOUND", 0, 1)</f>
        <v>671.37460056665236</v>
      </c>
      <c r="J277" s="8" cm="1">
        <f t="array" aca="1" ref="J277" ca="1">_xlfn.XLOOKUP(Table11[[#This Row],[Admin2PCODE]], tblPiNAnalysis[Admin2PCODE], INDIRECT("tblPiNAnalysis[" &amp; Table11[[#Headers],[PRO]] &amp; "]"), "NOT FOUND", 0, 1)</f>
        <v>898.38625581354472</v>
      </c>
      <c r="K277" s="8" cm="1">
        <f t="array" aca="1" ref="K277" ca="1">_xlfn.XLOOKUP(Table11[[#This Row],[Admin2PCODE]], tblPiNAnalysis[Admin2PCODE], INDIRECT("tblPiNAnalysis[" &amp; Table11[[#Headers],[ASH]] &amp; "]"), "NOT FOUND", 0, 1)</f>
        <v>0</v>
      </c>
      <c r="L277" s="8" cm="1">
        <f t="array" aca="1" ref="L277" ca="1">_xlfn.XLOOKUP(Table11[[#This Row],[Admin2PCODE]], tblPiNAnalysis[Admin2PCODE], INDIRECT("tblPiNAnalysis[" &amp; Table11[[#Headers],[NNA]] &amp; "]"), "NOT FOUND", 0, 1)</f>
        <v>287.48360186033426</v>
      </c>
      <c r="M277" s="8" cm="1">
        <f t="array" aca="1" ref="M277" ca="1">_xlfn.XLOOKUP(Table11[[#This Row],[Admin2PCODE]], tblPiNAnalysis[Admin2PCODE], INDIRECT("tblPiNAnalysis[" &amp; Table11[[#Headers],[VBG]] &amp; "]"), "NOT FOUND", 0, 1)</f>
        <v>314.43518953474063</v>
      </c>
      <c r="N277" s="8" cm="1">
        <f t="array" aca="1" ref="N277" ca="1">_xlfn.XLOOKUP(Table11[[#This Row],[Admin2PCODE]], tblPiNAnalysis[Admin2PCODE], INDIRECT("tblPiNAnalysis[" &amp; Table11[[#Headers],[PiN más alto]] &amp; "]"), "NOT FOUND", 0, 1)</f>
        <v>2883.6363636363635</v>
      </c>
      <c r="O277" t="str" cm="1">
        <f t="array" aca="1" ref="O277" ca="1">_xlfn.XLOOKUP(Table11[[#This Row],[Admin2PCODE]], tblPiNAnalysis[Admin2PCODE], INDIRECT("tblPiNAnalysis[" &amp; Table11[[#Headers],[Sectores más altos]] &amp; "]"), "NOT FOUND", 0, 1)</f>
        <v>SAL</v>
      </c>
      <c r="P277" cm="1">
        <f t="array" ref="P277">_xlfn.XLOOKUP(Table11[[#This Row],[Admin2PCODE]], tblPiNAnalysis[Admin2PCODE], tblPiNAnalysis[Severidad], "NOT FOUND", 0, 1)</f>
        <v>1</v>
      </c>
      <c r="Q277" s="318">
        <v>0.25</v>
      </c>
      <c r="R277" s="318">
        <v>0.33333333333333331</v>
      </c>
      <c r="S277" s="318">
        <v>8.3333333333333329E-2</v>
      </c>
      <c r="T277">
        <v>0</v>
      </c>
      <c r="W277">
        <f>_xlfn.XLOOKUP(Table11[[#This Row],[Admin2PCODE]],tblSeverityAnalysis[Admin 2 Código P],tblSeverityAnalysis[PRO],0,0)</f>
        <v>2</v>
      </c>
      <c r="Y277">
        <v>0</v>
      </c>
      <c r="Z277">
        <v>0</v>
      </c>
      <c r="AA277">
        <f t="shared" si="4"/>
        <v>0</v>
      </c>
    </row>
    <row r="278" spans="1:27">
      <c r="A278" t="s">
        <v>589</v>
      </c>
      <c r="B278" t="s">
        <v>590</v>
      </c>
      <c r="C278" s="42" t="s">
        <v>636</v>
      </c>
      <c r="D278" t="s">
        <v>637</v>
      </c>
      <c r="E278" s="8" cm="1">
        <f t="array" aca="1" ref="E278" ca="1">_xlfn.XLOOKUP(Table11[[#This Row],[Admin2PCODE]], tblPiNAnalysis[Admin2PCODE], INDIRECT("tblPiNAnalysis[" &amp; Table11[[#Headers],[Población]] &amp; "]"), "NOT FOUND", 0, 1)</f>
        <v>50693</v>
      </c>
      <c r="F278" s="8" cm="1">
        <f t="array" aca="1" ref="F278" ca="1">_xlfn.XLOOKUP(Table11[[#This Row],[Admin2PCODE]], tblPiNAnalysis[Admin2PCODE], INDIRECT("tblPiNAnalysis[" &amp; Table11[[#Headers],[SAMV]] &amp; "]"), "NOT FOUND", 0, 1)</f>
        <v>9985</v>
      </c>
      <c r="G278" s="8" cm="1">
        <f t="array" aca="1" ref="G278" ca="1">_xlfn.XLOOKUP(Table11[[#This Row],[Admin2PCODE]], tblPiNAnalysis[Admin2PCODE], INDIRECT("tblPiNAnalysis[" &amp; Table11[[#Headers],[NUT]] &amp; "]"), "NOT FOUND", 0, 1)</f>
        <v>3359.3773568367869</v>
      </c>
      <c r="H278" s="8" cm="1">
        <f t="array" aca="1" ref="H278" ca="1">_xlfn.XLOOKUP(Table11[[#This Row],[Admin2PCODE]], tblPiNAnalysis[Admin2PCODE], INDIRECT("tblPiNAnalysis[" &amp; Table11[[#Headers],[SAL]] &amp; "]"), "NOT FOUND", 0, 1)</f>
        <v>18502.945</v>
      </c>
      <c r="I278" s="8" cm="1">
        <f t="array" aca="1" ref="I278" ca="1">_xlfn.XLOOKUP(Table11[[#This Row],[Admin2PCODE]], tblPiNAnalysis[Admin2PCODE], INDIRECT("tblPiNAnalysis[" &amp; Table11[[#Headers],[EDU]] &amp; "]"), "NOT FOUND", 0, 1)</f>
        <v>7907.3921391003178</v>
      </c>
      <c r="J278" s="8" cm="1">
        <f t="array" aca="1" ref="J278" ca="1">_xlfn.XLOOKUP(Table11[[#This Row],[Admin2PCODE]], tblPiNAnalysis[Admin2PCODE], INDIRECT("tblPiNAnalysis[" &amp; Table11[[#Headers],[PRO]] &amp; "]"), "NOT FOUND", 0, 1)</f>
        <v>10147.48094161231</v>
      </c>
      <c r="K278" s="8" cm="1">
        <f t="array" aca="1" ref="K278" ca="1">_xlfn.XLOOKUP(Table11[[#This Row],[Admin2PCODE]], tblPiNAnalysis[Admin2PCODE], INDIRECT("tblPiNAnalysis[" &amp; Table11[[#Headers],[ASH]] &amp; "]"), "NOT FOUND", 0, 1)</f>
        <v>3421.7775000000001</v>
      </c>
      <c r="L278" s="8" cm="1">
        <f t="array" aca="1" ref="L278" ca="1">_xlfn.XLOOKUP(Table11[[#This Row],[Admin2PCODE]], tblPiNAnalysis[Admin2PCODE], INDIRECT("tblPiNAnalysis[" &amp; Table11[[#Headers],[NNA]] &amp; "]"), "NOT FOUND", 0, 1)</f>
        <v>3257.3413822575512</v>
      </c>
      <c r="M278" s="8" cm="1">
        <f t="array" aca="1" ref="M278" ca="1">_xlfn.XLOOKUP(Table11[[#This Row],[Admin2PCODE]], tblPiNAnalysis[Admin2PCODE], INDIRECT("tblPiNAnalysis[" &amp; Table11[[#Headers],[VBG]] &amp; "]"), "NOT FOUND", 0, 1)</f>
        <v>3551.6183295643077</v>
      </c>
      <c r="N278" s="8" cm="1">
        <f t="array" aca="1" ref="N278" ca="1">_xlfn.XLOOKUP(Table11[[#This Row],[Admin2PCODE]], tblPiNAnalysis[Admin2PCODE], INDIRECT("tblPiNAnalysis[" &amp; Table11[[#Headers],[PiN más alto]] &amp; "]"), "NOT FOUND", 0, 1)</f>
        <v>18502.945</v>
      </c>
      <c r="O278" t="str" cm="1">
        <f t="array" aca="1" ref="O278" ca="1">_xlfn.XLOOKUP(Table11[[#This Row],[Admin2PCODE]], tblPiNAnalysis[Admin2PCODE], INDIRECT("tblPiNAnalysis[" &amp; Table11[[#Headers],[Sectores más altos]] &amp; "]"), "NOT FOUND", 0, 1)</f>
        <v>SAL</v>
      </c>
      <c r="P278" cm="1">
        <f t="array" ref="P278">_xlfn.XLOOKUP(Table11[[#This Row],[Admin2PCODE]], tblPiNAnalysis[Admin2PCODE], tblPiNAnalysis[Severidad], "NOT FOUND", 0, 1)</f>
        <v>3</v>
      </c>
      <c r="Q278" s="318">
        <v>0.56666666666666665</v>
      </c>
      <c r="R278" s="318">
        <v>0.34313725490196079</v>
      </c>
      <c r="S278" s="318">
        <v>0.19444444444444445</v>
      </c>
      <c r="T278">
        <v>0</v>
      </c>
      <c r="W278">
        <f>_xlfn.XLOOKUP(Table11[[#This Row],[Admin2PCODE]],tblSeverityAnalysis[Admin 2 Código P],tblSeverityAnalysis[PRO],0,0)</f>
        <v>3</v>
      </c>
      <c r="Y278">
        <v>0</v>
      </c>
      <c r="Z278">
        <v>0</v>
      </c>
      <c r="AA278">
        <f t="shared" si="4"/>
        <v>0</v>
      </c>
    </row>
    <row r="279" spans="1:27">
      <c r="A279" t="s">
        <v>589</v>
      </c>
      <c r="B279" t="s">
        <v>590</v>
      </c>
      <c r="C279" s="42" t="s">
        <v>638</v>
      </c>
      <c r="D279" t="s">
        <v>639</v>
      </c>
      <c r="E279" s="8" cm="1">
        <f t="array" aca="1" ref="E279" ca="1">_xlfn.XLOOKUP(Table11[[#This Row],[Admin2PCODE]], tblPiNAnalysis[Admin2PCODE], INDIRECT("tblPiNAnalysis[" &amp; Table11[[#Headers],[Población]] &amp; "]"), "NOT FOUND", 0, 1)</f>
        <v>20562</v>
      </c>
      <c r="F279" s="8" cm="1">
        <f t="array" aca="1" ref="F279" ca="1">_xlfn.XLOOKUP(Table11[[#This Row],[Admin2PCODE]], tblPiNAnalysis[Admin2PCODE], INDIRECT("tblPiNAnalysis[" &amp; Table11[[#Headers],[SAMV]] &amp; "]"), "NOT FOUND", 0, 1)</f>
        <v>343</v>
      </c>
      <c r="G279" s="8" cm="1">
        <f t="array" aca="1" ref="G279" ca="1">_xlfn.XLOOKUP(Table11[[#This Row],[Admin2PCODE]], tblPiNAnalysis[Admin2PCODE], INDIRECT("tblPiNAnalysis[" &amp; Table11[[#Headers],[NUT]] &amp; "]"), "NOT FOUND", 0, 1)</f>
        <v>856.51694393951448</v>
      </c>
      <c r="H279" s="8" cm="1">
        <f t="array" aca="1" ref="H279" ca="1">_xlfn.XLOOKUP(Table11[[#This Row],[Admin2PCODE]], tblPiNAnalysis[Admin2PCODE], INDIRECT("tblPiNAnalysis[" &amp; Table11[[#Headers],[SAL]] &amp; "]"), "NOT FOUND", 0, 1)</f>
        <v>7505.13</v>
      </c>
      <c r="I279" s="8" cm="1">
        <f t="array" aca="1" ref="I279" ca="1">_xlfn.XLOOKUP(Table11[[#This Row],[Admin2PCODE]], tblPiNAnalysis[Admin2PCODE], INDIRECT("tblPiNAnalysis[" &amp; Table11[[#Headers],[EDU]] &amp; "]"), "NOT FOUND", 0, 1)</f>
        <v>2268.489856391257</v>
      </c>
      <c r="J279" s="8" cm="1">
        <f t="array" aca="1" ref="J279" ca="1">_xlfn.XLOOKUP(Table11[[#This Row],[Admin2PCODE]], tblPiNAnalysis[Admin2PCODE], INDIRECT("tblPiNAnalysis[" &amp; Table11[[#Headers],[PRO]] &amp; "]"), "NOT FOUND", 0, 1)</f>
        <v>2469.6013625719402</v>
      </c>
      <c r="K279" s="8" cm="1">
        <f t="array" aca="1" ref="K279" ca="1">_xlfn.XLOOKUP(Table11[[#This Row],[Admin2PCODE]], tblPiNAnalysis[Admin2PCODE], INDIRECT("tblPiNAnalysis[" &amp; Table11[[#Headers],[ASH]] &amp; "]"), "NOT FOUND", 0, 1)</f>
        <v>0</v>
      </c>
      <c r="L279" s="8" cm="1">
        <f t="array" aca="1" ref="L279" ca="1">_xlfn.XLOOKUP(Table11[[#This Row],[Admin2PCODE]], tblPiNAnalysis[Admin2PCODE], INDIRECT("tblPiNAnalysis[" &amp; Table11[[#Headers],[NNA]] &amp; "]"), "NOT FOUND", 0, 1)</f>
        <v>790.27243602302087</v>
      </c>
      <c r="M279" s="8" cm="1">
        <f t="array" aca="1" ref="M279" ca="1">_xlfn.XLOOKUP(Table11[[#This Row],[Admin2PCODE]], tblPiNAnalysis[Admin2PCODE], INDIRECT("tblPiNAnalysis[" &amp; Table11[[#Headers],[VBG]] &amp; "]"), "NOT FOUND", 0, 1)</f>
        <v>864.36047690017892</v>
      </c>
      <c r="N279" s="8" cm="1">
        <f t="array" aca="1" ref="N279" ca="1">_xlfn.XLOOKUP(Table11[[#This Row],[Admin2PCODE]], tblPiNAnalysis[Admin2PCODE], INDIRECT("tblPiNAnalysis[" &amp; Table11[[#Headers],[PiN más alto]] &amp; "]"), "NOT FOUND", 0, 1)</f>
        <v>7505.13</v>
      </c>
      <c r="O279" t="str" cm="1">
        <f t="array" aca="1" ref="O279" ca="1">_xlfn.XLOOKUP(Table11[[#This Row],[Admin2PCODE]], tblPiNAnalysis[Admin2PCODE], INDIRECT("tblPiNAnalysis[" &amp; Table11[[#Headers],[Sectores más altos]] &amp; "]"), "NOT FOUND", 0, 1)</f>
        <v>SAL</v>
      </c>
      <c r="P279" cm="1">
        <f t="array" ref="P279">_xlfn.XLOOKUP(Table11[[#This Row],[Admin2PCODE]], tblPiNAnalysis[Admin2PCODE], tblPiNAnalysis[Severidad], "NOT FOUND", 0, 1)</f>
        <v>2</v>
      </c>
      <c r="Q279" s="318">
        <v>0.41463414634146339</v>
      </c>
      <c r="R279" s="318">
        <v>0.37254901960784315</v>
      </c>
      <c r="S279" s="318">
        <v>0.15447154471544716</v>
      </c>
      <c r="T279">
        <v>0</v>
      </c>
      <c r="W279">
        <f>_xlfn.XLOOKUP(Table11[[#This Row],[Admin2PCODE]],tblSeverityAnalysis[Admin 2 Código P],tblSeverityAnalysis[PRO],0,0)</f>
        <v>2</v>
      </c>
      <c r="Y279">
        <v>0</v>
      </c>
      <c r="Z279">
        <v>0</v>
      </c>
      <c r="AA279">
        <f t="shared" si="4"/>
        <v>0</v>
      </c>
    </row>
    <row r="280" spans="1:27">
      <c r="A280" t="s">
        <v>589</v>
      </c>
      <c r="B280" t="s">
        <v>590</v>
      </c>
      <c r="C280" s="42" t="s">
        <v>640</v>
      </c>
      <c r="D280" t="s">
        <v>641</v>
      </c>
      <c r="E280" s="8" cm="1">
        <f t="array" aca="1" ref="E280" ca="1">_xlfn.XLOOKUP(Table11[[#This Row],[Admin2PCODE]], tblPiNAnalysis[Admin2PCODE], INDIRECT("tblPiNAnalysis[" &amp; Table11[[#Headers],[Población]] &amp; "]"), "NOT FOUND", 0, 1)</f>
        <v>7826</v>
      </c>
      <c r="F280" s="8" cm="1">
        <f t="array" aca="1" ref="F280" ca="1">_xlfn.XLOOKUP(Table11[[#This Row],[Admin2PCODE]], tblPiNAnalysis[Admin2PCODE], INDIRECT("tblPiNAnalysis[" &amp; Table11[[#Headers],[SAMV]] &amp; "]"), "NOT FOUND", 0, 1)</f>
        <v>3261</v>
      </c>
      <c r="G280" s="8" cm="1">
        <f t="array" aca="1" ref="G280" ca="1">_xlfn.XLOOKUP(Table11[[#This Row],[Admin2PCODE]], tblPiNAnalysis[Admin2PCODE], INDIRECT("tblPiNAnalysis[" &amp; Table11[[#Headers],[NUT]] &amp; "]"), "NOT FOUND", 0, 1)</f>
        <v>210.86653352856581</v>
      </c>
      <c r="H280" s="8" cm="1">
        <f t="array" aca="1" ref="H280" ca="1">_xlfn.XLOOKUP(Table11[[#This Row],[Admin2PCODE]], tblPiNAnalysis[Admin2PCODE], INDIRECT("tblPiNAnalysis[" &amp; Table11[[#Headers],[SAL]] &amp; "]"), "NOT FOUND", 0, 1)</f>
        <v>2856.49</v>
      </c>
      <c r="I280" s="8" cm="1">
        <f t="array" aca="1" ref="I280" ca="1">_xlfn.XLOOKUP(Table11[[#This Row],[Admin2PCODE]], tblPiNAnalysis[Admin2PCODE], INDIRECT("tblPiNAnalysis[" &amp; Table11[[#Headers],[EDU]] &amp; "]"), "NOT FOUND", 0, 1)</f>
        <v>531.95229840460456</v>
      </c>
      <c r="J280" s="8" cm="1">
        <f t="array" aca="1" ref="J280" ca="1">_xlfn.XLOOKUP(Table11[[#This Row],[Admin2PCODE]], tblPiNAnalysis[Admin2PCODE], INDIRECT("tblPiNAnalysis[" &amp; Table11[[#Headers],[PRO]] &amp; "]"), "NOT FOUND", 0, 1)</f>
        <v>939.9426254006421</v>
      </c>
      <c r="K280" s="8" cm="1">
        <f t="array" aca="1" ref="K280" ca="1">_xlfn.XLOOKUP(Table11[[#This Row],[Admin2PCODE]], tblPiNAnalysis[Admin2PCODE], INDIRECT("tblPiNAnalysis[" &amp; Table11[[#Headers],[ASH]] &amp; "]"), "NOT FOUND", 0, 1)</f>
        <v>0</v>
      </c>
      <c r="L280" s="8" cm="1">
        <f t="array" aca="1" ref="L280" ca="1">_xlfn.XLOOKUP(Table11[[#This Row],[Admin2PCODE]], tblPiNAnalysis[Admin2PCODE], INDIRECT("tblPiNAnalysis[" &amp; Table11[[#Headers],[NNA]] &amp; "]"), "NOT FOUND", 0, 1)</f>
        <v>300.78164012820548</v>
      </c>
      <c r="M280" s="8" cm="1">
        <f t="array" aca="1" ref="M280" ca="1">_xlfn.XLOOKUP(Table11[[#This Row],[Admin2PCODE]], tblPiNAnalysis[Admin2PCODE], INDIRECT("tblPiNAnalysis[" &amp; Table11[[#Headers],[VBG]] &amp; "]"), "NOT FOUND", 0, 1)</f>
        <v>328.97991889022472</v>
      </c>
      <c r="N280" s="8" cm="1">
        <f t="array" aca="1" ref="N280" ca="1">_xlfn.XLOOKUP(Table11[[#This Row],[Admin2PCODE]], tblPiNAnalysis[Admin2PCODE], INDIRECT("tblPiNAnalysis[" &amp; Table11[[#Headers],[PiN más alto]] &amp; "]"), "NOT FOUND", 0, 1)</f>
        <v>3261</v>
      </c>
      <c r="O280" t="str" cm="1">
        <f t="array" aca="1" ref="O280" ca="1">_xlfn.XLOOKUP(Table11[[#This Row],[Admin2PCODE]], tblPiNAnalysis[Admin2PCODE], INDIRECT("tblPiNAnalysis[" &amp; Table11[[#Headers],[Sectores más altos]] &amp; "]"), "NOT FOUND", 0, 1)</f>
        <v>SAMV</v>
      </c>
      <c r="P280" cm="1">
        <f t="array" ref="P280">_xlfn.XLOOKUP(Table11[[#This Row],[Admin2PCODE]], tblPiNAnalysis[Admin2PCODE], tblPiNAnalysis[Severidad], "NOT FOUND", 0, 1)</f>
        <v>2</v>
      </c>
      <c r="Q280" s="318">
        <v>0.625</v>
      </c>
      <c r="R280" s="318">
        <v>0.51111111111111096</v>
      </c>
      <c r="S280" s="318">
        <v>0.31944444444444436</v>
      </c>
      <c r="T280">
        <v>0</v>
      </c>
      <c r="W280">
        <f>_xlfn.XLOOKUP(Table11[[#This Row],[Admin2PCODE]],tblSeverityAnalysis[Admin 2 Código P],tblSeverityAnalysis[PRO],0,0)</f>
        <v>2</v>
      </c>
      <c r="Y280">
        <v>6</v>
      </c>
      <c r="Z280">
        <v>0</v>
      </c>
      <c r="AA280">
        <f t="shared" si="4"/>
        <v>0</v>
      </c>
    </row>
    <row r="281" spans="1:27">
      <c r="A281" t="s">
        <v>642</v>
      </c>
      <c r="B281" t="s">
        <v>643</v>
      </c>
      <c r="C281" s="42" t="s">
        <v>415</v>
      </c>
      <c r="D281" t="s">
        <v>644</v>
      </c>
      <c r="E281" s="8" cm="1">
        <f t="array" aca="1" ref="E281" ca="1">_xlfn.XLOOKUP(Table11[[#This Row],[Admin2PCODE]], tblPiNAnalysis[Admin2PCODE], INDIRECT("tblPiNAnalysis[" &amp; Table11[[#Headers],[Población]] &amp; "]"), "NOT FOUND", 0, 1)</f>
        <v>15030</v>
      </c>
      <c r="F281" s="8" cm="1">
        <f t="array" aca="1" ref="F281" ca="1">_xlfn.XLOOKUP(Table11[[#This Row],[Admin2PCODE]], tblPiNAnalysis[Admin2PCODE], INDIRECT("tblPiNAnalysis[" &amp; Table11[[#Headers],[SAMV]] &amp; "]"), "NOT FOUND", 0, 1)</f>
        <v>939</v>
      </c>
      <c r="G281" s="8" cm="1">
        <f t="array" aca="1" ref="G281" ca="1">_xlfn.XLOOKUP(Table11[[#This Row],[Admin2PCODE]], tblPiNAnalysis[Admin2PCODE], INDIRECT("tblPiNAnalysis[" &amp; Table11[[#Headers],[NUT]] &amp; "]"), "NOT FOUND", 0, 1)</f>
        <v>511.81434141098032</v>
      </c>
      <c r="H281" s="8" cm="1">
        <f t="array" aca="1" ref="H281" ca="1">_xlfn.XLOOKUP(Table11[[#This Row],[Admin2PCODE]], tblPiNAnalysis[Admin2PCODE], INDIRECT("tblPiNAnalysis[" &amp; Table11[[#Headers],[SAL]] &amp; "]"), "NOT FOUND", 0, 1)</f>
        <v>8300</v>
      </c>
      <c r="I281" s="8" cm="1">
        <f t="array" aca="1" ref="I281" ca="1">_xlfn.XLOOKUP(Table11[[#This Row],[Admin2PCODE]], tblPiNAnalysis[Admin2PCODE], INDIRECT("tblPiNAnalysis[" &amp; Table11[[#Headers],[EDU]] &amp; "]"), "NOT FOUND", 0, 1)</f>
        <v>754.88110316700897</v>
      </c>
      <c r="J281" s="8" cm="1">
        <f t="array" aca="1" ref="J281" ca="1">_xlfn.XLOOKUP(Table11[[#This Row],[Admin2PCODE]], tblPiNAnalysis[Admin2PCODE], INDIRECT("tblPiNAnalysis[" &amp; Table11[[#Headers],[PRO]] &amp; "]"), "NOT FOUND", 0, 1)</f>
        <v>1818.061279817965</v>
      </c>
      <c r="K281" s="8" cm="1">
        <f t="array" aca="1" ref="K281" ca="1">_xlfn.XLOOKUP(Table11[[#This Row],[Admin2PCODE]], tblPiNAnalysis[Admin2PCODE], INDIRECT("tblPiNAnalysis[" &amp; Table11[[#Headers],[ASH]] &amp; "]"), "NOT FOUND", 0, 1)</f>
        <v>0</v>
      </c>
      <c r="L281" s="8" cm="1">
        <f t="array" aca="1" ref="L281" ca="1">_xlfn.XLOOKUP(Table11[[#This Row],[Admin2PCODE]], tblPiNAnalysis[Admin2PCODE], INDIRECT("tblPiNAnalysis[" &amp; Table11[[#Headers],[NNA]] &amp; "]"), "NOT FOUND", 0, 1)</f>
        <v>581.77960954174887</v>
      </c>
      <c r="M281" s="8" cm="1">
        <f t="array" aca="1" ref="M281" ca="1">_xlfn.XLOOKUP(Table11[[#This Row],[Admin2PCODE]], tblPiNAnalysis[Admin2PCODE], INDIRECT("tblPiNAnalysis[" &amp; Table11[[#Headers],[VBG]] &amp; "]"), "NOT FOUND", 0, 1)</f>
        <v>636.32144793628777</v>
      </c>
      <c r="N281" s="8" cm="1">
        <f t="array" aca="1" ref="N281" ca="1">_xlfn.XLOOKUP(Table11[[#This Row],[Admin2PCODE]], tblPiNAnalysis[Admin2PCODE], INDIRECT("tblPiNAnalysis[" &amp; Table11[[#Headers],[PiN más alto]] &amp; "]"), "NOT FOUND", 0, 1)</f>
        <v>8300</v>
      </c>
      <c r="O281" t="str" cm="1">
        <f t="array" aca="1" ref="O281" ca="1">_xlfn.XLOOKUP(Table11[[#This Row],[Admin2PCODE]], tblPiNAnalysis[Admin2PCODE], INDIRECT("tblPiNAnalysis[" &amp; Table11[[#Headers],[Sectores más altos]] &amp; "]"), "NOT FOUND", 0, 1)</f>
        <v>SAL</v>
      </c>
      <c r="P281" cm="1">
        <f t="array" ref="P281">_xlfn.XLOOKUP(Table11[[#This Row],[Admin2PCODE]], tblPiNAnalysis[Admin2PCODE], tblPiNAnalysis[Severidad], "NOT FOUND", 0, 1)</f>
        <v>2</v>
      </c>
      <c r="Q281" s="318">
        <v>0.43859649122807015</v>
      </c>
      <c r="R281" s="318">
        <v>0.40666666666666662</v>
      </c>
      <c r="S281" s="318">
        <v>0.17836257309941517</v>
      </c>
      <c r="T281">
        <v>0</v>
      </c>
      <c r="W281">
        <f>_xlfn.XLOOKUP(Table11[[#This Row],[Admin2PCODE]],tblSeverityAnalysis[Admin 2 Código P],tblSeverityAnalysis[PRO],0,0)</f>
        <v>2</v>
      </c>
      <c r="Y281">
        <v>4</v>
      </c>
      <c r="Z281">
        <v>0</v>
      </c>
      <c r="AA281">
        <f t="shared" si="4"/>
        <v>0</v>
      </c>
    </row>
    <row r="282" spans="1:27">
      <c r="A282" t="s">
        <v>642</v>
      </c>
      <c r="B282" t="s">
        <v>643</v>
      </c>
      <c r="C282" s="42" t="s">
        <v>645</v>
      </c>
      <c r="D282" t="s">
        <v>646</v>
      </c>
      <c r="E282" s="8" cm="1">
        <f t="array" aca="1" ref="E282" ca="1">_xlfn.XLOOKUP(Table11[[#This Row],[Admin2PCODE]], tblPiNAnalysis[Admin2PCODE], INDIRECT("tblPiNAnalysis[" &amp; Table11[[#Headers],[Población]] &amp; "]"), "NOT FOUND", 0, 1)</f>
        <v>85054</v>
      </c>
      <c r="F282" s="8" cm="1">
        <f t="array" aca="1" ref="F282" ca="1">_xlfn.XLOOKUP(Table11[[#This Row],[Admin2PCODE]], tblPiNAnalysis[Admin2PCODE], INDIRECT("tblPiNAnalysis[" &amp; Table11[[#Headers],[SAMV]] &amp; "]"), "NOT FOUND", 0, 1)</f>
        <v>8743</v>
      </c>
      <c r="G282" s="8" cm="1">
        <f t="array" aca="1" ref="G282" ca="1">_xlfn.XLOOKUP(Table11[[#This Row],[Admin2PCODE]], tblPiNAnalysis[Admin2PCODE], INDIRECT("tblPiNAnalysis[" &amp; Table11[[#Headers],[NUT]] &amp; "]"), "NOT FOUND", 0, 1)</f>
        <v>2879.0113153763104</v>
      </c>
      <c r="H282" s="8" cm="1">
        <f t="array" aca="1" ref="H282" ca="1">_xlfn.XLOOKUP(Table11[[#This Row],[Admin2PCODE]], tblPiNAnalysis[Admin2PCODE], INDIRECT("tblPiNAnalysis[" &amp; Table11[[#Headers],[SAL]] &amp; "]"), "NOT FOUND", 0, 1)</f>
        <v>37100</v>
      </c>
      <c r="I282" s="8" cm="1">
        <f t="array" aca="1" ref="I282" ca="1">_xlfn.XLOOKUP(Table11[[#This Row],[Admin2PCODE]], tblPiNAnalysis[Admin2PCODE], INDIRECT("tblPiNAnalysis[" &amp; Table11[[#Headers],[EDU]] &amp; "]"), "NOT FOUND", 0, 1)</f>
        <v>7406.9908114573846</v>
      </c>
      <c r="J282" s="8" cm="1">
        <f t="array" aca="1" ref="J282" ca="1">_xlfn.XLOOKUP(Table11[[#This Row],[Admin2PCODE]], tblPiNAnalysis[Admin2PCODE], INDIRECT("tblPiNAnalysis[" &amp; Table11[[#Headers],[PRO]] &amp; "]"), "NOT FOUND", 0, 1)</f>
        <v>20576.631283251783</v>
      </c>
      <c r="K282" s="8" cm="1">
        <f t="array" aca="1" ref="K282" ca="1">_xlfn.XLOOKUP(Table11[[#This Row],[Admin2PCODE]], tblPiNAnalysis[Admin2PCODE], INDIRECT("tblPiNAnalysis[" &amp; Table11[[#Headers],[ASH]] &amp; "]"), "NOT FOUND", 0, 1)</f>
        <v>0</v>
      </c>
      <c r="L282" s="8" cm="1">
        <f t="array" aca="1" ref="L282" ca="1">_xlfn.XLOOKUP(Table11[[#This Row],[Admin2PCODE]], tblPiNAnalysis[Admin2PCODE], INDIRECT("tblPiNAnalysis[" &amp; Table11[[#Headers],[NNA]] &amp; "]"), "NOT FOUND", 0, 1)</f>
        <v>6605.0986419238225</v>
      </c>
      <c r="M282" s="8" cm="1">
        <f t="array" aca="1" ref="M282" ca="1">_xlfn.XLOOKUP(Table11[[#This Row],[Admin2PCODE]], tblPiNAnalysis[Admin2PCODE], INDIRECT("tblPiNAnalysis[" &amp; Table11[[#Headers],[VBG]] &amp; "]"), "NOT FOUND", 0, 1)</f>
        <v>7201.820949138124</v>
      </c>
      <c r="N282" s="8" cm="1">
        <f t="array" aca="1" ref="N282" ca="1">_xlfn.XLOOKUP(Table11[[#This Row],[Admin2PCODE]], tblPiNAnalysis[Admin2PCODE], INDIRECT("tblPiNAnalysis[" &amp; Table11[[#Headers],[PiN más alto]] &amp; "]"), "NOT FOUND", 0, 1)</f>
        <v>37100</v>
      </c>
      <c r="O282" t="str" cm="1">
        <f t="array" aca="1" ref="O282" ca="1">_xlfn.XLOOKUP(Table11[[#This Row],[Admin2PCODE]], tblPiNAnalysis[Admin2PCODE], INDIRECT("tblPiNAnalysis[" &amp; Table11[[#Headers],[Sectores más altos]] &amp; "]"), "NOT FOUND", 0, 1)</f>
        <v>SAL</v>
      </c>
      <c r="P282" cm="1">
        <f t="array" ref="P282">_xlfn.XLOOKUP(Table11[[#This Row],[Admin2PCODE]], tblPiNAnalysis[Admin2PCODE], tblPiNAnalysis[Severidad], "NOT FOUND", 0, 1)</f>
        <v>2</v>
      </c>
      <c r="Q282" s="318">
        <v>1.8518518518518517E-2</v>
      </c>
      <c r="R282" s="318">
        <v>0.33333333333333331</v>
      </c>
      <c r="S282" s="318">
        <v>6.1728395061728392E-3</v>
      </c>
      <c r="T282">
        <v>0</v>
      </c>
      <c r="W282">
        <f>_xlfn.XLOOKUP(Table11[[#This Row],[Admin2PCODE]],tblSeverityAnalysis[Admin 2 Código P],tblSeverityAnalysis[PRO],0,0)</f>
        <v>4</v>
      </c>
      <c r="Y282">
        <v>0</v>
      </c>
      <c r="Z282">
        <v>0</v>
      </c>
      <c r="AA282">
        <f t="shared" si="4"/>
        <v>0</v>
      </c>
    </row>
    <row r="283" spans="1:27">
      <c r="A283" t="s">
        <v>642</v>
      </c>
      <c r="B283" t="s">
        <v>643</v>
      </c>
      <c r="C283" s="42" t="s">
        <v>180</v>
      </c>
      <c r="D283" t="s">
        <v>647</v>
      </c>
      <c r="E283" s="8" cm="1">
        <f t="array" aca="1" ref="E283" ca="1">_xlfn.XLOOKUP(Table11[[#This Row],[Admin2PCODE]], tblPiNAnalysis[Admin2PCODE], INDIRECT("tblPiNAnalysis[" &amp; Table11[[#Headers],[Población]] &amp; "]"), "NOT FOUND", 0, 1)</f>
        <v>15635</v>
      </c>
      <c r="F283" s="8" cm="1">
        <f t="array" aca="1" ref="F283" ca="1">_xlfn.XLOOKUP(Table11[[#This Row],[Admin2PCODE]], tblPiNAnalysis[Admin2PCODE], INDIRECT("tblPiNAnalysis[" &amp; Table11[[#Headers],[SAMV]] &amp; "]"), "NOT FOUND", 0, 1)</f>
        <v>1563</v>
      </c>
      <c r="G283" s="8" cm="1">
        <f t="array" aca="1" ref="G283" ca="1">_xlfn.XLOOKUP(Table11[[#This Row],[Admin2PCODE]], tblPiNAnalysis[Admin2PCODE], INDIRECT("tblPiNAnalysis[" &amp; Table11[[#Headers],[NUT]] &amp; "]"), "NOT FOUND", 0, 1)</f>
        <v>574.09574535819434</v>
      </c>
      <c r="H283" s="8" cm="1">
        <f t="array" aca="1" ref="H283" ca="1">_xlfn.XLOOKUP(Table11[[#This Row],[Admin2PCODE]], tblPiNAnalysis[Admin2PCODE], INDIRECT("tblPiNAnalysis[" &amp; Table11[[#Headers],[SAL]] &amp; "]"), "NOT FOUND", 0, 1)</f>
        <v>5706.7749999999996</v>
      </c>
      <c r="I283" s="8" cm="1">
        <f t="array" aca="1" ref="I283" ca="1">_xlfn.XLOOKUP(Table11[[#This Row],[Admin2PCODE]], tblPiNAnalysis[Admin2PCODE], INDIRECT("tblPiNAnalysis[" &amp; Table11[[#Headers],[EDU]] &amp; "]"), "NOT FOUND", 0, 1)</f>
        <v>888.82925459418493</v>
      </c>
      <c r="J283" s="8" cm="1">
        <f t="array" aca="1" ref="J283" ca="1">_xlfn.XLOOKUP(Table11[[#This Row],[Admin2PCODE]], tblPiNAnalysis[Admin2PCODE], INDIRECT("tblPiNAnalysis[" &amp; Table11[[#Headers],[PRO]] &amp; "]"), "NOT FOUND", 0, 1)</f>
        <v>1891.2433872224806</v>
      </c>
      <c r="K283" s="8" cm="1">
        <f t="array" aca="1" ref="K283" ca="1">_xlfn.XLOOKUP(Table11[[#This Row],[Admin2PCODE]], tblPiNAnalysis[Admin2PCODE], INDIRECT("tblPiNAnalysis[" &amp; Table11[[#Headers],[ASH]] &amp; "]"), "NOT FOUND", 0, 1)</f>
        <v>1055.3625</v>
      </c>
      <c r="L283" s="8" cm="1">
        <f t="array" aca="1" ref="L283" ca="1">_xlfn.XLOOKUP(Table11[[#This Row],[Admin2PCODE]], tblPiNAnalysis[Admin2PCODE], INDIRECT("tblPiNAnalysis[" &amp; Table11[[#Headers],[NNA]] &amp; "]"), "NOT FOUND", 0, 1)</f>
        <v>605.1978839111938</v>
      </c>
      <c r="M283" s="8" cm="1">
        <f t="array" aca="1" ref="M283" ca="1">_xlfn.XLOOKUP(Table11[[#This Row],[Admin2PCODE]], tblPiNAnalysis[Admin2PCODE], INDIRECT("tblPiNAnalysis[" &amp; Table11[[#Headers],[VBG]] &amp; "]"), "NOT FOUND", 0, 1)</f>
        <v>661.93518552786816</v>
      </c>
      <c r="N283" s="8" cm="1">
        <f t="array" aca="1" ref="N283" ca="1">_xlfn.XLOOKUP(Table11[[#This Row],[Admin2PCODE]], tblPiNAnalysis[Admin2PCODE], INDIRECT("tblPiNAnalysis[" &amp; Table11[[#Headers],[PiN más alto]] &amp; "]"), "NOT FOUND", 0, 1)</f>
        <v>5706.7749999999996</v>
      </c>
      <c r="O283" t="str" cm="1">
        <f t="array" aca="1" ref="O283" ca="1">_xlfn.XLOOKUP(Table11[[#This Row],[Admin2PCODE]], tblPiNAnalysis[Admin2PCODE], INDIRECT("tblPiNAnalysis[" &amp; Table11[[#Headers],[Sectores más altos]] &amp; "]"), "NOT FOUND", 0, 1)</f>
        <v>SAL</v>
      </c>
      <c r="P283" cm="1">
        <f t="array" ref="P283">_xlfn.XLOOKUP(Table11[[#This Row],[Admin2PCODE]], tblPiNAnalysis[Admin2PCODE], tblPiNAnalysis[Severidad], "NOT FOUND", 0, 1)</f>
        <v>3</v>
      </c>
      <c r="Q283" s="318">
        <v>0.14634146341463414</v>
      </c>
      <c r="R283" s="318">
        <v>0.41666666666666669</v>
      </c>
      <c r="S283" s="318">
        <v>6.097560975609756E-2</v>
      </c>
      <c r="T283">
        <v>0</v>
      </c>
      <c r="W283">
        <f>_xlfn.XLOOKUP(Table11[[#This Row],[Admin2PCODE]],tblSeverityAnalysis[Admin 2 Código P],tblSeverityAnalysis[PRO],0,0)</f>
        <v>2</v>
      </c>
      <c r="Y283">
        <v>4</v>
      </c>
      <c r="Z283">
        <v>0</v>
      </c>
      <c r="AA283">
        <f t="shared" si="4"/>
        <v>0</v>
      </c>
    </row>
    <row r="284" spans="1:27">
      <c r="A284" t="s">
        <v>642</v>
      </c>
      <c r="B284" t="s">
        <v>643</v>
      </c>
      <c r="C284" s="42" t="s">
        <v>648</v>
      </c>
      <c r="D284" t="s">
        <v>649</v>
      </c>
      <c r="E284" s="8" cm="1">
        <f t="array" aca="1" ref="E284" ca="1">_xlfn.XLOOKUP(Table11[[#This Row],[Admin2PCODE]], tblPiNAnalysis[Admin2PCODE], INDIRECT("tblPiNAnalysis[" &amp; Table11[[#Headers],[Población]] &amp; "]"), "NOT FOUND", 0, 1)</f>
        <v>28441</v>
      </c>
      <c r="F284" s="8" cm="1">
        <f t="array" aca="1" ref="F284" ca="1">_xlfn.XLOOKUP(Table11[[#This Row],[Admin2PCODE]], tblPiNAnalysis[Admin2PCODE], INDIRECT("tblPiNAnalysis[" &amp; Table11[[#Headers],[SAMV]] &amp; "]"), "NOT FOUND", 0, 1)</f>
        <v>7657</v>
      </c>
      <c r="G284" s="8" cm="1">
        <f t="array" aca="1" ref="G284" ca="1">_xlfn.XLOOKUP(Table11[[#This Row],[Admin2PCODE]], tblPiNAnalysis[Admin2PCODE], INDIRECT("tblPiNAnalysis[" &amp; Table11[[#Headers],[NUT]] &amp; "]"), "NOT FOUND", 0, 1)</f>
        <v>1001.228516096149</v>
      </c>
      <c r="H284" s="8" cm="1">
        <f t="array" aca="1" ref="H284" ca="1">_xlfn.XLOOKUP(Table11[[#This Row],[Admin2PCODE]], tblPiNAnalysis[Admin2PCODE], INDIRECT("tblPiNAnalysis[" &amp; Table11[[#Headers],[SAL]] &amp; "]"), "NOT FOUND", 0, 1)</f>
        <v>10380.965</v>
      </c>
      <c r="I284" s="8" cm="1">
        <f t="array" aca="1" ref="I284" ca="1">_xlfn.XLOOKUP(Table11[[#This Row],[Admin2PCODE]], tblPiNAnalysis[Admin2PCODE], INDIRECT("tblPiNAnalysis[" &amp; Table11[[#Headers],[EDU]] &amp; "]"), "NOT FOUND", 0, 1)</f>
        <v>2668.9726598559719</v>
      </c>
      <c r="J284" s="8" cm="1">
        <f t="array" aca="1" ref="J284" ca="1">_xlfn.XLOOKUP(Table11[[#This Row],[Admin2PCODE]], tblPiNAnalysis[Admin2PCODE], INDIRECT("tblPiNAnalysis[" &amp; Table11[[#Headers],[PRO]] &amp; "]"), "NOT FOUND", 0, 1)</f>
        <v>3440.2848209782264</v>
      </c>
      <c r="K284" s="8" cm="1">
        <f t="array" aca="1" ref="K284" ca="1">_xlfn.XLOOKUP(Table11[[#This Row],[Admin2PCODE]], tblPiNAnalysis[Admin2PCODE], INDIRECT("tblPiNAnalysis[" &amp; Table11[[#Headers],[ASH]] &amp; "]"), "NOT FOUND", 0, 1)</f>
        <v>0</v>
      </c>
      <c r="L284" s="8" cm="1">
        <f t="array" aca="1" ref="L284" ca="1">_xlfn.XLOOKUP(Table11[[#This Row],[Admin2PCODE]], tblPiNAnalysis[Admin2PCODE], INDIRECT("tblPiNAnalysis[" &amp; Table11[[#Headers],[NNA]] &amp; "]"), "NOT FOUND", 0, 1)</f>
        <v>1104.3314275340108</v>
      </c>
      <c r="M284" s="8" cm="1">
        <f t="array" aca="1" ref="M284" ca="1">_xlfn.XLOOKUP(Table11[[#This Row],[Admin2PCODE]], tblPiNAnalysis[Admin2PCODE], INDIRECT("tblPiNAnalysis[" &amp; Table11[[#Headers],[VBG]] &amp; "]"), "NOT FOUND", 0, 1)</f>
        <v>1204.0996873423794</v>
      </c>
      <c r="N284" s="8" cm="1">
        <f t="array" aca="1" ref="N284" ca="1">_xlfn.XLOOKUP(Table11[[#This Row],[Admin2PCODE]], tblPiNAnalysis[Admin2PCODE], INDIRECT("tblPiNAnalysis[" &amp; Table11[[#Headers],[PiN más alto]] &amp; "]"), "NOT FOUND", 0, 1)</f>
        <v>10380.965</v>
      </c>
      <c r="O284" t="str" cm="1">
        <f t="array" aca="1" ref="O284" ca="1">_xlfn.XLOOKUP(Table11[[#This Row],[Admin2PCODE]], tblPiNAnalysis[Admin2PCODE], INDIRECT("tblPiNAnalysis[" &amp; Table11[[#Headers],[Sectores más altos]] &amp; "]"), "NOT FOUND", 0, 1)</f>
        <v>SAL</v>
      </c>
      <c r="P284" cm="1">
        <f t="array" ref="P284">_xlfn.XLOOKUP(Table11[[#This Row],[Admin2PCODE]], tblPiNAnalysis[Admin2PCODE], tblPiNAnalysis[Severidad], "NOT FOUND", 0, 1)</f>
        <v>2</v>
      </c>
      <c r="Q284" s="318">
        <v>0.2857142857142857</v>
      </c>
      <c r="R284" s="318">
        <v>0.59999999999999987</v>
      </c>
      <c r="S284" s="318">
        <v>0.17142857142857137</v>
      </c>
      <c r="T284">
        <v>0</v>
      </c>
      <c r="W284">
        <f>_xlfn.XLOOKUP(Table11[[#This Row],[Admin2PCODE]],tblSeverityAnalysis[Admin 2 Código P],tblSeverityAnalysis[PRO],0,0)</f>
        <v>2</v>
      </c>
      <c r="Y284">
        <v>0</v>
      </c>
      <c r="Z284">
        <v>0</v>
      </c>
      <c r="AA284">
        <f t="shared" si="4"/>
        <v>0</v>
      </c>
    </row>
    <row r="285" spans="1:27">
      <c r="A285" t="s">
        <v>642</v>
      </c>
      <c r="B285" t="s">
        <v>643</v>
      </c>
      <c r="C285" s="42" t="s">
        <v>650</v>
      </c>
      <c r="D285" t="s">
        <v>651</v>
      </c>
      <c r="E285" s="8" cm="1">
        <f t="array" aca="1" ref="E285" ca="1">_xlfn.XLOOKUP(Table11[[#This Row],[Admin2PCODE]], tblPiNAnalysis[Admin2PCODE], INDIRECT("tblPiNAnalysis[" &amp; Table11[[#Headers],[Población]] &amp; "]"), "NOT FOUND", 0, 1)</f>
        <v>27976</v>
      </c>
      <c r="F285" s="8" cm="1">
        <f t="array" aca="1" ref="F285" ca="1">_xlfn.XLOOKUP(Table11[[#This Row],[Admin2PCODE]], tblPiNAnalysis[Admin2PCODE], INDIRECT("tblPiNAnalysis[" &amp; Table11[[#Headers],[SAMV]] &amp; "]"), "NOT FOUND", 0, 1)</f>
        <v>2564</v>
      </c>
      <c r="G285" s="8" cm="1">
        <f t="array" aca="1" ref="G285" ca="1">_xlfn.XLOOKUP(Table11[[#This Row],[Admin2PCODE]], tblPiNAnalysis[Admin2PCODE], INDIRECT("tblPiNAnalysis[" &amp; Table11[[#Headers],[NUT]] &amp; "]"), "NOT FOUND", 0, 1)</f>
        <v>961.64863789458286</v>
      </c>
      <c r="H285" s="8" cm="1">
        <f t="array" aca="1" ref="H285" ca="1">_xlfn.XLOOKUP(Table11[[#This Row],[Admin2PCODE]], tblPiNAnalysis[Admin2PCODE], INDIRECT("tblPiNAnalysis[" &amp; Table11[[#Headers],[SAL]] &amp; "]"), "NOT FOUND", 0, 1)</f>
        <v>11400</v>
      </c>
      <c r="I285" s="8" cm="1">
        <f t="array" aca="1" ref="I285" ca="1">_xlfn.XLOOKUP(Table11[[#This Row],[Admin2PCODE]], tblPiNAnalysis[Admin2PCODE], INDIRECT("tblPiNAnalysis[" &amp; Table11[[#Headers],[EDU]] &amp; "]"), "NOT FOUND", 0, 1)</f>
        <v>2688.4705912453178</v>
      </c>
      <c r="J285" s="8" cm="1">
        <f t="array" aca="1" ref="J285" ca="1">_xlfn.XLOOKUP(Table11[[#This Row],[Admin2PCODE]], tblPiNAnalysis[Admin2PCODE], INDIRECT("tblPiNAnalysis[" &amp; Table11[[#Headers],[PRO]] &amp; "]"), "NOT FOUND", 0, 1)</f>
        <v>6768.0748322271966</v>
      </c>
      <c r="K285" s="8" cm="1">
        <f t="array" aca="1" ref="K285" ca="1">_xlfn.XLOOKUP(Table11[[#This Row],[Admin2PCODE]], tblPiNAnalysis[Admin2PCODE], INDIRECT("tblPiNAnalysis[" &amp; Table11[[#Headers],[ASH]] &amp; "]"), "NOT FOUND", 0, 1)</f>
        <v>0</v>
      </c>
      <c r="L285" s="8" cm="1">
        <f t="array" aca="1" ref="L285" ca="1">_xlfn.XLOOKUP(Table11[[#This Row],[Admin2PCODE]], tblPiNAnalysis[Admin2PCODE], INDIRECT("tblPiNAnalysis[" &amp; Table11[[#Headers],[NNA]] &amp; "]"), "NOT FOUND", 0, 1)</f>
        <v>2165.7839463127029</v>
      </c>
      <c r="M285" s="8" cm="1">
        <f t="array" aca="1" ref="M285" ca="1">_xlfn.XLOOKUP(Table11[[#This Row],[Admin2PCODE]], tblPiNAnalysis[Admin2PCODE], INDIRECT("tblPiNAnalysis[" &amp; Table11[[#Headers],[VBG]] &amp; "]"), "NOT FOUND", 0, 1)</f>
        <v>2368.8261912795188</v>
      </c>
      <c r="N285" s="8" cm="1">
        <f t="array" aca="1" ref="N285" ca="1">_xlfn.XLOOKUP(Table11[[#This Row],[Admin2PCODE]], tblPiNAnalysis[Admin2PCODE], INDIRECT("tblPiNAnalysis[" &amp; Table11[[#Headers],[PiN más alto]] &amp; "]"), "NOT FOUND", 0, 1)</f>
        <v>11400</v>
      </c>
      <c r="O285" t="str" cm="1">
        <f t="array" aca="1" ref="O285" ca="1">_xlfn.XLOOKUP(Table11[[#This Row],[Admin2PCODE]], tblPiNAnalysis[Admin2PCODE], INDIRECT("tblPiNAnalysis[" &amp; Table11[[#Headers],[Sectores más altos]] &amp; "]"), "NOT FOUND", 0, 1)</f>
        <v>SAL</v>
      </c>
      <c r="P285" cm="1">
        <f t="array" ref="P285">_xlfn.XLOOKUP(Table11[[#This Row],[Admin2PCODE]], tblPiNAnalysis[Admin2PCODE], tblPiNAnalysis[Severidad], "NOT FOUND", 0, 1)</f>
        <v>3</v>
      </c>
      <c r="Q285" s="318">
        <v>0</v>
      </c>
      <c r="R285" s="318">
        <v>0</v>
      </c>
      <c r="S285" s="318">
        <v>0</v>
      </c>
      <c r="T285">
        <v>0</v>
      </c>
      <c r="W285">
        <f>_xlfn.XLOOKUP(Table11[[#This Row],[Admin2PCODE]],tblSeverityAnalysis[Admin 2 Código P],tblSeverityAnalysis[PRO],0,0)</f>
        <v>4</v>
      </c>
      <c r="Y285">
        <v>8</v>
      </c>
      <c r="Z285">
        <v>0</v>
      </c>
      <c r="AA285">
        <f t="shared" si="4"/>
        <v>0</v>
      </c>
    </row>
    <row r="286" spans="1:27">
      <c r="A286" t="s">
        <v>642</v>
      </c>
      <c r="B286" t="s">
        <v>643</v>
      </c>
      <c r="C286" s="42" t="s">
        <v>652</v>
      </c>
      <c r="D286" t="s">
        <v>653</v>
      </c>
      <c r="E286" s="8" cm="1">
        <f t="array" aca="1" ref="E286" ca="1">_xlfn.XLOOKUP(Table11[[#This Row],[Admin2PCODE]], tblPiNAnalysis[Admin2PCODE], INDIRECT("tblPiNAnalysis[" &amp; Table11[[#Headers],[Población]] &amp; "]"), "NOT FOUND", 0, 1)</f>
        <v>27739</v>
      </c>
      <c r="F286" s="8" cm="1">
        <f t="array" aca="1" ref="F286" ca="1">_xlfn.XLOOKUP(Table11[[#This Row],[Admin2PCODE]], tblPiNAnalysis[Admin2PCODE], INDIRECT("tblPiNAnalysis[" &amp; Table11[[#Headers],[SAMV]] &amp; "]"), "NOT FOUND", 0, 1)</f>
        <v>3536</v>
      </c>
      <c r="G286" s="8" cm="1">
        <f t="array" aca="1" ref="G286" ca="1">_xlfn.XLOOKUP(Table11[[#This Row],[Admin2PCODE]], tblPiNAnalysis[Admin2PCODE], INDIRECT("tblPiNAnalysis[" &amp; Table11[[#Headers],[NUT]] &amp; "]"), "NOT FOUND", 0, 1)</f>
        <v>898.455174473238</v>
      </c>
      <c r="H286" s="8" cm="1">
        <f t="array" aca="1" ref="H286" ca="1">_xlfn.XLOOKUP(Table11[[#This Row],[Admin2PCODE]], tblPiNAnalysis[Admin2PCODE], INDIRECT("tblPiNAnalysis[" &amp; Table11[[#Headers],[SAL]] &amp; "]"), "NOT FOUND", 0, 1)</f>
        <v>10124.735000000001</v>
      </c>
      <c r="I286" s="8" cm="1">
        <f t="array" aca="1" ref="I286" ca="1">_xlfn.XLOOKUP(Table11[[#This Row],[Admin2PCODE]], tblPiNAnalysis[Admin2PCODE], INDIRECT("tblPiNAnalysis[" &amp; Table11[[#Headers],[EDU]] &amp; "]"), "NOT FOUND", 0, 1)</f>
        <v>3330.8621270632366</v>
      </c>
      <c r="J286" s="8" cm="1">
        <f t="array" aca="1" ref="J286" ca="1">_xlfn.XLOOKUP(Table11[[#This Row],[Admin2PCODE]], tblPiNAnalysis[Admin2PCODE], INDIRECT("tblPiNAnalysis[" &amp; Table11[[#Headers],[PRO]] &amp; "]"), "NOT FOUND", 0, 1)</f>
        <v>6710.7387679135736</v>
      </c>
      <c r="K286" s="8" cm="1">
        <f t="array" aca="1" ref="K286" ca="1">_xlfn.XLOOKUP(Table11[[#This Row],[Admin2PCODE]], tblPiNAnalysis[Admin2PCODE], INDIRECT("tblPiNAnalysis[" &amp; Table11[[#Headers],[ASH]] &amp; "]"), "NOT FOUND", 0, 1)</f>
        <v>0</v>
      </c>
      <c r="L286" s="8" cm="1">
        <f t="array" aca="1" ref="L286" ca="1">_xlfn.XLOOKUP(Table11[[#This Row],[Admin2PCODE]], tblPiNAnalysis[Admin2PCODE], INDIRECT("tblPiNAnalysis[" &amp; Table11[[#Headers],[NNA]] &amp; "]"), "NOT FOUND", 0, 1)</f>
        <v>2154.1471445002571</v>
      </c>
      <c r="M286" s="8" cm="1">
        <f t="array" aca="1" ref="M286" ca="1">_xlfn.XLOOKUP(Table11[[#This Row],[Admin2PCODE]], tblPiNAnalysis[Admin2PCODE], INDIRECT("tblPiNAnalysis[" &amp; Table11[[#Headers],[VBG]] &amp; "]"), "NOT FOUND", 0, 1)</f>
        <v>2348.7585687697506</v>
      </c>
      <c r="N286" s="8" cm="1">
        <f t="array" aca="1" ref="N286" ca="1">_xlfn.XLOOKUP(Table11[[#This Row],[Admin2PCODE]], tblPiNAnalysis[Admin2PCODE], INDIRECT("tblPiNAnalysis[" &amp; Table11[[#Headers],[PiN más alto]] &amp; "]"), "NOT FOUND", 0, 1)</f>
        <v>10124.735000000001</v>
      </c>
      <c r="O286" t="str" cm="1">
        <f t="array" aca="1" ref="O286" ca="1">_xlfn.XLOOKUP(Table11[[#This Row],[Admin2PCODE]], tblPiNAnalysis[Admin2PCODE], INDIRECT("tblPiNAnalysis[" &amp; Table11[[#Headers],[Sectores más altos]] &amp; "]"), "NOT FOUND", 0, 1)</f>
        <v>SAL</v>
      </c>
      <c r="P286" cm="1">
        <f t="array" ref="P286">_xlfn.XLOOKUP(Table11[[#This Row],[Admin2PCODE]], tblPiNAnalysis[Admin2PCODE], tblPiNAnalysis[Severidad], "NOT FOUND", 0, 1)</f>
        <v>3</v>
      </c>
      <c r="Q286" s="318">
        <v>0.46808510638297873</v>
      </c>
      <c r="R286" s="318">
        <v>0.4242424242424242</v>
      </c>
      <c r="S286" s="318">
        <v>0.19858156028368792</v>
      </c>
      <c r="T286">
        <v>0</v>
      </c>
      <c r="W286">
        <f>_xlfn.XLOOKUP(Table11[[#This Row],[Admin2PCODE]],tblSeverityAnalysis[Admin 2 Código P],tblSeverityAnalysis[PRO],0,0)</f>
        <v>4</v>
      </c>
      <c r="Y286">
        <v>8</v>
      </c>
      <c r="Z286">
        <v>0</v>
      </c>
      <c r="AA286">
        <f t="shared" si="4"/>
        <v>0</v>
      </c>
    </row>
    <row r="287" spans="1:27">
      <c r="A287" t="s">
        <v>642</v>
      </c>
      <c r="B287" t="s">
        <v>643</v>
      </c>
      <c r="C287" s="42" t="s">
        <v>654</v>
      </c>
      <c r="D287" t="s">
        <v>655</v>
      </c>
      <c r="E287" s="8" cm="1">
        <f t="array" aca="1" ref="E287" ca="1">_xlfn.XLOOKUP(Table11[[#This Row],[Admin2PCODE]], tblPiNAnalysis[Admin2PCODE], INDIRECT("tblPiNAnalysis[" &amp; Table11[[#Headers],[Población]] &amp; "]"), "NOT FOUND", 0, 1)</f>
        <v>4656</v>
      </c>
      <c r="F287" s="8" cm="1">
        <f t="array" aca="1" ref="F287" ca="1">_xlfn.XLOOKUP(Table11[[#This Row],[Admin2PCODE]], tblPiNAnalysis[Admin2PCODE], INDIRECT("tblPiNAnalysis[" &amp; Table11[[#Headers],[SAMV]] &amp; "]"), "NOT FOUND", 0, 1)</f>
        <v>1108</v>
      </c>
      <c r="G287" s="8" cm="1">
        <f t="array" aca="1" ref="G287" ca="1">_xlfn.XLOOKUP(Table11[[#This Row],[Admin2PCODE]], tblPiNAnalysis[Admin2PCODE], INDIRECT("tblPiNAnalysis[" &amp; Table11[[#Headers],[NUT]] &amp; "]"), "NOT FOUND", 0, 1)</f>
        <v>154.43348450889914</v>
      </c>
      <c r="H287" s="8" cm="1">
        <f t="array" aca="1" ref="H287" ca="1">_xlfn.XLOOKUP(Table11[[#This Row],[Admin2PCODE]], tblPiNAnalysis[Admin2PCODE], INDIRECT("tblPiNAnalysis[" &amp; Table11[[#Headers],[SAL]] &amp; "]"), "NOT FOUND", 0, 1)</f>
        <v>1699.44</v>
      </c>
      <c r="I287" s="8" cm="1">
        <f t="array" aca="1" ref="I287" ca="1">_xlfn.XLOOKUP(Table11[[#This Row],[Admin2PCODE]], tblPiNAnalysis[Admin2PCODE], INDIRECT("tblPiNAnalysis[" &amp; Table11[[#Headers],[EDU]] &amp; "]"), "NOT FOUND", 0, 1)</f>
        <v>937.93561225383792</v>
      </c>
      <c r="J287" s="8" cm="1">
        <f t="array" aca="1" ref="J287" ca="1">_xlfn.XLOOKUP(Table11[[#This Row],[Admin2PCODE]], tblPiNAnalysis[Admin2PCODE], INDIRECT("tblPiNAnalysis[" &amp; Table11[[#Headers],[PRO]] &amp; "]"), "NOT FOUND", 0, 1)</f>
        <v>563.19982161227165</v>
      </c>
      <c r="K287" s="8" cm="1">
        <f t="array" aca="1" ref="K287" ca="1">_xlfn.XLOOKUP(Table11[[#This Row],[Admin2PCODE]], tblPiNAnalysis[Admin2PCODE], INDIRECT("tblPiNAnalysis[" &amp; Table11[[#Headers],[ASH]] &amp; "]"), "NOT FOUND", 0, 1)</f>
        <v>0</v>
      </c>
      <c r="L287" s="8" cm="1">
        <f t="array" aca="1" ref="L287" ca="1">_xlfn.XLOOKUP(Table11[[#This Row],[Admin2PCODE]], tblPiNAnalysis[Admin2PCODE], INDIRECT("tblPiNAnalysis[" &amp; Table11[[#Headers],[NNA]] &amp; "]"), "NOT FOUND", 0, 1)</f>
        <v>180.22394291592693</v>
      </c>
      <c r="M287" s="8" cm="1">
        <f t="array" aca="1" ref="M287" ca="1">_xlfn.XLOOKUP(Table11[[#This Row],[Admin2PCODE]], tblPiNAnalysis[Admin2PCODE], INDIRECT("tblPiNAnalysis[" &amp; Table11[[#Headers],[VBG]] &amp; "]"), "NOT FOUND", 0, 1)</f>
        <v>197.11993756429504</v>
      </c>
      <c r="N287" s="8" cm="1">
        <f t="array" aca="1" ref="N287" ca="1">_xlfn.XLOOKUP(Table11[[#This Row],[Admin2PCODE]], tblPiNAnalysis[Admin2PCODE], INDIRECT("tblPiNAnalysis[" &amp; Table11[[#Headers],[PiN más alto]] &amp; "]"), "NOT FOUND", 0, 1)</f>
        <v>1699.44</v>
      </c>
      <c r="O287" t="str" cm="1">
        <f t="array" aca="1" ref="O287" ca="1">_xlfn.XLOOKUP(Table11[[#This Row],[Admin2PCODE]], tblPiNAnalysis[Admin2PCODE], INDIRECT("tblPiNAnalysis[" &amp; Table11[[#Headers],[Sectores más altos]] &amp; "]"), "NOT FOUND", 0, 1)</f>
        <v>SAL</v>
      </c>
      <c r="P287" cm="1">
        <f t="array" ref="P287">_xlfn.XLOOKUP(Table11[[#This Row],[Admin2PCODE]], tblPiNAnalysis[Admin2PCODE], tblPiNAnalysis[Severidad], "NOT FOUND", 0, 1)</f>
        <v>2</v>
      </c>
      <c r="Q287" s="318">
        <v>0.36842105263157893</v>
      </c>
      <c r="R287" s="318">
        <v>0.44444444444444431</v>
      </c>
      <c r="S287" s="318">
        <v>0.16374269005847947</v>
      </c>
      <c r="T287">
        <v>0</v>
      </c>
      <c r="W287">
        <f>_xlfn.XLOOKUP(Table11[[#This Row],[Admin2PCODE]],tblSeverityAnalysis[Admin 2 Código P],tblSeverityAnalysis[PRO],0,0)</f>
        <v>2</v>
      </c>
      <c r="Y287">
        <v>6</v>
      </c>
      <c r="Z287">
        <v>0</v>
      </c>
      <c r="AA287">
        <f t="shared" si="4"/>
        <v>0</v>
      </c>
    </row>
    <row r="288" spans="1:27">
      <c r="A288" t="s">
        <v>642</v>
      </c>
      <c r="B288" t="s">
        <v>643</v>
      </c>
      <c r="C288" s="42" t="s">
        <v>656</v>
      </c>
      <c r="D288" t="s">
        <v>657</v>
      </c>
      <c r="E288" s="8" cm="1">
        <f t="array" aca="1" ref="E288" ca="1">_xlfn.XLOOKUP(Table11[[#This Row],[Admin2PCODE]], tblPiNAnalysis[Admin2PCODE], INDIRECT("tblPiNAnalysis[" &amp; Table11[[#Headers],[Población]] &amp; "]"), "NOT FOUND", 0, 1)</f>
        <v>5449</v>
      </c>
      <c r="F288" s="8" cm="1">
        <f t="array" aca="1" ref="F288" ca="1">_xlfn.XLOOKUP(Table11[[#This Row],[Admin2PCODE]], tblPiNAnalysis[Admin2PCODE], INDIRECT("tblPiNAnalysis[" &amp; Table11[[#Headers],[SAMV]] &amp; "]"), "NOT FOUND", 0, 1)</f>
        <v>665</v>
      </c>
      <c r="G288" s="8" cm="1">
        <f t="array" aca="1" ref="G288" ca="1">_xlfn.XLOOKUP(Table11[[#This Row],[Admin2PCODE]], tblPiNAnalysis[Admin2PCODE], INDIRECT("tblPiNAnalysis[" &amp; Table11[[#Headers],[NUT]] &amp; "]"), "NOT FOUND", 0, 1)</f>
        <v>191.19198544738322</v>
      </c>
      <c r="H288" s="8" cm="1">
        <f t="array" aca="1" ref="H288" ca="1">_xlfn.XLOOKUP(Table11[[#This Row],[Admin2PCODE]], tblPiNAnalysis[Admin2PCODE], INDIRECT("tblPiNAnalysis[" &amp; Table11[[#Headers],[SAL]] &amp; "]"), "NOT FOUND", 0, 1)</f>
        <v>1988.885</v>
      </c>
      <c r="I288" s="8" cm="1">
        <f t="array" aca="1" ref="I288" ca="1">_xlfn.XLOOKUP(Table11[[#This Row],[Admin2PCODE]], tblPiNAnalysis[Admin2PCODE], INDIRECT("tblPiNAnalysis[" &amp; Table11[[#Headers],[EDU]] &amp; "]"), "NOT FOUND", 0, 1)</f>
        <v>423.40729764383741</v>
      </c>
      <c r="J288" s="8" cm="1">
        <f t="array" aca="1" ref="J288" ca="1">_xlfn.XLOOKUP(Table11[[#This Row],[Admin2PCODE]], tblPiNAnalysis[Admin2PCODE], INDIRECT("tblPiNAnalysis[" &amp; Table11[[#Headers],[PRO]] &amp; "]"), "NOT FOUND", 0, 1)</f>
        <v>659.12281528463677</v>
      </c>
      <c r="K288" s="8" cm="1">
        <f t="array" aca="1" ref="K288" ca="1">_xlfn.XLOOKUP(Table11[[#This Row],[Admin2PCODE]], tblPiNAnalysis[Admin2PCODE], INDIRECT("tblPiNAnalysis[" &amp; Table11[[#Headers],[ASH]] &amp; "]"), "NOT FOUND", 0, 1)</f>
        <v>0</v>
      </c>
      <c r="L288" s="8" cm="1">
        <f t="array" aca="1" ref="L288" ca="1">_xlfn.XLOOKUP(Table11[[#This Row],[Admin2PCODE]], tblPiNAnalysis[Admin2PCODE], INDIRECT("tblPiNAnalysis[" &amp; Table11[[#Headers],[NNA]] &amp; "]"), "NOT FOUND", 0, 1)</f>
        <v>210.91930089108376</v>
      </c>
      <c r="M288" s="8" cm="1">
        <f t="array" aca="1" ref="M288" ca="1">_xlfn.XLOOKUP(Table11[[#This Row],[Admin2PCODE]], tblPiNAnalysis[Admin2PCODE], INDIRECT("tblPiNAnalysis[" &amp; Table11[[#Headers],[VBG]] &amp; "]"), "NOT FOUND", 0, 1)</f>
        <v>230.69298534962286</v>
      </c>
      <c r="N288" s="8" cm="1">
        <f t="array" aca="1" ref="N288" ca="1">_xlfn.XLOOKUP(Table11[[#This Row],[Admin2PCODE]], tblPiNAnalysis[Admin2PCODE], INDIRECT("tblPiNAnalysis[" &amp; Table11[[#Headers],[PiN más alto]] &amp; "]"), "NOT FOUND", 0, 1)</f>
        <v>1988.885</v>
      </c>
      <c r="O288" t="str" cm="1">
        <f t="array" aca="1" ref="O288" ca="1">_xlfn.XLOOKUP(Table11[[#This Row],[Admin2PCODE]], tblPiNAnalysis[Admin2PCODE], INDIRECT("tblPiNAnalysis[" &amp; Table11[[#Headers],[Sectores más altos]] &amp; "]"), "NOT FOUND", 0, 1)</f>
        <v>SAL</v>
      </c>
      <c r="P288" cm="1">
        <f t="array" ref="P288">_xlfn.XLOOKUP(Table11[[#This Row],[Admin2PCODE]], tblPiNAnalysis[Admin2PCODE], tblPiNAnalysis[Severidad], "NOT FOUND", 0, 1)</f>
        <v>2</v>
      </c>
      <c r="Q288" s="318">
        <v>0</v>
      </c>
      <c r="R288" s="318">
        <v>0</v>
      </c>
      <c r="S288" s="318">
        <v>0</v>
      </c>
      <c r="T288">
        <v>0</v>
      </c>
      <c r="W288">
        <f>_xlfn.XLOOKUP(Table11[[#This Row],[Admin2PCODE]],tblSeverityAnalysis[Admin 2 Código P],tblSeverityAnalysis[PRO],0,0)</f>
        <v>2</v>
      </c>
      <c r="Y288">
        <v>8</v>
      </c>
      <c r="Z288">
        <v>0</v>
      </c>
      <c r="AA288">
        <f t="shared" si="4"/>
        <v>0</v>
      </c>
    </row>
    <row r="289" spans="1:27">
      <c r="A289" t="s">
        <v>642</v>
      </c>
      <c r="B289" t="s">
        <v>643</v>
      </c>
      <c r="C289" s="42" t="s">
        <v>658</v>
      </c>
      <c r="D289" t="s">
        <v>659</v>
      </c>
      <c r="E289" s="8" cm="1">
        <f t="array" aca="1" ref="E289" ca="1">_xlfn.XLOOKUP(Table11[[#This Row],[Admin2PCODE]], tblPiNAnalysis[Admin2PCODE], INDIRECT("tblPiNAnalysis[" &amp; Table11[[#Headers],[Población]] &amp; "]"), "NOT FOUND", 0, 1)</f>
        <v>19460</v>
      </c>
      <c r="F289" s="8" cm="1">
        <f t="array" aca="1" ref="F289" ca="1">_xlfn.XLOOKUP(Table11[[#This Row],[Admin2PCODE]], tblPiNAnalysis[Admin2PCODE], INDIRECT("tblPiNAnalysis[" &amp; Table11[[#Headers],[SAMV]] &amp; "]"), "NOT FOUND", 0, 1)</f>
        <v>1441</v>
      </c>
      <c r="G289" s="8" cm="1">
        <f t="array" aca="1" ref="G289" ca="1">_xlfn.XLOOKUP(Table11[[#This Row],[Admin2PCODE]], tblPiNAnalysis[Admin2PCODE], INDIRECT("tblPiNAnalysis[" &amp; Table11[[#Headers],[NUT]] &amp; "]"), "NOT FOUND", 0, 1)</f>
        <v>694.48460611633641</v>
      </c>
      <c r="H289" s="8" cm="1">
        <f t="array" aca="1" ref="H289" ca="1">_xlfn.XLOOKUP(Table11[[#This Row],[Admin2PCODE]], tblPiNAnalysis[Admin2PCODE], INDIRECT("tblPiNAnalysis[" &amp; Table11[[#Headers],[SAL]] &amp; "]"), "NOT FOUND", 0, 1)</f>
        <v>7102.9</v>
      </c>
      <c r="I289" s="8" cm="1">
        <f t="array" aca="1" ref="I289" ca="1">_xlfn.XLOOKUP(Table11[[#This Row],[Admin2PCODE]], tblPiNAnalysis[Admin2PCODE], INDIRECT("tblPiNAnalysis[" &amp; Table11[[#Headers],[EDU]] &amp; "]"), "NOT FOUND", 0, 1)</f>
        <v>592.15632997733667</v>
      </c>
      <c r="J289" s="8" cm="1">
        <f t="array" aca="1" ref="J289" ca="1">_xlfn.XLOOKUP(Table11[[#This Row],[Admin2PCODE]], tblPiNAnalysis[Admin2PCODE], INDIRECT("tblPiNAnalysis[" &amp; Table11[[#Headers],[PRO]] &amp; "]"), "NOT FOUND", 0, 1)</f>
        <v>4707.8473060888346</v>
      </c>
      <c r="K289" s="8" cm="1">
        <f t="array" aca="1" ref="K289" ca="1">_xlfn.XLOOKUP(Table11[[#This Row],[Admin2PCODE]], tblPiNAnalysis[Admin2PCODE], INDIRECT("tblPiNAnalysis[" &amp; Table11[[#Headers],[ASH]] &amp; "]"), "NOT FOUND", 0, 1)</f>
        <v>0</v>
      </c>
      <c r="L289" s="8" cm="1">
        <f t="array" aca="1" ref="L289" ca="1">_xlfn.XLOOKUP(Table11[[#This Row],[Admin2PCODE]], tblPiNAnalysis[Admin2PCODE], INDIRECT("tblPiNAnalysis[" &amp; Table11[[#Headers],[NNA]] &amp; "]"), "NOT FOUND", 0, 1)</f>
        <v>1511.2189852545159</v>
      </c>
      <c r="M289" s="8" cm="1">
        <f t="array" aca="1" ref="M289" ca="1">_xlfn.XLOOKUP(Table11[[#This Row],[Admin2PCODE]], tblPiNAnalysis[Admin2PCODE], INDIRECT("tblPiNAnalysis[" &amp; Table11[[#Headers],[VBG]] &amp; "]"), "NOT FOUND", 0, 1)</f>
        <v>1647.7465571310918</v>
      </c>
      <c r="N289" s="8" cm="1">
        <f t="array" aca="1" ref="N289" ca="1">_xlfn.XLOOKUP(Table11[[#This Row],[Admin2PCODE]], tblPiNAnalysis[Admin2PCODE], INDIRECT("tblPiNAnalysis[" &amp; Table11[[#Headers],[PiN más alto]] &amp; "]"), "NOT FOUND", 0, 1)</f>
        <v>7102.9</v>
      </c>
      <c r="O289" t="str" cm="1">
        <f t="array" aca="1" ref="O289" ca="1">_xlfn.XLOOKUP(Table11[[#This Row],[Admin2PCODE]], tblPiNAnalysis[Admin2PCODE], INDIRECT("tblPiNAnalysis[" &amp; Table11[[#Headers],[Sectores más altos]] &amp; "]"), "NOT FOUND", 0, 1)</f>
        <v>SAL</v>
      </c>
      <c r="P289" cm="1">
        <f t="array" ref="P289">_xlfn.XLOOKUP(Table11[[#This Row],[Admin2PCODE]], tblPiNAnalysis[Admin2PCODE], tblPiNAnalysis[Severidad], "NOT FOUND", 0, 1)</f>
        <v>3</v>
      </c>
      <c r="Q289" s="318">
        <v>0.1</v>
      </c>
      <c r="R289" s="318">
        <v>0.44444444444444431</v>
      </c>
      <c r="S289" s="318">
        <v>4.4444444444444432E-2</v>
      </c>
      <c r="T289">
        <v>0</v>
      </c>
      <c r="W289">
        <f>_xlfn.XLOOKUP(Table11[[#This Row],[Admin2PCODE]],tblSeverityAnalysis[Admin 2 Código P],tblSeverityAnalysis[PRO],0,0)</f>
        <v>4</v>
      </c>
      <c r="Y289">
        <v>0</v>
      </c>
      <c r="Z289">
        <v>8.1999999999999993</v>
      </c>
      <c r="AA289">
        <f t="shared" si="4"/>
        <v>8</v>
      </c>
    </row>
    <row r="290" spans="1:27">
      <c r="A290" t="s">
        <v>642</v>
      </c>
      <c r="B290" t="s">
        <v>643</v>
      </c>
      <c r="C290" s="42" t="s">
        <v>276</v>
      </c>
      <c r="D290" t="s">
        <v>660</v>
      </c>
      <c r="E290" s="8" cm="1">
        <f t="array" aca="1" ref="E290" ca="1">_xlfn.XLOOKUP(Table11[[#This Row],[Admin2PCODE]], tblPiNAnalysis[Admin2PCODE], INDIRECT("tblPiNAnalysis[" &amp; Table11[[#Headers],[Población]] &amp; "]"), "NOT FOUND", 0, 1)</f>
        <v>21776</v>
      </c>
      <c r="F290" s="8" cm="1">
        <f t="array" aca="1" ref="F290" ca="1">_xlfn.XLOOKUP(Table11[[#This Row],[Admin2PCODE]], tblPiNAnalysis[Admin2PCODE], INDIRECT("tblPiNAnalysis[" &amp; Table11[[#Headers],[SAMV]] &amp; "]"), "NOT FOUND", 0, 1)</f>
        <v>259</v>
      </c>
      <c r="G290" s="8" cm="1">
        <f t="array" aca="1" ref="G290" ca="1">_xlfn.XLOOKUP(Table11[[#This Row],[Admin2PCODE]], tblPiNAnalysis[Admin2PCODE], INDIRECT("tblPiNAnalysis[" &amp; Table11[[#Headers],[NUT]] &amp; "]"), "NOT FOUND", 0, 1)</f>
        <v>743.2191414822812</v>
      </c>
      <c r="H290" s="8" cm="1">
        <f t="array" aca="1" ref="H290" ca="1">_xlfn.XLOOKUP(Table11[[#This Row],[Admin2PCODE]], tblPiNAnalysis[Admin2PCODE], INDIRECT("tblPiNAnalysis[" &amp; Table11[[#Headers],[SAL]] &amp; "]"), "NOT FOUND", 0, 1)</f>
        <v>7948.24</v>
      </c>
      <c r="I290" s="8" cm="1">
        <f t="array" aca="1" ref="I290" ca="1">_xlfn.XLOOKUP(Table11[[#This Row],[Admin2PCODE]], tblPiNAnalysis[Admin2PCODE], INDIRECT("tblPiNAnalysis[" &amp; Table11[[#Headers],[EDU]] &amp; "]"), "NOT FOUND", 0, 1)</f>
        <v>1742.9427233950278</v>
      </c>
      <c r="J290" s="8" cm="1">
        <f t="array" aca="1" ref="J290" ca="1">_xlfn.XLOOKUP(Table11[[#This Row],[Admin2PCODE]], tblPiNAnalysis[Admin2PCODE], INDIRECT("tblPiNAnalysis[" &amp; Table11[[#Headers],[PRO]] &amp; "]"), "NOT FOUND", 0, 1)</f>
        <v>2634.0720179185632</v>
      </c>
      <c r="K290" s="8" cm="1">
        <f t="array" aca="1" ref="K290" ca="1">_xlfn.XLOOKUP(Table11[[#This Row],[Admin2PCODE]], tblPiNAnalysis[Admin2PCODE], INDIRECT("tblPiNAnalysis[" &amp; Table11[[#Headers],[ASH]] &amp; "]"), "NOT FOUND", 0, 1)</f>
        <v>0</v>
      </c>
      <c r="L290" s="8" cm="1">
        <f t="array" aca="1" ref="L290" ca="1">_xlfn.XLOOKUP(Table11[[#This Row],[Admin2PCODE]], tblPiNAnalysis[Admin2PCODE], INDIRECT("tblPiNAnalysis[" &amp; Table11[[#Headers],[NNA]] &amp; "]"), "NOT FOUND", 0, 1)</f>
        <v>842.90304573394019</v>
      </c>
      <c r="M290" s="8" cm="1">
        <f t="array" aca="1" ref="M290" ca="1">_xlfn.XLOOKUP(Table11[[#This Row],[Admin2PCODE]], tblPiNAnalysis[Admin2PCODE], INDIRECT("tblPiNAnalysis[" &amp; Table11[[#Headers],[VBG]] &amp; "]"), "NOT FOUND", 0, 1)</f>
        <v>921.92520627149713</v>
      </c>
      <c r="N290" s="8" cm="1">
        <f t="array" aca="1" ref="N290" ca="1">_xlfn.XLOOKUP(Table11[[#This Row],[Admin2PCODE]], tblPiNAnalysis[Admin2PCODE], INDIRECT("tblPiNAnalysis[" &amp; Table11[[#Headers],[PiN más alto]] &amp; "]"), "NOT FOUND", 0, 1)</f>
        <v>7948.24</v>
      </c>
      <c r="O290" t="str" cm="1">
        <f t="array" aca="1" ref="O290" ca="1">_xlfn.XLOOKUP(Table11[[#This Row],[Admin2PCODE]], tblPiNAnalysis[Admin2PCODE], INDIRECT("tblPiNAnalysis[" &amp; Table11[[#Headers],[Sectores más altos]] &amp; "]"), "NOT FOUND", 0, 1)</f>
        <v>SAL</v>
      </c>
      <c r="P290" cm="1">
        <f t="array" ref="P290">_xlfn.XLOOKUP(Table11[[#This Row],[Admin2PCODE]], tblPiNAnalysis[Admin2PCODE], tblPiNAnalysis[Severidad], "NOT FOUND", 0, 1)</f>
        <v>2</v>
      </c>
      <c r="Q290" s="318">
        <v>0.19565217391304349</v>
      </c>
      <c r="R290" s="318">
        <v>0.34567901234567899</v>
      </c>
      <c r="S290" s="318">
        <v>6.7632850241545889E-2</v>
      </c>
      <c r="T290">
        <v>0</v>
      </c>
      <c r="W290">
        <f>_xlfn.XLOOKUP(Table11[[#This Row],[Admin2PCODE]],tblSeverityAnalysis[Admin 2 Código P],tblSeverityAnalysis[PRO],0,0)</f>
        <v>2</v>
      </c>
      <c r="Y290">
        <v>0</v>
      </c>
      <c r="Z290">
        <v>0</v>
      </c>
      <c r="AA290">
        <f t="shared" si="4"/>
        <v>0</v>
      </c>
    </row>
    <row r="291" spans="1:27">
      <c r="A291" t="s">
        <v>642</v>
      </c>
      <c r="B291" t="s">
        <v>643</v>
      </c>
      <c r="C291" s="42" t="s">
        <v>661</v>
      </c>
      <c r="D291" t="s">
        <v>662</v>
      </c>
      <c r="E291" s="8" cm="1">
        <f t="array" aca="1" ref="E291" ca="1">_xlfn.XLOOKUP(Table11[[#This Row],[Admin2PCODE]], tblPiNAnalysis[Admin2PCODE], INDIRECT("tblPiNAnalysis[" &amp; Table11[[#Headers],[Población]] &amp; "]"), "NOT FOUND", 0, 1)</f>
        <v>12891</v>
      </c>
      <c r="F291" s="8" cm="1">
        <f t="array" aca="1" ref="F291" ca="1">_xlfn.XLOOKUP(Table11[[#This Row],[Admin2PCODE]], tblPiNAnalysis[Admin2PCODE], INDIRECT("tblPiNAnalysis[" &amp; Table11[[#Headers],[SAMV]] &amp; "]"), "NOT FOUND", 0, 1)</f>
        <v>2241</v>
      </c>
      <c r="G291" s="8" cm="1">
        <f t="array" aca="1" ref="G291" ca="1">_xlfn.XLOOKUP(Table11[[#This Row],[Admin2PCODE]], tblPiNAnalysis[Admin2PCODE], INDIRECT("tblPiNAnalysis[" &amp; Table11[[#Headers],[NUT]] &amp; "]"), "NOT FOUND", 0, 1)</f>
        <v>474.06319783198478</v>
      </c>
      <c r="H291" s="8" cm="1">
        <f t="array" aca="1" ref="H291" ca="1">_xlfn.XLOOKUP(Table11[[#This Row],[Admin2PCODE]], tblPiNAnalysis[Admin2PCODE], INDIRECT("tblPiNAnalysis[" &amp; Table11[[#Headers],[SAL]] &amp; "]"), "NOT FOUND", 0, 1)</f>
        <v>9850</v>
      </c>
      <c r="I291" s="8" cm="1">
        <f t="array" aca="1" ref="I291" ca="1">_xlfn.XLOOKUP(Table11[[#This Row],[Admin2PCODE]], tblPiNAnalysis[Admin2PCODE], INDIRECT("tblPiNAnalysis[" &amp; Table11[[#Headers],[EDU]] &amp; "]"), "NOT FOUND", 0, 1)</f>
        <v>1690.5300263777835</v>
      </c>
      <c r="J291" s="8" cm="1">
        <f t="array" aca="1" ref="J291" ca="1">_xlfn.XLOOKUP(Table11[[#This Row],[Admin2PCODE]], tblPiNAnalysis[Admin2PCODE], INDIRECT("tblPiNAnalysis[" &amp; Table11[[#Headers],[PRO]] &amp; "]"), "NOT FOUND", 0, 1)</f>
        <v>1559.3232174406776</v>
      </c>
      <c r="K291" s="8" cm="1">
        <f t="array" aca="1" ref="K291" ca="1">_xlfn.XLOOKUP(Table11[[#This Row],[Admin2PCODE]], tblPiNAnalysis[Admin2PCODE], INDIRECT("tblPiNAnalysis[" &amp; Table11[[#Headers],[ASH]] &amp; "]"), "NOT FOUND", 0, 1)</f>
        <v>870.14249999999993</v>
      </c>
      <c r="L291" s="8" cm="1">
        <f t="array" aca="1" ref="L291" ca="1">_xlfn.XLOOKUP(Table11[[#This Row],[Admin2PCODE]], tblPiNAnalysis[Admin2PCODE], INDIRECT("tblPiNAnalysis[" &amp; Table11[[#Headers],[NNA]] &amp; "]"), "NOT FOUND", 0, 1)</f>
        <v>498.98342958101682</v>
      </c>
      <c r="M291" s="8" cm="1">
        <f t="array" aca="1" ref="M291" ca="1">_xlfn.XLOOKUP(Table11[[#This Row],[Admin2PCODE]], tblPiNAnalysis[Admin2PCODE], INDIRECT("tblPiNAnalysis[" &amp; Table11[[#Headers],[VBG]] &amp; "]"), "NOT FOUND", 0, 1)</f>
        <v>545.76312610423713</v>
      </c>
      <c r="N291" s="8" cm="1">
        <f t="array" aca="1" ref="N291" ca="1">_xlfn.XLOOKUP(Table11[[#This Row],[Admin2PCODE]], tblPiNAnalysis[Admin2PCODE], INDIRECT("tblPiNAnalysis[" &amp; Table11[[#Headers],[PiN más alto]] &amp; "]"), "NOT FOUND", 0, 1)</f>
        <v>9850</v>
      </c>
      <c r="O291" t="str" cm="1">
        <f t="array" aca="1" ref="O291" ca="1">_xlfn.XLOOKUP(Table11[[#This Row],[Admin2PCODE]], tblPiNAnalysis[Admin2PCODE], INDIRECT("tblPiNAnalysis[" &amp; Table11[[#Headers],[Sectores más altos]] &amp; "]"), "NOT FOUND", 0, 1)</f>
        <v>SAL</v>
      </c>
      <c r="P291" cm="1">
        <f t="array" ref="P291">_xlfn.XLOOKUP(Table11[[#This Row],[Admin2PCODE]], tblPiNAnalysis[Admin2PCODE], tblPiNAnalysis[Severidad], "NOT FOUND", 0, 1)</f>
        <v>2</v>
      </c>
      <c r="Q291" s="318">
        <v>0</v>
      </c>
      <c r="R291" s="318">
        <v>0</v>
      </c>
      <c r="S291" s="318">
        <v>0</v>
      </c>
      <c r="T291">
        <v>0</v>
      </c>
      <c r="W291">
        <f>_xlfn.XLOOKUP(Table11[[#This Row],[Admin2PCODE]],tblSeverityAnalysis[Admin 2 Código P],tblSeverityAnalysis[PRO],0,0)</f>
        <v>2</v>
      </c>
      <c r="Y291">
        <v>0</v>
      </c>
      <c r="Z291">
        <v>1.05</v>
      </c>
      <c r="AA291">
        <f t="shared" si="4"/>
        <v>1</v>
      </c>
    </row>
    <row r="292" spans="1:27">
      <c r="A292" t="s">
        <v>642</v>
      </c>
      <c r="B292" t="s">
        <v>643</v>
      </c>
      <c r="C292" s="42" t="s">
        <v>663</v>
      </c>
      <c r="D292" t="s">
        <v>664</v>
      </c>
      <c r="E292" s="8" cm="1">
        <f t="array" aca="1" ref="E292" ca="1">_xlfn.XLOOKUP(Table11[[#This Row],[Admin2PCODE]], tblPiNAnalysis[Admin2PCODE], INDIRECT("tblPiNAnalysis[" &amp; Table11[[#Headers],[Población]] &amp; "]"), "NOT FOUND", 0, 1)</f>
        <v>20218</v>
      </c>
      <c r="F292" s="8" cm="1">
        <f t="array" aca="1" ref="F292" ca="1">_xlfn.XLOOKUP(Table11[[#This Row],[Admin2PCODE]], tblPiNAnalysis[Admin2PCODE], INDIRECT("tblPiNAnalysis[" &amp; Table11[[#Headers],[SAMV]] &amp; "]"), "NOT FOUND", 0, 1)</f>
        <v>749</v>
      </c>
      <c r="G292" s="8" cm="1">
        <f t="array" aca="1" ref="G292" ca="1">_xlfn.XLOOKUP(Table11[[#This Row],[Admin2PCODE]], tblPiNAnalysis[Admin2PCODE], INDIRECT("tblPiNAnalysis[" &amp; Table11[[#Headers],[NUT]] &amp; "]"), "NOT FOUND", 0, 1)</f>
        <v>642.5012691935076</v>
      </c>
      <c r="H292" s="8" cm="1">
        <f t="array" aca="1" ref="H292" ca="1">_xlfn.XLOOKUP(Table11[[#This Row],[Admin2PCODE]], tblPiNAnalysis[Admin2PCODE], INDIRECT("tblPiNAnalysis[" &amp; Table11[[#Headers],[SAL]] &amp; "]"), "NOT FOUND", 0, 1)</f>
        <v>7379.57</v>
      </c>
      <c r="I292" s="8" cm="1">
        <f t="array" aca="1" ref="I292" ca="1">_xlfn.XLOOKUP(Table11[[#This Row],[Admin2PCODE]], tblPiNAnalysis[Admin2PCODE], INDIRECT("tblPiNAnalysis[" &amp; Table11[[#Headers],[EDU]] &amp; "]"), "NOT FOUND", 0, 1)</f>
        <v>1976.8928440547584</v>
      </c>
      <c r="J292" s="8" cm="1">
        <f t="array" aca="1" ref="J292" ca="1">_xlfn.XLOOKUP(Table11[[#This Row],[Admin2PCODE]], tblPiNAnalysis[Admin2PCODE], INDIRECT("tblPiNAnalysis[" &amp; Table11[[#Headers],[PRO]] &amp; "]"), "NOT FOUND", 0, 1)</f>
        <v>4891.2259421636199</v>
      </c>
      <c r="K292" s="8" cm="1">
        <f t="array" aca="1" ref="K292" ca="1">_xlfn.XLOOKUP(Table11[[#This Row],[Admin2PCODE]], tblPiNAnalysis[Admin2PCODE], INDIRECT("tblPiNAnalysis[" &amp; Table11[[#Headers],[ASH]] &amp; "]"), "NOT FOUND", 0, 1)</f>
        <v>0</v>
      </c>
      <c r="L292" s="8" cm="1">
        <f t="array" aca="1" ref="L292" ca="1">_xlfn.XLOOKUP(Table11[[#This Row],[Admin2PCODE]], tblPiNAnalysis[Admin2PCODE], INDIRECT("tblPiNAnalysis[" &amp; Table11[[#Headers],[NNA]] &amp; "]"), "NOT FOUND", 0, 1)</f>
        <v>1565.1923014923584</v>
      </c>
      <c r="M292" s="8" cm="1">
        <f t="array" aca="1" ref="M292" ca="1">_xlfn.XLOOKUP(Table11[[#This Row],[Admin2PCODE]], tblPiNAnalysis[Admin2PCODE], INDIRECT("tblPiNAnalysis[" &amp; Table11[[#Headers],[VBG]] &amp; "]"), "NOT FOUND", 0, 1)</f>
        <v>1711.9290797572671</v>
      </c>
      <c r="N292" s="8" cm="1">
        <f t="array" aca="1" ref="N292" ca="1">_xlfn.XLOOKUP(Table11[[#This Row],[Admin2PCODE]], tblPiNAnalysis[Admin2PCODE], INDIRECT("tblPiNAnalysis[" &amp; Table11[[#Headers],[PiN más alto]] &amp; "]"), "NOT FOUND", 0, 1)</f>
        <v>7379.57</v>
      </c>
      <c r="O292" t="str" cm="1">
        <f t="array" aca="1" ref="O292" ca="1">_xlfn.XLOOKUP(Table11[[#This Row],[Admin2PCODE]], tblPiNAnalysis[Admin2PCODE], INDIRECT("tblPiNAnalysis[" &amp; Table11[[#Headers],[Sectores más altos]] &amp; "]"), "NOT FOUND", 0, 1)</f>
        <v>SAL</v>
      </c>
      <c r="P292" cm="1">
        <f t="array" ref="P292">_xlfn.XLOOKUP(Table11[[#This Row],[Admin2PCODE]], tblPiNAnalysis[Admin2PCODE], tblPiNAnalysis[Severidad], "NOT FOUND", 0, 1)</f>
        <v>3</v>
      </c>
      <c r="Q292" s="318">
        <v>0.44117647058823528</v>
      </c>
      <c r="R292" s="318">
        <v>0.41481481481481475</v>
      </c>
      <c r="S292" s="318">
        <v>0.18300653594771238</v>
      </c>
      <c r="T292">
        <v>0</v>
      </c>
      <c r="W292">
        <f>_xlfn.XLOOKUP(Table11[[#This Row],[Admin2PCODE]],tblSeverityAnalysis[Admin 2 Código P],tblSeverityAnalysis[PRO],0,0)</f>
        <v>4</v>
      </c>
      <c r="Y292">
        <v>0</v>
      </c>
      <c r="Z292">
        <v>0</v>
      </c>
      <c r="AA292">
        <f t="shared" si="4"/>
        <v>0</v>
      </c>
    </row>
    <row r="293" spans="1:27">
      <c r="A293" t="s">
        <v>642</v>
      </c>
      <c r="B293" t="s">
        <v>643</v>
      </c>
      <c r="C293" s="42" t="s">
        <v>665</v>
      </c>
      <c r="D293" t="s">
        <v>666</v>
      </c>
      <c r="E293" s="8" cm="1">
        <f t="array" aca="1" ref="E293" ca="1">_xlfn.XLOOKUP(Table11[[#This Row],[Admin2PCODE]], tblPiNAnalysis[Admin2PCODE], INDIRECT("tblPiNAnalysis[" &amp; Table11[[#Headers],[Población]] &amp; "]"), "NOT FOUND", 0, 1)</f>
        <v>48623</v>
      </c>
      <c r="F293" s="8" cm="1">
        <f t="array" aca="1" ref="F293" ca="1">_xlfn.XLOOKUP(Table11[[#This Row],[Admin2PCODE]], tblPiNAnalysis[Admin2PCODE], INDIRECT("tblPiNAnalysis[" &amp; Table11[[#Headers],[SAMV]] &amp; "]"), "NOT FOUND", 0, 1)</f>
        <v>2917</v>
      </c>
      <c r="G293" s="8" cm="1">
        <f t="array" aca="1" ref="G293" ca="1">_xlfn.XLOOKUP(Table11[[#This Row],[Admin2PCODE]], tblPiNAnalysis[Admin2PCODE], INDIRECT("tblPiNAnalysis[" &amp; Table11[[#Headers],[NUT]] &amp; "]"), "NOT FOUND", 0, 1)</f>
        <v>1571.4522412250521</v>
      </c>
      <c r="H293" s="8" cm="1">
        <f t="array" aca="1" ref="H293" ca="1">_xlfn.XLOOKUP(Table11[[#This Row],[Admin2PCODE]], tblPiNAnalysis[Admin2PCODE], INDIRECT("tblPiNAnalysis[" &amp; Table11[[#Headers],[SAL]] &amp; "]"), "NOT FOUND", 0, 1)</f>
        <v>17747.395</v>
      </c>
      <c r="I293" s="8" cm="1">
        <f t="array" aca="1" ref="I293" ca="1">_xlfn.XLOOKUP(Table11[[#This Row],[Admin2PCODE]], tblPiNAnalysis[Admin2PCODE], INDIRECT("tblPiNAnalysis[" &amp; Table11[[#Headers],[EDU]] &amp; "]"), "NOT FOUND", 0, 1)</f>
        <v>4229.6640949479497</v>
      </c>
      <c r="J293" s="8" cm="1">
        <f t="array" aca="1" ref="J293" ca="1">_xlfn.XLOOKUP(Table11[[#This Row],[Admin2PCODE]], tblPiNAnalysis[Admin2PCODE], INDIRECT("tblPiNAnalysis[" &amp; Table11[[#Headers],[PRO]] &amp; "]"), "NOT FOUND", 0, 1)</f>
        <v>5881.5431542640636</v>
      </c>
      <c r="K293" s="8" cm="1">
        <f t="array" aca="1" ref="K293" ca="1">_xlfn.XLOOKUP(Table11[[#This Row],[Admin2PCODE]], tblPiNAnalysis[Admin2PCODE], INDIRECT("tblPiNAnalysis[" &amp; Table11[[#Headers],[ASH]] &amp; "]"), "NOT FOUND", 0, 1)</f>
        <v>0</v>
      </c>
      <c r="L293" s="8" cm="1">
        <f t="array" aca="1" ref="L293" ca="1">_xlfn.XLOOKUP(Table11[[#This Row],[Admin2PCODE]], tblPiNAnalysis[Admin2PCODE], INDIRECT("tblPiNAnalysis[" &amp; Table11[[#Headers],[NNA]] &amp; "]"), "NOT FOUND", 0, 1)</f>
        <v>1882.0938093645004</v>
      </c>
      <c r="M293" s="8" cm="1">
        <f t="array" aca="1" ref="M293" ca="1">_xlfn.XLOOKUP(Table11[[#This Row],[Admin2PCODE]], tblPiNAnalysis[Admin2PCODE], INDIRECT("tblPiNAnalysis[" &amp; Table11[[#Headers],[VBG]] &amp; "]"), "NOT FOUND", 0, 1)</f>
        <v>2058.5401039924218</v>
      </c>
      <c r="N293" s="8" cm="1">
        <f t="array" aca="1" ref="N293" ca="1">_xlfn.XLOOKUP(Table11[[#This Row],[Admin2PCODE]], tblPiNAnalysis[Admin2PCODE], INDIRECT("tblPiNAnalysis[" &amp; Table11[[#Headers],[PiN más alto]] &amp; "]"), "NOT FOUND", 0, 1)</f>
        <v>17747.395</v>
      </c>
      <c r="O293" t="str" cm="1">
        <f t="array" aca="1" ref="O293" ca="1">_xlfn.XLOOKUP(Table11[[#This Row],[Admin2PCODE]], tblPiNAnalysis[Admin2PCODE], INDIRECT("tblPiNAnalysis[" &amp; Table11[[#Headers],[Sectores más altos]] &amp; "]"), "NOT FOUND", 0, 1)</f>
        <v>SAL</v>
      </c>
      <c r="P293" cm="1">
        <f t="array" ref="P293">_xlfn.XLOOKUP(Table11[[#This Row],[Admin2PCODE]], tblPiNAnalysis[Admin2PCODE], tblPiNAnalysis[Severidad], "NOT FOUND", 0, 1)</f>
        <v>2</v>
      </c>
      <c r="Q293" s="318">
        <v>0.05</v>
      </c>
      <c r="R293" s="318">
        <v>0.40740740740740727</v>
      </c>
      <c r="S293" s="318">
        <v>2.0370370370370365E-2</v>
      </c>
      <c r="T293">
        <v>0</v>
      </c>
      <c r="W293">
        <f>_xlfn.XLOOKUP(Table11[[#This Row],[Admin2PCODE]],tblSeverityAnalysis[Admin 2 Código P],tblSeverityAnalysis[PRO],0,0)</f>
        <v>2</v>
      </c>
      <c r="Y293">
        <v>0</v>
      </c>
      <c r="Z293">
        <v>0</v>
      </c>
      <c r="AA293">
        <f t="shared" si="4"/>
        <v>0</v>
      </c>
    </row>
    <row r="294" spans="1:27">
      <c r="A294" t="s">
        <v>642</v>
      </c>
      <c r="B294" t="s">
        <v>643</v>
      </c>
      <c r="C294" s="42" t="s">
        <v>667</v>
      </c>
      <c r="D294" t="s">
        <v>668</v>
      </c>
      <c r="E294" s="8" cm="1">
        <f t="array" aca="1" ref="E294" ca="1">_xlfn.XLOOKUP(Table11[[#This Row],[Admin2PCODE]], tblPiNAnalysis[Admin2PCODE], INDIRECT("tblPiNAnalysis[" &amp; Table11[[#Headers],[Población]] &amp; "]"), "NOT FOUND", 0, 1)</f>
        <v>29160</v>
      </c>
      <c r="F294" s="8" cm="1">
        <f t="array" aca="1" ref="F294" ca="1">_xlfn.XLOOKUP(Table11[[#This Row],[Admin2PCODE]], tblPiNAnalysis[Admin2PCODE], INDIRECT("tblPiNAnalysis[" &amp; Table11[[#Headers],[SAMV]] &amp; "]"), "NOT FOUND", 0, 1)</f>
        <v>663</v>
      </c>
      <c r="G294" s="8" cm="1">
        <f t="array" aca="1" ref="G294" ca="1">_xlfn.XLOOKUP(Table11[[#This Row],[Admin2PCODE]], tblPiNAnalysis[Admin2PCODE], INDIRECT("tblPiNAnalysis[" &amp; Table11[[#Headers],[NUT]] &amp; "]"), "NOT FOUND", 0, 1)</f>
        <v>869.01905017355637</v>
      </c>
      <c r="H294" s="8" cm="1">
        <f t="array" aca="1" ref="H294" ca="1">_xlfn.XLOOKUP(Table11[[#This Row],[Admin2PCODE]], tblPiNAnalysis[Admin2PCODE], INDIRECT("tblPiNAnalysis[" &amp; Table11[[#Headers],[SAL]] &amp; "]"), "NOT FOUND", 0, 1)</f>
        <v>10643.4</v>
      </c>
      <c r="I294" s="8" cm="1">
        <f t="array" aca="1" ref="I294" ca="1">_xlfn.XLOOKUP(Table11[[#This Row],[Admin2PCODE]], tblPiNAnalysis[Admin2PCODE], INDIRECT("tblPiNAnalysis[" &amp; Table11[[#Headers],[EDU]] &amp; "]"), "NOT FOUND", 0, 1)</f>
        <v>3570.5693405609359</v>
      </c>
      <c r="J294" s="8" cm="1">
        <f t="array" aca="1" ref="J294" ca="1">_xlfn.XLOOKUP(Table11[[#This Row],[Admin2PCODE]], tblPiNAnalysis[Admin2PCODE], INDIRECT("tblPiNAnalysis[" &amp; Table11[[#Headers],[PRO]] &amp; "]"), "NOT FOUND", 0, 1)</f>
        <v>5878.7610245610849</v>
      </c>
      <c r="K294" s="8" cm="1">
        <f t="array" aca="1" ref="K294" ca="1">_xlfn.XLOOKUP(Table11[[#This Row],[Admin2PCODE]], tblPiNAnalysis[Admin2PCODE], INDIRECT("tblPiNAnalysis[" &amp; Table11[[#Headers],[ASH]] &amp; "]"), "NOT FOUND", 0, 1)</f>
        <v>0</v>
      </c>
      <c r="L294" s="8" cm="1">
        <f t="array" aca="1" ref="L294" ca="1">_xlfn.XLOOKUP(Table11[[#This Row],[Admin2PCODE]], tblPiNAnalysis[Admin2PCODE], INDIRECT("tblPiNAnalysis[" &amp; Table11[[#Headers],[NNA]] &amp; "]"), "NOT FOUND", 0, 1)</f>
        <v>1887.0822888841083</v>
      </c>
      <c r="M294" s="8" cm="1">
        <f t="array" aca="1" ref="M294" ca="1">_xlfn.XLOOKUP(Table11[[#This Row],[Admin2PCODE]], tblPiNAnalysis[Admin2PCODE], INDIRECT("tblPiNAnalysis[" &amp; Table11[[#Headers],[VBG]] &amp; "]"), "NOT FOUND", 0, 1)</f>
        <v>2057.5663585963794</v>
      </c>
      <c r="N294" s="8" cm="1">
        <f t="array" aca="1" ref="N294" ca="1">_xlfn.XLOOKUP(Table11[[#This Row],[Admin2PCODE]], tblPiNAnalysis[Admin2PCODE], INDIRECT("tblPiNAnalysis[" &amp; Table11[[#Headers],[PiN más alto]] &amp; "]"), "NOT FOUND", 0, 1)</f>
        <v>10643.4</v>
      </c>
      <c r="O294" t="str" cm="1">
        <f t="array" aca="1" ref="O294" ca="1">_xlfn.XLOOKUP(Table11[[#This Row],[Admin2PCODE]], tblPiNAnalysis[Admin2PCODE], INDIRECT("tblPiNAnalysis[" &amp; Table11[[#Headers],[Sectores más altos]] &amp; "]"), "NOT FOUND", 0, 1)</f>
        <v>SAL</v>
      </c>
      <c r="P294" cm="1">
        <f t="array" ref="P294">_xlfn.XLOOKUP(Table11[[#This Row],[Admin2PCODE]], tblPiNAnalysis[Admin2PCODE], tblPiNAnalysis[Severidad], "NOT FOUND", 0, 1)</f>
        <v>2</v>
      </c>
      <c r="Q294" s="318">
        <v>3.6363636363636362E-2</v>
      </c>
      <c r="R294" s="318">
        <v>0.33333333333333331</v>
      </c>
      <c r="S294" s="318">
        <v>1.2121212121212119E-2</v>
      </c>
      <c r="T294">
        <v>0</v>
      </c>
      <c r="W294">
        <f>_xlfn.XLOOKUP(Table11[[#This Row],[Admin2PCODE]],tblSeverityAnalysis[Admin 2 Código P],tblSeverityAnalysis[PRO],0,0)</f>
        <v>3</v>
      </c>
      <c r="Y294">
        <v>8</v>
      </c>
      <c r="Z294">
        <v>0</v>
      </c>
      <c r="AA294">
        <f t="shared" si="4"/>
        <v>0</v>
      </c>
    </row>
    <row r="295" spans="1:27">
      <c r="A295" t="s">
        <v>642</v>
      </c>
      <c r="B295" t="s">
        <v>643</v>
      </c>
      <c r="C295" s="42" t="s">
        <v>669</v>
      </c>
      <c r="D295" t="s">
        <v>670</v>
      </c>
      <c r="E295" s="8" cm="1">
        <f t="array" aca="1" ref="E295" ca="1">_xlfn.XLOOKUP(Table11[[#This Row],[Admin2PCODE]], tblPiNAnalysis[Admin2PCODE], INDIRECT("tblPiNAnalysis[" &amp; Table11[[#Headers],[Población]] &amp; "]"), "NOT FOUND", 0, 1)</f>
        <v>22649</v>
      </c>
      <c r="F295" s="8" cm="1">
        <f t="array" aca="1" ref="F295" ca="1">_xlfn.XLOOKUP(Table11[[#This Row],[Admin2PCODE]], tblPiNAnalysis[Admin2PCODE], INDIRECT("tblPiNAnalysis[" &amp; Table11[[#Headers],[SAMV]] &amp; "]"), "NOT FOUND", 0, 1)</f>
        <v>3303</v>
      </c>
      <c r="G295" s="8" cm="1">
        <f t="array" aca="1" ref="G295" ca="1">_xlfn.XLOOKUP(Table11[[#This Row],[Admin2PCODE]], tblPiNAnalysis[Admin2PCODE], INDIRECT("tblPiNAnalysis[" &amp; Table11[[#Headers],[NUT]] &amp; "]"), "NOT FOUND", 0, 1)</f>
        <v>741.48890425405136</v>
      </c>
      <c r="H295" s="8" cm="1">
        <f t="array" aca="1" ref="H295" ca="1">_xlfn.XLOOKUP(Table11[[#This Row],[Admin2PCODE]], tblPiNAnalysis[Admin2PCODE], INDIRECT("tblPiNAnalysis[" &amp; Table11[[#Headers],[SAL]] &amp; "]"), "NOT FOUND", 0, 1)</f>
        <v>8266.8850000000002</v>
      </c>
      <c r="I295" s="8" cm="1">
        <f t="array" aca="1" ref="I295" ca="1">_xlfn.XLOOKUP(Table11[[#This Row],[Admin2PCODE]], tblPiNAnalysis[Admin2PCODE], INDIRECT("tblPiNAnalysis[" &amp; Table11[[#Headers],[EDU]] &amp; "]"), "NOT FOUND", 0, 1)</f>
        <v>2372.8880785709603</v>
      </c>
      <c r="J295" s="8" cm="1">
        <f t="array" aca="1" ref="J295" ca="1">_xlfn.XLOOKUP(Table11[[#This Row],[Admin2PCODE]], tblPiNAnalysis[Admin2PCODE], INDIRECT("tblPiNAnalysis[" &amp; Table11[[#Headers],[PRO]] &amp; "]"), "NOT FOUND", 0, 1)</f>
        <v>4566.1199741181063</v>
      </c>
      <c r="K295" s="8" cm="1">
        <f t="array" aca="1" ref="K295" ca="1">_xlfn.XLOOKUP(Table11[[#This Row],[Admin2PCODE]], tblPiNAnalysis[Admin2PCODE], INDIRECT("tblPiNAnalysis[" &amp; Table11[[#Headers],[ASH]] &amp; "]"), "NOT FOUND", 0, 1)</f>
        <v>0</v>
      </c>
      <c r="L295" s="8" cm="1">
        <f t="array" aca="1" ref="L295" ca="1">_xlfn.XLOOKUP(Table11[[#This Row],[Admin2PCODE]], tblPiNAnalysis[Admin2PCODE], INDIRECT("tblPiNAnalysis[" &amp; Table11[[#Headers],[NNA]] &amp; "]"), "NOT FOUND", 0, 1)</f>
        <v>1461.1583917177941</v>
      </c>
      <c r="M295" s="8" cm="1">
        <f t="array" aca="1" ref="M295" ca="1">_xlfn.XLOOKUP(Table11[[#This Row],[Admin2PCODE]], tblPiNAnalysis[Admin2PCODE], INDIRECT("tblPiNAnalysis[" &amp; Table11[[#Headers],[VBG]] &amp; "]"), "NOT FOUND", 0, 1)</f>
        <v>1598.1419909413371</v>
      </c>
      <c r="N295" s="8" cm="1">
        <f t="array" aca="1" ref="N295" ca="1">_xlfn.XLOOKUP(Table11[[#This Row],[Admin2PCODE]], tblPiNAnalysis[Admin2PCODE], INDIRECT("tblPiNAnalysis[" &amp; Table11[[#Headers],[PiN más alto]] &amp; "]"), "NOT FOUND", 0, 1)</f>
        <v>8266.8850000000002</v>
      </c>
      <c r="O295" t="str" cm="1">
        <f t="array" aca="1" ref="O295" ca="1">_xlfn.XLOOKUP(Table11[[#This Row],[Admin2PCODE]], tblPiNAnalysis[Admin2PCODE], INDIRECT("tblPiNAnalysis[" &amp; Table11[[#Headers],[Sectores más altos]] &amp; "]"), "NOT FOUND", 0, 1)</f>
        <v>SAL</v>
      </c>
      <c r="P295" cm="1">
        <f t="array" ref="P295">_xlfn.XLOOKUP(Table11[[#This Row],[Admin2PCODE]], tblPiNAnalysis[Admin2PCODE], tblPiNAnalysis[Severidad], "NOT FOUND", 0, 1)</f>
        <v>3</v>
      </c>
      <c r="Q295" s="318">
        <v>0.79591836734693877</v>
      </c>
      <c r="R295" s="318">
        <v>0.42877492877492868</v>
      </c>
      <c r="S295" s="318">
        <v>0.34126984126984117</v>
      </c>
      <c r="T295">
        <v>0</v>
      </c>
      <c r="W295">
        <f>_xlfn.XLOOKUP(Table11[[#This Row],[Admin2PCODE]],tblSeverityAnalysis[Admin 2 Código P],tblSeverityAnalysis[PRO],0,0)</f>
        <v>3</v>
      </c>
      <c r="Y295">
        <v>7</v>
      </c>
      <c r="Z295">
        <v>0</v>
      </c>
      <c r="AA295">
        <f t="shared" si="4"/>
        <v>0</v>
      </c>
    </row>
    <row r="296" spans="1:27">
      <c r="A296" t="s">
        <v>642</v>
      </c>
      <c r="B296" t="s">
        <v>643</v>
      </c>
      <c r="C296" s="42" t="s">
        <v>836</v>
      </c>
      <c r="D296" t="s">
        <v>672</v>
      </c>
      <c r="E296" s="8" cm="1">
        <f t="array" aca="1" ref="E296" ca="1">_xlfn.XLOOKUP(Table11[[#This Row],[Admin2PCODE]], tblPiNAnalysis[Admin2PCODE], INDIRECT("tblPiNAnalysis[" &amp; Table11[[#Headers],[Población]] &amp; "]"), "NOT FOUND", 0, 1)</f>
        <v>56658</v>
      </c>
      <c r="F296" s="8" cm="1">
        <f t="array" aca="1" ref="F296" ca="1">_xlfn.XLOOKUP(Table11[[#This Row],[Admin2PCODE]], tblPiNAnalysis[Admin2PCODE], INDIRECT("tblPiNAnalysis[" &amp; Table11[[#Headers],[SAMV]] &amp; "]"), "NOT FOUND", 0, 1)</f>
        <v>1836</v>
      </c>
      <c r="G296" s="8" cm="1">
        <f t="array" aca="1" ref="G296" ca="1">_xlfn.XLOOKUP(Table11[[#This Row],[Admin2PCODE]], tblPiNAnalysis[Admin2PCODE], INDIRECT("tblPiNAnalysis[" &amp; Table11[[#Headers],[NUT]] &amp; "]"), "NOT FOUND", 0, 1)</f>
        <v>2694.311065042511</v>
      </c>
      <c r="H296" s="8" cm="1">
        <f t="array" aca="1" ref="H296" ca="1">_xlfn.XLOOKUP(Table11[[#This Row],[Admin2PCODE]], tblPiNAnalysis[Admin2PCODE], INDIRECT("tblPiNAnalysis[" &amp; Table11[[#Headers],[SAL]] &amp; "]"), "NOT FOUND", 0, 1)</f>
        <v>20680.169999999998</v>
      </c>
      <c r="I296" s="8" cm="1">
        <f t="array" aca="1" ref="I296" ca="1">_xlfn.XLOOKUP(Table11[[#This Row],[Admin2PCODE]], tblPiNAnalysis[Admin2PCODE], INDIRECT("tblPiNAnalysis[" &amp; Table11[[#Headers],[EDU]] &amp; "]"), "NOT FOUND", 0, 1)</f>
        <v>8724.4156836071579</v>
      </c>
      <c r="J296" s="8" cm="1">
        <f t="array" aca="1" ref="J296" ca="1">_xlfn.XLOOKUP(Table11[[#This Row],[Admin2PCODE]], tblPiNAnalysis[Admin2PCODE], INDIRECT("tblPiNAnalysis[" &amp; Table11[[#Headers],[PRO]] &amp; "]"), "NOT FOUND", 0, 1)</f>
        <v>13706.948235785261</v>
      </c>
      <c r="K296" s="8" cm="1">
        <f t="array" aca="1" ref="K296" ca="1">_xlfn.XLOOKUP(Table11[[#This Row],[Admin2PCODE]], tblPiNAnalysis[Admin2PCODE], INDIRECT("tblPiNAnalysis[" &amp; Table11[[#Headers],[ASH]] &amp; "]"), "NOT FOUND", 0, 1)</f>
        <v>0</v>
      </c>
      <c r="L296" s="8" cm="1">
        <f t="array" aca="1" ref="L296" ca="1">_xlfn.XLOOKUP(Table11[[#This Row],[Admin2PCODE]], tblPiNAnalysis[Admin2PCODE], INDIRECT("tblPiNAnalysis[" &amp; Table11[[#Headers],[NNA]] &amp; "]"), "NOT FOUND", 0, 1)</f>
        <v>4386.2234354512839</v>
      </c>
      <c r="M296" s="8" cm="1">
        <f t="array" aca="1" ref="M296" ca="1">_xlfn.XLOOKUP(Table11[[#This Row],[Admin2PCODE]], tblPiNAnalysis[Admin2PCODE], INDIRECT("tblPiNAnalysis[" &amp; Table11[[#Headers],[VBG]] &amp; "]"), "NOT FOUND", 0, 1)</f>
        <v>4797.4318825248411</v>
      </c>
      <c r="N296" s="8" cm="1">
        <f t="array" aca="1" ref="N296" ca="1">_xlfn.XLOOKUP(Table11[[#This Row],[Admin2PCODE]], tblPiNAnalysis[Admin2PCODE], INDIRECT("tblPiNAnalysis[" &amp; Table11[[#Headers],[PiN más alto]] &amp; "]"), "NOT FOUND", 0, 1)</f>
        <v>20680.169999999998</v>
      </c>
      <c r="O296" t="str" cm="1">
        <f t="array" aca="1" ref="O296" ca="1">_xlfn.XLOOKUP(Table11[[#This Row],[Admin2PCODE]], tblPiNAnalysis[Admin2PCODE], INDIRECT("tblPiNAnalysis[" &amp; Table11[[#Headers],[Sectores más altos]] &amp; "]"), "NOT FOUND", 0, 1)</f>
        <v>SAL</v>
      </c>
      <c r="P296" cm="1">
        <f t="array" ref="P296">_xlfn.XLOOKUP(Table11[[#This Row],[Admin2PCODE]], tblPiNAnalysis[Admin2PCODE], tblPiNAnalysis[Severidad], "NOT FOUND", 0, 1)</f>
        <v>2</v>
      </c>
      <c r="Q296" s="318">
        <v>2.2988505747126436E-2</v>
      </c>
      <c r="R296" s="318">
        <v>0.44444444444444431</v>
      </c>
      <c r="S296" s="318">
        <v>1.0217113665389525E-2</v>
      </c>
      <c r="T296">
        <v>0</v>
      </c>
      <c r="W296">
        <f>_xlfn.XLOOKUP(Table11[[#This Row],[Admin2PCODE]],tblSeverityAnalysis[Admin 2 Código P],tblSeverityAnalysis[PRO],0,0)</f>
        <v>4</v>
      </c>
      <c r="Y296">
        <v>9</v>
      </c>
      <c r="Z296">
        <v>0</v>
      </c>
      <c r="AA296">
        <f t="shared" si="4"/>
        <v>0</v>
      </c>
    </row>
    <row r="297" spans="1:27">
      <c r="A297" t="s">
        <v>642</v>
      </c>
      <c r="B297" t="s">
        <v>643</v>
      </c>
      <c r="C297" s="42" t="s">
        <v>203</v>
      </c>
      <c r="D297" t="s">
        <v>673</v>
      </c>
      <c r="E297" s="8" cm="1">
        <f t="array" aca="1" ref="E297" ca="1">_xlfn.XLOOKUP(Table11[[#This Row],[Admin2PCODE]], tblPiNAnalysis[Admin2PCODE], INDIRECT("tblPiNAnalysis[" &amp; Table11[[#Headers],[Población]] &amp; "]"), "NOT FOUND", 0, 1)</f>
        <v>31412</v>
      </c>
      <c r="F297" s="8" cm="1">
        <f t="array" aca="1" ref="F297" ca="1">_xlfn.XLOOKUP(Table11[[#This Row],[Admin2PCODE]], tblPiNAnalysis[Admin2PCODE], INDIRECT("tblPiNAnalysis[" &amp; Table11[[#Headers],[SAMV]] &amp; "]"), "NOT FOUND", 0, 1)</f>
        <v>2443</v>
      </c>
      <c r="G297" s="8" cm="1">
        <f t="array" aca="1" ref="G297" ca="1">_xlfn.XLOOKUP(Table11[[#This Row],[Admin2PCODE]], tblPiNAnalysis[Admin2PCODE], INDIRECT("tblPiNAnalysis[" &amp; Table11[[#Headers],[NUT]] &amp; "]"), "NOT FOUND", 0, 1)</f>
        <v>1032.2732347856095</v>
      </c>
      <c r="H297" s="8" cm="1">
        <f t="array" aca="1" ref="H297" ca="1">_xlfn.XLOOKUP(Table11[[#This Row],[Admin2PCODE]], tblPiNAnalysis[Admin2PCODE], INDIRECT("tblPiNAnalysis[" &amp; Table11[[#Headers],[SAL]] &amp; "]"), "NOT FOUND", 0, 1)</f>
        <v>11465.38</v>
      </c>
      <c r="I297" s="8" cm="1">
        <f t="array" aca="1" ref="I297" ca="1">_xlfn.XLOOKUP(Table11[[#This Row],[Admin2PCODE]], tblPiNAnalysis[Admin2PCODE], INDIRECT("tblPiNAnalysis[" &amp; Table11[[#Headers],[EDU]] &amp; "]"), "NOT FOUND", 0, 1)</f>
        <v>2214.0888526971544</v>
      </c>
      <c r="J297" s="8" cm="1">
        <f t="array" aca="1" ref="J297" ca="1">_xlfn.XLOOKUP(Table11[[#This Row],[Admin2PCODE]], tblPiNAnalysis[Admin2PCODE], INDIRECT("tblPiNAnalysis[" &amp; Table11[[#Headers],[PRO]] &amp; "]"), "NOT FOUND", 0, 1)</f>
        <v>3799.6634013068465</v>
      </c>
      <c r="K297" s="8" cm="1">
        <f t="array" aca="1" ref="K297" ca="1">_xlfn.XLOOKUP(Table11[[#This Row],[Admin2PCODE]], tblPiNAnalysis[Admin2PCODE], INDIRECT("tblPiNAnalysis[" &amp; Table11[[#Headers],[ASH]] &amp; "]"), "NOT FOUND", 0, 1)</f>
        <v>2120.31</v>
      </c>
      <c r="L297" s="8" cm="1">
        <f t="array" aca="1" ref="L297" ca="1">_xlfn.XLOOKUP(Table11[[#This Row],[Admin2PCODE]], tblPiNAnalysis[Admin2PCODE], INDIRECT("tblPiNAnalysis[" &amp; Table11[[#Headers],[NNA]] &amp; "]"), "NOT FOUND", 0, 1)</f>
        <v>1219.6919518194977</v>
      </c>
      <c r="M297" s="8" cm="1">
        <f t="array" aca="1" ref="M297" ca="1">_xlfn.XLOOKUP(Table11[[#This Row],[Admin2PCODE]], tblPiNAnalysis[Admin2PCODE], INDIRECT("tblPiNAnalysis[" &amp; Table11[[#Headers],[VBG]] &amp; "]"), "NOT FOUND", 0, 1)</f>
        <v>1329.8821904573963</v>
      </c>
      <c r="N297" s="8" cm="1">
        <f t="array" aca="1" ref="N297" ca="1">_xlfn.XLOOKUP(Table11[[#This Row],[Admin2PCODE]], tblPiNAnalysis[Admin2PCODE], INDIRECT("tblPiNAnalysis[" &amp; Table11[[#Headers],[PiN más alto]] &amp; "]"), "NOT FOUND", 0, 1)</f>
        <v>11465.38</v>
      </c>
      <c r="O297" t="str" cm="1">
        <f t="array" aca="1" ref="O297" ca="1">_xlfn.XLOOKUP(Table11[[#This Row],[Admin2PCODE]], tblPiNAnalysis[Admin2PCODE], INDIRECT("tblPiNAnalysis[" &amp; Table11[[#Headers],[Sectores más altos]] &amp; "]"), "NOT FOUND", 0, 1)</f>
        <v>SAL</v>
      </c>
      <c r="P297" cm="1">
        <f t="array" ref="P297">_xlfn.XLOOKUP(Table11[[#This Row],[Admin2PCODE]], tblPiNAnalysis[Admin2PCODE], tblPiNAnalysis[Severidad], "NOT FOUND", 0, 1)</f>
        <v>3</v>
      </c>
      <c r="Q297" s="318">
        <v>0.15555555555555556</v>
      </c>
      <c r="R297" s="318">
        <v>0.35714285714285715</v>
      </c>
      <c r="S297" s="318">
        <v>5.5555555555555559E-2</v>
      </c>
      <c r="T297">
        <v>0</v>
      </c>
      <c r="W297">
        <f>_xlfn.XLOOKUP(Table11[[#This Row],[Admin2PCODE]],tblSeverityAnalysis[Admin 2 Código P],tblSeverityAnalysis[PRO],0,0)</f>
        <v>2</v>
      </c>
      <c r="Y297">
        <v>3</v>
      </c>
      <c r="Z297">
        <v>4.45</v>
      </c>
      <c r="AA297">
        <f t="shared" si="4"/>
        <v>4</v>
      </c>
    </row>
    <row r="298" spans="1:27">
      <c r="A298" t="s">
        <v>642</v>
      </c>
      <c r="B298" t="s">
        <v>643</v>
      </c>
      <c r="C298" s="42" t="s">
        <v>642</v>
      </c>
      <c r="D298" t="s">
        <v>674</v>
      </c>
      <c r="E298" s="8" cm="1">
        <f t="array" aca="1" ref="E298" ca="1">_xlfn.XLOOKUP(Table11[[#This Row],[Admin2PCODE]], tblPiNAnalysis[Admin2PCODE], INDIRECT("tblPiNAnalysis[" &amp; Table11[[#Headers],[Población]] &amp; "]"), "NOT FOUND", 0, 1)</f>
        <v>55431</v>
      </c>
      <c r="F298" s="8" cm="1">
        <f t="array" aca="1" ref="F298" ca="1">_xlfn.XLOOKUP(Table11[[#This Row],[Admin2PCODE]], tblPiNAnalysis[Admin2PCODE], INDIRECT("tblPiNAnalysis[" &amp; Table11[[#Headers],[SAMV]] &amp; "]"), "NOT FOUND", 0, 1)</f>
        <v>9366</v>
      </c>
      <c r="G298" s="8" cm="1">
        <f t="array" aca="1" ref="G298" ca="1">_xlfn.XLOOKUP(Table11[[#This Row],[Admin2PCODE]], tblPiNAnalysis[Admin2PCODE], INDIRECT("tblPiNAnalysis[" &amp; Table11[[#Headers],[NUT]] &amp; "]"), "NOT FOUND", 0, 1)</f>
        <v>2478.0140410177223</v>
      </c>
      <c r="H298" s="8" cm="1">
        <f t="array" aca="1" ref="H298" ca="1">_xlfn.XLOOKUP(Table11[[#This Row],[Admin2PCODE]], tblPiNAnalysis[Admin2PCODE], INDIRECT("tblPiNAnalysis[" &amp; Table11[[#Headers],[SAL]] &amp; "]"), "NOT FOUND", 0, 1)</f>
        <v>20232.314999999999</v>
      </c>
      <c r="I298" s="8" cm="1">
        <f t="array" aca="1" ref="I298" ca="1">_xlfn.XLOOKUP(Table11[[#This Row],[Admin2PCODE]], tblPiNAnalysis[Admin2PCODE], INDIRECT("tblPiNAnalysis[" &amp; Table11[[#Headers],[EDU]] &amp; "]"), "NOT FOUND", 0, 1)</f>
        <v>6118.5979452721185</v>
      </c>
      <c r="J298" s="8" cm="1">
        <f t="array" aca="1" ref="J298" ca="1">_xlfn.XLOOKUP(Table11[[#This Row],[Admin2PCODE]], tblPiNAnalysis[Admin2PCODE], INDIRECT("tblPiNAnalysis[" &amp; Table11[[#Headers],[PRO]] &amp; "]"), "NOT FOUND", 0, 1)</f>
        <v>6705.0535463466149</v>
      </c>
      <c r="K298" s="8" cm="1">
        <f t="array" aca="1" ref="K298" ca="1">_xlfn.XLOOKUP(Table11[[#This Row],[Admin2PCODE]], tblPiNAnalysis[Admin2PCODE], INDIRECT("tblPiNAnalysis[" &amp; Table11[[#Headers],[ASH]] &amp; "]"), "NOT FOUND", 0, 1)</f>
        <v>0</v>
      </c>
      <c r="L298" s="8" cm="1">
        <f t="array" aca="1" ref="L298" ca="1">_xlfn.XLOOKUP(Table11[[#This Row],[Admin2PCODE]], tblPiNAnalysis[Admin2PCODE], INDIRECT("tblPiNAnalysis[" &amp; Table11[[#Headers],[NNA]] &amp; "]"), "NOT FOUND", 0, 1)</f>
        <v>2145.6171348309172</v>
      </c>
      <c r="M298" s="8" cm="1">
        <f t="array" aca="1" ref="M298" ca="1">_xlfn.XLOOKUP(Table11[[#This Row],[Admin2PCODE]], tblPiNAnalysis[Admin2PCODE], INDIRECT("tblPiNAnalysis[" &amp; Table11[[#Headers],[VBG]] &amp; "]"), "NOT FOUND", 0, 1)</f>
        <v>2346.7687412213149</v>
      </c>
      <c r="N298" s="8" cm="1">
        <f t="array" aca="1" ref="N298" ca="1">_xlfn.XLOOKUP(Table11[[#This Row],[Admin2PCODE]], tblPiNAnalysis[Admin2PCODE], INDIRECT("tblPiNAnalysis[" &amp; Table11[[#Headers],[PiN más alto]] &amp; "]"), "NOT FOUND", 0, 1)</f>
        <v>20232.314999999999</v>
      </c>
      <c r="O298" t="str" cm="1">
        <f t="array" aca="1" ref="O298" ca="1">_xlfn.XLOOKUP(Table11[[#This Row],[Admin2PCODE]], tblPiNAnalysis[Admin2PCODE], INDIRECT("tblPiNAnalysis[" &amp; Table11[[#Headers],[Sectores más altos]] &amp; "]"), "NOT FOUND", 0, 1)</f>
        <v>SAL</v>
      </c>
      <c r="P298" cm="1">
        <f t="array" ref="P298">_xlfn.XLOOKUP(Table11[[#This Row],[Admin2PCODE]], tblPiNAnalysis[Admin2PCODE], tblPiNAnalysis[Severidad], "NOT FOUND", 0, 1)</f>
        <v>3</v>
      </c>
      <c r="Q298" s="318">
        <v>3.875968992248062E-2</v>
      </c>
      <c r="R298" s="318">
        <v>0.33333333333333331</v>
      </c>
      <c r="S298" s="318">
        <v>1.2919896640826873E-2</v>
      </c>
      <c r="T298">
        <v>0</v>
      </c>
      <c r="W298">
        <f>_xlfn.XLOOKUP(Table11[[#This Row],[Admin2PCODE]],tblSeverityAnalysis[Admin 2 Código P],tblSeverityAnalysis[PRO],0,0)</f>
        <v>2</v>
      </c>
      <c r="Y298">
        <v>9</v>
      </c>
      <c r="Z298">
        <v>0</v>
      </c>
      <c r="AA298">
        <f t="shared" si="4"/>
        <v>0</v>
      </c>
    </row>
    <row r="299" spans="1:27">
      <c r="A299" t="s">
        <v>642</v>
      </c>
      <c r="B299" t="s">
        <v>643</v>
      </c>
      <c r="C299" s="42" t="s">
        <v>207</v>
      </c>
      <c r="D299" t="s">
        <v>675</v>
      </c>
      <c r="E299" s="8" cm="1">
        <f t="array" aca="1" ref="E299" ca="1">_xlfn.XLOOKUP(Table11[[#This Row],[Admin2PCODE]], tblPiNAnalysis[Admin2PCODE], INDIRECT("tblPiNAnalysis[" &amp; Table11[[#Headers],[Población]] &amp; "]"), "NOT FOUND", 0, 1)</f>
        <v>34380</v>
      </c>
      <c r="F299" s="8" cm="1">
        <f t="array" aca="1" ref="F299" ca="1">_xlfn.XLOOKUP(Table11[[#This Row],[Admin2PCODE]], tblPiNAnalysis[Admin2PCODE], INDIRECT("tblPiNAnalysis[" &amp; Table11[[#Headers],[SAMV]] &amp; "]"), "NOT FOUND", 0, 1)</f>
        <v>12824</v>
      </c>
      <c r="G299" s="8" cm="1">
        <f t="array" aca="1" ref="G299" ca="1">_xlfn.XLOOKUP(Table11[[#This Row],[Admin2PCODE]], tblPiNAnalysis[Admin2PCODE], INDIRECT("tblPiNAnalysis[" &amp; Table11[[#Headers],[NUT]] &amp; "]"), "NOT FOUND", 0, 1)</f>
        <v>1187.199274164188</v>
      </c>
      <c r="H299" s="8" cm="1">
        <f t="array" aca="1" ref="H299" ca="1">_xlfn.XLOOKUP(Table11[[#This Row],[Admin2PCODE]], tblPiNAnalysis[Admin2PCODE], INDIRECT("tblPiNAnalysis[" &amp; Table11[[#Headers],[SAL]] &amp; "]"), "NOT FOUND", 0, 1)</f>
        <v>12548.7</v>
      </c>
      <c r="I299" s="8" cm="1">
        <f t="array" aca="1" ref="I299" ca="1">_xlfn.XLOOKUP(Table11[[#This Row],[Admin2PCODE]], tblPiNAnalysis[Admin2PCODE], INDIRECT("tblPiNAnalysis[" &amp; Table11[[#Headers],[EDU]] &amp; "]"), "NOT FOUND", 0, 1)</f>
        <v>2620.5657708745589</v>
      </c>
      <c r="J299" s="8" cm="1">
        <f t="array" aca="1" ref="J299" ca="1">_xlfn.XLOOKUP(Table11[[#This Row],[Admin2PCODE]], tblPiNAnalysis[Admin2PCODE], INDIRECT("tblPiNAnalysis[" &amp; Table11[[#Headers],[PRO]] &amp; "]"), "NOT FOUND", 0, 1)</f>
        <v>8317.358190304938</v>
      </c>
      <c r="K299" s="8" cm="1">
        <f t="array" aca="1" ref="K299" ca="1">_xlfn.XLOOKUP(Table11[[#This Row],[Admin2PCODE]], tblPiNAnalysis[Admin2PCODE], INDIRECT("tblPiNAnalysis[" &amp; Table11[[#Headers],[ASH]] &amp; "]"), "NOT FOUND", 0, 1)</f>
        <v>0</v>
      </c>
      <c r="L299" s="8" cm="1">
        <f t="array" aca="1" ref="L299" ca="1">_xlfn.XLOOKUP(Table11[[#This Row],[Admin2PCODE]], tblPiNAnalysis[Admin2PCODE], INDIRECT("tblPiNAnalysis[" &amp; Table11[[#Headers],[NNA]] &amp; "]"), "NOT FOUND", 0, 1)</f>
        <v>2661.5546208975802</v>
      </c>
      <c r="M299" s="8" cm="1">
        <f t="array" aca="1" ref="M299" ca="1">_xlfn.XLOOKUP(Table11[[#This Row],[Admin2PCODE]], tblPiNAnalysis[Admin2PCODE], INDIRECT("tblPiNAnalysis[" &amp; Table11[[#Headers],[VBG]] &amp; "]"), "NOT FOUND", 0, 1)</f>
        <v>2911.075366606728</v>
      </c>
      <c r="N299" s="8" cm="1">
        <f t="array" aca="1" ref="N299" ca="1">_xlfn.XLOOKUP(Table11[[#This Row],[Admin2PCODE]], tblPiNAnalysis[Admin2PCODE], INDIRECT("tblPiNAnalysis[" &amp; Table11[[#Headers],[PiN más alto]] &amp; "]"), "NOT FOUND", 0, 1)</f>
        <v>12824</v>
      </c>
      <c r="O299" t="str" cm="1">
        <f t="array" aca="1" ref="O299" ca="1">_xlfn.XLOOKUP(Table11[[#This Row],[Admin2PCODE]], tblPiNAnalysis[Admin2PCODE], INDIRECT("tblPiNAnalysis[" &amp; Table11[[#Headers],[Sectores más altos]] &amp; "]"), "NOT FOUND", 0, 1)</f>
        <v>SAMV</v>
      </c>
      <c r="P299" cm="1">
        <f t="array" ref="P299">_xlfn.XLOOKUP(Table11[[#This Row],[Admin2PCODE]], tblPiNAnalysis[Admin2PCODE], tblPiNAnalysis[Severidad], "NOT FOUND", 0, 1)</f>
        <v>2</v>
      </c>
      <c r="Q299" s="318">
        <v>0.35238095238095241</v>
      </c>
      <c r="R299" s="318">
        <v>0.47447447447447433</v>
      </c>
      <c r="S299" s="318">
        <v>0.16719576719576715</v>
      </c>
      <c r="T299">
        <v>0</v>
      </c>
      <c r="W299">
        <f>_xlfn.XLOOKUP(Table11[[#This Row],[Admin2PCODE]],tblSeverityAnalysis[Admin 2 Código P],tblSeverityAnalysis[PRO],0,0)</f>
        <v>4</v>
      </c>
      <c r="Y299">
        <v>9</v>
      </c>
      <c r="Z299">
        <v>0</v>
      </c>
      <c r="AA299">
        <f t="shared" si="4"/>
        <v>0</v>
      </c>
    </row>
    <row r="300" spans="1:27">
      <c r="A300" t="s">
        <v>642</v>
      </c>
      <c r="B300" t="s">
        <v>643</v>
      </c>
      <c r="C300" s="42" t="s">
        <v>676</v>
      </c>
      <c r="D300" t="s">
        <v>677</v>
      </c>
      <c r="E300" s="8" cm="1">
        <f t="array" aca="1" ref="E300" ca="1">_xlfn.XLOOKUP(Table11[[#This Row],[Admin2PCODE]], tblPiNAnalysis[Admin2PCODE], INDIRECT("tblPiNAnalysis[" &amp; Table11[[#Headers],[Población]] &amp; "]"), "NOT FOUND", 0, 1)</f>
        <v>139204</v>
      </c>
      <c r="F300" s="8" cm="1">
        <f t="array" aca="1" ref="F300" ca="1">_xlfn.XLOOKUP(Table11[[#This Row],[Admin2PCODE]], tblPiNAnalysis[Admin2PCODE], INDIRECT("tblPiNAnalysis[" &amp; Table11[[#Headers],[SAMV]] &amp; "]"), "NOT FOUND", 0, 1)</f>
        <v>12392</v>
      </c>
      <c r="G300" s="8" cm="1">
        <f t="array" aca="1" ref="G300" ca="1">_xlfn.XLOOKUP(Table11[[#This Row],[Admin2PCODE]], tblPiNAnalysis[Admin2PCODE], INDIRECT("tblPiNAnalysis[" &amp; Table11[[#Headers],[NUT]] &amp; "]"), "NOT FOUND", 0, 1)</f>
        <v>20776.441349154215</v>
      </c>
      <c r="H300" s="8" cm="1">
        <f t="array" aca="1" ref="H300" ca="1">_xlfn.XLOOKUP(Table11[[#This Row],[Admin2PCODE]], tblPiNAnalysis[Admin2PCODE], INDIRECT("tblPiNAnalysis[" &amp; Table11[[#Headers],[SAL]] &amp; "]"), "NOT FOUND", 0, 1)</f>
        <v>50809.46</v>
      </c>
      <c r="I300" s="8" cm="1">
        <f t="array" aca="1" ref="I300" ca="1">_xlfn.XLOOKUP(Table11[[#This Row],[Admin2PCODE]], tblPiNAnalysis[Admin2PCODE], INDIRECT("tblPiNAnalysis[" &amp; Table11[[#Headers],[EDU]] &amp; "]"), "NOT FOUND", 0, 1)</f>
        <v>14544.995300628078</v>
      </c>
      <c r="J300" s="8" cm="1">
        <f t="array" aca="1" ref="J300" ca="1">_xlfn.XLOOKUP(Table11[[#This Row],[Admin2PCODE]], tblPiNAnalysis[Admin2PCODE], INDIRECT("tblPiNAnalysis[" &amp; Table11[[#Headers],[PRO]] &amp; "]"), "NOT FOUND", 0, 1)</f>
        <v>33676.833319465062</v>
      </c>
      <c r="K300" s="8" cm="1">
        <f t="array" aca="1" ref="K300" ca="1">_xlfn.XLOOKUP(Table11[[#This Row],[Admin2PCODE]], tblPiNAnalysis[Admin2PCODE], INDIRECT("tblPiNAnalysis[" &amp; Table11[[#Headers],[ASH]] &amp; "]"), "NOT FOUND", 0, 1)</f>
        <v>0</v>
      </c>
      <c r="L300" s="8" cm="1">
        <f t="array" aca="1" ref="L300" ca="1">_xlfn.XLOOKUP(Table11[[#This Row],[Admin2PCODE]], tblPiNAnalysis[Admin2PCODE], INDIRECT("tblPiNAnalysis[" &amp; Table11[[#Headers],[NNA]] &amp; "]"), "NOT FOUND", 0, 1)</f>
        <v>10776.586662228819</v>
      </c>
      <c r="M300" s="8" cm="1">
        <f t="array" aca="1" ref="M300" ca="1">_xlfn.XLOOKUP(Table11[[#This Row],[Admin2PCODE]], tblPiNAnalysis[Admin2PCODE], INDIRECT("tblPiNAnalysis[" &amp; Table11[[#Headers],[VBG]] &amp; "]"), "NOT FOUND", 0, 1)</f>
        <v>11786.89166181277</v>
      </c>
      <c r="N300" s="8" cm="1">
        <f t="array" aca="1" ref="N300" ca="1">_xlfn.XLOOKUP(Table11[[#This Row],[Admin2PCODE]], tblPiNAnalysis[Admin2PCODE], INDIRECT("tblPiNAnalysis[" &amp; Table11[[#Headers],[PiN más alto]] &amp; "]"), "NOT FOUND", 0, 1)</f>
        <v>50809.46</v>
      </c>
      <c r="O300" t="str" cm="1">
        <f t="array" aca="1" ref="O300" ca="1">_xlfn.XLOOKUP(Table11[[#This Row],[Admin2PCODE]], tblPiNAnalysis[Admin2PCODE], INDIRECT("tblPiNAnalysis[" &amp; Table11[[#Headers],[Sectores más altos]] &amp; "]"), "NOT FOUND", 0, 1)</f>
        <v>SAL</v>
      </c>
      <c r="P300" cm="1">
        <f t="array" ref="P300">_xlfn.XLOOKUP(Table11[[#This Row],[Admin2PCODE]], tblPiNAnalysis[Admin2PCODE], tblPiNAnalysis[Severidad], "NOT FOUND", 0, 1)</f>
        <v>4</v>
      </c>
      <c r="Q300" s="318">
        <v>0.27741935483870966</v>
      </c>
      <c r="R300" s="318">
        <v>0.42571059431524533</v>
      </c>
      <c r="S300" s="318">
        <v>0.11810035842293902</v>
      </c>
      <c r="T300">
        <v>1</v>
      </c>
      <c r="W300">
        <f>_xlfn.XLOOKUP(Table11[[#This Row],[Admin2PCODE]],tblSeverityAnalysis[Admin 2 Código P],tblSeverityAnalysis[PRO],0,0)</f>
        <v>4</v>
      </c>
      <c r="Y300">
        <v>9</v>
      </c>
      <c r="Z300">
        <v>0</v>
      </c>
      <c r="AA300">
        <f t="shared" si="4"/>
        <v>0</v>
      </c>
    </row>
    <row r="301" spans="1:27">
      <c r="A301" t="s">
        <v>678</v>
      </c>
      <c r="B301" t="s">
        <v>679</v>
      </c>
      <c r="C301" s="42" t="s">
        <v>680</v>
      </c>
      <c r="D301" t="s">
        <v>681</v>
      </c>
      <c r="E301" s="8" cm="1">
        <f t="array" aca="1" ref="E301" ca="1">_xlfn.XLOOKUP(Table11[[#This Row],[Admin2PCODE]], tblPiNAnalysis[Admin2PCODE], INDIRECT("tblPiNAnalysis[" &amp; Table11[[#Headers],[Población]] &amp; "]"), "NOT FOUND", 0, 1)</f>
        <v>20943</v>
      </c>
      <c r="F301" s="8" cm="1">
        <f t="array" aca="1" ref="F301" ca="1">_xlfn.XLOOKUP(Table11[[#This Row],[Admin2PCODE]], tblPiNAnalysis[Admin2PCODE], INDIRECT("tblPiNAnalysis[" &amp; Table11[[#Headers],[SAMV]] &amp; "]"), "NOT FOUND", 0, 1)</f>
        <v>4654</v>
      </c>
      <c r="G301" s="8" cm="1">
        <f t="array" aca="1" ref="G301" ca="1">_xlfn.XLOOKUP(Table11[[#This Row],[Admin2PCODE]], tblPiNAnalysis[Admin2PCODE], INDIRECT("tblPiNAnalysis[" &amp; Table11[[#Headers],[NUT]] &amp; "]"), "NOT FOUND", 0, 1)</f>
        <v>575.83036183599347</v>
      </c>
      <c r="H301" s="8" cm="1">
        <f t="array" aca="1" ref="H301" ca="1">_xlfn.XLOOKUP(Table11[[#This Row],[Admin2PCODE]], tblPiNAnalysis[Admin2PCODE], INDIRECT("tblPiNAnalysis[" &amp; Table11[[#Headers],[SAL]] &amp; "]"), "NOT FOUND", 0, 1)</f>
        <v>9830</v>
      </c>
      <c r="I301" s="8" cm="1">
        <f t="array" aca="1" ref="I301" ca="1">_xlfn.XLOOKUP(Table11[[#This Row],[Admin2PCODE]], tblPiNAnalysis[Admin2PCODE], INDIRECT("tblPiNAnalysis[" &amp; Table11[[#Headers],[EDU]] &amp; "]"), "NOT FOUND", 0, 1)</f>
        <v>1494.9659260213348</v>
      </c>
      <c r="J301" s="8" cm="1">
        <f t="array" aca="1" ref="J301" ca="1">_xlfn.XLOOKUP(Table11[[#This Row],[Admin2PCODE]], tblPiNAnalysis[Admin2PCODE], INDIRECT("tblPiNAnalysis[" &amp; Table11[[#Headers],[PRO]] &amp; "]"), "NOT FOUND", 0, 1)</f>
        <v>4163.1709137784565</v>
      </c>
      <c r="K301" s="8" cm="1">
        <f t="array" aca="1" ref="K301" ca="1">_xlfn.XLOOKUP(Table11[[#This Row],[Admin2PCODE]], tblPiNAnalysis[Admin2PCODE], INDIRECT("tblPiNAnalysis[" &amp; Table11[[#Headers],[ASH]] &amp; "]"), "NOT FOUND", 0, 1)</f>
        <v>0</v>
      </c>
      <c r="L301" s="8" cm="1">
        <f t="array" aca="1" ref="L301" ca="1">_xlfn.XLOOKUP(Table11[[#This Row],[Admin2PCODE]], tblPiNAnalysis[Admin2PCODE], INDIRECT("tblPiNAnalysis[" &amp; Table11[[#Headers],[NNA]] &amp; "]"), "NOT FOUND", 0, 1)</f>
        <v>1332.2146924091062</v>
      </c>
      <c r="M301" s="8" cm="1">
        <f t="array" aca="1" ref="M301" ca="1">_xlfn.XLOOKUP(Table11[[#This Row],[Admin2PCODE]], tblPiNAnalysis[Admin2PCODE], INDIRECT("tblPiNAnalysis[" &amp; Table11[[#Headers],[VBG]] &amp; "]"), "NOT FOUND", 0, 1)</f>
        <v>1457.1098198224595</v>
      </c>
      <c r="N301" s="8" cm="1">
        <f t="array" aca="1" ref="N301" ca="1">_xlfn.XLOOKUP(Table11[[#This Row],[Admin2PCODE]], tblPiNAnalysis[Admin2PCODE], INDIRECT("tblPiNAnalysis[" &amp; Table11[[#Headers],[PiN más alto]] &amp; "]"), "NOT FOUND", 0, 1)</f>
        <v>9830</v>
      </c>
      <c r="O301" t="str" cm="1">
        <f t="array" aca="1" ref="O301" ca="1">_xlfn.XLOOKUP(Table11[[#This Row],[Admin2PCODE]], tblPiNAnalysis[Admin2PCODE], INDIRECT("tblPiNAnalysis[" &amp; Table11[[#Headers],[Sectores más altos]] &amp; "]"), "NOT FOUND", 0, 1)</f>
        <v>SAL</v>
      </c>
      <c r="P301" cm="1">
        <f t="array" ref="P301">_xlfn.XLOOKUP(Table11[[#This Row],[Admin2PCODE]], tblPiNAnalysis[Admin2PCODE], tblPiNAnalysis[Severidad], "NOT FOUND", 0, 1)</f>
        <v>2</v>
      </c>
      <c r="Q301" s="318">
        <v>0</v>
      </c>
      <c r="R301" s="318">
        <v>0</v>
      </c>
      <c r="S301" s="318">
        <v>0</v>
      </c>
      <c r="T301">
        <v>0</v>
      </c>
      <c r="W301">
        <f>_xlfn.XLOOKUP(Table11[[#This Row],[Admin2PCODE]],tblSeverityAnalysis[Admin 2 Código P],tblSeverityAnalysis[PRO],0,0)</f>
        <v>3</v>
      </c>
      <c r="Y301">
        <v>0</v>
      </c>
      <c r="Z301">
        <v>0</v>
      </c>
      <c r="AA301">
        <f t="shared" si="4"/>
        <v>0</v>
      </c>
    </row>
    <row r="302" spans="1:27">
      <c r="A302" t="s">
        <v>678</v>
      </c>
      <c r="B302" t="s">
        <v>679</v>
      </c>
      <c r="C302" s="42" t="s">
        <v>180</v>
      </c>
      <c r="D302" t="s">
        <v>682</v>
      </c>
      <c r="E302" s="8" cm="1">
        <f t="array" aca="1" ref="E302" ca="1">_xlfn.XLOOKUP(Table11[[#This Row],[Admin2PCODE]], tblPiNAnalysis[Admin2PCODE], INDIRECT("tblPiNAnalysis[" &amp; Table11[[#Headers],[Población]] &amp; "]"), "NOT FOUND", 0, 1)</f>
        <v>31883</v>
      </c>
      <c r="F302" s="8" cm="1">
        <f t="array" aca="1" ref="F302" ca="1">_xlfn.XLOOKUP(Table11[[#This Row],[Admin2PCODE]], tblPiNAnalysis[Admin2PCODE], INDIRECT("tblPiNAnalysis[" &amp; Table11[[#Headers],[SAMV]] &amp; "]"), "NOT FOUND", 0, 1)</f>
        <v>4637</v>
      </c>
      <c r="G302" s="8" cm="1">
        <f t="array" aca="1" ref="G302" ca="1">_xlfn.XLOOKUP(Table11[[#This Row],[Admin2PCODE]], tblPiNAnalysis[Admin2PCODE], INDIRECT("tblPiNAnalysis[" &amp; Table11[[#Headers],[NUT]] &amp; "]"), "NOT FOUND", 0, 1)</f>
        <v>817.84521050715773</v>
      </c>
      <c r="H302" s="8" cm="1">
        <f t="array" aca="1" ref="H302" ca="1">_xlfn.XLOOKUP(Table11[[#This Row],[Admin2PCODE]], tblPiNAnalysis[Admin2PCODE], INDIRECT("tblPiNAnalysis[" &amp; Table11[[#Headers],[SAL]] &amp; "]"), "NOT FOUND", 0, 1)</f>
        <v>11637.295</v>
      </c>
      <c r="I302" s="8" cm="1">
        <f t="array" aca="1" ref="I302" ca="1">_xlfn.XLOOKUP(Table11[[#This Row],[Admin2PCODE]], tblPiNAnalysis[Admin2PCODE], INDIRECT("tblPiNAnalysis[" &amp; Table11[[#Headers],[EDU]] &amp; "]"), "NOT FOUND", 0, 1)</f>
        <v>1700.2718086262826</v>
      </c>
      <c r="J302" s="8" cm="1">
        <f t="array" aca="1" ref="J302" ca="1">_xlfn.XLOOKUP(Table11[[#This Row],[Admin2PCODE]], tblPiNAnalysis[Admin2PCODE], INDIRECT("tblPiNAnalysis[" &amp; Table11[[#Headers],[PRO]] &amp; "]"), "NOT FOUND", 0, 1)</f>
        <v>6337.8875158286055</v>
      </c>
      <c r="K302" s="8" cm="1">
        <f t="array" aca="1" ref="K302" ca="1">_xlfn.XLOOKUP(Table11[[#This Row],[Admin2PCODE]], tblPiNAnalysis[Admin2PCODE], INDIRECT("tblPiNAnalysis[" &amp; Table11[[#Headers],[ASH]] &amp; "]"), "NOT FOUND", 0, 1)</f>
        <v>0</v>
      </c>
      <c r="L302" s="8" cm="1">
        <f t="array" aca="1" ref="L302" ca="1">_xlfn.XLOOKUP(Table11[[#This Row],[Admin2PCODE]], tblPiNAnalysis[Admin2PCODE], INDIRECT("tblPiNAnalysis[" &amp; Table11[[#Headers],[NNA]] &amp; "]"), "NOT FOUND", 0, 1)</f>
        <v>2028.1240050651536</v>
      </c>
      <c r="M302" s="8" cm="1">
        <f t="array" aca="1" ref="M302" ca="1">_xlfn.XLOOKUP(Table11[[#This Row],[Admin2PCODE]], tblPiNAnalysis[Admin2PCODE], INDIRECT("tblPiNAnalysis[" &amp; Table11[[#Headers],[VBG]] &amp; "]"), "NOT FOUND", 0, 1)</f>
        <v>2218.2606305400118</v>
      </c>
      <c r="N302" s="8" cm="1">
        <f t="array" aca="1" ref="N302" ca="1">_xlfn.XLOOKUP(Table11[[#This Row],[Admin2PCODE]], tblPiNAnalysis[Admin2PCODE], INDIRECT("tblPiNAnalysis[" &amp; Table11[[#Headers],[PiN más alto]] &amp; "]"), "NOT FOUND", 0, 1)</f>
        <v>11637.295</v>
      </c>
      <c r="O302" t="str" cm="1">
        <f t="array" aca="1" ref="O302" ca="1">_xlfn.XLOOKUP(Table11[[#This Row],[Admin2PCODE]], tblPiNAnalysis[Admin2PCODE], INDIRECT("tblPiNAnalysis[" &amp; Table11[[#Headers],[Sectores más altos]] &amp; "]"), "NOT FOUND", 0, 1)</f>
        <v>SAL</v>
      </c>
      <c r="P302" cm="1">
        <f t="array" ref="P302">_xlfn.XLOOKUP(Table11[[#This Row],[Admin2PCODE]], tblPiNAnalysis[Admin2PCODE], tblPiNAnalysis[Severidad], "NOT FOUND", 0, 1)</f>
        <v>2</v>
      </c>
      <c r="Q302" s="318">
        <v>0.12318840579710146</v>
      </c>
      <c r="R302" s="318">
        <v>0.48366013071895397</v>
      </c>
      <c r="S302" s="318">
        <v>5.9581320450885634E-2</v>
      </c>
      <c r="T302">
        <v>1</v>
      </c>
      <c r="W302">
        <f>_xlfn.XLOOKUP(Table11[[#This Row],[Admin2PCODE]],tblSeverityAnalysis[Admin 2 Código P],tblSeverityAnalysis[PRO],0,0)</f>
        <v>3</v>
      </c>
      <c r="Y302">
        <v>0</v>
      </c>
      <c r="Z302">
        <v>0</v>
      </c>
      <c r="AA302">
        <f t="shared" si="4"/>
        <v>0</v>
      </c>
    </row>
    <row r="303" spans="1:27">
      <c r="A303" t="s">
        <v>678</v>
      </c>
      <c r="B303" t="s">
        <v>679</v>
      </c>
      <c r="C303" s="42" t="s">
        <v>683</v>
      </c>
      <c r="D303" t="s">
        <v>684</v>
      </c>
      <c r="E303" s="8" cm="1">
        <f t="array" aca="1" ref="E303" ca="1">_xlfn.XLOOKUP(Table11[[#This Row],[Admin2PCODE]], tblPiNAnalysis[Admin2PCODE], INDIRECT("tblPiNAnalysis[" &amp; Table11[[#Headers],[Población]] &amp; "]"), "NOT FOUND", 0, 1)</f>
        <v>71311</v>
      </c>
      <c r="F303" s="8" cm="1">
        <f t="array" aca="1" ref="F303" ca="1">_xlfn.XLOOKUP(Table11[[#This Row],[Admin2PCODE]], tblPiNAnalysis[Admin2PCODE], INDIRECT("tblPiNAnalysis[" &amp; Table11[[#Headers],[SAMV]] &amp; "]"), "NOT FOUND", 0, 1)</f>
        <v>11299</v>
      </c>
      <c r="G303" s="8" cm="1">
        <f t="array" aca="1" ref="G303" ca="1">_xlfn.XLOOKUP(Table11[[#This Row],[Admin2PCODE]], tblPiNAnalysis[Admin2PCODE], INDIRECT("tblPiNAnalysis[" &amp; Table11[[#Headers],[NUT]] &amp; "]"), "NOT FOUND", 0, 1)</f>
        <v>1690.1065796166481</v>
      </c>
      <c r="H303" s="8" cm="1">
        <f t="array" aca="1" ref="H303" ca="1">_xlfn.XLOOKUP(Table11[[#This Row],[Admin2PCODE]], tblPiNAnalysis[Admin2PCODE], INDIRECT("tblPiNAnalysis[" &amp; Table11[[#Headers],[SAL]] &amp; "]"), "NOT FOUND", 0, 1)</f>
        <v>26028.514999999999</v>
      </c>
      <c r="I303" s="8" cm="1">
        <f t="array" aca="1" ref="I303" ca="1">_xlfn.XLOOKUP(Table11[[#This Row],[Admin2PCODE]], tblPiNAnalysis[Admin2PCODE], INDIRECT("tblPiNAnalysis[" &amp; Table11[[#Headers],[EDU]] &amp; "]"), "NOT FOUND", 0, 1)</f>
        <v>6297.3319012244301</v>
      </c>
      <c r="J303" s="8" cm="1">
        <f t="array" aca="1" ref="J303" ca="1">_xlfn.XLOOKUP(Table11[[#This Row],[Admin2PCODE]], tblPiNAnalysis[Admin2PCODE], INDIRECT("tblPiNAnalysis[" &amp; Table11[[#Headers],[PRO]] &amp; "]"), "NOT FOUND", 0, 1)</f>
        <v>14175.613858208251</v>
      </c>
      <c r="K303" s="8" cm="1">
        <f t="array" aca="1" ref="K303" ca="1">_xlfn.XLOOKUP(Table11[[#This Row],[Admin2PCODE]], tblPiNAnalysis[Admin2PCODE], INDIRECT("tblPiNAnalysis[" &amp; Table11[[#Headers],[ASH]] &amp; "]"), "NOT FOUND", 0, 1)</f>
        <v>0</v>
      </c>
      <c r="L303" s="8" cm="1">
        <f t="array" aca="1" ref="L303" ca="1">_xlfn.XLOOKUP(Table11[[#This Row],[Admin2PCODE]], tblPiNAnalysis[Admin2PCODE], INDIRECT("tblPiNAnalysis[" &amp; Table11[[#Headers],[NNA]] &amp; "]"), "NOT FOUND", 0, 1)</f>
        <v>4536.1964346266404</v>
      </c>
      <c r="M303" s="8" cm="1">
        <f t="array" aca="1" ref="M303" ca="1">_xlfn.XLOOKUP(Table11[[#This Row],[Admin2PCODE]], tblPiNAnalysis[Admin2PCODE], INDIRECT("tblPiNAnalysis[" &amp; Table11[[#Headers],[VBG]] &amp; "]"), "NOT FOUND", 0, 1)</f>
        <v>4961.4648503728877</v>
      </c>
      <c r="N303" s="8" cm="1">
        <f t="array" aca="1" ref="N303" ca="1">_xlfn.XLOOKUP(Table11[[#This Row],[Admin2PCODE]], tblPiNAnalysis[Admin2PCODE], INDIRECT("tblPiNAnalysis[" &amp; Table11[[#Headers],[PiN más alto]] &amp; "]"), "NOT FOUND", 0, 1)</f>
        <v>26028.514999999999</v>
      </c>
      <c r="O303" t="str" cm="1">
        <f t="array" aca="1" ref="O303" ca="1">_xlfn.XLOOKUP(Table11[[#This Row],[Admin2PCODE]], tblPiNAnalysis[Admin2PCODE], INDIRECT("tblPiNAnalysis[" &amp; Table11[[#Headers],[Sectores más altos]] &amp; "]"), "NOT FOUND", 0, 1)</f>
        <v>SAL</v>
      </c>
      <c r="P303" cm="1">
        <f t="array" ref="P303">_xlfn.XLOOKUP(Table11[[#This Row],[Admin2PCODE]], tblPiNAnalysis[Admin2PCODE], tblPiNAnalysis[Severidad], "NOT FOUND", 0, 1)</f>
        <v>3</v>
      </c>
      <c r="Q303" s="318">
        <v>0</v>
      </c>
      <c r="R303" s="318">
        <v>0</v>
      </c>
      <c r="S303" s="318">
        <v>0</v>
      </c>
      <c r="T303">
        <v>0</v>
      </c>
      <c r="W303">
        <f>_xlfn.XLOOKUP(Table11[[#This Row],[Admin2PCODE]],tblSeverityAnalysis[Admin 2 Código P],tblSeverityAnalysis[PRO],0,0)</f>
        <v>3</v>
      </c>
      <c r="Y303">
        <v>0</v>
      </c>
      <c r="Z303">
        <v>0</v>
      </c>
      <c r="AA303">
        <f t="shared" si="4"/>
        <v>0</v>
      </c>
    </row>
    <row r="304" spans="1:27">
      <c r="A304" t="s">
        <v>678</v>
      </c>
      <c r="B304" t="s">
        <v>679</v>
      </c>
      <c r="C304" s="42" t="s">
        <v>685</v>
      </c>
      <c r="D304" t="s">
        <v>686</v>
      </c>
      <c r="E304" s="8" cm="1">
        <f t="array" aca="1" ref="E304" ca="1">_xlfn.XLOOKUP(Table11[[#This Row],[Admin2PCODE]], tblPiNAnalysis[Admin2PCODE], INDIRECT("tblPiNAnalysis[" &amp; Table11[[#Headers],[Población]] &amp; "]"), "NOT FOUND", 0, 1)</f>
        <v>42416</v>
      </c>
      <c r="F304" s="8" cm="1">
        <f t="array" aca="1" ref="F304" ca="1">_xlfn.XLOOKUP(Table11[[#This Row],[Admin2PCODE]], tblPiNAnalysis[Admin2PCODE], INDIRECT("tblPiNAnalysis[" &amp; Table11[[#Headers],[SAMV]] &amp; "]"), "NOT FOUND", 0, 1)</f>
        <v>2693</v>
      </c>
      <c r="G304" s="8" cm="1">
        <f t="array" aca="1" ref="G304" ca="1">_xlfn.XLOOKUP(Table11[[#This Row],[Admin2PCODE]], tblPiNAnalysis[Admin2PCODE], INDIRECT("tblPiNAnalysis[" &amp; Table11[[#Headers],[NUT]] &amp; "]"), "NOT FOUND", 0, 1)</f>
        <v>1058.7697482615831</v>
      </c>
      <c r="H304" s="8" cm="1">
        <f t="array" aca="1" ref="H304" ca="1">_xlfn.XLOOKUP(Table11[[#This Row],[Admin2PCODE]], tblPiNAnalysis[Admin2PCODE], INDIRECT("tblPiNAnalysis[" &amp; Table11[[#Headers],[SAL]] &amp; "]"), "NOT FOUND", 0, 1)</f>
        <v>19200</v>
      </c>
      <c r="I304" s="8" cm="1">
        <f t="array" aca="1" ref="I304" ca="1">_xlfn.XLOOKUP(Table11[[#This Row],[Admin2PCODE]], tblPiNAnalysis[Admin2PCODE], INDIRECT("tblPiNAnalysis[" &amp; Table11[[#Headers],[EDU]] &amp; "]"), "NOT FOUND", 0, 1)</f>
        <v>4953.3977725632158</v>
      </c>
      <c r="J304" s="8" cm="1">
        <f t="array" aca="1" ref="J304" ca="1">_xlfn.XLOOKUP(Table11[[#This Row],[Admin2PCODE]], tblPiNAnalysis[Admin2PCODE], INDIRECT("tblPiNAnalysis[" &amp; Table11[[#Headers],[PRO]] &amp; "]"), "NOT FOUND", 0, 1)</f>
        <v>8431.6982991370351</v>
      </c>
      <c r="K304" s="8" cm="1">
        <f t="array" aca="1" ref="K304" ca="1">_xlfn.XLOOKUP(Table11[[#This Row],[Admin2PCODE]], tblPiNAnalysis[Admin2PCODE], INDIRECT("tblPiNAnalysis[" &amp; Table11[[#Headers],[ASH]] &amp; "]"), "NOT FOUND", 0, 1)</f>
        <v>0</v>
      </c>
      <c r="L304" s="8" cm="1">
        <f t="array" aca="1" ref="L304" ca="1">_xlfn.XLOOKUP(Table11[[#This Row],[Admin2PCODE]], tblPiNAnalysis[Admin2PCODE], INDIRECT("tblPiNAnalysis[" &amp; Table11[[#Headers],[NNA]] &amp; "]"), "NOT FOUND", 0, 1)</f>
        <v>2698.1434557238513</v>
      </c>
      <c r="M304" s="8" cm="1">
        <f t="array" aca="1" ref="M304" ca="1">_xlfn.XLOOKUP(Table11[[#This Row],[Admin2PCODE]], tblPiNAnalysis[Admin2PCODE], INDIRECT("tblPiNAnalysis[" &amp; Table11[[#Headers],[VBG]] &amp; "]"), "NOT FOUND", 0, 1)</f>
        <v>2951.0944046979625</v>
      </c>
      <c r="N304" s="8" cm="1">
        <f t="array" aca="1" ref="N304" ca="1">_xlfn.XLOOKUP(Table11[[#This Row],[Admin2PCODE]], tblPiNAnalysis[Admin2PCODE], INDIRECT("tblPiNAnalysis[" &amp; Table11[[#Headers],[PiN más alto]] &amp; "]"), "NOT FOUND", 0, 1)</f>
        <v>19200</v>
      </c>
      <c r="O304" t="str" cm="1">
        <f t="array" aca="1" ref="O304" ca="1">_xlfn.XLOOKUP(Table11[[#This Row],[Admin2PCODE]], tblPiNAnalysis[Admin2PCODE], INDIRECT("tblPiNAnalysis[" &amp; Table11[[#Headers],[Sectores más altos]] &amp; "]"), "NOT FOUND", 0, 1)</f>
        <v>SAL</v>
      </c>
      <c r="P304" cm="1">
        <f t="array" ref="P304">_xlfn.XLOOKUP(Table11[[#This Row],[Admin2PCODE]], tblPiNAnalysis[Admin2PCODE], tblPiNAnalysis[Severidad], "NOT FOUND", 0, 1)</f>
        <v>2</v>
      </c>
      <c r="Q304" s="318">
        <v>6.3829787234042548E-2</v>
      </c>
      <c r="R304" s="318">
        <v>0.33333333333333331</v>
      </c>
      <c r="S304" s="318">
        <v>2.1276595744680847E-2</v>
      </c>
      <c r="T304">
        <v>0</v>
      </c>
      <c r="W304">
        <f>_xlfn.XLOOKUP(Table11[[#This Row],[Admin2PCODE]],tblSeverityAnalysis[Admin 2 Código P],tblSeverityAnalysis[PRO],0,0)</f>
        <v>3</v>
      </c>
      <c r="Y304">
        <v>5</v>
      </c>
      <c r="Z304">
        <v>0</v>
      </c>
      <c r="AA304">
        <f t="shared" si="4"/>
        <v>0</v>
      </c>
    </row>
    <row r="305" spans="1:27">
      <c r="A305" t="s">
        <v>678</v>
      </c>
      <c r="B305" t="s">
        <v>679</v>
      </c>
      <c r="C305" s="42" t="s">
        <v>133</v>
      </c>
      <c r="D305" t="s">
        <v>687</v>
      </c>
      <c r="E305" s="8" cm="1">
        <f t="array" aca="1" ref="E305" ca="1">_xlfn.XLOOKUP(Table11[[#This Row],[Admin2PCODE]], tblPiNAnalysis[Admin2PCODE], INDIRECT("tblPiNAnalysis[" &amp; Table11[[#Headers],[Población]] &amp; "]"), "NOT FOUND", 0, 1)</f>
        <v>59114</v>
      </c>
      <c r="F305" s="8" cm="1">
        <f t="array" aca="1" ref="F305" ca="1">_xlfn.XLOOKUP(Table11[[#This Row],[Admin2PCODE]], tblPiNAnalysis[Admin2PCODE], INDIRECT("tblPiNAnalysis[" &amp; Table11[[#Headers],[SAMV]] &amp; "]"), "NOT FOUND", 0, 1)</f>
        <v>11709</v>
      </c>
      <c r="G305" s="8" cm="1">
        <f t="array" aca="1" ref="G305" ca="1">_xlfn.XLOOKUP(Table11[[#This Row],[Admin2PCODE]], tblPiNAnalysis[Admin2PCODE], INDIRECT("tblPiNAnalysis[" &amp; Table11[[#Headers],[NUT]] &amp; "]"), "NOT FOUND", 0, 1)</f>
        <v>1176.967145846462</v>
      </c>
      <c r="H305" s="8" cm="1">
        <f t="array" aca="1" ref="H305" ca="1">_xlfn.XLOOKUP(Table11[[#This Row],[Admin2PCODE]], tblPiNAnalysis[Admin2PCODE], INDIRECT("tblPiNAnalysis[" &amp; Table11[[#Headers],[SAL]] &amp; "]"), "NOT FOUND", 0, 1)</f>
        <v>21576.61</v>
      </c>
      <c r="I305" s="8" cm="1">
        <f t="array" aca="1" ref="I305" ca="1">_xlfn.XLOOKUP(Table11[[#This Row],[Admin2PCODE]], tblPiNAnalysis[Admin2PCODE], INDIRECT("tblPiNAnalysis[" &amp; Table11[[#Headers],[EDU]] &amp; "]"), "NOT FOUND", 0, 1)</f>
        <v>10136.559796715932</v>
      </c>
      <c r="J305" s="8" cm="1">
        <f t="array" aca="1" ref="J305" ca="1">_xlfn.XLOOKUP(Table11[[#This Row],[Admin2PCODE]], tblPiNAnalysis[Admin2PCODE], INDIRECT("tblPiNAnalysis[" &amp; Table11[[#Headers],[PRO]] &amp; "]"), "NOT FOUND", 0, 1)</f>
        <v>14101.228213556771</v>
      </c>
      <c r="K305" s="8" cm="1">
        <f t="array" aca="1" ref="K305" ca="1">_xlfn.XLOOKUP(Table11[[#This Row],[Admin2PCODE]], tblPiNAnalysis[Admin2PCODE], INDIRECT("tblPiNAnalysis[" &amp; Table11[[#Headers],[ASH]] &amp; "]"), "NOT FOUND", 0, 1)</f>
        <v>0</v>
      </c>
      <c r="L305" s="8" cm="1">
        <f t="array" aca="1" ref="L305" ca="1">_xlfn.XLOOKUP(Table11[[#This Row],[Admin2PCODE]], tblPiNAnalysis[Admin2PCODE], INDIRECT("tblPiNAnalysis[" &amp; Table11[[#Headers],[NNA]] &amp; "]"), "NOT FOUND", 0, 1)</f>
        <v>4512.3930283381669</v>
      </c>
      <c r="M305" s="8" cm="1">
        <f t="array" aca="1" ref="M305" ca="1">_xlfn.XLOOKUP(Table11[[#This Row],[Admin2PCODE]], tblPiNAnalysis[Admin2PCODE], INDIRECT("tblPiNAnalysis[" &amp; Table11[[#Headers],[VBG]] &amp; "]"), "NOT FOUND", 0, 1)</f>
        <v>4935.4298747448702</v>
      </c>
      <c r="N305" s="8" cm="1">
        <f t="array" aca="1" ref="N305" ca="1">_xlfn.XLOOKUP(Table11[[#This Row],[Admin2PCODE]], tblPiNAnalysis[Admin2PCODE], INDIRECT("tblPiNAnalysis[" &amp; Table11[[#Headers],[PiN más alto]] &amp; "]"), "NOT FOUND", 0, 1)</f>
        <v>21576.61</v>
      </c>
      <c r="O305" t="str" cm="1">
        <f t="array" aca="1" ref="O305" ca="1">_xlfn.XLOOKUP(Table11[[#This Row],[Admin2PCODE]], tblPiNAnalysis[Admin2PCODE], INDIRECT("tblPiNAnalysis[" &amp; Table11[[#Headers],[Sectores más altos]] &amp; "]"), "NOT FOUND", 0, 1)</f>
        <v>SAL</v>
      </c>
      <c r="P305" cm="1">
        <f t="array" ref="P305">_xlfn.XLOOKUP(Table11[[#This Row],[Admin2PCODE]], tblPiNAnalysis[Admin2PCODE], tblPiNAnalysis[Severidad], "NOT FOUND", 0, 1)</f>
        <v>3</v>
      </c>
      <c r="Q305" s="318">
        <v>0.25</v>
      </c>
      <c r="R305" s="318">
        <v>0.39141414141414133</v>
      </c>
      <c r="S305" s="318">
        <v>9.7853535353535331E-2</v>
      </c>
      <c r="T305">
        <v>1</v>
      </c>
      <c r="W305">
        <f>_xlfn.XLOOKUP(Table11[[#This Row],[Admin2PCODE]],tblSeverityAnalysis[Admin 2 Código P],tblSeverityAnalysis[PRO],0,0)</f>
        <v>4</v>
      </c>
      <c r="Y305">
        <v>3</v>
      </c>
      <c r="Z305">
        <v>0</v>
      </c>
      <c r="AA305">
        <f t="shared" si="4"/>
        <v>0</v>
      </c>
    </row>
    <row r="306" spans="1:27">
      <c r="A306" t="s">
        <v>678</v>
      </c>
      <c r="B306" t="s">
        <v>679</v>
      </c>
      <c r="C306" s="42" t="s">
        <v>688</v>
      </c>
      <c r="D306" t="s">
        <v>689</v>
      </c>
      <c r="E306" s="8" cm="1">
        <f t="array" aca="1" ref="E306" ca="1">_xlfn.XLOOKUP(Table11[[#This Row],[Admin2PCODE]], tblPiNAnalysis[Admin2PCODE], INDIRECT("tblPiNAnalysis[" &amp; Table11[[#Headers],[Población]] &amp; "]"), "NOT FOUND", 0, 1)</f>
        <v>20113</v>
      </c>
      <c r="F306" s="8" cm="1">
        <f t="array" aca="1" ref="F306" ca="1">_xlfn.XLOOKUP(Table11[[#This Row],[Admin2PCODE]], tblPiNAnalysis[Admin2PCODE], INDIRECT("tblPiNAnalysis[" &amp; Table11[[#Headers],[SAMV]] &amp; "]"), "NOT FOUND", 0, 1)</f>
        <v>7822</v>
      </c>
      <c r="G306" s="8" cm="1">
        <f t="array" aca="1" ref="G306" ca="1">_xlfn.XLOOKUP(Table11[[#This Row],[Admin2PCODE]], tblPiNAnalysis[Admin2PCODE], INDIRECT("tblPiNAnalysis[" &amp; Table11[[#Headers],[NUT]] &amp; "]"), "NOT FOUND", 0, 1)</f>
        <v>1011.0992329205294</v>
      </c>
      <c r="H306" s="8" cm="1">
        <f t="array" aca="1" ref="H306" ca="1">_xlfn.XLOOKUP(Table11[[#This Row],[Admin2PCODE]], tblPiNAnalysis[Admin2PCODE], INDIRECT("tblPiNAnalysis[" &amp; Table11[[#Headers],[SAL]] &amp; "]"), "NOT FOUND", 0, 1)</f>
        <v>9600</v>
      </c>
      <c r="I306" s="8" cm="1">
        <f t="array" aca="1" ref="I306" ca="1">_xlfn.XLOOKUP(Table11[[#This Row],[Admin2PCODE]], tblPiNAnalysis[Admin2PCODE], INDIRECT("tblPiNAnalysis[" &amp; Table11[[#Headers],[EDU]] &amp; "]"), "NOT FOUND", 0, 1)</f>
        <v>1116.9085374350739</v>
      </c>
      <c r="J306" s="8" cm="1">
        <f t="array" aca="1" ref="J306" ca="1">_xlfn.XLOOKUP(Table11[[#This Row],[Admin2PCODE]], tblPiNAnalysis[Admin2PCODE], INDIRECT("tblPiNAnalysis[" &amp; Table11[[#Headers],[PRO]] &amp; "]"), "NOT FOUND", 0, 1)</f>
        <v>3998.1787035680691</v>
      </c>
      <c r="K306" s="8" cm="1">
        <f t="array" aca="1" ref="K306" ca="1">_xlfn.XLOOKUP(Table11[[#This Row],[Admin2PCODE]], tblPiNAnalysis[Admin2PCODE], INDIRECT("tblPiNAnalysis[" &amp; Table11[[#Headers],[ASH]] &amp; "]"), "NOT FOUND", 0, 1)</f>
        <v>0</v>
      </c>
      <c r="L306" s="8" cm="1">
        <f t="array" aca="1" ref="L306" ca="1">_xlfn.XLOOKUP(Table11[[#This Row],[Admin2PCODE]], tblPiNAnalysis[Admin2PCODE], INDIRECT("tblPiNAnalysis[" &amp; Table11[[#Headers],[NNA]] &amp; "]"), "NOT FOUND", 0, 1)</f>
        <v>1279.4171851417823</v>
      </c>
      <c r="M306" s="8" cm="1">
        <f t="array" aca="1" ref="M306" ca="1">_xlfn.XLOOKUP(Table11[[#This Row],[Admin2PCODE]], tblPiNAnalysis[Admin2PCODE], INDIRECT("tblPiNAnalysis[" &amp; Table11[[#Headers],[VBG]] &amp; "]"), "NOT FOUND", 0, 1)</f>
        <v>1399.3625462488242</v>
      </c>
      <c r="N306" s="8" cm="1">
        <f t="array" aca="1" ref="N306" ca="1">_xlfn.XLOOKUP(Table11[[#This Row],[Admin2PCODE]], tblPiNAnalysis[Admin2PCODE], INDIRECT("tblPiNAnalysis[" &amp; Table11[[#Headers],[PiN más alto]] &amp; "]"), "NOT FOUND", 0, 1)</f>
        <v>9600</v>
      </c>
      <c r="O306" t="str" cm="1">
        <f t="array" aca="1" ref="O306" ca="1">_xlfn.XLOOKUP(Table11[[#This Row],[Admin2PCODE]], tblPiNAnalysis[Admin2PCODE], INDIRECT("tblPiNAnalysis[" &amp; Table11[[#Headers],[Sectores más altos]] &amp; "]"), "NOT FOUND", 0, 1)</f>
        <v>SAL</v>
      </c>
      <c r="P306" cm="1">
        <f t="array" ref="P306">_xlfn.XLOOKUP(Table11[[#This Row],[Admin2PCODE]], tblPiNAnalysis[Admin2PCODE], tblPiNAnalysis[Severidad], "NOT FOUND", 0, 1)</f>
        <v>3</v>
      </c>
      <c r="Q306" s="318">
        <v>0</v>
      </c>
      <c r="R306" s="318">
        <v>0</v>
      </c>
      <c r="S306" s="318">
        <v>0</v>
      </c>
      <c r="T306">
        <v>0</v>
      </c>
      <c r="W306">
        <f>_xlfn.XLOOKUP(Table11[[#This Row],[Admin2PCODE]],tblSeverityAnalysis[Admin 2 Código P],tblSeverityAnalysis[PRO],0,0)</f>
        <v>3</v>
      </c>
      <c r="Y306">
        <v>4</v>
      </c>
      <c r="Z306">
        <v>0</v>
      </c>
      <c r="AA306">
        <f t="shared" si="4"/>
        <v>0</v>
      </c>
    </row>
    <row r="307" spans="1:27">
      <c r="A307" t="s">
        <v>678</v>
      </c>
      <c r="B307" t="s">
        <v>679</v>
      </c>
      <c r="C307" s="42" t="s">
        <v>690</v>
      </c>
      <c r="D307" t="s">
        <v>691</v>
      </c>
      <c r="E307" s="8" cm="1">
        <f t="array" aca="1" ref="E307" ca="1">_xlfn.XLOOKUP(Table11[[#This Row],[Admin2PCODE]], tblPiNAnalysis[Admin2PCODE], INDIRECT("tblPiNAnalysis[" &amp; Table11[[#Headers],[Población]] &amp; "]"), "NOT FOUND", 0, 1)</f>
        <v>17586</v>
      </c>
      <c r="F307" s="8" cm="1">
        <f t="array" aca="1" ref="F307" ca="1">_xlfn.XLOOKUP(Table11[[#This Row],[Admin2PCODE]], tblPiNAnalysis[Admin2PCODE], INDIRECT("tblPiNAnalysis[" &amp; Table11[[#Headers],[SAMV]] &amp; "]"), "NOT FOUND", 0, 1)</f>
        <v>3908</v>
      </c>
      <c r="G307" s="8" cm="1">
        <f t="array" aca="1" ref="G307" ca="1">_xlfn.XLOOKUP(Table11[[#This Row],[Admin2PCODE]], tblPiNAnalysis[Admin2PCODE], INDIRECT("tblPiNAnalysis[" &amp; Table11[[#Headers],[NUT]] &amp; "]"), "NOT FOUND", 0, 1)</f>
        <v>978.79765969788377</v>
      </c>
      <c r="H307" s="8" cm="1">
        <f t="array" aca="1" ref="H307" ca="1">_xlfn.XLOOKUP(Table11[[#This Row],[Admin2PCODE]], tblPiNAnalysis[Admin2PCODE], INDIRECT("tblPiNAnalysis[" &amp; Table11[[#Headers],[SAL]] &amp; "]"), "NOT FOUND", 0, 1)</f>
        <v>6418.89</v>
      </c>
      <c r="I307" s="8" cm="1">
        <f t="array" aca="1" ref="I307" ca="1">_xlfn.XLOOKUP(Table11[[#This Row],[Admin2PCODE]], tblPiNAnalysis[Admin2PCODE], INDIRECT("tblPiNAnalysis[" &amp; Table11[[#Headers],[EDU]] &amp; "]"), "NOT FOUND", 0, 1)</f>
        <v>1504.7730863603952</v>
      </c>
      <c r="J307" s="8" cm="1">
        <f t="array" aca="1" ref="J307" ca="1">_xlfn.XLOOKUP(Table11[[#This Row],[Admin2PCODE]], tblPiNAnalysis[Admin2PCODE], INDIRECT("tblPiNAnalysis[" &amp; Table11[[#Headers],[PRO]] &amp; "]"), "NOT FOUND", 0, 1)</f>
        <v>3495.846998505845</v>
      </c>
      <c r="K307" s="8" cm="1">
        <f t="array" aca="1" ref="K307" ca="1">_xlfn.XLOOKUP(Table11[[#This Row],[Admin2PCODE]], tblPiNAnalysis[Admin2PCODE], INDIRECT("tblPiNAnalysis[" &amp; Table11[[#Headers],[ASH]] &amp; "]"), "NOT FOUND", 0, 1)</f>
        <v>0</v>
      </c>
      <c r="L307" s="8" cm="1">
        <f t="array" aca="1" ref="L307" ca="1">_xlfn.XLOOKUP(Table11[[#This Row],[Admin2PCODE]], tblPiNAnalysis[Admin2PCODE], INDIRECT("tblPiNAnalysis[" &amp; Table11[[#Headers],[NNA]] &amp; "]"), "NOT FOUND", 0, 1)</f>
        <v>1122.1668865203762</v>
      </c>
      <c r="M307" s="8" cm="1">
        <f t="array" aca="1" ref="M307" ca="1">_xlfn.XLOOKUP(Table11[[#This Row],[Admin2PCODE]], tblPiNAnalysis[Admin2PCODE], INDIRECT("tblPiNAnalysis[" &amp; Table11[[#Headers],[VBG]] &amp; "]"), "NOT FOUND", 0, 1)</f>
        <v>1223.5464494770456</v>
      </c>
      <c r="N307" s="8" cm="1">
        <f t="array" aca="1" ref="N307" ca="1">_xlfn.XLOOKUP(Table11[[#This Row],[Admin2PCODE]], tblPiNAnalysis[Admin2PCODE], INDIRECT("tblPiNAnalysis[" &amp; Table11[[#Headers],[PiN más alto]] &amp; "]"), "NOT FOUND", 0, 1)</f>
        <v>6418.89</v>
      </c>
      <c r="O307" t="str" cm="1">
        <f t="array" aca="1" ref="O307" ca="1">_xlfn.XLOOKUP(Table11[[#This Row],[Admin2PCODE]], tblPiNAnalysis[Admin2PCODE], INDIRECT("tblPiNAnalysis[" &amp; Table11[[#Headers],[Sectores más altos]] &amp; "]"), "NOT FOUND", 0, 1)</f>
        <v>SAL</v>
      </c>
      <c r="P307" cm="1">
        <f t="array" ref="P307">_xlfn.XLOOKUP(Table11[[#This Row],[Admin2PCODE]], tblPiNAnalysis[Admin2PCODE], tblPiNAnalysis[Severidad], "NOT FOUND", 0, 1)</f>
        <v>3</v>
      </c>
      <c r="Q307" s="318">
        <v>0</v>
      </c>
      <c r="R307" s="318">
        <v>0</v>
      </c>
      <c r="S307" s="318">
        <v>0</v>
      </c>
      <c r="T307">
        <v>0</v>
      </c>
      <c r="W307">
        <f>_xlfn.XLOOKUP(Table11[[#This Row],[Admin2PCODE]],tblSeverityAnalysis[Admin 2 Código P],tblSeverityAnalysis[PRO],0,0)</f>
        <v>3</v>
      </c>
      <c r="Y307">
        <v>0</v>
      </c>
      <c r="Z307">
        <v>0</v>
      </c>
      <c r="AA307">
        <f t="shared" si="4"/>
        <v>0</v>
      </c>
    </row>
    <row r="308" spans="1:27">
      <c r="A308" t="s">
        <v>678</v>
      </c>
      <c r="B308" t="s">
        <v>679</v>
      </c>
      <c r="C308" s="42" t="s">
        <v>692</v>
      </c>
      <c r="D308" t="s">
        <v>693</v>
      </c>
      <c r="E308" s="8" cm="1">
        <f t="array" aca="1" ref="E308" ca="1">_xlfn.XLOOKUP(Table11[[#This Row],[Admin2PCODE]], tblPiNAnalysis[Admin2PCODE], INDIRECT("tblPiNAnalysis[" &amp; Table11[[#Headers],[Población]] &amp; "]"), "NOT FOUND", 0, 1)</f>
        <v>13474</v>
      </c>
      <c r="F308" s="8" cm="1">
        <f t="array" aca="1" ref="F308" ca="1">_xlfn.XLOOKUP(Table11[[#This Row],[Admin2PCODE]], tblPiNAnalysis[Admin2PCODE], INDIRECT("tblPiNAnalysis[" &amp; Table11[[#Headers],[SAMV]] &amp; "]"), "NOT FOUND", 0, 1)</f>
        <v>1892</v>
      </c>
      <c r="G308" s="8" cm="1">
        <f t="array" aca="1" ref="G308" ca="1">_xlfn.XLOOKUP(Table11[[#This Row],[Admin2PCODE]], tblPiNAnalysis[Admin2PCODE], INDIRECT("tblPiNAnalysis[" &amp; Table11[[#Headers],[NUT]] &amp; "]"), "NOT FOUND", 0, 1)</f>
        <v>315.33108204809508</v>
      </c>
      <c r="H308" s="8" cm="1">
        <f t="array" aca="1" ref="H308" ca="1">_xlfn.XLOOKUP(Table11[[#This Row],[Admin2PCODE]], tblPiNAnalysis[Admin2PCODE], INDIRECT("tblPiNAnalysis[" &amp; Table11[[#Headers],[SAL]] &amp; "]"), "NOT FOUND", 0, 1)</f>
        <v>11600</v>
      </c>
      <c r="I308" s="8" cm="1">
        <f t="array" aca="1" ref="I308" ca="1">_xlfn.XLOOKUP(Table11[[#This Row],[Admin2PCODE]], tblPiNAnalysis[Admin2PCODE], INDIRECT("tblPiNAnalysis[" &amp; Table11[[#Headers],[EDU]] &amp; "]"), "NOT FOUND", 0, 1)</f>
        <v>1779.1048479114643</v>
      </c>
      <c r="J308" s="8" cm="1">
        <f t="array" aca="1" ref="J308" ca="1">_xlfn.XLOOKUP(Table11[[#This Row],[Admin2PCODE]], tblPiNAnalysis[Admin2PCODE], INDIRECT("tblPiNAnalysis[" &amp; Table11[[#Headers],[PRO]] &amp; "]"), "NOT FOUND", 0, 1)</f>
        <v>3214.1277692164963</v>
      </c>
      <c r="K308" s="8" cm="1">
        <f t="array" aca="1" ref="K308" ca="1">_xlfn.XLOOKUP(Table11[[#This Row],[Admin2PCODE]], tblPiNAnalysis[Admin2PCODE], INDIRECT("tblPiNAnalysis[" &amp; Table11[[#Headers],[ASH]] &amp; "]"), "NOT FOUND", 0, 1)</f>
        <v>0</v>
      </c>
      <c r="L308" s="8" cm="1">
        <f t="array" aca="1" ref="L308" ca="1">_xlfn.XLOOKUP(Table11[[#This Row],[Admin2PCODE]], tblPiNAnalysis[Admin2PCODE], INDIRECT("tblPiNAnalysis[" &amp; Table11[[#Headers],[NNA]] &amp; "]"), "NOT FOUND", 0, 1)</f>
        <v>1031.7350139184955</v>
      </c>
      <c r="M308" s="8" cm="1">
        <f t="array" aca="1" ref="M308" ca="1">_xlfn.XLOOKUP(Table11[[#This Row],[Admin2PCODE]], tblPiNAnalysis[Admin2PCODE], INDIRECT("tblPiNAnalysis[" &amp; Table11[[#Headers],[VBG]] &amp; "]"), "NOT FOUND", 0, 1)</f>
        <v>1124.9447192257737</v>
      </c>
      <c r="N308" s="8" cm="1">
        <f t="array" aca="1" ref="N308" ca="1">_xlfn.XLOOKUP(Table11[[#This Row],[Admin2PCODE]], tblPiNAnalysis[Admin2PCODE], INDIRECT("tblPiNAnalysis[" &amp; Table11[[#Headers],[PiN más alto]] &amp; "]"), "NOT FOUND", 0, 1)</f>
        <v>11600</v>
      </c>
      <c r="O308" t="str" cm="1">
        <f t="array" aca="1" ref="O308" ca="1">_xlfn.XLOOKUP(Table11[[#This Row],[Admin2PCODE]], tblPiNAnalysis[Admin2PCODE], INDIRECT("tblPiNAnalysis[" &amp; Table11[[#Headers],[Sectores más altos]] &amp; "]"), "NOT FOUND", 0, 1)</f>
        <v>SAL</v>
      </c>
      <c r="P308" cm="1">
        <f t="array" ref="P308">_xlfn.XLOOKUP(Table11[[#This Row],[Admin2PCODE]], tblPiNAnalysis[Admin2PCODE], tblPiNAnalysis[Severidad], "NOT FOUND", 0, 1)</f>
        <v>2</v>
      </c>
      <c r="Q308" s="318">
        <v>2.8571428571428571E-2</v>
      </c>
      <c r="R308" s="318">
        <v>0.61111111111111094</v>
      </c>
      <c r="S308" s="318">
        <v>1.7460317460317454E-2</v>
      </c>
      <c r="T308">
        <v>0</v>
      </c>
      <c r="W308">
        <f>_xlfn.XLOOKUP(Table11[[#This Row],[Admin2PCODE]],tblSeverityAnalysis[Admin 2 Código P],tblSeverityAnalysis[PRO],0,0)</f>
        <v>4</v>
      </c>
      <c r="Y308">
        <v>0</v>
      </c>
      <c r="Z308">
        <v>0</v>
      </c>
      <c r="AA308">
        <f t="shared" si="4"/>
        <v>0</v>
      </c>
    </row>
    <row r="309" spans="1:27">
      <c r="A309" t="s">
        <v>678</v>
      </c>
      <c r="B309" t="s">
        <v>679</v>
      </c>
      <c r="C309" s="42" t="s">
        <v>694</v>
      </c>
      <c r="D309" t="s">
        <v>695</v>
      </c>
      <c r="E309" s="8" cm="1">
        <f t="array" aca="1" ref="E309" ca="1">_xlfn.XLOOKUP(Table11[[#This Row],[Admin2PCODE]], tblPiNAnalysis[Admin2PCODE], INDIRECT("tblPiNAnalysis[" &amp; Table11[[#Headers],[Población]] &amp; "]"), "NOT FOUND", 0, 1)</f>
        <v>60255</v>
      </c>
      <c r="F309" s="8" cm="1">
        <f t="array" aca="1" ref="F309" ca="1">_xlfn.XLOOKUP(Table11[[#This Row],[Admin2PCODE]], tblPiNAnalysis[Admin2PCODE], INDIRECT("tblPiNAnalysis[" &amp; Table11[[#Headers],[SAMV]] &amp; "]"), "NOT FOUND", 0, 1)</f>
        <v>15063</v>
      </c>
      <c r="G309" s="8" cm="1">
        <f t="array" aca="1" ref="G309" ca="1">_xlfn.XLOOKUP(Table11[[#This Row],[Admin2PCODE]], tblPiNAnalysis[Admin2PCODE], INDIRECT("tblPiNAnalysis[" &amp; Table11[[#Headers],[NUT]] &amp; "]"), "NOT FOUND", 0, 1)</f>
        <v>3140.3300244250358</v>
      </c>
      <c r="H309" s="8" cm="1">
        <f t="array" aca="1" ref="H309" ca="1">_xlfn.XLOOKUP(Table11[[#This Row],[Admin2PCODE]], tblPiNAnalysis[Admin2PCODE], INDIRECT("tblPiNAnalysis[" &amp; Table11[[#Headers],[SAL]] &amp; "]"), "NOT FOUND", 0, 1)</f>
        <v>21993.075000000001</v>
      </c>
      <c r="I309" s="8" cm="1">
        <f t="array" aca="1" ref="I309" ca="1">_xlfn.XLOOKUP(Table11[[#This Row],[Admin2PCODE]], tblPiNAnalysis[Admin2PCODE], INDIRECT("tblPiNAnalysis[" &amp; Table11[[#Headers],[EDU]] &amp; "]"), "NOT FOUND", 0, 1)</f>
        <v>6639.3574819902069</v>
      </c>
      <c r="J309" s="8" cm="1">
        <f t="array" aca="1" ref="J309" ca="1">_xlfn.XLOOKUP(Table11[[#This Row],[Admin2PCODE]], tblPiNAnalysis[Admin2PCODE], INDIRECT("tblPiNAnalysis[" &amp; Table11[[#Headers],[PRO]] &amp; "]"), "NOT FOUND", 0, 1)</f>
        <v>14373.405724665281</v>
      </c>
      <c r="K309" s="8" cm="1">
        <f t="array" aca="1" ref="K309" ca="1">_xlfn.XLOOKUP(Table11[[#This Row],[Admin2PCODE]], tblPiNAnalysis[Admin2PCODE], INDIRECT("tblPiNAnalysis[" &amp; Table11[[#Headers],[ASH]] &amp; "]"), "NOT FOUND", 0, 1)</f>
        <v>0</v>
      </c>
      <c r="L309" s="8" cm="1">
        <f t="array" aca="1" ref="L309" ca="1">_xlfn.XLOOKUP(Table11[[#This Row],[Admin2PCODE]], tblPiNAnalysis[Admin2PCODE], INDIRECT("tblPiNAnalysis[" &amp; Table11[[#Headers],[NNA]] &amp; "]"), "NOT FOUND", 0, 1)</f>
        <v>4613.8632376175556</v>
      </c>
      <c r="M309" s="8" cm="1">
        <f t="array" aca="1" ref="M309" ca="1">_xlfn.XLOOKUP(Table11[[#This Row],[Admin2PCODE]], tblPiNAnalysis[Admin2PCODE], INDIRECT("tblPiNAnalysis[" &amp; Table11[[#Headers],[VBG]] &amp; "]"), "NOT FOUND", 0, 1)</f>
        <v>5030.6920036328484</v>
      </c>
      <c r="N309" s="8" cm="1">
        <f t="array" aca="1" ref="N309" ca="1">_xlfn.XLOOKUP(Table11[[#This Row],[Admin2PCODE]], tblPiNAnalysis[Admin2PCODE], INDIRECT("tblPiNAnalysis[" &amp; Table11[[#Headers],[PiN más alto]] &amp; "]"), "NOT FOUND", 0, 1)</f>
        <v>21993.075000000001</v>
      </c>
      <c r="O309" t="str" cm="1">
        <f t="array" aca="1" ref="O309" ca="1">_xlfn.XLOOKUP(Table11[[#This Row],[Admin2PCODE]], tblPiNAnalysis[Admin2PCODE], INDIRECT("tblPiNAnalysis[" &amp; Table11[[#Headers],[Sectores más altos]] &amp; "]"), "NOT FOUND", 0, 1)</f>
        <v>SAL</v>
      </c>
      <c r="P309" cm="1">
        <f t="array" ref="P309">_xlfn.XLOOKUP(Table11[[#This Row],[Admin2PCODE]], tblPiNAnalysis[Admin2PCODE], tblPiNAnalysis[Severidad], "NOT FOUND", 0, 1)</f>
        <v>3</v>
      </c>
      <c r="Q309" s="318">
        <v>0</v>
      </c>
      <c r="R309" s="318">
        <v>0</v>
      </c>
      <c r="S309" s="318">
        <v>0</v>
      </c>
      <c r="T309">
        <v>0</v>
      </c>
      <c r="W309">
        <f>_xlfn.XLOOKUP(Table11[[#This Row],[Admin2PCODE]],tblSeverityAnalysis[Admin 2 Código P],tblSeverityAnalysis[PRO],0,0)</f>
        <v>4</v>
      </c>
      <c r="Y309">
        <v>0</v>
      </c>
      <c r="Z309">
        <v>0</v>
      </c>
      <c r="AA309">
        <f t="shared" si="4"/>
        <v>0</v>
      </c>
    </row>
    <row r="310" spans="1:27">
      <c r="A310" t="s">
        <v>678</v>
      </c>
      <c r="B310" t="s">
        <v>679</v>
      </c>
      <c r="C310" s="42" t="s">
        <v>696</v>
      </c>
      <c r="D310" t="s">
        <v>697</v>
      </c>
      <c r="E310" s="8" cm="1">
        <f t="array" aca="1" ref="E310" ca="1">_xlfn.XLOOKUP(Table11[[#This Row],[Admin2PCODE]], tblPiNAnalysis[Admin2PCODE], INDIRECT("tblPiNAnalysis[" &amp; Table11[[#Headers],[Población]] &amp; "]"), "NOT FOUND", 0, 1)</f>
        <v>103917</v>
      </c>
      <c r="F310" s="8" cm="1">
        <f t="array" aca="1" ref="F310" ca="1">_xlfn.XLOOKUP(Table11[[#This Row],[Admin2PCODE]], tblPiNAnalysis[Admin2PCODE], INDIRECT("tblPiNAnalysis[" &amp; Table11[[#Headers],[SAMV]] &amp; "]"), "NOT FOUND", 0, 1)</f>
        <v>32561</v>
      </c>
      <c r="G310" s="8" cm="1">
        <f t="array" aca="1" ref="G310" ca="1">_xlfn.XLOOKUP(Table11[[#This Row],[Admin2PCODE]], tblPiNAnalysis[Admin2PCODE], INDIRECT("tblPiNAnalysis[" &amp; Table11[[#Headers],[NUT]] &amp; "]"), "NOT FOUND", 0, 1)</f>
        <v>3623.5597150443477</v>
      </c>
      <c r="H310" s="8" cm="1">
        <f t="array" aca="1" ref="H310" ca="1">_xlfn.XLOOKUP(Table11[[#This Row],[Admin2PCODE]], tblPiNAnalysis[Admin2PCODE], INDIRECT("tblPiNAnalysis[" &amp; Table11[[#Headers],[SAL]] &amp; "]"), "NOT FOUND", 0, 1)</f>
        <v>37929.705000000002</v>
      </c>
      <c r="I310" s="8" cm="1">
        <f t="array" aca="1" ref="I310" ca="1">_xlfn.XLOOKUP(Table11[[#This Row],[Admin2PCODE]], tblPiNAnalysis[Admin2PCODE], INDIRECT("tblPiNAnalysis[" &amp; Table11[[#Headers],[EDU]] &amp; "]"), "NOT FOUND", 0, 1)</f>
        <v>11254.360580322158</v>
      </c>
      <c r="J310" s="8" cm="1">
        <f t="array" aca="1" ref="J310" ca="1">_xlfn.XLOOKUP(Table11[[#This Row],[Admin2PCODE]], tblPiNAnalysis[Admin2PCODE], INDIRECT("tblPiNAnalysis[" &amp; Table11[[#Headers],[PRO]] &amp; "]"), "NOT FOUND", 0, 1)</f>
        <v>24788.668204962938</v>
      </c>
      <c r="K310" s="8" cm="1">
        <f t="array" aca="1" ref="K310" ca="1">_xlfn.XLOOKUP(Table11[[#This Row],[Admin2PCODE]], tblPiNAnalysis[Admin2PCODE], INDIRECT("tblPiNAnalysis[" &amp; Table11[[#Headers],[ASH]] &amp; "]"), "NOT FOUND", 0, 1)</f>
        <v>0</v>
      </c>
      <c r="L310" s="8" cm="1">
        <f t="array" aca="1" ref="L310" ca="1">_xlfn.XLOOKUP(Table11[[#This Row],[Admin2PCODE]], tblPiNAnalysis[Admin2PCODE], INDIRECT("tblPiNAnalysis[" &amp; Table11[[#Headers],[NNA]] &amp; "]"), "NOT FOUND", 0, 1)</f>
        <v>7932.3738255881408</v>
      </c>
      <c r="M310" s="8" cm="1">
        <f t="array" aca="1" ref="M310" ca="1">_xlfn.XLOOKUP(Table11[[#This Row],[Admin2PCODE]], tblPiNAnalysis[Admin2PCODE], INDIRECT("tblPiNAnalysis[" &amp; Table11[[#Headers],[VBG]] &amp; "]"), "NOT FOUND", 0, 1)</f>
        <v>8676.0338717370269</v>
      </c>
      <c r="N310" s="8" cm="1">
        <f t="array" aca="1" ref="N310" ca="1">_xlfn.XLOOKUP(Table11[[#This Row],[Admin2PCODE]], tblPiNAnalysis[Admin2PCODE], INDIRECT("tblPiNAnalysis[" &amp; Table11[[#Headers],[PiN más alto]] &amp; "]"), "NOT FOUND", 0, 1)</f>
        <v>37929.705000000002</v>
      </c>
      <c r="O310" t="str" cm="1">
        <f t="array" aca="1" ref="O310" ca="1">_xlfn.XLOOKUP(Table11[[#This Row],[Admin2PCODE]], tblPiNAnalysis[Admin2PCODE], INDIRECT("tblPiNAnalysis[" &amp; Table11[[#Headers],[Sectores más altos]] &amp; "]"), "NOT FOUND", 0, 1)</f>
        <v>SAL</v>
      </c>
      <c r="P310" cm="1">
        <f t="array" ref="P310">_xlfn.XLOOKUP(Table11[[#This Row],[Admin2PCODE]], tblPiNAnalysis[Admin2PCODE], tblPiNAnalysis[Severidad], "NOT FOUND", 0, 1)</f>
        <v>2</v>
      </c>
      <c r="Q310" s="318">
        <v>2.9850746268656716E-2</v>
      </c>
      <c r="R310" s="318">
        <v>0.55555555555555536</v>
      </c>
      <c r="S310" s="318">
        <v>1.6583747927031503E-2</v>
      </c>
      <c r="T310">
        <v>0</v>
      </c>
      <c r="W310">
        <f>_xlfn.XLOOKUP(Table11[[#This Row],[Admin2PCODE]],tblSeverityAnalysis[Admin 2 Código P],tblSeverityAnalysis[PRO],0,0)</f>
        <v>4</v>
      </c>
      <c r="Y310">
        <v>0</v>
      </c>
      <c r="Z310">
        <v>0</v>
      </c>
      <c r="AA310">
        <f t="shared" si="4"/>
        <v>0</v>
      </c>
    </row>
    <row r="311" spans="1:27">
      <c r="A311" t="s">
        <v>678</v>
      </c>
      <c r="B311" t="s">
        <v>679</v>
      </c>
      <c r="C311" s="42" t="s">
        <v>698</v>
      </c>
      <c r="D311" t="s">
        <v>699</v>
      </c>
      <c r="E311" s="8" cm="1">
        <f t="array" aca="1" ref="E311" ca="1">_xlfn.XLOOKUP(Table11[[#This Row],[Admin2PCODE]], tblPiNAnalysis[Admin2PCODE], INDIRECT("tblPiNAnalysis[" &amp; Table11[[#Headers],[Población]] &amp; "]"), "NOT FOUND", 0, 1)</f>
        <v>103036</v>
      </c>
      <c r="F311" s="8" cm="1">
        <f t="array" aca="1" ref="F311" ca="1">_xlfn.XLOOKUP(Table11[[#This Row],[Admin2PCODE]], tblPiNAnalysis[Admin2PCODE], INDIRECT("tblPiNAnalysis[" &amp; Table11[[#Headers],[SAMV]] &amp; "]"), "NOT FOUND", 0, 1)</f>
        <v>1762</v>
      </c>
      <c r="G311" s="8" cm="1">
        <f t="array" aca="1" ref="G311" ca="1">_xlfn.XLOOKUP(Table11[[#This Row],[Admin2PCODE]], tblPiNAnalysis[Admin2PCODE], INDIRECT("tblPiNAnalysis[" &amp; Table11[[#Headers],[NUT]] &amp; "]"), "NOT FOUND", 0, 1)</f>
        <v>3848.9964002932934</v>
      </c>
      <c r="H311" s="8" cm="1">
        <f t="array" aca="1" ref="H311" ca="1">_xlfn.XLOOKUP(Table11[[#This Row],[Admin2PCODE]], tblPiNAnalysis[Admin2PCODE], INDIRECT("tblPiNAnalysis[" &amp; Table11[[#Headers],[SAL]] &amp; "]"), "NOT FOUND", 0, 1)</f>
        <v>37608.14</v>
      </c>
      <c r="I311" s="8" cm="1">
        <f t="array" aca="1" ref="I311" ca="1">_xlfn.XLOOKUP(Table11[[#This Row],[Admin2PCODE]], tblPiNAnalysis[Admin2PCODE], INDIRECT("tblPiNAnalysis[" &amp; Table11[[#Headers],[EDU]] &amp; "]"), "NOT FOUND", 0, 1)</f>
        <v>4886.9141415836402</v>
      </c>
      <c r="J311" s="8" cm="1">
        <f t="array" aca="1" ref="J311" ca="1">_xlfn.XLOOKUP(Table11[[#This Row],[Admin2PCODE]], tblPiNAnalysis[Admin2PCODE], INDIRECT("tblPiNAnalysis[" &amp; Table11[[#Headers],[PRO]] &amp; "]"), "NOT FOUND", 0, 1)</f>
        <v>24578.511862029907</v>
      </c>
      <c r="K311" s="8" cm="1">
        <f t="array" aca="1" ref="K311" ca="1">_xlfn.XLOOKUP(Table11[[#This Row],[Admin2PCODE]], tblPiNAnalysis[Admin2PCODE], INDIRECT("tblPiNAnalysis[" &amp; Table11[[#Headers],[ASH]] &amp; "]"), "NOT FOUND", 0, 1)</f>
        <v>0</v>
      </c>
      <c r="L311" s="8" cm="1">
        <f t="array" aca="1" ref="L311" ca="1">_xlfn.XLOOKUP(Table11[[#This Row],[Admin2PCODE]], tblPiNAnalysis[Admin2PCODE], INDIRECT("tblPiNAnalysis[" &amp; Table11[[#Headers],[NNA]] &amp; "]"), "NOT FOUND", 0, 1)</f>
        <v>7889.702307711601</v>
      </c>
      <c r="M311" s="8" cm="1">
        <f t="array" aca="1" ref="M311" ca="1">_xlfn.XLOOKUP(Table11[[#This Row],[Admin2PCODE]], tblPiNAnalysis[Admin2PCODE], INDIRECT("tblPiNAnalysis[" &amp; Table11[[#Headers],[VBG]] &amp; "]"), "NOT FOUND", 0, 1)</f>
        <v>8602.4791517104677</v>
      </c>
      <c r="N311" s="8" cm="1">
        <f t="array" aca="1" ref="N311" ca="1">_xlfn.XLOOKUP(Table11[[#This Row],[Admin2PCODE]], tblPiNAnalysis[Admin2PCODE], INDIRECT("tblPiNAnalysis[" &amp; Table11[[#Headers],[PiN más alto]] &amp; "]"), "NOT FOUND", 0, 1)</f>
        <v>37608.14</v>
      </c>
      <c r="O311" t="str" cm="1">
        <f t="array" aca="1" ref="O311" ca="1">_xlfn.XLOOKUP(Table11[[#This Row],[Admin2PCODE]], tblPiNAnalysis[Admin2PCODE], INDIRECT("tblPiNAnalysis[" &amp; Table11[[#Headers],[Sectores más altos]] &amp; "]"), "NOT FOUND", 0, 1)</f>
        <v>SAL</v>
      </c>
      <c r="P311" cm="1">
        <f t="array" ref="P311">_xlfn.XLOOKUP(Table11[[#This Row],[Admin2PCODE]], tblPiNAnalysis[Admin2PCODE], tblPiNAnalysis[Severidad], "NOT FOUND", 0, 1)</f>
        <v>2</v>
      </c>
      <c r="Q311" s="318">
        <v>8.0000000000000002E-3</v>
      </c>
      <c r="R311" s="318">
        <v>0.33333333333333331</v>
      </c>
      <c r="S311" s="318">
        <v>2.6666666666666666E-3</v>
      </c>
      <c r="T311">
        <v>0</v>
      </c>
      <c r="W311">
        <f>_xlfn.XLOOKUP(Table11[[#This Row],[Admin2PCODE]],tblSeverityAnalysis[Admin 2 Código P],tblSeverityAnalysis[PRO],0,0)</f>
        <v>4</v>
      </c>
      <c r="Y311">
        <v>5</v>
      </c>
      <c r="Z311">
        <v>0</v>
      </c>
      <c r="AA311">
        <f t="shared" si="4"/>
        <v>0</v>
      </c>
    </row>
    <row r="312" spans="1:27">
      <c r="A312" t="s">
        <v>678</v>
      </c>
      <c r="B312" t="s">
        <v>679</v>
      </c>
      <c r="C312" s="42" t="s">
        <v>203</v>
      </c>
      <c r="D312" t="s">
        <v>700</v>
      </c>
      <c r="E312" s="8" cm="1">
        <f t="array" aca="1" ref="E312" ca="1">_xlfn.XLOOKUP(Table11[[#This Row],[Admin2PCODE]], tblPiNAnalysis[Admin2PCODE], INDIRECT("tblPiNAnalysis[" &amp; Table11[[#Headers],[Población]] &amp; "]"), "NOT FOUND", 0, 1)</f>
        <v>19418</v>
      </c>
      <c r="F312" s="8" cm="1">
        <f t="array" aca="1" ref="F312" ca="1">_xlfn.XLOOKUP(Table11[[#This Row],[Admin2PCODE]], tblPiNAnalysis[Admin2PCODE], INDIRECT("tblPiNAnalysis[" &amp; Table11[[#Headers],[SAMV]] &amp; "]"), "NOT FOUND", 0, 1)</f>
        <v>3236</v>
      </c>
      <c r="G312" s="8" cm="1">
        <f t="array" aca="1" ref="G312" ca="1">_xlfn.XLOOKUP(Table11[[#This Row],[Admin2PCODE]], tblPiNAnalysis[Admin2PCODE], INDIRECT("tblPiNAnalysis[" &amp; Table11[[#Headers],[NUT]] &amp; "]"), "NOT FOUND", 0, 1)</f>
        <v>719.34171979746759</v>
      </c>
      <c r="H312" s="8" cm="1">
        <f t="array" aca="1" ref="H312" ca="1">_xlfn.XLOOKUP(Table11[[#This Row],[Admin2PCODE]], tblPiNAnalysis[Admin2PCODE], INDIRECT("tblPiNAnalysis[" &amp; Table11[[#Headers],[SAL]] &amp; "]"), "NOT FOUND", 0, 1)</f>
        <v>8600</v>
      </c>
      <c r="I312" s="8" cm="1">
        <f t="array" aca="1" ref="I312" ca="1">_xlfn.XLOOKUP(Table11[[#This Row],[Admin2PCODE]], tblPiNAnalysis[Admin2PCODE], INDIRECT("tblPiNAnalysis[" &amp; Table11[[#Headers],[EDU]] &amp; "]"), "NOT FOUND", 0, 1)</f>
        <v>1718.854180887447</v>
      </c>
      <c r="J312" s="8" cm="1">
        <f t="array" aca="1" ref="J312" ca="1">_xlfn.XLOOKUP(Table11[[#This Row],[Admin2PCODE]], tblPiNAnalysis[Admin2PCODE], INDIRECT("tblPiNAnalysis[" &amp; Table11[[#Headers],[PRO]] &amp; "]"), "NOT FOUND", 0, 1)</f>
        <v>3860.0225757413</v>
      </c>
      <c r="K312" s="8" cm="1">
        <f t="array" aca="1" ref="K312" ca="1">_xlfn.XLOOKUP(Table11[[#This Row],[Admin2PCODE]], tblPiNAnalysis[Admin2PCODE], INDIRECT("tblPiNAnalysis[" &amp; Table11[[#Headers],[ASH]] &amp; "]"), "NOT FOUND", 0, 1)</f>
        <v>0</v>
      </c>
      <c r="L312" s="8" cm="1">
        <f t="array" aca="1" ref="L312" ca="1">_xlfn.XLOOKUP(Table11[[#This Row],[Admin2PCODE]], tblPiNAnalysis[Admin2PCODE], INDIRECT("tblPiNAnalysis[" &amp; Table11[[#Headers],[NNA]] &amp; "]"), "NOT FOUND", 0, 1)</f>
        <v>1239.0672468129574</v>
      </c>
      <c r="M312" s="8" cm="1">
        <f t="array" aca="1" ref="M312" ca="1">_xlfn.XLOOKUP(Table11[[#This Row],[Admin2PCODE]], tblPiNAnalysis[Admin2PCODE], INDIRECT("tblPiNAnalysis[" &amp; Table11[[#Headers],[VBG]] &amp; "]"), "NOT FOUND", 0, 1)</f>
        <v>1351.0079015094548</v>
      </c>
      <c r="N312" s="8" cm="1">
        <f t="array" aca="1" ref="N312" ca="1">_xlfn.XLOOKUP(Table11[[#This Row],[Admin2PCODE]], tblPiNAnalysis[Admin2PCODE], INDIRECT("tblPiNAnalysis[" &amp; Table11[[#Headers],[PiN más alto]] &amp; "]"), "NOT FOUND", 0, 1)</f>
        <v>8600</v>
      </c>
      <c r="O312" t="str" cm="1">
        <f t="array" aca="1" ref="O312" ca="1">_xlfn.XLOOKUP(Table11[[#This Row],[Admin2PCODE]], tblPiNAnalysis[Admin2PCODE], INDIRECT("tblPiNAnalysis[" &amp; Table11[[#Headers],[Sectores más altos]] &amp; "]"), "NOT FOUND", 0, 1)</f>
        <v>SAL</v>
      </c>
      <c r="P312" cm="1">
        <f t="array" ref="P312">_xlfn.XLOOKUP(Table11[[#This Row],[Admin2PCODE]], tblPiNAnalysis[Admin2PCODE], tblPiNAnalysis[Severidad], "NOT FOUND", 0, 1)</f>
        <v>3</v>
      </c>
      <c r="Q312" s="318">
        <v>0</v>
      </c>
      <c r="R312" s="318">
        <v>0</v>
      </c>
      <c r="S312" s="318">
        <v>0</v>
      </c>
      <c r="T312">
        <v>1</v>
      </c>
      <c r="W312">
        <f>_xlfn.XLOOKUP(Table11[[#This Row],[Admin2PCODE]],tblSeverityAnalysis[Admin 2 Código P],tblSeverityAnalysis[PRO],0,0)</f>
        <v>3</v>
      </c>
      <c r="Y312">
        <v>5</v>
      </c>
      <c r="Z312">
        <v>0</v>
      </c>
      <c r="AA312">
        <f t="shared" si="4"/>
        <v>0</v>
      </c>
    </row>
    <row r="313" spans="1:27">
      <c r="A313" t="s">
        <v>678</v>
      </c>
      <c r="B313" t="s">
        <v>679</v>
      </c>
      <c r="C313" s="42" t="s">
        <v>701</v>
      </c>
      <c r="D313" t="s">
        <v>702</v>
      </c>
      <c r="E313" s="8" cm="1">
        <f t="array" aca="1" ref="E313" ca="1">_xlfn.XLOOKUP(Table11[[#This Row],[Admin2PCODE]], tblPiNAnalysis[Admin2PCODE], INDIRECT("tblPiNAnalysis[" &amp; Table11[[#Headers],[Población]] &amp; "]"), "NOT FOUND", 0, 1)</f>
        <v>22462</v>
      </c>
      <c r="F313" s="8" cm="1">
        <f t="array" aca="1" ref="F313" ca="1">_xlfn.XLOOKUP(Table11[[#This Row],[Admin2PCODE]], tblPiNAnalysis[Admin2PCODE], INDIRECT("tblPiNAnalysis[" &amp; Table11[[#Headers],[SAMV]] &amp; "]"), "NOT FOUND", 0, 1)</f>
        <v>3816</v>
      </c>
      <c r="G313" s="8" cm="1">
        <f t="array" aca="1" ref="G313" ca="1">_xlfn.XLOOKUP(Table11[[#This Row],[Admin2PCODE]], tblPiNAnalysis[Admin2PCODE], INDIRECT("tblPiNAnalysis[" &amp; Table11[[#Headers],[NUT]] &amp; "]"), "NOT FOUND", 0, 1)</f>
        <v>1776.5089459650733</v>
      </c>
      <c r="H313" s="8" cm="1">
        <f t="array" aca="1" ref="H313" ca="1">_xlfn.XLOOKUP(Table11[[#This Row],[Admin2PCODE]], tblPiNAnalysis[Admin2PCODE], INDIRECT("tblPiNAnalysis[" &amp; Table11[[#Headers],[SAL]] &amp; "]"), "NOT FOUND", 0, 1)</f>
        <v>8198.6299999999992</v>
      </c>
      <c r="I313" s="8" cm="1">
        <f t="array" aca="1" ref="I313" ca="1">_xlfn.XLOOKUP(Table11[[#This Row],[Admin2PCODE]], tblPiNAnalysis[Admin2PCODE], INDIRECT("tblPiNAnalysis[" &amp; Table11[[#Headers],[EDU]] &amp; "]"), "NOT FOUND", 0, 1)</f>
        <v>1709.8437548794254</v>
      </c>
      <c r="J313" s="8" cm="1">
        <f t="array" aca="1" ref="J313" ca="1">_xlfn.XLOOKUP(Table11[[#This Row],[Admin2PCODE]], tblPiNAnalysis[Admin2PCODE], INDIRECT("tblPiNAnalysis[" &amp; Table11[[#Headers],[PRO]] &amp; "]"), "NOT FOUND", 0, 1)</f>
        <v>5358.1518444516068</v>
      </c>
      <c r="K313" s="8" cm="1">
        <f t="array" aca="1" ref="K313" ca="1">_xlfn.XLOOKUP(Table11[[#This Row],[Admin2PCODE]], tblPiNAnalysis[Admin2PCODE], INDIRECT("tblPiNAnalysis[" &amp; Table11[[#Headers],[ASH]] &amp; "]"), "NOT FOUND", 0, 1)</f>
        <v>10107.9</v>
      </c>
      <c r="L313" s="8" cm="1">
        <f t="array" aca="1" ref="L313" ca="1">_xlfn.XLOOKUP(Table11[[#This Row],[Admin2PCODE]], tblPiNAnalysis[Admin2PCODE], INDIRECT("tblPiNAnalysis[" &amp; Table11[[#Headers],[NNA]] &amp; "]"), "NOT FOUND", 0, 1)</f>
        <v>1714.6085902245143</v>
      </c>
      <c r="M313" s="8" cm="1">
        <f t="array" aca="1" ref="M313" ca="1">_xlfn.XLOOKUP(Table11[[#This Row],[Admin2PCODE]], tblPiNAnalysis[Admin2PCODE], INDIRECT("tblPiNAnalysis[" &amp; Table11[[#Headers],[VBG]] &amp; "]"), "NOT FOUND", 0, 1)</f>
        <v>1875.3531455580624</v>
      </c>
      <c r="N313" s="8" cm="1">
        <f t="array" aca="1" ref="N313" ca="1">_xlfn.XLOOKUP(Table11[[#This Row],[Admin2PCODE]], tblPiNAnalysis[Admin2PCODE], INDIRECT("tblPiNAnalysis[" &amp; Table11[[#Headers],[PiN más alto]] &amp; "]"), "NOT FOUND", 0, 1)</f>
        <v>10107.9</v>
      </c>
      <c r="O313" t="str" cm="1">
        <f t="array" aca="1" ref="O313" ca="1">_xlfn.XLOOKUP(Table11[[#This Row],[Admin2PCODE]], tblPiNAnalysis[Admin2PCODE], INDIRECT("tblPiNAnalysis[" &amp; Table11[[#Headers],[Sectores más altos]] &amp; "]"), "NOT FOUND", 0, 1)</f>
        <v>ASH</v>
      </c>
      <c r="P313" cm="1">
        <f t="array" ref="P313">_xlfn.XLOOKUP(Table11[[#This Row],[Admin2PCODE]], tblPiNAnalysis[Admin2PCODE], tblPiNAnalysis[Severidad], "NOT FOUND", 0, 1)</f>
        <v>3</v>
      </c>
      <c r="Q313" s="318">
        <v>0.11538461538461539</v>
      </c>
      <c r="R313" s="318">
        <v>0.38888888888888867</v>
      </c>
      <c r="S313" s="318">
        <v>4.4871794871794851E-2</v>
      </c>
      <c r="T313">
        <v>0</v>
      </c>
      <c r="W313">
        <f>_xlfn.XLOOKUP(Table11[[#This Row],[Admin2PCODE]],tblSeverityAnalysis[Admin 2 Código P],tblSeverityAnalysis[PRO],0,0)</f>
        <v>4</v>
      </c>
      <c r="Y313">
        <v>5</v>
      </c>
      <c r="Z313">
        <v>0</v>
      </c>
      <c r="AA313">
        <f t="shared" si="4"/>
        <v>0</v>
      </c>
    </row>
    <row r="314" spans="1:27">
      <c r="A314" t="s">
        <v>678</v>
      </c>
      <c r="B314" t="s">
        <v>679</v>
      </c>
      <c r="C314" s="42" t="s">
        <v>703</v>
      </c>
      <c r="D314" t="s">
        <v>704</v>
      </c>
      <c r="E314" s="8" cm="1">
        <f t="array" aca="1" ref="E314" ca="1">_xlfn.XLOOKUP(Table11[[#This Row],[Admin2PCODE]], tblPiNAnalysis[Admin2PCODE], INDIRECT("tblPiNAnalysis[" &amp; Table11[[#Headers],[Población]] &amp; "]"), "NOT FOUND", 0, 1)</f>
        <v>28466</v>
      </c>
      <c r="F314" s="8" cm="1">
        <f t="array" aca="1" ref="F314" ca="1">_xlfn.XLOOKUP(Table11[[#This Row],[Admin2PCODE]], tblPiNAnalysis[Admin2PCODE], INDIRECT("tblPiNAnalysis[" &amp; Table11[[#Headers],[SAMV]] &amp; "]"), "NOT FOUND", 0, 1)</f>
        <v>4744</v>
      </c>
      <c r="G314" s="8" cm="1">
        <f t="array" aca="1" ref="G314" ca="1">_xlfn.XLOOKUP(Table11[[#This Row],[Admin2PCODE]], tblPiNAnalysis[Admin2PCODE], INDIRECT("tblPiNAnalysis[" &amp; Table11[[#Headers],[NUT]] &amp; "]"), "NOT FOUND", 0, 1)</f>
        <v>619.609644587086</v>
      </c>
      <c r="H314" s="8" cm="1">
        <f t="array" aca="1" ref="H314" ca="1">_xlfn.XLOOKUP(Table11[[#This Row],[Admin2PCODE]], tblPiNAnalysis[Admin2PCODE], INDIRECT("tblPiNAnalysis[" &amp; Table11[[#Headers],[SAL]] &amp; "]"), "NOT FOUND", 0, 1)</f>
        <v>10390.09</v>
      </c>
      <c r="I314" s="8" cm="1">
        <f t="array" aca="1" ref="I314" ca="1">_xlfn.XLOOKUP(Table11[[#This Row],[Admin2PCODE]], tblPiNAnalysis[Admin2PCODE], INDIRECT("tblPiNAnalysis[" &amp; Table11[[#Headers],[EDU]] &amp; "]"), "NOT FOUND", 0, 1)</f>
        <v>1742.9051091990448</v>
      </c>
      <c r="J314" s="8" cm="1">
        <f t="array" aca="1" ref="J314" ca="1">_xlfn.XLOOKUP(Table11[[#This Row],[Admin2PCODE]], tblPiNAnalysis[Admin2PCODE], INDIRECT("tblPiNAnalysis[" &amp; Table11[[#Headers],[PRO]] &amp; "]"), "NOT FOUND", 0, 1)</f>
        <v>5658.6364528299455</v>
      </c>
      <c r="K314" s="8" cm="1">
        <f t="array" aca="1" ref="K314" ca="1">_xlfn.XLOOKUP(Table11[[#This Row],[Admin2PCODE]], tblPiNAnalysis[Admin2PCODE], INDIRECT("tblPiNAnalysis[" &amp; Table11[[#Headers],[ASH]] &amp; "]"), "NOT FOUND", 0, 1)</f>
        <v>0</v>
      </c>
      <c r="L314" s="8" cm="1">
        <f t="array" aca="1" ref="L314" ca="1">_xlfn.XLOOKUP(Table11[[#This Row],[Admin2PCODE]], tblPiNAnalysis[Admin2PCODE], INDIRECT("tblPiNAnalysis[" &amp; Table11[[#Headers],[NNA]] &amp; "]"), "NOT FOUND", 0, 1)</f>
        <v>1810.7636649055826</v>
      </c>
      <c r="M314" s="8" cm="1">
        <f t="array" aca="1" ref="M314" ca="1">_xlfn.XLOOKUP(Table11[[#This Row],[Admin2PCODE]], tblPiNAnalysis[Admin2PCODE], INDIRECT("tblPiNAnalysis[" &amp; Table11[[#Headers],[VBG]] &amp; "]"), "NOT FOUND", 0, 1)</f>
        <v>1980.5227584904806</v>
      </c>
      <c r="N314" s="8" cm="1">
        <f t="array" aca="1" ref="N314" ca="1">_xlfn.XLOOKUP(Table11[[#This Row],[Admin2PCODE]], tblPiNAnalysis[Admin2PCODE], INDIRECT("tblPiNAnalysis[" &amp; Table11[[#Headers],[PiN más alto]] &amp; "]"), "NOT FOUND", 0, 1)</f>
        <v>10390.09</v>
      </c>
      <c r="O314" t="str" cm="1">
        <f t="array" aca="1" ref="O314" ca="1">_xlfn.XLOOKUP(Table11[[#This Row],[Admin2PCODE]], tblPiNAnalysis[Admin2PCODE], INDIRECT("tblPiNAnalysis[" &amp; Table11[[#Headers],[Sectores más altos]] &amp; "]"), "NOT FOUND", 0, 1)</f>
        <v>SAL</v>
      </c>
      <c r="P314" cm="1">
        <f t="array" ref="P314">_xlfn.XLOOKUP(Table11[[#This Row],[Admin2PCODE]], tblPiNAnalysis[Admin2PCODE], tblPiNAnalysis[Severidad], "NOT FOUND", 0, 1)</f>
        <v>3</v>
      </c>
      <c r="Q314" s="318">
        <v>0</v>
      </c>
      <c r="R314" s="318">
        <v>0</v>
      </c>
      <c r="S314" s="318">
        <v>0</v>
      </c>
      <c r="T314">
        <v>0</v>
      </c>
      <c r="W314">
        <f>_xlfn.XLOOKUP(Table11[[#This Row],[Admin2PCODE]],tblSeverityAnalysis[Admin 2 Código P],tblSeverityAnalysis[PRO],0,0)</f>
        <v>3</v>
      </c>
      <c r="Y314">
        <v>0</v>
      </c>
      <c r="Z314">
        <v>0</v>
      </c>
      <c r="AA314">
        <f t="shared" si="4"/>
        <v>0</v>
      </c>
    </row>
    <row r="315" spans="1:27">
      <c r="A315" t="s">
        <v>705</v>
      </c>
      <c r="B315" t="s">
        <v>706</v>
      </c>
      <c r="C315" s="42" t="s">
        <v>707</v>
      </c>
      <c r="D315" t="s">
        <v>708</v>
      </c>
      <c r="E315" s="8" cm="1">
        <f t="array" aca="1" ref="E315" ca="1">_xlfn.XLOOKUP(Table11[[#This Row],[Admin2PCODE]], tblPiNAnalysis[Admin2PCODE], INDIRECT("tblPiNAnalysis[" &amp; Table11[[#Headers],[Población]] &amp; "]"), "NOT FOUND", 0, 1)</f>
        <v>12198</v>
      </c>
      <c r="F315" s="8" cm="1">
        <f t="array" aca="1" ref="F315" ca="1">_xlfn.XLOOKUP(Table11[[#This Row],[Admin2PCODE]], tblPiNAnalysis[Admin2PCODE], INDIRECT("tblPiNAnalysis[" &amp; Table11[[#Headers],[SAMV]] &amp; "]"), "NOT FOUND", 0, 1)</f>
        <v>4066</v>
      </c>
      <c r="G315" s="8" cm="1">
        <f t="array" aca="1" ref="G315" ca="1">_xlfn.XLOOKUP(Table11[[#This Row],[Admin2PCODE]], tblPiNAnalysis[Admin2PCODE], INDIRECT("tblPiNAnalysis[" &amp; Table11[[#Headers],[NUT]] &amp; "]"), "NOT FOUND", 0, 1)</f>
        <v>988.64560982563501</v>
      </c>
      <c r="H315" s="8" cm="1">
        <f t="array" aca="1" ref="H315" ca="1">_xlfn.XLOOKUP(Table11[[#This Row],[Admin2PCODE]], tblPiNAnalysis[Admin2PCODE], INDIRECT("tblPiNAnalysis[" &amp; Table11[[#Headers],[SAL]] &amp; "]"), "NOT FOUND", 0, 1)</f>
        <v>7500</v>
      </c>
      <c r="I315" s="8" cm="1">
        <f t="array" aca="1" ref="I315" ca="1">_xlfn.XLOOKUP(Table11[[#This Row],[Admin2PCODE]], tblPiNAnalysis[Admin2PCODE], INDIRECT("tblPiNAnalysis[" &amp; Table11[[#Headers],[EDU]] &amp; "]"), "NOT FOUND", 0, 1)</f>
        <v>2203.3600343207081</v>
      </c>
      <c r="J315" s="8" cm="1">
        <f t="array" aca="1" ref="J315" ca="1">_xlfn.XLOOKUP(Table11[[#This Row],[Admin2PCODE]], tblPiNAnalysis[Admin2PCODE], INDIRECT("tblPiNAnalysis[" &amp; Table11[[#Headers],[PRO]] &amp; "]"), "NOT FOUND", 0, 1)</f>
        <v>2907.3030004094485</v>
      </c>
      <c r="K315" s="8" cm="1">
        <f t="array" aca="1" ref="K315" ca="1">_xlfn.XLOOKUP(Table11[[#This Row],[Admin2PCODE]], tblPiNAnalysis[Admin2PCODE], INDIRECT("tblPiNAnalysis[" &amp; Table11[[#Headers],[ASH]] &amp; "]"), "NOT FOUND", 0, 1)</f>
        <v>7318.8</v>
      </c>
      <c r="L315" s="8" cm="1">
        <f t="array" aca="1" ref="L315" ca="1">_xlfn.XLOOKUP(Table11[[#This Row],[Admin2PCODE]], tblPiNAnalysis[Admin2PCODE], INDIRECT("tblPiNAnalysis[" &amp; Table11[[#Headers],[NNA]] &amp; "]"), "NOT FOUND", 0, 1)</f>
        <v>930.33696013102349</v>
      </c>
      <c r="M315" s="8" cm="1">
        <f t="array" aca="1" ref="M315" ca="1">_xlfn.XLOOKUP(Table11[[#This Row],[Admin2PCODE]], tblPiNAnalysis[Admin2PCODE], INDIRECT("tblPiNAnalysis[" &amp; Table11[[#Headers],[VBG]] &amp; "]"), "NOT FOUND", 0, 1)</f>
        <v>1017.5560501433068</v>
      </c>
      <c r="N315" s="8" cm="1">
        <f t="array" aca="1" ref="N315" ca="1">_xlfn.XLOOKUP(Table11[[#This Row],[Admin2PCODE]], tblPiNAnalysis[Admin2PCODE], INDIRECT("tblPiNAnalysis[" &amp; Table11[[#Headers],[PiN más alto]] &amp; "]"), "NOT FOUND", 0, 1)</f>
        <v>7500</v>
      </c>
      <c r="O315" t="str" cm="1">
        <f t="array" aca="1" ref="O315" ca="1">_xlfn.XLOOKUP(Table11[[#This Row],[Admin2PCODE]], tblPiNAnalysis[Admin2PCODE], INDIRECT("tblPiNAnalysis[" &amp; Table11[[#Headers],[Sectores más altos]] &amp; "]"), "NOT FOUND", 0, 1)</f>
        <v>SAL</v>
      </c>
      <c r="P315" cm="1">
        <f t="array" ref="P315">_xlfn.XLOOKUP(Table11[[#This Row],[Admin2PCODE]], tblPiNAnalysis[Admin2PCODE], tblPiNAnalysis[Severidad], "NOT FOUND", 0, 1)</f>
        <v>3</v>
      </c>
      <c r="Q315" s="318">
        <v>0.16666666666666666</v>
      </c>
      <c r="R315" s="318">
        <v>0.33333333333333331</v>
      </c>
      <c r="S315" s="318">
        <v>5.5555555555555552E-2</v>
      </c>
      <c r="T315">
        <v>0</v>
      </c>
      <c r="W315">
        <f>_xlfn.XLOOKUP(Table11[[#This Row],[Admin2PCODE]],tblSeverityAnalysis[Admin 2 Código P],tblSeverityAnalysis[PRO],0,0)</f>
        <v>4</v>
      </c>
      <c r="Y315">
        <v>0</v>
      </c>
      <c r="Z315">
        <v>0</v>
      </c>
      <c r="AA315">
        <f t="shared" si="4"/>
        <v>0</v>
      </c>
    </row>
    <row r="316" spans="1:27">
      <c r="A316" t="s">
        <v>705</v>
      </c>
      <c r="B316" t="s">
        <v>706</v>
      </c>
      <c r="C316" s="42" t="s">
        <v>709</v>
      </c>
      <c r="D316" t="s">
        <v>710</v>
      </c>
      <c r="E316" s="8" cm="1">
        <f t="array" aca="1" ref="E316" ca="1">_xlfn.XLOOKUP(Table11[[#This Row],[Admin2PCODE]], tblPiNAnalysis[Admin2PCODE], INDIRECT("tblPiNAnalysis[" &amp; Table11[[#Headers],[Población]] &amp; "]"), "NOT FOUND", 0, 1)</f>
        <v>91875</v>
      </c>
      <c r="F316" s="8" cm="1">
        <f t="array" aca="1" ref="F316" ca="1">_xlfn.XLOOKUP(Table11[[#This Row],[Admin2PCODE]], tblPiNAnalysis[Admin2PCODE], INDIRECT("tblPiNAnalysis[" &amp; Table11[[#Headers],[SAMV]] &amp; "]"), "NOT FOUND", 0, 1)</f>
        <v>13497</v>
      </c>
      <c r="G316" s="8" cm="1">
        <f t="array" aca="1" ref="G316" ca="1">_xlfn.XLOOKUP(Table11[[#This Row],[Admin2PCODE]], tblPiNAnalysis[Admin2PCODE], INDIRECT("tblPiNAnalysis[" &amp; Table11[[#Headers],[NUT]] &amp; "]"), "NOT FOUND", 0, 1)</f>
        <v>3796.9556356222247</v>
      </c>
      <c r="H316" s="8" cm="1">
        <f t="array" aca="1" ref="H316" ca="1">_xlfn.XLOOKUP(Table11[[#This Row],[Admin2PCODE]], tblPiNAnalysis[Admin2PCODE], INDIRECT("tblPiNAnalysis[" &amp; Table11[[#Headers],[SAL]] &amp; "]"), "NOT FOUND", 0, 1)</f>
        <v>33534.375</v>
      </c>
      <c r="I316" s="8" cm="1">
        <f t="array" aca="1" ref="I316" ca="1">_xlfn.XLOOKUP(Table11[[#This Row],[Admin2PCODE]], tblPiNAnalysis[Admin2PCODE], INDIRECT("tblPiNAnalysis[" &amp; Table11[[#Headers],[EDU]] &amp; "]"), "NOT FOUND", 0, 1)</f>
        <v>12126.705141717055</v>
      </c>
      <c r="J316" s="8" cm="1">
        <f t="array" aca="1" ref="J316" ca="1">_xlfn.XLOOKUP(Table11[[#This Row],[Admin2PCODE]], tblPiNAnalysis[Admin2PCODE], INDIRECT("tblPiNAnalysis[" &amp; Table11[[#Headers],[PRO]] &amp; "]"), "NOT FOUND", 0, 1)</f>
        <v>18248.105096642761</v>
      </c>
      <c r="K316" s="8" cm="1">
        <f t="array" aca="1" ref="K316" ca="1">_xlfn.XLOOKUP(Table11[[#This Row],[Admin2PCODE]], tblPiNAnalysis[Admin2PCODE], INDIRECT("tblPiNAnalysis[" &amp; Table11[[#Headers],[ASH]] &amp; "]"), "NOT FOUND", 0, 1)</f>
        <v>55125</v>
      </c>
      <c r="L316" s="8" cm="1">
        <f t="array" aca="1" ref="L316" ca="1">_xlfn.XLOOKUP(Table11[[#This Row],[Admin2PCODE]], tblPiNAnalysis[Admin2PCODE], INDIRECT("tblPiNAnalysis[" &amp; Table11[[#Headers],[NNA]] &amp; "]"), "NOT FOUND", 0, 1)</f>
        <v>5857.6417360223268</v>
      </c>
      <c r="M316" s="8" cm="1">
        <f t="array" aca="1" ref="M316" ca="1">_xlfn.XLOOKUP(Table11[[#This Row],[Admin2PCODE]], tblPiNAnalysis[Admin2PCODE], INDIRECT("tblPiNAnalysis[" &amp; Table11[[#Headers],[VBG]] &amp; "]"), "NOT FOUND", 0, 1)</f>
        <v>6386.836783824966</v>
      </c>
      <c r="N316" s="8" cm="1">
        <f t="array" aca="1" ref="N316" ca="1">_xlfn.XLOOKUP(Table11[[#This Row],[Admin2PCODE]], tblPiNAnalysis[Admin2PCODE], INDIRECT("tblPiNAnalysis[" &amp; Table11[[#Headers],[PiN más alto]] &amp; "]"), "NOT FOUND", 0, 1)</f>
        <v>55125</v>
      </c>
      <c r="O316" t="str" cm="1">
        <f t="array" aca="1" ref="O316" ca="1">_xlfn.XLOOKUP(Table11[[#This Row],[Admin2PCODE]], tblPiNAnalysis[Admin2PCODE], INDIRECT("tblPiNAnalysis[" &amp; Table11[[#Headers],[Sectores más altos]] &amp; "]"), "NOT FOUND", 0, 1)</f>
        <v>ASH</v>
      </c>
      <c r="P316" cm="1">
        <f t="array" ref="P316">_xlfn.XLOOKUP(Table11[[#This Row],[Admin2PCODE]], tblPiNAnalysis[Admin2PCODE], tblPiNAnalysis[Severidad], "NOT FOUND", 0, 1)</f>
        <v>3</v>
      </c>
      <c r="Q316" s="318">
        <v>0</v>
      </c>
      <c r="R316" s="318">
        <v>0</v>
      </c>
      <c r="S316" s="318">
        <v>0</v>
      </c>
      <c r="T316">
        <v>1</v>
      </c>
      <c r="W316">
        <f>_xlfn.XLOOKUP(Table11[[#This Row],[Admin2PCODE]],tblSeverityAnalysis[Admin 2 Código P],tblSeverityAnalysis[PRO],0,0)</f>
        <v>3</v>
      </c>
      <c r="Y316">
        <v>0</v>
      </c>
      <c r="Z316">
        <v>3.25</v>
      </c>
      <c r="AA316">
        <f t="shared" si="4"/>
        <v>3</v>
      </c>
    </row>
    <row r="317" spans="1:27">
      <c r="A317" t="s">
        <v>705</v>
      </c>
      <c r="B317" t="s">
        <v>706</v>
      </c>
      <c r="C317" s="42" t="s">
        <v>711</v>
      </c>
      <c r="D317" t="s">
        <v>712</v>
      </c>
      <c r="E317" s="8" cm="1">
        <f t="array" aca="1" ref="E317" ca="1">_xlfn.XLOOKUP(Table11[[#This Row],[Admin2PCODE]], tblPiNAnalysis[Admin2PCODE], INDIRECT("tblPiNAnalysis[" &amp; Table11[[#Headers],[Población]] &amp; "]"), "NOT FOUND", 0, 1)</f>
        <v>268988</v>
      </c>
      <c r="F317" s="8" cm="1">
        <f t="array" aca="1" ref="F317" ca="1">_xlfn.XLOOKUP(Table11[[#This Row],[Admin2PCODE]], tblPiNAnalysis[Admin2PCODE], INDIRECT("tblPiNAnalysis[" &amp; Table11[[#Headers],[SAMV]] &amp; "]"), "NOT FOUND", 0, 1)</f>
        <v>14759</v>
      </c>
      <c r="G317" s="8" cm="1">
        <f t="array" aca="1" ref="G317" ca="1">_xlfn.XLOOKUP(Table11[[#This Row],[Admin2PCODE]], tblPiNAnalysis[Admin2PCODE], INDIRECT("tblPiNAnalysis[" &amp; Table11[[#Headers],[NUT]] &amp; "]"), "NOT FOUND", 0, 1)</f>
        <v>12650.699210643514</v>
      </c>
      <c r="H317" s="8" cm="1">
        <f t="array" aca="1" ref="H317" ca="1">_xlfn.XLOOKUP(Table11[[#This Row],[Admin2PCODE]], tblPiNAnalysis[Admin2PCODE], INDIRECT("tblPiNAnalysis[" &amp; Table11[[#Headers],[SAL]] &amp; "]"), "NOT FOUND", 0, 1)</f>
        <v>98180.62</v>
      </c>
      <c r="I317" s="8" cm="1">
        <f t="array" aca="1" ref="I317" ca="1">_xlfn.XLOOKUP(Table11[[#This Row],[Admin2PCODE]], tblPiNAnalysis[Admin2PCODE], INDIRECT("tblPiNAnalysis[" &amp; Table11[[#Headers],[EDU]] &amp; "]"), "NOT FOUND", 0, 1)</f>
        <v>45790.255526923123</v>
      </c>
      <c r="J317" s="8" cm="1">
        <f t="array" aca="1" ref="J317" ca="1">_xlfn.XLOOKUP(Table11[[#This Row],[Admin2PCODE]], tblPiNAnalysis[Admin2PCODE], INDIRECT("tblPiNAnalysis[" &amp; Table11[[#Headers],[PRO]] &amp; "]"), "NOT FOUND", 0, 1)</f>
        <v>64111.298530426022</v>
      </c>
      <c r="K317" s="8" cm="1">
        <f t="array" aca="1" ref="K317" ca="1">_xlfn.XLOOKUP(Table11[[#This Row],[Admin2PCODE]], tblPiNAnalysis[Admin2PCODE], INDIRECT("tblPiNAnalysis[" &amp; Table11[[#Headers],[ASH]] &amp; "]"), "NOT FOUND", 0, 1)</f>
        <v>161392.79999999999</v>
      </c>
      <c r="L317" s="8" cm="1">
        <f t="array" aca="1" ref="L317" ca="1">_xlfn.XLOOKUP(Table11[[#This Row],[Admin2PCODE]], tblPiNAnalysis[Admin2PCODE], INDIRECT("tblPiNAnalysis[" &amp; Table11[[#Headers],[NNA]] &amp; "]"), "NOT FOUND", 0, 1)</f>
        <v>20579.726828266754</v>
      </c>
      <c r="M317" s="8" cm="1">
        <f t="array" aca="1" ref="M317" ca="1">_xlfn.XLOOKUP(Table11[[#This Row],[Admin2PCODE]], tblPiNAnalysis[Admin2PCODE], INDIRECT("tblPiNAnalysis[" &amp; Table11[[#Headers],[VBG]] &amp; "]"), "NOT FOUND", 0, 1)</f>
        <v>22438.954485649108</v>
      </c>
      <c r="N317" s="8" cm="1">
        <f t="array" aca="1" ref="N317" ca="1">_xlfn.XLOOKUP(Table11[[#This Row],[Admin2PCODE]], tblPiNAnalysis[Admin2PCODE], INDIRECT("tblPiNAnalysis[" &amp; Table11[[#Headers],[PiN más alto]] &amp; "]"), "NOT FOUND", 0, 1)</f>
        <v>161392.79999999999</v>
      </c>
      <c r="O317" t="str" cm="1">
        <f t="array" aca="1" ref="O317" ca="1">_xlfn.XLOOKUP(Table11[[#This Row],[Admin2PCODE]], tblPiNAnalysis[Admin2PCODE], INDIRECT("tblPiNAnalysis[" &amp; Table11[[#Headers],[Sectores más altos]] &amp; "]"), "NOT FOUND", 0, 1)</f>
        <v>ASH</v>
      </c>
      <c r="P317" cm="1">
        <f t="array" ref="P317">_xlfn.XLOOKUP(Table11[[#This Row],[Admin2PCODE]], tblPiNAnalysis[Admin2PCODE], tblPiNAnalysis[Severidad], "NOT FOUND", 0, 1)</f>
        <v>3</v>
      </c>
      <c r="Q317" s="318">
        <v>3.8674033149171269E-2</v>
      </c>
      <c r="R317" s="318">
        <v>0.35317460317460314</v>
      </c>
      <c r="S317" s="318">
        <v>1.365868631062001E-2</v>
      </c>
      <c r="T317">
        <v>0</v>
      </c>
      <c r="W317">
        <f>_xlfn.XLOOKUP(Table11[[#This Row],[Admin2PCODE]],tblSeverityAnalysis[Admin 2 Código P],tblSeverityAnalysis[PRO],0,0)</f>
        <v>4</v>
      </c>
      <c r="Y317">
        <v>0</v>
      </c>
      <c r="Z317">
        <v>0</v>
      </c>
      <c r="AA317">
        <f t="shared" si="4"/>
        <v>0</v>
      </c>
    </row>
    <row r="318" spans="1:27">
      <c r="A318" t="s">
        <v>705</v>
      </c>
      <c r="B318" t="s">
        <v>706</v>
      </c>
      <c r="C318" s="42" t="s">
        <v>713</v>
      </c>
      <c r="D318" t="s">
        <v>714</v>
      </c>
      <c r="E318" s="8" cm="1">
        <f t="array" aca="1" ref="E318" ca="1">_xlfn.XLOOKUP(Table11[[#This Row],[Admin2PCODE]], tblPiNAnalysis[Admin2PCODE], INDIRECT("tblPiNAnalysis[" &amp; Table11[[#Headers],[Población]] &amp; "]"), "NOT FOUND", 0, 1)</f>
        <v>41616</v>
      </c>
      <c r="F318" s="8" cm="1">
        <f t="array" aca="1" ref="F318" ca="1">_xlfn.XLOOKUP(Table11[[#This Row],[Admin2PCODE]], tblPiNAnalysis[Admin2PCODE], INDIRECT("tblPiNAnalysis[" &amp; Table11[[#Headers],[SAMV]] &amp; "]"), "NOT FOUND", 0, 1)</f>
        <v>1734</v>
      </c>
      <c r="G318" s="8" cm="1">
        <f t="array" aca="1" ref="G318" ca="1">_xlfn.XLOOKUP(Table11[[#This Row],[Admin2PCODE]], tblPiNAnalysis[Admin2PCODE], INDIRECT("tblPiNAnalysis[" &amp; Table11[[#Headers],[NUT]] &amp; "]"), "NOT FOUND", 0, 1)</f>
        <v>3113.2588394437125</v>
      </c>
      <c r="H318" s="8" cm="1">
        <f t="array" aca="1" ref="H318" ca="1">_xlfn.XLOOKUP(Table11[[#This Row],[Admin2PCODE]], tblPiNAnalysis[Admin2PCODE], INDIRECT("tblPiNAnalysis[" &amp; Table11[[#Headers],[SAL]] &amp; "]"), "NOT FOUND", 0, 1)</f>
        <v>15189.84</v>
      </c>
      <c r="I318" s="8" cm="1">
        <f t="array" aca="1" ref="I318" ca="1">_xlfn.XLOOKUP(Table11[[#This Row],[Admin2PCODE]], tblPiNAnalysis[Admin2PCODE], INDIRECT("tblPiNAnalysis[" &amp; Table11[[#Headers],[EDU]] &amp; "]"), "NOT FOUND", 0, 1)</f>
        <v>6960.4254978717099</v>
      </c>
      <c r="J318" s="8" cm="1">
        <f t="array" aca="1" ref="J318" ca="1">_xlfn.XLOOKUP(Table11[[#This Row],[Admin2PCODE]], tblPiNAnalysis[Admin2PCODE], INDIRECT("tblPiNAnalysis[" &amp; Table11[[#Headers],[PRO]] &amp; "]"), "NOT FOUND", 0, 1)</f>
        <v>8265.7212702245997</v>
      </c>
      <c r="K318" s="8" cm="1">
        <f t="array" aca="1" ref="K318" ca="1">_xlfn.XLOOKUP(Table11[[#This Row],[Admin2PCODE]], tblPiNAnalysis[Admin2PCODE], INDIRECT("tblPiNAnalysis[" &amp; Table11[[#Headers],[ASH]] &amp; "]"), "NOT FOUND", 0, 1)</f>
        <v>18727.2</v>
      </c>
      <c r="L318" s="8" cm="1">
        <f t="array" aca="1" ref="L318" ca="1">_xlfn.XLOOKUP(Table11[[#This Row],[Admin2PCODE]], tblPiNAnalysis[Admin2PCODE], INDIRECT("tblPiNAnalysis[" &amp; Table11[[#Headers],[NNA]] &amp; "]"), "NOT FOUND", 0, 1)</f>
        <v>2645.030806471872</v>
      </c>
      <c r="M318" s="8" cm="1">
        <f t="array" aca="1" ref="M318" ca="1">_xlfn.XLOOKUP(Table11[[#This Row],[Admin2PCODE]], tblPiNAnalysis[Admin2PCODE], INDIRECT("tblPiNAnalysis[" &amp; Table11[[#Headers],[VBG]] &amp; "]"), "NOT FOUND", 0, 1)</f>
        <v>2893.0024445786098</v>
      </c>
      <c r="N318" s="8" cm="1">
        <f t="array" aca="1" ref="N318" ca="1">_xlfn.XLOOKUP(Table11[[#This Row],[Admin2PCODE]], tblPiNAnalysis[Admin2PCODE], INDIRECT("tblPiNAnalysis[" &amp; Table11[[#Headers],[PiN más alto]] &amp; "]"), "NOT FOUND", 0, 1)</f>
        <v>18727.2</v>
      </c>
      <c r="O318" t="str" cm="1">
        <f t="array" aca="1" ref="O318" ca="1">_xlfn.XLOOKUP(Table11[[#This Row],[Admin2PCODE]], tblPiNAnalysis[Admin2PCODE], INDIRECT("tblPiNAnalysis[" &amp; Table11[[#Headers],[Sectores más altos]] &amp; "]"), "NOT FOUND", 0, 1)</f>
        <v>ASH</v>
      </c>
      <c r="P318" cm="1">
        <f t="array" ref="P318">_xlfn.XLOOKUP(Table11[[#This Row],[Admin2PCODE]], tblPiNAnalysis[Admin2PCODE], tblPiNAnalysis[Severidad], "NOT FOUND", 0, 1)</f>
        <v>4</v>
      </c>
      <c r="Q318" s="318">
        <v>5.3191489361702128E-2</v>
      </c>
      <c r="R318" s="318">
        <v>0.44444444444444431</v>
      </c>
      <c r="S318" s="318">
        <v>2.3640661938534271E-2</v>
      </c>
      <c r="T318">
        <v>1</v>
      </c>
      <c r="W318">
        <f>_xlfn.XLOOKUP(Table11[[#This Row],[Admin2PCODE]],tblSeverityAnalysis[Admin 2 Código P],tblSeverityAnalysis[PRO],0,0)</f>
        <v>5</v>
      </c>
      <c r="Y318">
        <v>0</v>
      </c>
      <c r="Z318">
        <v>8.3000000000000007</v>
      </c>
      <c r="AA318">
        <f t="shared" si="4"/>
        <v>8</v>
      </c>
    </row>
    <row r="319" spans="1:27">
      <c r="A319" t="s">
        <v>705</v>
      </c>
      <c r="B319" t="s">
        <v>706</v>
      </c>
      <c r="C319" s="42" t="s">
        <v>715</v>
      </c>
      <c r="D319" t="s">
        <v>716</v>
      </c>
      <c r="E319" s="8" cm="1">
        <f t="array" aca="1" ref="E319" ca="1">_xlfn.XLOOKUP(Table11[[#This Row],[Admin2PCODE]], tblPiNAnalysis[Admin2PCODE], INDIRECT("tblPiNAnalysis[" &amp; Table11[[#Headers],[Población]] &amp; "]"), "NOT FOUND", 0, 1)</f>
        <v>131637</v>
      </c>
      <c r="F319" s="8" cm="1">
        <f t="array" aca="1" ref="F319" ca="1">_xlfn.XLOOKUP(Table11[[#This Row],[Admin2PCODE]], tblPiNAnalysis[Admin2PCODE], INDIRECT("tblPiNAnalysis[" &amp; Table11[[#Headers],[SAMV]] &amp; "]"), "NOT FOUND", 0, 1)</f>
        <v>9609</v>
      </c>
      <c r="G319" s="8" cm="1">
        <f t="array" aca="1" ref="G319" ca="1">_xlfn.XLOOKUP(Table11[[#This Row],[Admin2PCODE]], tblPiNAnalysis[Admin2PCODE], INDIRECT("tblPiNAnalysis[" &amp; Table11[[#Headers],[NUT]] &amp; "]"), "NOT FOUND", 0, 1)</f>
        <v>8392.6171726725388</v>
      </c>
      <c r="H319" s="8" cm="1">
        <f t="array" aca="1" ref="H319" ca="1">_xlfn.XLOOKUP(Table11[[#This Row],[Admin2PCODE]], tblPiNAnalysis[Admin2PCODE], INDIRECT("tblPiNAnalysis[" &amp; Table11[[#Headers],[SAL]] &amp; "]"), "NOT FOUND", 0, 1)</f>
        <v>48047.504999999997</v>
      </c>
      <c r="I319" s="8" cm="1">
        <f t="array" aca="1" ref="I319" ca="1">_xlfn.XLOOKUP(Table11[[#This Row],[Admin2PCODE]], tblPiNAnalysis[Admin2PCODE], INDIRECT("tblPiNAnalysis[" &amp; Table11[[#Headers],[EDU]] &amp; "]"), "NOT FOUND", 0, 1)</f>
        <v>20046.072436259514</v>
      </c>
      <c r="J319" s="8" cm="1">
        <f t="array" aca="1" ref="J319" ca="1">_xlfn.XLOOKUP(Table11[[#This Row],[Admin2PCODE]], tblPiNAnalysis[Admin2PCODE], INDIRECT("tblPiNAnalysis[" &amp; Table11[[#Headers],[PRO]] &amp; "]"), "NOT FOUND", 0, 1)</f>
        <v>31374.704465067924</v>
      </c>
      <c r="K319" s="8" cm="1">
        <f t="array" aca="1" ref="K319" ca="1">_xlfn.XLOOKUP(Table11[[#This Row],[Admin2PCODE]], tblPiNAnalysis[Admin2PCODE], INDIRECT("tblPiNAnalysis[" &amp; Table11[[#Headers],[ASH]] &amp; "]"), "NOT FOUND", 0, 1)</f>
        <v>17770.994999999999</v>
      </c>
      <c r="L319" s="8" cm="1">
        <f t="array" aca="1" ref="L319" ca="1">_xlfn.XLOOKUP(Table11[[#This Row],[Admin2PCODE]], tblPiNAnalysis[Admin2PCODE], INDIRECT("tblPiNAnalysis[" &amp; Table11[[#Headers],[NNA]] &amp; "]"), "NOT FOUND", 0, 1)</f>
        <v>10071.280133286804</v>
      </c>
      <c r="M319" s="8" cm="1">
        <f t="array" aca="1" ref="M319" ca="1">_xlfn.XLOOKUP(Table11[[#This Row],[Admin2PCODE]], tblPiNAnalysis[Admin2PCODE], INDIRECT("tblPiNAnalysis[" &amp; Table11[[#Headers],[VBG]] &amp; "]"), "NOT FOUND", 0, 1)</f>
        <v>10981.146562773774</v>
      </c>
      <c r="N319" s="8" cm="1">
        <f t="array" aca="1" ref="N319" ca="1">_xlfn.XLOOKUP(Table11[[#This Row],[Admin2PCODE]], tblPiNAnalysis[Admin2PCODE], INDIRECT("tblPiNAnalysis[" &amp; Table11[[#Headers],[PiN más alto]] &amp; "]"), "NOT FOUND", 0, 1)</f>
        <v>48047.504999999997</v>
      </c>
      <c r="O319" t="str" cm="1">
        <f t="array" aca="1" ref="O319" ca="1">_xlfn.XLOOKUP(Table11[[#This Row],[Admin2PCODE]], tblPiNAnalysis[Admin2PCODE], INDIRECT("tblPiNAnalysis[" &amp; Table11[[#Headers],[Sectores más altos]] &amp; "]"), "NOT FOUND", 0, 1)</f>
        <v>SAL</v>
      </c>
      <c r="P319" cm="1">
        <f t="array" ref="P319">_xlfn.XLOOKUP(Table11[[#This Row],[Admin2PCODE]], tblPiNAnalysis[Admin2PCODE], tblPiNAnalysis[Severidad], "NOT FOUND", 0, 1)</f>
        <v>4</v>
      </c>
      <c r="Q319" s="318">
        <v>0.11724137931034483</v>
      </c>
      <c r="R319" s="318">
        <v>0.38235294117647056</v>
      </c>
      <c r="S319" s="318">
        <v>4.4827586206896551E-2</v>
      </c>
      <c r="T319">
        <v>0</v>
      </c>
      <c r="W319">
        <f>_xlfn.XLOOKUP(Table11[[#This Row],[Admin2PCODE]],tblSeverityAnalysis[Admin 2 Código P],tblSeverityAnalysis[PRO],0,0)</f>
        <v>4</v>
      </c>
      <c r="Y319">
        <v>0</v>
      </c>
      <c r="Z319">
        <v>4.95</v>
      </c>
      <c r="AA319">
        <f t="shared" si="4"/>
        <v>5</v>
      </c>
    </row>
    <row r="320" spans="1:27">
      <c r="A320" t="s">
        <v>705</v>
      </c>
      <c r="B320" t="s">
        <v>706</v>
      </c>
      <c r="C320" s="42" t="s">
        <v>717</v>
      </c>
      <c r="D320" t="s">
        <v>718</v>
      </c>
      <c r="E320" s="8" cm="1">
        <f t="array" aca="1" ref="E320" ca="1">_xlfn.XLOOKUP(Table11[[#This Row],[Admin2PCODE]], tblPiNAnalysis[Admin2PCODE], INDIRECT("tblPiNAnalysis[" &amp; Table11[[#Headers],[Población]] &amp; "]"), "NOT FOUND", 0, 1)</f>
        <v>34710</v>
      </c>
      <c r="F320" s="8" cm="1">
        <f t="array" aca="1" ref="F320" ca="1">_xlfn.XLOOKUP(Table11[[#This Row],[Admin2PCODE]], tblPiNAnalysis[Admin2PCODE], INDIRECT("tblPiNAnalysis[" &amp; Table11[[#Headers],[SAMV]] &amp; "]"), "NOT FOUND", 0, 1)</f>
        <v>14463</v>
      </c>
      <c r="G320" s="8" cm="1">
        <f t="array" aca="1" ref="G320" ca="1">_xlfn.XLOOKUP(Table11[[#This Row],[Admin2PCODE]], tblPiNAnalysis[Admin2PCODE], INDIRECT("tblPiNAnalysis[" &amp; Table11[[#Headers],[NUT]] &amp; "]"), "NOT FOUND", 0, 1)</f>
        <v>1496.6943562930883</v>
      </c>
      <c r="H320" s="8" cm="1">
        <f t="array" aca="1" ref="H320" ca="1">_xlfn.XLOOKUP(Table11[[#This Row],[Admin2PCODE]], tblPiNAnalysis[Admin2PCODE], INDIRECT("tblPiNAnalysis[" &amp; Table11[[#Headers],[SAL]] &amp; "]"), "NOT FOUND", 0, 1)</f>
        <v>12669.15</v>
      </c>
      <c r="I320" s="8" cm="1">
        <f t="array" aca="1" ref="I320" ca="1">_xlfn.XLOOKUP(Table11[[#This Row],[Admin2PCODE]], tblPiNAnalysis[Admin2PCODE], INDIRECT("tblPiNAnalysis[" &amp; Table11[[#Headers],[EDU]] &amp; "]"), "NOT FOUND", 0, 1)</f>
        <v>5524.6626052729607</v>
      </c>
      <c r="J320" s="8" cm="1">
        <f t="array" aca="1" ref="J320" ca="1">_xlfn.XLOOKUP(Table11[[#This Row],[Admin2PCODE]], tblPiNAnalysis[Admin2PCODE], INDIRECT("tblPiNAnalysis[" &amp; Table11[[#Headers],[PRO]] &amp; "]"), "NOT FOUND", 0, 1)</f>
        <v>6894.0596234500163</v>
      </c>
      <c r="K320" s="8" cm="1">
        <f t="array" aca="1" ref="K320" ca="1">_xlfn.XLOOKUP(Table11[[#This Row],[Admin2PCODE]], tblPiNAnalysis[Admin2PCODE], INDIRECT("tblPiNAnalysis[" &amp; Table11[[#Headers],[ASH]] &amp; "]"), "NOT FOUND", 0, 1)</f>
        <v>4685.8499999999995</v>
      </c>
      <c r="L320" s="8" cm="1">
        <f t="array" aca="1" ref="L320" ca="1">_xlfn.XLOOKUP(Table11[[#This Row],[Admin2PCODE]], tblPiNAnalysis[Admin2PCODE], INDIRECT("tblPiNAnalysis[" &amp; Table11[[#Headers],[NNA]] &amp; "]"), "NOT FOUND", 0, 1)</f>
        <v>2212.9931391274549</v>
      </c>
      <c r="M320" s="8" cm="1">
        <f t="array" aca="1" ref="M320" ca="1">_xlfn.XLOOKUP(Table11[[#This Row],[Admin2PCODE]], tblPiNAnalysis[Admin2PCODE], INDIRECT("tblPiNAnalysis[" &amp; Table11[[#Headers],[VBG]] &amp; "]"), "NOT FOUND", 0, 1)</f>
        <v>2412.9208682075055</v>
      </c>
      <c r="N320" s="8" cm="1">
        <f t="array" aca="1" ref="N320" ca="1">_xlfn.XLOOKUP(Table11[[#This Row],[Admin2PCODE]], tblPiNAnalysis[Admin2PCODE], INDIRECT("tblPiNAnalysis[" &amp; Table11[[#Headers],[PiN más alto]] &amp; "]"), "NOT FOUND", 0, 1)</f>
        <v>14463</v>
      </c>
      <c r="O320" t="str" cm="1">
        <f t="array" aca="1" ref="O320" ca="1">_xlfn.XLOOKUP(Table11[[#This Row],[Admin2PCODE]], tblPiNAnalysis[Admin2PCODE], INDIRECT("tblPiNAnalysis[" &amp; Table11[[#Headers],[Sectores más altos]] &amp; "]"), "NOT FOUND", 0, 1)</f>
        <v>SAMV</v>
      </c>
      <c r="P320" cm="1">
        <f t="array" ref="P320">_xlfn.XLOOKUP(Table11[[#This Row],[Admin2PCODE]], tblPiNAnalysis[Admin2PCODE], tblPiNAnalysis[Severidad], "NOT FOUND", 0, 1)</f>
        <v>3</v>
      </c>
      <c r="Q320" s="318">
        <v>0.42857142857142855</v>
      </c>
      <c r="R320" s="318">
        <v>0.33333333333333331</v>
      </c>
      <c r="S320" s="318">
        <v>0.14285714285714285</v>
      </c>
      <c r="T320">
        <v>0</v>
      </c>
      <c r="W320">
        <f>_xlfn.XLOOKUP(Table11[[#This Row],[Admin2PCODE]],tblSeverityAnalysis[Admin 2 Código P],tblSeverityAnalysis[PRO],0,0)</f>
        <v>3</v>
      </c>
      <c r="Y320">
        <v>0</v>
      </c>
      <c r="Z320">
        <v>0</v>
      </c>
      <c r="AA320">
        <f t="shared" si="4"/>
        <v>0</v>
      </c>
    </row>
    <row r="321" spans="1:27">
      <c r="A321" t="s">
        <v>705</v>
      </c>
      <c r="B321" t="s">
        <v>706</v>
      </c>
      <c r="C321" s="42" t="s">
        <v>805</v>
      </c>
      <c r="D321" t="s">
        <v>720</v>
      </c>
      <c r="E321" s="8" cm="1">
        <f t="array" aca="1" ref="E321" ca="1">_xlfn.XLOOKUP(Table11[[#This Row],[Admin2PCODE]], tblPiNAnalysis[Admin2PCODE], INDIRECT("tblPiNAnalysis[" &amp; Table11[[#Headers],[Población]] &amp; "]"), "NOT FOUND", 0, 1)</f>
        <v>121430</v>
      </c>
      <c r="F321" s="8" cm="1">
        <f t="array" aca="1" ref="F321" ca="1">_xlfn.XLOOKUP(Table11[[#This Row],[Admin2PCODE]], tblPiNAnalysis[Admin2PCODE], INDIRECT("tblPiNAnalysis[" &amp; Table11[[#Headers],[SAMV]] &amp; "]"), "NOT FOUND", 0, 1)</f>
        <v>8260</v>
      </c>
      <c r="G321" s="8" cm="1">
        <f t="array" aca="1" ref="G321" ca="1">_xlfn.XLOOKUP(Table11[[#This Row],[Admin2PCODE]], tblPiNAnalysis[Admin2PCODE], INDIRECT("tblPiNAnalysis[" &amp; Table11[[#Headers],[NUT]] &amp; "]"), "NOT FOUND", 0, 1)</f>
        <v>12507.198520837803</v>
      </c>
      <c r="H321" s="8" cm="1">
        <f t="array" aca="1" ref="H321" ca="1">_xlfn.XLOOKUP(Table11[[#This Row],[Admin2PCODE]], tblPiNAnalysis[Admin2PCODE], INDIRECT("tblPiNAnalysis[" &amp; Table11[[#Headers],[SAL]] &amp; "]"), "NOT FOUND", 0, 1)</f>
        <v>44321.95</v>
      </c>
      <c r="I321" s="8" cm="1">
        <f t="array" aca="1" ref="I321" ca="1">_xlfn.XLOOKUP(Table11[[#This Row],[Admin2PCODE]], tblPiNAnalysis[Admin2PCODE], INDIRECT("tblPiNAnalysis[" &amp; Table11[[#Headers],[EDU]] &amp; "]"), "NOT FOUND", 0, 1)</f>
        <v>18768.889521901765</v>
      </c>
      <c r="J321" s="8" cm="1">
        <f t="array" aca="1" ref="J321" ca="1">_xlfn.XLOOKUP(Table11[[#This Row],[Admin2PCODE]], tblPiNAnalysis[Admin2PCODE], INDIRECT("tblPiNAnalysis[" &amp; Table11[[#Headers],[PRO]] &amp; "]"), "NOT FOUND", 0, 1)</f>
        <v>28941.941575645134</v>
      </c>
      <c r="K321" s="8" cm="1">
        <f t="array" aca="1" ref="K321" ca="1">_xlfn.XLOOKUP(Table11[[#This Row],[Admin2PCODE]], tblPiNAnalysis[Admin2PCODE], INDIRECT("tblPiNAnalysis[" &amp; Table11[[#Headers],[ASH]] &amp; "]"), "NOT FOUND", 0, 1)</f>
        <v>72858</v>
      </c>
      <c r="L321" s="8" cm="1">
        <f t="array" aca="1" ref="L321" ca="1">_xlfn.XLOOKUP(Table11[[#This Row],[Admin2PCODE]], tblPiNAnalysis[Admin2PCODE], INDIRECT("tblPiNAnalysis[" &amp; Table11[[#Headers],[NNA]] &amp; "]"), "NOT FOUND", 0, 1)</f>
        <v>9290.3632457820895</v>
      </c>
      <c r="M321" s="8" cm="1">
        <f t="array" aca="1" ref="M321" ca="1">_xlfn.XLOOKUP(Table11[[#This Row],[Admin2PCODE]], tblPiNAnalysis[Admin2PCODE], INDIRECT("tblPiNAnalysis[" &amp; Table11[[#Headers],[VBG]] &amp; "]"), "NOT FOUND", 0, 1)</f>
        <v>10129.679551475796</v>
      </c>
      <c r="N321" s="8" cm="1">
        <f t="array" aca="1" ref="N321" ca="1">_xlfn.XLOOKUP(Table11[[#This Row],[Admin2PCODE]], tblPiNAnalysis[Admin2PCODE], INDIRECT("tblPiNAnalysis[" &amp; Table11[[#Headers],[PiN más alto]] &amp; "]"), "NOT FOUND", 0, 1)</f>
        <v>72858</v>
      </c>
      <c r="O321" t="str" cm="1">
        <f t="array" aca="1" ref="O321" ca="1">_xlfn.XLOOKUP(Table11[[#This Row],[Admin2PCODE]], tblPiNAnalysis[Admin2PCODE], INDIRECT("tblPiNAnalysis[" &amp; Table11[[#Headers],[Sectores más altos]] &amp; "]"), "NOT FOUND", 0, 1)</f>
        <v>ASH</v>
      </c>
      <c r="P321" cm="1">
        <f t="array" ref="P321">_xlfn.XLOOKUP(Table11[[#This Row],[Admin2PCODE]], tblPiNAnalysis[Admin2PCODE], tblPiNAnalysis[Severidad], "NOT FOUND", 0, 1)</f>
        <v>3</v>
      </c>
      <c r="Q321" s="318">
        <v>0</v>
      </c>
      <c r="R321" s="318">
        <v>0</v>
      </c>
      <c r="S321" s="318">
        <v>0</v>
      </c>
      <c r="T321">
        <v>0</v>
      </c>
      <c r="W321">
        <f>_xlfn.XLOOKUP(Table11[[#This Row],[Admin2PCODE]],tblSeverityAnalysis[Admin 2 Código P],tblSeverityAnalysis[PRO],0,0)</f>
        <v>4</v>
      </c>
      <c r="Y321">
        <v>0</v>
      </c>
      <c r="Z321">
        <v>0</v>
      </c>
      <c r="AA321">
        <f t="shared" si="4"/>
        <v>0</v>
      </c>
    </row>
    <row r="322" spans="1:27">
      <c r="A322" t="s">
        <v>705</v>
      </c>
      <c r="B322" t="s">
        <v>706</v>
      </c>
      <c r="C322" s="42" t="s">
        <v>815</v>
      </c>
      <c r="D322" t="s">
        <v>722</v>
      </c>
      <c r="E322" s="8" cm="1">
        <f t="array" aca="1" ref="E322" ca="1">_xlfn.XLOOKUP(Table11[[#This Row],[Admin2PCODE]], tblPiNAnalysis[Admin2PCODE], INDIRECT("tblPiNAnalysis[" &amp; Table11[[#Headers],[Población]] &amp; "]"), "NOT FOUND", 0, 1)</f>
        <v>31175</v>
      </c>
      <c r="F322" s="8" cm="1">
        <f t="array" aca="1" ref="F322" ca="1">_xlfn.XLOOKUP(Table11[[#This Row],[Admin2PCODE]], tblPiNAnalysis[Admin2PCODE], INDIRECT("tblPiNAnalysis[" &amp; Table11[[#Headers],[SAMV]] &amp; "]"), "NOT FOUND", 0, 1)</f>
        <v>3247</v>
      </c>
      <c r="G322" s="8" cm="1">
        <f t="array" aca="1" ref="G322" ca="1">_xlfn.XLOOKUP(Table11[[#This Row],[Admin2PCODE]], tblPiNAnalysis[Admin2PCODE], INDIRECT("tblPiNAnalysis[" &amp; Table11[[#Headers],[NUT]] &amp; "]"), "NOT FOUND", 0, 1)</f>
        <v>2467.22718487559</v>
      </c>
      <c r="H322" s="8" cm="1">
        <f t="array" aca="1" ref="H322" ca="1">_xlfn.XLOOKUP(Table11[[#This Row],[Admin2PCODE]], tblPiNAnalysis[Admin2PCODE], INDIRECT("tblPiNAnalysis[" &amp; Table11[[#Headers],[SAL]] &amp; "]"), "NOT FOUND", 0, 1)</f>
        <v>11378.875</v>
      </c>
      <c r="I322" s="8" cm="1">
        <f t="array" aca="1" ref="I322" ca="1">_xlfn.XLOOKUP(Table11[[#This Row],[Admin2PCODE]], tblPiNAnalysis[Admin2PCODE], INDIRECT("tblPiNAnalysis[" &amp; Table11[[#Headers],[EDU]] &amp; "]"), "NOT FOUND", 0, 1)</f>
        <v>4984.6427237542912</v>
      </c>
      <c r="J322" s="8" cm="1">
        <f t="array" aca="1" ref="J322" ca="1">_xlfn.XLOOKUP(Table11[[#This Row],[Admin2PCODE]], tblPiNAnalysis[Admin2PCODE], INDIRECT("tblPiNAnalysis[" &amp; Table11[[#Headers],[PRO]] &amp; "]"), "NOT FOUND", 0, 1)</f>
        <v>7430.3304671064543</v>
      </c>
      <c r="K322" s="8" cm="1">
        <f t="array" aca="1" ref="K322" ca="1">_xlfn.XLOOKUP(Table11[[#This Row],[Admin2PCODE]], tblPiNAnalysis[Admin2PCODE], INDIRECT("tblPiNAnalysis[" &amp; Table11[[#Headers],[ASH]] &amp; "]"), "NOT FOUND", 0, 1)</f>
        <v>18705</v>
      </c>
      <c r="L322" s="8" cm="1">
        <f t="array" aca="1" ref="L322" ca="1">_xlfn.XLOOKUP(Table11[[#This Row],[Admin2PCODE]], tblPiNAnalysis[Admin2PCODE], INDIRECT("tblPiNAnalysis[" &amp; Table11[[#Headers],[NNA]] &amp; "]"), "NOT FOUND", 0, 1)</f>
        <v>2377.7057494740652</v>
      </c>
      <c r="M322" s="8" cm="1">
        <f t="array" aca="1" ref="M322" ca="1">_xlfn.XLOOKUP(Table11[[#This Row],[Admin2PCODE]], tblPiNAnalysis[Admin2PCODE], INDIRECT("tblPiNAnalysis[" &amp; Table11[[#Headers],[VBG]] &amp; "]"), "NOT FOUND", 0, 1)</f>
        <v>2600.6156634872591</v>
      </c>
      <c r="N322" s="8" cm="1">
        <f t="array" aca="1" ref="N322" ca="1">_xlfn.XLOOKUP(Table11[[#This Row],[Admin2PCODE]], tblPiNAnalysis[Admin2PCODE], INDIRECT("tblPiNAnalysis[" &amp; Table11[[#Headers],[PiN más alto]] &amp; "]"), "NOT FOUND", 0, 1)</f>
        <v>18705</v>
      </c>
      <c r="O322" t="str" cm="1">
        <f t="array" aca="1" ref="O322" ca="1">_xlfn.XLOOKUP(Table11[[#This Row],[Admin2PCODE]], tblPiNAnalysis[Admin2PCODE], INDIRECT("tblPiNAnalysis[" &amp; Table11[[#Headers],[Sectores más altos]] &amp; "]"), "NOT FOUND", 0, 1)</f>
        <v>ASH</v>
      </c>
      <c r="P322" cm="1">
        <f t="array" ref="P322">_xlfn.XLOOKUP(Table11[[#This Row],[Admin2PCODE]], tblPiNAnalysis[Admin2PCODE], tblPiNAnalysis[Severidad], "NOT FOUND", 0, 1)</f>
        <v>4</v>
      </c>
      <c r="Q322" s="318">
        <v>0</v>
      </c>
      <c r="R322" s="318">
        <v>0</v>
      </c>
      <c r="S322" s="318">
        <v>0</v>
      </c>
      <c r="T322">
        <v>1</v>
      </c>
      <c r="W322">
        <f>_xlfn.XLOOKUP(Table11[[#This Row],[Admin2PCODE]],tblSeverityAnalysis[Admin 2 Código P],tblSeverityAnalysis[PRO],0,0)</f>
        <v>4</v>
      </c>
      <c r="Y322">
        <v>0</v>
      </c>
      <c r="Z322">
        <v>4.6500000000000004</v>
      </c>
      <c r="AA322">
        <f t="shared" ref="AA322:AA336" si="5">ROUND(Z322,0)</f>
        <v>5</v>
      </c>
    </row>
    <row r="323" spans="1:27">
      <c r="A323" t="s">
        <v>705</v>
      </c>
      <c r="B323" t="s">
        <v>706</v>
      </c>
      <c r="C323" s="42" t="s">
        <v>808</v>
      </c>
      <c r="D323" t="s">
        <v>724</v>
      </c>
      <c r="E323" s="8" cm="1">
        <f t="array" aca="1" ref="E323" ca="1">_xlfn.XLOOKUP(Table11[[#This Row],[Admin2PCODE]], tblPiNAnalysis[Admin2PCODE], INDIRECT("tblPiNAnalysis[" &amp; Table11[[#Headers],[Población]] &amp; "]"), "NOT FOUND", 0, 1)</f>
        <v>84064</v>
      </c>
      <c r="F323" s="8" cm="1">
        <f t="array" aca="1" ref="F323" ca="1">_xlfn.XLOOKUP(Table11[[#This Row],[Admin2PCODE]], tblPiNAnalysis[Admin2PCODE], INDIRECT("tblPiNAnalysis[" &amp; Table11[[#Headers],[SAMV]] &amp; "]"), "NOT FOUND", 0, 1)</f>
        <v>43129</v>
      </c>
      <c r="G323" s="8" cm="1">
        <f t="array" aca="1" ref="G323" ca="1">_xlfn.XLOOKUP(Table11[[#This Row],[Admin2PCODE]], tblPiNAnalysis[Admin2PCODE], INDIRECT("tblPiNAnalysis[" &amp; Table11[[#Headers],[NUT]] &amp; "]"), "NOT FOUND", 0, 1)</f>
        <v>4837.3462624284148</v>
      </c>
      <c r="H323" s="8" cm="1">
        <f t="array" aca="1" ref="H323" ca="1">_xlfn.XLOOKUP(Table11[[#This Row],[Admin2PCODE]], tblPiNAnalysis[Admin2PCODE], INDIRECT("tblPiNAnalysis[" &amp; Table11[[#Headers],[SAL]] &amp; "]"), "NOT FOUND", 0, 1)</f>
        <v>30683.360000000001</v>
      </c>
      <c r="I323" s="8" cm="1">
        <f t="array" aca="1" ref="I323" ca="1">_xlfn.XLOOKUP(Table11[[#This Row],[Admin2PCODE]], tblPiNAnalysis[Admin2PCODE], INDIRECT("tblPiNAnalysis[" &amp; Table11[[#Headers],[EDU]] &amp; "]"), "NOT FOUND", 0, 1)</f>
        <v>15186.218220147404</v>
      </c>
      <c r="J323" s="8" cm="1">
        <f t="array" aca="1" ref="J323" ca="1">_xlfn.XLOOKUP(Table11[[#This Row],[Admin2PCODE]], tblPiNAnalysis[Admin2PCODE], INDIRECT("tblPiNAnalysis[" &amp; Table11[[#Headers],[PRO]] &amp; "]"), "NOT FOUND", 0, 1)</f>
        <v>20036.032089393328</v>
      </c>
      <c r="K323" s="8" cm="1">
        <f t="array" aca="1" ref="K323" ca="1">_xlfn.XLOOKUP(Table11[[#This Row],[Admin2PCODE]], tblPiNAnalysis[Admin2PCODE], INDIRECT("tblPiNAnalysis[" &amp; Table11[[#Headers],[ASH]] &amp; "]"), "NOT FOUND", 0, 1)</f>
        <v>37828.800000000003</v>
      </c>
      <c r="L323" s="8" cm="1">
        <f t="array" aca="1" ref="L323" ca="1">_xlfn.XLOOKUP(Table11[[#This Row],[Admin2PCODE]], tblPiNAnalysis[Admin2PCODE], INDIRECT("tblPiNAnalysis[" &amp; Table11[[#Headers],[NNA]] &amp; "]"), "NOT FOUND", 0, 1)</f>
        <v>6411.5302686058649</v>
      </c>
      <c r="M323" s="8" cm="1">
        <f t="array" aca="1" ref="M323" ca="1">_xlfn.XLOOKUP(Table11[[#This Row],[Admin2PCODE]], tblPiNAnalysis[Admin2PCODE], INDIRECT("tblPiNAnalysis[" &amp; Table11[[#Headers],[VBG]] &amp; "]"), "NOT FOUND", 0, 1)</f>
        <v>7012.6112312876639</v>
      </c>
      <c r="N323" s="8" cm="1">
        <f t="array" aca="1" ref="N323" ca="1">_xlfn.XLOOKUP(Table11[[#This Row],[Admin2PCODE]], tblPiNAnalysis[Admin2PCODE], INDIRECT("tblPiNAnalysis[" &amp; Table11[[#Headers],[PiN más alto]] &amp; "]"), "NOT FOUND", 0, 1)</f>
        <v>43129</v>
      </c>
      <c r="O323" t="str" cm="1">
        <f t="array" aca="1" ref="O323" ca="1">_xlfn.XLOOKUP(Table11[[#This Row],[Admin2PCODE]], tblPiNAnalysis[Admin2PCODE], INDIRECT("tblPiNAnalysis[" &amp; Table11[[#Headers],[Sectores más altos]] &amp; "]"), "NOT FOUND", 0, 1)</f>
        <v>SAMV</v>
      </c>
      <c r="P323" cm="1">
        <f t="array" ref="P323">_xlfn.XLOOKUP(Table11[[#This Row],[Admin2PCODE]], tblPiNAnalysis[Admin2PCODE], tblPiNAnalysis[Severidad], "NOT FOUND", 0, 1)</f>
        <v>3</v>
      </c>
      <c r="Q323" s="318">
        <v>0.64341085271317833</v>
      </c>
      <c r="R323" s="318">
        <v>0.39223560910307892</v>
      </c>
      <c r="S323" s="318">
        <v>0.25236864771748491</v>
      </c>
      <c r="T323">
        <v>0</v>
      </c>
      <c r="W323">
        <f>_xlfn.XLOOKUP(Table11[[#This Row],[Admin2PCODE]],tblSeverityAnalysis[Admin 2 Código P],tblSeverityAnalysis[PRO],0,0)</f>
        <v>4</v>
      </c>
      <c r="Y323">
        <v>0</v>
      </c>
      <c r="Z323">
        <v>0</v>
      </c>
      <c r="AA323">
        <f t="shared" si="5"/>
        <v>0</v>
      </c>
    </row>
    <row r="324" spans="1:27">
      <c r="A324" t="s">
        <v>705</v>
      </c>
      <c r="B324" t="s">
        <v>706</v>
      </c>
      <c r="C324" s="42" t="s">
        <v>725</v>
      </c>
      <c r="D324" t="s">
        <v>726</v>
      </c>
      <c r="E324" s="8" cm="1">
        <f t="array" aca="1" ref="E324" ca="1">_xlfn.XLOOKUP(Table11[[#This Row],[Admin2PCODE]], tblPiNAnalysis[Admin2PCODE], INDIRECT("tblPiNAnalysis[" &amp; Table11[[#Headers],[Población]] &amp; "]"), "NOT FOUND", 0, 1)</f>
        <v>208025</v>
      </c>
      <c r="F324" s="8" cm="1">
        <f t="array" aca="1" ref="F324" ca="1">_xlfn.XLOOKUP(Table11[[#This Row],[Admin2PCODE]], tblPiNAnalysis[Admin2PCODE], INDIRECT("tblPiNAnalysis[" &amp; Table11[[#Headers],[SAMV]] &amp; "]"), "NOT FOUND", 0, 1)</f>
        <v>30285</v>
      </c>
      <c r="G324" s="8" cm="1">
        <f t="array" aca="1" ref="G324" ca="1">_xlfn.XLOOKUP(Table11[[#This Row],[Admin2PCODE]], tblPiNAnalysis[Admin2PCODE], INDIRECT("tblPiNAnalysis[" &amp; Table11[[#Headers],[NUT]] &amp; "]"), "NOT FOUND", 0, 1)</f>
        <v>9525.9719389903403</v>
      </c>
      <c r="H324" s="8" cm="1">
        <f t="array" aca="1" ref="H324" ca="1">_xlfn.XLOOKUP(Table11[[#This Row],[Admin2PCODE]], tblPiNAnalysis[Admin2PCODE], INDIRECT("tblPiNAnalysis[" &amp; Table11[[#Headers],[SAL]] &amp; "]"), "NOT FOUND", 0, 1)</f>
        <v>75929.125</v>
      </c>
      <c r="I324" s="8" cm="1">
        <f t="array" aca="1" ref="I324" ca="1">_xlfn.XLOOKUP(Table11[[#This Row],[Admin2PCODE]], tblPiNAnalysis[Admin2PCODE], INDIRECT("tblPiNAnalysis[" &amp; Table11[[#Headers],[EDU]] &amp; "]"), "NOT FOUND", 0, 1)</f>
        <v>36216.495686004047</v>
      </c>
      <c r="J324" s="8" cm="1">
        <f t="array" aca="1" ref="J324" ca="1">_xlfn.XLOOKUP(Table11[[#This Row],[Admin2PCODE]], tblPiNAnalysis[Admin2PCODE], INDIRECT("tblPiNAnalysis[" &amp; Table11[[#Headers],[PRO]] &amp; "]"), "NOT FOUND", 0, 1)</f>
        <v>49581.218778502669</v>
      </c>
      <c r="K324" s="8" cm="1">
        <f t="array" aca="1" ref="K324" ca="1">_xlfn.XLOOKUP(Table11[[#This Row],[Admin2PCODE]], tblPiNAnalysis[Admin2PCODE], INDIRECT("tblPiNAnalysis[" &amp; Table11[[#Headers],[ASH]] &amp; "]"), "NOT FOUND", 0, 1)</f>
        <v>28083.375</v>
      </c>
      <c r="L324" s="8" cm="1">
        <f t="array" aca="1" ref="L324" ca="1">_xlfn.XLOOKUP(Table11[[#This Row],[Admin2PCODE]], tblPiNAnalysis[Admin2PCODE], INDIRECT("tblPiNAnalysis[" &amp; Table11[[#Headers],[NNA]] &amp; "]"), "NOT FOUND", 0, 1)</f>
        <v>15865.990009120855</v>
      </c>
      <c r="M324" s="8" cm="1">
        <f t="array" aca="1" ref="M324" ca="1">_xlfn.XLOOKUP(Table11[[#This Row],[Admin2PCODE]], tblPiNAnalysis[Admin2PCODE], INDIRECT("tblPiNAnalysis[" &amp; Table11[[#Headers],[VBG]] &amp; "]"), "NOT FOUND", 0, 1)</f>
        <v>17353.426572475935</v>
      </c>
      <c r="N324" s="8" cm="1">
        <f t="array" aca="1" ref="N324" ca="1">_xlfn.XLOOKUP(Table11[[#This Row],[Admin2PCODE]], tblPiNAnalysis[Admin2PCODE], INDIRECT("tblPiNAnalysis[" &amp; Table11[[#Headers],[PiN más alto]] &amp; "]"), "NOT FOUND", 0, 1)</f>
        <v>75929.125</v>
      </c>
      <c r="O324" t="str" cm="1">
        <f t="array" aca="1" ref="O324" ca="1">_xlfn.XLOOKUP(Table11[[#This Row],[Admin2PCODE]], tblPiNAnalysis[Admin2PCODE], INDIRECT("tblPiNAnalysis[" &amp; Table11[[#Headers],[Sectores más altos]] &amp; "]"), "NOT FOUND", 0, 1)</f>
        <v>SAL</v>
      </c>
      <c r="P324" cm="1">
        <f t="array" ref="P324">_xlfn.XLOOKUP(Table11[[#This Row],[Admin2PCODE]], tblPiNAnalysis[Admin2PCODE], tblPiNAnalysis[Severidad], "NOT FOUND", 0, 1)</f>
        <v>3</v>
      </c>
      <c r="Q324" s="318">
        <v>0.1457725947521866</v>
      </c>
      <c r="R324" s="318">
        <v>0.48222222222222205</v>
      </c>
      <c r="S324" s="318">
        <v>7.0294784580498842E-2</v>
      </c>
      <c r="T324">
        <v>0</v>
      </c>
      <c r="W324">
        <f>_xlfn.XLOOKUP(Table11[[#This Row],[Admin2PCODE]],tblSeverityAnalysis[Admin 2 Código P],tblSeverityAnalysis[PRO],0,0)</f>
        <v>4</v>
      </c>
      <c r="Y324">
        <v>0</v>
      </c>
      <c r="Z324">
        <v>0</v>
      </c>
      <c r="AA324">
        <f t="shared" si="5"/>
        <v>0</v>
      </c>
    </row>
    <row r="325" spans="1:27">
      <c r="A325" t="s">
        <v>705</v>
      </c>
      <c r="B325" t="s">
        <v>706</v>
      </c>
      <c r="C325" s="42" t="s">
        <v>807</v>
      </c>
      <c r="D325" t="s">
        <v>728</v>
      </c>
      <c r="E325" s="8" cm="1">
        <f t="array" aca="1" ref="E325" ca="1">_xlfn.XLOOKUP(Table11[[#This Row],[Admin2PCODE]], tblPiNAnalysis[Admin2PCODE], INDIRECT("tblPiNAnalysis[" &amp; Table11[[#Headers],[Población]] &amp; "]"), "NOT FOUND", 0, 1)</f>
        <v>125501</v>
      </c>
      <c r="F325" s="8" cm="1">
        <f t="array" aca="1" ref="F325" ca="1">_xlfn.XLOOKUP(Table11[[#This Row],[Admin2PCODE]], tblPiNAnalysis[Admin2PCODE], INDIRECT("tblPiNAnalysis[" &amp; Table11[[#Headers],[SAMV]] &amp; "]"), "NOT FOUND", 0, 1)</f>
        <v>0</v>
      </c>
      <c r="G325" s="8" cm="1">
        <f t="array" aca="1" ref="G325" ca="1">_xlfn.XLOOKUP(Table11[[#This Row],[Admin2PCODE]], tblPiNAnalysis[Admin2PCODE], INDIRECT("tblPiNAnalysis[" &amp; Table11[[#Headers],[NUT]] &amp; "]"), "NOT FOUND", 0, 1)</f>
        <v>6512.8598284746859</v>
      </c>
      <c r="H325" s="8" cm="1">
        <f t="array" aca="1" ref="H325" ca="1">_xlfn.XLOOKUP(Table11[[#This Row],[Admin2PCODE]], tblPiNAnalysis[Admin2PCODE], INDIRECT("tblPiNAnalysis[" &amp; Table11[[#Headers],[SAL]] &amp; "]"), "NOT FOUND", 0, 1)</f>
        <v>45807.864999999998</v>
      </c>
      <c r="I325" s="8" cm="1">
        <f t="array" aca="1" ref="I325" ca="1">_xlfn.XLOOKUP(Table11[[#This Row],[Admin2PCODE]], tblPiNAnalysis[Admin2PCODE], INDIRECT("tblPiNAnalysis[" &amp; Table11[[#Headers],[EDU]] &amp; "]"), "NOT FOUND", 0, 1)</f>
        <v>15704.379175137039</v>
      </c>
      <c r="J325" s="8" cm="1">
        <f t="array" aca="1" ref="J325" ca="1">_xlfn.XLOOKUP(Table11[[#This Row],[Admin2PCODE]], tblPiNAnalysis[Admin2PCODE], INDIRECT("tblPiNAnalysis[" &amp; Table11[[#Headers],[PRO]] &amp; "]"), "NOT FOUND", 0, 1)</f>
        <v>29912.234288767508</v>
      </c>
      <c r="K325" s="8" cm="1">
        <f t="array" aca="1" ref="K325" ca="1">_xlfn.XLOOKUP(Table11[[#This Row],[Admin2PCODE]], tblPiNAnalysis[Admin2PCODE], INDIRECT("tblPiNAnalysis[" &amp; Table11[[#Headers],[ASH]] &amp; "]"), "NOT FOUND", 0, 1)</f>
        <v>16942.635000000002</v>
      </c>
      <c r="L325" s="8" cm="1">
        <f t="array" aca="1" ref="L325" ca="1">_xlfn.XLOOKUP(Table11[[#This Row],[Admin2PCODE]], tblPiNAnalysis[Admin2PCODE], INDIRECT("tblPiNAnalysis[" &amp; Table11[[#Headers],[NNA]] &amp; "]"), "NOT FOUND", 0, 1)</f>
        <v>9571.9149724056024</v>
      </c>
      <c r="M325" s="8" cm="1">
        <f t="array" aca="1" ref="M325" ca="1">_xlfn.XLOOKUP(Table11[[#This Row],[Admin2PCODE]], tblPiNAnalysis[Admin2PCODE], INDIRECT("tblPiNAnalysis[" &amp; Table11[[#Headers],[VBG]] &amp; "]"), "NOT FOUND", 0, 1)</f>
        <v>10469.282001068626</v>
      </c>
      <c r="N325" s="8" cm="1">
        <f t="array" aca="1" ref="N325" ca="1">_xlfn.XLOOKUP(Table11[[#This Row],[Admin2PCODE]], tblPiNAnalysis[Admin2PCODE], INDIRECT("tblPiNAnalysis[" &amp; Table11[[#Headers],[PiN más alto]] &amp; "]"), "NOT FOUND", 0, 1)</f>
        <v>45807.864999999998</v>
      </c>
      <c r="O325" t="str" cm="1">
        <f t="array" aca="1" ref="O325" ca="1">_xlfn.XLOOKUP(Table11[[#This Row],[Admin2PCODE]], tblPiNAnalysis[Admin2PCODE], INDIRECT("tblPiNAnalysis[" &amp; Table11[[#Headers],[Sectores más altos]] &amp; "]"), "NOT FOUND", 0, 1)</f>
        <v>SAL</v>
      </c>
      <c r="P325" cm="1">
        <f t="array" ref="P325">_xlfn.XLOOKUP(Table11[[#This Row],[Admin2PCODE]], tblPiNAnalysis[Admin2PCODE], tblPiNAnalysis[Severidad], "NOT FOUND", 0, 1)</f>
        <v>3</v>
      </c>
      <c r="Q325" s="318">
        <v>9.8591549295774641E-2</v>
      </c>
      <c r="R325" s="318">
        <v>0.39417989417989424</v>
      </c>
      <c r="S325" s="318">
        <v>3.8862806468440272E-2</v>
      </c>
      <c r="T325">
        <v>0</v>
      </c>
      <c r="W325">
        <f>_xlfn.XLOOKUP(Table11[[#This Row],[Admin2PCODE]],tblSeverityAnalysis[Admin 2 Código P],tblSeverityAnalysis[PRO],0,0)</f>
        <v>4</v>
      </c>
      <c r="Y325">
        <v>0</v>
      </c>
      <c r="Z325">
        <v>2.85</v>
      </c>
      <c r="AA325">
        <f t="shared" si="5"/>
        <v>3</v>
      </c>
    </row>
    <row r="326" spans="1:27">
      <c r="A326" t="s">
        <v>705</v>
      </c>
      <c r="B326" t="s">
        <v>706</v>
      </c>
      <c r="C326" s="42" t="s">
        <v>729</v>
      </c>
      <c r="D326" t="s">
        <v>730</v>
      </c>
      <c r="E326" s="8" cm="1">
        <f t="array" aca="1" ref="E326" ca="1">_xlfn.XLOOKUP(Table11[[#This Row],[Admin2PCODE]], tblPiNAnalysis[Admin2PCODE], INDIRECT("tblPiNAnalysis[" &amp; Table11[[#Headers],[Población]] &amp; "]"), "NOT FOUND", 0, 1)</f>
        <v>211898</v>
      </c>
      <c r="F326" s="8" cm="1">
        <f t="array" aca="1" ref="F326" ca="1">_xlfn.XLOOKUP(Table11[[#This Row],[Admin2PCODE]], tblPiNAnalysis[Admin2PCODE], INDIRECT("tblPiNAnalysis[" &amp; Table11[[#Headers],[SAMV]] &amp; "]"), "NOT FOUND", 0, 1)</f>
        <v>48863</v>
      </c>
      <c r="G326" s="8" cm="1">
        <f t="array" aca="1" ref="G326" ca="1">_xlfn.XLOOKUP(Table11[[#This Row],[Admin2PCODE]], tblPiNAnalysis[Admin2PCODE], INDIRECT("tblPiNAnalysis[" &amp; Table11[[#Headers],[NUT]] &amp; "]"), "NOT FOUND", 0, 1)</f>
        <v>10935.196591865748</v>
      </c>
      <c r="H326" s="8" cm="1">
        <f t="array" aca="1" ref="H326" ca="1">_xlfn.XLOOKUP(Table11[[#This Row],[Admin2PCODE]], tblPiNAnalysis[Admin2PCODE], INDIRECT("tblPiNAnalysis[" &amp; Table11[[#Headers],[SAL]] &amp; "]"), "NOT FOUND", 0, 1)</f>
        <v>77342.77</v>
      </c>
      <c r="I326" s="8" cm="1">
        <f t="array" aca="1" ref="I326" ca="1">_xlfn.XLOOKUP(Table11[[#This Row],[Admin2PCODE]], tblPiNAnalysis[Admin2PCODE], INDIRECT("tblPiNAnalysis[" &amp; Table11[[#Headers],[EDU]] &amp; "]"), "NOT FOUND", 0, 1)</f>
        <v>22957.155262497428</v>
      </c>
      <c r="J326" s="8" cm="1">
        <f t="array" aca="1" ref="J326" ca="1">_xlfn.XLOOKUP(Table11[[#This Row],[Admin2PCODE]], tblPiNAnalysis[Admin2PCODE], INDIRECT("tblPiNAnalysis[" &amp; Table11[[#Headers],[PRO]] &amp; "]"), "NOT FOUND", 0, 1)</f>
        <v>50504.319657383283</v>
      </c>
      <c r="K326" s="8" cm="1">
        <f t="array" aca="1" ref="K326" ca="1">_xlfn.XLOOKUP(Table11[[#This Row],[Admin2PCODE]], tblPiNAnalysis[Admin2PCODE], INDIRECT("tblPiNAnalysis[" &amp; Table11[[#Headers],[ASH]] &amp; "]"), "NOT FOUND", 0, 1)</f>
        <v>127138.79999999999</v>
      </c>
      <c r="L326" s="8" cm="1">
        <f t="array" aca="1" ref="L326" ca="1">_xlfn.XLOOKUP(Table11[[#This Row],[Admin2PCODE]], tblPiNAnalysis[Admin2PCODE], INDIRECT("tblPiNAnalysis[" &amp; Table11[[#Headers],[NNA]] &amp; "]"), "NOT FOUND", 0, 1)</f>
        <v>16161.382290362651</v>
      </c>
      <c r="M326" s="8" cm="1">
        <f t="array" aca="1" ref="M326" ca="1">_xlfn.XLOOKUP(Table11[[#This Row],[Admin2PCODE]], tblPiNAnalysis[Admin2PCODE], INDIRECT("tblPiNAnalysis[" &amp; Table11[[#Headers],[VBG]] &amp; "]"), "NOT FOUND", 0, 1)</f>
        <v>17676.511880084148</v>
      </c>
      <c r="N326" s="8" cm="1">
        <f t="array" aca="1" ref="N326" ca="1">_xlfn.XLOOKUP(Table11[[#This Row],[Admin2PCODE]], tblPiNAnalysis[Admin2PCODE], INDIRECT("tblPiNAnalysis[" &amp; Table11[[#Headers],[PiN más alto]] &amp; "]"), "NOT FOUND", 0, 1)</f>
        <v>127138.79999999999</v>
      </c>
      <c r="O326" t="str" cm="1">
        <f t="array" aca="1" ref="O326" ca="1">_xlfn.XLOOKUP(Table11[[#This Row],[Admin2PCODE]], tblPiNAnalysis[Admin2PCODE], INDIRECT("tblPiNAnalysis[" &amp; Table11[[#Headers],[Sectores más altos]] &amp; "]"), "NOT FOUND", 0, 1)</f>
        <v>ASH</v>
      </c>
      <c r="P326" cm="1">
        <f t="array" ref="P326">_xlfn.XLOOKUP(Table11[[#This Row],[Admin2PCODE]], tblPiNAnalysis[Admin2PCODE], tblPiNAnalysis[Severidad], "NOT FOUND", 0, 1)</f>
        <v>4</v>
      </c>
      <c r="Q326" s="318">
        <v>0.62992125984251968</v>
      </c>
      <c r="R326" s="318">
        <v>0.51597222222222217</v>
      </c>
      <c r="S326" s="318">
        <v>0.32502187226596674</v>
      </c>
      <c r="T326">
        <v>0</v>
      </c>
      <c r="W326">
        <f>_xlfn.XLOOKUP(Table11[[#This Row],[Admin2PCODE]],tblSeverityAnalysis[Admin 2 Código P],tblSeverityAnalysis[PRO],0,0)</f>
        <v>4</v>
      </c>
      <c r="Y326">
        <v>0</v>
      </c>
      <c r="Z326">
        <v>0</v>
      </c>
      <c r="AA326">
        <f t="shared" si="5"/>
        <v>0</v>
      </c>
    </row>
    <row r="327" spans="1:27">
      <c r="A327" t="s">
        <v>705</v>
      </c>
      <c r="B327" t="s">
        <v>706</v>
      </c>
      <c r="C327" s="42" t="s">
        <v>731</v>
      </c>
      <c r="D327" t="s">
        <v>732</v>
      </c>
      <c r="E327" s="8" cm="1">
        <f t="array" aca="1" ref="E327" ca="1">_xlfn.XLOOKUP(Table11[[#This Row],[Admin2PCODE]], tblPiNAnalysis[Admin2PCODE], INDIRECT("tblPiNAnalysis[" &amp; Table11[[#Headers],[Población]] &amp; "]"), "NOT FOUND", 0, 1)</f>
        <v>1492399</v>
      </c>
      <c r="F327" s="8" cm="1">
        <f t="array" aca="1" ref="F327" ca="1">_xlfn.XLOOKUP(Table11[[#This Row],[Admin2PCODE]], tblPiNAnalysis[Admin2PCODE], INDIRECT("tblPiNAnalysis[" &amp; Table11[[#Headers],[SAMV]] &amp; "]"), "NOT FOUND", 0, 1)</f>
        <v>236854</v>
      </c>
      <c r="G327" s="8" cm="1">
        <f t="array" aca="1" ref="G327" ca="1">_xlfn.XLOOKUP(Table11[[#This Row],[Admin2PCODE]], tblPiNAnalysis[Admin2PCODE], INDIRECT("tblPiNAnalysis[" &amp; Table11[[#Headers],[NUT]] &amp; "]"), "NOT FOUND", 0, 1)</f>
        <v>74440.982456016151</v>
      </c>
      <c r="H327" s="8" cm="1">
        <f t="array" aca="1" ref="H327" ca="1">_xlfn.XLOOKUP(Table11[[#This Row],[Admin2PCODE]], tblPiNAnalysis[Admin2PCODE], INDIRECT("tblPiNAnalysis[" &amp; Table11[[#Headers],[SAL]] &amp; "]"), "NOT FOUND", 0, 1)</f>
        <v>544725.63500000001</v>
      </c>
      <c r="I327" s="8" cm="1">
        <f t="array" aca="1" ref="I327" ca="1">_xlfn.XLOOKUP(Table11[[#This Row],[Admin2PCODE]], tblPiNAnalysis[Admin2PCODE], INDIRECT("tblPiNAnalysis[" &amp; Table11[[#Headers],[EDU]] &amp; "]"), "NOT FOUND", 0, 1)</f>
        <v>276989.54409941752</v>
      </c>
      <c r="J327" s="8" cm="1">
        <f t="array" aca="1" ref="J327" ca="1">_xlfn.XLOOKUP(Table11[[#This Row],[Admin2PCODE]], tblPiNAnalysis[Admin2PCODE], INDIRECT("tblPiNAnalysis[" &amp; Table11[[#Headers],[PRO]] &amp; "]"), "NOT FOUND", 0, 1)</f>
        <v>355702.25368979014</v>
      </c>
      <c r="K327" s="8" cm="1">
        <f t="array" aca="1" ref="K327" ca="1">_xlfn.XLOOKUP(Table11[[#This Row],[Admin2PCODE]], tblPiNAnalysis[Admin2PCODE], INDIRECT("tblPiNAnalysis[" &amp; Table11[[#Headers],[ASH]] &amp; "]"), "NOT FOUND", 0, 1)</f>
        <v>201473.86500000002</v>
      </c>
      <c r="L327" s="8" cm="1">
        <f t="array" aca="1" ref="L327" ca="1">_xlfn.XLOOKUP(Table11[[#This Row],[Admin2PCODE]], tblPiNAnalysis[Admin2PCODE], INDIRECT("tblPiNAnalysis[" &amp; Table11[[#Headers],[NNA]] &amp; "]"), "NOT FOUND", 0, 1)</f>
        <v>114180.42343442264</v>
      </c>
      <c r="M327" s="8" cm="1">
        <f t="array" aca="1" ref="M327" ca="1">_xlfn.XLOOKUP(Table11[[#This Row],[Admin2PCODE]], tblPiNAnalysis[Admin2PCODE], INDIRECT("tblPiNAnalysis[" &amp; Table11[[#Headers],[VBG]] &amp; "]"), "NOT FOUND", 0, 1)</f>
        <v>124495.78879142654</v>
      </c>
      <c r="N327" s="8" cm="1">
        <f t="array" aca="1" ref="N327" ca="1">_xlfn.XLOOKUP(Table11[[#This Row],[Admin2PCODE]], tblPiNAnalysis[Admin2PCODE], INDIRECT("tblPiNAnalysis[" &amp; Table11[[#Headers],[PiN más alto]] &amp; "]"), "NOT FOUND", 0, 1)</f>
        <v>544725.63500000001</v>
      </c>
      <c r="O327" t="str" cm="1">
        <f t="array" aca="1" ref="O327" ca="1">_xlfn.XLOOKUP(Table11[[#This Row],[Admin2PCODE]], tblPiNAnalysis[Admin2PCODE], INDIRECT("tblPiNAnalysis[" &amp; Table11[[#Headers],[Sectores más altos]] &amp; "]"), "NOT FOUND", 0, 1)</f>
        <v>SAL</v>
      </c>
      <c r="P327" cm="1">
        <f t="array" ref="P327">_xlfn.XLOOKUP(Table11[[#This Row],[Admin2PCODE]], tblPiNAnalysis[Admin2PCODE], tblPiNAnalysis[Severidad], "NOT FOUND", 0, 1)</f>
        <v>3</v>
      </c>
      <c r="Q327" s="318">
        <v>0.23180592991913745</v>
      </c>
      <c r="R327" s="318">
        <v>0.36085271317829454</v>
      </c>
      <c r="S327" s="318">
        <v>8.3647798742138346E-2</v>
      </c>
      <c r="T327">
        <v>0</v>
      </c>
      <c r="W327">
        <f>_xlfn.XLOOKUP(Table11[[#This Row],[Admin2PCODE]],tblSeverityAnalysis[Admin 2 Código P],tblSeverityAnalysis[PRO],0,0)</f>
        <v>4</v>
      </c>
      <c r="Y327">
        <v>0</v>
      </c>
      <c r="Z327">
        <v>0</v>
      </c>
      <c r="AA327">
        <f t="shared" si="5"/>
        <v>0</v>
      </c>
    </row>
    <row r="328" spans="1:27">
      <c r="A328" t="s">
        <v>705</v>
      </c>
      <c r="B328" t="s">
        <v>706</v>
      </c>
      <c r="C328" s="42" t="s">
        <v>276</v>
      </c>
      <c r="D328" t="s">
        <v>733</v>
      </c>
      <c r="E328" s="8" cm="1">
        <f t="array" aca="1" ref="E328" ca="1">_xlfn.XLOOKUP(Table11[[#This Row],[Admin2PCODE]], tblPiNAnalysis[Admin2PCODE], INDIRECT("tblPiNAnalysis[" &amp; Table11[[#Headers],[Población]] &amp; "]"), "NOT FOUND", 0, 1)</f>
        <v>99665</v>
      </c>
      <c r="F328" s="8" cm="1">
        <f t="array" aca="1" ref="F328" ca="1">_xlfn.XLOOKUP(Table11[[#This Row],[Admin2PCODE]], tblPiNAnalysis[Admin2PCODE], INDIRECT("tblPiNAnalysis[" &amp; Table11[[#Headers],[SAMV]] &amp; "]"), "NOT FOUND", 0, 1)</f>
        <v>16834</v>
      </c>
      <c r="G328" s="8" cm="1">
        <f t="array" aca="1" ref="G328" ca="1">_xlfn.XLOOKUP(Table11[[#This Row],[Admin2PCODE]], tblPiNAnalysis[Admin2PCODE], INDIRECT("tblPiNAnalysis[" &amp; Table11[[#Headers],[NUT]] &amp; "]"), "NOT FOUND", 0, 1)</f>
        <v>4756.3259010896445</v>
      </c>
      <c r="H328" s="8" cm="1">
        <f t="array" aca="1" ref="H328" ca="1">_xlfn.XLOOKUP(Table11[[#This Row],[Admin2PCODE]], tblPiNAnalysis[Admin2PCODE], INDIRECT("tblPiNAnalysis[" &amp; Table11[[#Headers],[SAL]] &amp; "]"), "NOT FOUND", 0, 1)</f>
        <v>36377.724999999999</v>
      </c>
      <c r="I328" s="8" cm="1">
        <f t="array" aca="1" ref="I328" ca="1">_xlfn.XLOOKUP(Table11[[#This Row],[Admin2PCODE]], tblPiNAnalysis[Admin2PCODE], INDIRECT("tblPiNAnalysis[" &amp; Table11[[#Headers],[EDU]] &amp; "]"), "NOT FOUND", 0, 1)</f>
        <v>14982.530651763009</v>
      </c>
      <c r="J328" s="8" cm="1">
        <f t="array" aca="1" ref="J328" ca="1">_xlfn.XLOOKUP(Table11[[#This Row],[Admin2PCODE]], tblPiNAnalysis[Admin2PCODE], INDIRECT("tblPiNAnalysis[" &amp; Table11[[#Headers],[PRO]] &amp; "]"), "NOT FOUND", 0, 1)</f>
        <v>23754.414948008503</v>
      </c>
      <c r="K328" s="8" cm="1">
        <f t="array" aca="1" ref="K328" ca="1">_xlfn.XLOOKUP(Table11[[#This Row],[Admin2PCODE]], tblPiNAnalysis[Admin2PCODE], INDIRECT("tblPiNAnalysis[" &amp; Table11[[#Headers],[ASH]] &amp; "]"), "NOT FOUND", 0, 1)</f>
        <v>13454.775</v>
      </c>
      <c r="L328" s="8" cm="1">
        <f t="array" aca="1" ref="L328" ca="1">_xlfn.XLOOKUP(Table11[[#This Row],[Admin2PCODE]], tblPiNAnalysis[Admin2PCODE], INDIRECT("tblPiNAnalysis[" &amp; Table11[[#Headers],[NNA]] &amp; "]"), "NOT FOUND", 0, 1)</f>
        <v>7601.4127833627208</v>
      </c>
      <c r="M328" s="8" cm="1">
        <f t="array" aca="1" ref="M328" ca="1">_xlfn.XLOOKUP(Table11[[#This Row],[Admin2PCODE]], tblPiNAnalysis[Admin2PCODE], INDIRECT("tblPiNAnalysis[" &amp; Table11[[#Headers],[VBG]] &amp; "]"), "NOT FOUND", 0, 1)</f>
        <v>8314.0452318029766</v>
      </c>
      <c r="N328" s="8" cm="1">
        <f t="array" aca="1" ref="N328" ca="1">_xlfn.XLOOKUP(Table11[[#This Row],[Admin2PCODE]], tblPiNAnalysis[Admin2PCODE], INDIRECT("tblPiNAnalysis[" &amp; Table11[[#Headers],[PiN más alto]] &amp; "]"), "NOT FOUND", 0, 1)</f>
        <v>36377.724999999999</v>
      </c>
      <c r="O328" t="str" cm="1">
        <f t="array" aca="1" ref="O328" ca="1">_xlfn.XLOOKUP(Table11[[#This Row],[Admin2PCODE]], tblPiNAnalysis[Admin2PCODE], INDIRECT("tblPiNAnalysis[" &amp; Table11[[#Headers],[Sectores más altos]] &amp; "]"), "NOT FOUND", 0, 1)</f>
        <v>SAL</v>
      </c>
      <c r="P328" cm="1">
        <f t="array" ref="P328">_xlfn.XLOOKUP(Table11[[#This Row],[Admin2PCODE]], tblPiNAnalysis[Admin2PCODE], tblPiNAnalysis[Severidad], "NOT FOUND", 0, 1)</f>
        <v>3</v>
      </c>
      <c r="Q328" s="318">
        <v>0.125</v>
      </c>
      <c r="R328" s="318">
        <v>0.50653594771241828</v>
      </c>
      <c r="S328" s="318">
        <v>6.3316993464052285E-2</v>
      </c>
      <c r="T328">
        <v>0</v>
      </c>
      <c r="W328">
        <f>_xlfn.XLOOKUP(Table11[[#This Row],[Admin2PCODE]],tblSeverityAnalysis[Admin 2 Código P],tblSeverityAnalysis[PRO],0,0)</f>
        <v>4</v>
      </c>
      <c r="Y328">
        <v>0</v>
      </c>
      <c r="Z328">
        <v>0</v>
      </c>
      <c r="AA328">
        <f t="shared" si="5"/>
        <v>0</v>
      </c>
    </row>
    <row r="329" spans="1:27">
      <c r="A329" t="s">
        <v>705</v>
      </c>
      <c r="B329" t="s">
        <v>706</v>
      </c>
      <c r="C329" s="42" t="s">
        <v>734</v>
      </c>
      <c r="D329" t="s">
        <v>735</v>
      </c>
      <c r="E329" s="8" cm="1">
        <f t="array" aca="1" ref="E329" ca="1">_xlfn.XLOOKUP(Table11[[#This Row],[Admin2PCODE]], tblPiNAnalysis[Admin2PCODE], INDIRECT("tblPiNAnalysis[" &amp; Table11[[#Headers],[Población]] &amp; "]"), "NOT FOUND", 0, 1)</f>
        <v>67026</v>
      </c>
      <c r="F329" s="8" cm="1">
        <f t="array" aca="1" ref="F329" ca="1">_xlfn.XLOOKUP(Table11[[#This Row],[Admin2PCODE]], tblPiNAnalysis[Admin2PCODE], INDIRECT("tblPiNAnalysis[" &amp; Table11[[#Headers],[SAMV]] &amp; "]"), "NOT FOUND", 0, 1)</f>
        <v>28723</v>
      </c>
      <c r="G329" s="8" cm="1">
        <f t="array" aca="1" ref="G329" ca="1">_xlfn.XLOOKUP(Table11[[#This Row],[Admin2PCODE]], tblPiNAnalysis[Admin2PCODE], INDIRECT("tblPiNAnalysis[" &amp; Table11[[#Headers],[NUT]] &amp; "]"), "NOT FOUND", 0, 1)</f>
        <v>2943.3221117728585</v>
      </c>
      <c r="H329" s="8" cm="1">
        <f t="array" aca="1" ref="H329" ca="1">_xlfn.XLOOKUP(Table11[[#This Row],[Admin2PCODE]], tblPiNAnalysis[Admin2PCODE], INDIRECT("tblPiNAnalysis[" &amp; Table11[[#Headers],[SAL]] &amp; "]"), "NOT FOUND", 0, 1)</f>
        <v>25600</v>
      </c>
      <c r="I329" s="8" cm="1">
        <f t="array" aca="1" ref="I329" ca="1">_xlfn.XLOOKUP(Table11[[#This Row],[Admin2PCODE]], tblPiNAnalysis[Admin2PCODE], INDIRECT("tblPiNAnalysis[" &amp; Table11[[#Headers],[EDU]] &amp; "]"), "NOT FOUND", 0, 1)</f>
        <v>11444.747850492135</v>
      </c>
      <c r="J329" s="8" cm="1">
        <f t="array" aca="1" ref="J329" ca="1">_xlfn.XLOOKUP(Table11[[#This Row],[Admin2PCODE]], tblPiNAnalysis[Admin2PCODE], INDIRECT("tblPiNAnalysis[" &amp; Table11[[#Headers],[PRO]] &amp; "]"), "NOT FOUND", 0, 1)</f>
        <v>15975.150918629586</v>
      </c>
      <c r="K329" s="8" cm="1">
        <f t="array" aca="1" ref="K329" ca="1">_xlfn.XLOOKUP(Table11[[#This Row],[Admin2PCODE]], tblPiNAnalysis[Admin2PCODE], INDIRECT("tblPiNAnalysis[" &amp; Table11[[#Headers],[ASH]] &amp; "]"), "NOT FOUND", 0, 1)</f>
        <v>40215.599999999999</v>
      </c>
      <c r="L329" s="8" cm="1">
        <f t="array" aca="1" ref="L329" ca="1">_xlfn.XLOOKUP(Table11[[#This Row],[Admin2PCODE]], tblPiNAnalysis[Admin2PCODE], INDIRECT("tblPiNAnalysis[" &amp; Table11[[#Headers],[NNA]] &amp; "]"), "NOT FOUND", 0, 1)</f>
        <v>5128.0234448800966</v>
      </c>
      <c r="M329" s="8" cm="1">
        <f t="array" aca="1" ref="M329" ca="1">_xlfn.XLOOKUP(Table11[[#This Row],[Admin2PCODE]], tblPiNAnalysis[Admin2PCODE], INDIRECT("tblPiNAnalysis[" &amp; Table11[[#Headers],[VBG]] &amp; "]"), "NOT FOUND", 0, 1)</f>
        <v>5591.3028215203549</v>
      </c>
      <c r="N329" s="8" cm="1">
        <f t="array" aca="1" ref="N329" ca="1">_xlfn.XLOOKUP(Table11[[#This Row],[Admin2PCODE]], tblPiNAnalysis[Admin2PCODE], INDIRECT("tblPiNAnalysis[" &amp; Table11[[#Headers],[PiN más alto]] &amp; "]"), "NOT FOUND", 0, 1)</f>
        <v>40215.599999999999</v>
      </c>
      <c r="O329" t="str" cm="1">
        <f t="array" aca="1" ref="O329" ca="1">_xlfn.XLOOKUP(Table11[[#This Row],[Admin2PCODE]], tblPiNAnalysis[Admin2PCODE], INDIRECT("tblPiNAnalysis[" &amp; Table11[[#Headers],[Sectores más altos]] &amp; "]"), "NOT FOUND", 0, 1)</f>
        <v>ASH</v>
      </c>
      <c r="P329" cm="1">
        <f t="array" ref="P329">_xlfn.XLOOKUP(Table11[[#This Row],[Admin2PCODE]], tblPiNAnalysis[Admin2PCODE], tblPiNAnalysis[Severidad], "NOT FOUND", 0, 1)</f>
        <v>4</v>
      </c>
      <c r="Q329" s="318">
        <v>7.8947368421052627E-2</v>
      </c>
      <c r="R329" s="318">
        <v>0.52777777777777757</v>
      </c>
      <c r="S329" s="318">
        <v>4.166666666666665E-2</v>
      </c>
      <c r="T329">
        <v>0</v>
      </c>
      <c r="W329">
        <f>_xlfn.XLOOKUP(Table11[[#This Row],[Admin2PCODE]],tblSeverityAnalysis[Admin 2 Código P],tblSeverityAnalysis[PRO],0,0)</f>
        <v>4</v>
      </c>
      <c r="Y329">
        <v>0</v>
      </c>
      <c r="Z329">
        <v>0</v>
      </c>
      <c r="AA329">
        <f t="shared" si="5"/>
        <v>0</v>
      </c>
    </row>
    <row r="330" spans="1:27">
      <c r="A330" t="s">
        <v>705</v>
      </c>
      <c r="B330" t="s">
        <v>706</v>
      </c>
      <c r="C330" s="42" t="s">
        <v>809</v>
      </c>
      <c r="D330" t="s">
        <v>737</v>
      </c>
      <c r="E330" s="8" cm="1">
        <f t="array" aca="1" ref="E330" ca="1">_xlfn.XLOOKUP(Table11[[#This Row],[Admin2PCODE]], tblPiNAnalysis[Admin2PCODE], INDIRECT("tblPiNAnalysis[" &amp; Table11[[#Headers],[Población]] &amp; "]"), "NOT FOUND", 0, 1)</f>
        <v>86923</v>
      </c>
      <c r="F330" s="8" cm="1">
        <f t="array" aca="1" ref="F330" ca="1">_xlfn.XLOOKUP(Table11[[#This Row],[Admin2PCODE]], tblPiNAnalysis[Admin2PCODE], INDIRECT("tblPiNAnalysis[" &amp; Table11[[#Headers],[SAMV]] &amp; "]"), "NOT FOUND", 0, 1)</f>
        <v>27117</v>
      </c>
      <c r="G330" s="8" cm="1">
        <f t="array" aca="1" ref="G330" ca="1">_xlfn.XLOOKUP(Table11[[#This Row],[Admin2PCODE]], tblPiNAnalysis[Admin2PCODE], INDIRECT("tblPiNAnalysis[" &amp; Table11[[#Headers],[NUT]] &amp; "]"), "NOT FOUND", 0, 1)</f>
        <v>5305.9819661901165</v>
      </c>
      <c r="H330" s="8" cm="1">
        <f t="array" aca="1" ref="H330" ca="1">_xlfn.XLOOKUP(Table11[[#This Row],[Admin2PCODE]], tblPiNAnalysis[Admin2PCODE], INDIRECT("tblPiNAnalysis[" &amp; Table11[[#Headers],[SAL]] &amp; "]"), "NOT FOUND", 0, 1)</f>
        <v>31726.895</v>
      </c>
      <c r="I330" s="8" cm="1">
        <f t="array" aca="1" ref="I330" ca="1">_xlfn.XLOOKUP(Table11[[#This Row],[Admin2PCODE]], tblPiNAnalysis[Admin2PCODE], INDIRECT("tblPiNAnalysis[" &amp; Table11[[#Headers],[EDU]] &amp; "]"), "NOT FOUND", 0, 1)</f>
        <v>11214.09236011016</v>
      </c>
      <c r="J330" s="8" cm="1">
        <f t="array" aca="1" ref="J330" ca="1">_xlfn.XLOOKUP(Table11[[#This Row],[Admin2PCODE]], tblPiNAnalysis[Admin2PCODE], INDIRECT("tblPiNAnalysis[" &amp; Table11[[#Headers],[PRO]] &amp; "]"), "NOT FOUND", 0, 1)</f>
        <v>20717.453574732779</v>
      </c>
      <c r="K330" s="8" cm="1">
        <f t="array" aca="1" ref="K330" ca="1">_xlfn.XLOOKUP(Table11[[#This Row],[Admin2PCODE]], tblPiNAnalysis[Admin2PCODE], INDIRECT("tblPiNAnalysis[" &amp; Table11[[#Headers],[ASH]] &amp; "]"), "NOT FOUND", 0, 1)</f>
        <v>39115.35</v>
      </c>
      <c r="L330" s="8" cm="1">
        <f t="array" aca="1" ref="L330" ca="1">_xlfn.XLOOKUP(Table11[[#This Row],[Admin2PCODE]], tblPiNAnalysis[Admin2PCODE], INDIRECT("tblPiNAnalysis[" &amp; Table11[[#Headers],[NNA]] &amp; "]"), "NOT FOUND", 0, 1)</f>
        <v>6650.3025974892225</v>
      </c>
      <c r="M330" s="8" cm="1">
        <f t="array" aca="1" ref="M330" ca="1">_xlfn.XLOOKUP(Table11[[#This Row],[Admin2PCODE]], tblPiNAnalysis[Admin2PCODE], INDIRECT("tblPiNAnalysis[" &amp; Table11[[#Headers],[VBG]] &amp; "]"), "NOT FOUND", 0, 1)</f>
        <v>7251.108751156472</v>
      </c>
      <c r="N330" s="8" cm="1">
        <f t="array" aca="1" ref="N330" ca="1">_xlfn.XLOOKUP(Table11[[#This Row],[Admin2PCODE]], tblPiNAnalysis[Admin2PCODE], INDIRECT("tblPiNAnalysis[" &amp; Table11[[#Headers],[PiN más alto]] &amp; "]"), "NOT FOUND", 0, 1)</f>
        <v>39115.35</v>
      </c>
      <c r="O330" t="str" cm="1">
        <f t="array" aca="1" ref="O330" ca="1">_xlfn.XLOOKUP(Table11[[#This Row],[Admin2PCODE]], tblPiNAnalysis[Admin2PCODE], INDIRECT("tblPiNAnalysis[" &amp; Table11[[#Headers],[Sectores más altos]] &amp; "]"), "NOT FOUND", 0, 1)</f>
        <v>ASH</v>
      </c>
      <c r="P330" cm="1">
        <f t="array" ref="P330">_xlfn.XLOOKUP(Table11[[#This Row],[Admin2PCODE]], tblPiNAnalysis[Admin2PCODE], tblPiNAnalysis[Severidad], "NOT FOUND", 0, 1)</f>
        <v>4</v>
      </c>
      <c r="Q330" s="318">
        <v>0.76760563380281688</v>
      </c>
      <c r="R330" s="318">
        <v>0.34964322120285424</v>
      </c>
      <c r="S330" s="318">
        <v>0.26838810641627542</v>
      </c>
      <c r="T330">
        <v>1</v>
      </c>
      <c r="W330">
        <f>_xlfn.XLOOKUP(Table11[[#This Row],[Admin2PCODE]],tblSeverityAnalysis[Admin 2 Código P],tblSeverityAnalysis[PRO],0,0)</f>
        <v>4</v>
      </c>
      <c r="Y330">
        <v>0</v>
      </c>
      <c r="Z330">
        <v>0</v>
      </c>
      <c r="AA330">
        <f t="shared" si="5"/>
        <v>0</v>
      </c>
    </row>
    <row r="331" spans="1:27">
      <c r="A331" t="s">
        <v>705</v>
      </c>
      <c r="B331" t="s">
        <v>706</v>
      </c>
      <c r="C331" s="42" t="s">
        <v>350</v>
      </c>
      <c r="D331" t="s">
        <v>738</v>
      </c>
      <c r="E331" s="8" cm="1">
        <f t="array" aca="1" ref="E331" ca="1">_xlfn.XLOOKUP(Table11[[#This Row],[Admin2PCODE]], tblPiNAnalysis[Admin2PCODE], INDIRECT("tblPiNAnalysis[" &amp; Table11[[#Headers],[Población]] &amp; "]"), "NOT FOUND", 0, 1)</f>
        <v>456843</v>
      </c>
      <c r="F331" s="8" cm="1">
        <f t="array" aca="1" ref="F331" ca="1">_xlfn.XLOOKUP(Table11[[#This Row],[Admin2PCODE]], tblPiNAnalysis[Admin2PCODE], INDIRECT("tblPiNAnalysis[" &amp; Table11[[#Headers],[SAMV]] &amp; "]"), "NOT FOUND", 0, 1)</f>
        <v>137605</v>
      </c>
      <c r="G331" s="8" cm="1">
        <f t="array" aca="1" ref="G331" ca="1">_xlfn.XLOOKUP(Table11[[#This Row],[Admin2PCODE]], tblPiNAnalysis[Admin2PCODE], INDIRECT("tblPiNAnalysis[" &amp; Table11[[#Headers],[NUT]] &amp; "]"), "NOT FOUND", 0, 1)</f>
        <v>27277.488562299386</v>
      </c>
      <c r="H331" s="8" cm="1">
        <f t="array" aca="1" ref="H331" ca="1">_xlfn.XLOOKUP(Table11[[#This Row],[Admin2PCODE]], tblPiNAnalysis[Admin2PCODE], INDIRECT("tblPiNAnalysis[" &amp; Table11[[#Headers],[SAL]] &amp; "]"), "NOT FOUND", 0, 1)</f>
        <v>166747.69500000001</v>
      </c>
      <c r="I331" s="8" cm="1">
        <f t="array" aca="1" ref="I331" ca="1">_xlfn.XLOOKUP(Table11[[#This Row],[Admin2PCODE]], tblPiNAnalysis[Admin2PCODE], INDIRECT("tblPiNAnalysis[" &amp; Table11[[#Headers],[EDU]] &amp; "]"), "NOT FOUND", 0, 1)</f>
        <v>78557.706051057874</v>
      </c>
      <c r="J331" s="8" cm="1">
        <f t="array" aca="1" ref="J331" ca="1">_xlfn.XLOOKUP(Table11[[#This Row],[Admin2PCODE]], tblPiNAnalysis[Admin2PCODE], INDIRECT("tblPiNAnalysis[" &amp; Table11[[#Headers],[PRO]] &amp; "]"), "NOT FOUND", 0, 1)</f>
        <v>108885.14712379516</v>
      </c>
      <c r="K331" s="8" cm="1">
        <f t="array" aca="1" ref="K331" ca="1">_xlfn.XLOOKUP(Table11[[#This Row],[Admin2PCODE]], tblPiNAnalysis[Admin2PCODE], INDIRECT("tblPiNAnalysis[" &amp; Table11[[#Headers],[ASH]] &amp; "]"), "NOT FOUND", 0, 1)</f>
        <v>61673.805</v>
      </c>
      <c r="L331" s="8" cm="1">
        <f t="array" aca="1" ref="L331" ca="1">_xlfn.XLOOKUP(Table11[[#This Row],[Admin2PCODE]], tblPiNAnalysis[Admin2PCODE], INDIRECT("tblPiNAnalysis[" &amp; Table11[[#Headers],[NNA]] &amp; "]"), "NOT FOUND", 0, 1)</f>
        <v>34843.247079614448</v>
      </c>
      <c r="M331" s="8" cm="1">
        <f t="array" aca="1" ref="M331" ca="1">_xlfn.XLOOKUP(Table11[[#This Row],[Admin2PCODE]], tblPiNAnalysis[Admin2PCODE], INDIRECT("tblPiNAnalysis[" &amp; Table11[[#Headers],[VBG]] &amp; "]"), "NOT FOUND", 0, 1)</f>
        <v>38109.801493328305</v>
      </c>
      <c r="N331" s="8" cm="1">
        <f t="array" aca="1" ref="N331" ca="1">_xlfn.XLOOKUP(Table11[[#This Row],[Admin2PCODE]], tblPiNAnalysis[Admin2PCODE], INDIRECT("tblPiNAnalysis[" &amp; Table11[[#Headers],[PiN más alto]] &amp; "]"), "NOT FOUND", 0, 1)</f>
        <v>166747.69500000001</v>
      </c>
      <c r="O331" t="str" cm="1">
        <f t="array" aca="1" ref="O331" ca="1">_xlfn.XLOOKUP(Table11[[#This Row],[Admin2PCODE]], tblPiNAnalysis[Admin2PCODE], INDIRECT("tblPiNAnalysis[" &amp; Table11[[#Headers],[Sectores más altos]] &amp; "]"), "NOT FOUND", 0, 1)</f>
        <v>SAL</v>
      </c>
      <c r="P331" cm="1">
        <f t="array" ref="P331">_xlfn.XLOOKUP(Table11[[#This Row],[Admin2PCODE]], tblPiNAnalysis[Admin2PCODE], tblPiNAnalysis[Severidad], "NOT FOUND", 0, 1)</f>
        <v>3</v>
      </c>
      <c r="Q331" s="318">
        <v>0.17710196779964221</v>
      </c>
      <c r="R331" s="318">
        <v>0.499438832772166</v>
      </c>
      <c r="S331" s="318">
        <v>8.8451600079507031E-2</v>
      </c>
      <c r="T331">
        <v>0</v>
      </c>
      <c r="W331">
        <f>_xlfn.XLOOKUP(Table11[[#This Row],[Admin2PCODE]],tblSeverityAnalysis[Admin 2 Código P],tblSeverityAnalysis[PRO],0,0)</f>
        <v>4</v>
      </c>
      <c r="Y331">
        <v>0</v>
      </c>
      <c r="Z331">
        <v>0</v>
      </c>
      <c r="AA331">
        <f t="shared" si="5"/>
        <v>0</v>
      </c>
    </row>
    <row r="332" spans="1:27">
      <c r="A332" t="s">
        <v>705</v>
      </c>
      <c r="B332" t="s">
        <v>706</v>
      </c>
      <c r="C332" s="42" t="s">
        <v>739</v>
      </c>
      <c r="D332" t="s">
        <v>740</v>
      </c>
      <c r="E332" s="8" cm="1">
        <f t="array" aca="1" ref="E332" ca="1">_xlfn.XLOOKUP(Table11[[#This Row],[Admin2PCODE]], tblPiNAnalysis[Admin2PCODE], INDIRECT("tblPiNAnalysis[" &amp; Table11[[#Headers],[Población]] &amp; "]"), "NOT FOUND", 0, 1)</f>
        <v>61213</v>
      </c>
      <c r="F332" s="8" cm="1">
        <f t="array" aca="1" ref="F332" ca="1">_xlfn.XLOOKUP(Table11[[#This Row],[Admin2PCODE]], tblPiNAnalysis[Admin2PCODE], INDIRECT("tblPiNAnalysis[" &amp; Table11[[#Headers],[SAMV]] &amp; "]"), "NOT FOUND", 0, 1)</f>
        <v>29382</v>
      </c>
      <c r="G332" s="8" cm="1">
        <f t="array" aca="1" ref="G332" ca="1">_xlfn.XLOOKUP(Table11[[#This Row],[Admin2PCODE]], tblPiNAnalysis[Admin2PCODE], INDIRECT("tblPiNAnalysis[" &amp; Table11[[#Headers],[NUT]] &amp; "]"), "NOT FOUND", 0, 1)</f>
        <v>2910.0553634650723</v>
      </c>
      <c r="H332" s="8" cm="1">
        <f t="array" aca="1" ref="H332" ca="1">_xlfn.XLOOKUP(Table11[[#This Row],[Admin2PCODE]], tblPiNAnalysis[Admin2PCODE], INDIRECT("tblPiNAnalysis[" &amp; Table11[[#Headers],[SAL]] &amp; "]"), "NOT FOUND", 0, 1)</f>
        <v>22342.744999999999</v>
      </c>
      <c r="I332" s="8" cm="1">
        <f t="array" aca="1" ref="I332" ca="1">_xlfn.XLOOKUP(Table11[[#This Row],[Admin2PCODE]], tblPiNAnalysis[Admin2PCODE], INDIRECT("tblPiNAnalysis[" &amp; Table11[[#Headers],[EDU]] &amp; "]"), "NOT FOUND", 0, 1)</f>
        <v>10800.898750522818</v>
      </c>
      <c r="J332" s="8" cm="1">
        <f t="array" aca="1" ref="J332" ca="1">_xlfn.XLOOKUP(Table11[[#This Row],[Admin2PCODE]], tblPiNAnalysis[Admin2PCODE], INDIRECT("tblPiNAnalysis[" &amp; Table11[[#Headers],[PRO]] &amp; "]"), "NOT FOUND", 0, 1)</f>
        <v>14589.665401218521</v>
      </c>
      <c r="K332" s="8" cm="1">
        <f t="array" aca="1" ref="K332" ca="1">_xlfn.XLOOKUP(Table11[[#This Row],[Admin2PCODE]], tblPiNAnalysis[Admin2PCODE], INDIRECT("tblPiNAnalysis[" &amp; Table11[[#Headers],[ASH]] &amp; "]"), "NOT FOUND", 0, 1)</f>
        <v>36727.799999999996</v>
      </c>
      <c r="L332" s="8" cm="1">
        <f t="array" aca="1" ref="L332" ca="1">_xlfn.XLOOKUP(Table11[[#This Row],[Admin2PCODE]], tblPiNAnalysis[Admin2PCODE], INDIRECT("tblPiNAnalysis[" &amp; Table11[[#Headers],[NNA]] &amp; "]"), "NOT FOUND", 0, 1)</f>
        <v>4668.6929283899262</v>
      </c>
      <c r="M332" s="8" cm="1">
        <f t="array" aca="1" ref="M332" ca="1">_xlfn.XLOOKUP(Table11[[#This Row],[Admin2PCODE]], tblPiNAnalysis[Admin2PCODE], INDIRECT("tblPiNAnalysis[" &amp; Table11[[#Headers],[VBG]] &amp; "]"), "NOT FOUND", 0, 1)</f>
        <v>5106.3828904264819</v>
      </c>
      <c r="N332" s="8" cm="1">
        <f t="array" aca="1" ref="N332" ca="1">_xlfn.XLOOKUP(Table11[[#This Row],[Admin2PCODE]], tblPiNAnalysis[Admin2PCODE], INDIRECT("tblPiNAnalysis[" &amp; Table11[[#Headers],[PiN más alto]] &amp; "]"), "NOT FOUND", 0, 1)</f>
        <v>36727.799999999996</v>
      </c>
      <c r="O332" t="str" cm="1">
        <f t="array" aca="1" ref="O332" ca="1">_xlfn.XLOOKUP(Table11[[#This Row],[Admin2PCODE]], tblPiNAnalysis[Admin2PCODE], INDIRECT("tblPiNAnalysis[" &amp; Table11[[#Headers],[Sectores más altos]] &amp; "]"), "NOT FOUND", 0, 1)</f>
        <v>ASH</v>
      </c>
      <c r="P332" cm="1">
        <f t="array" ref="P332">_xlfn.XLOOKUP(Table11[[#This Row],[Admin2PCODE]], tblPiNAnalysis[Admin2PCODE], tblPiNAnalysis[Severidad], "NOT FOUND", 0, 1)</f>
        <v>3</v>
      </c>
      <c r="Q332" s="318">
        <v>1</v>
      </c>
      <c r="R332" s="318">
        <v>0.3383838383838384</v>
      </c>
      <c r="S332" s="318">
        <v>0.3383838383838384</v>
      </c>
      <c r="T332">
        <v>0</v>
      </c>
      <c r="W332">
        <f>_xlfn.XLOOKUP(Table11[[#This Row],[Admin2PCODE]],tblSeverityAnalysis[Admin 2 Código P],tblSeverityAnalysis[PRO],0,0)</f>
        <v>4</v>
      </c>
      <c r="Y332">
        <v>0</v>
      </c>
      <c r="Z332">
        <v>0</v>
      </c>
      <c r="AA332">
        <f t="shared" si="5"/>
        <v>0</v>
      </c>
    </row>
    <row r="333" spans="1:27">
      <c r="A333" t="s">
        <v>705</v>
      </c>
      <c r="B333" t="s">
        <v>706</v>
      </c>
      <c r="C333" s="42" t="s">
        <v>155</v>
      </c>
      <c r="D333" t="s">
        <v>741</v>
      </c>
      <c r="E333" s="8" cm="1">
        <f t="array" aca="1" ref="E333" ca="1">_xlfn.XLOOKUP(Table11[[#This Row],[Admin2PCODE]], tblPiNAnalysis[Admin2PCODE], INDIRECT("tblPiNAnalysis[" &amp; Table11[[#Headers],[Población]] &amp; "]"), "NOT FOUND", 0, 1)</f>
        <v>44823</v>
      </c>
      <c r="F333" s="8" cm="1">
        <f t="array" aca="1" ref="F333" ca="1">_xlfn.XLOOKUP(Table11[[#This Row],[Admin2PCODE]], tblPiNAnalysis[Admin2PCODE], INDIRECT("tblPiNAnalysis[" &amp; Table11[[#Headers],[SAMV]] &amp; "]"), "NOT FOUND", 0, 1)</f>
        <v>13368</v>
      </c>
      <c r="G333" s="8" cm="1">
        <f t="array" aca="1" ref="G333" ca="1">_xlfn.XLOOKUP(Table11[[#This Row],[Admin2PCODE]], tblPiNAnalysis[Admin2PCODE], INDIRECT("tblPiNAnalysis[" &amp; Table11[[#Headers],[NUT]] &amp; "]"), "NOT FOUND", 0, 1)</f>
        <v>1852.225308282038</v>
      </c>
      <c r="H333" s="8" cm="1">
        <f t="array" aca="1" ref="H333" ca="1">_xlfn.XLOOKUP(Table11[[#This Row],[Admin2PCODE]], tblPiNAnalysis[Admin2PCODE], INDIRECT("tblPiNAnalysis[" &amp; Table11[[#Headers],[SAL]] &amp; "]"), "NOT FOUND", 0, 1)</f>
        <v>18000</v>
      </c>
      <c r="I333" s="8" cm="1">
        <f t="array" aca="1" ref="I333" ca="1">_xlfn.XLOOKUP(Table11[[#This Row],[Admin2PCODE]], tblPiNAnalysis[Admin2PCODE], INDIRECT("tblPiNAnalysis[" &amp; Table11[[#Headers],[EDU]] &amp; "]"), "NOT FOUND", 0, 1)</f>
        <v>6940.3432415920124</v>
      </c>
      <c r="J333" s="8" cm="1">
        <f t="array" aca="1" ref="J333" ca="1">_xlfn.XLOOKUP(Table11[[#This Row],[Admin2PCODE]], tblPiNAnalysis[Admin2PCODE], INDIRECT("tblPiNAnalysis[" &amp; Table11[[#Headers],[PRO]] &amp; "]"), "NOT FOUND", 0, 1)</f>
        <v>10683.230233427832</v>
      </c>
      <c r="K333" s="8" cm="1">
        <f t="array" aca="1" ref="K333" ca="1">_xlfn.XLOOKUP(Table11[[#This Row],[Admin2PCODE]], tblPiNAnalysis[Admin2PCODE], INDIRECT("tblPiNAnalysis[" &amp; Table11[[#Headers],[ASH]] &amp; "]"), "NOT FOUND", 0, 1)</f>
        <v>6051.1050000000005</v>
      </c>
      <c r="L333" s="8" cm="1">
        <f t="array" aca="1" ref="L333" ca="1">_xlfn.XLOOKUP(Table11[[#This Row],[Admin2PCODE]], tblPiNAnalysis[Admin2PCODE], INDIRECT("tblPiNAnalysis[" &amp; Table11[[#Headers],[NNA]] &amp; "]"), "NOT FOUND", 0, 1)</f>
        <v>3418.6336746969064</v>
      </c>
      <c r="M333" s="8" cm="1">
        <f t="array" aca="1" ref="M333" ca="1">_xlfn.XLOOKUP(Table11[[#This Row],[Admin2PCODE]], tblPiNAnalysis[Admin2PCODE], INDIRECT("tblPiNAnalysis[" &amp; Table11[[#Headers],[VBG]] &amp; "]"), "NOT FOUND", 0, 1)</f>
        <v>3739.1305816997406</v>
      </c>
      <c r="N333" s="8" cm="1">
        <f t="array" aca="1" ref="N333" ca="1">_xlfn.XLOOKUP(Table11[[#This Row],[Admin2PCODE]], tblPiNAnalysis[Admin2PCODE], INDIRECT("tblPiNAnalysis[" &amp; Table11[[#Headers],[PiN más alto]] &amp; "]"), "NOT FOUND", 0, 1)</f>
        <v>18000</v>
      </c>
      <c r="O333" t="str" cm="1">
        <f t="array" aca="1" ref="O333" ca="1">_xlfn.XLOOKUP(Table11[[#This Row],[Admin2PCODE]], tblPiNAnalysis[Admin2PCODE], INDIRECT("tblPiNAnalysis[" &amp; Table11[[#Headers],[Sectores más altos]] &amp; "]"), "NOT FOUND", 0, 1)</f>
        <v>SAL</v>
      </c>
      <c r="P333" cm="1">
        <f t="array" ref="P333">_xlfn.XLOOKUP(Table11[[#This Row],[Admin2PCODE]], tblPiNAnalysis[Admin2PCODE], tblPiNAnalysis[Severidad], "NOT FOUND", 0, 1)</f>
        <v>3</v>
      </c>
      <c r="Q333" s="318">
        <v>0.2</v>
      </c>
      <c r="R333" s="318">
        <v>0.53819444444444431</v>
      </c>
      <c r="S333" s="318">
        <v>0.10763888888888887</v>
      </c>
      <c r="T333">
        <v>0</v>
      </c>
      <c r="W333">
        <f>_xlfn.XLOOKUP(Table11[[#This Row],[Admin2PCODE]],tblSeverityAnalysis[Admin 2 Código P],tblSeverityAnalysis[PRO],0,0)</f>
        <v>4</v>
      </c>
      <c r="Y333">
        <v>0</v>
      </c>
      <c r="Z333">
        <v>0</v>
      </c>
      <c r="AA333">
        <f t="shared" si="5"/>
        <v>0</v>
      </c>
    </row>
    <row r="334" spans="1:27">
      <c r="A334" t="s">
        <v>705</v>
      </c>
      <c r="B334" t="s">
        <v>706</v>
      </c>
      <c r="C334" s="42" t="s">
        <v>203</v>
      </c>
      <c r="D334" t="s">
        <v>742</v>
      </c>
      <c r="E334" s="8" cm="1">
        <f t="array" aca="1" ref="E334" ca="1">_xlfn.XLOOKUP(Table11[[#This Row],[Admin2PCODE]], tblPiNAnalysis[Admin2PCODE], INDIRECT("tblPiNAnalysis[" &amp; Table11[[#Headers],[Población]] &amp; "]"), "NOT FOUND", 0, 1)</f>
        <v>62202</v>
      </c>
      <c r="F334" s="8" cm="1">
        <f t="array" aca="1" ref="F334" ca="1">_xlfn.XLOOKUP(Table11[[#This Row],[Admin2PCODE]], tblPiNAnalysis[Admin2PCODE], INDIRECT("tblPiNAnalysis[" &amp; Table11[[#Headers],[SAMV]] &amp; "]"), "NOT FOUND", 0, 1)</f>
        <v>691</v>
      </c>
      <c r="G334" s="8" cm="1">
        <f t="array" aca="1" ref="G334" ca="1">_xlfn.XLOOKUP(Table11[[#This Row],[Admin2PCODE]], tblPiNAnalysis[Admin2PCODE], INDIRECT("tblPiNAnalysis[" &amp; Table11[[#Headers],[NUT]] &amp; "]"), "NOT FOUND", 0, 1)</f>
        <v>2649.657498886203</v>
      </c>
      <c r="H334" s="8" cm="1">
        <f t="array" aca="1" ref="H334" ca="1">_xlfn.XLOOKUP(Table11[[#This Row],[Admin2PCODE]], tblPiNAnalysis[Admin2PCODE], INDIRECT("tblPiNAnalysis[" &amp; Table11[[#Headers],[SAL]] &amp; "]"), "NOT FOUND", 0, 1)</f>
        <v>22703.73</v>
      </c>
      <c r="I334" s="8" cm="1">
        <f t="array" aca="1" ref="I334" ca="1">_xlfn.XLOOKUP(Table11[[#This Row],[Admin2PCODE]], tblPiNAnalysis[Admin2PCODE], INDIRECT("tblPiNAnalysis[" &amp; Table11[[#Headers],[EDU]] &amp; "]"), "NOT FOUND", 0, 1)</f>
        <v>8064.0540727214702</v>
      </c>
      <c r="J334" s="8" cm="1">
        <f t="array" aca="1" ref="J334" ca="1">_xlfn.XLOOKUP(Table11[[#This Row],[Admin2PCODE]], tblPiNAnalysis[Admin2PCODE], INDIRECT("tblPiNAnalysis[" &amp; Table11[[#Headers],[PRO]] &amp; "]"), "NOT FOUND", 0, 1)</f>
        <v>14825.386229830176</v>
      </c>
      <c r="K334" s="8" cm="1">
        <f t="array" aca="1" ref="K334" ca="1">_xlfn.XLOOKUP(Table11[[#This Row],[Admin2PCODE]], tblPiNAnalysis[Admin2PCODE], INDIRECT("tblPiNAnalysis[" &amp; Table11[[#Headers],[ASH]] &amp; "]"), "NOT FOUND", 0, 1)</f>
        <v>0</v>
      </c>
      <c r="L334" s="8" cm="1">
        <f t="array" aca="1" ref="L334" ca="1">_xlfn.XLOOKUP(Table11[[#This Row],[Admin2PCODE]], tblPiNAnalysis[Admin2PCODE], INDIRECT("tblPiNAnalysis[" &amp; Table11[[#Headers],[NNA]] &amp; "]"), "NOT FOUND", 0, 1)</f>
        <v>4758.9489797754868</v>
      </c>
      <c r="M334" s="8" cm="1">
        <f t="array" aca="1" ref="M334" ca="1">_xlfn.XLOOKUP(Table11[[#This Row],[Admin2PCODE]], tblPiNAnalysis[Admin2PCODE], INDIRECT("tblPiNAnalysis[" &amp; Table11[[#Headers],[VBG]] &amp; "]"), "NOT FOUND", 0, 1)</f>
        <v>5188.8851804405604</v>
      </c>
      <c r="N334" s="8" cm="1">
        <f t="array" aca="1" ref="N334" ca="1">_xlfn.XLOOKUP(Table11[[#This Row],[Admin2PCODE]], tblPiNAnalysis[Admin2PCODE], INDIRECT("tblPiNAnalysis[" &amp; Table11[[#Headers],[PiN más alto]] &amp; "]"), "NOT FOUND", 0, 1)</f>
        <v>22703.73</v>
      </c>
      <c r="O334" t="str" cm="1">
        <f t="array" aca="1" ref="O334" ca="1">_xlfn.XLOOKUP(Table11[[#This Row],[Admin2PCODE]], tblPiNAnalysis[Admin2PCODE], INDIRECT("tblPiNAnalysis[" &amp; Table11[[#Headers],[Sectores más altos]] &amp; "]"), "NOT FOUND", 0, 1)</f>
        <v>SAL</v>
      </c>
      <c r="P334" cm="1">
        <f t="array" ref="P334">_xlfn.XLOOKUP(Table11[[#This Row],[Admin2PCODE]], tblPiNAnalysis[Admin2PCODE], tblPiNAnalysis[Severidad], "NOT FOUND", 0, 1)</f>
        <v>3</v>
      </c>
      <c r="Q334" s="318">
        <v>0</v>
      </c>
      <c r="R334" s="318">
        <v>0</v>
      </c>
      <c r="S334" s="318">
        <v>0</v>
      </c>
      <c r="T334">
        <v>0</v>
      </c>
      <c r="W334">
        <f>_xlfn.XLOOKUP(Table11[[#This Row],[Admin2PCODE]],tblSeverityAnalysis[Admin 2 Código P],tblSeverityAnalysis[PRO],0,0)</f>
        <v>4</v>
      </c>
      <c r="Y334">
        <v>0</v>
      </c>
      <c r="Z334">
        <v>0</v>
      </c>
      <c r="AA334">
        <f t="shared" si="5"/>
        <v>0</v>
      </c>
    </row>
    <row r="335" spans="1:27">
      <c r="A335" t="s">
        <v>705</v>
      </c>
      <c r="B335" t="s">
        <v>706</v>
      </c>
      <c r="C335" s="42" t="s">
        <v>743</v>
      </c>
      <c r="D335" t="s">
        <v>744</v>
      </c>
      <c r="E335" s="8" cm="1">
        <f t="array" aca="1" ref="E335" ca="1">_xlfn.XLOOKUP(Table11[[#This Row],[Admin2PCODE]], tblPiNAnalysis[Admin2PCODE], INDIRECT("tblPiNAnalysis[" &amp; Table11[[#Headers],[Población]] &amp; "]"), "NOT FOUND", 0, 1)</f>
        <v>53812</v>
      </c>
      <c r="F335" s="8" cm="1">
        <f t="array" aca="1" ref="F335" ca="1">_xlfn.XLOOKUP(Table11[[#This Row],[Admin2PCODE]], tblPiNAnalysis[Admin2PCODE], INDIRECT("tblPiNAnalysis[" &amp; Table11[[#Headers],[SAMV]] &amp; "]"), "NOT FOUND", 0, 1)</f>
        <v>0</v>
      </c>
      <c r="G335" s="8" cm="1">
        <f t="array" aca="1" ref="G335" ca="1">_xlfn.XLOOKUP(Table11[[#This Row],[Admin2PCODE]], tblPiNAnalysis[Admin2PCODE], INDIRECT("tblPiNAnalysis[" &amp; Table11[[#Headers],[NUT]] &amp; "]"), "NOT FOUND", 0, 1)</f>
        <v>2216.227866304348</v>
      </c>
      <c r="H335" s="8" cm="1">
        <f t="array" aca="1" ref="H335" ca="1">_xlfn.XLOOKUP(Table11[[#This Row],[Admin2PCODE]], tblPiNAnalysis[Admin2PCODE], INDIRECT("tblPiNAnalysis[" &amp; Table11[[#Headers],[SAL]] &amp; "]"), "NOT FOUND", 0, 1)</f>
        <v>19641.38</v>
      </c>
      <c r="I335" s="8" cm="1">
        <f t="array" aca="1" ref="I335" ca="1">_xlfn.XLOOKUP(Table11[[#This Row],[Admin2PCODE]], tblPiNAnalysis[Admin2PCODE], INDIRECT("tblPiNAnalysis[" &amp; Table11[[#Headers],[EDU]] &amp; "]"), "NOT FOUND", 0, 1)</f>
        <v>7118.3492301004626</v>
      </c>
      <c r="J335" s="8" cm="1">
        <f t="array" aca="1" ref="J335" ca="1">_xlfn.XLOOKUP(Table11[[#This Row],[Admin2PCODE]], tblPiNAnalysis[Admin2PCODE], INDIRECT("tblPiNAnalysis[" &amp; Table11[[#Headers],[PRO]] &amp; "]"), "NOT FOUND", 0, 1)</f>
        <v>12825.691839484609</v>
      </c>
      <c r="K335" s="8" cm="1">
        <f t="array" aca="1" ref="K335" ca="1">_xlfn.XLOOKUP(Table11[[#This Row],[Admin2PCODE]], tblPiNAnalysis[Admin2PCODE], INDIRECT("tblPiNAnalysis[" &amp; Table11[[#Headers],[ASH]] &amp; "]"), "NOT FOUND", 0, 1)</f>
        <v>7264.62</v>
      </c>
      <c r="L335" s="8" cm="1">
        <f t="array" aca="1" ref="L335" ca="1">_xlfn.XLOOKUP(Table11[[#This Row],[Admin2PCODE]], tblPiNAnalysis[Admin2PCODE], INDIRECT("tblPiNAnalysis[" &amp; Table11[[#Headers],[NNA]] &amp; "]"), "NOT FOUND", 0, 1)</f>
        <v>4117.0470804745601</v>
      </c>
      <c r="M335" s="8" cm="1">
        <f t="array" aca="1" ref="M335" ca="1">_xlfn.XLOOKUP(Table11[[#This Row],[Admin2PCODE]], tblPiNAnalysis[Admin2PCODE], INDIRECT("tblPiNAnalysis[" &amp; Table11[[#Headers],[VBG]] &amp; "]"), "NOT FOUND", 0, 1)</f>
        <v>4488.9921438196125</v>
      </c>
      <c r="N335" s="8" cm="1">
        <f t="array" aca="1" ref="N335" ca="1">_xlfn.XLOOKUP(Table11[[#This Row],[Admin2PCODE]], tblPiNAnalysis[Admin2PCODE], INDIRECT("tblPiNAnalysis[" &amp; Table11[[#Headers],[PiN más alto]] &amp; "]"), "NOT FOUND", 0, 1)</f>
        <v>19641.38</v>
      </c>
      <c r="O335" t="str" cm="1">
        <f t="array" aca="1" ref="O335" ca="1">_xlfn.XLOOKUP(Table11[[#This Row],[Admin2PCODE]], tblPiNAnalysis[Admin2PCODE], INDIRECT("tblPiNAnalysis[" &amp; Table11[[#Headers],[Sectores más altos]] &amp; "]"), "NOT FOUND", 0, 1)</f>
        <v>SAL</v>
      </c>
      <c r="P335" cm="1">
        <f t="array" ref="P335">_xlfn.XLOOKUP(Table11[[#This Row],[Admin2PCODE]], tblPiNAnalysis[Admin2PCODE], tblPiNAnalysis[Severidad], "NOT FOUND", 0, 1)</f>
        <v>3</v>
      </c>
      <c r="Q335" s="318">
        <v>0</v>
      </c>
      <c r="R335" s="318">
        <v>0</v>
      </c>
      <c r="S335" s="318">
        <v>0</v>
      </c>
      <c r="T335">
        <v>0</v>
      </c>
      <c r="W335">
        <f>_xlfn.XLOOKUP(Table11[[#This Row],[Admin2PCODE]],tblSeverityAnalysis[Admin 2 Código P],tblSeverityAnalysis[PRO],0,0)</f>
        <v>4</v>
      </c>
      <c r="Y335">
        <v>0</v>
      </c>
      <c r="Z335">
        <v>0</v>
      </c>
      <c r="AA335">
        <f t="shared" si="5"/>
        <v>0</v>
      </c>
    </row>
    <row r="336" spans="1:27">
      <c r="A336" t="s">
        <v>745</v>
      </c>
      <c r="B336" t="s">
        <v>746</v>
      </c>
      <c r="C336" s="42" t="s">
        <v>747</v>
      </c>
      <c r="D336" t="s">
        <v>748</v>
      </c>
      <c r="E336" s="8" cm="1">
        <f t="array" aca="1" ref="E336" ca="1">_xlfn.XLOOKUP(Table11[[#This Row],[Admin2PCODE]], tblPiNAnalysis[Admin2PCODE], INDIRECT("tblPiNAnalysis[" &amp; Table11[[#Headers],[Población]] &amp; "]"), "NOT FOUND", 0, 1)</f>
        <v>360888</v>
      </c>
      <c r="F336" s="8" cm="1">
        <f t="array" aca="1" ref="F336" ca="1">_xlfn.XLOOKUP(Table11[[#This Row],[Admin2PCODE]], tblPiNAnalysis[Admin2PCODE], INDIRECT("tblPiNAnalysis[" &amp; Table11[[#Headers],[SAMV]] &amp; "]"), "NOT FOUND", 0, 1)</f>
        <v>16275</v>
      </c>
      <c r="G336" s="8" cm="1">
        <f t="array" aca="1" ref="G336" ca="1">_xlfn.XLOOKUP(Table11[[#This Row],[Admin2PCODE]], tblPiNAnalysis[Admin2PCODE], INDIRECT("tblPiNAnalysis[" &amp; Table11[[#Headers],[NUT]] &amp; "]"), "NOT FOUND", 0, 1)</f>
        <v>18458.621817052488</v>
      </c>
      <c r="H336" s="8" cm="1">
        <f t="array" aca="1" ref="H336" ca="1">_xlfn.XLOOKUP(Table11[[#This Row],[Admin2PCODE]], tblPiNAnalysis[Admin2PCODE], INDIRECT("tblPiNAnalysis[" &amp; Table11[[#Headers],[SAL]] &amp; "]"), "NOT FOUND", 0, 1)</f>
        <v>131724.12</v>
      </c>
      <c r="I336" s="8" cm="1">
        <f t="array" aca="1" ref="I336" ca="1">_xlfn.XLOOKUP(Table11[[#This Row],[Admin2PCODE]], tblPiNAnalysis[Admin2PCODE], INDIRECT("tblPiNAnalysis[" &amp; Table11[[#Headers],[EDU]] &amp; "]"), "NOT FOUND", 0, 1)</f>
        <v>30713.05727595514</v>
      </c>
      <c r="J336" s="8" cm="1">
        <f t="array" aca="1" ref="J336" ca="1">_xlfn.XLOOKUP(Table11[[#This Row],[Admin2PCODE]], tblPiNAnalysis[Admin2PCODE], INDIRECT("tblPiNAnalysis[" &amp; Table11[[#Headers],[PRO]] &amp; "]"), "NOT FOUND", 0, 1)</f>
        <v>143848.22999999998</v>
      </c>
      <c r="K336" s="8" cm="1">
        <f t="array" aca="1" ref="K336" ca="1">_xlfn.XLOOKUP(Table11[[#This Row],[Admin2PCODE]], tblPiNAnalysis[Admin2PCODE], INDIRECT("tblPiNAnalysis[" &amp; Table11[[#Headers],[ASH]] &amp; "]"), "NOT FOUND", 0, 1)</f>
        <v>162399.6</v>
      </c>
      <c r="L336" s="8" cm="1">
        <f t="array" aca="1" ref="L336" ca="1">_xlfn.XLOOKUP(Table11[[#This Row],[Admin2PCODE]], tblPiNAnalysis[Admin2PCODE], INDIRECT("tblPiNAnalysis[" &amp; Table11[[#Headers],[NNA]] &amp; "]"), "NOT FOUND", 0, 1)</f>
        <v>46031.433599999997</v>
      </c>
      <c r="M336" s="8" cm="1">
        <f t="array" aca="1" ref="M336" ca="1">_xlfn.XLOOKUP(Table11[[#This Row],[Admin2PCODE]], tblPiNAnalysis[Admin2PCODE], INDIRECT("tblPiNAnalysis[" &amp; Table11[[#Headers],[VBG]] &amp; "]"), "NOT FOUND", 0, 1)</f>
        <v>50346.880499999999</v>
      </c>
      <c r="N336" s="8" cm="1">
        <f t="array" aca="1" ref="N336" ca="1">_xlfn.XLOOKUP(Table11[[#This Row],[Admin2PCODE]], tblPiNAnalysis[Admin2PCODE], INDIRECT("tblPiNAnalysis[" &amp; Table11[[#Headers],[PiN más alto]] &amp; "]"), "NOT FOUND", 0, 1)</f>
        <v>162399.6</v>
      </c>
      <c r="O336" t="str" cm="1">
        <f t="array" aca="1" ref="O336" ca="1">_xlfn.XLOOKUP(Table11[[#This Row],[Admin2PCODE]], tblPiNAnalysis[Admin2PCODE], INDIRECT("tblPiNAnalysis[" &amp; Table11[[#Headers],[Sectores más altos]] &amp; "]"), "NOT FOUND", 0, 1)</f>
        <v>ASH</v>
      </c>
      <c r="P336" cm="1">
        <f t="array" ref="P336">_xlfn.XLOOKUP(Table11[[#This Row],[Admin2PCODE]], tblPiNAnalysis[Admin2PCODE], tblPiNAnalysis[Severidad], "NOT FOUND", 0, 1)</f>
        <v>3</v>
      </c>
      <c r="Q336" s="318">
        <v>7.6062639821029079E-2</v>
      </c>
      <c r="R336" s="318">
        <v>0.46568627450980382</v>
      </c>
      <c r="S336" s="318">
        <v>3.5421327367636084E-2</v>
      </c>
      <c r="T336">
        <v>0</v>
      </c>
      <c r="W336">
        <f>_xlfn.XLOOKUP(Table11[[#This Row],[Admin2PCODE]],tblSeverityAnalysis[Admin 2 Código P],tblSeverityAnalysis[PRO],0,0)</f>
        <v>4</v>
      </c>
      <c r="Y336">
        <v>0</v>
      </c>
      <c r="Z336">
        <v>0</v>
      </c>
      <c r="AA336">
        <f t="shared" si="5"/>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7CDD-4536-4C54-8583-0E12BD404CAD}">
  <dimension ref="A1:AL336"/>
  <sheetViews>
    <sheetView workbookViewId="0"/>
  </sheetViews>
  <sheetFormatPr defaultRowHeight="14.45"/>
  <cols>
    <col min="1" max="1" width="18.5703125" customWidth="1"/>
    <col min="2" max="2" width="10.42578125" customWidth="1"/>
    <col min="3" max="3" width="11.85546875" customWidth="1"/>
    <col min="12" max="12" width="10.5703125" customWidth="1"/>
    <col min="17" max="17" width="10.7109375" customWidth="1"/>
    <col min="18" max="18" width="9.28515625" customWidth="1"/>
    <col min="20" max="20" width="14.140625" customWidth="1"/>
    <col min="21" max="21" width="19.42578125" customWidth="1"/>
    <col min="22" max="22" width="9.5703125" customWidth="1"/>
    <col min="30" max="30" width="9.7109375" customWidth="1"/>
    <col min="31" max="31" width="9.28515625" style="6" customWidth="1"/>
    <col min="32" max="32" width="12.5703125" style="6" customWidth="1"/>
    <col min="33" max="33" width="9.140625" style="6"/>
    <col min="34" max="34" width="14.5703125" customWidth="1"/>
    <col min="35" max="35" width="11.7109375" customWidth="1"/>
    <col min="36" max="36" width="12.140625" customWidth="1"/>
    <col min="37" max="37" width="12.5703125" customWidth="1"/>
    <col min="38" max="38" width="15" customWidth="1"/>
  </cols>
  <sheetData>
    <row r="1" spans="1:38">
      <c r="A1" t="s">
        <v>71</v>
      </c>
      <c r="B1" t="s">
        <v>70</v>
      </c>
      <c r="C1" t="s">
        <v>62</v>
      </c>
      <c r="D1" t="s">
        <v>92</v>
      </c>
      <c r="E1" t="s">
        <v>93</v>
      </c>
      <c r="F1" t="s">
        <v>94</v>
      </c>
      <c r="G1" t="s">
        <v>95</v>
      </c>
      <c r="H1" t="s">
        <v>96</v>
      </c>
      <c r="I1" t="s">
        <v>97</v>
      </c>
      <c r="J1" t="s">
        <v>766</v>
      </c>
      <c r="K1" t="s">
        <v>767</v>
      </c>
      <c r="L1" t="s">
        <v>768</v>
      </c>
      <c r="M1" t="s">
        <v>769</v>
      </c>
      <c r="N1" t="s">
        <v>770</v>
      </c>
      <c r="O1" t="s">
        <v>771</v>
      </c>
      <c r="P1" t="s">
        <v>772</v>
      </c>
      <c r="Q1" t="s">
        <v>773</v>
      </c>
      <c r="R1" t="s">
        <v>774</v>
      </c>
      <c r="S1" t="s">
        <v>775</v>
      </c>
      <c r="T1" t="s">
        <v>776</v>
      </c>
      <c r="U1" t="s">
        <v>753</v>
      </c>
      <c r="V1" t="s">
        <v>1169</v>
      </c>
      <c r="W1" t="s">
        <v>1170</v>
      </c>
      <c r="X1" t="s">
        <v>1171</v>
      </c>
      <c r="Y1" t="s">
        <v>1172</v>
      </c>
      <c r="Z1" t="s">
        <v>1173</v>
      </c>
      <c r="AA1" t="s">
        <v>1174</v>
      </c>
      <c r="AB1" t="s">
        <v>1175</v>
      </c>
      <c r="AC1" t="s">
        <v>1176</v>
      </c>
      <c r="AD1" t="s">
        <v>1157</v>
      </c>
      <c r="AE1" s="6" t="s">
        <v>1158</v>
      </c>
      <c r="AF1" s="6" t="s">
        <v>1159</v>
      </c>
      <c r="AG1" s="6" t="s">
        <v>1160</v>
      </c>
      <c r="AH1" t="s">
        <v>1161</v>
      </c>
      <c r="AI1" t="s">
        <v>1162</v>
      </c>
      <c r="AJ1" t="s">
        <v>1163</v>
      </c>
      <c r="AK1" t="s">
        <v>1164</v>
      </c>
      <c r="AL1" t="s">
        <v>1165</v>
      </c>
    </row>
    <row r="2" spans="1:38">
      <c r="A2" t="s">
        <v>313</v>
      </c>
      <c r="B2" t="s">
        <v>312</v>
      </c>
      <c r="C2">
        <v>6438</v>
      </c>
      <c r="D2">
        <v>3979</v>
      </c>
      <c r="E2">
        <v>2741.6181750233609</v>
      </c>
      <c r="F2">
        <v>15491.33</v>
      </c>
      <c r="G2">
        <v>4309.9988029649658</v>
      </c>
      <c r="H2">
        <v>10157.447364713376</v>
      </c>
      <c r="I2">
        <v>25465.200000000001</v>
      </c>
      <c r="J2">
        <v>3250.3831567082807</v>
      </c>
      <c r="K2">
        <v>3555.1065776496816</v>
      </c>
      <c r="L2">
        <v>0.1</v>
      </c>
      <c r="M2">
        <v>0.05</v>
      </c>
      <c r="N2">
        <v>0.35000000000000003</v>
      </c>
      <c r="O2">
        <v>0.1</v>
      </c>
      <c r="P2">
        <v>0.25</v>
      </c>
      <c r="Q2">
        <v>0.60000000000000009</v>
      </c>
      <c r="R2">
        <v>0.1</v>
      </c>
      <c r="S2">
        <v>0.1</v>
      </c>
      <c r="T2">
        <v>25465.200000000001</v>
      </c>
      <c r="U2" t="s">
        <v>97</v>
      </c>
      <c r="V2">
        <v>4</v>
      </c>
      <c r="W2">
        <v>3</v>
      </c>
      <c r="X2">
        <v>4</v>
      </c>
      <c r="Y2">
        <v>5</v>
      </c>
      <c r="Z2">
        <v>4</v>
      </c>
      <c r="AA2">
        <v>4</v>
      </c>
      <c r="AB2">
        <v>4</v>
      </c>
      <c r="AC2">
        <v>4</v>
      </c>
      <c r="AD2">
        <v>4</v>
      </c>
      <c r="AE2" s="6">
        <v>1</v>
      </c>
      <c r="AF2" s="6">
        <v>0.80740740740740713</v>
      </c>
      <c r="AG2" s="6">
        <v>0.80740740740740713</v>
      </c>
      <c r="AH2">
        <v>1</v>
      </c>
    </row>
    <row r="3" spans="1:38">
      <c r="A3" t="s">
        <v>371</v>
      </c>
      <c r="B3" t="s">
        <v>370</v>
      </c>
      <c r="C3">
        <v>20206</v>
      </c>
      <c r="D3">
        <v>0</v>
      </c>
      <c r="E3">
        <v>1261.2460013428754</v>
      </c>
      <c r="F3">
        <v>8862.5650000000005</v>
      </c>
      <c r="G3">
        <v>2579.0220908425704</v>
      </c>
      <c r="H3">
        <v>4500.597130470037</v>
      </c>
      <c r="I3">
        <v>0</v>
      </c>
      <c r="J3">
        <v>1444.6916788808819</v>
      </c>
      <c r="K3">
        <v>1575.2089956645129</v>
      </c>
      <c r="L3">
        <v>0</v>
      </c>
      <c r="M3">
        <v>0.05</v>
      </c>
      <c r="N3">
        <v>0.35000000000000003</v>
      </c>
      <c r="O3">
        <v>0.1</v>
      </c>
      <c r="P3">
        <v>0.2</v>
      </c>
      <c r="Q3">
        <v>0</v>
      </c>
      <c r="R3">
        <v>0.05</v>
      </c>
      <c r="S3">
        <v>0.05</v>
      </c>
      <c r="T3">
        <v>8862.5650000000005</v>
      </c>
      <c r="U3" t="s">
        <v>94</v>
      </c>
      <c r="V3">
        <v>4</v>
      </c>
      <c r="W3">
        <v>2</v>
      </c>
      <c r="X3">
        <v>4</v>
      </c>
      <c r="Y3">
        <v>4</v>
      </c>
      <c r="Z3">
        <v>3</v>
      </c>
      <c r="AA3">
        <v>3</v>
      </c>
      <c r="AB3">
        <v>3</v>
      </c>
      <c r="AC3">
        <v>3</v>
      </c>
      <c r="AD3">
        <v>3</v>
      </c>
      <c r="AE3" s="6">
        <v>1</v>
      </c>
      <c r="AF3" s="6">
        <v>0.77777777777777746</v>
      </c>
      <c r="AG3" s="6">
        <v>0.77777777777777746</v>
      </c>
      <c r="AH3">
        <v>0</v>
      </c>
    </row>
    <row r="4" spans="1:38">
      <c r="A4" t="s">
        <v>142</v>
      </c>
      <c r="B4" t="s">
        <v>141</v>
      </c>
      <c r="C4">
        <v>14437</v>
      </c>
      <c r="D4">
        <v>21868</v>
      </c>
      <c r="E4">
        <v>6344.3324429168088</v>
      </c>
      <c r="F4">
        <v>27200</v>
      </c>
      <c r="G4">
        <v>706.101853914201</v>
      </c>
      <c r="H4">
        <v>14370.555676661454</v>
      </c>
      <c r="I4">
        <v>35905.199999999997</v>
      </c>
      <c r="J4">
        <v>4598.577816531666</v>
      </c>
      <c r="K4">
        <v>5029.6944868315077</v>
      </c>
      <c r="L4">
        <v>0.35000000000000003</v>
      </c>
      <c r="M4">
        <v>0.1</v>
      </c>
      <c r="N4">
        <v>0.45</v>
      </c>
      <c r="O4">
        <v>0</v>
      </c>
      <c r="P4">
        <v>0.25</v>
      </c>
      <c r="Q4">
        <v>0.60000000000000009</v>
      </c>
      <c r="R4">
        <v>0.1</v>
      </c>
      <c r="S4">
        <v>0.1</v>
      </c>
      <c r="T4">
        <v>35905.199999999997</v>
      </c>
      <c r="U4" t="s">
        <v>97</v>
      </c>
      <c r="V4">
        <v>3</v>
      </c>
      <c r="W4">
        <v>1</v>
      </c>
      <c r="X4">
        <v>3</v>
      </c>
      <c r="Y4">
        <v>3</v>
      </c>
      <c r="Z4">
        <v>2</v>
      </c>
      <c r="AA4">
        <v>2</v>
      </c>
      <c r="AB4">
        <v>2</v>
      </c>
      <c r="AC4">
        <v>2</v>
      </c>
      <c r="AD4">
        <v>2</v>
      </c>
      <c r="AE4" s="6">
        <v>1</v>
      </c>
      <c r="AF4" s="6">
        <v>0.52469135802469125</v>
      </c>
      <c r="AG4" s="6">
        <v>0.52469135802469125</v>
      </c>
      <c r="AH4">
        <v>0</v>
      </c>
    </row>
    <row r="5" spans="1:38">
      <c r="A5" t="s">
        <v>558</v>
      </c>
      <c r="B5" t="s">
        <v>557</v>
      </c>
      <c r="C5">
        <v>17623</v>
      </c>
      <c r="D5">
        <v>3995</v>
      </c>
      <c r="E5">
        <v>1256.7226782629036</v>
      </c>
      <c r="F5">
        <v>9573.2199999999993</v>
      </c>
      <c r="G5">
        <v>1499.9332107983814</v>
      </c>
      <c r="H5">
        <v>5232.1632431114303</v>
      </c>
      <c r="I5">
        <v>3540.78</v>
      </c>
      <c r="J5">
        <v>1674.2922377956579</v>
      </c>
      <c r="K5">
        <v>1831.2571350890003</v>
      </c>
      <c r="L5">
        <v>0.15000000000000002</v>
      </c>
      <c r="M5">
        <v>0.05</v>
      </c>
      <c r="N5">
        <v>0.35000000000000003</v>
      </c>
      <c r="O5">
        <v>0.05</v>
      </c>
      <c r="P5">
        <v>0.2</v>
      </c>
      <c r="Q5">
        <v>0.15000000000000002</v>
      </c>
      <c r="R5">
        <v>0.05</v>
      </c>
      <c r="S5">
        <v>0.05</v>
      </c>
      <c r="T5">
        <v>9573.2199999999993</v>
      </c>
      <c r="U5" t="s">
        <v>94</v>
      </c>
      <c r="V5">
        <v>4</v>
      </c>
      <c r="W5">
        <v>2</v>
      </c>
      <c r="X5">
        <v>3</v>
      </c>
      <c r="Y5">
        <v>3</v>
      </c>
      <c r="Z5">
        <v>2</v>
      </c>
      <c r="AA5">
        <v>2</v>
      </c>
      <c r="AB5">
        <v>2</v>
      </c>
      <c r="AC5">
        <v>2</v>
      </c>
      <c r="AD5">
        <v>2</v>
      </c>
      <c r="AE5" s="6">
        <v>1</v>
      </c>
      <c r="AF5" s="6">
        <v>0.47530864197530853</v>
      </c>
      <c r="AG5" s="6">
        <v>0.47530864197530853</v>
      </c>
      <c r="AH5">
        <v>0</v>
      </c>
    </row>
    <row r="6" spans="1:38">
      <c r="A6" t="s">
        <v>629</v>
      </c>
      <c r="B6" t="s">
        <v>628</v>
      </c>
      <c r="C6">
        <v>17911</v>
      </c>
      <c r="D6">
        <v>623</v>
      </c>
      <c r="E6">
        <v>252.1395101639344</v>
      </c>
      <c r="F6">
        <v>2883.6363636363635</v>
      </c>
      <c r="G6">
        <v>671.37460056665236</v>
      </c>
      <c r="H6">
        <v>898.38625581354472</v>
      </c>
      <c r="I6">
        <v>0</v>
      </c>
      <c r="J6">
        <v>287.48360186033426</v>
      </c>
      <c r="K6">
        <v>314.43518953474063</v>
      </c>
      <c r="L6">
        <v>0.1</v>
      </c>
      <c r="M6">
        <v>0.05</v>
      </c>
      <c r="N6">
        <v>0.4</v>
      </c>
      <c r="O6">
        <v>0.1</v>
      </c>
      <c r="P6">
        <v>0.1</v>
      </c>
      <c r="Q6">
        <v>0</v>
      </c>
      <c r="R6">
        <v>0.05</v>
      </c>
      <c r="S6">
        <v>0.05</v>
      </c>
      <c r="T6">
        <v>2883.6363636363635</v>
      </c>
      <c r="U6" t="s">
        <v>94</v>
      </c>
      <c r="V6">
        <v>3</v>
      </c>
      <c r="W6">
        <v>1</v>
      </c>
      <c r="X6">
        <v>3</v>
      </c>
      <c r="Y6">
        <v>3</v>
      </c>
      <c r="Z6">
        <v>3</v>
      </c>
      <c r="AA6">
        <v>2</v>
      </c>
      <c r="AB6">
        <v>3</v>
      </c>
      <c r="AC6">
        <v>3</v>
      </c>
      <c r="AD6">
        <v>3</v>
      </c>
      <c r="AE6" s="6">
        <v>1</v>
      </c>
      <c r="AF6" s="6">
        <v>0.45833333333333326</v>
      </c>
      <c r="AG6" s="6">
        <v>0.45833333333333326</v>
      </c>
      <c r="AH6">
        <v>0</v>
      </c>
    </row>
    <row r="7" spans="1:38">
      <c r="A7" t="s">
        <v>633</v>
      </c>
      <c r="B7" t="s">
        <v>632</v>
      </c>
      <c r="C7">
        <v>10243</v>
      </c>
      <c r="D7">
        <v>343</v>
      </c>
      <c r="E7">
        <v>856.51694393951448</v>
      </c>
      <c r="F7">
        <v>7505.13</v>
      </c>
      <c r="G7">
        <v>2268.489856391257</v>
      </c>
      <c r="H7">
        <v>2469.6013625719402</v>
      </c>
      <c r="I7">
        <v>0</v>
      </c>
      <c r="J7">
        <v>790.27243602302087</v>
      </c>
      <c r="K7">
        <v>864.36047690017892</v>
      </c>
      <c r="L7">
        <v>0</v>
      </c>
      <c r="M7">
        <v>0.05</v>
      </c>
      <c r="N7">
        <v>0.35000000000000003</v>
      </c>
      <c r="O7">
        <v>0.1</v>
      </c>
      <c r="P7">
        <v>0.1</v>
      </c>
      <c r="Q7">
        <v>0</v>
      </c>
      <c r="R7">
        <v>0.05</v>
      </c>
      <c r="S7">
        <v>0.05</v>
      </c>
      <c r="T7">
        <v>7505.13</v>
      </c>
      <c r="U7" t="s">
        <v>94</v>
      </c>
      <c r="V7">
        <v>3</v>
      </c>
      <c r="W7">
        <v>1</v>
      </c>
      <c r="X7">
        <v>4</v>
      </c>
      <c r="Y7">
        <v>3</v>
      </c>
      <c r="Z7">
        <v>2</v>
      </c>
      <c r="AA7">
        <v>2</v>
      </c>
      <c r="AB7">
        <v>2</v>
      </c>
      <c r="AC7">
        <v>2</v>
      </c>
      <c r="AD7">
        <v>2</v>
      </c>
      <c r="AE7" s="6">
        <v>0.75</v>
      </c>
      <c r="AF7" s="6">
        <v>0.56296296296296289</v>
      </c>
      <c r="AG7" s="6">
        <v>0.42222222222222217</v>
      </c>
      <c r="AH7">
        <v>0</v>
      </c>
    </row>
    <row r="8" spans="1:38">
      <c r="A8" t="s">
        <v>487</v>
      </c>
      <c r="B8" t="s">
        <v>155</v>
      </c>
      <c r="C8">
        <v>42597</v>
      </c>
      <c r="D8">
        <v>6599</v>
      </c>
      <c r="E8">
        <v>666.48086845537387</v>
      </c>
      <c r="F8">
        <v>12600</v>
      </c>
      <c r="G8">
        <v>859.03253717400207</v>
      </c>
      <c r="H8">
        <v>3720.558464639003</v>
      </c>
      <c r="I8">
        <v>0</v>
      </c>
      <c r="J8">
        <v>1190.5787086844809</v>
      </c>
      <c r="K8">
        <v>1302.1954626236509</v>
      </c>
      <c r="L8">
        <v>0.35000000000000003</v>
      </c>
      <c r="M8">
        <v>0.05</v>
      </c>
      <c r="N8">
        <v>0.70000000000000007</v>
      </c>
      <c r="O8">
        <v>0.05</v>
      </c>
      <c r="P8">
        <v>0.2</v>
      </c>
      <c r="Q8">
        <v>0</v>
      </c>
      <c r="R8">
        <v>0.05</v>
      </c>
      <c r="S8">
        <v>0.05</v>
      </c>
      <c r="T8">
        <v>12600</v>
      </c>
      <c r="U8" t="s">
        <v>94</v>
      </c>
      <c r="V8">
        <v>3</v>
      </c>
      <c r="W8">
        <v>1</v>
      </c>
      <c r="X8">
        <v>3</v>
      </c>
      <c r="Y8">
        <v>4</v>
      </c>
      <c r="Z8">
        <v>4</v>
      </c>
      <c r="AA8">
        <v>2</v>
      </c>
      <c r="AB8">
        <v>4</v>
      </c>
      <c r="AC8">
        <v>4</v>
      </c>
      <c r="AD8">
        <v>3</v>
      </c>
      <c r="AE8" s="6">
        <v>0.7857142857142857</v>
      </c>
      <c r="AF8" s="6">
        <v>0.51010101010100994</v>
      </c>
      <c r="AG8" s="6">
        <v>0.40079365079365065</v>
      </c>
      <c r="AH8">
        <v>0</v>
      </c>
    </row>
    <row r="9" spans="1:38">
      <c r="A9" t="s">
        <v>454</v>
      </c>
      <c r="B9" t="s">
        <v>453</v>
      </c>
      <c r="C9">
        <v>11162</v>
      </c>
      <c r="D9">
        <v>2005</v>
      </c>
      <c r="E9">
        <v>1528.0685771064743</v>
      </c>
      <c r="F9">
        <v>19300.105</v>
      </c>
      <c r="G9">
        <v>6999.6638382914334</v>
      </c>
      <c r="H9">
        <v>12649.74182014386</v>
      </c>
      <c r="I9">
        <v>3569.1975000000002</v>
      </c>
      <c r="J9">
        <v>4060.5671242661788</v>
      </c>
      <c r="K9">
        <v>4427.4096370503503</v>
      </c>
      <c r="L9">
        <v>0.05</v>
      </c>
      <c r="M9">
        <v>0.05</v>
      </c>
      <c r="N9">
        <v>0.35000000000000003</v>
      </c>
      <c r="O9">
        <v>0.15000000000000002</v>
      </c>
      <c r="P9">
        <v>0.25</v>
      </c>
      <c r="Q9">
        <v>0.05</v>
      </c>
      <c r="R9">
        <v>0.1</v>
      </c>
      <c r="S9">
        <v>0.1</v>
      </c>
      <c r="T9">
        <v>19300.105</v>
      </c>
      <c r="U9" t="s">
        <v>94</v>
      </c>
      <c r="V9">
        <v>3</v>
      </c>
      <c r="W9">
        <v>1</v>
      </c>
      <c r="X9">
        <v>3</v>
      </c>
      <c r="Y9">
        <v>3</v>
      </c>
      <c r="Z9">
        <v>2</v>
      </c>
      <c r="AA9">
        <v>3</v>
      </c>
      <c r="AB9">
        <v>2</v>
      </c>
      <c r="AC9">
        <v>2</v>
      </c>
      <c r="AD9">
        <v>3</v>
      </c>
      <c r="AE9" s="6">
        <v>1</v>
      </c>
      <c r="AF9" s="6">
        <v>0.3856209150326797</v>
      </c>
      <c r="AG9" s="6">
        <v>0.3856209150326797</v>
      </c>
      <c r="AH9">
        <v>0</v>
      </c>
    </row>
    <row r="10" spans="1:38">
      <c r="A10" t="s">
        <v>543</v>
      </c>
      <c r="B10" t="s">
        <v>542</v>
      </c>
      <c r="C10">
        <v>44945</v>
      </c>
      <c r="D10">
        <v>22117</v>
      </c>
      <c r="E10">
        <v>1747.0312648443976</v>
      </c>
      <c r="F10">
        <v>18371.91</v>
      </c>
      <c r="G10">
        <v>2612.3250879443831</v>
      </c>
      <c r="H10">
        <v>7959.0928470456447</v>
      </c>
      <c r="I10">
        <v>0</v>
      </c>
      <c r="J10">
        <v>2554.868803901652</v>
      </c>
      <c r="K10">
        <v>2785.6824964659754</v>
      </c>
      <c r="L10">
        <v>0.45</v>
      </c>
      <c r="M10">
        <v>0.05</v>
      </c>
      <c r="N10">
        <v>0.35000000000000003</v>
      </c>
      <c r="O10">
        <v>0.05</v>
      </c>
      <c r="P10">
        <v>0.15000000000000002</v>
      </c>
      <c r="Q10">
        <v>0</v>
      </c>
      <c r="R10">
        <v>0.05</v>
      </c>
      <c r="S10">
        <v>0.05</v>
      </c>
      <c r="T10">
        <v>22117</v>
      </c>
      <c r="U10" t="s">
        <v>92</v>
      </c>
      <c r="V10">
        <v>4</v>
      </c>
      <c r="W10">
        <v>2</v>
      </c>
      <c r="X10">
        <v>3</v>
      </c>
      <c r="Y10">
        <v>3</v>
      </c>
      <c r="Z10">
        <v>3</v>
      </c>
      <c r="AA10">
        <v>2</v>
      </c>
      <c r="AB10">
        <v>3</v>
      </c>
      <c r="AC10">
        <v>3</v>
      </c>
      <c r="AD10">
        <v>3</v>
      </c>
      <c r="AE10" s="6">
        <v>0.81818181818181823</v>
      </c>
      <c r="AF10" s="6">
        <v>0.45414462081128742</v>
      </c>
      <c r="AG10" s="6">
        <v>0.37157287157287155</v>
      </c>
      <c r="AH10">
        <v>0</v>
      </c>
    </row>
    <row r="11" spans="1:38">
      <c r="A11" t="s">
        <v>162</v>
      </c>
      <c r="B11" t="s">
        <v>161</v>
      </c>
      <c r="C11">
        <v>37829</v>
      </c>
      <c r="D11">
        <v>3968</v>
      </c>
      <c r="E11">
        <v>966.74603809951179</v>
      </c>
      <c r="F11">
        <v>12309.26</v>
      </c>
      <c r="G11">
        <v>4566.0120189277332</v>
      </c>
      <c r="H11">
        <v>6727.9229799983796</v>
      </c>
      <c r="I11">
        <v>2276.37</v>
      </c>
      <c r="J11">
        <v>2159.6632765794802</v>
      </c>
      <c r="K11">
        <v>2354.7730429994326</v>
      </c>
      <c r="L11">
        <v>0.1</v>
      </c>
      <c r="M11">
        <v>0.05</v>
      </c>
      <c r="N11">
        <v>0.35000000000000003</v>
      </c>
      <c r="O11">
        <v>0.15000000000000002</v>
      </c>
      <c r="P11">
        <v>0.2</v>
      </c>
      <c r="Q11">
        <v>0.05</v>
      </c>
      <c r="R11">
        <v>0.05</v>
      </c>
      <c r="S11">
        <v>0.05</v>
      </c>
      <c r="T11">
        <v>12309.26</v>
      </c>
      <c r="U11" t="s">
        <v>94</v>
      </c>
      <c r="V11">
        <v>3</v>
      </c>
      <c r="W11">
        <v>1</v>
      </c>
      <c r="X11">
        <v>3</v>
      </c>
      <c r="Y11">
        <v>4</v>
      </c>
      <c r="Z11">
        <v>4</v>
      </c>
      <c r="AA11">
        <v>2</v>
      </c>
      <c r="AB11">
        <v>4</v>
      </c>
      <c r="AC11">
        <v>4</v>
      </c>
      <c r="AD11">
        <v>3</v>
      </c>
      <c r="AE11" s="6">
        <v>0.87692307692307692</v>
      </c>
      <c r="AF11" s="6">
        <v>0.41520467836257313</v>
      </c>
      <c r="AG11" s="6">
        <v>0.36410256410256414</v>
      </c>
      <c r="AH11">
        <v>0</v>
      </c>
    </row>
    <row r="12" spans="1:38">
      <c r="A12" t="s">
        <v>623</v>
      </c>
      <c r="B12" t="s">
        <v>622</v>
      </c>
      <c r="C12">
        <v>32180</v>
      </c>
      <c r="D12">
        <v>54165</v>
      </c>
      <c r="E12">
        <v>21209.378874243779</v>
      </c>
      <c r="F12">
        <v>98447.8</v>
      </c>
      <c r="G12">
        <v>35479.946217767319</v>
      </c>
      <c r="H12">
        <v>53991.252432715999</v>
      </c>
      <c r="I12">
        <v>0</v>
      </c>
      <c r="J12">
        <v>17277.20077846912</v>
      </c>
      <c r="K12">
        <v>18896.938351450597</v>
      </c>
      <c r="L12">
        <v>0.2</v>
      </c>
      <c r="M12">
        <v>0.1</v>
      </c>
      <c r="N12">
        <v>0.35000000000000003</v>
      </c>
      <c r="O12">
        <v>0.15000000000000002</v>
      </c>
      <c r="P12">
        <v>0.2</v>
      </c>
      <c r="Q12">
        <v>0</v>
      </c>
      <c r="R12">
        <v>0.05</v>
      </c>
      <c r="S12">
        <v>0.05</v>
      </c>
      <c r="T12">
        <v>98447.8</v>
      </c>
      <c r="U12" t="s">
        <v>94</v>
      </c>
      <c r="V12">
        <v>2</v>
      </c>
      <c r="W12">
        <v>2</v>
      </c>
      <c r="X12">
        <v>4</v>
      </c>
      <c r="Y12">
        <v>4</v>
      </c>
      <c r="Z12">
        <v>3</v>
      </c>
      <c r="AA12">
        <v>3</v>
      </c>
      <c r="AB12">
        <v>3</v>
      </c>
      <c r="AC12">
        <v>3</v>
      </c>
      <c r="AD12">
        <v>3</v>
      </c>
      <c r="AE12" s="6">
        <v>0.91666666666666663</v>
      </c>
      <c r="AF12" s="6">
        <v>0.39292929292929285</v>
      </c>
      <c r="AG12" s="6">
        <v>0.36018518518518511</v>
      </c>
      <c r="AH12">
        <v>0</v>
      </c>
    </row>
    <row r="13" spans="1:38">
      <c r="A13" t="s">
        <v>309</v>
      </c>
      <c r="B13" t="s">
        <v>308</v>
      </c>
      <c r="C13">
        <v>26655</v>
      </c>
      <c r="D13">
        <v>2632</v>
      </c>
      <c r="E13">
        <v>1275.4925719681594</v>
      </c>
      <c r="F13">
        <v>2882.04</v>
      </c>
      <c r="G13">
        <v>672.57931585203801</v>
      </c>
      <c r="H13">
        <v>1574.2859885029077</v>
      </c>
      <c r="I13">
        <v>4737.5999999999995</v>
      </c>
      <c r="J13">
        <v>505.3458023094334</v>
      </c>
      <c r="K13">
        <v>551.00009597601763</v>
      </c>
      <c r="L13">
        <v>0.35000000000000003</v>
      </c>
      <c r="M13">
        <v>0.15000000000000002</v>
      </c>
      <c r="N13">
        <v>0.35000000000000003</v>
      </c>
      <c r="O13">
        <v>0.1</v>
      </c>
      <c r="P13">
        <v>0.2</v>
      </c>
      <c r="Q13">
        <v>0.60000000000000009</v>
      </c>
      <c r="R13">
        <v>0.05</v>
      </c>
      <c r="S13">
        <v>0.05</v>
      </c>
      <c r="T13">
        <v>4737.5999999999995</v>
      </c>
      <c r="U13" t="s">
        <v>97</v>
      </c>
      <c r="V13">
        <v>4</v>
      </c>
      <c r="W13">
        <v>3</v>
      </c>
      <c r="X13">
        <v>4</v>
      </c>
      <c r="Y13">
        <v>5</v>
      </c>
      <c r="Z13">
        <v>4</v>
      </c>
      <c r="AA13">
        <v>4</v>
      </c>
      <c r="AB13">
        <v>4</v>
      </c>
      <c r="AC13">
        <v>4</v>
      </c>
      <c r="AD13">
        <v>5</v>
      </c>
      <c r="AE13" s="6">
        <v>0.65384615384615385</v>
      </c>
      <c r="AF13" s="6">
        <v>0.54901960784313708</v>
      </c>
      <c r="AG13" s="6">
        <v>0.35897435897435886</v>
      </c>
      <c r="AH13">
        <v>1</v>
      </c>
    </row>
    <row r="14" spans="1:38">
      <c r="A14" t="s">
        <v>132</v>
      </c>
      <c r="B14" t="s">
        <v>131</v>
      </c>
      <c r="C14">
        <v>30891</v>
      </c>
      <c r="D14">
        <v>102118</v>
      </c>
      <c r="E14">
        <v>15306.587667368825</v>
      </c>
      <c r="F14">
        <v>157292.37</v>
      </c>
      <c r="G14">
        <v>47018.271789925355</v>
      </c>
      <c r="H14">
        <v>102856.01449116059</v>
      </c>
      <c r="I14">
        <v>258562.8</v>
      </c>
      <c r="J14">
        <v>32913.924637171389</v>
      </c>
      <c r="K14">
        <v>35999.605071906204</v>
      </c>
      <c r="L14">
        <v>0.25</v>
      </c>
      <c r="M14">
        <v>0.05</v>
      </c>
      <c r="N14">
        <v>0.35000000000000003</v>
      </c>
      <c r="O14">
        <v>0.1</v>
      </c>
      <c r="P14">
        <v>0.25</v>
      </c>
      <c r="Q14">
        <v>0.60000000000000009</v>
      </c>
      <c r="R14">
        <v>0.1</v>
      </c>
      <c r="S14">
        <v>0.1</v>
      </c>
      <c r="T14">
        <v>258562.8</v>
      </c>
      <c r="U14" t="s">
        <v>97</v>
      </c>
      <c r="V14">
        <v>3</v>
      </c>
      <c r="W14">
        <v>2</v>
      </c>
      <c r="X14">
        <v>3</v>
      </c>
      <c r="Y14">
        <v>4</v>
      </c>
      <c r="Z14">
        <v>3</v>
      </c>
      <c r="AA14">
        <v>3</v>
      </c>
      <c r="AB14">
        <v>3</v>
      </c>
      <c r="AC14">
        <v>3</v>
      </c>
      <c r="AD14">
        <v>3</v>
      </c>
      <c r="AE14" s="6">
        <v>0.81578947368421051</v>
      </c>
      <c r="AF14" s="6">
        <v>0.43906810035842286</v>
      </c>
      <c r="AG14" s="6">
        <v>0.35818713450292389</v>
      </c>
      <c r="AH14">
        <v>0</v>
      </c>
    </row>
    <row r="15" spans="1:38">
      <c r="A15" t="s">
        <v>122</v>
      </c>
      <c r="B15" t="s">
        <v>121</v>
      </c>
      <c r="C15">
        <v>122634</v>
      </c>
      <c r="D15">
        <v>20215</v>
      </c>
      <c r="E15">
        <v>2763.9128509916441</v>
      </c>
      <c r="F15">
        <v>27293.24</v>
      </c>
      <c r="G15">
        <v>7478.7139998815883</v>
      </c>
      <c r="H15">
        <v>14872.90774154485</v>
      </c>
      <c r="I15">
        <v>10094.76</v>
      </c>
      <c r="J15">
        <v>4759.330477294352</v>
      </c>
      <c r="K15">
        <v>5205.5177095406971</v>
      </c>
      <c r="L15">
        <v>0.25</v>
      </c>
      <c r="M15">
        <v>0.05</v>
      </c>
      <c r="N15">
        <v>0.35000000000000003</v>
      </c>
      <c r="O15">
        <v>0.1</v>
      </c>
      <c r="P15">
        <v>0.2</v>
      </c>
      <c r="Q15">
        <v>0.15000000000000002</v>
      </c>
      <c r="R15">
        <v>0.05</v>
      </c>
      <c r="S15">
        <v>0.05</v>
      </c>
      <c r="T15">
        <v>27293.24</v>
      </c>
      <c r="U15" t="s">
        <v>94</v>
      </c>
      <c r="V15">
        <v>3</v>
      </c>
      <c r="W15">
        <v>3</v>
      </c>
      <c r="X15">
        <v>3</v>
      </c>
      <c r="Y15">
        <v>3</v>
      </c>
      <c r="Z15">
        <v>4</v>
      </c>
      <c r="AA15">
        <v>3</v>
      </c>
      <c r="AB15">
        <v>4</v>
      </c>
      <c r="AC15">
        <v>4</v>
      </c>
      <c r="AD15">
        <v>3</v>
      </c>
      <c r="AE15" s="6">
        <v>0.69281045751633985</v>
      </c>
      <c r="AF15" s="6">
        <v>0.49999999999999989</v>
      </c>
      <c r="AG15" s="6">
        <v>0.34640522875816987</v>
      </c>
      <c r="AH15">
        <v>1</v>
      </c>
    </row>
    <row r="16" spans="1:38">
      <c r="A16" t="s">
        <v>670</v>
      </c>
      <c r="B16" t="s">
        <v>669</v>
      </c>
      <c r="C16">
        <v>22153</v>
      </c>
      <c r="D16">
        <v>12824</v>
      </c>
      <c r="E16">
        <v>1187.199274164188</v>
      </c>
      <c r="F16">
        <v>12548.7</v>
      </c>
      <c r="G16">
        <v>2620.5657708745589</v>
      </c>
      <c r="H16">
        <v>8317.358190304938</v>
      </c>
      <c r="I16">
        <v>0</v>
      </c>
      <c r="J16">
        <v>2661.5546208975802</v>
      </c>
      <c r="K16">
        <v>2911.075366606728</v>
      </c>
      <c r="L16">
        <v>0.35000000000000003</v>
      </c>
      <c r="M16">
        <v>0.05</v>
      </c>
      <c r="N16">
        <v>0.35000000000000003</v>
      </c>
      <c r="O16">
        <v>0.1</v>
      </c>
      <c r="P16">
        <v>0.25</v>
      </c>
      <c r="Q16">
        <v>0</v>
      </c>
      <c r="R16">
        <v>0.1</v>
      </c>
      <c r="S16">
        <v>0.1</v>
      </c>
      <c r="T16">
        <v>12824</v>
      </c>
      <c r="U16" t="s">
        <v>92</v>
      </c>
      <c r="V16">
        <v>3</v>
      </c>
      <c r="W16">
        <v>1</v>
      </c>
      <c r="X16">
        <v>3</v>
      </c>
      <c r="Y16">
        <v>3</v>
      </c>
      <c r="Z16">
        <v>3</v>
      </c>
      <c r="AA16">
        <v>2</v>
      </c>
      <c r="AB16">
        <v>3</v>
      </c>
      <c r="AC16">
        <v>3</v>
      </c>
      <c r="AD16">
        <v>3</v>
      </c>
      <c r="AE16" s="6">
        <v>0.79591836734693877</v>
      </c>
      <c r="AF16" s="6">
        <v>0.42877492877492868</v>
      </c>
      <c r="AG16" s="6">
        <v>0.34126984126984117</v>
      </c>
      <c r="AH16">
        <v>0</v>
      </c>
    </row>
    <row r="17" spans="1:34">
      <c r="A17" t="s">
        <v>740</v>
      </c>
      <c r="B17" t="s">
        <v>739</v>
      </c>
      <c r="C17">
        <v>59866</v>
      </c>
      <c r="D17">
        <v>29382</v>
      </c>
      <c r="E17">
        <v>2910.0553634650723</v>
      </c>
      <c r="F17">
        <v>22342.744999999999</v>
      </c>
      <c r="G17">
        <v>10800.898750522818</v>
      </c>
      <c r="H17">
        <v>14589.665401218521</v>
      </c>
      <c r="I17">
        <v>36727.799999999996</v>
      </c>
      <c r="J17">
        <v>4668.6929283899262</v>
      </c>
      <c r="K17">
        <v>5106.3828904264819</v>
      </c>
      <c r="L17">
        <v>0.5</v>
      </c>
      <c r="M17">
        <v>0.05</v>
      </c>
      <c r="N17">
        <v>0.35000000000000003</v>
      </c>
      <c r="O17">
        <v>0.2</v>
      </c>
      <c r="P17">
        <v>0.25</v>
      </c>
      <c r="Q17">
        <v>0.60000000000000009</v>
      </c>
      <c r="R17">
        <v>0.1</v>
      </c>
      <c r="S17">
        <v>0.1</v>
      </c>
      <c r="T17">
        <v>36727.799999999996</v>
      </c>
      <c r="U17" t="s">
        <v>97</v>
      </c>
      <c r="V17">
        <v>3</v>
      </c>
      <c r="W17">
        <v>2</v>
      </c>
      <c r="X17">
        <v>3</v>
      </c>
      <c r="Y17">
        <v>3</v>
      </c>
      <c r="Z17">
        <v>4</v>
      </c>
      <c r="AA17">
        <v>4</v>
      </c>
      <c r="AB17">
        <v>4</v>
      </c>
      <c r="AC17">
        <v>4</v>
      </c>
      <c r="AD17">
        <v>3</v>
      </c>
      <c r="AE17" s="6">
        <v>1</v>
      </c>
      <c r="AF17" s="6">
        <v>0.3383838383838384</v>
      </c>
      <c r="AG17" s="6">
        <v>0.3383838383838384</v>
      </c>
      <c r="AH17">
        <v>0</v>
      </c>
    </row>
    <row r="18" spans="1:34">
      <c r="A18" t="s">
        <v>302</v>
      </c>
      <c r="B18" t="s">
        <v>175</v>
      </c>
      <c r="C18">
        <v>18297</v>
      </c>
      <c r="D18">
        <v>1456</v>
      </c>
      <c r="E18">
        <v>283.34738935940982</v>
      </c>
      <c r="F18">
        <v>7700</v>
      </c>
      <c r="G18">
        <v>597.02342153398752</v>
      </c>
      <c r="H18">
        <v>1741.690382090891</v>
      </c>
      <c r="I18">
        <v>1178.9549999999999</v>
      </c>
      <c r="J18">
        <v>557.34092226908513</v>
      </c>
      <c r="K18">
        <v>609.59163373181184</v>
      </c>
      <c r="L18">
        <v>0.15000000000000002</v>
      </c>
      <c r="M18">
        <v>0.05</v>
      </c>
      <c r="N18">
        <v>0.9</v>
      </c>
      <c r="O18">
        <v>0.05</v>
      </c>
      <c r="P18">
        <v>0.2</v>
      </c>
      <c r="Q18">
        <v>0.15000000000000002</v>
      </c>
      <c r="R18">
        <v>0.05</v>
      </c>
      <c r="S18">
        <v>0.05</v>
      </c>
      <c r="T18">
        <v>7700</v>
      </c>
      <c r="U18" t="s">
        <v>94</v>
      </c>
      <c r="V18">
        <v>3</v>
      </c>
      <c r="W18">
        <v>2</v>
      </c>
      <c r="X18">
        <v>3</v>
      </c>
      <c r="Y18">
        <v>3</v>
      </c>
      <c r="Z18">
        <v>3</v>
      </c>
      <c r="AA18">
        <v>2</v>
      </c>
      <c r="AB18">
        <v>3</v>
      </c>
      <c r="AC18">
        <v>3</v>
      </c>
      <c r="AD18">
        <v>3</v>
      </c>
      <c r="AE18" s="6">
        <v>1</v>
      </c>
      <c r="AF18" s="6">
        <v>0.33333333333333337</v>
      </c>
      <c r="AG18" s="6">
        <v>0.33333333333333337</v>
      </c>
      <c r="AH18">
        <v>0</v>
      </c>
    </row>
    <row r="19" spans="1:34">
      <c r="A19" t="s">
        <v>301</v>
      </c>
      <c r="B19" t="s">
        <v>300</v>
      </c>
      <c r="C19">
        <v>12657</v>
      </c>
      <c r="D19">
        <v>5681</v>
      </c>
      <c r="E19">
        <v>946.55745059070625</v>
      </c>
      <c r="F19">
        <v>9100</v>
      </c>
      <c r="G19">
        <v>1729.9533770724106</v>
      </c>
      <c r="H19">
        <v>3884.6496349898516</v>
      </c>
      <c r="I19">
        <v>2629.53</v>
      </c>
      <c r="J19">
        <v>1243.0878831967525</v>
      </c>
      <c r="K19">
        <v>1359.6273722464477</v>
      </c>
      <c r="L19">
        <v>0.30000000000000004</v>
      </c>
      <c r="M19">
        <v>0.05</v>
      </c>
      <c r="N19">
        <v>0.45</v>
      </c>
      <c r="O19">
        <v>0.1</v>
      </c>
      <c r="P19">
        <v>0.2</v>
      </c>
      <c r="Q19">
        <v>0.15000000000000002</v>
      </c>
      <c r="R19">
        <v>0.05</v>
      </c>
      <c r="S19">
        <v>0.05</v>
      </c>
      <c r="T19">
        <v>9100</v>
      </c>
      <c r="U19" t="s">
        <v>94</v>
      </c>
      <c r="V19">
        <v>2</v>
      </c>
      <c r="W19">
        <v>1</v>
      </c>
      <c r="X19">
        <v>3</v>
      </c>
      <c r="Y19">
        <v>2</v>
      </c>
      <c r="Z19">
        <v>3</v>
      </c>
      <c r="AA19">
        <v>2</v>
      </c>
      <c r="AB19">
        <v>3</v>
      </c>
      <c r="AC19">
        <v>3</v>
      </c>
      <c r="AD19">
        <v>2</v>
      </c>
      <c r="AE19" s="6">
        <v>1</v>
      </c>
      <c r="AF19" s="6">
        <v>0.33333333333333331</v>
      </c>
      <c r="AG19" s="6">
        <v>0.33333333333333331</v>
      </c>
      <c r="AH19">
        <v>0</v>
      </c>
    </row>
    <row r="20" spans="1:34">
      <c r="A20" t="s">
        <v>382</v>
      </c>
      <c r="B20" t="s">
        <v>381</v>
      </c>
      <c r="C20">
        <v>23755</v>
      </c>
      <c r="D20">
        <v>5510</v>
      </c>
      <c r="E20">
        <v>2015.750991920838</v>
      </c>
      <c r="F20">
        <v>17634.244999999999</v>
      </c>
      <c r="G20">
        <v>7159.9278576803681</v>
      </c>
      <c r="H20">
        <v>9594.9363090728602</v>
      </c>
      <c r="I20">
        <v>6522.2550000000001</v>
      </c>
      <c r="J20">
        <v>3070.3796189033155</v>
      </c>
      <c r="K20">
        <v>3358.2277081755014</v>
      </c>
      <c r="L20">
        <v>0.1</v>
      </c>
      <c r="M20">
        <v>0.05</v>
      </c>
      <c r="N20">
        <v>0.35000000000000003</v>
      </c>
      <c r="O20">
        <v>0.15000000000000002</v>
      </c>
      <c r="P20">
        <v>0.2</v>
      </c>
      <c r="Q20">
        <v>0.15000000000000002</v>
      </c>
      <c r="R20">
        <v>0.05</v>
      </c>
      <c r="S20">
        <v>0.05</v>
      </c>
      <c r="T20">
        <v>17634.244999999999</v>
      </c>
      <c r="U20" t="s">
        <v>94</v>
      </c>
      <c r="V20">
        <v>1</v>
      </c>
      <c r="W20">
        <v>2</v>
      </c>
      <c r="X20">
        <v>3</v>
      </c>
      <c r="Y20">
        <v>4</v>
      </c>
      <c r="Z20">
        <v>3</v>
      </c>
      <c r="AA20">
        <v>2</v>
      </c>
      <c r="AB20">
        <v>3</v>
      </c>
      <c r="AC20">
        <v>3</v>
      </c>
      <c r="AD20">
        <v>2</v>
      </c>
      <c r="AE20" s="6">
        <v>1</v>
      </c>
      <c r="AF20" s="6">
        <v>0.33333333333333331</v>
      </c>
      <c r="AG20" s="6">
        <v>0.33333333333333331</v>
      </c>
      <c r="AH20">
        <v>0</v>
      </c>
    </row>
    <row r="21" spans="1:34">
      <c r="A21" t="s">
        <v>604</v>
      </c>
      <c r="B21" t="s">
        <v>129</v>
      </c>
      <c r="C21">
        <v>4127</v>
      </c>
      <c r="D21">
        <v>6988</v>
      </c>
      <c r="E21">
        <v>1314.45144744</v>
      </c>
      <c r="F21">
        <v>15303.355</v>
      </c>
      <c r="G21">
        <v>4054.6957429376753</v>
      </c>
      <c r="H21">
        <v>5035.6471320179826</v>
      </c>
      <c r="I21">
        <v>0</v>
      </c>
      <c r="J21">
        <v>1611.4070822457543</v>
      </c>
      <c r="K21">
        <v>1762.4764962062939</v>
      </c>
      <c r="L21">
        <v>0.15000000000000002</v>
      </c>
      <c r="M21">
        <v>0.05</v>
      </c>
      <c r="N21">
        <v>0.35000000000000003</v>
      </c>
      <c r="O21">
        <v>0.1</v>
      </c>
      <c r="P21">
        <v>0.1</v>
      </c>
      <c r="Q21">
        <v>0</v>
      </c>
      <c r="R21">
        <v>0.05</v>
      </c>
      <c r="S21">
        <v>0.05</v>
      </c>
      <c r="T21">
        <v>15303.355</v>
      </c>
      <c r="U21" t="s">
        <v>94</v>
      </c>
      <c r="V21">
        <v>1</v>
      </c>
      <c r="W21">
        <v>1</v>
      </c>
      <c r="X21">
        <v>3</v>
      </c>
      <c r="Y21">
        <v>3</v>
      </c>
      <c r="Z21">
        <v>2</v>
      </c>
      <c r="AA21">
        <v>2</v>
      </c>
      <c r="AB21">
        <v>2</v>
      </c>
      <c r="AC21">
        <v>2</v>
      </c>
      <c r="AD21">
        <v>2</v>
      </c>
      <c r="AE21" s="6">
        <v>1</v>
      </c>
      <c r="AF21" s="6">
        <v>0.33333333333333331</v>
      </c>
      <c r="AG21" s="6">
        <v>0.33333333333333331</v>
      </c>
      <c r="AH21">
        <v>0</v>
      </c>
    </row>
    <row r="22" spans="1:34">
      <c r="A22" t="s">
        <v>592</v>
      </c>
      <c r="B22" t="s">
        <v>591</v>
      </c>
      <c r="C22">
        <v>20358</v>
      </c>
      <c r="D22">
        <v>7664</v>
      </c>
      <c r="E22">
        <v>2855.4371760479462</v>
      </c>
      <c r="F22">
        <v>45553.095000000001</v>
      </c>
      <c r="G22">
        <v>21180.136763199589</v>
      </c>
      <c r="H22">
        <v>24982.464323595777</v>
      </c>
      <c r="I22">
        <v>0</v>
      </c>
      <c r="J22">
        <v>7994.3885835506489</v>
      </c>
      <c r="K22">
        <v>8743.8625132585203</v>
      </c>
      <c r="L22">
        <v>0.05</v>
      </c>
      <c r="M22">
        <v>0</v>
      </c>
      <c r="N22">
        <v>0.35000000000000003</v>
      </c>
      <c r="O22">
        <v>0.15000000000000002</v>
      </c>
      <c r="P22">
        <v>0.2</v>
      </c>
      <c r="Q22">
        <v>0</v>
      </c>
      <c r="R22">
        <v>0.05</v>
      </c>
      <c r="S22">
        <v>0.05</v>
      </c>
      <c r="T22">
        <v>45553.095000000001</v>
      </c>
      <c r="U22" t="s">
        <v>94</v>
      </c>
      <c r="V22">
        <v>2</v>
      </c>
      <c r="W22">
        <v>1</v>
      </c>
      <c r="X22">
        <v>3</v>
      </c>
      <c r="Y22">
        <v>3</v>
      </c>
      <c r="Z22">
        <v>3</v>
      </c>
      <c r="AA22">
        <v>2</v>
      </c>
      <c r="AB22">
        <v>3</v>
      </c>
      <c r="AC22">
        <v>3</v>
      </c>
      <c r="AD22">
        <v>2</v>
      </c>
      <c r="AE22" s="6">
        <v>0.78431372549019607</v>
      </c>
      <c r="AF22" s="6">
        <v>0.42361111111111105</v>
      </c>
      <c r="AG22" s="6">
        <v>0.33224400871459692</v>
      </c>
      <c r="AH22">
        <v>0</v>
      </c>
    </row>
    <row r="23" spans="1:34">
      <c r="A23" t="s">
        <v>311</v>
      </c>
      <c r="B23" t="s">
        <v>310</v>
      </c>
      <c r="C23">
        <v>29555</v>
      </c>
      <c r="D23">
        <v>38160</v>
      </c>
      <c r="E23">
        <v>8347.3800908109988</v>
      </c>
      <c r="F23">
        <v>89372.44</v>
      </c>
      <c r="G23">
        <v>29910.209550073934</v>
      </c>
      <c r="H23">
        <v>58600.25286118134</v>
      </c>
      <c r="I23">
        <v>146913.60000000001</v>
      </c>
      <c r="J23">
        <v>18810.681168439209</v>
      </c>
      <c r="K23">
        <v>20510.088501413466</v>
      </c>
      <c r="L23">
        <v>0.15000000000000002</v>
      </c>
      <c r="M23">
        <v>0.05</v>
      </c>
      <c r="N23">
        <v>0.35000000000000003</v>
      </c>
      <c r="O23">
        <v>0.1</v>
      </c>
      <c r="P23">
        <v>0.25</v>
      </c>
      <c r="Q23">
        <v>0.60000000000000009</v>
      </c>
      <c r="R23">
        <v>0.1</v>
      </c>
      <c r="S23">
        <v>0.1</v>
      </c>
      <c r="T23">
        <v>146913.60000000001</v>
      </c>
      <c r="U23" t="s">
        <v>97</v>
      </c>
      <c r="V23">
        <v>4</v>
      </c>
      <c r="W23">
        <v>1</v>
      </c>
      <c r="X23">
        <v>4</v>
      </c>
      <c r="Y23">
        <v>3</v>
      </c>
      <c r="Z23">
        <v>4</v>
      </c>
      <c r="AA23">
        <v>4</v>
      </c>
      <c r="AB23">
        <v>4</v>
      </c>
      <c r="AC23">
        <v>4</v>
      </c>
      <c r="AD23">
        <v>4</v>
      </c>
      <c r="AE23" s="6">
        <v>0.72727272727272729</v>
      </c>
      <c r="AF23" s="6">
        <v>0.45138888888888867</v>
      </c>
      <c r="AG23" s="6">
        <v>0.32828282828282812</v>
      </c>
      <c r="AH23">
        <v>0</v>
      </c>
    </row>
    <row r="24" spans="1:34">
      <c r="A24" t="s">
        <v>606</v>
      </c>
      <c r="B24" t="s">
        <v>605</v>
      </c>
      <c r="C24">
        <v>48476</v>
      </c>
      <c r="D24">
        <v>337</v>
      </c>
      <c r="E24">
        <v>397.40872664439723</v>
      </c>
      <c r="F24">
        <v>3685.4050000000002</v>
      </c>
      <c r="G24">
        <v>676.12951401902478</v>
      </c>
      <c r="H24">
        <v>1212.7013402338721</v>
      </c>
      <c r="I24">
        <v>0</v>
      </c>
      <c r="J24">
        <v>388.06442887483911</v>
      </c>
      <c r="K24">
        <v>424.44546908185521</v>
      </c>
      <c r="L24">
        <v>0.05</v>
      </c>
      <c r="M24">
        <v>0.05</v>
      </c>
      <c r="N24">
        <v>0.35000000000000003</v>
      </c>
      <c r="O24">
        <v>0.05</v>
      </c>
      <c r="P24">
        <v>0.1</v>
      </c>
      <c r="Q24">
        <v>0</v>
      </c>
      <c r="R24">
        <v>0.05</v>
      </c>
      <c r="S24">
        <v>0.05</v>
      </c>
      <c r="T24">
        <v>3685.4050000000002</v>
      </c>
      <c r="U24" t="s">
        <v>94</v>
      </c>
      <c r="V24">
        <v>3</v>
      </c>
      <c r="W24">
        <v>2</v>
      </c>
      <c r="X24">
        <v>4</v>
      </c>
      <c r="Y24">
        <v>4</v>
      </c>
      <c r="Z24">
        <v>4</v>
      </c>
      <c r="AA24">
        <v>2</v>
      </c>
      <c r="AB24">
        <v>4</v>
      </c>
      <c r="AC24">
        <v>4</v>
      </c>
      <c r="AD24">
        <v>3</v>
      </c>
      <c r="AE24" s="6">
        <v>0.8</v>
      </c>
      <c r="AF24" s="6">
        <v>0.40909090909090901</v>
      </c>
      <c r="AG24" s="6">
        <v>0.32727272727272722</v>
      </c>
      <c r="AH24">
        <v>0</v>
      </c>
    </row>
    <row r="25" spans="1:34">
      <c r="A25" t="s">
        <v>730</v>
      </c>
      <c r="B25" t="s">
        <v>729</v>
      </c>
      <c r="C25">
        <v>207221</v>
      </c>
      <c r="D25">
        <v>48863</v>
      </c>
      <c r="E25">
        <v>10935.196591865748</v>
      </c>
      <c r="F25">
        <v>77342.77</v>
      </c>
      <c r="G25">
        <v>22957.155262497428</v>
      </c>
      <c r="H25">
        <v>50504.319657383283</v>
      </c>
      <c r="I25">
        <v>127138.79999999999</v>
      </c>
      <c r="J25">
        <v>16161.382290362651</v>
      </c>
      <c r="K25">
        <v>17676.511880084148</v>
      </c>
      <c r="L25">
        <v>0.25</v>
      </c>
      <c r="M25">
        <v>0.05</v>
      </c>
      <c r="N25">
        <v>0.35000000000000003</v>
      </c>
      <c r="O25">
        <v>0.1</v>
      </c>
      <c r="P25">
        <v>0.25</v>
      </c>
      <c r="Q25">
        <v>0.60000000000000009</v>
      </c>
      <c r="R25">
        <v>0.1</v>
      </c>
      <c r="S25">
        <v>0.1</v>
      </c>
      <c r="T25">
        <v>127138.79999999999</v>
      </c>
      <c r="U25" t="s">
        <v>97</v>
      </c>
      <c r="V25">
        <v>3</v>
      </c>
      <c r="W25">
        <v>2</v>
      </c>
      <c r="X25">
        <v>4</v>
      </c>
      <c r="Y25">
        <v>4</v>
      </c>
      <c r="Z25">
        <v>4</v>
      </c>
      <c r="AA25">
        <v>4</v>
      </c>
      <c r="AB25">
        <v>4</v>
      </c>
      <c r="AC25">
        <v>4</v>
      </c>
      <c r="AD25">
        <v>4</v>
      </c>
      <c r="AE25" s="6">
        <v>0.62992125984251968</v>
      </c>
      <c r="AF25" s="6">
        <v>0.51597222222222217</v>
      </c>
      <c r="AG25" s="6">
        <v>0.32502187226596674</v>
      </c>
      <c r="AH25">
        <v>0</v>
      </c>
    </row>
    <row r="26" spans="1:34">
      <c r="A26" t="s">
        <v>641</v>
      </c>
      <c r="B26" t="s">
        <v>640</v>
      </c>
      <c r="C26">
        <v>7649</v>
      </c>
      <c r="D26">
        <v>7657</v>
      </c>
      <c r="E26">
        <v>1001.228516096149</v>
      </c>
      <c r="F26">
        <v>10380.965</v>
      </c>
      <c r="G26">
        <v>2668.9726598559719</v>
      </c>
      <c r="H26">
        <v>3440.2848209782264</v>
      </c>
      <c r="I26">
        <v>0</v>
      </c>
      <c r="J26">
        <v>1104.3314275340108</v>
      </c>
      <c r="K26">
        <v>1204.0996873423794</v>
      </c>
      <c r="L26">
        <v>0.25</v>
      </c>
      <c r="M26">
        <v>0.05</v>
      </c>
      <c r="N26">
        <v>0.35000000000000003</v>
      </c>
      <c r="O26">
        <v>0.1</v>
      </c>
      <c r="P26">
        <v>0.1</v>
      </c>
      <c r="Q26">
        <v>0</v>
      </c>
      <c r="R26">
        <v>0.05</v>
      </c>
      <c r="S26">
        <v>0.05</v>
      </c>
      <c r="T26">
        <v>10380.965</v>
      </c>
      <c r="U26" t="s">
        <v>94</v>
      </c>
      <c r="V26">
        <v>3</v>
      </c>
      <c r="W26">
        <v>1</v>
      </c>
      <c r="X26">
        <v>3</v>
      </c>
      <c r="Y26">
        <v>3</v>
      </c>
      <c r="Z26">
        <v>2</v>
      </c>
      <c r="AA26">
        <v>2</v>
      </c>
      <c r="AB26">
        <v>2</v>
      </c>
      <c r="AC26">
        <v>2</v>
      </c>
      <c r="AD26">
        <v>2</v>
      </c>
      <c r="AE26" s="6">
        <v>0.625</v>
      </c>
      <c r="AF26" s="6">
        <v>0.51111111111111096</v>
      </c>
      <c r="AG26" s="6">
        <v>0.31944444444444436</v>
      </c>
      <c r="AH26">
        <v>0</v>
      </c>
    </row>
    <row r="27" spans="1:34">
      <c r="A27" t="s">
        <v>253</v>
      </c>
      <c r="B27" t="s">
        <v>252</v>
      </c>
      <c r="C27">
        <v>40927</v>
      </c>
      <c r="D27">
        <v>16276</v>
      </c>
      <c r="E27">
        <v>2532.9927315847249</v>
      </c>
      <c r="F27">
        <v>25842</v>
      </c>
      <c r="G27">
        <v>9444.4968576447445</v>
      </c>
      <c r="H27">
        <v>14063.234641702875</v>
      </c>
      <c r="I27">
        <v>9558</v>
      </c>
      <c r="J27">
        <v>4500.2350853449207</v>
      </c>
      <c r="K27">
        <v>4922.1321245960062</v>
      </c>
      <c r="L27">
        <v>0.25</v>
      </c>
      <c r="M27">
        <v>0.05</v>
      </c>
      <c r="N27">
        <v>0.35000000000000003</v>
      </c>
      <c r="O27">
        <v>0.15000000000000002</v>
      </c>
      <c r="P27">
        <v>0.2</v>
      </c>
      <c r="Q27">
        <v>0.15000000000000002</v>
      </c>
      <c r="R27">
        <v>0.05</v>
      </c>
      <c r="S27">
        <v>0.05</v>
      </c>
      <c r="T27">
        <v>25842</v>
      </c>
      <c r="U27" t="s">
        <v>94</v>
      </c>
      <c r="V27">
        <v>4</v>
      </c>
      <c r="W27">
        <v>1</v>
      </c>
      <c r="X27">
        <v>4</v>
      </c>
      <c r="Y27">
        <v>4</v>
      </c>
      <c r="Z27">
        <v>4</v>
      </c>
      <c r="AA27">
        <v>3</v>
      </c>
      <c r="AB27">
        <v>4</v>
      </c>
      <c r="AC27">
        <v>4</v>
      </c>
      <c r="AD27">
        <v>4</v>
      </c>
      <c r="AE27" s="6">
        <v>0.61971830985915488</v>
      </c>
      <c r="AF27" s="6">
        <v>0.51515151515151503</v>
      </c>
      <c r="AG27" s="6">
        <v>0.3192488262910797</v>
      </c>
      <c r="AH27">
        <v>0</v>
      </c>
    </row>
    <row r="28" spans="1:34">
      <c r="A28" t="s">
        <v>320</v>
      </c>
      <c r="B28" t="s">
        <v>180</v>
      </c>
      <c r="C28">
        <v>8539</v>
      </c>
      <c r="D28">
        <v>8303</v>
      </c>
      <c r="E28">
        <v>2335.1810107225751</v>
      </c>
      <c r="F28">
        <v>17249.900000000001</v>
      </c>
      <c r="G28">
        <v>4467.9959280783969</v>
      </c>
      <c r="H28">
        <v>9425.4308322014749</v>
      </c>
      <c r="I28">
        <v>28356</v>
      </c>
      <c r="J28">
        <v>3025.5632971366736</v>
      </c>
      <c r="K28">
        <v>3298.9007912705165</v>
      </c>
      <c r="L28">
        <v>0.2</v>
      </c>
      <c r="M28">
        <v>0.05</v>
      </c>
      <c r="N28">
        <v>0.35000000000000003</v>
      </c>
      <c r="O28">
        <v>0.1</v>
      </c>
      <c r="P28">
        <v>0.2</v>
      </c>
      <c r="Q28">
        <v>0.60000000000000009</v>
      </c>
      <c r="R28">
        <v>0.05</v>
      </c>
      <c r="S28">
        <v>0.05</v>
      </c>
      <c r="T28">
        <v>28356</v>
      </c>
      <c r="U28" t="s">
        <v>97</v>
      </c>
      <c r="V28">
        <v>2</v>
      </c>
      <c r="W28">
        <v>2</v>
      </c>
      <c r="X28">
        <v>4</v>
      </c>
      <c r="Y28">
        <v>3</v>
      </c>
      <c r="Z28">
        <v>3</v>
      </c>
      <c r="AA28">
        <v>3</v>
      </c>
      <c r="AB28">
        <v>3</v>
      </c>
      <c r="AC28">
        <v>3</v>
      </c>
      <c r="AD28">
        <v>3</v>
      </c>
      <c r="AE28" s="6">
        <v>0.8</v>
      </c>
      <c r="AF28" s="6">
        <v>0.39814814814814808</v>
      </c>
      <c r="AG28" s="6">
        <v>0.31851851851851848</v>
      </c>
      <c r="AH28">
        <v>0</v>
      </c>
    </row>
    <row r="29" spans="1:34">
      <c r="A29" t="s">
        <v>539</v>
      </c>
      <c r="B29" t="s">
        <v>538</v>
      </c>
      <c r="C29">
        <v>20717</v>
      </c>
      <c r="D29">
        <v>18840.6878</v>
      </c>
      <c r="E29">
        <v>1664.5379794024445</v>
      </c>
      <c r="F29">
        <v>14017.094999999999</v>
      </c>
      <c r="G29">
        <v>1829.0919414811497</v>
      </c>
      <c r="H29">
        <v>1214.4993149962011</v>
      </c>
      <c r="I29">
        <v>0</v>
      </c>
      <c r="J29">
        <v>388.63978079878439</v>
      </c>
      <c r="K29">
        <v>425.07476024867037</v>
      </c>
      <c r="L29">
        <v>0.5</v>
      </c>
      <c r="M29">
        <v>0.05</v>
      </c>
      <c r="N29">
        <v>0.35000000000000003</v>
      </c>
      <c r="O29">
        <v>0.05</v>
      </c>
      <c r="P29">
        <v>0.05</v>
      </c>
      <c r="Q29">
        <v>0</v>
      </c>
      <c r="R29">
        <v>0</v>
      </c>
      <c r="S29">
        <v>0</v>
      </c>
      <c r="T29">
        <v>18840.6878</v>
      </c>
      <c r="U29" t="s">
        <v>92</v>
      </c>
      <c r="V29">
        <v>3</v>
      </c>
      <c r="W29">
        <v>2</v>
      </c>
      <c r="X29">
        <v>3</v>
      </c>
      <c r="Y29">
        <v>3</v>
      </c>
      <c r="Z29">
        <v>2</v>
      </c>
      <c r="AA29">
        <v>2</v>
      </c>
      <c r="AB29">
        <v>2</v>
      </c>
      <c r="AC29">
        <v>2</v>
      </c>
      <c r="AD29">
        <v>2</v>
      </c>
      <c r="AE29" s="6">
        <v>0.75510204081632648</v>
      </c>
      <c r="AF29" s="6">
        <v>0.42042042042042044</v>
      </c>
      <c r="AG29" s="6">
        <v>0.31746031746031744</v>
      </c>
      <c r="AH29">
        <v>0</v>
      </c>
    </row>
    <row r="30" spans="1:34">
      <c r="A30" t="s">
        <v>621</v>
      </c>
      <c r="B30" t="s">
        <v>620</v>
      </c>
      <c r="C30">
        <v>19547</v>
      </c>
      <c r="D30">
        <v>6869</v>
      </c>
      <c r="E30">
        <v>541.97979722789773</v>
      </c>
      <c r="F30">
        <v>6685.34</v>
      </c>
      <c r="G30">
        <v>1230.2589417867293</v>
      </c>
      <c r="H30">
        <v>3666.4087926650827</v>
      </c>
      <c r="I30">
        <v>0</v>
      </c>
      <c r="J30">
        <v>1173.2508136528265</v>
      </c>
      <c r="K30">
        <v>1283.243077432779</v>
      </c>
      <c r="L30">
        <v>0.4</v>
      </c>
      <c r="M30">
        <v>0.05</v>
      </c>
      <c r="N30">
        <v>0.35000000000000003</v>
      </c>
      <c r="O30">
        <v>0.05</v>
      </c>
      <c r="P30">
        <v>0.2</v>
      </c>
      <c r="Q30">
        <v>0</v>
      </c>
      <c r="R30">
        <v>0.05</v>
      </c>
      <c r="S30">
        <v>0.05</v>
      </c>
      <c r="T30">
        <v>6869</v>
      </c>
      <c r="U30" t="s">
        <v>92</v>
      </c>
      <c r="V30">
        <v>2</v>
      </c>
      <c r="W30">
        <v>1</v>
      </c>
      <c r="X30">
        <v>3</v>
      </c>
      <c r="Y30">
        <v>3</v>
      </c>
      <c r="Z30">
        <v>3</v>
      </c>
      <c r="AA30">
        <v>2</v>
      </c>
      <c r="AB30">
        <v>3</v>
      </c>
      <c r="AC30">
        <v>3</v>
      </c>
      <c r="AD30">
        <v>2</v>
      </c>
      <c r="AE30" s="6">
        <v>0.83018867924528306</v>
      </c>
      <c r="AF30" s="6">
        <v>0.38131313131313127</v>
      </c>
      <c r="AG30" s="6">
        <v>0.31656184486373162</v>
      </c>
      <c r="AH30">
        <v>0</v>
      </c>
    </row>
    <row r="31" spans="1:34">
      <c r="A31" t="s">
        <v>319</v>
      </c>
      <c r="B31" t="s">
        <v>318</v>
      </c>
      <c r="C31">
        <v>19045</v>
      </c>
      <c r="D31">
        <v>2034</v>
      </c>
      <c r="E31">
        <v>354.05141062751409</v>
      </c>
      <c r="F31">
        <v>7000</v>
      </c>
      <c r="G31">
        <v>967.18391296109689</v>
      </c>
      <c r="H31">
        <v>2027.8836373640422</v>
      </c>
      <c r="I31">
        <v>6100.8</v>
      </c>
      <c r="J31">
        <v>648.92276395649355</v>
      </c>
      <c r="K31">
        <v>709.75927307741472</v>
      </c>
      <c r="L31">
        <v>0.2</v>
      </c>
      <c r="M31">
        <v>0.05</v>
      </c>
      <c r="N31">
        <v>0.70000000000000007</v>
      </c>
      <c r="O31">
        <v>0.1</v>
      </c>
      <c r="P31">
        <v>0.2</v>
      </c>
      <c r="Q31">
        <v>0.60000000000000009</v>
      </c>
      <c r="R31">
        <v>0.05</v>
      </c>
      <c r="S31">
        <v>0.05</v>
      </c>
      <c r="T31">
        <v>7000</v>
      </c>
      <c r="U31" t="s">
        <v>94</v>
      </c>
      <c r="V31">
        <v>3</v>
      </c>
      <c r="W31">
        <v>2</v>
      </c>
      <c r="X31">
        <v>3</v>
      </c>
      <c r="Y31">
        <v>3</v>
      </c>
      <c r="Z31">
        <v>3</v>
      </c>
      <c r="AA31">
        <v>3</v>
      </c>
      <c r="AB31">
        <v>3</v>
      </c>
      <c r="AC31">
        <v>3</v>
      </c>
      <c r="AD31">
        <v>3</v>
      </c>
      <c r="AE31" s="6">
        <v>0.5714285714285714</v>
      </c>
      <c r="AF31" s="6">
        <v>0.5347222222222221</v>
      </c>
      <c r="AG31" s="6">
        <v>0.30555555555555547</v>
      </c>
      <c r="AH31">
        <v>0</v>
      </c>
    </row>
    <row r="32" spans="1:34">
      <c r="A32" t="s">
        <v>442</v>
      </c>
      <c r="B32" t="s">
        <v>441</v>
      </c>
      <c r="C32">
        <v>10730</v>
      </c>
      <c r="D32">
        <v>5881</v>
      </c>
      <c r="E32">
        <v>1184.7913139759037</v>
      </c>
      <c r="F32">
        <v>13300</v>
      </c>
      <c r="G32">
        <v>2484.0380892054091</v>
      </c>
      <c r="H32">
        <v>3492.2506268212801</v>
      </c>
      <c r="I32">
        <v>2348.73</v>
      </c>
      <c r="J32">
        <v>1121.0124512096309</v>
      </c>
      <c r="K32">
        <v>1222.2877193874479</v>
      </c>
      <c r="L32">
        <v>0.15000000000000002</v>
      </c>
      <c r="M32">
        <v>0.05</v>
      </c>
      <c r="N32">
        <v>0.4</v>
      </c>
      <c r="O32">
        <v>0.05</v>
      </c>
      <c r="P32">
        <v>0.1</v>
      </c>
      <c r="Q32">
        <v>0.05</v>
      </c>
      <c r="R32">
        <v>0.05</v>
      </c>
      <c r="S32">
        <v>0.05</v>
      </c>
      <c r="T32">
        <v>13300</v>
      </c>
      <c r="U32" t="s">
        <v>94</v>
      </c>
      <c r="V32">
        <v>3</v>
      </c>
      <c r="W32">
        <v>1</v>
      </c>
      <c r="X32">
        <v>3</v>
      </c>
      <c r="Y32">
        <v>3</v>
      </c>
      <c r="Z32">
        <v>2</v>
      </c>
      <c r="AA32">
        <v>2</v>
      </c>
      <c r="AB32">
        <v>2</v>
      </c>
      <c r="AC32">
        <v>2</v>
      </c>
      <c r="AD32">
        <v>2</v>
      </c>
      <c r="AE32" s="6">
        <v>0.6470588235294118</v>
      </c>
      <c r="AF32" s="6">
        <v>0.46464646464646459</v>
      </c>
      <c r="AG32" s="6">
        <v>0.30065359477124182</v>
      </c>
      <c r="AH32">
        <v>0</v>
      </c>
    </row>
    <row r="33" spans="1:34">
      <c r="A33" t="s">
        <v>563</v>
      </c>
      <c r="B33" t="s">
        <v>562</v>
      </c>
      <c r="C33">
        <v>62947</v>
      </c>
      <c r="D33">
        <v>7583</v>
      </c>
      <c r="E33">
        <v>3776.3076856644811</v>
      </c>
      <c r="F33">
        <v>11610.285</v>
      </c>
      <c r="G33">
        <v>902.69684372307597</v>
      </c>
      <c r="H33">
        <v>6345.5040643637112</v>
      </c>
      <c r="I33">
        <v>4294.2150000000001</v>
      </c>
      <c r="J33">
        <v>2030.5613005963874</v>
      </c>
      <c r="K33">
        <v>2220.9264225272987</v>
      </c>
      <c r="L33">
        <v>0.25</v>
      </c>
      <c r="M33">
        <v>0.1</v>
      </c>
      <c r="N33">
        <v>0.35000000000000003</v>
      </c>
      <c r="O33">
        <v>0.05</v>
      </c>
      <c r="P33">
        <v>0.2</v>
      </c>
      <c r="Q33">
        <v>0.15000000000000002</v>
      </c>
      <c r="R33">
        <v>0.05</v>
      </c>
      <c r="S33">
        <v>0.05</v>
      </c>
      <c r="T33">
        <v>11610.285</v>
      </c>
      <c r="U33" t="s">
        <v>94</v>
      </c>
      <c r="V33">
        <v>3</v>
      </c>
      <c r="W33">
        <v>2</v>
      </c>
      <c r="X33">
        <v>3</v>
      </c>
      <c r="Y33">
        <v>3</v>
      </c>
      <c r="Z33">
        <v>4</v>
      </c>
      <c r="AA33">
        <v>2</v>
      </c>
      <c r="AB33">
        <v>4</v>
      </c>
      <c r="AC33">
        <v>4</v>
      </c>
      <c r="AD33">
        <v>3</v>
      </c>
      <c r="AE33" s="6">
        <v>0.61206896551724133</v>
      </c>
      <c r="AF33" s="6">
        <v>0.48748043818466336</v>
      </c>
      <c r="AG33" s="6">
        <v>0.2983716475095784</v>
      </c>
      <c r="AH33">
        <v>0</v>
      </c>
    </row>
    <row r="34" spans="1:34">
      <c r="A34" t="s">
        <v>596</v>
      </c>
      <c r="B34" t="s">
        <v>595</v>
      </c>
      <c r="C34">
        <v>59335</v>
      </c>
      <c r="D34">
        <v>6331</v>
      </c>
      <c r="E34">
        <v>2100.7307218983515</v>
      </c>
      <c r="F34">
        <v>17126.895</v>
      </c>
      <c r="G34">
        <v>3926.0622671970582</v>
      </c>
      <c r="H34">
        <v>11271.384567256409</v>
      </c>
      <c r="I34">
        <v>0</v>
      </c>
      <c r="J34">
        <v>3606.8430615220514</v>
      </c>
      <c r="K34">
        <v>3944.9845985397428</v>
      </c>
      <c r="L34">
        <v>0.15000000000000002</v>
      </c>
      <c r="M34">
        <v>0.05</v>
      </c>
      <c r="N34">
        <v>0.35000000000000003</v>
      </c>
      <c r="O34">
        <v>0.1</v>
      </c>
      <c r="P34">
        <v>0.25</v>
      </c>
      <c r="Q34">
        <v>0</v>
      </c>
      <c r="R34">
        <v>0.1</v>
      </c>
      <c r="S34">
        <v>0.1</v>
      </c>
      <c r="T34">
        <v>17126.895</v>
      </c>
      <c r="U34" t="s">
        <v>94</v>
      </c>
      <c r="V34">
        <v>3</v>
      </c>
      <c r="W34">
        <v>2</v>
      </c>
      <c r="X34">
        <v>3</v>
      </c>
      <c r="Y34">
        <v>4</v>
      </c>
      <c r="Z34">
        <v>2</v>
      </c>
      <c r="AA34">
        <v>3</v>
      </c>
      <c r="AB34">
        <v>2</v>
      </c>
      <c r="AC34">
        <v>2</v>
      </c>
      <c r="AD34">
        <v>3</v>
      </c>
      <c r="AE34" s="6">
        <v>0.79365079365079361</v>
      </c>
      <c r="AF34" s="6">
        <v>0.37444444444444436</v>
      </c>
      <c r="AG34" s="6">
        <v>0.29717813051146375</v>
      </c>
      <c r="AH34">
        <v>0</v>
      </c>
    </row>
    <row r="35" spans="1:34">
      <c r="A35" t="s">
        <v>303</v>
      </c>
      <c r="B35" t="s">
        <v>227</v>
      </c>
      <c r="C35">
        <v>106760</v>
      </c>
      <c r="D35">
        <v>5074</v>
      </c>
      <c r="E35">
        <v>1100.3675741232016</v>
      </c>
      <c r="F35">
        <v>8547.9349999999995</v>
      </c>
      <c r="G35">
        <v>2099.4869681318678</v>
      </c>
      <c r="H35">
        <v>4670.634038496115</v>
      </c>
      <c r="I35">
        <v>10538.550000000001</v>
      </c>
      <c r="J35">
        <v>1494.6028923187569</v>
      </c>
      <c r="K35">
        <v>1634.7219134736401</v>
      </c>
      <c r="L35">
        <v>0.2</v>
      </c>
      <c r="M35">
        <v>0.05</v>
      </c>
      <c r="N35">
        <v>0.35000000000000003</v>
      </c>
      <c r="O35">
        <v>0.1</v>
      </c>
      <c r="P35">
        <v>0.2</v>
      </c>
      <c r="Q35">
        <v>0.45</v>
      </c>
      <c r="R35">
        <v>0.05</v>
      </c>
      <c r="S35">
        <v>0.05</v>
      </c>
      <c r="T35">
        <v>10538.550000000001</v>
      </c>
      <c r="U35" t="s">
        <v>97</v>
      </c>
      <c r="V35">
        <v>3</v>
      </c>
      <c r="W35">
        <v>2</v>
      </c>
      <c r="X35">
        <v>3</v>
      </c>
      <c r="Y35">
        <v>3</v>
      </c>
      <c r="Z35">
        <v>3</v>
      </c>
      <c r="AA35">
        <v>2</v>
      </c>
      <c r="AB35">
        <v>3</v>
      </c>
      <c r="AC35">
        <v>3</v>
      </c>
      <c r="AD35">
        <v>3</v>
      </c>
      <c r="AE35" s="6">
        <v>0.839622641509434</v>
      </c>
      <c r="AF35" s="6">
        <v>0.3508114856429464</v>
      </c>
      <c r="AG35" s="6">
        <v>0.29454926624737954</v>
      </c>
      <c r="AH35">
        <v>0</v>
      </c>
    </row>
    <row r="36" spans="1:34">
      <c r="A36" t="s">
        <v>130</v>
      </c>
      <c r="B36" t="s">
        <v>129</v>
      </c>
      <c r="C36">
        <v>43173</v>
      </c>
      <c r="D36">
        <v>2691</v>
      </c>
      <c r="E36">
        <v>289.39969787671231</v>
      </c>
      <c r="F36">
        <v>3592.6950000000002</v>
      </c>
      <c r="G36">
        <v>1239.8085489569057</v>
      </c>
      <c r="H36">
        <v>1174.6605667595963</v>
      </c>
      <c r="I36">
        <v>5905.8</v>
      </c>
      <c r="J36">
        <v>377.06604192983042</v>
      </c>
      <c r="K36">
        <v>411.13119836585867</v>
      </c>
      <c r="L36">
        <v>0.25</v>
      </c>
      <c r="M36">
        <v>0.05</v>
      </c>
      <c r="N36">
        <v>0.35000000000000003</v>
      </c>
      <c r="O36">
        <v>0.15000000000000002</v>
      </c>
      <c r="P36">
        <v>0.1</v>
      </c>
      <c r="Q36">
        <v>0.60000000000000009</v>
      </c>
      <c r="R36">
        <v>0.05</v>
      </c>
      <c r="S36">
        <v>0.05</v>
      </c>
      <c r="T36">
        <v>5905.8</v>
      </c>
      <c r="U36" t="s">
        <v>97</v>
      </c>
      <c r="V36">
        <v>4</v>
      </c>
      <c r="W36">
        <v>1</v>
      </c>
      <c r="X36">
        <v>3</v>
      </c>
      <c r="Y36">
        <v>3</v>
      </c>
      <c r="Z36">
        <v>2</v>
      </c>
      <c r="AA36">
        <v>3</v>
      </c>
      <c r="AB36">
        <v>2</v>
      </c>
      <c r="AC36">
        <v>2</v>
      </c>
      <c r="AD36">
        <v>3</v>
      </c>
      <c r="AE36" s="6">
        <v>0.4606741573033708</v>
      </c>
      <c r="AF36" s="6">
        <v>0.63143631436314351</v>
      </c>
      <c r="AG36" s="6">
        <v>0.29088639200998745</v>
      </c>
      <c r="AH36">
        <v>0</v>
      </c>
    </row>
    <row r="37" spans="1:34">
      <c r="A37" t="s">
        <v>508</v>
      </c>
      <c r="B37" t="s">
        <v>507</v>
      </c>
      <c r="C37">
        <v>9809</v>
      </c>
      <c r="D37">
        <v>2227</v>
      </c>
      <c r="E37">
        <v>825.50543134974737</v>
      </c>
      <c r="F37">
        <v>10566.02</v>
      </c>
      <c r="G37">
        <v>1866.5807147718033</v>
      </c>
      <c r="H37">
        <v>5812.0702216150503</v>
      </c>
      <c r="I37">
        <v>17368.8</v>
      </c>
      <c r="J37">
        <v>1859.8624709168162</v>
      </c>
      <c r="K37">
        <v>2034.2245775652677</v>
      </c>
      <c r="L37">
        <v>0.1</v>
      </c>
      <c r="M37">
        <v>0.05</v>
      </c>
      <c r="N37">
        <v>0.35000000000000003</v>
      </c>
      <c r="O37">
        <v>0.05</v>
      </c>
      <c r="P37">
        <v>0.2</v>
      </c>
      <c r="Q37">
        <v>0.60000000000000009</v>
      </c>
      <c r="R37">
        <v>0.05</v>
      </c>
      <c r="S37">
        <v>0.05</v>
      </c>
      <c r="T37">
        <v>17368.8</v>
      </c>
      <c r="U37" t="s">
        <v>97</v>
      </c>
      <c r="V37">
        <v>3</v>
      </c>
      <c r="W37">
        <v>2</v>
      </c>
      <c r="X37">
        <v>4</v>
      </c>
      <c r="Y37">
        <v>3</v>
      </c>
      <c r="Z37">
        <v>4</v>
      </c>
      <c r="AA37">
        <v>2</v>
      </c>
      <c r="AB37">
        <v>4</v>
      </c>
      <c r="AC37">
        <v>4</v>
      </c>
      <c r="AD37">
        <v>3</v>
      </c>
      <c r="AE37" s="6">
        <v>0.8571428571428571</v>
      </c>
      <c r="AF37" s="6">
        <v>0.33333333333333331</v>
      </c>
      <c r="AG37" s="6">
        <v>0.2857142857142857</v>
      </c>
      <c r="AH37">
        <v>0</v>
      </c>
    </row>
    <row r="38" spans="1:34">
      <c r="A38" t="s">
        <v>255</v>
      </c>
      <c r="B38" t="s">
        <v>254</v>
      </c>
      <c r="C38">
        <v>21750</v>
      </c>
      <c r="D38">
        <v>16022</v>
      </c>
      <c r="E38">
        <v>7038.7984495794626</v>
      </c>
      <c r="F38">
        <v>62017.88</v>
      </c>
      <c r="G38">
        <v>20993.755731756064</v>
      </c>
      <c r="H38">
        <v>40500.208888830828</v>
      </c>
      <c r="I38">
        <v>0</v>
      </c>
      <c r="J38">
        <v>13000.567053314697</v>
      </c>
      <c r="K38">
        <v>14175.073111090787</v>
      </c>
      <c r="L38">
        <v>0.1</v>
      </c>
      <c r="M38">
        <v>0.05</v>
      </c>
      <c r="N38">
        <v>0.35000000000000003</v>
      </c>
      <c r="O38">
        <v>0.1</v>
      </c>
      <c r="P38">
        <v>0.25</v>
      </c>
      <c r="Q38">
        <v>0</v>
      </c>
      <c r="R38">
        <v>0.1</v>
      </c>
      <c r="S38">
        <v>0.1</v>
      </c>
      <c r="T38">
        <v>62017.88</v>
      </c>
      <c r="U38" t="s">
        <v>94</v>
      </c>
      <c r="V38">
        <v>3</v>
      </c>
      <c r="W38">
        <v>3</v>
      </c>
      <c r="X38">
        <v>3</v>
      </c>
      <c r="Y38">
        <v>4</v>
      </c>
      <c r="Z38">
        <v>4</v>
      </c>
      <c r="AA38">
        <v>4</v>
      </c>
      <c r="AB38">
        <v>4</v>
      </c>
      <c r="AC38">
        <v>4</v>
      </c>
      <c r="AD38">
        <v>3</v>
      </c>
      <c r="AE38" s="6">
        <v>0.6</v>
      </c>
      <c r="AF38" s="6">
        <v>0.47407407407407398</v>
      </c>
      <c r="AG38" s="6">
        <v>0.28444444444444439</v>
      </c>
      <c r="AH38">
        <v>1</v>
      </c>
    </row>
    <row r="39" spans="1:34">
      <c r="A39" t="s">
        <v>619</v>
      </c>
      <c r="B39" t="s">
        <v>618</v>
      </c>
      <c r="C39">
        <v>13558</v>
      </c>
      <c r="D39">
        <v>2010</v>
      </c>
      <c r="E39">
        <v>265.02125379108611</v>
      </c>
      <c r="F39">
        <v>2200.9499999999998</v>
      </c>
      <c r="G39">
        <v>658.45090590077473</v>
      </c>
      <c r="H39">
        <v>1207.0563998564339</v>
      </c>
      <c r="I39">
        <v>0</v>
      </c>
      <c r="J39">
        <v>386.25804795405884</v>
      </c>
      <c r="K39">
        <v>422.46973994975184</v>
      </c>
      <c r="L39">
        <v>0.35000000000000003</v>
      </c>
      <c r="M39">
        <v>0.05</v>
      </c>
      <c r="N39">
        <v>0.35000000000000003</v>
      </c>
      <c r="O39">
        <v>0.1</v>
      </c>
      <c r="P39">
        <v>0.2</v>
      </c>
      <c r="Q39">
        <v>0</v>
      </c>
      <c r="R39">
        <v>0.05</v>
      </c>
      <c r="S39">
        <v>0.05</v>
      </c>
      <c r="T39">
        <v>2200.9499999999998</v>
      </c>
      <c r="U39" t="s">
        <v>94</v>
      </c>
      <c r="V39">
        <v>2</v>
      </c>
      <c r="W39">
        <v>1</v>
      </c>
      <c r="X39">
        <v>3</v>
      </c>
      <c r="Y39">
        <v>3</v>
      </c>
      <c r="Z39">
        <v>3</v>
      </c>
      <c r="AA39">
        <v>2</v>
      </c>
      <c r="AB39">
        <v>3</v>
      </c>
      <c r="AC39">
        <v>3</v>
      </c>
      <c r="AD39">
        <v>2</v>
      </c>
      <c r="AE39" s="6">
        <v>0.61702127659574468</v>
      </c>
      <c r="AF39" s="6">
        <v>0.45977011494252856</v>
      </c>
      <c r="AG39" s="6">
        <v>0.28368794326241126</v>
      </c>
      <c r="AH39">
        <v>0</v>
      </c>
    </row>
    <row r="40" spans="1:34">
      <c r="A40" t="s">
        <v>608</v>
      </c>
      <c r="B40" t="s">
        <v>607</v>
      </c>
      <c r="C40">
        <v>43236</v>
      </c>
      <c r="D40">
        <v>33817</v>
      </c>
      <c r="E40">
        <v>7923.4663576178737</v>
      </c>
      <c r="F40">
        <v>30111.404999999999</v>
      </c>
      <c r="G40">
        <v>9122.0082799226893</v>
      </c>
      <c r="H40">
        <v>16513.852706294569</v>
      </c>
      <c r="I40">
        <v>11137.094999999999</v>
      </c>
      <c r="J40">
        <v>5284.4328660142619</v>
      </c>
      <c r="K40">
        <v>5779.8484472030996</v>
      </c>
      <c r="L40">
        <v>0.4</v>
      </c>
      <c r="M40">
        <v>0.1</v>
      </c>
      <c r="N40">
        <v>0.35000000000000003</v>
      </c>
      <c r="O40">
        <v>0.1</v>
      </c>
      <c r="P40">
        <v>0.2</v>
      </c>
      <c r="Q40">
        <v>0.15000000000000002</v>
      </c>
      <c r="R40">
        <v>0.05</v>
      </c>
      <c r="S40">
        <v>0.05</v>
      </c>
      <c r="T40">
        <v>33817</v>
      </c>
      <c r="U40" t="s">
        <v>92</v>
      </c>
      <c r="V40">
        <v>3</v>
      </c>
      <c r="W40">
        <v>2</v>
      </c>
      <c r="X40">
        <v>3</v>
      </c>
      <c r="Y40">
        <v>3</v>
      </c>
      <c r="Z40">
        <v>3</v>
      </c>
      <c r="AA40">
        <v>2</v>
      </c>
      <c r="AB40">
        <v>3</v>
      </c>
      <c r="AC40">
        <v>3</v>
      </c>
      <c r="AD40">
        <v>3</v>
      </c>
      <c r="AE40" s="6">
        <v>0.79220779220779225</v>
      </c>
      <c r="AF40" s="6">
        <v>0.35792349726775952</v>
      </c>
      <c r="AG40" s="6">
        <v>0.28354978354978355</v>
      </c>
      <c r="AH40">
        <v>0</v>
      </c>
    </row>
    <row r="41" spans="1:34">
      <c r="A41" t="s">
        <v>561</v>
      </c>
      <c r="B41" t="s">
        <v>203</v>
      </c>
      <c r="C41">
        <v>41037</v>
      </c>
      <c r="D41">
        <v>10773</v>
      </c>
      <c r="E41">
        <v>5570.5708381610048</v>
      </c>
      <c r="F41">
        <v>17617.82</v>
      </c>
      <c r="G41">
        <v>3108.3234911339991</v>
      </c>
      <c r="H41">
        <v>11554.646427566071</v>
      </c>
      <c r="I41">
        <v>0</v>
      </c>
      <c r="J41">
        <v>3697.4868568211432</v>
      </c>
      <c r="K41">
        <v>4044.1262496481249</v>
      </c>
      <c r="L41">
        <v>0.2</v>
      </c>
      <c r="M41">
        <v>0.1</v>
      </c>
      <c r="N41">
        <v>0.35000000000000003</v>
      </c>
      <c r="O41">
        <v>0.05</v>
      </c>
      <c r="P41">
        <v>0.25</v>
      </c>
      <c r="Q41">
        <v>0</v>
      </c>
      <c r="R41">
        <v>0.1</v>
      </c>
      <c r="S41">
        <v>0.1</v>
      </c>
      <c r="T41">
        <v>17617.82</v>
      </c>
      <c r="U41" t="s">
        <v>94</v>
      </c>
      <c r="V41">
        <v>4</v>
      </c>
      <c r="W41">
        <v>2</v>
      </c>
      <c r="X41">
        <v>3</v>
      </c>
      <c r="Y41">
        <v>3</v>
      </c>
      <c r="Z41">
        <v>2</v>
      </c>
      <c r="AA41">
        <v>2</v>
      </c>
      <c r="AB41">
        <v>2</v>
      </c>
      <c r="AC41">
        <v>2</v>
      </c>
      <c r="AD41">
        <v>2</v>
      </c>
      <c r="AE41" s="6">
        <v>0.83333333333333337</v>
      </c>
      <c r="AF41" s="6">
        <v>0.33333333333333331</v>
      </c>
      <c r="AG41" s="6">
        <v>0.27777777777777779</v>
      </c>
      <c r="AH41">
        <v>0</v>
      </c>
    </row>
    <row r="42" spans="1:34">
      <c r="A42" t="s">
        <v>346</v>
      </c>
      <c r="B42" t="s">
        <v>345</v>
      </c>
      <c r="C42">
        <v>7077</v>
      </c>
      <c r="D42">
        <v>1255</v>
      </c>
      <c r="E42">
        <v>180.5503454248958</v>
      </c>
      <c r="F42">
        <v>2060.79</v>
      </c>
      <c r="G42">
        <v>235.61749526304493</v>
      </c>
      <c r="H42">
        <v>1126.0258670886487</v>
      </c>
      <c r="I42">
        <v>3387.6</v>
      </c>
      <c r="J42">
        <v>361.45430333545625</v>
      </c>
      <c r="K42">
        <v>394.10905348102699</v>
      </c>
      <c r="L42">
        <v>0.2</v>
      </c>
      <c r="M42">
        <v>0.05</v>
      </c>
      <c r="N42">
        <v>0.35000000000000003</v>
      </c>
      <c r="O42">
        <v>0.05</v>
      </c>
      <c r="P42">
        <v>0.2</v>
      </c>
      <c r="Q42">
        <v>0.60000000000000009</v>
      </c>
      <c r="R42">
        <v>0.05</v>
      </c>
      <c r="S42">
        <v>0.05</v>
      </c>
      <c r="T42">
        <v>3387.6</v>
      </c>
      <c r="U42" t="s">
        <v>97</v>
      </c>
      <c r="V42">
        <v>3</v>
      </c>
      <c r="W42">
        <v>2</v>
      </c>
      <c r="X42">
        <v>3</v>
      </c>
      <c r="Y42">
        <v>3</v>
      </c>
      <c r="Z42">
        <v>3</v>
      </c>
      <c r="AA42">
        <v>2</v>
      </c>
      <c r="AB42">
        <v>3</v>
      </c>
      <c r="AC42">
        <v>3</v>
      </c>
      <c r="AD42">
        <v>3</v>
      </c>
      <c r="AE42" s="6">
        <v>0.5</v>
      </c>
      <c r="AF42" s="6">
        <v>0.55555555555555536</v>
      </c>
      <c r="AG42" s="6">
        <v>0.27777777777777768</v>
      </c>
      <c r="AH42">
        <v>0</v>
      </c>
    </row>
    <row r="43" spans="1:34">
      <c r="A43" t="s">
        <v>146</v>
      </c>
      <c r="B43" t="s">
        <v>145</v>
      </c>
      <c r="C43">
        <v>73121</v>
      </c>
      <c r="D43">
        <v>4693</v>
      </c>
      <c r="E43">
        <v>1415.0457714879094</v>
      </c>
      <c r="F43">
        <v>10278.764999999999</v>
      </c>
      <c r="G43">
        <v>5529.0919175159233</v>
      </c>
      <c r="H43">
        <v>6762.628562054465</v>
      </c>
      <c r="I43">
        <v>16896.599999999999</v>
      </c>
      <c r="J43">
        <v>2164.0411398574288</v>
      </c>
      <c r="K43">
        <v>2366.9199967190625</v>
      </c>
      <c r="L43">
        <v>0.15000000000000002</v>
      </c>
      <c r="M43">
        <v>0.05</v>
      </c>
      <c r="N43">
        <v>0.35000000000000003</v>
      </c>
      <c r="O43">
        <v>0.2</v>
      </c>
      <c r="P43">
        <v>0.25</v>
      </c>
      <c r="Q43">
        <v>0.60000000000000009</v>
      </c>
      <c r="R43">
        <v>0.1</v>
      </c>
      <c r="S43">
        <v>0.1</v>
      </c>
      <c r="T43">
        <v>16896.599999999999</v>
      </c>
      <c r="U43" t="s">
        <v>97</v>
      </c>
      <c r="V43">
        <v>3</v>
      </c>
      <c r="W43">
        <v>2</v>
      </c>
      <c r="X43">
        <v>3</v>
      </c>
      <c r="Y43">
        <v>4</v>
      </c>
      <c r="Z43">
        <v>3</v>
      </c>
      <c r="AA43">
        <v>3</v>
      </c>
      <c r="AB43">
        <v>3</v>
      </c>
      <c r="AC43">
        <v>3</v>
      </c>
      <c r="AD43">
        <v>3</v>
      </c>
      <c r="AE43" s="6">
        <v>0.54782608695652169</v>
      </c>
      <c r="AF43" s="6">
        <v>0.50352733686067008</v>
      </c>
      <c r="AG43" s="6">
        <v>0.27584541062801926</v>
      </c>
      <c r="AH43">
        <v>1</v>
      </c>
    </row>
    <row r="44" spans="1:34">
      <c r="A44" t="s">
        <v>737</v>
      </c>
      <c r="B44" t="s">
        <v>736</v>
      </c>
      <c r="C44">
        <v>85006</v>
      </c>
      <c r="D44">
        <v>27117</v>
      </c>
      <c r="E44">
        <v>5305.9819661901165</v>
      </c>
      <c r="F44">
        <v>31726.895</v>
      </c>
      <c r="G44">
        <v>11214.09236011016</v>
      </c>
      <c r="H44">
        <v>20717.453574732779</v>
      </c>
      <c r="I44">
        <v>39115.35</v>
      </c>
      <c r="J44">
        <v>6650.3025974892225</v>
      </c>
      <c r="K44">
        <v>7251.108751156472</v>
      </c>
      <c r="L44">
        <v>0.30000000000000004</v>
      </c>
      <c r="M44">
        <v>0.05</v>
      </c>
      <c r="N44">
        <v>0.35000000000000003</v>
      </c>
      <c r="O44">
        <v>0.15000000000000002</v>
      </c>
      <c r="P44">
        <v>0.25</v>
      </c>
      <c r="Q44">
        <v>0.45</v>
      </c>
      <c r="R44">
        <v>0.1</v>
      </c>
      <c r="S44">
        <v>0.1</v>
      </c>
      <c r="T44">
        <v>39115.35</v>
      </c>
      <c r="U44" t="s">
        <v>97</v>
      </c>
      <c r="V44">
        <v>3</v>
      </c>
      <c r="W44">
        <v>4</v>
      </c>
      <c r="X44">
        <v>4</v>
      </c>
      <c r="Y44">
        <v>4</v>
      </c>
      <c r="Z44">
        <v>4</v>
      </c>
      <c r="AA44">
        <v>3</v>
      </c>
      <c r="AB44">
        <v>4</v>
      </c>
      <c r="AC44">
        <v>4</v>
      </c>
      <c r="AD44">
        <v>4</v>
      </c>
      <c r="AE44" s="6">
        <v>0.76760563380281688</v>
      </c>
      <c r="AF44" s="6">
        <v>0.34964322120285424</v>
      </c>
      <c r="AG44" s="6">
        <v>0.26838810641627542</v>
      </c>
      <c r="AH44">
        <v>1</v>
      </c>
    </row>
    <row r="45" spans="1:34">
      <c r="A45" t="s">
        <v>512</v>
      </c>
      <c r="B45" t="s">
        <v>511</v>
      </c>
      <c r="C45">
        <v>9625</v>
      </c>
      <c r="D45">
        <v>15565</v>
      </c>
      <c r="E45">
        <v>1866.381352977661</v>
      </c>
      <c r="F45">
        <v>25564.965</v>
      </c>
      <c r="G45">
        <v>9979.9957340485653</v>
      </c>
      <c r="H45">
        <v>8437.5406326960037</v>
      </c>
      <c r="I45">
        <v>42024.6</v>
      </c>
      <c r="J45">
        <v>2700.0130024627215</v>
      </c>
      <c r="K45">
        <v>2953.1392214436009</v>
      </c>
      <c r="L45">
        <v>0.2</v>
      </c>
      <c r="M45">
        <v>0.05</v>
      </c>
      <c r="N45">
        <v>0.35000000000000003</v>
      </c>
      <c r="O45">
        <v>0.15000000000000002</v>
      </c>
      <c r="P45">
        <v>0.1</v>
      </c>
      <c r="Q45">
        <v>0.60000000000000009</v>
      </c>
      <c r="R45">
        <v>0.05</v>
      </c>
      <c r="S45">
        <v>0.05</v>
      </c>
      <c r="T45">
        <v>42024.6</v>
      </c>
      <c r="U45" t="s">
        <v>97</v>
      </c>
      <c r="V45">
        <v>4</v>
      </c>
      <c r="W45">
        <v>3</v>
      </c>
      <c r="X45">
        <v>4</v>
      </c>
      <c r="Y45">
        <v>3</v>
      </c>
      <c r="Z45">
        <v>2</v>
      </c>
      <c r="AA45">
        <v>2</v>
      </c>
      <c r="AB45">
        <v>2</v>
      </c>
      <c r="AC45">
        <v>2</v>
      </c>
      <c r="AD45">
        <v>3</v>
      </c>
      <c r="AE45" s="6">
        <v>0.7857142857142857</v>
      </c>
      <c r="AF45" s="6">
        <v>0.33333333333333331</v>
      </c>
      <c r="AG45" s="6">
        <v>0.26190476190476186</v>
      </c>
      <c r="AH45">
        <v>1</v>
      </c>
    </row>
    <row r="46" spans="1:34">
      <c r="A46" t="s">
        <v>358</v>
      </c>
      <c r="B46" t="s">
        <v>357</v>
      </c>
      <c r="C46">
        <v>15660</v>
      </c>
      <c r="D46">
        <v>0</v>
      </c>
      <c r="E46">
        <v>1127.6680384267049</v>
      </c>
      <c r="F46">
        <v>7541.2650000000003</v>
      </c>
      <c r="G46">
        <v>1499.7524248814229</v>
      </c>
      <c r="H46">
        <v>3829.6131671941616</v>
      </c>
      <c r="I46">
        <v>2789.2350000000001</v>
      </c>
      <c r="J46">
        <v>1229.3058266693261</v>
      </c>
      <c r="K46">
        <v>1340.3646085179564</v>
      </c>
      <c r="L46">
        <v>0</v>
      </c>
      <c r="M46">
        <v>0.05</v>
      </c>
      <c r="N46">
        <v>0.35000000000000003</v>
      </c>
      <c r="O46">
        <v>0.05</v>
      </c>
      <c r="P46">
        <v>0.2</v>
      </c>
      <c r="Q46">
        <v>0.15000000000000002</v>
      </c>
      <c r="R46">
        <v>0.05</v>
      </c>
      <c r="S46">
        <v>0.05</v>
      </c>
      <c r="T46">
        <v>7541.2650000000003</v>
      </c>
      <c r="U46" t="s">
        <v>94</v>
      </c>
      <c r="V46">
        <v>2</v>
      </c>
      <c r="W46">
        <v>2</v>
      </c>
      <c r="X46">
        <v>3</v>
      </c>
      <c r="Y46">
        <v>3</v>
      </c>
      <c r="Z46">
        <v>4</v>
      </c>
      <c r="AA46">
        <v>4</v>
      </c>
      <c r="AB46">
        <v>4</v>
      </c>
      <c r="AC46">
        <v>4</v>
      </c>
      <c r="AD46">
        <v>3</v>
      </c>
      <c r="AE46" s="6">
        <v>0.7</v>
      </c>
      <c r="AF46" s="6">
        <v>0.37301587301587302</v>
      </c>
      <c r="AG46" s="6">
        <v>0.26111111111111113</v>
      </c>
      <c r="AH46">
        <v>0</v>
      </c>
    </row>
    <row r="47" spans="1:34">
      <c r="A47" t="s">
        <v>116</v>
      </c>
      <c r="B47" t="s">
        <v>115</v>
      </c>
      <c r="C47">
        <v>7715</v>
      </c>
      <c r="D47">
        <v>28600</v>
      </c>
      <c r="E47">
        <v>5142.2235047458289</v>
      </c>
      <c r="F47">
        <v>45771.73</v>
      </c>
      <c r="G47">
        <v>14539.779756822465</v>
      </c>
      <c r="H47">
        <v>29930.871562082062</v>
      </c>
      <c r="I47">
        <v>56430.9</v>
      </c>
      <c r="J47">
        <v>9607.8097714283431</v>
      </c>
      <c r="K47">
        <v>10475.805046728723</v>
      </c>
      <c r="L47">
        <v>0.25</v>
      </c>
      <c r="M47">
        <v>0.05</v>
      </c>
      <c r="N47">
        <v>0.35000000000000003</v>
      </c>
      <c r="O47">
        <v>0.1</v>
      </c>
      <c r="P47">
        <v>0.25</v>
      </c>
      <c r="Q47">
        <v>0.45</v>
      </c>
      <c r="R47">
        <v>0.1</v>
      </c>
      <c r="S47">
        <v>0.1</v>
      </c>
      <c r="T47">
        <v>56430.9</v>
      </c>
      <c r="U47" t="s">
        <v>97</v>
      </c>
      <c r="V47">
        <v>3</v>
      </c>
      <c r="W47">
        <v>4</v>
      </c>
      <c r="X47">
        <v>4</v>
      </c>
      <c r="Y47">
        <v>3</v>
      </c>
      <c r="Z47">
        <v>3</v>
      </c>
      <c r="AA47">
        <v>4</v>
      </c>
      <c r="AB47">
        <v>3</v>
      </c>
      <c r="AC47">
        <v>3</v>
      </c>
      <c r="AD47">
        <v>4</v>
      </c>
      <c r="AE47" s="6">
        <v>0.61538461538461542</v>
      </c>
      <c r="AF47" s="6">
        <v>0.41666666666666652</v>
      </c>
      <c r="AG47" s="6">
        <v>0.25641025641025633</v>
      </c>
      <c r="AH47">
        <v>1</v>
      </c>
    </row>
    <row r="48" spans="1:34">
      <c r="A48" t="s">
        <v>724</v>
      </c>
      <c r="B48" t="s">
        <v>723</v>
      </c>
      <c r="C48">
        <v>82210</v>
      </c>
      <c r="D48">
        <v>43129</v>
      </c>
      <c r="E48">
        <v>4837.3462624284148</v>
      </c>
      <c r="F48">
        <v>30683.360000000001</v>
      </c>
      <c r="G48">
        <v>15186.218220147404</v>
      </c>
      <c r="H48">
        <v>20036.032089393328</v>
      </c>
      <c r="I48">
        <v>37828.800000000003</v>
      </c>
      <c r="J48">
        <v>6411.5302686058649</v>
      </c>
      <c r="K48">
        <v>7012.6112312876639</v>
      </c>
      <c r="L48">
        <v>0.5</v>
      </c>
      <c r="M48">
        <v>0.05</v>
      </c>
      <c r="N48">
        <v>0.35000000000000003</v>
      </c>
      <c r="O48">
        <v>0.2</v>
      </c>
      <c r="P48">
        <v>0.25</v>
      </c>
      <c r="Q48">
        <v>0.45</v>
      </c>
      <c r="R48">
        <v>0.1</v>
      </c>
      <c r="S48">
        <v>0.1</v>
      </c>
      <c r="T48">
        <v>43129</v>
      </c>
      <c r="U48" t="s">
        <v>92</v>
      </c>
      <c r="V48">
        <v>3</v>
      </c>
      <c r="W48">
        <v>3</v>
      </c>
      <c r="X48">
        <v>3</v>
      </c>
      <c r="Y48">
        <v>4</v>
      </c>
      <c r="Z48">
        <v>4</v>
      </c>
      <c r="AA48">
        <v>3</v>
      </c>
      <c r="AB48">
        <v>4</v>
      </c>
      <c r="AC48">
        <v>4</v>
      </c>
      <c r="AD48">
        <v>3</v>
      </c>
      <c r="AE48" s="6">
        <v>0.64341085271317833</v>
      </c>
      <c r="AF48" s="6">
        <v>0.39223560910307892</v>
      </c>
      <c r="AG48" s="6">
        <v>0.25236864771748491</v>
      </c>
      <c r="AH48">
        <v>0</v>
      </c>
    </row>
    <row r="49" spans="1:34">
      <c r="A49" t="s">
        <v>615</v>
      </c>
      <c r="B49" t="s">
        <v>614</v>
      </c>
      <c r="C49">
        <v>80680</v>
      </c>
      <c r="D49">
        <v>6665</v>
      </c>
      <c r="E49">
        <v>606.48514632526735</v>
      </c>
      <c r="F49">
        <v>7297.4449999999997</v>
      </c>
      <c r="G49">
        <v>2442.2626103369207</v>
      </c>
      <c r="H49">
        <v>4002.1025874510265</v>
      </c>
      <c r="I49">
        <v>0</v>
      </c>
      <c r="J49">
        <v>1280.6728279843285</v>
      </c>
      <c r="K49">
        <v>1400.7359056078594</v>
      </c>
      <c r="L49">
        <v>0.35000000000000003</v>
      </c>
      <c r="M49">
        <v>0.05</v>
      </c>
      <c r="N49">
        <v>0.35000000000000003</v>
      </c>
      <c r="O49">
        <v>0.1</v>
      </c>
      <c r="P49">
        <v>0.2</v>
      </c>
      <c r="Q49">
        <v>0</v>
      </c>
      <c r="R49">
        <v>0.05</v>
      </c>
      <c r="S49">
        <v>0.05</v>
      </c>
      <c r="T49">
        <v>7297.4449999999997</v>
      </c>
      <c r="U49" t="s">
        <v>94</v>
      </c>
      <c r="V49">
        <v>3</v>
      </c>
      <c r="W49">
        <v>2</v>
      </c>
      <c r="X49">
        <v>4</v>
      </c>
      <c r="Y49">
        <v>4</v>
      </c>
      <c r="Z49">
        <v>3</v>
      </c>
      <c r="AA49">
        <v>3</v>
      </c>
      <c r="AB49">
        <v>3</v>
      </c>
      <c r="AC49">
        <v>3</v>
      </c>
      <c r="AD49">
        <v>3</v>
      </c>
      <c r="AE49" s="6">
        <v>0.52121212121212124</v>
      </c>
      <c r="AF49" s="6">
        <v>0.47157622739018079</v>
      </c>
      <c r="AG49" s="6">
        <v>0.24579124579124575</v>
      </c>
      <c r="AH49">
        <v>1</v>
      </c>
    </row>
    <row r="50" spans="1:34">
      <c r="A50" t="s">
        <v>506</v>
      </c>
      <c r="B50" t="s">
        <v>505</v>
      </c>
      <c r="C50">
        <v>27954</v>
      </c>
      <c r="D50">
        <v>5193</v>
      </c>
      <c r="E50">
        <v>828.7233462712943</v>
      </c>
      <c r="F50">
        <v>10559.45</v>
      </c>
      <c r="G50">
        <v>3703.9087406533395</v>
      </c>
      <c r="H50">
        <v>1161.6912499055102</v>
      </c>
      <c r="I50">
        <v>17358</v>
      </c>
      <c r="J50">
        <v>371.74119996976322</v>
      </c>
      <c r="K50">
        <v>406.59193746692858</v>
      </c>
      <c r="L50">
        <v>0.2</v>
      </c>
      <c r="M50">
        <v>0.05</v>
      </c>
      <c r="N50">
        <v>0.35000000000000003</v>
      </c>
      <c r="O50">
        <v>0.15000000000000002</v>
      </c>
      <c r="P50">
        <v>0.05</v>
      </c>
      <c r="Q50">
        <v>0.60000000000000009</v>
      </c>
      <c r="R50">
        <v>0</v>
      </c>
      <c r="S50">
        <v>0</v>
      </c>
      <c r="T50">
        <v>17358</v>
      </c>
      <c r="U50" t="s">
        <v>97</v>
      </c>
      <c r="V50">
        <v>3</v>
      </c>
      <c r="W50">
        <v>1</v>
      </c>
      <c r="X50">
        <v>3</v>
      </c>
      <c r="Y50">
        <v>3</v>
      </c>
      <c r="Z50">
        <v>3</v>
      </c>
      <c r="AA50">
        <v>2</v>
      </c>
      <c r="AB50">
        <v>3</v>
      </c>
      <c r="AC50">
        <v>3</v>
      </c>
      <c r="AD50">
        <v>3</v>
      </c>
      <c r="AE50" s="6">
        <v>0.69444444444444442</v>
      </c>
      <c r="AF50" s="6">
        <v>0.35333333333333333</v>
      </c>
      <c r="AG50" s="6">
        <v>0.24537037037037035</v>
      </c>
      <c r="AH50">
        <v>0</v>
      </c>
    </row>
    <row r="51" spans="1:34">
      <c r="A51" t="s">
        <v>551</v>
      </c>
      <c r="B51" t="s">
        <v>550</v>
      </c>
      <c r="C51">
        <v>49228</v>
      </c>
      <c r="D51">
        <v>13015</v>
      </c>
      <c r="E51">
        <v>804.34030044827784</v>
      </c>
      <c r="F51">
        <v>6577.3</v>
      </c>
      <c r="G51">
        <v>936.40127438740296</v>
      </c>
      <c r="H51">
        <v>1709.6537501938551</v>
      </c>
      <c r="I51">
        <v>0</v>
      </c>
      <c r="J51">
        <v>547.08920006203368</v>
      </c>
      <c r="K51">
        <v>598.3788125678492</v>
      </c>
      <c r="L51">
        <v>0.70000000000000007</v>
      </c>
      <c r="M51">
        <v>0.05</v>
      </c>
      <c r="N51">
        <v>0.35000000000000003</v>
      </c>
      <c r="O51">
        <v>0.05</v>
      </c>
      <c r="P51">
        <v>0.1</v>
      </c>
      <c r="Q51">
        <v>0</v>
      </c>
      <c r="R51">
        <v>0.05</v>
      </c>
      <c r="S51">
        <v>0.05</v>
      </c>
      <c r="T51">
        <v>13015</v>
      </c>
      <c r="U51" t="s">
        <v>92</v>
      </c>
      <c r="V51">
        <v>3</v>
      </c>
      <c r="W51">
        <v>2</v>
      </c>
      <c r="X51">
        <v>3</v>
      </c>
      <c r="Y51">
        <v>3</v>
      </c>
      <c r="Z51">
        <v>3</v>
      </c>
      <c r="AA51">
        <v>2</v>
      </c>
      <c r="AB51">
        <v>3</v>
      </c>
      <c r="AC51">
        <v>3</v>
      </c>
      <c r="AD51">
        <v>3</v>
      </c>
      <c r="AE51" s="6">
        <v>0.55434782608695654</v>
      </c>
      <c r="AF51" s="6">
        <v>0.43246187363834404</v>
      </c>
      <c r="AG51" s="6">
        <v>0.23973429951690811</v>
      </c>
      <c r="AH51">
        <v>0</v>
      </c>
    </row>
    <row r="52" spans="1:34">
      <c r="A52" t="s">
        <v>504</v>
      </c>
      <c r="B52" t="s">
        <v>250</v>
      </c>
      <c r="C52">
        <v>46610</v>
      </c>
      <c r="D52">
        <v>3279</v>
      </c>
      <c r="E52">
        <v>750.37548371693617</v>
      </c>
      <c r="F52">
        <v>7720</v>
      </c>
      <c r="G52">
        <v>1234.5802627612934</v>
      </c>
      <c r="H52">
        <v>1178.4697206372657</v>
      </c>
      <c r="I52">
        <v>0</v>
      </c>
      <c r="J52">
        <v>377.11031060392509</v>
      </c>
      <c r="K52">
        <v>412.46440222304295</v>
      </c>
      <c r="L52">
        <v>0.35000000000000003</v>
      </c>
      <c r="M52">
        <v>0.1</v>
      </c>
      <c r="N52">
        <v>0.8</v>
      </c>
      <c r="O52">
        <v>0.15000000000000002</v>
      </c>
      <c r="P52">
        <v>0.1</v>
      </c>
      <c r="Q52">
        <v>0</v>
      </c>
      <c r="R52">
        <v>0.05</v>
      </c>
      <c r="S52">
        <v>0.05</v>
      </c>
      <c r="T52">
        <v>7720</v>
      </c>
      <c r="U52" t="s">
        <v>94</v>
      </c>
      <c r="V52">
        <v>4</v>
      </c>
      <c r="W52">
        <v>2</v>
      </c>
      <c r="X52">
        <v>3</v>
      </c>
      <c r="Y52">
        <v>3</v>
      </c>
      <c r="Z52">
        <v>3</v>
      </c>
      <c r="AA52">
        <v>2</v>
      </c>
      <c r="AB52">
        <v>3</v>
      </c>
      <c r="AC52">
        <v>3</v>
      </c>
      <c r="AD52">
        <v>3</v>
      </c>
      <c r="AE52" s="6">
        <v>0.53968253968253965</v>
      </c>
      <c r="AF52" s="6">
        <v>0.41666666666666657</v>
      </c>
      <c r="AG52" s="6">
        <v>0.2248677248677248</v>
      </c>
      <c r="AH52">
        <v>0</v>
      </c>
    </row>
    <row r="53" spans="1:34">
      <c r="A53" t="s">
        <v>332</v>
      </c>
      <c r="B53" t="s">
        <v>331</v>
      </c>
      <c r="C53">
        <v>9944</v>
      </c>
      <c r="D53">
        <v>0</v>
      </c>
      <c r="E53">
        <v>1509.786920248705</v>
      </c>
      <c r="F53">
        <v>7205.1</v>
      </c>
      <c r="G53">
        <v>1104.3965335057878</v>
      </c>
      <c r="H53">
        <v>3936.9023408306639</v>
      </c>
      <c r="I53">
        <v>11844</v>
      </c>
      <c r="J53">
        <v>1259.8087490658124</v>
      </c>
      <c r="K53">
        <v>1377.9158192907323</v>
      </c>
      <c r="L53">
        <v>0</v>
      </c>
      <c r="M53">
        <v>0.1</v>
      </c>
      <c r="N53">
        <v>0.35000000000000003</v>
      </c>
      <c r="O53">
        <v>0.05</v>
      </c>
      <c r="P53">
        <v>0.2</v>
      </c>
      <c r="Q53">
        <v>0.60000000000000009</v>
      </c>
      <c r="R53">
        <v>0.05</v>
      </c>
      <c r="S53">
        <v>0.05</v>
      </c>
      <c r="T53">
        <v>11844</v>
      </c>
      <c r="U53" t="s">
        <v>97</v>
      </c>
      <c r="V53">
        <v>3</v>
      </c>
      <c r="W53">
        <v>2</v>
      </c>
      <c r="X53">
        <v>4</v>
      </c>
      <c r="Y53">
        <v>3</v>
      </c>
      <c r="Z53">
        <v>3</v>
      </c>
      <c r="AA53">
        <v>4</v>
      </c>
      <c r="AB53">
        <v>3</v>
      </c>
      <c r="AC53">
        <v>3</v>
      </c>
      <c r="AD53">
        <v>3</v>
      </c>
      <c r="AE53" s="6">
        <v>0.5</v>
      </c>
      <c r="AF53" s="6">
        <v>0.44444444444444431</v>
      </c>
      <c r="AG53" s="6">
        <v>0.22222222222222215</v>
      </c>
      <c r="AH53">
        <v>0</v>
      </c>
    </row>
    <row r="54" spans="1:34">
      <c r="A54" t="s">
        <v>577</v>
      </c>
      <c r="B54" t="s">
        <v>576</v>
      </c>
      <c r="C54">
        <v>34936</v>
      </c>
      <c r="D54">
        <v>13011</v>
      </c>
      <c r="E54">
        <v>2518.6704656282359</v>
      </c>
      <c r="F54">
        <v>20112.96</v>
      </c>
      <c r="G54">
        <v>2239.9969085969688</v>
      </c>
      <c r="H54">
        <v>10992.569900427487</v>
      </c>
      <c r="I54">
        <v>0</v>
      </c>
      <c r="J54">
        <v>3517.6223681367956</v>
      </c>
      <c r="K54">
        <v>3847.39946514962</v>
      </c>
      <c r="L54">
        <v>0.25</v>
      </c>
      <c r="M54">
        <v>0.05</v>
      </c>
      <c r="N54">
        <v>0.35000000000000003</v>
      </c>
      <c r="O54">
        <v>0.05</v>
      </c>
      <c r="P54">
        <v>0.2</v>
      </c>
      <c r="Q54">
        <v>0</v>
      </c>
      <c r="R54">
        <v>0.05</v>
      </c>
      <c r="S54">
        <v>0.05</v>
      </c>
      <c r="T54">
        <v>20112.96</v>
      </c>
      <c r="U54" t="s">
        <v>94</v>
      </c>
      <c r="V54">
        <v>4</v>
      </c>
      <c r="W54">
        <v>2</v>
      </c>
      <c r="X54">
        <v>4</v>
      </c>
      <c r="Y54">
        <v>4</v>
      </c>
      <c r="Z54">
        <v>4</v>
      </c>
      <c r="AA54">
        <v>4</v>
      </c>
      <c r="AB54">
        <v>4</v>
      </c>
      <c r="AC54">
        <v>4</v>
      </c>
      <c r="AD54">
        <v>4</v>
      </c>
      <c r="AE54" s="6">
        <v>0.41269841269841268</v>
      </c>
      <c r="AF54" s="6">
        <v>0.53632478632478631</v>
      </c>
      <c r="AG54" s="6">
        <v>0.22134038800705466</v>
      </c>
      <c r="AH54">
        <v>0</v>
      </c>
    </row>
    <row r="55" spans="1:34">
      <c r="A55" t="s">
        <v>174</v>
      </c>
      <c r="B55" t="s">
        <v>173</v>
      </c>
      <c r="C55">
        <v>28966</v>
      </c>
      <c r="D55">
        <v>13537</v>
      </c>
      <c r="E55">
        <v>2608.6612726427111</v>
      </c>
      <c r="F55">
        <v>37269.055</v>
      </c>
      <c r="G55">
        <v>16255.918839023729</v>
      </c>
      <c r="H55">
        <v>20370.301023564662</v>
      </c>
      <c r="I55">
        <v>0</v>
      </c>
      <c r="J55">
        <v>6518.4963275406917</v>
      </c>
      <c r="K55">
        <v>7129.6053582476316</v>
      </c>
      <c r="L55">
        <v>0.15000000000000002</v>
      </c>
      <c r="M55">
        <v>0.05</v>
      </c>
      <c r="N55">
        <v>0.35000000000000003</v>
      </c>
      <c r="O55">
        <v>0.15000000000000002</v>
      </c>
      <c r="P55">
        <v>0.2</v>
      </c>
      <c r="Q55">
        <v>0</v>
      </c>
      <c r="R55">
        <v>0.05</v>
      </c>
      <c r="S55">
        <v>0.05</v>
      </c>
      <c r="T55">
        <v>37269.055</v>
      </c>
      <c r="U55" t="s">
        <v>94</v>
      </c>
      <c r="V55">
        <v>3</v>
      </c>
      <c r="W55">
        <v>2</v>
      </c>
      <c r="X55">
        <v>4</v>
      </c>
      <c r="Y55">
        <v>4</v>
      </c>
      <c r="Z55">
        <v>5</v>
      </c>
      <c r="AA55">
        <v>4</v>
      </c>
      <c r="AB55">
        <v>5</v>
      </c>
      <c r="AC55">
        <v>5</v>
      </c>
      <c r="AD55">
        <v>4</v>
      </c>
      <c r="AE55" s="6">
        <v>0.58139534883720934</v>
      </c>
      <c r="AF55" s="6">
        <v>0.37777777777777771</v>
      </c>
      <c r="AG55" s="6">
        <v>0.21963824289405681</v>
      </c>
      <c r="AH55">
        <v>0</v>
      </c>
    </row>
    <row r="56" spans="1:34">
      <c r="A56" t="s">
        <v>148</v>
      </c>
      <c r="B56" t="s">
        <v>147</v>
      </c>
      <c r="C56">
        <v>23248</v>
      </c>
      <c r="D56">
        <v>0</v>
      </c>
      <c r="E56">
        <v>6340.9934519553926</v>
      </c>
      <c r="F56">
        <v>37370.89</v>
      </c>
      <c r="G56">
        <v>5822.2852267812905</v>
      </c>
      <c r="H56">
        <v>20489.284470085939</v>
      </c>
      <c r="I56">
        <v>0</v>
      </c>
      <c r="J56">
        <v>6556.5710304274999</v>
      </c>
      <c r="K56">
        <v>7171.2495645300778</v>
      </c>
      <c r="L56">
        <v>0</v>
      </c>
      <c r="M56">
        <v>0.05</v>
      </c>
      <c r="N56">
        <v>0.35000000000000003</v>
      </c>
      <c r="O56">
        <v>0.05</v>
      </c>
      <c r="P56">
        <v>0.2</v>
      </c>
      <c r="Q56">
        <v>0</v>
      </c>
      <c r="R56">
        <v>0.05</v>
      </c>
      <c r="S56">
        <v>0.05</v>
      </c>
      <c r="T56">
        <v>37370.89</v>
      </c>
      <c r="U56" t="s">
        <v>94</v>
      </c>
      <c r="V56">
        <v>2</v>
      </c>
      <c r="W56">
        <v>1</v>
      </c>
      <c r="X56">
        <v>3</v>
      </c>
      <c r="Y56">
        <v>4</v>
      </c>
      <c r="Z56">
        <v>4</v>
      </c>
      <c r="AA56">
        <v>5</v>
      </c>
      <c r="AB56">
        <v>4</v>
      </c>
      <c r="AC56">
        <v>4</v>
      </c>
      <c r="AD56">
        <v>3</v>
      </c>
      <c r="AE56" s="6">
        <v>0.4642857142857143</v>
      </c>
      <c r="AF56" s="6">
        <v>0.47008547008546991</v>
      </c>
      <c r="AG56" s="6">
        <v>0.21825396825396817</v>
      </c>
      <c r="AH56">
        <v>0</v>
      </c>
    </row>
    <row r="57" spans="1:34">
      <c r="A57" t="s">
        <v>277</v>
      </c>
      <c r="B57" t="s">
        <v>276</v>
      </c>
      <c r="C57">
        <v>29092</v>
      </c>
      <c r="D57">
        <v>2030</v>
      </c>
      <c r="E57">
        <v>408.33944637997649</v>
      </c>
      <c r="F57">
        <v>5600</v>
      </c>
      <c r="G57">
        <v>359.83107966044281</v>
      </c>
      <c r="H57">
        <v>3134.281962033936</v>
      </c>
      <c r="I57">
        <v>0</v>
      </c>
      <c r="J57">
        <v>1002.9702278508596</v>
      </c>
      <c r="K57">
        <v>1096.9986867118778</v>
      </c>
      <c r="L57">
        <v>0.15000000000000002</v>
      </c>
      <c r="M57">
        <v>0.05</v>
      </c>
      <c r="N57">
        <v>0.45</v>
      </c>
      <c r="O57">
        <v>0.05</v>
      </c>
      <c r="P57">
        <v>0.25</v>
      </c>
      <c r="Q57">
        <v>0</v>
      </c>
      <c r="R57">
        <v>0.1</v>
      </c>
      <c r="S57">
        <v>0.1</v>
      </c>
      <c r="T57">
        <v>5600</v>
      </c>
      <c r="U57" t="s">
        <v>94</v>
      </c>
      <c r="V57">
        <v>2</v>
      </c>
      <c r="W57">
        <v>2</v>
      </c>
      <c r="X57">
        <v>3</v>
      </c>
      <c r="Y57">
        <v>4</v>
      </c>
      <c r="Z57">
        <v>3</v>
      </c>
      <c r="AA57">
        <v>2</v>
      </c>
      <c r="AB57">
        <v>3</v>
      </c>
      <c r="AC57">
        <v>3</v>
      </c>
      <c r="AD57">
        <v>2</v>
      </c>
      <c r="AE57" s="6">
        <v>0.47692307692307695</v>
      </c>
      <c r="AF57" s="6">
        <v>0.45519713261648737</v>
      </c>
      <c r="AG57" s="6">
        <v>0.21709401709401707</v>
      </c>
      <c r="AH57">
        <v>0</v>
      </c>
    </row>
    <row r="58" spans="1:34">
      <c r="A58" t="s">
        <v>354</v>
      </c>
      <c r="B58" t="s">
        <v>203</v>
      </c>
      <c r="C58">
        <v>5781</v>
      </c>
      <c r="D58">
        <v>5053</v>
      </c>
      <c r="E58">
        <v>678.01838861406759</v>
      </c>
      <c r="F58">
        <v>6300</v>
      </c>
      <c r="G58">
        <v>976.78145024549997</v>
      </c>
      <c r="H58">
        <v>2458.3592002563364</v>
      </c>
      <c r="I58">
        <v>7957.7999999999993</v>
      </c>
      <c r="J58">
        <v>786.67494408202765</v>
      </c>
      <c r="K58">
        <v>860.42572008971774</v>
      </c>
      <c r="L58">
        <v>0.4</v>
      </c>
      <c r="M58">
        <v>0.05</v>
      </c>
      <c r="N58">
        <v>0.5</v>
      </c>
      <c r="O58">
        <v>0.05</v>
      </c>
      <c r="P58">
        <v>0.2</v>
      </c>
      <c r="Q58">
        <v>0.60000000000000009</v>
      </c>
      <c r="R58">
        <v>0.05</v>
      </c>
      <c r="S58">
        <v>0.05</v>
      </c>
      <c r="T58">
        <v>7957.7999999999993</v>
      </c>
      <c r="U58" t="s">
        <v>97</v>
      </c>
      <c r="V58">
        <v>3</v>
      </c>
      <c r="W58">
        <v>2</v>
      </c>
      <c r="X58">
        <v>3</v>
      </c>
      <c r="Y58">
        <v>3</v>
      </c>
      <c r="Z58">
        <v>4</v>
      </c>
      <c r="AA58">
        <v>4</v>
      </c>
      <c r="AB58">
        <v>4</v>
      </c>
      <c r="AC58">
        <v>4</v>
      </c>
      <c r="AD58">
        <v>3</v>
      </c>
      <c r="AE58" s="6">
        <v>0.47368421052631576</v>
      </c>
      <c r="AF58" s="6">
        <v>0.45679012345678999</v>
      </c>
      <c r="AG58" s="6">
        <v>0.21637426900584789</v>
      </c>
      <c r="AH58">
        <v>0</v>
      </c>
    </row>
    <row r="59" spans="1:34">
      <c r="A59" t="s">
        <v>401</v>
      </c>
      <c r="B59" t="s">
        <v>400</v>
      </c>
      <c r="C59">
        <v>100997</v>
      </c>
      <c r="D59">
        <v>32790</v>
      </c>
      <c r="E59">
        <v>5774.6494437724832</v>
      </c>
      <c r="F59">
        <v>49524.294999999998</v>
      </c>
      <c r="G59">
        <v>15747.790952202507</v>
      </c>
      <c r="H59">
        <v>22696.049440500428</v>
      </c>
      <c r="I59">
        <v>18317.204999999998</v>
      </c>
      <c r="J59">
        <v>7262.7358209601371</v>
      </c>
      <c r="K59">
        <v>7943.617304175149</v>
      </c>
      <c r="L59">
        <v>0.25</v>
      </c>
      <c r="M59">
        <v>0.05</v>
      </c>
      <c r="N59">
        <v>0.35000000000000003</v>
      </c>
      <c r="O59">
        <v>0.1</v>
      </c>
      <c r="P59">
        <v>0.15000000000000002</v>
      </c>
      <c r="Q59">
        <v>0.15000000000000002</v>
      </c>
      <c r="R59">
        <v>0.05</v>
      </c>
      <c r="S59">
        <v>0.05</v>
      </c>
      <c r="T59">
        <v>49524.294999999998</v>
      </c>
      <c r="U59" t="s">
        <v>94</v>
      </c>
      <c r="V59">
        <v>4</v>
      </c>
      <c r="W59">
        <v>2</v>
      </c>
      <c r="X59">
        <v>3</v>
      </c>
      <c r="Y59">
        <v>3</v>
      </c>
      <c r="Z59">
        <v>4</v>
      </c>
      <c r="AA59">
        <v>2</v>
      </c>
      <c r="AB59">
        <v>4</v>
      </c>
      <c r="AC59">
        <v>4</v>
      </c>
      <c r="AD59">
        <v>3</v>
      </c>
      <c r="AE59" s="6">
        <v>0.58552631578947367</v>
      </c>
      <c r="AF59" s="6">
        <v>0.35892634207240948</v>
      </c>
      <c r="AG59" s="6">
        <v>0.21016081871345027</v>
      </c>
      <c r="AH59">
        <v>0</v>
      </c>
    </row>
    <row r="60" spans="1:34">
      <c r="A60" t="s">
        <v>568</v>
      </c>
      <c r="B60" t="s">
        <v>221</v>
      </c>
      <c r="C60">
        <v>47200</v>
      </c>
      <c r="D60">
        <v>4276</v>
      </c>
      <c r="E60">
        <v>3126.436574519882</v>
      </c>
      <c r="F60">
        <v>7804.0649999999996</v>
      </c>
      <c r="G60">
        <v>340.2867341397673</v>
      </c>
      <c r="H60">
        <v>5118.2956672700366</v>
      </c>
      <c r="I60">
        <v>9621.4500000000007</v>
      </c>
      <c r="J60">
        <v>1642.972909193682</v>
      </c>
      <c r="K60">
        <v>1791.4034835445127</v>
      </c>
      <c r="L60">
        <v>0.2</v>
      </c>
      <c r="M60">
        <v>0.15000000000000002</v>
      </c>
      <c r="N60">
        <v>0.35000000000000003</v>
      </c>
      <c r="O60">
        <v>0</v>
      </c>
      <c r="P60">
        <v>0.25</v>
      </c>
      <c r="Q60">
        <v>0.45</v>
      </c>
      <c r="R60">
        <v>0.1</v>
      </c>
      <c r="S60">
        <v>0.1</v>
      </c>
      <c r="T60">
        <v>9621.4500000000007</v>
      </c>
      <c r="U60" t="s">
        <v>97</v>
      </c>
      <c r="V60">
        <v>4</v>
      </c>
      <c r="W60">
        <v>2</v>
      </c>
      <c r="X60">
        <v>4</v>
      </c>
      <c r="Y60">
        <v>3</v>
      </c>
      <c r="Z60">
        <v>4</v>
      </c>
      <c r="AA60">
        <v>2</v>
      </c>
      <c r="AB60">
        <v>4</v>
      </c>
      <c r="AC60">
        <v>4</v>
      </c>
      <c r="AD60">
        <v>3</v>
      </c>
      <c r="AE60" s="6">
        <v>0.43421052631578949</v>
      </c>
      <c r="AF60" s="6">
        <v>0.47811447811447805</v>
      </c>
      <c r="AG60" s="6">
        <v>0.20760233918128654</v>
      </c>
      <c r="AH60">
        <v>0</v>
      </c>
    </row>
    <row r="61" spans="1:34">
      <c r="A61" t="s">
        <v>625</v>
      </c>
      <c r="B61" t="s">
        <v>624</v>
      </c>
      <c r="C61">
        <v>51879</v>
      </c>
      <c r="D61">
        <v>3839</v>
      </c>
      <c r="E61">
        <v>345.52603913440515</v>
      </c>
      <c r="F61">
        <v>3821.55</v>
      </c>
      <c r="G61">
        <v>994.09074375115142</v>
      </c>
      <c r="H61">
        <v>1257.500547910136</v>
      </c>
      <c r="I61">
        <v>0</v>
      </c>
      <c r="J61">
        <v>403.65767587915366</v>
      </c>
      <c r="K61">
        <v>440.1251917685475</v>
      </c>
      <c r="L61">
        <v>0.35000000000000003</v>
      </c>
      <c r="M61">
        <v>0.05</v>
      </c>
      <c r="N61">
        <v>0.35000000000000003</v>
      </c>
      <c r="O61">
        <v>0.1</v>
      </c>
      <c r="P61">
        <v>0.1</v>
      </c>
      <c r="Q61">
        <v>0</v>
      </c>
      <c r="R61">
        <v>0.05</v>
      </c>
      <c r="S61">
        <v>0.05</v>
      </c>
      <c r="T61">
        <v>3839</v>
      </c>
      <c r="U61" t="s">
        <v>92</v>
      </c>
      <c r="V61">
        <v>3</v>
      </c>
      <c r="W61">
        <v>1</v>
      </c>
      <c r="X61">
        <v>4</v>
      </c>
      <c r="Y61">
        <v>5</v>
      </c>
      <c r="Z61">
        <v>4</v>
      </c>
      <c r="AA61">
        <v>4</v>
      </c>
      <c r="AB61">
        <v>4</v>
      </c>
      <c r="AC61">
        <v>4</v>
      </c>
      <c r="AD61">
        <v>4</v>
      </c>
      <c r="AE61" s="6">
        <v>0.48148148148148145</v>
      </c>
      <c r="AF61" s="6">
        <v>0.41880341880341887</v>
      </c>
      <c r="AG61" s="6">
        <v>0.20164609053497945</v>
      </c>
      <c r="AH61">
        <v>0</v>
      </c>
    </row>
    <row r="62" spans="1:34">
      <c r="A62" t="s">
        <v>653</v>
      </c>
      <c r="B62" t="s">
        <v>652</v>
      </c>
      <c r="C62">
        <v>27128</v>
      </c>
      <c r="D62">
        <v>259</v>
      </c>
      <c r="E62">
        <v>743.2191414822812</v>
      </c>
      <c r="F62">
        <v>7948.24</v>
      </c>
      <c r="G62">
        <v>1742.9427233950278</v>
      </c>
      <c r="H62">
        <v>2634.0720179185632</v>
      </c>
      <c r="I62">
        <v>0</v>
      </c>
      <c r="J62">
        <v>842.90304573394019</v>
      </c>
      <c r="K62">
        <v>921.92520627149713</v>
      </c>
      <c r="L62">
        <v>0</v>
      </c>
      <c r="M62">
        <v>0.05</v>
      </c>
      <c r="N62">
        <v>0.35000000000000003</v>
      </c>
      <c r="O62">
        <v>0.1</v>
      </c>
      <c r="P62">
        <v>0.1</v>
      </c>
      <c r="Q62">
        <v>0</v>
      </c>
      <c r="R62">
        <v>0.05</v>
      </c>
      <c r="S62">
        <v>0.05</v>
      </c>
      <c r="T62">
        <v>7948.24</v>
      </c>
      <c r="U62" t="s">
        <v>94</v>
      </c>
      <c r="V62">
        <v>3</v>
      </c>
      <c r="W62">
        <v>1</v>
      </c>
      <c r="X62">
        <v>3</v>
      </c>
      <c r="Y62">
        <v>3</v>
      </c>
      <c r="Z62">
        <v>4</v>
      </c>
      <c r="AA62">
        <v>2</v>
      </c>
      <c r="AB62">
        <v>4</v>
      </c>
      <c r="AC62">
        <v>4</v>
      </c>
      <c r="AD62">
        <v>3</v>
      </c>
      <c r="AE62" s="6">
        <v>0.46808510638297873</v>
      </c>
      <c r="AF62" s="6">
        <v>0.4242424242424242</v>
      </c>
      <c r="AG62" s="6">
        <v>0.19858156028368792</v>
      </c>
      <c r="AH62">
        <v>0</v>
      </c>
    </row>
    <row r="63" spans="1:34">
      <c r="A63" t="s">
        <v>617</v>
      </c>
      <c r="B63" t="s">
        <v>100</v>
      </c>
      <c r="C63">
        <v>22464</v>
      </c>
      <c r="D63">
        <v>28225</v>
      </c>
      <c r="E63">
        <v>1783.518817212745</v>
      </c>
      <c r="F63">
        <v>19362.884999999998</v>
      </c>
      <c r="G63">
        <v>9320.8238035168688</v>
      </c>
      <c r="H63">
        <v>12742.912429051536</v>
      </c>
      <c r="I63">
        <v>31829.399999999998</v>
      </c>
      <c r="J63">
        <v>4077.7319772964916</v>
      </c>
      <c r="K63">
        <v>4460.0193501680369</v>
      </c>
      <c r="L63">
        <v>0.55000000000000004</v>
      </c>
      <c r="M63">
        <v>0.05</v>
      </c>
      <c r="N63">
        <v>0.35000000000000003</v>
      </c>
      <c r="O63">
        <v>0.2</v>
      </c>
      <c r="P63">
        <v>0.25</v>
      </c>
      <c r="Q63">
        <v>0.60000000000000009</v>
      </c>
      <c r="R63">
        <v>0.1</v>
      </c>
      <c r="S63">
        <v>0.1</v>
      </c>
      <c r="T63">
        <v>31829.399999999998</v>
      </c>
      <c r="U63" t="s">
        <v>97</v>
      </c>
      <c r="V63">
        <v>3</v>
      </c>
      <c r="W63">
        <v>1</v>
      </c>
      <c r="X63">
        <v>4</v>
      </c>
      <c r="Y63">
        <v>3</v>
      </c>
      <c r="Z63">
        <v>3</v>
      </c>
      <c r="AA63">
        <v>2</v>
      </c>
      <c r="AB63">
        <v>3</v>
      </c>
      <c r="AC63">
        <v>3</v>
      </c>
      <c r="AD63">
        <v>3</v>
      </c>
      <c r="AE63" s="6">
        <v>0.43243243243243246</v>
      </c>
      <c r="AF63" s="6">
        <v>0.45833333333333331</v>
      </c>
      <c r="AG63" s="6">
        <v>0.1981981981981982</v>
      </c>
      <c r="AH63">
        <v>0</v>
      </c>
    </row>
    <row r="64" spans="1:34">
      <c r="A64" t="s">
        <v>554</v>
      </c>
      <c r="B64" t="s">
        <v>553</v>
      </c>
      <c r="C64">
        <v>16191</v>
      </c>
      <c r="D64">
        <v>22381</v>
      </c>
      <c r="E64">
        <v>1706.8130058593465</v>
      </c>
      <c r="F64">
        <v>15317.225</v>
      </c>
      <c r="G64">
        <v>1612.6245805246131</v>
      </c>
      <c r="H64">
        <v>3981.4439304597754</v>
      </c>
      <c r="I64">
        <v>0</v>
      </c>
      <c r="J64">
        <v>1274.0620577471282</v>
      </c>
      <c r="K64">
        <v>1393.5053756609209</v>
      </c>
      <c r="L64">
        <v>0.55000000000000004</v>
      </c>
      <c r="M64">
        <v>0.05</v>
      </c>
      <c r="N64">
        <v>0.35000000000000003</v>
      </c>
      <c r="O64">
        <v>0.05</v>
      </c>
      <c r="P64">
        <v>0.1</v>
      </c>
      <c r="Q64">
        <v>0</v>
      </c>
      <c r="R64">
        <v>0.05</v>
      </c>
      <c r="S64">
        <v>0.05</v>
      </c>
      <c r="T64">
        <v>22381</v>
      </c>
      <c r="U64" t="s">
        <v>92</v>
      </c>
      <c r="V64">
        <v>3</v>
      </c>
      <c r="W64">
        <v>2</v>
      </c>
      <c r="X64">
        <v>4</v>
      </c>
      <c r="Y64">
        <v>3</v>
      </c>
      <c r="Z64">
        <v>2</v>
      </c>
      <c r="AA64">
        <v>2</v>
      </c>
      <c r="AB64">
        <v>2</v>
      </c>
      <c r="AC64">
        <v>2</v>
      </c>
      <c r="AD64">
        <v>2</v>
      </c>
      <c r="AE64" s="6">
        <v>0.55882352941176472</v>
      </c>
      <c r="AF64" s="6">
        <v>0.35087719298245612</v>
      </c>
      <c r="AG64" s="6">
        <v>0.19607843137254902</v>
      </c>
      <c r="AH64">
        <v>0</v>
      </c>
    </row>
    <row r="65" spans="1:34">
      <c r="A65" t="s">
        <v>637</v>
      </c>
      <c r="B65" t="s">
        <v>636</v>
      </c>
      <c r="C65">
        <v>49577</v>
      </c>
      <c r="D65">
        <v>8743</v>
      </c>
      <c r="E65">
        <v>2879.0113153763104</v>
      </c>
      <c r="F65">
        <v>37100</v>
      </c>
      <c r="G65">
        <v>7406.9908114573846</v>
      </c>
      <c r="H65">
        <v>20576.631283251783</v>
      </c>
      <c r="I65">
        <v>0</v>
      </c>
      <c r="J65">
        <v>6605.0986419238225</v>
      </c>
      <c r="K65">
        <v>7201.820949138124</v>
      </c>
      <c r="L65">
        <v>0.1</v>
      </c>
      <c r="M65">
        <v>0.05</v>
      </c>
      <c r="N65">
        <v>0.45</v>
      </c>
      <c r="O65">
        <v>0.1</v>
      </c>
      <c r="P65">
        <v>0.25</v>
      </c>
      <c r="Q65">
        <v>0</v>
      </c>
      <c r="R65">
        <v>0.1</v>
      </c>
      <c r="S65">
        <v>0.1</v>
      </c>
      <c r="T65">
        <v>37100</v>
      </c>
      <c r="U65" t="s">
        <v>94</v>
      </c>
      <c r="V65">
        <v>3</v>
      </c>
      <c r="W65">
        <v>1</v>
      </c>
      <c r="X65">
        <v>3</v>
      </c>
      <c r="Y65">
        <v>5</v>
      </c>
      <c r="Z65">
        <v>3</v>
      </c>
      <c r="AA65">
        <v>3</v>
      </c>
      <c r="AB65">
        <v>3</v>
      </c>
      <c r="AC65">
        <v>3</v>
      </c>
      <c r="AD65">
        <v>3</v>
      </c>
      <c r="AE65" s="6">
        <v>0.56666666666666665</v>
      </c>
      <c r="AF65" s="6">
        <v>0.34313725490196079</v>
      </c>
      <c r="AG65" s="6">
        <v>0.19444444444444445</v>
      </c>
      <c r="AH65">
        <v>0</v>
      </c>
    </row>
    <row r="66" spans="1:34">
      <c r="A66" t="s">
        <v>616</v>
      </c>
      <c r="B66" t="s">
        <v>141</v>
      </c>
      <c r="C66">
        <v>27547</v>
      </c>
      <c r="D66">
        <v>9400</v>
      </c>
      <c r="E66">
        <v>1249.2733867399661</v>
      </c>
      <c r="F66">
        <v>12008.865</v>
      </c>
      <c r="G66">
        <v>2659.5132413567894</v>
      </c>
      <c r="H66">
        <v>6585.9639488684161</v>
      </c>
      <c r="I66">
        <v>4441.6350000000002</v>
      </c>
      <c r="J66">
        <v>2107.5084636378933</v>
      </c>
      <c r="K66">
        <v>2305.0873821039459</v>
      </c>
      <c r="L66">
        <v>0.30000000000000004</v>
      </c>
      <c r="M66">
        <v>0.05</v>
      </c>
      <c r="N66">
        <v>0.35000000000000003</v>
      </c>
      <c r="O66">
        <v>0.1</v>
      </c>
      <c r="P66">
        <v>0.2</v>
      </c>
      <c r="Q66">
        <v>0.15000000000000002</v>
      </c>
      <c r="R66">
        <v>0.05</v>
      </c>
      <c r="S66">
        <v>0.05</v>
      </c>
      <c r="T66">
        <v>12008.865</v>
      </c>
      <c r="U66" t="s">
        <v>94</v>
      </c>
      <c r="V66">
        <v>3</v>
      </c>
      <c r="W66">
        <v>1</v>
      </c>
      <c r="X66">
        <v>3</v>
      </c>
      <c r="Y66">
        <v>3</v>
      </c>
      <c r="Z66">
        <v>3</v>
      </c>
      <c r="AA66">
        <v>2</v>
      </c>
      <c r="AB66">
        <v>3</v>
      </c>
      <c r="AC66">
        <v>3</v>
      </c>
      <c r="AD66">
        <v>3</v>
      </c>
      <c r="AE66" s="6">
        <v>0.48717948717948717</v>
      </c>
      <c r="AF66" s="6">
        <v>0.39766081871345021</v>
      </c>
      <c r="AG66" s="6">
        <v>0.19373219373219369</v>
      </c>
      <c r="AH66">
        <v>0</v>
      </c>
    </row>
    <row r="67" spans="1:34">
      <c r="A67" t="s">
        <v>397</v>
      </c>
      <c r="B67" t="s">
        <v>396</v>
      </c>
      <c r="C67">
        <v>49958</v>
      </c>
      <c r="D67">
        <v>54312</v>
      </c>
      <c r="E67">
        <v>5970.6197077205234</v>
      </c>
      <c r="F67">
        <v>69153.63</v>
      </c>
      <c r="G67">
        <v>15525.041553659696</v>
      </c>
      <c r="H67">
        <v>22576.231941583777</v>
      </c>
      <c r="I67">
        <v>12788.685000000001</v>
      </c>
      <c r="J67">
        <v>7224.3942213068094</v>
      </c>
      <c r="K67">
        <v>7901.6811795543217</v>
      </c>
      <c r="L67">
        <v>0.30000000000000004</v>
      </c>
      <c r="M67">
        <v>0.05</v>
      </c>
      <c r="N67">
        <v>0.35000000000000003</v>
      </c>
      <c r="O67">
        <v>0.1</v>
      </c>
      <c r="P67">
        <v>0.1</v>
      </c>
      <c r="Q67">
        <v>0.05</v>
      </c>
      <c r="R67">
        <v>0.05</v>
      </c>
      <c r="S67">
        <v>0.05</v>
      </c>
      <c r="T67">
        <v>69153.63</v>
      </c>
      <c r="U67" t="s">
        <v>94</v>
      </c>
      <c r="V67">
        <v>3</v>
      </c>
      <c r="W67">
        <v>1</v>
      </c>
      <c r="X67">
        <v>3</v>
      </c>
      <c r="Y67">
        <v>3</v>
      </c>
      <c r="Z67">
        <v>3</v>
      </c>
      <c r="AA67">
        <v>2</v>
      </c>
      <c r="AB67">
        <v>3</v>
      </c>
      <c r="AC67">
        <v>3</v>
      </c>
      <c r="AD67">
        <v>3</v>
      </c>
      <c r="AE67" s="6">
        <v>0.57746478873239437</v>
      </c>
      <c r="AF67" s="6">
        <v>0.33333333333333326</v>
      </c>
      <c r="AG67" s="6">
        <v>0.19248826291079807</v>
      </c>
      <c r="AH67">
        <v>0</v>
      </c>
    </row>
    <row r="68" spans="1:34">
      <c r="A68" t="s">
        <v>156</v>
      </c>
      <c r="B68" t="s">
        <v>155</v>
      </c>
      <c r="C68">
        <v>421424</v>
      </c>
      <c r="D68">
        <v>6484</v>
      </c>
      <c r="E68">
        <v>1249.4776991208244</v>
      </c>
      <c r="F68">
        <v>14200.325000000001</v>
      </c>
      <c r="G68">
        <v>4182.1619709896941</v>
      </c>
      <c r="H68">
        <v>4656.918103490163</v>
      </c>
      <c r="I68">
        <v>0</v>
      </c>
      <c r="J68">
        <v>1490.2137931168522</v>
      </c>
      <c r="K68">
        <v>1629.9213362215569</v>
      </c>
      <c r="L68">
        <v>0.15000000000000002</v>
      </c>
      <c r="M68">
        <v>0.05</v>
      </c>
      <c r="N68">
        <v>0.35000000000000003</v>
      </c>
      <c r="O68">
        <v>0.1</v>
      </c>
      <c r="P68">
        <v>0.1</v>
      </c>
      <c r="Q68">
        <v>0</v>
      </c>
      <c r="R68">
        <v>0.05</v>
      </c>
      <c r="S68">
        <v>0.05</v>
      </c>
      <c r="T68">
        <v>14200.325000000001</v>
      </c>
      <c r="U68" t="s">
        <v>94</v>
      </c>
      <c r="V68">
        <v>3</v>
      </c>
      <c r="W68">
        <v>2</v>
      </c>
      <c r="X68">
        <v>3</v>
      </c>
      <c r="Y68">
        <v>4</v>
      </c>
      <c r="Z68">
        <v>4</v>
      </c>
      <c r="AA68">
        <v>4</v>
      </c>
      <c r="AB68">
        <v>4</v>
      </c>
      <c r="AC68">
        <v>4</v>
      </c>
      <c r="AD68">
        <v>3</v>
      </c>
      <c r="AE68" s="6">
        <v>0.46945337620578781</v>
      </c>
      <c r="AF68" s="6">
        <v>0.40848554033485529</v>
      </c>
      <c r="AG68" s="6">
        <v>0.19176491604144333</v>
      </c>
      <c r="AH68">
        <v>1</v>
      </c>
    </row>
    <row r="69" spans="1:34">
      <c r="A69" t="s">
        <v>124</v>
      </c>
      <c r="B69" t="s">
        <v>123</v>
      </c>
      <c r="C69">
        <v>29168</v>
      </c>
      <c r="D69">
        <v>2869</v>
      </c>
      <c r="E69">
        <v>732.2190387289229</v>
      </c>
      <c r="F69">
        <v>9800</v>
      </c>
      <c r="G69">
        <v>2156.2087348994664</v>
      </c>
      <c r="H69">
        <v>5675.5569677895837</v>
      </c>
      <c r="I69">
        <v>19023.2</v>
      </c>
      <c r="J69">
        <v>1816.1782296926667</v>
      </c>
      <c r="K69">
        <v>1986.4449387263544</v>
      </c>
      <c r="L69">
        <v>0.1</v>
      </c>
      <c r="M69">
        <v>0.05</v>
      </c>
      <c r="N69">
        <v>0.4</v>
      </c>
      <c r="O69">
        <v>0.1</v>
      </c>
      <c r="P69">
        <v>0.25</v>
      </c>
      <c r="Q69">
        <v>0.8</v>
      </c>
      <c r="R69">
        <v>0.1</v>
      </c>
      <c r="S69">
        <v>0.1</v>
      </c>
      <c r="T69">
        <v>19023.2</v>
      </c>
      <c r="U69" t="s">
        <v>97</v>
      </c>
      <c r="V69">
        <v>3</v>
      </c>
      <c r="W69">
        <v>1</v>
      </c>
      <c r="X69">
        <v>3</v>
      </c>
      <c r="Y69">
        <v>3</v>
      </c>
      <c r="Z69">
        <v>2</v>
      </c>
      <c r="AA69">
        <v>4</v>
      </c>
      <c r="AB69">
        <v>2</v>
      </c>
      <c r="AC69">
        <v>2</v>
      </c>
      <c r="AD69">
        <v>3</v>
      </c>
      <c r="AE69" s="6">
        <v>0.5</v>
      </c>
      <c r="AF69" s="6">
        <v>0.37777777777777777</v>
      </c>
      <c r="AG69" s="6">
        <v>0.18888888888888888</v>
      </c>
      <c r="AH69">
        <v>0</v>
      </c>
    </row>
    <row r="70" spans="1:34">
      <c r="A70" t="s">
        <v>664</v>
      </c>
      <c r="B70" t="s">
        <v>663</v>
      </c>
      <c r="C70">
        <v>19777</v>
      </c>
      <c r="D70">
        <v>1836</v>
      </c>
      <c r="E70">
        <v>2694.311065042511</v>
      </c>
      <c r="F70">
        <v>20680.169999999998</v>
      </c>
      <c r="G70">
        <v>8724.4156836071579</v>
      </c>
      <c r="H70">
        <v>13706.948235785261</v>
      </c>
      <c r="I70">
        <v>0</v>
      </c>
      <c r="J70">
        <v>4386.2234354512839</v>
      </c>
      <c r="K70">
        <v>4797.4318825248411</v>
      </c>
      <c r="L70">
        <v>0.05</v>
      </c>
      <c r="M70">
        <v>0.05</v>
      </c>
      <c r="N70">
        <v>0.35000000000000003</v>
      </c>
      <c r="O70">
        <v>0.15000000000000002</v>
      </c>
      <c r="P70">
        <v>0.25</v>
      </c>
      <c r="Q70">
        <v>0</v>
      </c>
      <c r="R70">
        <v>0.1</v>
      </c>
      <c r="S70">
        <v>0.1</v>
      </c>
      <c r="T70">
        <v>20680.169999999998</v>
      </c>
      <c r="U70" t="s">
        <v>94</v>
      </c>
      <c r="V70">
        <v>3</v>
      </c>
      <c r="W70">
        <v>1</v>
      </c>
      <c r="X70">
        <v>3</v>
      </c>
      <c r="Y70">
        <v>3</v>
      </c>
      <c r="Z70">
        <v>4</v>
      </c>
      <c r="AA70">
        <v>2</v>
      </c>
      <c r="AB70">
        <v>4</v>
      </c>
      <c r="AC70">
        <v>4</v>
      </c>
      <c r="AD70">
        <v>3</v>
      </c>
      <c r="AE70" s="6">
        <v>0.44117647058823528</v>
      </c>
      <c r="AF70" s="6">
        <v>0.41481481481481475</v>
      </c>
      <c r="AG70" s="6">
        <v>0.18300653594771238</v>
      </c>
      <c r="AH70">
        <v>0</v>
      </c>
    </row>
    <row r="71" spans="1:34">
      <c r="A71" t="s">
        <v>541</v>
      </c>
      <c r="B71" t="s">
        <v>540</v>
      </c>
      <c r="C71">
        <v>151334</v>
      </c>
      <c r="D71">
        <v>9445</v>
      </c>
      <c r="E71">
        <v>1096.4043039980627</v>
      </c>
      <c r="F71">
        <v>8864.7549999999992</v>
      </c>
      <c r="G71">
        <v>4128.5936195182403</v>
      </c>
      <c r="H71">
        <v>3840.3959148130007</v>
      </c>
      <c r="I71">
        <v>0</v>
      </c>
      <c r="J71">
        <v>1228.9266927401602</v>
      </c>
      <c r="K71">
        <v>1344.1385701845502</v>
      </c>
      <c r="L71">
        <v>0.4</v>
      </c>
      <c r="M71">
        <v>0.05</v>
      </c>
      <c r="N71">
        <v>0.35000000000000003</v>
      </c>
      <c r="O71">
        <v>0.15000000000000002</v>
      </c>
      <c r="P71">
        <v>0.15000000000000002</v>
      </c>
      <c r="Q71">
        <v>0</v>
      </c>
      <c r="R71">
        <v>0.05</v>
      </c>
      <c r="S71">
        <v>0.05</v>
      </c>
      <c r="T71">
        <v>9445</v>
      </c>
      <c r="U71" t="s">
        <v>92</v>
      </c>
      <c r="V71">
        <v>2</v>
      </c>
      <c r="W71">
        <v>3</v>
      </c>
      <c r="X71">
        <v>3</v>
      </c>
      <c r="Y71">
        <v>3</v>
      </c>
      <c r="Z71">
        <v>4</v>
      </c>
      <c r="AA71">
        <v>3</v>
      </c>
      <c r="AB71">
        <v>4</v>
      </c>
      <c r="AC71">
        <v>4</v>
      </c>
      <c r="AD71">
        <v>3</v>
      </c>
      <c r="AE71" s="6">
        <v>0.47933884297520662</v>
      </c>
      <c r="AF71" s="6">
        <v>0.37643678160919536</v>
      </c>
      <c r="AG71" s="6">
        <v>0.18044077134986225</v>
      </c>
      <c r="AH71">
        <v>1</v>
      </c>
    </row>
    <row r="72" spans="1:34">
      <c r="A72" t="s">
        <v>556</v>
      </c>
      <c r="B72" t="s">
        <v>555</v>
      </c>
      <c r="C72">
        <v>23757</v>
      </c>
      <c r="D72">
        <v>34866</v>
      </c>
      <c r="E72">
        <v>2425.0194820477091</v>
      </c>
      <c r="F72">
        <v>23494.32</v>
      </c>
      <c r="G72">
        <v>4300.5296577383288</v>
      </c>
      <c r="H72">
        <v>12213.872651773372</v>
      </c>
      <c r="I72">
        <v>0</v>
      </c>
      <c r="J72">
        <v>3908.4392485674789</v>
      </c>
      <c r="K72">
        <v>4274.8554281206798</v>
      </c>
      <c r="L72">
        <v>0.55000000000000004</v>
      </c>
      <c r="M72">
        <v>0.05</v>
      </c>
      <c r="N72">
        <v>0.35000000000000003</v>
      </c>
      <c r="O72">
        <v>0.05</v>
      </c>
      <c r="P72">
        <v>0.2</v>
      </c>
      <c r="Q72">
        <v>0</v>
      </c>
      <c r="R72">
        <v>0.05</v>
      </c>
      <c r="S72">
        <v>0.05</v>
      </c>
      <c r="T72">
        <v>34866</v>
      </c>
      <c r="U72" t="s">
        <v>92</v>
      </c>
      <c r="V72">
        <v>3</v>
      </c>
      <c r="W72">
        <v>2</v>
      </c>
      <c r="X72">
        <v>3</v>
      </c>
      <c r="Y72">
        <v>3</v>
      </c>
      <c r="Z72">
        <v>2</v>
      </c>
      <c r="AA72">
        <v>2</v>
      </c>
      <c r="AB72">
        <v>2</v>
      </c>
      <c r="AC72">
        <v>2</v>
      </c>
      <c r="AD72">
        <v>2</v>
      </c>
      <c r="AE72" s="6">
        <v>0.54</v>
      </c>
      <c r="AF72" s="6">
        <v>0.33333333333333326</v>
      </c>
      <c r="AG72" s="6">
        <v>0.17999999999999997</v>
      </c>
      <c r="AH72">
        <v>0</v>
      </c>
    </row>
    <row r="73" spans="1:34">
      <c r="A73" t="s">
        <v>644</v>
      </c>
      <c r="B73" t="s">
        <v>415</v>
      </c>
      <c r="C73">
        <v>14699</v>
      </c>
      <c r="D73">
        <v>2564</v>
      </c>
      <c r="E73">
        <v>961.64863789458286</v>
      </c>
      <c r="F73">
        <v>11400</v>
      </c>
      <c r="G73">
        <v>2688.4705912453178</v>
      </c>
      <c r="H73">
        <v>6768.0748322271966</v>
      </c>
      <c r="I73">
        <v>0</v>
      </c>
      <c r="J73">
        <v>2165.7839463127029</v>
      </c>
      <c r="K73">
        <v>2368.8261912795188</v>
      </c>
      <c r="L73">
        <v>0.1</v>
      </c>
      <c r="M73">
        <v>0.05</v>
      </c>
      <c r="N73">
        <v>0.4</v>
      </c>
      <c r="O73">
        <v>0.1</v>
      </c>
      <c r="P73">
        <v>0.25</v>
      </c>
      <c r="Q73">
        <v>0</v>
      </c>
      <c r="R73">
        <v>0.1</v>
      </c>
      <c r="S73">
        <v>0.1</v>
      </c>
      <c r="T73">
        <v>11400</v>
      </c>
      <c r="U73" t="s">
        <v>94</v>
      </c>
      <c r="V73">
        <v>2</v>
      </c>
      <c r="W73">
        <v>1</v>
      </c>
      <c r="X73">
        <v>3</v>
      </c>
      <c r="Y73">
        <v>3</v>
      </c>
      <c r="Z73">
        <v>2</v>
      </c>
      <c r="AA73">
        <v>2</v>
      </c>
      <c r="AB73">
        <v>2</v>
      </c>
      <c r="AC73">
        <v>2</v>
      </c>
      <c r="AD73">
        <v>2</v>
      </c>
      <c r="AE73" s="6">
        <v>0.43859649122807015</v>
      </c>
      <c r="AF73" s="6">
        <v>0.40666666666666662</v>
      </c>
      <c r="AG73" s="6">
        <v>0.17836257309941517</v>
      </c>
      <c r="AH73">
        <v>0</v>
      </c>
    </row>
    <row r="74" spans="1:34">
      <c r="A74" t="s">
        <v>414</v>
      </c>
      <c r="B74" t="s">
        <v>413</v>
      </c>
      <c r="C74">
        <v>132681</v>
      </c>
      <c r="D74">
        <v>4775</v>
      </c>
      <c r="E74">
        <v>945.87224101947027</v>
      </c>
      <c r="F74">
        <v>15789.714285714284</v>
      </c>
      <c r="G74">
        <v>1981.1064038764769</v>
      </c>
      <c r="H74">
        <v>2835.772544569355</v>
      </c>
      <c r="I74">
        <v>0</v>
      </c>
      <c r="J74">
        <v>907.4472142621936</v>
      </c>
      <c r="K74">
        <v>992.52039059927426</v>
      </c>
      <c r="L74">
        <v>0.15000000000000002</v>
      </c>
      <c r="M74">
        <v>0.05</v>
      </c>
      <c r="N74">
        <v>0.55000000000000004</v>
      </c>
      <c r="O74">
        <v>0.05</v>
      </c>
      <c r="P74">
        <v>0.1</v>
      </c>
      <c r="Q74">
        <v>0</v>
      </c>
      <c r="R74">
        <v>0.05</v>
      </c>
      <c r="S74">
        <v>0.05</v>
      </c>
      <c r="T74">
        <v>15789.714285714284</v>
      </c>
      <c r="U74" t="s">
        <v>94</v>
      </c>
      <c r="V74">
        <v>3</v>
      </c>
      <c r="W74">
        <v>2</v>
      </c>
      <c r="X74">
        <v>3</v>
      </c>
      <c r="Y74">
        <v>3</v>
      </c>
      <c r="Z74">
        <v>3</v>
      </c>
      <c r="AA74">
        <v>3</v>
      </c>
      <c r="AB74">
        <v>3</v>
      </c>
      <c r="AC74">
        <v>3</v>
      </c>
      <c r="AD74">
        <v>3</v>
      </c>
      <c r="AE74" s="6">
        <v>0.49743589743589745</v>
      </c>
      <c r="AF74" s="6">
        <v>0.35681557846506301</v>
      </c>
      <c r="AG74" s="6">
        <v>0.17749287749287751</v>
      </c>
      <c r="AH74">
        <v>0</v>
      </c>
    </row>
    <row r="75" spans="1:34">
      <c r="A75" t="s">
        <v>457</v>
      </c>
      <c r="B75" t="s">
        <v>456</v>
      </c>
      <c r="C75">
        <v>87371</v>
      </c>
      <c r="D75">
        <v>9117</v>
      </c>
      <c r="E75">
        <v>5153.499637808698</v>
      </c>
      <c r="F75">
        <v>38900.605000000003</v>
      </c>
      <c r="G75">
        <v>27513.797680685166</v>
      </c>
      <c r="H75">
        <v>25498.887203142003</v>
      </c>
      <c r="I75">
        <v>14387.895</v>
      </c>
      <c r="J75">
        <v>8159.6439050054414</v>
      </c>
      <c r="K75">
        <v>8924.6105210997011</v>
      </c>
      <c r="L75">
        <v>0.1</v>
      </c>
      <c r="M75">
        <v>0.05</v>
      </c>
      <c r="N75">
        <v>0.35000000000000003</v>
      </c>
      <c r="O75">
        <v>0.25</v>
      </c>
      <c r="P75">
        <v>0.25</v>
      </c>
      <c r="Q75">
        <v>0.15000000000000002</v>
      </c>
      <c r="R75">
        <v>0.1</v>
      </c>
      <c r="S75">
        <v>0.1</v>
      </c>
      <c r="T75">
        <v>38900.605000000003</v>
      </c>
      <c r="U75" t="s">
        <v>94</v>
      </c>
      <c r="V75">
        <v>3</v>
      </c>
      <c r="W75">
        <v>2</v>
      </c>
      <c r="X75">
        <v>3</v>
      </c>
      <c r="Y75">
        <v>4</v>
      </c>
      <c r="Z75">
        <v>5</v>
      </c>
      <c r="AA75">
        <v>3</v>
      </c>
      <c r="AB75">
        <v>5</v>
      </c>
      <c r="AC75">
        <v>5</v>
      </c>
      <c r="AD75">
        <v>4</v>
      </c>
      <c r="AE75" s="6">
        <v>0.38016528925619836</v>
      </c>
      <c r="AF75" s="6">
        <v>0.46256038647342973</v>
      </c>
      <c r="AG75" s="6">
        <v>0.17584940312213032</v>
      </c>
      <c r="AH75">
        <v>0</v>
      </c>
    </row>
    <row r="76" spans="1:34">
      <c r="A76" t="s">
        <v>549</v>
      </c>
      <c r="B76" t="s">
        <v>548</v>
      </c>
      <c r="C76">
        <v>23744</v>
      </c>
      <c r="D76">
        <v>8467</v>
      </c>
      <c r="E76">
        <v>1319.2623032302058</v>
      </c>
      <c r="F76">
        <v>8868.0400000000009</v>
      </c>
      <c r="G76">
        <v>1225.8096815621477</v>
      </c>
      <c r="H76">
        <v>2305.091427009429</v>
      </c>
      <c r="I76">
        <v>0</v>
      </c>
      <c r="J76">
        <v>737.62925664301724</v>
      </c>
      <c r="K76">
        <v>806.78199945330005</v>
      </c>
      <c r="L76">
        <v>0.35000000000000003</v>
      </c>
      <c r="M76">
        <v>0.05</v>
      </c>
      <c r="N76">
        <v>0.35000000000000003</v>
      </c>
      <c r="O76">
        <v>0.05</v>
      </c>
      <c r="P76">
        <v>0.1</v>
      </c>
      <c r="Q76">
        <v>0</v>
      </c>
      <c r="R76">
        <v>0.05</v>
      </c>
      <c r="S76">
        <v>0.05</v>
      </c>
      <c r="T76">
        <v>8868.0400000000009</v>
      </c>
      <c r="U76" t="s">
        <v>94</v>
      </c>
      <c r="V76">
        <v>4</v>
      </c>
      <c r="W76">
        <v>2</v>
      </c>
      <c r="X76">
        <v>3</v>
      </c>
      <c r="Y76">
        <v>3</v>
      </c>
      <c r="Z76">
        <v>3</v>
      </c>
      <c r="AA76">
        <v>2</v>
      </c>
      <c r="AB76">
        <v>3</v>
      </c>
      <c r="AC76">
        <v>3</v>
      </c>
      <c r="AD76">
        <v>3</v>
      </c>
      <c r="AE76" s="6">
        <v>0.38095238095238093</v>
      </c>
      <c r="AF76" s="6">
        <v>0.45833333333333331</v>
      </c>
      <c r="AG76" s="6">
        <v>0.17460317460317459</v>
      </c>
      <c r="AH76">
        <v>0</v>
      </c>
    </row>
    <row r="77" spans="1:34">
      <c r="A77" t="s">
        <v>178</v>
      </c>
      <c r="B77" t="s">
        <v>177</v>
      </c>
      <c r="C77">
        <v>165135</v>
      </c>
      <c r="D77">
        <v>5411</v>
      </c>
      <c r="E77">
        <v>562.20911516388162</v>
      </c>
      <c r="F77">
        <v>8689.5550000000003</v>
      </c>
      <c r="G77">
        <v>2414.0083062227773</v>
      </c>
      <c r="H77">
        <v>4749.4858968337521</v>
      </c>
      <c r="I77">
        <v>14284.199999999999</v>
      </c>
      <c r="J77">
        <v>1524.5849728836345</v>
      </c>
      <c r="K77">
        <v>1662.3200638918131</v>
      </c>
      <c r="L77">
        <v>0.25</v>
      </c>
      <c r="M77">
        <v>0</v>
      </c>
      <c r="N77">
        <v>0.35000000000000003</v>
      </c>
      <c r="O77">
        <v>0.1</v>
      </c>
      <c r="P77">
        <v>0.2</v>
      </c>
      <c r="Q77">
        <v>0.60000000000000009</v>
      </c>
      <c r="R77">
        <v>0.05</v>
      </c>
      <c r="S77">
        <v>0.05</v>
      </c>
      <c r="T77">
        <v>14284.199999999999</v>
      </c>
      <c r="U77" t="s">
        <v>97</v>
      </c>
      <c r="V77">
        <v>3</v>
      </c>
      <c r="W77">
        <v>2</v>
      </c>
      <c r="X77">
        <v>4</v>
      </c>
      <c r="Y77">
        <v>3</v>
      </c>
      <c r="Z77">
        <v>4</v>
      </c>
      <c r="AA77">
        <v>4</v>
      </c>
      <c r="AB77">
        <v>4</v>
      </c>
      <c r="AC77">
        <v>4</v>
      </c>
      <c r="AD77">
        <v>3</v>
      </c>
      <c r="AE77" s="6">
        <v>0.39516129032258063</v>
      </c>
      <c r="AF77" s="6">
        <v>0.43537414965986393</v>
      </c>
      <c r="AG77" s="6">
        <v>0.17204301075268816</v>
      </c>
      <c r="AH77">
        <v>0</v>
      </c>
    </row>
    <row r="78" spans="1:34">
      <c r="A78" t="s">
        <v>649</v>
      </c>
      <c r="B78" t="s">
        <v>648</v>
      </c>
      <c r="C78">
        <v>27811</v>
      </c>
      <c r="D78">
        <v>665</v>
      </c>
      <c r="E78">
        <v>191.19198544738322</v>
      </c>
      <c r="F78">
        <v>1988.885</v>
      </c>
      <c r="G78">
        <v>423.40729764383741</v>
      </c>
      <c r="H78">
        <v>659.12281528463677</v>
      </c>
      <c r="I78">
        <v>0</v>
      </c>
      <c r="J78">
        <v>210.91930089108376</v>
      </c>
      <c r="K78">
        <v>230.69298534962286</v>
      </c>
      <c r="L78">
        <v>0.1</v>
      </c>
      <c r="M78">
        <v>0.05</v>
      </c>
      <c r="N78">
        <v>0.35000000000000003</v>
      </c>
      <c r="O78">
        <v>0.1</v>
      </c>
      <c r="P78">
        <v>0.1</v>
      </c>
      <c r="Q78">
        <v>0</v>
      </c>
      <c r="R78">
        <v>0.05</v>
      </c>
      <c r="S78">
        <v>0.05</v>
      </c>
      <c r="T78">
        <v>1988.885</v>
      </c>
      <c r="U78" t="s">
        <v>94</v>
      </c>
      <c r="V78">
        <v>2</v>
      </c>
      <c r="W78">
        <v>1</v>
      </c>
      <c r="X78">
        <v>3</v>
      </c>
      <c r="Y78">
        <v>3</v>
      </c>
      <c r="Z78">
        <v>2</v>
      </c>
      <c r="AA78">
        <v>1</v>
      </c>
      <c r="AB78">
        <v>2</v>
      </c>
      <c r="AC78">
        <v>2</v>
      </c>
      <c r="AD78">
        <v>2</v>
      </c>
      <c r="AE78" s="6">
        <v>0.2857142857142857</v>
      </c>
      <c r="AF78" s="6">
        <v>0.59999999999999987</v>
      </c>
      <c r="AG78" s="6">
        <v>0.17142857142857137</v>
      </c>
      <c r="AH78">
        <v>0</v>
      </c>
    </row>
    <row r="79" spans="1:34">
      <c r="A79" t="s">
        <v>482</v>
      </c>
      <c r="B79" t="s">
        <v>481</v>
      </c>
      <c r="C79">
        <v>111197</v>
      </c>
      <c r="D79">
        <v>6492</v>
      </c>
      <c r="E79">
        <v>501.35654671603083</v>
      </c>
      <c r="F79">
        <v>5600</v>
      </c>
      <c r="G79">
        <v>564.32144762904727</v>
      </c>
      <c r="H79">
        <v>1787.8278929823746</v>
      </c>
      <c r="I79">
        <v>0</v>
      </c>
      <c r="J79">
        <v>572.1049257543599</v>
      </c>
      <c r="K79">
        <v>625.73976254383103</v>
      </c>
      <c r="L79">
        <v>0.45</v>
      </c>
      <c r="M79">
        <v>0.05</v>
      </c>
      <c r="N79">
        <v>0.35000000000000003</v>
      </c>
      <c r="O79">
        <v>0.05</v>
      </c>
      <c r="P79">
        <v>0.1</v>
      </c>
      <c r="Q79">
        <v>0</v>
      </c>
      <c r="R79">
        <v>0.05</v>
      </c>
      <c r="S79">
        <v>0.05</v>
      </c>
      <c r="T79">
        <v>6492</v>
      </c>
      <c r="U79" t="s">
        <v>92</v>
      </c>
      <c r="V79">
        <v>3</v>
      </c>
      <c r="W79">
        <v>4</v>
      </c>
      <c r="X79">
        <v>3</v>
      </c>
      <c r="Y79">
        <v>4</v>
      </c>
      <c r="Z79">
        <v>4</v>
      </c>
      <c r="AA79">
        <v>3</v>
      </c>
      <c r="AB79">
        <v>4</v>
      </c>
      <c r="AC79">
        <v>4</v>
      </c>
      <c r="AD79">
        <v>4</v>
      </c>
      <c r="AE79" s="6">
        <v>0.35114503816793891</v>
      </c>
      <c r="AF79" s="6">
        <v>0.48429951690821249</v>
      </c>
      <c r="AG79" s="6">
        <v>0.17005937234944865</v>
      </c>
      <c r="AH79">
        <v>1</v>
      </c>
    </row>
    <row r="80" spans="1:34">
      <c r="A80" t="s">
        <v>367</v>
      </c>
      <c r="B80" t="s">
        <v>366</v>
      </c>
      <c r="C80">
        <v>12966</v>
      </c>
      <c r="D80">
        <v>28513</v>
      </c>
      <c r="E80">
        <v>5638.6621941758949</v>
      </c>
      <c r="F80">
        <v>52995.81</v>
      </c>
      <c r="G80">
        <v>14944.294423882566</v>
      </c>
      <c r="H80">
        <v>32294.865932777066</v>
      </c>
      <c r="I80">
        <v>0</v>
      </c>
      <c r="J80">
        <v>10366.651964421439</v>
      </c>
      <c r="K80">
        <v>11303.203076471973</v>
      </c>
      <c r="L80">
        <v>0.2</v>
      </c>
      <c r="M80">
        <v>0.05</v>
      </c>
      <c r="N80">
        <v>0.35000000000000003</v>
      </c>
      <c r="O80">
        <v>0.1</v>
      </c>
      <c r="P80">
        <v>0.2</v>
      </c>
      <c r="Q80">
        <v>0</v>
      </c>
      <c r="R80">
        <v>0.05</v>
      </c>
      <c r="S80">
        <v>0.1</v>
      </c>
      <c r="T80">
        <v>52995.81</v>
      </c>
      <c r="U80" t="s">
        <v>94</v>
      </c>
      <c r="V80">
        <v>3</v>
      </c>
      <c r="W80">
        <v>2</v>
      </c>
      <c r="X80">
        <v>3</v>
      </c>
      <c r="Y80">
        <v>4</v>
      </c>
      <c r="Z80">
        <v>3</v>
      </c>
      <c r="AA80">
        <v>4</v>
      </c>
      <c r="AB80">
        <v>3</v>
      </c>
      <c r="AC80">
        <v>3</v>
      </c>
      <c r="AD80">
        <v>3</v>
      </c>
      <c r="AE80" s="6">
        <v>0.4358974358974359</v>
      </c>
      <c r="AF80" s="6">
        <v>0.38888888888888867</v>
      </c>
      <c r="AG80" s="6">
        <v>0.16951566951566943</v>
      </c>
      <c r="AH80">
        <v>0</v>
      </c>
    </row>
    <row r="81" spans="1:34">
      <c r="A81" t="s">
        <v>241</v>
      </c>
      <c r="B81" t="s">
        <v>240</v>
      </c>
      <c r="C81">
        <v>706736</v>
      </c>
      <c r="D81">
        <v>13950</v>
      </c>
      <c r="E81">
        <v>597.86705223600529</v>
      </c>
      <c r="F81">
        <v>6300</v>
      </c>
      <c r="G81">
        <v>1818.0582824920004</v>
      </c>
      <c r="H81">
        <v>3794.2619724172582</v>
      </c>
      <c r="I81">
        <v>1068.8625</v>
      </c>
      <c r="J81">
        <v>1214.1638311735226</v>
      </c>
      <c r="K81">
        <v>1327.9916903460405</v>
      </c>
      <c r="L81">
        <v>0.9</v>
      </c>
      <c r="M81">
        <v>0.05</v>
      </c>
      <c r="N81">
        <v>0.4</v>
      </c>
      <c r="O81">
        <v>0.1</v>
      </c>
      <c r="P81">
        <v>0.25</v>
      </c>
      <c r="Q81">
        <v>0.05</v>
      </c>
      <c r="R81">
        <v>0.1</v>
      </c>
      <c r="S81">
        <v>0.1</v>
      </c>
      <c r="T81">
        <v>13950</v>
      </c>
      <c r="U81" t="s">
        <v>92</v>
      </c>
      <c r="V81">
        <v>3</v>
      </c>
      <c r="W81">
        <v>3</v>
      </c>
      <c r="X81">
        <v>3</v>
      </c>
      <c r="Y81">
        <v>4</v>
      </c>
      <c r="Z81">
        <v>4</v>
      </c>
      <c r="AA81">
        <v>3</v>
      </c>
      <c r="AB81">
        <v>4</v>
      </c>
      <c r="AC81">
        <v>4</v>
      </c>
      <c r="AD81">
        <v>3</v>
      </c>
      <c r="AE81" s="6">
        <v>0.44584647739221872</v>
      </c>
      <c r="AF81" s="6">
        <v>0.37735849056603765</v>
      </c>
      <c r="AG81" s="6">
        <v>0.16824395373291268</v>
      </c>
      <c r="AH81">
        <v>1</v>
      </c>
    </row>
    <row r="82" spans="1:34">
      <c r="A82" t="s">
        <v>315</v>
      </c>
      <c r="B82" t="s">
        <v>314</v>
      </c>
      <c r="C82">
        <v>102877</v>
      </c>
      <c r="D82">
        <v>8353</v>
      </c>
      <c r="E82">
        <v>1212.5576831221138</v>
      </c>
      <c r="F82">
        <v>8731.1650000000009</v>
      </c>
      <c r="G82">
        <v>1269.8432502383553</v>
      </c>
      <c r="H82">
        <v>4770.75181838958</v>
      </c>
      <c r="I82">
        <v>0</v>
      </c>
      <c r="J82">
        <v>1531.4113337030553</v>
      </c>
      <c r="K82">
        <v>1669.7631364363529</v>
      </c>
      <c r="L82">
        <v>0.35000000000000003</v>
      </c>
      <c r="M82">
        <v>0.05</v>
      </c>
      <c r="N82">
        <v>0.35000000000000003</v>
      </c>
      <c r="O82">
        <v>0.05</v>
      </c>
      <c r="P82">
        <v>0.2</v>
      </c>
      <c r="Q82">
        <v>0</v>
      </c>
      <c r="R82">
        <v>0.05</v>
      </c>
      <c r="S82">
        <v>0.05</v>
      </c>
      <c r="T82">
        <v>8731.1650000000009</v>
      </c>
      <c r="U82" t="s">
        <v>94</v>
      </c>
      <c r="V82">
        <v>4</v>
      </c>
      <c r="W82">
        <v>2</v>
      </c>
      <c r="X82">
        <v>3</v>
      </c>
      <c r="Y82">
        <v>4</v>
      </c>
      <c r="Z82">
        <v>4</v>
      </c>
      <c r="AA82">
        <v>3</v>
      </c>
      <c r="AB82">
        <v>4</v>
      </c>
      <c r="AC82">
        <v>4</v>
      </c>
      <c r="AD82">
        <v>3</v>
      </c>
      <c r="AE82" s="6">
        <v>0.38095238095238093</v>
      </c>
      <c r="AF82" s="6">
        <v>0.44097222222222215</v>
      </c>
      <c r="AG82" s="6">
        <v>0.16798941798941797</v>
      </c>
      <c r="AH82">
        <v>0</v>
      </c>
    </row>
    <row r="83" spans="1:34">
      <c r="A83" t="s">
        <v>675</v>
      </c>
      <c r="B83" t="s">
        <v>207</v>
      </c>
      <c r="C83">
        <v>33620</v>
      </c>
      <c r="D83">
        <v>11299</v>
      </c>
      <c r="E83">
        <v>1690.1065796166481</v>
      </c>
      <c r="F83">
        <v>26028.514999999999</v>
      </c>
      <c r="G83">
        <v>6297.3319012244301</v>
      </c>
      <c r="H83">
        <v>14175.613858208251</v>
      </c>
      <c r="I83">
        <v>0</v>
      </c>
      <c r="J83">
        <v>4536.1964346266404</v>
      </c>
      <c r="K83">
        <v>4961.4648503728877</v>
      </c>
      <c r="L83">
        <v>0.15000000000000002</v>
      </c>
      <c r="M83">
        <v>0</v>
      </c>
      <c r="N83">
        <v>0.35000000000000003</v>
      </c>
      <c r="O83">
        <v>0.1</v>
      </c>
      <c r="P83">
        <v>0.2</v>
      </c>
      <c r="Q83">
        <v>0</v>
      </c>
      <c r="R83">
        <v>0.05</v>
      </c>
      <c r="S83">
        <v>0.05</v>
      </c>
      <c r="T83">
        <v>26028.514999999999</v>
      </c>
      <c r="U83" t="s">
        <v>94</v>
      </c>
      <c r="V83">
        <v>2</v>
      </c>
      <c r="W83">
        <v>1</v>
      </c>
      <c r="X83">
        <v>3</v>
      </c>
      <c r="Y83">
        <v>3</v>
      </c>
      <c r="Z83">
        <v>4</v>
      </c>
      <c r="AA83">
        <v>2</v>
      </c>
      <c r="AB83">
        <v>4</v>
      </c>
      <c r="AC83">
        <v>4</v>
      </c>
      <c r="AD83">
        <v>2</v>
      </c>
      <c r="AE83" s="6">
        <v>0.35238095238095241</v>
      </c>
      <c r="AF83" s="6">
        <v>0.47447447447447433</v>
      </c>
      <c r="AG83" s="6">
        <v>0.16719576719576715</v>
      </c>
      <c r="AH83">
        <v>0</v>
      </c>
    </row>
    <row r="84" spans="1:34">
      <c r="A84" t="s">
        <v>436</v>
      </c>
      <c r="B84" t="s">
        <v>276</v>
      </c>
      <c r="C84">
        <v>21882</v>
      </c>
      <c r="D84">
        <v>307</v>
      </c>
      <c r="E84">
        <v>442.62210821644396</v>
      </c>
      <c r="F84">
        <v>7700</v>
      </c>
      <c r="G84">
        <v>2817.5361394400416</v>
      </c>
      <c r="H84">
        <v>1850.6037851464991</v>
      </c>
      <c r="I84">
        <v>0</v>
      </c>
      <c r="J84">
        <v>592.19321124687974</v>
      </c>
      <c r="K84">
        <v>647.71132480127471</v>
      </c>
      <c r="L84">
        <v>0</v>
      </c>
      <c r="M84">
        <v>0</v>
      </c>
      <c r="N84">
        <v>0.4</v>
      </c>
      <c r="O84">
        <v>0.15000000000000002</v>
      </c>
      <c r="P84">
        <v>0.1</v>
      </c>
      <c r="Q84">
        <v>0</v>
      </c>
      <c r="R84">
        <v>0.05</v>
      </c>
      <c r="S84">
        <v>0.05</v>
      </c>
      <c r="T84">
        <v>7700</v>
      </c>
      <c r="U84" t="s">
        <v>94</v>
      </c>
      <c r="V84">
        <v>3</v>
      </c>
      <c r="W84">
        <v>1</v>
      </c>
      <c r="X84">
        <v>3</v>
      </c>
      <c r="Y84">
        <v>3</v>
      </c>
      <c r="Z84">
        <v>2</v>
      </c>
      <c r="AA84">
        <v>2</v>
      </c>
      <c r="AB84">
        <v>2</v>
      </c>
      <c r="AC84">
        <v>2</v>
      </c>
      <c r="AD84">
        <v>2</v>
      </c>
      <c r="AE84" s="6">
        <v>0.5</v>
      </c>
      <c r="AF84" s="6">
        <v>0.33333333333333337</v>
      </c>
      <c r="AG84" s="6">
        <v>0.16666666666666669</v>
      </c>
      <c r="AH84">
        <v>0</v>
      </c>
    </row>
    <row r="85" spans="1:34">
      <c r="A85" t="s">
        <v>341</v>
      </c>
      <c r="B85" t="s">
        <v>340</v>
      </c>
      <c r="C85">
        <v>24920</v>
      </c>
      <c r="D85">
        <v>1504</v>
      </c>
      <c r="E85">
        <v>305.44893935630103</v>
      </c>
      <c r="F85">
        <v>4900</v>
      </c>
      <c r="G85">
        <v>835.38964084982274</v>
      </c>
      <c r="H85">
        <v>2250.6556695174286</v>
      </c>
      <c r="I85">
        <v>6771</v>
      </c>
      <c r="J85">
        <v>720.20981424557715</v>
      </c>
      <c r="K85">
        <v>787.72948433109991</v>
      </c>
      <c r="L85">
        <v>0.15000000000000002</v>
      </c>
      <c r="M85">
        <v>0.05</v>
      </c>
      <c r="N85">
        <v>0.45</v>
      </c>
      <c r="O85">
        <v>0.05</v>
      </c>
      <c r="P85">
        <v>0.2</v>
      </c>
      <c r="Q85">
        <v>0.60000000000000009</v>
      </c>
      <c r="R85">
        <v>0.05</v>
      </c>
      <c r="S85">
        <v>0.05</v>
      </c>
      <c r="T85">
        <v>6771</v>
      </c>
      <c r="U85" t="s">
        <v>97</v>
      </c>
      <c r="V85">
        <v>3</v>
      </c>
      <c r="W85">
        <v>4</v>
      </c>
      <c r="X85">
        <v>4</v>
      </c>
      <c r="Y85">
        <v>4</v>
      </c>
      <c r="Z85">
        <v>4</v>
      </c>
      <c r="AA85">
        <v>3</v>
      </c>
      <c r="AB85">
        <v>4</v>
      </c>
      <c r="AC85">
        <v>4</v>
      </c>
      <c r="AD85">
        <v>4</v>
      </c>
      <c r="AE85" s="6">
        <v>0.5</v>
      </c>
      <c r="AF85" s="6">
        <v>0.33333333333333331</v>
      </c>
      <c r="AG85" s="6">
        <v>0.16666666666666666</v>
      </c>
      <c r="AH85">
        <v>1</v>
      </c>
    </row>
    <row r="86" spans="1:34">
      <c r="A86" t="s">
        <v>416</v>
      </c>
      <c r="B86" t="s">
        <v>415</v>
      </c>
      <c r="C86">
        <v>14238</v>
      </c>
      <c r="D86">
        <v>0</v>
      </c>
      <c r="E86">
        <v>318.523220257388</v>
      </c>
      <c r="F86">
        <v>3524.0749999999998</v>
      </c>
      <c r="G86">
        <v>889.06114501106993</v>
      </c>
      <c r="H86">
        <v>969.01022536956725</v>
      </c>
      <c r="I86">
        <v>0</v>
      </c>
      <c r="J86">
        <v>311.05228234363108</v>
      </c>
      <c r="K86">
        <v>339.15357887934852</v>
      </c>
      <c r="L86">
        <v>0</v>
      </c>
      <c r="M86">
        <v>0.05</v>
      </c>
      <c r="N86">
        <v>0.35000000000000003</v>
      </c>
      <c r="O86">
        <v>0.1</v>
      </c>
      <c r="P86">
        <v>0.1</v>
      </c>
      <c r="Q86">
        <v>0</v>
      </c>
      <c r="R86">
        <v>0.05</v>
      </c>
      <c r="S86">
        <v>0.05</v>
      </c>
      <c r="T86">
        <v>3524.0749999999998</v>
      </c>
      <c r="U86" t="s">
        <v>94</v>
      </c>
      <c r="V86">
        <v>3</v>
      </c>
      <c r="W86">
        <v>1</v>
      </c>
      <c r="X86">
        <v>3</v>
      </c>
      <c r="Y86">
        <v>3</v>
      </c>
      <c r="Z86">
        <v>2</v>
      </c>
      <c r="AA86">
        <v>1</v>
      </c>
      <c r="AB86">
        <v>2</v>
      </c>
      <c r="AC86">
        <v>2</v>
      </c>
      <c r="AD86">
        <v>2</v>
      </c>
      <c r="AE86" s="6">
        <v>0.40740740740740738</v>
      </c>
      <c r="AF86" s="6">
        <v>0.40909090909090912</v>
      </c>
      <c r="AG86" s="6">
        <v>0.16666666666666666</v>
      </c>
      <c r="AH86">
        <v>0</v>
      </c>
    </row>
    <row r="87" spans="1:34">
      <c r="A87" t="s">
        <v>495</v>
      </c>
      <c r="B87" t="s">
        <v>494</v>
      </c>
      <c r="C87">
        <v>11856</v>
      </c>
      <c r="D87">
        <v>11092</v>
      </c>
      <c r="E87">
        <v>2362.2506272927922</v>
      </c>
      <c r="F87">
        <v>23423.875</v>
      </c>
      <c r="G87">
        <v>4636.9914419492197</v>
      </c>
      <c r="H87">
        <v>12814.879748186348</v>
      </c>
      <c r="I87">
        <v>0</v>
      </c>
      <c r="J87">
        <v>4100.7615194196314</v>
      </c>
      <c r="K87">
        <v>4485.2079118652209</v>
      </c>
      <c r="L87">
        <v>0.15000000000000002</v>
      </c>
      <c r="M87">
        <v>0.05</v>
      </c>
      <c r="N87">
        <v>0.35000000000000003</v>
      </c>
      <c r="O87">
        <v>0.05</v>
      </c>
      <c r="P87">
        <v>0.2</v>
      </c>
      <c r="Q87">
        <v>0</v>
      </c>
      <c r="R87">
        <v>0.05</v>
      </c>
      <c r="S87">
        <v>0.05</v>
      </c>
      <c r="T87">
        <v>23423.875</v>
      </c>
      <c r="U87" t="s">
        <v>94</v>
      </c>
      <c r="V87">
        <v>3</v>
      </c>
      <c r="W87">
        <v>3</v>
      </c>
      <c r="X87">
        <v>4</v>
      </c>
      <c r="Y87">
        <v>3</v>
      </c>
      <c r="Z87">
        <v>3</v>
      </c>
      <c r="AA87">
        <v>2</v>
      </c>
      <c r="AB87">
        <v>3</v>
      </c>
      <c r="AC87">
        <v>3</v>
      </c>
      <c r="AD87">
        <v>3</v>
      </c>
      <c r="AE87" s="6">
        <v>0.42857142857142855</v>
      </c>
      <c r="AF87" s="6">
        <v>0.3888888888888889</v>
      </c>
      <c r="AG87" s="6">
        <v>0.16666666666666666</v>
      </c>
      <c r="AH87">
        <v>1</v>
      </c>
    </row>
    <row r="88" spans="1:34">
      <c r="A88" t="s">
        <v>322</v>
      </c>
      <c r="B88" t="s">
        <v>321</v>
      </c>
      <c r="C88">
        <v>22897</v>
      </c>
      <c r="D88">
        <v>4601</v>
      </c>
      <c r="E88">
        <v>2085.6017894958804</v>
      </c>
      <c r="F88">
        <v>10916.42</v>
      </c>
      <c r="G88">
        <v>1798.3335056182759</v>
      </c>
      <c r="H88">
        <v>7157.7431738336463</v>
      </c>
      <c r="I88">
        <v>13458.6</v>
      </c>
      <c r="J88">
        <v>2290.4778156267666</v>
      </c>
      <c r="K88">
        <v>2505.210110841776</v>
      </c>
      <c r="L88">
        <v>0.15000000000000002</v>
      </c>
      <c r="M88">
        <v>0.05</v>
      </c>
      <c r="N88">
        <v>0.35000000000000003</v>
      </c>
      <c r="O88">
        <v>0.05</v>
      </c>
      <c r="P88">
        <v>0.25</v>
      </c>
      <c r="Q88">
        <v>0.45</v>
      </c>
      <c r="R88">
        <v>0.1</v>
      </c>
      <c r="S88">
        <v>0.1</v>
      </c>
      <c r="T88">
        <v>13458.6</v>
      </c>
      <c r="U88" t="s">
        <v>97</v>
      </c>
      <c r="V88">
        <v>3</v>
      </c>
      <c r="W88">
        <v>3</v>
      </c>
      <c r="X88">
        <v>3</v>
      </c>
      <c r="Y88">
        <v>4</v>
      </c>
      <c r="Z88">
        <v>3</v>
      </c>
      <c r="AA88">
        <v>3</v>
      </c>
      <c r="AB88">
        <v>3</v>
      </c>
      <c r="AC88">
        <v>3</v>
      </c>
      <c r="AD88">
        <v>3</v>
      </c>
      <c r="AE88" s="6">
        <v>0.23076923076923078</v>
      </c>
      <c r="AF88" s="6">
        <v>0.72222222222222199</v>
      </c>
      <c r="AG88" s="6">
        <v>0.16666666666666663</v>
      </c>
      <c r="AH88">
        <v>1</v>
      </c>
    </row>
    <row r="89" spans="1:34">
      <c r="A89" t="s">
        <v>418</v>
      </c>
      <c r="B89" t="s">
        <v>417</v>
      </c>
      <c r="C89">
        <v>24006</v>
      </c>
      <c r="D89">
        <v>1158</v>
      </c>
      <c r="E89">
        <v>305.16899987864076</v>
      </c>
      <c r="F89">
        <v>4900</v>
      </c>
      <c r="G89">
        <v>868.78559646071756</v>
      </c>
      <c r="H89">
        <v>929.56734410905574</v>
      </c>
      <c r="I89">
        <v>0</v>
      </c>
      <c r="J89">
        <v>297.46155011489782</v>
      </c>
      <c r="K89">
        <v>325.34857043816947</v>
      </c>
      <c r="L89">
        <v>0.15000000000000002</v>
      </c>
      <c r="M89">
        <v>0.05</v>
      </c>
      <c r="N89">
        <v>0.55000000000000004</v>
      </c>
      <c r="O89">
        <v>0.1</v>
      </c>
      <c r="P89">
        <v>0.1</v>
      </c>
      <c r="Q89">
        <v>0</v>
      </c>
      <c r="R89">
        <v>0.05</v>
      </c>
      <c r="S89">
        <v>0.05</v>
      </c>
      <c r="T89">
        <v>4900</v>
      </c>
      <c r="U89" t="s">
        <v>94</v>
      </c>
      <c r="V89">
        <v>3</v>
      </c>
      <c r="W89">
        <v>1</v>
      </c>
      <c r="X89">
        <v>4</v>
      </c>
      <c r="Y89">
        <v>3</v>
      </c>
      <c r="Z89">
        <v>3</v>
      </c>
      <c r="AA89">
        <v>2</v>
      </c>
      <c r="AB89">
        <v>3</v>
      </c>
      <c r="AC89">
        <v>3</v>
      </c>
      <c r="AD89">
        <v>3</v>
      </c>
      <c r="AE89" s="6">
        <v>0.42307692307692307</v>
      </c>
      <c r="AF89" s="6">
        <v>0.39393939393939381</v>
      </c>
      <c r="AG89" s="6">
        <v>0.1666666666666666</v>
      </c>
      <c r="AH89">
        <v>0</v>
      </c>
    </row>
    <row r="90" spans="1:34">
      <c r="A90" t="s">
        <v>243</v>
      </c>
      <c r="B90" t="s">
        <v>242</v>
      </c>
      <c r="C90">
        <v>67000</v>
      </c>
      <c r="D90">
        <v>345</v>
      </c>
      <c r="E90">
        <v>140.940754629065</v>
      </c>
      <c r="F90">
        <v>1800</v>
      </c>
      <c r="G90">
        <v>352.52286114586201</v>
      </c>
      <c r="H90">
        <v>495.25410276611228</v>
      </c>
      <c r="I90">
        <v>1656</v>
      </c>
      <c r="J90">
        <v>157.98605878238982</v>
      </c>
      <c r="K90">
        <v>173.33893596813925</v>
      </c>
      <c r="L90">
        <v>0.15000000000000002</v>
      </c>
      <c r="M90">
        <v>0.05</v>
      </c>
      <c r="N90">
        <v>0.85000000000000009</v>
      </c>
      <c r="O90">
        <v>0.15000000000000002</v>
      </c>
      <c r="P90">
        <v>0.25</v>
      </c>
      <c r="Q90">
        <v>0.8</v>
      </c>
      <c r="R90">
        <v>0.1</v>
      </c>
      <c r="S90">
        <v>0.1</v>
      </c>
      <c r="T90">
        <v>1800</v>
      </c>
      <c r="U90" t="s">
        <v>94</v>
      </c>
      <c r="V90">
        <v>3</v>
      </c>
      <c r="W90">
        <v>2</v>
      </c>
      <c r="X90">
        <v>3</v>
      </c>
      <c r="Y90">
        <v>4</v>
      </c>
      <c r="Z90">
        <v>5</v>
      </c>
      <c r="AA90">
        <v>4</v>
      </c>
      <c r="AB90">
        <v>5</v>
      </c>
      <c r="AC90">
        <v>5</v>
      </c>
      <c r="AD90">
        <v>4</v>
      </c>
      <c r="AE90" s="6">
        <v>0.35537190082644626</v>
      </c>
      <c r="AF90" s="6">
        <v>0.46511627906976738</v>
      </c>
      <c r="AG90" s="6">
        <v>0.16528925619834708</v>
      </c>
      <c r="AH90">
        <v>0</v>
      </c>
    </row>
    <row r="91" spans="1:34">
      <c r="A91" t="s">
        <v>583</v>
      </c>
      <c r="B91" t="s">
        <v>582</v>
      </c>
      <c r="C91">
        <v>53889</v>
      </c>
      <c r="D91">
        <v>5205</v>
      </c>
      <c r="E91">
        <v>617.64677181813954</v>
      </c>
      <c r="F91">
        <v>7599.3</v>
      </c>
      <c r="G91">
        <v>1512.7607018517988</v>
      </c>
      <c r="H91">
        <v>4167.6474701510706</v>
      </c>
      <c r="I91">
        <v>0</v>
      </c>
      <c r="J91">
        <v>1333.6471904483426</v>
      </c>
      <c r="K91">
        <v>1458.6766145528745</v>
      </c>
      <c r="L91">
        <v>0.25</v>
      </c>
      <c r="M91">
        <v>0.05</v>
      </c>
      <c r="N91">
        <v>0.35000000000000003</v>
      </c>
      <c r="O91">
        <v>0.05</v>
      </c>
      <c r="P91">
        <v>0.2</v>
      </c>
      <c r="Q91">
        <v>0</v>
      </c>
      <c r="R91">
        <v>0.05</v>
      </c>
      <c r="S91">
        <v>0.05</v>
      </c>
      <c r="T91">
        <v>7599.3</v>
      </c>
      <c r="U91" t="s">
        <v>94</v>
      </c>
      <c r="V91">
        <v>4</v>
      </c>
      <c r="W91">
        <v>2</v>
      </c>
      <c r="X91">
        <v>3</v>
      </c>
      <c r="Y91">
        <v>4</v>
      </c>
      <c r="Z91">
        <v>3</v>
      </c>
      <c r="AA91">
        <v>2</v>
      </c>
      <c r="AB91">
        <v>3</v>
      </c>
      <c r="AC91">
        <v>3</v>
      </c>
      <c r="AD91">
        <v>3</v>
      </c>
      <c r="AE91" s="6">
        <v>0.33333333333333331</v>
      </c>
      <c r="AF91" s="6">
        <v>0.49382716049382719</v>
      </c>
      <c r="AG91" s="6">
        <v>0.16460905349794239</v>
      </c>
      <c r="AH91">
        <v>0</v>
      </c>
    </row>
    <row r="92" spans="1:34">
      <c r="A92" t="s">
        <v>603</v>
      </c>
      <c r="B92" t="s">
        <v>602</v>
      </c>
      <c r="C92">
        <v>45891</v>
      </c>
      <c r="D92">
        <v>18199</v>
      </c>
      <c r="E92">
        <v>1084.5786496147603</v>
      </c>
      <c r="F92">
        <v>13795.905000000001</v>
      </c>
      <c r="G92">
        <v>5616.0317417153929</v>
      </c>
      <c r="H92">
        <v>9079.2260189798271</v>
      </c>
      <c r="I92">
        <v>0</v>
      </c>
      <c r="J92">
        <v>2905.3523260735446</v>
      </c>
      <c r="K92">
        <v>3177.7291066429393</v>
      </c>
      <c r="L92">
        <v>0.5</v>
      </c>
      <c r="M92">
        <v>0.05</v>
      </c>
      <c r="N92">
        <v>0.35000000000000003</v>
      </c>
      <c r="O92">
        <v>0.15000000000000002</v>
      </c>
      <c r="P92">
        <v>0.25</v>
      </c>
      <c r="Q92">
        <v>0</v>
      </c>
      <c r="R92">
        <v>0.1</v>
      </c>
      <c r="S92">
        <v>0.1</v>
      </c>
      <c r="T92">
        <v>18199</v>
      </c>
      <c r="U92" t="s">
        <v>92</v>
      </c>
      <c r="V92">
        <v>3</v>
      </c>
      <c r="W92">
        <v>2</v>
      </c>
      <c r="X92">
        <v>3</v>
      </c>
      <c r="Y92">
        <v>4</v>
      </c>
      <c r="Z92">
        <v>4</v>
      </c>
      <c r="AA92">
        <v>2</v>
      </c>
      <c r="AB92">
        <v>4</v>
      </c>
      <c r="AC92">
        <v>4</v>
      </c>
      <c r="AD92">
        <v>3</v>
      </c>
      <c r="AE92" s="6">
        <v>0.4925373134328358</v>
      </c>
      <c r="AF92" s="6">
        <v>0.33333333333333331</v>
      </c>
      <c r="AG92" s="6">
        <v>0.16417910447761191</v>
      </c>
      <c r="AH92">
        <v>0</v>
      </c>
    </row>
    <row r="93" spans="1:34">
      <c r="A93" t="s">
        <v>655</v>
      </c>
      <c r="B93" t="s">
        <v>654</v>
      </c>
      <c r="C93">
        <v>4551</v>
      </c>
      <c r="D93">
        <v>2241</v>
      </c>
      <c r="E93">
        <v>474.06319783198478</v>
      </c>
      <c r="F93">
        <v>9850</v>
      </c>
      <c r="G93">
        <v>1690.5300263777835</v>
      </c>
      <c r="H93">
        <v>1559.3232174406776</v>
      </c>
      <c r="I93">
        <v>870.14249999999993</v>
      </c>
      <c r="J93">
        <v>498.98342958101682</v>
      </c>
      <c r="K93">
        <v>545.76312610423713</v>
      </c>
      <c r="L93">
        <v>0.15000000000000002</v>
      </c>
      <c r="M93">
        <v>0.05</v>
      </c>
      <c r="N93">
        <v>0.75</v>
      </c>
      <c r="O93">
        <v>0.15000000000000002</v>
      </c>
      <c r="P93">
        <v>0.1</v>
      </c>
      <c r="Q93">
        <v>0.05</v>
      </c>
      <c r="R93">
        <v>0.05</v>
      </c>
      <c r="S93">
        <v>0.05</v>
      </c>
      <c r="T93">
        <v>9850</v>
      </c>
      <c r="U93" t="s">
        <v>94</v>
      </c>
      <c r="V93">
        <v>2</v>
      </c>
      <c r="W93">
        <v>1</v>
      </c>
      <c r="X93">
        <v>3</v>
      </c>
      <c r="Y93">
        <v>3</v>
      </c>
      <c r="Z93">
        <v>2</v>
      </c>
      <c r="AA93">
        <v>2</v>
      </c>
      <c r="AB93">
        <v>2</v>
      </c>
      <c r="AC93">
        <v>2</v>
      </c>
      <c r="AD93">
        <v>2</v>
      </c>
      <c r="AE93" s="6">
        <v>0.36842105263157893</v>
      </c>
      <c r="AF93" s="6">
        <v>0.44444444444444431</v>
      </c>
      <c r="AG93" s="6">
        <v>0.16374269005847947</v>
      </c>
      <c r="AH93">
        <v>0</v>
      </c>
    </row>
    <row r="94" spans="1:34">
      <c r="A94" t="s">
        <v>272</v>
      </c>
      <c r="B94" t="s">
        <v>271</v>
      </c>
      <c r="C94">
        <v>69236</v>
      </c>
      <c r="D94">
        <v>112537</v>
      </c>
      <c r="E94">
        <v>42739.615875855197</v>
      </c>
      <c r="F94">
        <v>309735.34999999998</v>
      </c>
      <c r="G94">
        <v>128658.03014161903</v>
      </c>
      <c r="H94">
        <v>202269.83533224816</v>
      </c>
      <c r="I94">
        <v>381865.5</v>
      </c>
      <c r="J94">
        <v>64928.617141651659</v>
      </c>
      <c r="K94">
        <v>70794.442366286865</v>
      </c>
      <c r="L94">
        <v>0.15000000000000002</v>
      </c>
      <c r="M94">
        <v>0.05</v>
      </c>
      <c r="N94">
        <v>0.35000000000000003</v>
      </c>
      <c r="O94">
        <v>0.15000000000000002</v>
      </c>
      <c r="P94">
        <v>0.25</v>
      </c>
      <c r="Q94">
        <v>0.45</v>
      </c>
      <c r="R94">
        <v>0.1</v>
      </c>
      <c r="S94">
        <v>0.1</v>
      </c>
      <c r="T94">
        <v>381865.5</v>
      </c>
      <c r="U94" t="s">
        <v>97</v>
      </c>
      <c r="V94">
        <v>3</v>
      </c>
      <c r="W94">
        <v>2</v>
      </c>
      <c r="X94">
        <v>3</v>
      </c>
      <c r="Y94">
        <v>3</v>
      </c>
      <c r="Z94">
        <v>3</v>
      </c>
      <c r="AA94">
        <v>3</v>
      </c>
      <c r="AB94">
        <v>3</v>
      </c>
      <c r="AC94">
        <v>3</v>
      </c>
      <c r="AD94">
        <v>3</v>
      </c>
      <c r="AE94" s="6">
        <v>0.38562091503267976</v>
      </c>
      <c r="AF94" s="6">
        <v>0.41431261770244815</v>
      </c>
      <c r="AG94" s="6">
        <v>0.15976761074800289</v>
      </c>
      <c r="AH94">
        <v>0</v>
      </c>
    </row>
    <row r="95" spans="1:34">
      <c r="A95" t="s">
        <v>594</v>
      </c>
      <c r="B95" t="s">
        <v>593</v>
      </c>
      <c r="C95">
        <v>10061</v>
      </c>
      <c r="D95">
        <v>806</v>
      </c>
      <c r="E95">
        <v>974.30231466457576</v>
      </c>
      <c r="F95">
        <v>12363.28</v>
      </c>
      <c r="G95">
        <v>5596.0528667103608</v>
      </c>
      <c r="H95">
        <v>4068.2004354166324</v>
      </c>
      <c r="I95">
        <v>0</v>
      </c>
      <c r="J95">
        <v>1305.892339768739</v>
      </c>
      <c r="K95">
        <v>1423.8701523958214</v>
      </c>
      <c r="L95">
        <v>0</v>
      </c>
      <c r="M95">
        <v>0.05</v>
      </c>
      <c r="N95">
        <v>0.35000000000000003</v>
      </c>
      <c r="O95">
        <v>0.15000000000000002</v>
      </c>
      <c r="P95">
        <v>0.1</v>
      </c>
      <c r="Q95">
        <v>0</v>
      </c>
      <c r="R95">
        <v>0.05</v>
      </c>
      <c r="S95">
        <v>0.05</v>
      </c>
      <c r="T95">
        <v>12363.28</v>
      </c>
      <c r="U95" t="s">
        <v>94</v>
      </c>
      <c r="V95">
        <v>3</v>
      </c>
      <c r="W95">
        <v>2</v>
      </c>
      <c r="X95">
        <v>4</v>
      </c>
      <c r="Y95">
        <v>3</v>
      </c>
      <c r="Z95">
        <v>2</v>
      </c>
      <c r="AA95">
        <v>2</v>
      </c>
      <c r="AB95">
        <v>2</v>
      </c>
      <c r="AC95">
        <v>2</v>
      </c>
      <c r="AD95">
        <v>2</v>
      </c>
      <c r="AE95" s="6">
        <v>0.2857142857142857</v>
      </c>
      <c r="AF95" s="6">
        <v>0.55555555555555547</v>
      </c>
      <c r="AG95" s="6">
        <v>0.15873015873015869</v>
      </c>
      <c r="AH95">
        <v>0</v>
      </c>
    </row>
    <row r="96" spans="1:34">
      <c r="A96" t="s">
        <v>446</v>
      </c>
      <c r="B96" t="s">
        <v>445</v>
      </c>
      <c r="C96">
        <v>20128</v>
      </c>
      <c r="D96">
        <v>22136</v>
      </c>
      <c r="E96">
        <v>3597.6361967716234</v>
      </c>
      <c r="F96">
        <v>37100</v>
      </c>
      <c r="G96">
        <v>9296.5220466373139</v>
      </c>
      <c r="H96">
        <v>17809.644481572828</v>
      </c>
      <c r="I96">
        <v>12060.225</v>
      </c>
      <c r="J96">
        <v>5699.0862341033053</v>
      </c>
      <c r="K96">
        <v>6233.3755685504902</v>
      </c>
      <c r="L96">
        <v>0.25</v>
      </c>
      <c r="M96">
        <v>0.05</v>
      </c>
      <c r="N96">
        <v>0.4</v>
      </c>
      <c r="O96">
        <v>0.1</v>
      </c>
      <c r="P96">
        <v>0.2</v>
      </c>
      <c r="Q96">
        <v>0.15000000000000002</v>
      </c>
      <c r="R96">
        <v>0.05</v>
      </c>
      <c r="S96">
        <v>0.05</v>
      </c>
      <c r="T96">
        <v>37100</v>
      </c>
      <c r="U96" t="s">
        <v>94</v>
      </c>
      <c r="V96">
        <v>3</v>
      </c>
      <c r="W96">
        <v>1</v>
      </c>
      <c r="X96">
        <v>3</v>
      </c>
      <c r="Y96">
        <v>3</v>
      </c>
      <c r="Z96">
        <v>3</v>
      </c>
      <c r="AA96">
        <v>3</v>
      </c>
      <c r="AB96">
        <v>3</v>
      </c>
      <c r="AC96">
        <v>3</v>
      </c>
      <c r="AD96">
        <v>3</v>
      </c>
      <c r="AE96" s="6">
        <v>0.40217391304347827</v>
      </c>
      <c r="AF96" s="6">
        <v>0.39189189189189194</v>
      </c>
      <c r="AG96" s="6">
        <v>0.15760869565217395</v>
      </c>
      <c r="AH96">
        <v>0</v>
      </c>
    </row>
    <row r="97" spans="1:34">
      <c r="A97" t="s">
        <v>560</v>
      </c>
      <c r="B97" t="s">
        <v>559</v>
      </c>
      <c r="C97">
        <v>17601</v>
      </c>
      <c r="D97">
        <v>6501</v>
      </c>
      <c r="E97">
        <v>1216.7153240588023</v>
      </c>
      <c r="F97">
        <v>7493.8149999999996</v>
      </c>
      <c r="G97">
        <v>774.02808328521144</v>
      </c>
      <c r="H97">
        <v>4914.8182192002769</v>
      </c>
      <c r="I97">
        <v>0</v>
      </c>
      <c r="J97">
        <v>1577.6566483632889</v>
      </c>
      <c r="K97">
        <v>1720.1863767200966</v>
      </c>
      <c r="L97">
        <v>0.30000000000000004</v>
      </c>
      <c r="M97">
        <v>0.05</v>
      </c>
      <c r="N97">
        <v>0.35000000000000003</v>
      </c>
      <c r="O97">
        <v>0.05</v>
      </c>
      <c r="P97">
        <v>0.25</v>
      </c>
      <c r="Q97">
        <v>0</v>
      </c>
      <c r="R97">
        <v>0.1</v>
      </c>
      <c r="S97">
        <v>0.1</v>
      </c>
      <c r="T97">
        <v>7493.8149999999996</v>
      </c>
      <c r="U97" t="s">
        <v>94</v>
      </c>
      <c r="V97">
        <v>3</v>
      </c>
      <c r="W97">
        <v>2</v>
      </c>
      <c r="X97">
        <v>3</v>
      </c>
      <c r="Y97">
        <v>4</v>
      </c>
      <c r="Z97">
        <v>3</v>
      </c>
      <c r="AA97">
        <v>2</v>
      </c>
      <c r="AB97">
        <v>3</v>
      </c>
      <c r="AC97">
        <v>3</v>
      </c>
      <c r="AD97">
        <v>3</v>
      </c>
      <c r="AE97" s="6">
        <v>0.40625</v>
      </c>
      <c r="AF97" s="6">
        <v>0.38461538461538464</v>
      </c>
      <c r="AG97" s="6">
        <v>0.15625</v>
      </c>
      <c r="AH97">
        <v>0</v>
      </c>
    </row>
    <row r="98" spans="1:34">
      <c r="A98" t="s">
        <v>458</v>
      </c>
      <c r="B98" t="s">
        <v>415</v>
      </c>
      <c r="C98">
        <v>20981</v>
      </c>
      <c r="D98">
        <v>5738</v>
      </c>
      <c r="E98">
        <v>1793.4293125195629</v>
      </c>
      <c r="F98">
        <v>22847.904999999999</v>
      </c>
      <c r="G98">
        <v>4359.3628028084731</v>
      </c>
      <c r="H98">
        <v>12479.21101038803</v>
      </c>
      <c r="I98">
        <v>0</v>
      </c>
      <c r="J98">
        <v>3993.3475233241697</v>
      </c>
      <c r="K98">
        <v>4367.7238536358091</v>
      </c>
      <c r="L98">
        <v>0.1</v>
      </c>
      <c r="M98">
        <v>0.05</v>
      </c>
      <c r="N98">
        <v>0.35000000000000003</v>
      </c>
      <c r="O98">
        <v>0.05</v>
      </c>
      <c r="P98">
        <v>0.2</v>
      </c>
      <c r="Q98">
        <v>0</v>
      </c>
      <c r="R98">
        <v>0.05</v>
      </c>
      <c r="S98">
        <v>0.05</v>
      </c>
      <c r="T98">
        <v>22847.904999999999</v>
      </c>
      <c r="U98" t="s">
        <v>94</v>
      </c>
      <c r="V98">
        <v>4</v>
      </c>
      <c r="W98">
        <v>2</v>
      </c>
      <c r="X98">
        <v>4</v>
      </c>
      <c r="Y98">
        <v>2</v>
      </c>
      <c r="Z98">
        <v>3</v>
      </c>
      <c r="AA98">
        <v>3</v>
      </c>
      <c r="AB98">
        <v>3</v>
      </c>
      <c r="AC98">
        <v>3</v>
      </c>
      <c r="AD98">
        <v>3</v>
      </c>
      <c r="AE98" s="6">
        <v>0.38709677419354838</v>
      </c>
      <c r="AF98" s="6">
        <v>0.40277777777777773</v>
      </c>
      <c r="AG98" s="6">
        <v>0.15591397849462363</v>
      </c>
      <c r="AH98">
        <v>0</v>
      </c>
    </row>
    <row r="99" spans="1:34">
      <c r="A99" t="s">
        <v>176</v>
      </c>
      <c r="B99" t="s">
        <v>175</v>
      </c>
      <c r="C99">
        <v>24418</v>
      </c>
      <c r="D99">
        <v>9711</v>
      </c>
      <c r="E99">
        <v>859.46539019577131</v>
      </c>
      <c r="F99">
        <v>11100</v>
      </c>
      <c r="G99">
        <v>2510.9409208820671</v>
      </c>
      <c r="H99">
        <v>5210.5293675601251</v>
      </c>
      <c r="I99">
        <v>0</v>
      </c>
      <c r="J99">
        <v>1667.3693976192399</v>
      </c>
      <c r="K99">
        <v>1823.6852786460433</v>
      </c>
      <c r="L99">
        <v>0.35000000000000003</v>
      </c>
      <c r="M99">
        <v>0.05</v>
      </c>
      <c r="N99">
        <v>0.4</v>
      </c>
      <c r="O99">
        <v>0.1</v>
      </c>
      <c r="P99">
        <v>0.2</v>
      </c>
      <c r="Q99">
        <v>0</v>
      </c>
      <c r="R99">
        <v>0.05</v>
      </c>
      <c r="S99">
        <v>0.05</v>
      </c>
      <c r="T99">
        <v>11100</v>
      </c>
      <c r="U99" t="s">
        <v>94</v>
      </c>
      <c r="V99">
        <v>4</v>
      </c>
      <c r="W99">
        <v>4</v>
      </c>
      <c r="X99">
        <v>4</v>
      </c>
      <c r="Y99">
        <v>4</v>
      </c>
      <c r="Z99">
        <v>4</v>
      </c>
      <c r="AA99">
        <v>5</v>
      </c>
      <c r="AB99">
        <v>4</v>
      </c>
      <c r="AC99">
        <v>4</v>
      </c>
      <c r="AD99">
        <v>4</v>
      </c>
      <c r="AE99" s="6">
        <v>0.44444444444444442</v>
      </c>
      <c r="AF99" s="6">
        <v>0.35</v>
      </c>
      <c r="AG99" s="6">
        <v>0.15555555555555553</v>
      </c>
      <c r="AH99">
        <v>1</v>
      </c>
    </row>
    <row r="100" spans="1:34">
      <c r="A100" t="s">
        <v>639</v>
      </c>
      <c r="B100" t="s">
        <v>638</v>
      </c>
      <c r="C100">
        <v>20104</v>
      </c>
      <c r="D100">
        <v>1563</v>
      </c>
      <c r="E100">
        <v>574.09574535819434</v>
      </c>
      <c r="F100">
        <v>5706.7749999999996</v>
      </c>
      <c r="G100">
        <v>888.82925459418493</v>
      </c>
      <c r="H100">
        <v>1891.2433872224806</v>
      </c>
      <c r="I100">
        <v>1055.3625</v>
      </c>
      <c r="J100">
        <v>605.1978839111938</v>
      </c>
      <c r="K100">
        <v>661.93518552786816</v>
      </c>
      <c r="L100">
        <v>0.1</v>
      </c>
      <c r="M100">
        <v>0.05</v>
      </c>
      <c r="N100">
        <v>0.35000000000000003</v>
      </c>
      <c r="O100">
        <v>0.05</v>
      </c>
      <c r="P100">
        <v>0.1</v>
      </c>
      <c r="Q100">
        <v>0.05</v>
      </c>
      <c r="R100">
        <v>0.05</v>
      </c>
      <c r="S100">
        <v>0.05</v>
      </c>
      <c r="T100">
        <v>5706.7749999999996</v>
      </c>
      <c r="U100" t="s">
        <v>94</v>
      </c>
      <c r="V100">
        <v>2</v>
      </c>
      <c r="W100">
        <v>2</v>
      </c>
      <c r="X100">
        <v>3</v>
      </c>
      <c r="Y100">
        <v>3</v>
      </c>
      <c r="Z100">
        <v>2</v>
      </c>
      <c r="AA100">
        <v>1</v>
      </c>
      <c r="AB100">
        <v>2</v>
      </c>
      <c r="AC100">
        <v>2</v>
      </c>
      <c r="AD100">
        <v>2</v>
      </c>
      <c r="AE100" s="6">
        <v>0.41463414634146339</v>
      </c>
      <c r="AF100" s="6">
        <v>0.37254901960784315</v>
      </c>
      <c r="AG100" s="6">
        <v>0.15447154471544716</v>
      </c>
      <c r="AH100">
        <v>0</v>
      </c>
    </row>
    <row r="101" spans="1:34">
      <c r="A101" t="s">
        <v>438</v>
      </c>
      <c r="B101" t="s">
        <v>437</v>
      </c>
      <c r="C101">
        <v>24774</v>
      </c>
      <c r="D101">
        <v>4964</v>
      </c>
      <c r="E101">
        <v>1808.2568163481376</v>
      </c>
      <c r="F101">
        <v>20840.04</v>
      </c>
      <c r="G101">
        <v>6752.5322016719847</v>
      </c>
      <c r="H101">
        <v>9550.5968975834294</v>
      </c>
      <c r="I101">
        <v>0</v>
      </c>
      <c r="J101">
        <v>3056.1910072266974</v>
      </c>
      <c r="K101">
        <v>3342.7089141542001</v>
      </c>
      <c r="L101">
        <v>0.1</v>
      </c>
      <c r="M101">
        <v>0.05</v>
      </c>
      <c r="N101">
        <v>0.35000000000000003</v>
      </c>
      <c r="O101">
        <v>0.1</v>
      </c>
      <c r="P101">
        <v>0.15000000000000002</v>
      </c>
      <c r="Q101">
        <v>0</v>
      </c>
      <c r="R101">
        <v>0.05</v>
      </c>
      <c r="S101">
        <v>0.05</v>
      </c>
      <c r="T101">
        <v>20840.04</v>
      </c>
      <c r="U101" t="s">
        <v>94</v>
      </c>
      <c r="V101">
        <v>3</v>
      </c>
      <c r="W101">
        <v>1</v>
      </c>
      <c r="X101">
        <v>3</v>
      </c>
      <c r="Y101">
        <v>3</v>
      </c>
      <c r="Z101">
        <v>2</v>
      </c>
      <c r="AA101">
        <v>2</v>
      </c>
      <c r="AB101">
        <v>2</v>
      </c>
      <c r="AC101">
        <v>2</v>
      </c>
      <c r="AD101">
        <v>2</v>
      </c>
      <c r="AE101" s="6">
        <v>0.45454545454545453</v>
      </c>
      <c r="AF101" s="6">
        <v>0.33333333333333337</v>
      </c>
      <c r="AG101" s="6">
        <v>0.15151515151515152</v>
      </c>
      <c r="AH101">
        <v>0</v>
      </c>
    </row>
    <row r="102" spans="1:34">
      <c r="A102" t="s">
        <v>552</v>
      </c>
      <c r="B102" t="s">
        <v>171</v>
      </c>
      <c r="C102">
        <v>177175</v>
      </c>
      <c r="D102">
        <v>7125</v>
      </c>
      <c r="E102">
        <v>576.86059030059187</v>
      </c>
      <c r="F102">
        <v>6570.73</v>
      </c>
      <c r="G102">
        <v>607.0968860992474</v>
      </c>
      <c r="H102">
        <v>2846.5766565843305</v>
      </c>
      <c r="I102">
        <v>0</v>
      </c>
      <c r="J102">
        <v>910.90453010698582</v>
      </c>
      <c r="K102">
        <v>996.30182980451559</v>
      </c>
      <c r="L102">
        <v>0.4</v>
      </c>
      <c r="M102">
        <v>0.05</v>
      </c>
      <c r="N102">
        <v>0.35000000000000003</v>
      </c>
      <c r="O102">
        <v>0.05</v>
      </c>
      <c r="P102">
        <v>0.15000000000000002</v>
      </c>
      <c r="Q102">
        <v>0</v>
      </c>
      <c r="R102">
        <v>0.05</v>
      </c>
      <c r="S102">
        <v>0.05</v>
      </c>
      <c r="T102">
        <v>7125</v>
      </c>
      <c r="U102" t="s">
        <v>92</v>
      </c>
      <c r="V102">
        <v>4</v>
      </c>
      <c r="W102">
        <v>2</v>
      </c>
      <c r="X102">
        <v>3</v>
      </c>
      <c r="Y102">
        <v>3</v>
      </c>
      <c r="Z102">
        <v>4</v>
      </c>
      <c r="AA102">
        <v>2</v>
      </c>
      <c r="AB102">
        <v>4</v>
      </c>
      <c r="AC102">
        <v>4</v>
      </c>
      <c r="AD102">
        <v>3</v>
      </c>
      <c r="AE102" s="6">
        <v>0.25641025641025639</v>
      </c>
      <c r="AF102" s="6">
        <v>0.58333333333333326</v>
      </c>
      <c r="AG102" s="6">
        <v>0.14957264957264954</v>
      </c>
      <c r="AH102">
        <v>0</v>
      </c>
    </row>
    <row r="103" spans="1:34">
      <c r="A103" t="s">
        <v>484</v>
      </c>
      <c r="B103" t="s">
        <v>483</v>
      </c>
      <c r="C103">
        <v>21831</v>
      </c>
      <c r="D103">
        <v>23851</v>
      </c>
      <c r="E103">
        <v>4641.3726721507173</v>
      </c>
      <c r="F103">
        <v>50548.485000000001</v>
      </c>
      <c r="G103">
        <v>14074.076193286957</v>
      </c>
      <c r="H103">
        <v>33130.663519675916</v>
      </c>
      <c r="I103">
        <v>9348.0074999999997</v>
      </c>
      <c r="J103">
        <v>10601.812326296294</v>
      </c>
      <c r="K103">
        <v>11595.73223188657</v>
      </c>
      <c r="L103">
        <v>0.15000000000000002</v>
      </c>
      <c r="M103">
        <v>0.05</v>
      </c>
      <c r="N103">
        <v>0.35000000000000003</v>
      </c>
      <c r="O103">
        <v>0.1</v>
      </c>
      <c r="P103">
        <v>0.25</v>
      </c>
      <c r="Q103">
        <v>0.05</v>
      </c>
      <c r="R103">
        <v>0.1</v>
      </c>
      <c r="S103">
        <v>0.1</v>
      </c>
      <c r="T103">
        <v>50548.485000000001</v>
      </c>
      <c r="U103" t="s">
        <v>94</v>
      </c>
      <c r="V103">
        <v>3</v>
      </c>
      <c r="W103">
        <v>2</v>
      </c>
      <c r="X103">
        <v>4</v>
      </c>
      <c r="Y103">
        <v>4</v>
      </c>
      <c r="Z103">
        <v>4</v>
      </c>
      <c r="AA103">
        <v>3</v>
      </c>
      <c r="AB103">
        <v>4</v>
      </c>
      <c r="AC103">
        <v>4</v>
      </c>
      <c r="AD103">
        <v>3</v>
      </c>
      <c r="AE103" s="6">
        <v>0.29032258064516131</v>
      </c>
      <c r="AF103" s="6">
        <v>0.50617283950617264</v>
      </c>
      <c r="AG103" s="6">
        <v>0.14695340501792109</v>
      </c>
      <c r="AH103">
        <v>0</v>
      </c>
    </row>
    <row r="104" spans="1:34">
      <c r="A104" t="s">
        <v>126</v>
      </c>
      <c r="B104" t="s">
        <v>125</v>
      </c>
      <c r="C104">
        <v>33437</v>
      </c>
      <c r="D104">
        <v>15460</v>
      </c>
      <c r="E104">
        <v>2344.6864669370925</v>
      </c>
      <c r="F104">
        <v>28513.07</v>
      </c>
      <c r="G104">
        <v>6144.3072028704237</v>
      </c>
      <c r="H104">
        <v>15537.62981376378</v>
      </c>
      <c r="I104">
        <v>5272.9649999999992</v>
      </c>
      <c r="J104">
        <v>4972.0415404044097</v>
      </c>
      <c r="K104">
        <v>5438.1704348173234</v>
      </c>
      <c r="L104">
        <v>0.2</v>
      </c>
      <c r="M104">
        <v>0.05</v>
      </c>
      <c r="N104">
        <v>0.35000000000000003</v>
      </c>
      <c r="O104">
        <v>0.1</v>
      </c>
      <c r="P104">
        <v>0.2</v>
      </c>
      <c r="Q104">
        <v>0.05</v>
      </c>
      <c r="R104">
        <v>0.05</v>
      </c>
      <c r="S104">
        <v>0.05</v>
      </c>
      <c r="T104">
        <v>28513.07</v>
      </c>
      <c r="U104" t="s">
        <v>94</v>
      </c>
      <c r="V104">
        <v>3</v>
      </c>
      <c r="W104">
        <v>2</v>
      </c>
      <c r="X104">
        <v>3</v>
      </c>
      <c r="Y104">
        <v>3</v>
      </c>
      <c r="Z104">
        <v>3</v>
      </c>
      <c r="AA104">
        <v>4</v>
      </c>
      <c r="AB104">
        <v>3</v>
      </c>
      <c r="AC104">
        <v>3</v>
      </c>
      <c r="AD104">
        <v>3</v>
      </c>
      <c r="AE104" s="6">
        <v>0.38461538461538464</v>
      </c>
      <c r="AF104" s="6">
        <v>0.37777777777777771</v>
      </c>
      <c r="AG104" s="6">
        <v>0.14529914529914528</v>
      </c>
      <c r="AH104">
        <v>0</v>
      </c>
    </row>
    <row r="105" spans="1:34">
      <c r="A105" t="s">
        <v>718</v>
      </c>
      <c r="B105" t="s">
        <v>717</v>
      </c>
      <c r="C105">
        <v>33942</v>
      </c>
      <c r="D105">
        <v>8260</v>
      </c>
      <c r="E105">
        <v>12507.198520837803</v>
      </c>
      <c r="F105">
        <v>44321.95</v>
      </c>
      <c r="G105">
        <v>18768.889521901765</v>
      </c>
      <c r="H105">
        <v>28941.941575645134</v>
      </c>
      <c r="I105">
        <v>72858</v>
      </c>
      <c r="J105">
        <v>9290.3632457820895</v>
      </c>
      <c r="K105">
        <v>10129.679551475796</v>
      </c>
      <c r="L105">
        <v>0.05</v>
      </c>
      <c r="M105">
        <v>0.1</v>
      </c>
      <c r="N105">
        <v>0.35000000000000003</v>
      </c>
      <c r="O105">
        <v>0.15000000000000002</v>
      </c>
      <c r="P105">
        <v>0.25</v>
      </c>
      <c r="Q105">
        <v>0.60000000000000009</v>
      </c>
      <c r="R105">
        <v>0.1</v>
      </c>
      <c r="S105">
        <v>0.1</v>
      </c>
      <c r="T105">
        <v>72858</v>
      </c>
      <c r="U105" t="s">
        <v>97</v>
      </c>
      <c r="V105">
        <v>3</v>
      </c>
      <c r="W105">
        <v>2</v>
      </c>
      <c r="X105">
        <v>3</v>
      </c>
      <c r="Y105">
        <v>3</v>
      </c>
      <c r="Z105">
        <v>3</v>
      </c>
      <c r="AA105">
        <v>3</v>
      </c>
      <c r="AB105">
        <v>3</v>
      </c>
      <c r="AC105">
        <v>3</v>
      </c>
      <c r="AD105">
        <v>3</v>
      </c>
      <c r="AE105" s="6">
        <v>0.42857142857142855</v>
      </c>
      <c r="AF105" s="6">
        <v>0.33333333333333331</v>
      </c>
      <c r="AG105" s="6">
        <v>0.14285714285714285</v>
      </c>
      <c r="AH105">
        <v>0</v>
      </c>
    </row>
    <row r="106" spans="1:34">
      <c r="A106" t="s">
        <v>168</v>
      </c>
      <c r="B106" t="s">
        <v>167</v>
      </c>
      <c r="C106">
        <v>54323</v>
      </c>
      <c r="D106">
        <v>12096</v>
      </c>
      <c r="E106">
        <v>1580.0448921920083</v>
      </c>
      <c r="F106">
        <v>18212.404999999999</v>
      </c>
      <c r="G106">
        <v>7090.1834771293461</v>
      </c>
      <c r="H106">
        <v>9954.4292768645246</v>
      </c>
      <c r="I106">
        <v>0</v>
      </c>
      <c r="J106">
        <v>3195.3717978735122</v>
      </c>
      <c r="K106">
        <v>3484.0502469025832</v>
      </c>
      <c r="L106">
        <v>0.25</v>
      </c>
      <c r="M106">
        <v>0.05</v>
      </c>
      <c r="N106">
        <v>0.35000000000000003</v>
      </c>
      <c r="O106">
        <v>0.15000000000000002</v>
      </c>
      <c r="P106">
        <v>0.2</v>
      </c>
      <c r="Q106">
        <v>0</v>
      </c>
      <c r="R106">
        <v>0.05</v>
      </c>
      <c r="S106">
        <v>0.05</v>
      </c>
      <c r="T106">
        <v>18212.404999999999</v>
      </c>
      <c r="U106" t="s">
        <v>94</v>
      </c>
      <c r="V106">
        <v>4</v>
      </c>
      <c r="W106">
        <v>3</v>
      </c>
      <c r="X106">
        <v>4</v>
      </c>
      <c r="Y106">
        <v>4</v>
      </c>
      <c r="Z106">
        <v>4</v>
      </c>
      <c r="AA106">
        <v>4</v>
      </c>
      <c r="AB106">
        <v>4</v>
      </c>
      <c r="AC106">
        <v>4</v>
      </c>
      <c r="AD106">
        <v>4</v>
      </c>
      <c r="AE106" s="6">
        <v>0.323943661971831</v>
      </c>
      <c r="AF106" s="6">
        <v>0.43478260869565216</v>
      </c>
      <c r="AG106" s="6">
        <v>0.14084507042253522</v>
      </c>
      <c r="AH106">
        <v>0</v>
      </c>
    </row>
    <row r="107" spans="1:34">
      <c r="A107" t="s">
        <v>106</v>
      </c>
      <c r="B107" t="s">
        <v>105</v>
      </c>
      <c r="C107">
        <v>12687</v>
      </c>
      <c r="D107">
        <v>6806</v>
      </c>
      <c r="E107">
        <v>993.16323685153839</v>
      </c>
      <c r="F107">
        <v>11204.405000000001</v>
      </c>
      <c r="G107">
        <v>2070.5044288934132</v>
      </c>
      <c r="H107">
        <v>6105.6174299534896</v>
      </c>
      <c r="I107">
        <v>0</v>
      </c>
      <c r="J107">
        <v>1953.7975775851169</v>
      </c>
      <c r="K107">
        <v>2136.9661004837212</v>
      </c>
      <c r="L107">
        <v>0.2</v>
      </c>
      <c r="M107">
        <v>0.05</v>
      </c>
      <c r="N107">
        <v>0.35000000000000003</v>
      </c>
      <c r="O107">
        <v>0.05</v>
      </c>
      <c r="P107">
        <v>0.2</v>
      </c>
      <c r="Q107">
        <v>0</v>
      </c>
      <c r="R107">
        <v>0.05</v>
      </c>
      <c r="S107">
        <v>0.05</v>
      </c>
      <c r="T107">
        <v>11204.405000000001</v>
      </c>
      <c r="U107" t="s">
        <v>94</v>
      </c>
      <c r="V107">
        <v>4</v>
      </c>
      <c r="W107">
        <v>2</v>
      </c>
      <c r="X107">
        <v>4</v>
      </c>
      <c r="Y107">
        <v>3</v>
      </c>
      <c r="Z107">
        <v>3</v>
      </c>
      <c r="AA107">
        <v>4</v>
      </c>
      <c r="AB107">
        <v>3</v>
      </c>
      <c r="AC107">
        <v>3</v>
      </c>
      <c r="AD107">
        <v>3</v>
      </c>
      <c r="AE107" s="6">
        <v>0.38709677419354838</v>
      </c>
      <c r="AF107" s="6">
        <v>0.36111111111111088</v>
      </c>
      <c r="AG107" s="6">
        <v>0.13978494623655904</v>
      </c>
      <c r="AH107">
        <v>0</v>
      </c>
    </row>
    <row r="108" spans="1:34">
      <c r="A108" t="s">
        <v>257</v>
      </c>
      <c r="B108" t="s">
        <v>256</v>
      </c>
      <c r="C108">
        <v>50082</v>
      </c>
      <c r="D108">
        <v>18724</v>
      </c>
      <c r="E108">
        <v>10060.005388640791</v>
      </c>
      <c r="F108">
        <v>55838.794999999998</v>
      </c>
      <c r="G108">
        <v>23020.03479357472</v>
      </c>
      <c r="H108">
        <v>36465.013986298829</v>
      </c>
      <c r="I108">
        <v>68842.350000000006</v>
      </c>
      <c r="J108">
        <v>11705.269489601924</v>
      </c>
      <c r="K108">
        <v>12762.754895204589</v>
      </c>
      <c r="L108">
        <v>0.1</v>
      </c>
      <c r="M108">
        <v>0.05</v>
      </c>
      <c r="N108">
        <v>0.35000000000000003</v>
      </c>
      <c r="O108">
        <v>0.15000000000000002</v>
      </c>
      <c r="P108">
        <v>0.25</v>
      </c>
      <c r="Q108">
        <v>0.45</v>
      </c>
      <c r="R108">
        <v>0.1</v>
      </c>
      <c r="S108">
        <v>0.1</v>
      </c>
      <c r="T108">
        <v>68842.350000000006</v>
      </c>
      <c r="U108" t="s">
        <v>97</v>
      </c>
      <c r="V108">
        <v>3</v>
      </c>
      <c r="W108">
        <v>2</v>
      </c>
      <c r="X108">
        <v>4</v>
      </c>
      <c r="Y108">
        <v>5</v>
      </c>
      <c r="Z108">
        <v>4</v>
      </c>
      <c r="AA108">
        <v>4</v>
      </c>
      <c r="AB108">
        <v>4</v>
      </c>
      <c r="AC108">
        <v>4</v>
      </c>
      <c r="AD108">
        <v>4</v>
      </c>
      <c r="AE108" s="6">
        <v>0.379746835443038</v>
      </c>
      <c r="AF108" s="6">
        <v>0.3648148148148147</v>
      </c>
      <c r="AG108" s="6">
        <v>0.13853727144866382</v>
      </c>
      <c r="AH108">
        <v>0</v>
      </c>
    </row>
    <row r="109" spans="1:34">
      <c r="A109" t="s">
        <v>228</v>
      </c>
      <c r="B109" t="s">
        <v>227</v>
      </c>
      <c r="C109">
        <v>53580</v>
      </c>
      <c r="D109">
        <v>112245</v>
      </c>
      <c r="E109">
        <v>12970.93718897102</v>
      </c>
      <c r="F109">
        <v>127753.65</v>
      </c>
      <c r="G109">
        <v>44158.500390264089</v>
      </c>
      <c r="H109">
        <v>83866.727689659892</v>
      </c>
      <c r="I109">
        <v>210006</v>
      </c>
      <c r="J109">
        <v>26837.352860691164</v>
      </c>
      <c r="K109">
        <v>29353.354691380962</v>
      </c>
      <c r="L109">
        <v>0.30000000000000004</v>
      </c>
      <c r="M109">
        <v>0.05</v>
      </c>
      <c r="N109">
        <v>0.35000000000000003</v>
      </c>
      <c r="O109">
        <v>0.15000000000000002</v>
      </c>
      <c r="P109">
        <v>0.25</v>
      </c>
      <c r="Q109">
        <v>0.60000000000000009</v>
      </c>
      <c r="R109">
        <v>0.1</v>
      </c>
      <c r="S109">
        <v>0.1</v>
      </c>
      <c r="T109">
        <v>210006</v>
      </c>
      <c r="U109" t="s">
        <v>97</v>
      </c>
      <c r="V109">
        <v>2</v>
      </c>
      <c r="W109">
        <v>2</v>
      </c>
      <c r="X109">
        <v>3</v>
      </c>
      <c r="Y109">
        <v>3</v>
      </c>
      <c r="Z109">
        <v>4</v>
      </c>
      <c r="AA109">
        <v>2</v>
      </c>
      <c r="AB109">
        <v>4</v>
      </c>
      <c r="AC109">
        <v>4</v>
      </c>
      <c r="AD109">
        <v>2</v>
      </c>
      <c r="AE109" s="6">
        <v>0.35897435897435898</v>
      </c>
      <c r="AF109" s="6">
        <v>0.38095238095238093</v>
      </c>
      <c r="AG109" s="6">
        <v>0.13675213675213674</v>
      </c>
      <c r="AH109">
        <v>0</v>
      </c>
    </row>
    <row r="110" spans="1:34">
      <c r="A110" t="s">
        <v>136</v>
      </c>
      <c r="B110" t="s">
        <v>135</v>
      </c>
      <c r="C110">
        <v>244728</v>
      </c>
      <c r="D110">
        <v>0</v>
      </c>
      <c r="E110">
        <v>307.67428776412777</v>
      </c>
      <c r="F110">
        <v>3645.9850000000001</v>
      </c>
      <c r="G110">
        <v>849.29883177073134</v>
      </c>
      <c r="H110">
        <v>1192.0841614712594</v>
      </c>
      <c r="I110">
        <v>5993.4</v>
      </c>
      <c r="J110">
        <v>381.46693167080304</v>
      </c>
      <c r="K110">
        <v>417.22945651494075</v>
      </c>
      <c r="L110">
        <v>0</v>
      </c>
      <c r="M110">
        <v>0.05</v>
      </c>
      <c r="N110">
        <v>0.35000000000000003</v>
      </c>
      <c r="O110">
        <v>0.1</v>
      </c>
      <c r="P110">
        <v>0.1</v>
      </c>
      <c r="Q110">
        <v>0.60000000000000009</v>
      </c>
      <c r="R110">
        <v>0.05</v>
      </c>
      <c r="S110">
        <v>0.05</v>
      </c>
      <c r="T110">
        <v>5993.4</v>
      </c>
      <c r="U110" t="s">
        <v>97</v>
      </c>
      <c r="V110">
        <v>3</v>
      </c>
      <c r="W110">
        <v>2</v>
      </c>
      <c r="X110">
        <v>3</v>
      </c>
      <c r="Y110">
        <v>4</v>
      </c>
      <c r="Z110">
        <v>4</v>
      </c>
      <c r="AA110">
        <v>2</v>
      </c>
      <c r="AB110">
        <v>4</v>
      </c>
      <c r="AC110">
        <v>4</v>
      </c>
      <c r="AD110">
        <v>3</v>
      </c>
      <c r="AE110" s="6">
        <v>0.35588235294117648</v>
      </c>
      <c r="AF110" s="6">
        <v>0.37786960514233248</v>
      </c>
      <c r="AG110" s="6">
        <v>0.13447712418300656</v>
      </c>
      <c r="AH110">
        <v>1</v>
      </c>
    </row>
    <row r="111" spans="1:34">
      <c r="A111" t="s">
        <v>503</v>
      </c>
      <c r="B111" t="s">
        <v>502</v>
      </c>
      <c r="C111">
        <v>542259</v>
      </c>
      <c r="D111">
        <v>10099</v>
      </c>
      <c r="E111">
        <v>1264.1302403729683</v>
      </c>
      <c r="F111">
        <v>9820</v>
      </c>
      <c r="G111">
        <v>3127.6448794487815</v>
      </c>
      <c r="H111">
        <v>4949.8284253688062</v>
      </c>
      <c r="I111">
        <v>0</v>
      </c>
      <c r="J111">
        <v>1583.945096118018</v>
      </c>
      <c r="K111">
        <v>1732.4399488790818</v>
      </c>
      <c r="L111">
        <v>0.4</v>
      </c>
      <c r="M111">
        <v>0.05</v>
      </c>
      <c r="N111">
        <v>0.4</v>
      </c>
      <c r="O111">
        <v>0.15000000000000002</v>
      </c>
      <c r="P111">
        <v>0.2</v>
      </c>
      <c r="Q111">
        <v>0</v>
      </c>
      <c r="R111">
        <v>0.05</v>
      </c>
      <c r="S111">
        <v>0.05</v>
      </c>
      <c r="T111">
        <v>10099</v>
      </c>
      <c r="U111" t="s">
        <v>92</v>
      </c>
      <c r="V111">
        <v>3</v>
      </c>
      <c r="W111">
        <v>2</v>
      </c>
      <c r="X111">
        <v>3</v>
      </c>
      <c r="Y111">
        <v>4</v>
      </c>
      <c r="Z111">
        <v>3</v>
      </c>
      <c r="AA111">
        <v>2</v>
      </c>
      <c r="AB111">
        <v>3</v>
      </c>
      <c r="AC111">
        <v>3</v>
      </c>
      <c r="AD111">
        <v>3</v>
      </c>
      <c r="AE111" s="6">
        <v>0.32885906040268459</v>
      </c>
      <c r="AF111" s="6">
        <v>0.40164399092970526</v>
      </c>
      <c r="AG111" s="6">
        <v>0.13208426547352725</v>
      </c>
      <c r="AH111">
        <v>0</v>
      </c>
    </row>
    <row r="112" spans="1:34">
      <c r="A112" t="s">
        <v>572</v>
      </c>
      <c r="B112" t="s">
        <v>571</v>
      </c>
      <c r="C112">
        <v>138798</v>
      </c>
      <c r="D112">
        <v>2041</v>
      </c>
      <c r="E112">
        <v>296.04012024201961</v>
      </c>
      <c r="F112">
        <v>3575.54</v>
      </c>
      <c r="G112">
        <v>1191.3681633360216</v>
      </c>
      <c r="H112">
        <v>1954.1814522464369</v>
      </c>
      <c r="I112">
        <v>0</v>
      </c>
      <c r="J112">
        <v>627.29224617110629</v>
      </c>
      <c r="K112">
        <v>683.96350828625282</v>
      </c>
      <c r="L112">
        <v>0.2</v>
      </c>
      <c r="M112">
        <v>0.05</v>
      </c>
      <c r="N112">
        <v>0.35000000000000003</v>
      </c>
      <c r="O112">
        <v>0.1</v>
      </c>
      <c r="P112">
        <v>0.2</v>
      </c>
      <c r="Q112">
        <v>0</v>
      </c>
      <c r="R112">
        <v>0.05</v>
      </c>
      <c r="S112">
        <v>0.05</v>
      </c>
      <c r="T112">
        <v>3575.54</v>
      </c>
      <c r="U112" t="s">
        <v>94</v>
      </c>
      <c r="V112">
        <v>3</v>
      </c>
      <c r="W112">
        <v>3</v>
      </c>
      <c r="X112">
        <v>4</v>
      </c>
      <c r="Y112">
        <v>3</v>
      </c>
      <c r="Z112">
        <v>4</v>
      </c>
      <c r="AA112">
        <v>4</v>
      </c>
      <c r="AB112">
        <v>4</v>
      </c>
      <c r="AC112">
        <v>4</v>
      </c>
      <c r="AD112">
        <v>3</v>
      </c>
      <c r="AE112" s="6">
        <v>0.32019704433497537</v>
      </c>
      <c r="AF112" s="6">
        <v>0.4102564102564103</v>
      </c>
      <c r="AG112" s="6">
        <v>0.13136288998357964</v>
      </c>
      <c r="AH112">
        <v>0</v>
      </c>
    </row>
    <row r="113" spans="1:34">
      <c r="A113" t="s">
        <v>475</v>
      </c>
      <c r="B113" t="s">
        <v>133</v>
      </c>
      <c r="C113">
        <v>138776</v>
      </c>
      <c r="D113">
        <v>4839</v>
      </c>
      <c r="E113">
        <v>856.93726003331824</v>
      </c>
      <c r="F113">
        <v>12600</v>
      </c>
      <c r="G113">
        <v>2826.2169632002428</v>
      </c>
      <c r="H113">
        <v>5342.2354631622929</v>
      </c>
      <c r="I113">
        <v>3014.6849999999999</v>
      </c>
      <c r="J113">
        <v>1709.5153482119338</v>
      </c>
      <c r="K113">
        <v>1869.7824121068022</v>
      </c>
      <c r="L113">
        <v>0.2</v>
      </c>
      <c r="M113">
        <v>0.05</v>
      </c>
      <c r="N113">
        <v>0.55000000000000004</v>
      </c>
      <c r="O113">
        <v>0.15000000000000002</v>
      </c>
      <c r="P113">
        <v>0.25</v>
      </c>
      <c r="Q113">
        <v>0.15000000000000002</v>
      </c>
      <c r="R113">
        <v>0.1</v>
      </c>
      <c r="S113">
        <v>0.1</v>
      </c>
      <c r="T113">
        <v>12600</v>
      </c>
      <c r="U113" t="s">
        <v>94</v>
      </c>
      <c r="V113">
        <v>3</v>
      </c>
      <c r="W113">
        <v>2</v>
      </c>
      <c r="X113">
        <v>3</v>
      </c>
      <c r="Y113">
        <v>4</v>
      </c>
      <c r="Z113">
        <v>4</v>
      </c>
      <c r="AA113">
        <v>3</v>
      </c>
      <c r="AB113">
        <v>4</v>
      </c>
      <c r="AC113">
        <v>4</v>
      </c>
      <c r="AD113">
        <v>3</v>
      </c>
      <c r="AE113" s="6">
        <v>0.35978835978835977</v>
      </c>
      <c r="AF113" s="6">
        <v>0.36192810457516333</v>
      </c>
      <c r="AG113" s="6">
        <v>0.13021751910640797</v>
      </c>
      <c r="AH113">
        <v>0</v>
      </c>
    </row>
    <row r="114" spans="1:34">
      <c r="A114" t="s">
        <v>450</v>
      </c>
      <c r="B114" t="s">
        <v>205</v>
      </c>
      <c r="C114">
        <v>38455</v>
      </c>
      <c r="D114">
        <v>2184</v>
      </c>
      <c r="E114">
        <v>3179.7856799341707</v>
      </c>
      <c r="F114">
        <v>22500</v>
      </c>
      <c r="G114">
        <v>5643.4249558007468</v>
      </c>
      <c r="H114">
        <v>14419.322928066102</v>
      </c>
      <c r="I114">
        <v>0</v>
      </c>
      <c r="J114">
        <v>4614.183336981152</v>
      </c>
      <c r="K114">
        <v>5046.7630248231353</v>
      </c>
      <c r="L114">
        <v>0.05</v>
      </c>
      <c r="M114">
        <v>0.05</v>
      </c>
      <c r="N114">
        <v>0.35000000000000003</v>
      </c>
      <c r="O114">
        <v>0.1</v>
      </c>
      <c r="P114">
        <v>0.25</v>
      </c>
      <c r="Q114">
        <v>0</v>
      </c>
      <c r="R114">
        <v>0.1</v>
      </c>
      <c r="S114">
        <v>0.1</v>
      </c>
      <c r="T114">
        <v>22500</v>
      </c>
      <c r="U114" t="s">
        <v>94</v>
      </c>
      <c r="V114">
        <v>3</v>
      </c>
      <c r="W114">
        <v>2</v>
      </c>
      <c r="X114">
        <v>3</v>
      </c>
      <c r="Y114">
        <v>3</v>
      </c>
      <c r="Z114">
        <v>3</v>
      </c>
      <c r="AA114">
        <v>2</v>
      </c>
      <c r="AB114">
        <v>3</v>
      </c>
      <c r="AC114">
        <v>3</v>
      </c>
      <c r="AD114">
        <v>3</v>
      </c>
      <c r="AE114" s="6">
        <v>0.33057851239669422</v>
      </c>
      <c r="AF114" s="6">
        <v>0.38749999999999996</v>
      </c>
      <c r="AG114" s="6">
        <v>0.128099173553719</v>
      </c>
      <c r="AH114">
        <v>0</v>
      </c>
    </row>
    <row r="115" spans="1:34">
      <c r="A115" t="s">
        <v>279</v>
      </c>
      <c r="B115" t="s">
        <v>278</v>
      </c>
      <c r="C115">
        <v>24908</v>
      </c>
      <c r="D115">
        <v>1611</v>
      </c>
      <c r="E115">
        <v>264.11224350327905</v>
      </c>
      <c r="F115">
        <v>6300</v>
      </c>
      <c r="G115">
        <v>226.56538299061805</v>
      </c>
      <c r="H115">
        <v>2486.839152799339</v>
      </c>
      <c r="I115">
        <v>1304.6400000000001</v>
      </c>
      <c r="J115">
        <v>795.78852889578843</v>
      </c>
      <c r="K115">
        <v>870.39370347976865</v>
      </c>
      <c r="L115">
        <v>0.15000000000000002</v>
      </c>
      <c r="M115">
        <v>0.05</v>
      </c>
      <c r="N115">
        <v>0.65</v>
      </c>
      <c r="O115">
        <v>0</v>
      </c>
      <c r="P115">
        <v>0.25</v>
      </c>
      <c r="Q115">
        <v>0.15000000000000002</v>
      </c>
      <c r="R115">
        <v>0.1</v>
      </c>
      <c r="S115">
        <v>0.1</v>
      </c>
      <c r="T115">
        <v>6300</v>
      </c>
      <c r="U115" t="s">
        <v>94</v>
      </c>
      <c r="V115">
        <v>2</v>
      </c>
      <c r="W115">
        <v>2</v>
      </c>
      <c r="X115">
        <v>3</v>
      </c>
      <c r="Y115">
        <v>4</v>
      </c>
      <c r="Z115">
        <v>3</v>
      </c>
      <c r="AA115">
        <v>2</v>
      </c>
      <c r="AB115">
        <v>3</v>
      </c>
      <c r="AC115">
        <v>3</v>
      </c>
      <c r="AD115">
        <v>2</v>
      </c>
      <c r="AE115" s="6">
        <v>0.34285714285714286</v>
      </c>
      <c r="AF115" s="6">
        <v>0.3611111111111111</v>
      </c>
      <c r="AG115" s="6">
        <v>0.12380952380952381</v>
      </c>
      <c r="AH115">
        <v>0</v>
      </c>
    </row>
    <row r="116" spans="1:34">
      <c r="A116" t="s">
        <v>353</v>
      </c>
      <c r="B116" t="s">
        <v>352</v>
      </c>
      <c r="C116">
        <v>32193</v>
      </c>
      <c r="D116">
        <v>8312</v>
      </c>
      <c r="E116">
        <v>1375.8079489869829</v>
      </c>
      <c r="F116">
        <v>9900</v>
      </c>
      <c r="G116">
        <v>1825.0416204597836</v>
      </c>
      <c r="H116">
        <v>4622.189804478041</v>
      </c>
      <c r="I116">
        <v>0</v>
      </c>
      <c r="J116">
        <v>1483.7229272374511</v>
      </c>
      <c r="K116">
        <v>1617.7664315673142</v>
      </c>
      <c r="L116">
        <v>0.35000000000000003</v>
      </c>
      <c r="M116">
        <v>0.05</v>
      </c>
      <c r="N116">
        <v>0.4</v>
      </c>
      <c r="O116">
        <v>0.05</v>
      </c>
      <c r="P116">
        <v>0.2</v>
      </c>
      <c r="Q116">
        <v>0</v>
      </c>
      <c r="R116">
        <v>0.05</v>
      </c>
      <c r="S116">
        <v>0.05</v>
      </c>
      <c r="T116">
        <v>9900</v>
      </c>
      <c r="U116" t="s">
        <v>94</v>
      </c>
      <c r="V116">
        <v>3</v>
      </c>
      <c r="W116">
        <v>2</v>
      </c>
      <c r="X116">
        <v>3</v>
      </c>
      <c r="Y116">
        <v>3</v>
      </c>
      <c r="Z116">
        <v>3</v>
      </c>
      <c r="AA116">
        <v>2</v>
      </c>
      <c r="AB116">
        <v>3</v>
      </c>
      <c r="AC116">
        <v>3</v>
      </c>
      <c r="AD116">
        <v>3</v>
      </c>
      <c r="AE116" s="6">
        <v>0.27777777777777779</v>
      </c>
      <c r="AF116" s="6">
        <v>0.44444444444444431</v>
      </c>
      <c r="AG116" s="6">
        <v>0.12345679012345676</v>
      </c>
      <c r="AH116">
        <v>0</v>
      </c>
    </row>
    <row r="117" spans="1:34">
      <c r="A117" t="s">
        <v>409</v>
      </c>
      <c r="B117" t="s">
        <v>408</v>
      </c>
      <c r="C117">
        <v>185275</v>
      </c>
      <c r="D117">
        <v>2260</v>
      </c>
      <c r="E117">
        <v>528.83147596117101</v>
      </c>
      <c r="F117">
        <v>8400</v>
      </c>
      <c r="G117">
        <v>1330.934324580694</v>
      </c>
      <c r="H117">
        <v>1342.3626892095244</v>
      </c>
      <c r="I117">
        <v>0</v>
      </c>
      <c r="J117">
        <v>430.89842323625732</v>
      </c>
      <c r="K117">
        <v>469.82694122333356</v>
      </c>
      <c r="L117">
        <v>0.15000000000000002</v>
      </c>
      <c r="M117">
        <v>0.05</v>
      </c>
      <c r="N117">
        <v>0.65</v>
      </c>
      <c r="O117">
        <v>0.1</v>
      </c>
      <c r="P117">
        <v>0.1</v>
      </c>
      <c r="Q117">
        <v>0</v>
      </c>
      <c r="R117">
        <v>0.05</v>
      </c>
      <c r="S117">
        <v>0.05</v>
      </c>
      <c r="T117">
        <v>8400</v>
      </c>
      <c r="U117" t="s">
        <v>94</v>
      </c>
      <c r="V117">
        <v>4</v>
      </c>
      <c r="W117">
        <v>1</v>
      </c>
      <c r="X117">
        <v>3</v>
      </c>
      <c r="Y117">
        <v>3</v>
      </c>
      <c r="Z117">
        <v>2</v>
      </c>
      <c r="AA117">
        <v>3</v>
      </c>
      <c r="AB117">
        <v>2</v>
      </c>
      <c r="AC117">
        <v>2</v>
      </c>
      <c r="AD117">
        <v>3</v>
      </c>
      <c r="AE117" s="6">
        <v>0.28378378378378377</v>
      </c>
      <c r="AF117" s="6">
        <v>0.42724867724867704</v>
      </c>
      <c r="AG117" s="6">
        <v>0.12124624624624618</v>
      </c>
      <c r="AH117">
        <v>0</v>
      </c>
    </row>
    <row r="118" spans="1:34">
      <c r="A118" t="s">
        <v>609</v>
      </c>
      <c r="B118" t="s">
        <v>133</v>
      </c>
      <c r="C118">
        <v>36964</v>
      </c>
      <c r="D118">
        <v>10833</v>
      </c>
      <c r="E118">
        <v>834.42130302973101</v>
      </c>
      <c r="F118">
        <v>10280.955</v>
      </c>
      <c r="G118">
        <v>3814.8835926432689</v>
      </c>
      <c r="H118">
        <v>5638.3345961453051</v>
      </c>
      <c r="I118">
        <v>0</v>
      </c>
      <c r="J118">
        <v>1809.905405362643</v>
      </c>
      <c r="K118">
        <v>1973.4171086508568</v>
      </c>
      <c r="L118">
        <v>0.4</v>
      </c>
      <c r="M118">
        <v>0.05</v>
      </c>
      <c r="N118">
        <v>0.35000000000000003</v>
      </c>
      <c r="O118">
        <v>0.15000000000000002</v>
      </c>
      <c r="P118">
        <v>0.2</v>
      </c>
      <c r="Q118">
        <v>0</v>
      </c>
      <c r="R118">
        <v>0.05</v>
      </c>
      <c r="S118">
        <v>0.05</v>
      </c>
      <c r="T118">
        <v>10833</v>
      </c>
      <c r="U118" t="s">
        <v>92</v>
      </c>
      <c r="V118">
        <v>3</v>
      </c>
      <c r="W118">
        <v>2</v>
      </c>
      <c r="X118">
        <v>3</v>
      </c>
      <c r="Y118">
        <v>3</v>
      </c>
      <c r="Z118">
        <v>4</v>
      </c>
      <c r="AA118">
        <v>1</v>
      </c>
      <c r="AB118">
        <v>4</v>
      </c>
      <c r="AC118">
        <v>4</v>
      </c>
      <c r="AD118">
        <v>3</v>
      </c>
      <c r="AE118" s="6">
        <v>0.30909090909090908</v>
      </c>
      <c r="AF118" s="6">
        <v>0.39215686274509798</v>
      </c>
      <c r="AG118" s="6">
        <v>0.12121212121212119</v>
      </c>
      <c r="AH118">
        <v>0</v>
      </c>
    </row>
    <row r="119" spans="1:34">
      <c r="A119" t="s">
        <v>220</v>
      </c>
      <c r="B119" t="s">
        <v>219</v>
      </c>
      <c r="C119">
        <v>81665</v>
      </c>
      <c r="D119">
        <v>2477</v>
      </c>
      <c r="E119">
        <v>651.86717274777004</v>
      </c>
      <c r="F119">
        <v>9800</v>
      </c>
      <c r="G119">
        <v>234.60195846867936</v>
      </c>
      <c r="H119">
        <v>2370.0830649586369</v>
      </c>
      <c r="I119">
        <v>0</v>
      </c>
      <c r="J119">
        <v>758.42658078676368</v>
      </c>
      <c r="K119">
        <v>829.52907273552273</v>
      </c>
      <c r="L119">
        <v>0.15000000000000002</v>
      </c>
      <c r="M119">
        <v>0.05</v>
      </c>
      <c r="N119">
        <v>0.60000000000000009</v>
      </c>
      <c r="O119">
        <v>0</v>
      </c>
      <c r="P119">
        <v>0.15000000000000002</v>
      </c>
      <c r="Q119">
        <v>0</v>
      </c>
      <c r="R119">
        <v>0.05</v>
      </c>
      <c r="S119">
        <v>0.05</v>
      </c>
      <c r="T119">
        <v>9800</v>
      </c>
      <c r="U119" t="s">
        <v>94</v>
      </c>
      <c r="V119">
        <v>3</v>
      </c>
      <c r="W119">
        <v>2</v>
      </c>
      <c r="X119">
        <v>3</v>
      </c>
      <c r="Y119">
        <v>4</v>
      </c>
      <c r="Z119">
        <v>2</v>
      </c>
      <c r="AA119">
        <v>3</v>
      </c>
      <c r="AB119">
        <v>2</v>
      </c>
      <c r="AC119">
        <v>2</v>
      </c>
      <c r="AD119">
        <v>3</v>
      </c>
      <c r="AE119" s="6">
        <v>0.33333333333333331</v>
      </c>
      <c r="AF119" s="6">
        <v>0.36190476190476184</v>
      </c>
      <c r="AG119" s="6">
        <v>0.12063492063492061</v>
      </c>
      <c r="AH119">
        <v>0</v>
      </c>
    </row>
    <row r="120" spans="1:34">
      <c r="A120" t="s">
        <v>677</v>
      </c>
      <c r="B120" t="s">
        <v>676</v>
      </c>
      <c r="C120">
        <v>136129</v>
      </c>
      <c r="D120">
        <v>15414</v>
      </c>
      <c r="E120">
        <v>1292.0006397623515</v>
      </c>
      <c r="F120">
        <v>16111.83</v>
      </c>
      <c r="G120">
        <v>3788.8571903945158</v>
      </c>
      <c r="H120">
        <v>5267.8925874125889</v>
      </c>
      <c r="I120">
        <v>2979.585</v>
      </c>
      <c r="J120">
        <v>1685.7256279720286</v>
      </c>
      <c r="K120">
        <v>1843.7624055944057</v>
      </c>
      <c r="L120">
        <v>0.35000000000000003</v>
      </c>
      <c r="M120">
        <v>0.05</v>
      </c>
      <c r="N120">
        <v>0.35000000000000003</v>
      </c>
      <c r="O120">
        <v>0.1</v>
      </c>
      <c r="P120">
        <v>0.1</v>
      </c>
      <c r="Q120">
        <v>0.05</v>
      </c>
      <c r="R120">
        <v>0.05</v>
      </c>
      <c r="S120">
        <v>0.05</v>
      </c>
      <c r="T120">
        <v>16111.83</v>
      </c>
      <c r="U120" t="s">
        <v>94</v>
      </c>
      <c r="V120">
        <v>2</v>
      </c>
      <c r="W120">
        <v>4</v>
      </c>
      <c r="X120">
        <v>3</v>
      </c>
      <c r="Y120">
        <v>3</v>
      </c>
      <c r="Z120">
        <v>4</v>
      </c>
      <c r="AA120">
        <v>2</v>
      </c>
      <c r="AB120">
        <v>4</v>
      </c>
      <c r="AC120">
        <v>4</v>
      </c>
      <c r="AD120">
        <v>4</v>
      </c>
      <c r="AE120" s="6">
        <v>0.27741935483870966</v>
      </c>
      <c r="AF120" s="6">
        <v>0.42571059431524533</v>
      </c>
      <c r="AG120" s="6">
        <v>0.11810035842293902</v>
      </c>
      <c r="AH120">
        <v>1</v>
      </c>
    </row>
    <row r="121" spans="1:34">
      <c r="A121" t="s">
        <v>114</v>
      </c>
      <c r="B121" t="s">
        <v>113</v>
      </c>
      <c r="C121">
        <v>2029</v>
      </c>
      <c r="D121">
        <v>4206</v>
      </c>
      <c r="E121">
        <v>536.02058710119832</v>
      </c>
      <c r="F121">
        <v>7000</v>
      </c>
      <c r="G121">
        <v>978.65629612686234</v>
      </c>
      <c r="H121">
        <v>1762.1698596741035</v>
      </c>
      <c r="I121">
        <v>0</v>
      </c>
      <c r="J121">
        <v>565.65652495538723</v>
      </c>
      <c r="K121">
        <v>616.75945088593619</v>
      </c>
      <c r="L121">
        <v>0.30000000000000004</v>
      </c>
      <c r="M121">
        <v>0.05</v>
      </c>
      <c r="N121">
        <v>0.45</v>
      </c>
      <c r="O121">
        <v>0.05</v>
      </c>
      <c r="P121">
        <v>0.1</v>
      </c>
      <c r="Q121">
        <v>0</v>
      </c>
      <c r="R121">
        <v>0.05</v>
      </c>
      <c r="S121">
        <v>0.05</v>
      </c>
      <c r="T121">
        <v>7000</v>
      </c>
      <c r="U121" t="s">
        <v>94</v>
      </c>
      <c r="V121">
        <v>4</v>
      </c>
      <c r="W121">
        <v>2</v>
      </c>
      <c r="X121">
        <v>4</v>
      </c>
      <c r="Y121">
        <v>3</v>
      </c>
      <c r="Z121">
        <v>4</v>
      </c>
      <c r="AA121">
        <v>5</v>
      </c>
      <c r="AB121">
        <v>4</v>
      </c>
      <c r="AC121">
        <v>4</v>
      </c>
      <c r="AD121">
        <v>4</v>
      </c>
      <c r="AE121" s="6">
        <v>0.2608695652173913</v>
      </c>
      <c r="AF121" s="6">
        <v>0.44444444444444436</v>
      </c>
      <c r="AG121" s="6">
        <v>0.11594202898550722</v>
      </c>
      <c r="AH121">
        <v>0</v>
      </c>
    </row>
    <row r="122" spans="1:34">
      <c r="A122" t="s">
        <v>140</v>
      </c>
      <c r="B122" t="s">
        <v>139</v>
      </c>
      <c r="C122">
        <v>17534</v>
      </c>
      <c r="D122">
        <v>7455</v>
      </c>
      <c r="E122">
        <v>955.34534042100927</v>
      </c>
      <c r="F122">
        <v>10885.03</v>
      </c>
      <c r="G122">
        <v>2842.855119104549</v>
      </c>
      <c r="H122">
        <v>3558.9482293919218</v>
      </c>
      <c r="I122">
        <v>17893.2</v>
      </c>
      <c r="J122">
        <v>1138.863433405415</v>
      </c>
      <c r="K122">
        <v>1245.6318802871726</v>
      </c>
      <c r="L122">
        <v>0.25</v>
      </c>
      <c r="M122">
        <v>0.05</v>
      </c>
      <c r="N122">
        <v>0.35000000000000003</v>
      </c>
      <c r="O122">
        <v>0.1</v>
      </c>
      <c r="P122">
        <v>0.1</v>
      </c>
      <c r="Q122">
        <v>0.60000000000000009</v>
      </c>
      <c r="R122">
        <v>0.05</v>
      </c>
      <c r="S122">
        <v>0.05</v>
      </c>
      <c r="T122">
        <v>17893.2</v>
      </c>
      <c r="U122" t="s">
        <v>97</v>
      </c>
      <c r="V122">
        <v>3</v>
      </c>
      <c r="W122">
        <v>4</v>
      </c>
      <c r="X122">
        <v>4</v>
      </c>
      <c r="Y122">
        <v>3</v>
      </c>
      <c r="Z122">
        <v>2</v>
      </c>
      <c r="AA122">
        <v>3</v>
      </c>
      <c r="AB122">
        <v>2</v>
      </c>
      <c r="AC122">
        <v>2</v>
      </c>
      <c r="AD122">
        <v>4</v>
      </c>
      <c r="AE122" s="6">
        <v>0.25</v>
      </c>
      <c r="AF122" s="6">
        <v>0.44444444444444436</v>
      </c>
      <c r="AG122" s="6">
        <v>0.11111111111111109</v>
      </c>
      <c r="AH122">
        <v>1</v>
      </c>
    </row>
    <row r="123" spans="1:34">
      <c r="A123" t="s">
        <v>496</v>
      </c>
      <c r="B123" t="s">
        <v>180</v>
      </c>
      <c r="C123">
        <v>38648</v>
      </c>
      <c r="D123">
        <v>22258</v>
      </c>
      <c r="E123">
        <v>2231.7423237660842</v>
      </c>
      <c r="F123">
        <v>16897.674999999999</v>
      </c>
      <c r="G123">
        <v>2414.548858930661</v>
      </c>
      <c r="H123">
        <v>11093.382618320909</v>
      </c>
      <c r="I123">
        <v>0</v>
      </c>
      <c r="J123">
        <v>3549.8824378626914</v>
      </c>
      <c r="K123">
        <v>3882.6839164123185</v>
      </c>
      <c r="L123">
        <v>0.5</v>
      </c>
      <c r="M123">
        <v>0.05</v>
      </c>
      <c r="N123">
        <v>0.35000000000000003</v>
      </c>
      <c r="O123">
        <v>0.05</v>
      </c>
      <c r="P123">
        <v>0.25</v>
      </c>
      <c r="Q123">
        <v>0</v>
      </c>
      <c r="R123">
        <v>0.1</v>
      </c>
      <c r="S123">
        <v>0.1</v>
      </c>
      <c r="T123">
        <v>22258</v>
      </c>
      <c r="U123" t="s">
        <v>92</v>
      </c>
      <c r="V123">
        <v>4</v>
      </c>
      <c r="W123">
        <v>2</v>
      </c>
      <c r="X123">
        <v>3</v>
      </c>
      <c r="Y123">
        <v>3</v>
      </c>
      <c r="Z123">
        <v>3</v>
      </c>
      <c r="AA123">
        <v>3</v>
      </c>
      <c r="AB123">
        <v>3</v>
      </c>
      <c r="AC123">
        <v>3</v>
      </c>
      <c r="AD123">
        <v>3</v>
      </c>
      <c r="AE123" s="6">
        <v>0.28301886792452829</v>
      </c>
      <c r="AF123" s="6">
        <v>0.39259259259259255</v>
      </c>
      <c r="AG123" s="6">
        <v>0.11111111111111109</v>
      </c>
      <c r="AH123">
        <v>0</v>
      </c>
    </row>
    <row r="124" spans="1:34">
      <c r="A124" t="s">
        <v>154</v>
      </c>
      <c r="B124" t="s">
        <v>153</v>
      </c>
      <c r="C124">
        <v>9636</v>
      </c>
      <c r="D124">
        <v>6318</v>
      </c>
      <c r="E124">
        <v>10039.650037290579</v>
      </c>
      <c r="F124">
        <v>61633.9</v>
      </c>
      <c r="G124">
        <v>3417.3421638215896</v>
      </c>
      <c r="H124">
        <v>40550.316359096505</v>
      </c>
      <c r="I124">
        <v>101316</v>
      </c>
      <c r="J124">
        <v>12976.101234910882</v>
      </c>
      <c r="K124">
        <v>14192.610725683775</v>
      </c>
      <c r="L124">
        <v>0.05</v>
      </c>
      <c r="M124">
        <v>0.05</v>
      </c>
      <c r="N124">
        <v>0.35000000000000003</v>
      </c>
      <c r="O124">
        <v>0</v>
      </c>
      <c r="P124">
        <v>0.25</v>
      </c>
      <c r="Q124">
        <v>0.60000000000000009</v>
      </c>
      <c r="R124">
        <v>0.1</v>
      </c>
      <c r="S124">
        <v>0.1</v>
      </c>
      <c r="T124">
        <v>101316</v>
      </c>
      <c r="U124" t="s">
        <v>97</v>
      </c>
      <c r="V124">
        <v>3</v>
      </c>
      <c r="W124">
        <v>1</v>
      </c>
      <c r="X124">
        <v>3</v>
      </c>
      <c r="Y124">
        <v>3</v>
      </c>
      <c r="Z124">
        <v>2</v>
      </c>
      <c r="AA124">
        <v>4</v>
      </c>
      <c r="AB124">
        <v>2</v>
      </c>
      <c r="AC124">
        <v>2</v>
      </c>
      <c r="AD124">
        <v>3</v>
      </c>
      <c r="AE124" s="6">
        <v>0.25</v>
      </c>
      <c r="AF124" s="6">
        <v>0.44444444444444431</v>
      </c>
      <c r="AG124" s="6">
        <v>0.11111111111111108</v>
      </c>
      <c r="AH124">
        <v>0</v>
      </c>
    </row>
    <row r="125" spans="1:34">
      <c r="A125" t="s">
        <v>741</v>
      </c>
      <c r="B125" t="s">
        <v>155</v>
      </c>
      <c r="C125">
        <v>43831</v>
      </c>
      <c r="D125">
        <v>13368</v>
      </c>
      <c r="E125">
        <v>1852.225308282038</v>
      </c>
      <c r="F125">
        <v>18000</v>
      </c>
      <c r="G125">
        <v>6940.3432415920124</v>
      </c>
      <c r="H125">
        <v>10683.230233427832</v>
      </c>
      <c r="I125">
        <v>6051.1050000000005</v>
      </c>
      <c r="J125">
        <v>3418.6336746969064</v>
      </c>
      <c r="K125">
        <v>3739.1305816997406</v>
      </c>
      <c r="L125">
        <v>0.30000000000000004</v>
      </c>
      <c r="M125">
        <v>0.05</v>
      </c>
      <c r="N125">
        <v>0.4</v>
      </c>
      <c r="O125">
        <v>0.15000000000000002</v>
      </c>
      <c r="P125">
        <v>0.25</v>
      </c>
      <c r="Q125">
        <v>0.15000000000000002</v>
      </c>
      <c r="R125">
        <v>0.1</v>
      </c>
      <c r="S125">
        <v>0.1</v>
      </c>
      <c r="T125">
        <v>18000</v>
      </c>
      <c r="U125" t="s">
        <v>94</v>
      </c>
      <c r="V125">
        <v>3</v>
      </c>
      <c r="W125">
        <v>2</v>
      </c>
      <c r="X125">
        <v>3</v>
      </c>
      <c r="Y125">
        <v>3</v>
      </c>
      <c r="Z125">
        <v>4</v>
      </c>
      <c r="AA125">
        <v>3</v>
      </c>
      <c r="AB125">
        <v>4</v>
      </c>
      <c r="AC125">
        <v>4</v>
      </c>
      <c r="AD125">
        <v>3</v>
      </c>
      <c r="AE125" s="6">
        <v>0.2</v>
      </c>
      <c r="AF125" s="6">
        <v>0.53819444444444431</v>
      </c>
      <c r="AG125" s="6">
        <v>0.10763888888888887</v>
      </c>
      <c r="AH125">
        <v>0</v>
      </c>
    </row>
    <row r="126" spans="1:34">
      <c r="A126" t="s">
        <v>249</v>
      </c>
      <c r="B126" t="s">
        <v>248</v>
      </c>
      <c r="C126">
        <v>342280</v>
      </c>
      <c r="D126">
        <v>4157</v>
      </c>
      <c r="E126">
        <v>3921.4168690948582</v>
      </c>
      <c r="F126">
        <v>39015.945</v>
      </c>
      <c r="G126">
        <v>17343.303575727121</v>
      </c>
      <c r="H126">
        <v>25479.00577212789</v>
      </c>
      <c r="I126">
        <v>0</v>
      </c>
      <c r="J126">
        <v>8153.2818470809252</v>
      </c>
      <c r="K126">
        <v>8917.6520202447609</v>
      </c>
      <c r="L126">
        <v>0.05</v>
      </c>
      <c r="M126">
        <v>0.05</v>
      </c>
      <c r="N126">
        <v>0.35000000000000003</v>
      </c>
      <c r="O126">
        <v>0.15000000000000002</v>
      </c>
      <c r="P126">
        <v>0.25</v>
      </c>
      <c r="Q126">
        <v>0</v>
      </c>
      <c r="R126">
        <v>0.1</v>
      </c>
      <c r="S126">
        <v>0.1</v>
      </c>
      <c r="T126">
        <v>39015.945</v>
      </c>
      <c r="U126" t="s">
        <v>94</v>
      </c>
      <c r="V126">
        <v>3</v>
      </c>
      <c r="W126">
        <v>2</v>
      </c>
      <c r="X126">
        <v>3</v>
      </c>
      <c r="Y126">
        <v>4</v>
      </c>
      <c r="Z126">
        <v>4</v>
      </c>
      <c r="AA126">
        <v>4</v>
      </c>
      <c r="AB126">
        <v>4</v>
      </c>
      <c r="AC126">
        <v>4</v>
      </c>
      <c r="AD126">
        <v>3</v>
      </c>
      <c r="AE126" s="6">
        <v>0.23709677419354838</v>
      </c>
      <c r="AF126" s="6">
        <v>0.44973544973544965</v>
      </c>
      <c r="AG126" s="6">
        <v>0.10663082437275984</v>
      </c>
      <c r="AH126">
        <v>0</v>
      </c>
    </row>
    <row r="127" spans="1:34">
      <c r="A127" t="s">
        <v>158</v>
      </c>
      <c r="B127" t="s">
        <v>157</v>
      </c>
      <c r="C127">
        <v>182474</v>
      </c>
      <c r="D127">
        <v>3542</v>
      </c>
      <c r="E127">
        <v>522.29015376917062</v>
      </c>
      <c r="F127">
        <v>6204.6350000000002</v>
      </c>
      <c r="G127">
        <v>1568.0794749023617</v>
      </c>
      <c r="H127">
        <v>2034.7757573892627</v>
      </c>
      <c r="I127">
        <v>0</v>
      </c>
      <c r="J127">
        <v>651.12824236456413</v>
      </c>
      <c r="K127">
        <v>712.17151508624181</v>
      </c>
      <c r="L127">
        <v>0.2</v>
      </c>
      <c r="M127">
        <v>0.05</v>
      </c>
      <c r="N127">
        <v>0.35000000000000003</v>
      </c>
      <c r="O127">
        <v>0.1</v>
      </c>
      <c r="P127">
        <v>0.1</v>
      </c>
      <c r="Q127">
        <v>0</v>
      </c>
      <c r="R127">
        <v>0.05</v>
      </c>
      <c r="S127">
        <v>0.05</v>
      </c>
      <c r="T127">
        <v>6204.6350000000002</v>
      </c>
      <c r="U127" t="s">
        <v>94</v>
      </c>
      <c r="V127">
        <v>3</v>
      </c>
      <c r="W127">
        <v>1</v>
      </c>
      <c r="X127">
        <v>4</v>
      </c>
      <c r="Y127">
        <v>3</v>
      </c>
      <c r="Z127">
        <v>3</v>
      </c>
      <c r="AA127">
        <v>2</v>
      </c>
      <c r="AB127">
        <v>3</v>
      </c>
      <c r="AC127">
        <v>3</v>
      </c>
      <c r="AD127">
        <v>3</v>
      </c>
      <c r="AE127" s="6">
        <v>0.2606837606837607</v>
      </c>
      <c r="AF127" s="6">
        <v>0.40710382513661203</v>
      </c>
      <c r="AG127" s="6">
        <v>0.10612535612535613</v>
      </c>
      <c r="AH127">
        <v>0</v>
      </c>
    </row>
    <row r="128" spans="1:34">
      <c r="A128" t="s">
        <v>499</v>
      </c>
      <c r="B128" t="s">
        <v>242</v>
      </c>
      <c r="C128">
        <v>34463</v>
      </c>
      <c r="D128">
        <v>36142</v>
      </c>
      <c r="E128">
        <v>1875.4144491096331</v>
      </c>
      <c r="F128">
        <v>17395.900000000001</v>
      </c>
      <c r="G128">
        <v>2571.6372799130027</v>
      </c>
      <c r="H128">
        <v>9517.0575582167694</v>
      </c>
      <c r="I128">
        <v>0</v>
      </c>
      <c r="J128">
        <v>3045.458418629366</v>
      </c>
      <c r="K128">
        <v>3330.9701453758694</v>
      </c>
      <c r="L128">
        <v>0.75</v>
      </c>
      <c r="M128">
        <v>0.05</v>
      </c>
      <c r="N128">
        <v>0.35000000000000003</v>
      </c>
      <c r="O128">
        <v>0.05</v>
      </c>
      <c r="P128">
        <v>0.2</v>
      </c>
      <c r="Q128">
        <v>0</v>
      </c>
      <c r="R128">
        <v>0.05</v>
      </c>
      <c r="S128">
        <v>0.05</v>
      </c>
      <c r="T128">
        <v>36142</v>
      </c>
      <c r="U128" t="s">
        <v>92</v>
      </c>
      <c r="V128">
        <v>3</v>
      </c>
      <c r="W128">
        <v>2</v>
      </c>
      <c r="X128">
        <v>3</v>
      </c>
      <c r="Y128">
        <v>3</v>
      </c>
      <c r="Z128">
        <v>4</v>
      </c>
      <c r="AA128">
        <v>3</v>
      </c>
      <c r="AB128">
        <v>4</v>
      </c>
      <c r="AC128">
        <v>4</v>
      </c>
      <c r="AD128">
        <v>3</v>
      </c>
      <c r="AE128" s="6">
        <v>0.3125</v>
      </c>
      <c r="AF128" s="6">
        <v>0.33333333333333331</v>
      </c>
      <c r="AG128" s="6">
        <v>0.10416666666666666</v>
      </c>
      <c r="AH128">
        <v>0</v>
      </c>
    </row>
    <row r="129" spans="1:34">
      <c r="A129" t="s">
        <v>292</v>
      </c>
      <c r="B129" t="s">
        <v>119</v>
      </c>
      <c r="C129">
        <v>17030</v>
      </c>
      <c r="D129">
        <v>740</v>
      </c>
      <c r="E129">
        <v>1054.3717550327922</v>
      </c>
      <c r="F129">
        <v>12153.405000000001</v>
      </c>
      <c r="G129">
        <v>1687.606030139551</v>
      </c>
      <c r="H129">
        <v>8568.3240139444952</v>
      </c>
      <c r="I129">
        <v>19978.2</v>
      </c>
      <c r="J129">
        <v>2750.432008476183</v>
      </c>
      <c r="K129">
        <v>2998.9134048805736</v>
      </c>
      <c r="L129">
        <v>0</v>
      </c>
      <c r="M129">
        <v>0.05</v>
      </c>
      <c r="N129">
        <v>0.35000000000000003</v>
      </c>
      <c r="O129">
        <v>0.05</v>
      </c>
      <c r="P129">
        <v>0.25</v>
      </c>
      <c r="Q129">
        <v>0.60000000000000009</v>
      </c>
      <c r="R129">
        <v>0.1</v>
      </c>
      <c r="S129">
        <v>0.1</v>
      </c>
      <c r="T129">
        <v>19978.2</v>
      </c>
      <c r="U129" t="s">
        <v>97</v>
      </c>
      <c r="V129">
        <v>2</v>
      </c>
      <c r="W129">
        <v>2</v>
      </c>
      <c r="X129">
        <v>3</v>
      </c>
      <c r="Y129">
        <v>3</v>
      </c>
      <c r="Z129">
        <v>2</v>
      </c>
      <c r="AA129">
        <v>2</v>
      </c>
      <c r="AB129">
        <v>2</v>
      </c>
      <c r="AC129">
        <v>2</v>
      </c>
      <c r="AD129">
        <v>2</v>
      </c>
      <c r="AE129" s="6">
        <v>0.2</v>
      </c>
      <c r="AF129" s="6">
        <v>0.49999999999999983</v>
      </c>
      <c r="AG129" s="6">
        <v>9.9999999999999978E-2</v>
      </c>
      <c r="AH129">
        <v>0</v>
      </c>
    </row>
    <row r="130" spans="1:34">
      <c r="A130" t="s">
        <v>687</v>
      </c>
      <c r="B130" t="s">
        <v>133</v>
      </c>
      <c r="C130">
        <v>57811</v>
      </c>
      <c r="D130">
        <v>1892</v>
      </c>
      <c r="E130">
        <v>315.33108204809508</v>
      </c>
      <c r="F130">
        <v>11600</v>
      </c>
      <c r="G130">
        <v>1779.1048479114643</v>
      </c>
      <c r="H130">
        <v>3214.1277692164963</v>
      </c>
      <c r="I130">
        <v>0</v>
      </c>
      <c r="J130">
        <v>1031.7350139184955</v>
      </c>
      <c r="K130">
        <v>1124.9447192257737</v>
      </c>
      <c r="L130">
        <v>0.15000000000000002</v>
      </c>
      <c r="M130">
        <v>0</v>
      </c>
      <c r="N130">
        <v>0.85000000000000009</v>
      </c>
      <c r="O130">
        <v>0.15000000000000002</v>
      </c>
      <c r="P130">
        <v>0.25</v>
      </c>
      <c r="Q130">
        <v>0</v>
      </c>
      <c r="R130">
        <v>0.1</v>
      </c>
      <c r="S130">
        <v>0.1</v>
      </c>
      <c r="T130">
        <v>11600</v>
      </c>
      <c r="U130" t="s">
        <v>94</v>
      </c>
      <c r="V130">
        <v>3</v>
      </c>
      <c r="W130">
        <v>1</v>
      </c>
      <c r="X130">
        <v>3</v>
      </c>
      <c r="Y130">
        <v>3</v>
      </c>
      <c r="Z130">
        <v>4</v>
      </c>
      <c r="AA130">
        <v>1</v>
      </c>
      <c r="AB130">
        <v>4</v>
      </c>
      <c r="AC130">
        <v>4</v>
      </c>
      <c r="AD130">
        <v>3</v>
      </c>
      <c r="AE130" s="6">
        <v>0.25</v>
      </c>
      <c r="AF130" s="6">
        <v>0.39141414141414133</v>
      </c>
      <c r="AG130" s="6">
        <v>9.7853535353535331E-2</v>
      </c>
      <c r="AH130">
        <v>0</v>
      </c>
    </row>
    <row r="131" spans="1:34">
      <c r="A131" t="s">
        <v>112</v>
      </c>
      <c r="B131" t="s">
        <v>111</v>
      </c>
      <c r="C131">
        <v>8352</v>
      </c>
      <c r="D131">
        <v>2989</v>
      </c>
      <c r="E131">
        <v>1895.5368817451808</v>
      </c>
      <c r="F131">
        <v>14000</v>
      </c>
      <c r="G131">
        <v>2082.8416132481525</v>
      </c>
      <c r="H131">
        <v>2140.118657289428</v>
      </c>
      <c r="I131">
        <v>8069.85</v>
      </c>
      <c r="J131">
        <v>684.83797033261703</v>
      </c>
      <c r="K131">
        <v>749.04153005129967</v>
      </c>
      <c r="L131">
        <v>0.15000000000000002</v>
      </c>
      <c r="M131">
        <v>0.1</v>
      </c>
      <c r="N131">
        <v>0.8</v>
      </c>
      <c r="O131">
        <v>0.1</v>
      </c>
      <c r="P131">
        <v>0.1</v>
      </c>
      <c r="Q131">
        <v>0.45</v>
      </c>
      <c r="R131">
        <v>0.05</v>
      </c>
      <c r="S131">
        <v>0.05</v>
      </c>
      <c r="T131">
        <v>14000</v>
      </c>
      <c r="U131" t="s">
        <v>94</v>
      </c>
      <c r="V131">
        <v>3</v>
      </c>
      <c r="W131">
        <v>2</v>
      </c>
      <c r="X131">
        <v>4</v>
      </c>
      <c r="Y131">
        <v>4</v>
      </c>
      <c r="Z131">
        <v>4</v>
      </c>
      <c r="AA131">
        <v>3</v>
      </c>
      <c r="AB131">
        <v>4</v>
      </c>
      <c r="AC131">
        <v>4</v>
      </c>
      <c r="AD131">
        <v>3</v>
      </c>
      <c r="AE131" s="6">
        <v>0.29166666666666669</v>
      </c>
      <c r="AF131" s="6">
        <v>0.3333333333333332</v>
      </c>
      <c r="AG131" s="6">
        <v>9.7222222222222196E-2</v>
      </c>
      <c r="AH131">
        <v>0</v>
      </c>
    </row>
    <row r="132" spans="1:34">
      <c r="A132" t="s">
        <v>150</v>
      </c>
      <c r="B132" t="s">
        <v>149</v>
      </c>
      <c r="C132">
        <v>76398</v>
      </c>
      <c r="D132">
        <v>7019</v>
      </c>
      <c r="E132">
        <v>1363.3115695584729</v>
      </c>
      <c r="F132">
        <v>11200</v>
      </c>
      <c r="G132">
        <v>757.95896507376585</v>
      </c>
      <c r="H132">
        <v>5926.6955332376046</v>
      </c>
      <c r="I132">
        <v>17769.599999999999</v>
      </c>
      <c r="J132">
        <v>1896.5425706360334</v>
      </c>
      <c r="K132">
        <v>2074.3434366331617</v>
      </c>
      <c r="L132">
        <v>0.25</v>
      </c>
      <c r="M132">
        <v>0.05</v>
      </c>
      <c r="N132">
        <v>0.4</v>
      </c>
      <c r="O132">
        <v>0.05</v>
      </c>
      <c r="P132">
        <v>0.2</v>
      </c>
      <c r="Q132">
        <v>0.60000000000000009</v>
      </c>
      <c r="R132">
        <v>0.05</v>
      </c>
      <c r="S132">
        <v>0.05</v>
      </c>
      <c r="T132">
        <v>17769.599999999999</v>
      </c>
      <c r="U132" t="s">
        <v>97</v>
      </c>
      <c r="V132">
        <v>3</v>
      </c>
      <c r="W132">
        <v>1</v>
      </c>
      <c r="X132">
        <v>3</v>
      </c>
      <c r="Y132">
        <v>3</v>
      </c>
      <c r="Z132">
        <v>3</v>
      </c>
      <c r="AA132">
        <v>3</v>
      </c>
      <c r="AB132">
        <v>3</v>
      </c>
      <c r="AC132">
        <v>3</v>
      </c>
      <c r="AD132">
        <v>3</v>
      </c>
      <c r="AE132" s="6">
        <v>0.23214285714285715</v>
      </c>
      <c r="AF132" s="6">
        <v>0.41666666666666663</v>
      </c>
      <c r="AG132" s="6">
        <v>9.6726190476190466E-2</v>
      </c>
      <c r="AH132">
        <v>0</v>
      </c>
    </row>
    <row r="133" spans="1:34">
      <c r="A133" t="s">
        <v>335</v>
      </c>
      <c r="B133" t="s">
        <v>334</v>
      </c>
      <c r="C133">
        <v>29251</v>
      </c>
      <c r="D133">
        <v>9398</v>
      </c>
      <c r="E133">
        <v>1131.4833189646201</v>
      </c>
      <c r="F133">
        <v>12477.89</v>
      </c>
      <c r="G133">
        <v>2675.0067699306851</v>
      </c>
      <c r="H133">
        <v>6799.5777261748708</v>
      </c>
      <c r="I133">
        <v>20511.599999999999</v>
      </c>
      <c r="J133">
        <v>2175.8648723759588</v>
      </c>
      <c r="K133">
        <v>2379.8522041612046</v>
      </c>
      <c r="L133">
        <v>0.25</v>
      </c>
      <c r="M133">
        <v>0.05</v>
      </c>
      <c r="N133">
        <v>0.35000000000000003</v>
      </c>
      <c r="O133">
        <v>0.1</v>
      </c>
      <c r="P133">
        <v>0.2</v>
      </c>
      <c r="Q133">
        <v>0.60000000000000009</v>
      </c>
      <c r="R133">
        <v>0.05</v>
      </c>
      <c r="S133">
        <v>0.05</v>
      </c>
      <c r="T133">
        <v>20511.599999999999</v>
      </c>
      <c r="U133" t="s">
        <v>97</v>
      </c>
      <c r="V133">
        <v>2</v>
      </c>
      <c r="W133">
        <v>4</v>
      </c>
      <c r="X133">
        <v>3</v>
      </c>
      <c r="Y133">
        <v>3</v>
      </c>
      <c r="Z133">
        <v>4</v>
      </c>
      <c r="AA133">
        <v>3</v>
      </c>
      <c r="AB133">
        <v>4</v>
      </c>
      <c r="AC133">
        <v>4</v>
      </c>
      <c r="AD133">
        <v>4</v>
      </c>
      <c r="AE133" s="6">
        <v>0.28358208955223879</v>
      </c>
      <c r="AF133" s="6">
        <v>0.33333333333333331</v>
      </c>
      <c r="AG133" s="6">
        <v>9.4527363184079588E-2</v>
      </c>
      <c r="AH133">
        <v>1</v>
      </c>
    </row>
    <row r="134" spans="1:34">
      <c r="A134" t="s">
        <v>342</v>
      </c>
      <c r="B134" t="s">
        <v>276</v>
      </c>
      <c r="C134">
        <v>211537</v>
      </c>
      <c r="D134">
        <v>4116</v>
      </c>
      <c r="E134">
        <v>1218.0103305609914</v>
      </c>
      <c r="F134">
        <v>12017.625</v>
      </c>
      <c r="G134">
        <v>6168.3385142026182</v>
      </c>
      <c r="H134">
        <v>6566.489846598256</v>
      </c>
      <c r="I134">
        <v>0</v>
      </c>
      <c r="J134">
        <v>2101.2767509114419</v>
      </c>
      <c r="K134">
        <v>2298.2714463093894</v>
      </c>
      <c r="L134">
        <v>0.15000000000000002</v>
      </c>
      <c r="M134">
        <v>0.05</v>
      </c>
      <c r="N134">
        <v>0.35000000000000003</v>
      </c>
      <c r="O134">
        <v>0.2</v>
      </c>
      <c r="P134">
        <v>0.2</v>
      </c>
      <c r="Q134">
        <v>0</v>
      </c>
      <c r="R134">
        <v>0.05</v>
      </c>
      <c r="S134">
        <v>0.05</v>
      </c>
      <c r="T134">
        <v>12017.625</v>
      </c>
      <c r="U134" t="s">
        <v>94</v>
      </c>
      <c r="V134">
        <v>3</v>
      </c>
      <c r="W134">
        <v>3</v>
      </c>
      <c r="X134">
        <v>3</v>
      </c>
      <c r="Y134">
        <v>3</v>
      </c>
      <c r="Z134">
        <v>4</v>
      </c>
      <c r="AA134">
        <v>2</v>
      </c>
      <c r="AB134">
        <v>4</v>
      </c>
      <c r="AC134">
        <v>4</v>
      </c>
      <c r="AD134">
        <v>3</v>
      </c>
      <c r="AE134" s="6">
        <v>0.25806451612903225</v>
      </c>
      <c r="AF134" s="6">
        <v>0.35912698412698418</v>
      </c>
      <c r="AG134" s="6">
        <v>9.2677931387608825E-2</v>
      </c>
      <c r="AH134">
        <v>1</v>
      </c>
    </row>
    <row r="135" spans="1:34">
      <c r="A135" t="s">
        <v>260</v>
      </c>
      <c r="B135" t="s">
        <v>259</v>
      </c>
      <c r="C135">
        <v>15488</v>
      </c>
      <c r="D135">
        <v>5518</v>
      </c>
      <c r="E135">
        <v>1062.1235955794591</v>
      </c>
      <c r="F135">
        <v>9295.82</v>
      </c>
      <c r="G135">
        <v>3731.5934749367134</v>
      </c>
      <c r="H135">
        <v>5058.7918058600098</v>
      </c>
      <c r="I135">
        <v>0</v>
      </c>
      <c r="J135">
        <v>1618.8133778752031</v>
      </c>
      <c r="K135">
        <v>1770.577132051003</v>
      </c>
      <c r="L135">
        <v>0.2</v>
      </c>
      <c r="M135">
        <v>0.05</v>
      </c>
      <c r="N135">
        <v>0.35000000000000003</v>
      </c>
      <c r="O135">
        <v>0.15000000000000002</v>
      </c>
      <c r="P135">
        <v>0.2</v>
      </c>
      <c r="Q135">
        <v>0</v>
      </c>
      <c r="R135">
        <v>0.05</v>
      </c>
      <c r="S135">
        <v>0.05</v>
      </c>
      <c r="T135">
        <v>9295.82</v>
      </c>
      <c r="U135" t="s">
        <v>94</v>
      </c>
      <c r="V135">
        <v>4</v>
      </c>
      <c r="W135">
        <v>1</v>
      </c>
      <c r="X135">
        <v>3</v>
      </c>
      <c r="Y135">
        <v>4</v>
      </c>
      <c r="Z135">
        <v>4</v>
      </c>
      <c r="AA135">
        <v>3</v>
      </c>
      <c r="AB135">
        <v>4</v>
      </c>
      <c r="AC135">
        <v>4</v>
      </c>
      <c r="AD135">
        <v>3</v>
      </c>
      <c r="AE135" s="6">
        <v>0.20833333333333334</v>
      </c>
      <c r="AF135" s="6">
        <v>0.44444444444444431</v>
      </c>
      <c r="AG135" s="6">
        <v>9.2592592592592574E-2</v>
      </c>
      <c r="AH135">
        <v>0</v>
      </c>
    </row>
    <row r="136" spans="1:34">
      <c r="A136" t="s">
        <v>448</v>
      </c>
      <c r="B136" t="s">
        <v>447</v>
      </c>
      <c r="C136">
        <v>18037</v>
      </c>
      <c r="D136">
        <v>4874</v>
      </c>
      <c r="E136">
        <v>1001.1743397731281</v>
      </c>
      <c r="F136">
        <v>10500</v>
      </c>
      <c r="G136">
        <v>801.64078710332751</v>
      </c>
      <c r="H136">
        <v>4275.6304381965929</v>
      </c>
      <c r="I136">
        <v>2895.3449999999998</v>
      </c>
      <c r="J136">
        <v>1368.2017402229098</v>
      </c>
      <c r="K136">
        <v>1496.4706533688075</v>
      </c>
      <c r="L136">
        <v>0.25</v>
      </c>
      <c r="M136">
        <v>0.05</v>
      </c>
      <c r="N136">
        <v>0.5</v>
      </c>
      <c r="O136">
        <v>0.05</v>
      </c>
      <c r="P136">
        <v>0.2</v>
      </c>
      <c r="Q136">
        <v>0.15000000000000002</v>
      </c>
      <c r="R136">
        <v>0.05</v>
      </c>
      <c r="S136">
        <v>0.05</v>
      </c>
      <c r="T136">
        <v>10500</v>
      </c>
      <c r="U136" t="s">
        <v>94</v>
      </c>
      <c r="V136">
        <v>2</v>
      </c>
      <c r="W136">
        <v>1</v>
      </c>
      <c r="X136">
        <v>3</v>
      </c>
      <c r="Y136">
        <v>3</v>
      </c>
      <c r="Z136">
        <v>2</v>
      </c>
      <c r="AA136">
        <v>2</v>
      </c>
      <c r="AB136">
        <v>2</v>
      </c>
      <c r="AC136">
        <v>2</v>
      </c>
      <c r="AD136">
        <v>2</v>
      </c>
      <c r="AE136" s="6">
        <v>0.27586206896551724</v>
      </c>
      <c r="AF136" s="6">
        <v>0.33333333333333331</v>
      </c>
      <c r="AG136" s="6">
        <v>9.1954022988505746E-2</v>
      </c>
      <c r="AH136">
        <v>0</v>
      </c>
    </row>
    <row r="137" spans="1:34">
      <c r="A137" t="s">
        <v>407</v>
      </c>
      <c r="B137" t="s">
        <v>406</v>
      </c>
      <c r="C137">
        <v>35802</v>
      </c>
      <c r="D137">
        <v>733</v>
      </c>
      <c r="E137">
        <v>189.82809688826026</v>
      </c>
      <c r="F137">
        <v>3500</v>
      </c>
      <c r="G137">
        <v>445.31725736203504</v>
      </c>
      <c r="H137">
        <v>435.07605665220876</v>
      </c>
      <c r="I137">
        <v>0</v>
      </c>
      <c r="J137">
        <v>139.659414185359</v>
      </c>
      <c r="K137">
        <v>152.27661982827306</v>
      </c>
      <c r="L137">
        <v>0.15000000000000002</v>
      </c>
      <c r="M137">
        <v>0.05</v>
      </c>
      <c r="N137">
        <v>0.8</v>
      </c>
      <c r="O137">
        <v>0.1</v>
      </c>
      <c r="P137">
        <v>0.1</v>
      </c>
      <c r="Q137">
        <v>0</v>
      </c>
      <c r="R137">
        <v>0.05</v>
      </c>
      <c r="S137">
        <v>0.05</v>
      </c>
      <c r="T137">
        <v>3500</v>
      </c>
      <c r="U137" t="s">
        <v>94</v>
      </c>
      <c r="V137">
        <v>2</v>
      </c>
      <c r="W137">
        <v>1</v>
      </c>
      <c r="X137">
        <v>3</v>
      </c>
      <c r="Y137">
        <v>4</v>
      </c>
      <c r="Z137">
        <v>3</v>
      </c>
      <c r="AA137">
        <v>2</v>
      </c>
      <c r="AB137">
        <v>3</v>
      </c>
      <c r="AC137">
        <v>3</v>
      </c>
      <c r="AD137">
        <v>2</v>
      </c>
      <c r="AE137" s="6">
        <v>0.19047619047619047</v>
      </c>
      <c r="AF137" s="6">
        <v>0.47916666666666657</v>
      </c>
      <c r="AG137" s="6">
        <v>9.1269841269841251E-2</v>
      </c>
      <c r="AH137">
        <v>0</v>
      </c>
    </row>
    <row r="138" spans="1:34">
      <c r="A138" t="s">
        <v>223</v>
      </c>
      <c r="B138" t="s">
        <v>215</v>
      </c>
      <c r="C138">
        <v>353851</v>
      </c>
      <c r="D138">
        <v>6471</v>
      </c>
      <c r="E138">
        <v>4003.4646790787765</v>
      </c>
      <c r="F138">
        <v>38500</v>
      </c>
      <c r="G138">
        <v>4618.1501085536829</v>
      </c>
      <c r="H138">
        <v>13680.668602157461</v>
      </c>
      <c r="I138">
        <v>41108.400000000001</v>
      </c>
      <c r="J138">
        <v>4377.8139526903869</v>
      </c>
      <c r="K138">
        <v>4788.2340107551108</v>
      </c>
      <c r="L138">
        <v>0.1</v>
      </c>
      <c r="M138">
        <v>0.05</v>
      </c>
      <c r="N138">
        <v>0.55000000000000004</v>
      </c>
      <c r="O138">
        <v>0.05</v>
      </c>
      <c r="P138">
        <v>0.2</v>
      </c>
      <c r="Q138">
        <v>0.60000000000000009</v>
      </c>
      <c r="R138">
        <v>0.05</v>
      </c>
      <c r="S138">
        <v>0.05</v>
      </c>
      <c r="T138">
        <v>41108.400000000001</v>
      </c>
      <c r="U138" t="s">
        <v>97</v>
      </c>
      <c r="V138">
        <v>3</v>
      </c>
      <c r="W138">
        <v>2</v>
      </c>
      <c r="X138">
        <v>3</v>
      </c>
      <c r="Y138">
        <v>3</v>
      </c>
      <c r="Z138">
        <v>3</v>
      </c>
      <c r="AA138">
        <v>2</v>
      </c>
      <c r="AB138">
        <v>3</v>
      </c>
      <c r="AC138">
        <v>3</v>
      </c>
      <c r="AD138">
        <v>3</v>
      </c>
      <c r="AE138" s="6">
        <v>0.21945701357466063</v>
      </c>
      <c r="AF138" s="6">
        <v>0.40836197021764042</v>
      </c>
      <c r="AG138" s="6">
        <v>8.9617898441427882E-2</v>
      </c>
      <c r="AH138">
        <v>0</v>
      </c>
    </row>
    <row r="139" spans="1:34">
      <c r="A139" t="s">
        <v>480</v>
      </c>
      <c r="B139" t="s">
        <v>171</v>
      </c>
      <c r="C139">
        <v>37944</v>
      </c>
      <c r="D139">
        <v>95637</v>
      </c>
      <c r="E139">
        <v>32923.262776657502</v>
      </c>
      <c r="F139">
        <v>224074.23</v>
      </c>
      <c r="G139">
        <v>89542.975049871617</v>
      </c>
      <c r="H139">
        <v>146863.50970875725</v>
      </c>
      <c r="I139">
        <v>276255.90000000002</v>
      </c>
      <c r="J139">
        <v>46996.323106802316</v>
      </c>
      <c r="K139">
        <v>51402.228398065039</v>
      </c>
      <c r="L139">
        <v>0.15000000000000002</v>
      </c>
      <c r="M139">
        <v>0.05</v>
      </c>
      <c r="N139">
        <v>0.35000000000000003</v>
      </c>
      <c r="O139">
        <v>0.15000000000000002</v>
      </c>
      <c r="P139">
        <v>0.25</v>
      </c>
      <c r="Q139">
        <v>0.45</v>
      </c>
      <c r="R139">
        <v>0.1</v>
      </c>
      <c r="S139">
        <v>0.1</v>
      </c>
      <c r="T139">
        <v>276255.90000000002</v>
      </c>
      <c r="U139" t="s">
        <v>97</v>
      </c>
      <c r="V139">
        <v>3</v>
      </c>
      <c r="W139">
        <v>2</v>
      </c>
      <c r="X139">
        <v>4</v>
      </c>
      <c r="Y139">
        <v>3</v>
      </c>
      <c r="Z139">
        <v>4</v>
      </c>
      <c r="AA139">
        <v>2</v>
      </c>
      <c r="AB139">
        <v>4</v>
      </c>
      <c r="AC139">
        <v>4</v>
      </c>
      <c r="AD139">
        <v>3</v>
      </c>
      <c r="AE139" s="6">
        <v>0.22222222222222221</v>
      </c>
      <c r="AF139" s="6">
        <v>0.40277777777777773</v>
      </c>
      <c r="AG139" s="6">
        <v>8.9506172839506154E-2</v>
      </c>
      <c r="AH139">
        <v>0</v>
      </c>
    </row>
    <row r="140" spans="1:34">
      <c r="A140" t="s">
        <v>738</v>
      </c>
      <c r="B140" t="s">
        <v>350</v>
      </c>
      <c r="C140">
        <v>446757</v>
      </c>
      <c r="D140">
        <v>137605</v>
      </c>
      <c r="E140">
        <v>27277.488562299386</v>
      </c>
      <c r="F140">
        <v>166747.69500000001</v>
      </c>
      <c r="G140">
        <v>78557.706051057874</v>
      </c>
      <c r="H140">
        <v>108885.14712379516</v>
      </c>
      <c r="I140">
        <v>61673.805</v>
      </c>
      <c r="J140">
        <v>34843.247079614448</v>
      </c>
      <c r="K140">
        <v>38109.801493328305</v>
      </c>
      <c r="L140">
        <v>0.30000000000000004</v>
      </c>
      <c r="M140">
        <v>0.05</v>
      </c>
      <c r="N140">
        <v>0.35000000000000003</v>
      </c>
      <c r="O140">
        <v>0.15000000000000002</v>
      </c>
      <c r="P140">
        <v>0.25</v>
      </c>
      <c r="Q140">
        <v>0.15000000000000002</v>
      </c>
      <c r="R140">
        <v>0.1</v>
      </c>
      <c r="S140">
        <v>0.1</v>
      </c>
      <c r="T140">
        <v>166747.69500000001</v>
      </c>
      <c r="U140" t="s">
        <v>94</v>
      </c>
      <c r="V140">
        <v>3</v>
      </c>
      <c r="W140">
        <v>2</v>
      </c>
      <c r="X140">
        <v>3</v>
      </c>
      <c r="Y140">
        <v>4</v>
      </c>
      <c r="Z140">
        <v>4</v>
      </c>
      <c r="AA140">
        <v>3</v>
      </c>
      <c r="AB140">
        <v>4</v>
      </c>
      <c r="AC140">
        <v>4</v>
      </c>
      <c r="AD140">
        <v>3</v>
      </c>
      <c r="AE140" s="6">
        <v>0.17710196779964221</v>
      </c>
      <c r="AF140" s="6">
        <v>0.499438832772166</v>
      </c>
      <c r="AG140" s="6">
        <v>8.8451600079507031E-2</v>
      </c>
      <c r="AH140">
        <v>0</v>
      </c>
    </row>
    <row r="141" spans="1:34">
      <c r="A141" t="s">
        <v>222</v>
      </c>
      <c r="B141" t="s">
        <v>221</v>
      </c>
      <c r="C141">
        <v>23727</v>
      </c>
      <c r="D141">
        <v>146423</v>
      </c>
      <c r="E141">
        <v>55309.995561158947</v>
      </c>
      <c r="F141">
        <v>263785.86499999999</v>
      </c>
      <c r="G141">
        <v>84391.477761359143</v>
      </c>
      <c r="H141">
        <v>173168.10367716607</v>
      </c>
      <c r="I141">
        <v>325215.45</v>
      </c>
      <c r="J141">
        <v>55586.961280370306</v>
      </c>
      <c r="K141">
        <v>60608.836287008126</v>
      </c>
      <c r="L141">
        <v>0.2</v>
      </c>
      <c r="M141">
        <v>0.1</v>
      </c>
      <c r="N141">
        <v>0.35000000000000003</v>
      </c>
      <c r="O141">
        <v>0.1</v>
      </c>
      <c r="P141">
        <v>0.25</v>
      </c>
      <c r="Q141">
        <v>0.45</v>
      </c>
      <c r="R141">
        <v>0.1</v>
      </c>
      <c r="S141">
        <v>0.1</v>
      </c>
      <c r="T141">
        <v>325215.45</v>
      </c>
      <c r="U141" t="s">
        <v>97</v>
      </c>
      <c r="V141">
        <v>3</v>
      </c>
      <c r="W141">
        <v>2</v>
      </c>
      <c r="X141">
        <v>4</v>
      </c>
      <c r="Y141">
        <v>3</v>
      </c>
      <c r="Z141">
        <v>1</v>
      </c>
      <c r="AA141">
        <v>2</v>
      </c>
      <c r="AB141">
        <v>1</v>
      </c>
      <c r="AC141">
        <v>1</v>
      </c>
      <c r="AD141">
        <v>2</v>
      </c>
      <c r="AE141" s="6">
        <v>0.26315789473684209</v>
      </c>
      <c r="AF141" s="6">
        <v>0.33333333333333331</v>
      </c>
      <c r="AG141" s="6">
        <v>8.771929824561403E-2</v>
      </c>
      <c r="AH141">
        <v>0</v>
      </c>
    </row>
    <row r="142" spans="1:34">
      <c r="A142" t="s">
        <v>361</v>
      </c>
      <c r="B142" t="s">
        <v>209</v>
      </c>
      <c r="C142">
        <v>33210</v>
      </c>
      <c r="D142">
        <v>11256</v>
      </c>
      <c r="E142">
        <v>1890.2845536139289</v>
      </c>
      <c r="F142">
        <v>12326.05</v>
      </c>
      <c r="G142">
        <v>3419.9121158152179</v>
      </c>
      <c r="H142">
        <v>7511.3132949700503</v>
      </c>
      <c r="I142">
        <v>0</v>
      </c>
      <c r="J142">
        <v>2403.620254390416</v>
      </c>
      <c r="K142">
        <v>2628.9596532395171</v>
      </c>
      <c r="L142">
        <v>0.35000000000000003</v>
      </c>
      <c r="M142">
        <v>0.05</v>
      </c>
      <c r="N142">
        <v>0.35000000000000003</v>
      </c>
      <c r="O142">
        <v>0.1</v>
      </c>
      <c r="P142">
        <v>0.2</v>
      </c>
      <c r="Q142">
        <v>0</v>
      </c>
      <c r="R142">
        <v>0.05</v>
      </c>
      <c r="S142">
        <v>0.1</v>
      </c>
      <c r="T142">
        <v>12326.05</v>
      </c>
      <c r="U142" t="s">
        <v>94</v>
      </c>
      <c r="V142">
        <v>2</v>
      </c>
      <c r="W142">
        <v>1</v>
      </c>
      <c r="X142">
        <v>3</v>
      </c>
      <c r="Y142">
        <v>3</v>
      </c>
      <c r="Z142">
        <v>4</v>
      </c>
      <c r="AA142">
        <v>3</v>
      </c>
      <c r="AB142">
        <v>4</v>
      </c>
      <c r="AC142">
        <v>4</v>
      </c>
      <c r="AD142">
        <v>3</v>
      </c>
      <c r="AE142" s="6">
        <v>0.1951219512195122</v>
      </c>
      <c r="AF142" s="6">
        <v>0.44444444444444431</v>
      </c>
      <c r="AG142" s="6">
        <v>8.6720867208672059E-2</v>
      </c>
      <c r="AH142">
        <v>0</v>
      </c>
    </row>
    <row r="143" spans="1:34">
      <c r="A143" t="s">
        <v>326</v>
      </c>
      <c r="B143" t="s">
        <v>325</v>
      </c>
      <c r="C143">
        <v>239444</v>
      </c>
      <c r="D143">
        <v>3335</v>
      </c>
      <c r="E143">
        <v>2597.1737913962606</v>
      </c>
      <c r="F143">
        <v>15518.705</v>
      </c>
      <c r="G143">
        <v>2855.8989631766344</v>
      </c>
      <c r="H143">
        <v>8479.497306235935</v>
      </c>
      <c r="I143">
        <v>25510.2</v>
      </c>
      <c r="J143">
        <v>2713.4391379954991</v>
      </c>
      <c r="K143">
        <v>2967.8240571825777</v>
      </c>
      <c r="L143">
        <v>0.1</v>
      </c>
      <c r="M143">
        <v>0.05</v>
      </c>
      <c r="N143">
        <v>0.35000000000000003</v>
      </c>
      <c r="O143">
        <v>0.05</v>
      </c>
      <c r="P143">
        <v>0.2</v>
      </c>
      <c r="Q143">
        <v>0.60000000000000009</v>
      </c>
      <c r="R143">
        <v>0.05</v>
      </c>
      <c r="S143">
        <v>0.05</v>
      </c>
      <c r="T143">
        <v>25510.2</v>
      </c>
      <c r="U143" t="s">
        <v>97</v>
      </c>
      <c r="V143">
        <v>3</v>
      </c>
      <c r="W143">
        <v>1</v>
      </c>
      <c r="X143">
        <v>3</v>
      </c>
      <c r="Y143">
        <v>4</v>
      </c>
      <c r="Z143">
        <v>4</v>
      </c>
      <c r="AA143">
        <v>4</v>
      </c>
      <c r="AB143">
        <v>4</v>
      </c>
      <c r="AC143">
        <v>4</v>
      </c>
      <c r="AD143">
        <v>3</v>
      </c>
      <c r="AE143" s="6">
        <v>0.17073170731707318</v>
      </c>
      <c r="AF143" s="6">
        <v>0.50396825396825373</v>
      </c>
      <c r="AG143" s="6">
        <v>8.6043360433604305E-2</v>
      </c>
      <c r="AH143">
        <v>0</v>
      </c>
    </row>
    <row r="144" spans="1:34">
      <c r="A144" t="s">
        <v>545</v>
      </c>
      <c r="B144" t="s">
        <v>544</v>
      </c>
      <c r="C144">
        <v>192644</v>
      </c>
      <c r="D144">
        <v>72468</v>
      </c>
      <c r="E144">
        <v>6790.738386966309</v>
      </c>
      <c r="F144">
        <v>66126.684999999998</v>
      </c>
      <c r="G144">
        <v>15418.335225793078</v>
      </c>
      <c r="H144">
        <v>34376.943426067759</v>
      </c>
      <c r="I144">
        <v>0</v>
      </c>
      <c r="J144">
        <v>11000.621896341683</v>
      </c>
      <c r="K144">
        <v>12031.930199123717</v>
      </c>
      <c r="L144">
        <v>0.4</v>
      </c>
      <c r="M144">
        <v>0.05</v>
      </c>
      <c r="N144">
        <v>0.35000000000000003</v>
      </c>
      <c r="O144">
        <v>0.1</v>
      </c>
      <c r="P144">
        <v>0.2</v>
      </c>
      <c r="Q144">
        <v>0</v>
      </c>
      <c r="R144">
        <v>0.05</v>
      </c>
      <c r="S144">
        <v>0.05</v>
      </c>
      <c r="T144">
        <v>72468</v>
      </c>
      <c r="U144" t="s">
        <v>92</v>
      </c>
      <c r="V144">
        <v>4</v>
      </c>
      <c r="W144">
        <v>2</v>
      </c>
      <c r="X144">
        <v>3</v>
      </c>
      <c r="Y144">
        <v>3</v>
      </c>
      <c r="Z144">
        <v>2</v>
      </c>
      <c r="AA144">
        <v>2</v>
      </c>
      <c r="AB144">
        <v>2</v>
      </c>
      <c r="AC144">
        <v>2</v>
      </c>
      <c r="AD144">
        <v>2</v>
      </c>
      <c r="AE144" s="6">
        <v>0.2413793103448276</v>
      </c>
      <c r="AF144" s="6">
        <v>0.35260770975056693</v>
      </c>
      <c r="AG144" s="6">
        <v>8.5112205801860991E-2</v>
      </c>
      <c r="AH144">
        <v>0</v>
      </c>
    </row>
    <row r="145" spans="1:34">
      <c r="A145" t="s">
        <v>488</v>
      </c>
      <c r="B145" t="s">
        <v>203</v>
      </c>
      <c r="C145">
        <v>600351</v>
      </c>
      <c r="D145">
        <v>3365</v>
      </c>
      <c r="E145">
        <v>903.27898301169591</v>
      </c>
      <c r="F145">
        <v>10000</v>
      </c>
      <c r="G145">
        <v>246.88168184300008</v>
      </c>
      <c r="H145">
        <v>2419.4013717027783</v>
      </c>
      <c r="I145">
        <v>0</v>
      </c>
      <c r="J145">
        <v>774.20843894488905</v>
      </c>
      <c r="K145">
        <v>846.79048009597227</v>
      </c>
      <c r="L145">
        <v>0.30000000000000004</v>
      </c>
      <c r="M145">
        <v>0.05</v>
      </c>
      <c r="N145">
        <v>0.85000000000000009</v>
      </c>
      <c r="O145">
        <v>0</v>
      </c>
      <c r="P145">
        <v>0.2</v>
      </c>
      <c r="Q145">
        <v>0</v>
      </c>
      <c r="R145">
        <v>0.05</v>
      </c>
      <c r="S145">
        <v>0.05</v>
      </c>
      <c r="T145">
        <v>10000</v>
      </c>
      <c r="U145" t="s">
        <v>94</v>
      </c>
      <c r="V145">
        <v>2</v>
      </c>
      <c r="W145">
        <v>3</v>
      </c>
      <c r="X145">
        <v>3</v>
      </c>
      <c r="Y145">
        <v>4</v>
      </c>
      <c r="Z145">
        <v>4</v>
      </c>
      <c r="AA145">
        <v>3</v>
      </c>
      <c r="AB145">
        <v>4</v>
      </c>
      <c r="AC145">
        <v>4</v>
      </c>
      <c r="AD145">
        <v>3</v>
      </c>
      <c r="AE145" s="6">
        <v>0.15789473684210525</v>
      </c>
      <c r="AF145" s="6">
        <v>0.53262786596119915</v>
      </c>
      <c r="AG145" s="6">
        <v>8.4099136730715646E-2</v>
      </c>
      <c r="AH145">
        <v>1</v>
      </c>
    </row>
    <row r="146" spans="1:34">
      <c r="A146" t="s">
        <v>732</v>
      </c>
      <c r="B146" t="s">
        <v>731</v>
      </c>
      <c r="C146">
        <v>1459448</v>
      </c>
      <c r="D146">
        <v>236854</v>
      </c>
      <c r="E146">
        <v>74440.982456016151</v>
      </c>
      <c r="F146">
        <v>544725.63500000001</v>
      </c>
      <c r="G146">
        <v>276989.54409941752</v>
      </c>
      <c r="H146">
        <v>355702.25368979014</v>
      </c>
      <c r="I146">
        <v>201473.86500000002</v>
      </c>
      <c r="J146">
        <v>114180.42343442264</v>
      </c>
      <c r="K146">
        <v>124495.78879142654</v>
      </c>
      <c r="L146">
        <v>0.15000000000000002</v>
      </c>
      <c r="M146">
        <v>0.05</v>
      </c>
      <c r="N146">
        <v>0.35000000000000003</v>
      </c>
      <c r="O146">
        <v>0.2</v>
      </c>
      <c r="P146">
        <v>0.25</v>
      </c>
      <c r="Q146">
        <v>0.15000000000000002</v>
      </c>
      <c r="R146">
        <v>0.1</v>
      </c>
      <c r="S146">
        <v>0.1</v>
      </c>
      <c r="T146">
        <v>544725.63500000001</v>
      </c>
      <c r="U146" t="s">
        <v>94</v>
      </c>
      <c r="V146">
        <v>3</v>
      </c>
      <c r="W146">
        <v>2</v>
      </c>
      <c r="X146">
        <v>3</v>
      </c>
      <c r="Y146">
        <v>4</v>
      </c>
      <c r="Z146">
        <v>4</v>
      </c>
      <c r="AA146">
        <v>3</v>
      </c>
      <c r="AB146">
        <v>4</v>
      </c>
      <c r="AC146">
        <v>4</v>
      </c>
      <c r="AD146">
        <v>3</v>
      </c>
      <c r="AE146" s="6">
        <v>0.23180592991913745</v>
      </c>
      <c r="AF146" s="6">
        <v>0.36085271317829454</v>
      </c>
      <c r="AG146" s="6">
        <v>8.3647798742138346E-2</v>
      </c>
      <c r="AH146">
        <v>0</v>
      </c>
    </row>
    <row r="147" spans="1:34">
      <c r="A147" t="s">
        <v>635</v>
      </c>
      <c r="B147" t="s">
        <v>203</v>
      </c>
      <c r="C147">
        <v>7320</v>
      </c>
      <c r="D147">
        <v>939</v>
      </c>
      <c r="E147">
        <v>511.81434141098032</v>
      </c>
      <c r="F147">
        <v>8300</v>
      </c>
      <c r="G147">
        <v>754.88110316700897</v>
      </c>
      <c r="H147">
        <v>1818.061279817965</v>
      </c>
      <c r="I147">
        <v>0</v>
      </c>
      <c r="J147">
        <v>581.77960954174887</v>
      </c>
      <c r="K147">
        <v>636.32144793628777</v>
      </c>
      <c r="L147">
        <v>0.05</v>
      </c>
      <c r="M147">
        <v>0.05</v>
      </c>
      <c r="N147">
        <v>0.55000000000000004</v>
      </c>
      <c r="O147">
        <v>0.05</v>
      </c>
      <c r="P147">
        <v>0.1</v>
      </c>
      <c r="Q147">
        <v>0</v>
      </c>
      <c r="R147">
        <v>0.05</v>
      </c>
      <c r="S147">
        <v>0.05</v>
      </c>
      <c r="T147">
        <v>8300</v>
      </c>
      <c r="U147" t="s">
        <v>94</v>
      </c>
      <c r="V147">
        <v>1</v>
      </c>
      <c r="W147">
        <v>1</v>
      </c>
      <c r="X147">
        <v>3</v>
      </c>
      <c r="Y147">
        <v>3</v>
      </c>
      <c r="Z147">
        <v>2</v>
      </c>
      <c r="AA147">
        <v>1</v>
      </c>
      <c r="AB147">
        <v>2</v>
      </c>
      <c r="AC147">
        <v>2</v>
      </c>
      <c r="AD147">
        <v>1</v>
      </c>
      <c r="AE147" s="6">
        <v>0.25</v>
      </c>
      <c r="AF147" s="6">
        <v>0.33333333333333331</v>
      </c>
      <c r="AG147" s="6">
        <v>8.3333333333333329E-2</v>
      </c>
      <c r="AH147">
        <v>0</v>
      </c>
    </row>
    <row r="148" spans="1:34">
      <c r="A148" t="s">
        <v>108</v>
      </c>
      <c r="B148" t="s">
        <v>107</v>
      </c>
      <c r="C148">
        <v>9169</v>
      </c>
      <c r="D148">
        <v>62744</v>
      </c>
      <c r="E148">
        <v>8020.9941589526334</v>
      </c>
      <c r="F148">
        <v>91340.52</v>
      </c>
      <c r="G148">
        <v>24428.471891261637</v>
      </c>
      <c r="H148">
        <v>59729.037389099947</v>
      </c>
      <c r="I148">
        <v>0</v>
      </c>
      <c r="J148">
        <v>19113.291964511984</v>
      </c>
      <c r="K148">
        <v>20905.163086184981</v>
      </c>
      <c r="L148">
        <v>0.25</v>
      </c>
      <c r="M148">
        <v>0.05</v>
      </c>
      <c r="N148">
        <v>0.35000000000000003</v>
      </c>
      <c r="O148">
        <v>0.1</v>
      </c>
      <c r="P148">
        <v>0.25</v>
      </c>
      <c r="Q148">
        <v>0</v>
      </c>
      <c r="R148">
        <v>0.1</v>
      </c>
      <c r="S148">
        <v>0.1</v>
      </c>
      <c r="T148">
        <v>91340.52</v>
      </c>
      <c r="U148" t="s">
        <v>94</v>
      </c>
      <c r="V148">
        <v>3</v>
      </c>
      <c r="W148">
        <v>2</v>
      </c>
      <c r="X148">
        <v>4</v>
      </c>
      <c r="Y148">
        <v>3</v>
      </c>
      <c r="Z148">
        <v>4</v>
      </c>
      <c r="AA148">
        <v>4</v>
      </c>
      <c r="AB148">
        <v>4</v>
      </c>
      <c r="AC148">
        <v>4</v>
      </c>
      <c r="AD148">
        <v>3</v>
      </c>
      <c r="AE148" s="6">
        <v>0.18518518518518517</v>
      </c>
      <c r="AF148" s="6">
        <v>0.44444444444444431</v>
      </c>
      <c r="AG148" s="6">
        <v>8.2304526748971166E-2</v>
      </c>
      <c r="AH148">
        <v>0</v>
      </c>
    </row>
    <row r="149" spans="1:34">
      <c r="A149" t="s">
        <v>565</v>
      </c>
      <c r="B149" t="s">
        <v>237</v>
      </c>
      <c r="C149">
        <v>25652</v>
      </c>
      <c r="D149">
        <v>28066</v>
      </c>
      <c r="E149">
        <v>13156.614991851757</v>
      </c>
      <c r="F149">
        <v>51805.18</v>
      </c>
      <c r="G149">
        <v>10767.604768487316</v>
      </c>
      <c r="H149">
        <v>33976.424893455449</v>
      </c>
      <c r="I149">
        <v>85159.2</v>
      </c>
      <c r="J149">
        <v>10872.455965905743</v>
      </c>
      <c r="K149">
        <v>11891.748712709406</v>
      </c>
      <c r="L149">
        <v>0.2</v>
      </c>
      <c r="M149">
        <v>0.1</v>
      </c>
      <c r="N149">
        <v>0.35000000000000003</v>
      </c>
      <c r="O149">
        <v>0.1</v>
      </c>
      <c r="P149">
        <v>0.25</v>
      </c>
      <c r="Q149">
        <v>0.60000000000000009</v>
      </c>
      <c r="R149">
        <v>0.1</v>
      </c>
      <c r="S149">
        <v>0.1</v>
      </c>
      <c r="T149">
        <v>85159.2</v>
      </c>
      <c r="U149" t="s">
        <v>97</v>
      </c>
      <c r="V149">
        <v>4</v>
      </c>
      <c r="W149">
        <v>2</v>
      </c>
      <c r="X149">
        <v>4</v>
      </c>
      <c r="Y149">
        <v>3</v>
      </c>
      <c r="Z149">
        <v>3</v>
      </c>
      <c r="AA149">
        <v>3</v>
      </c>
      <c r="AB149">
        <v>3</v>
      </c>
      <c r="AC149">
        <v>3</v>
      </c>
      <c r="AD149">
        <v>3</v>
      </c>
      <c r="AE149" s="6">
        <v>0.24444444444444444</v>
      </c>
      <c r="AF149" s="6">
        <v>0.33333333333333326</v>
      </c>
      <c r="AG149" s="6">
        <v>8.148148148148146E-2</v>
      </c>
      <c r="AH149">
        <v>0</v>
      </c>
    </row>
    <row r="150" spans="1:34">
      <c r="A150" t="s">
        <v>187</v>
      </c>
      <c r="B150" t="s">
        <v>186</v>
      </c>
      <c r="C150">
        <v>32981</v>
      </c>
      <c r="D150">
        <v>3017</v>
      </c>
      <c r="E150">
        <v>408.07836554268766</v>
      </c>
      <c r="F150">
        <v>6300</v>
      </c>
      <c r="G150">
        <v>625.55238667151411</v>
      </c>
      <c r="H150">
        <v>2888.9530504494292</v>
      </c>
      <c r="I150">
        <v>0</v>
      </c>
      <c r="J150">
        <v>924.46497614381735</v>
      </c>
      <c r="K150">
        <v>1011.1335676573002</v>
      </c>
      <c r="L150">
        <v>0.2</v>
      </c>
      <c r="M150">
        <v>0.05</v>
      </c>
      <c r="N150">
        <v>0.45</v>
      </c>
      <c r="O150">
        <v>0.05</v>
      </c>
      <c r="P150">
        <v>0.2</v>
      </c>
      <c r="Q150">
        <v>0</v>
      </c>
      <c r="R150">
        <v>0.05</v>
      </c>
      <c r="S150">
        <v>0.05</v>
      </c>
      <c r="T150">
        <v>6300</v>
      </c>
      <c r="U150" t="s">
        <v>94</v>
      </c>
      <c r="V150">
        <v>2</v>
      </c>
      <c r="W150">
        <v>1</v>
      </c>
      <c r="X150">
        <v>3</v>
      </c>
      <c r="Y150">
        <v>3</v>
      </c>
      <c r="Z150">
        <v>3</v>
      </c>
      <c r="AA150">
        <v>3</v>
      </c>
      <c r="AB150">
        <v>3</v>
      </c>
      <c r="AC150">
        <v>3</v>
      </c>
      <c r="AD150">
        <v>3</v>
      </c>
      <c r="AE150" s="6">
        <v>0.14814814814814814</v>
      </c>
      <c r="AF150" s="6">
        <v>0.54861111111111094</v>
      </c>
      <c r="AG150" s="6">
        <v>8.1275720164609017E-2</v>
      </c>
      <c r="AH150">
        <v>0</v>
      </c>
    </row>
    <row r="151" spans="1:34">
      <c r="A151" t="s">
        <v>245</v>
      </c>
      <c r="B151" t="s">
        <v>244</v>
      </c>
      <c r="C151">
        <v>21769</v>
      </c>
      <c r="D151">
        <v>6633</v>
      </c>
      <c r="E151">
        <v>2740.1407555150554</v>
      </c>
      <c r="F151">
        <v>18115.314999999999</v>
      </c>
      <c r="G151">
        <v>6869.3296573939679</v>
      </c>
      <c r="H151">
        <v>9858.3672104852449</v>
      </c>
      <c r="I151">
        <v>0</v>
      </c>
      <c r="J151">
        <v>3164.5358745657636</v>
      </c>
      <c r="K151">
        <v>3450.4285236698356</v>
      </c>
      <c r="L151">
        <v>0.15000000000000002</v>
      </c>
      <c r="M151">
        <v>0.05</v>
      </c>
      <c r="N151">
        <v>0.35000000000000003</v>
      </c>
      <c r="O151">
        <v>0.15000000000000002</v>
      </c>
      <c r="P151">
        <v>0.2</v>
      </c>
      <c r="Q151">
        <v>0</v>
      </c>
      <c r="R151">
        <v>0.05</v>
      </c>
      <c r="S151">
        <v>0.05</v>
      </c>
      <c r="T151">
        <v>18115.314999999999</v>
      </c>
      <c r="U151" t="s">
        <v>94</v>
      </c>
      <c r="V151">
        <v>4</v>
      </c>
      <c r="W151">
        <v>3</v>
      </c>
      <c r="X151">
        <v>4</v>
      </c>
      <c r="Y151">
        <v>4</v>
      </c>
      <c r="Z151">
        <v>5</v>
      </c>
      <c r="AA151">
        <v>5</v>
      </c>
      <c r="AB151">
        <v>5</v>
      </c>
      <c r="AC151">
        <v>5</v>
      </c>
      <c r="AD151">
        <v>5</v>
      </c>
      <c r="AE151" s="6">
        <v>0.23684210526315788</v>
      </c>
      <c r="AF151" s="6">
        <v>0.33333333333333331</v>
      </c>
      <c r="AG151" s="6">
        <v>7.8947368421052627E-2</v>
      </c>
      <c r="AH151">
        <v>0</v>
      </c>
    </row>
    <row r="152" spans="1:34">
      <c r="A152" t="s">
        <v>170</v>
      </c>
      <c r="B152" t="s">
        <v>169</v>
      </c>
      <c r="C152">
        <v>27542</v>
      </c>
      <c r="D152">
        <v>3248</v>
      </c>
      <c r="E152">
        <v>3566.8624968842641</v>
      </c>
      <c r="F152">
        <v>42683.1</v>
      </c>
      <c r="G152">
        <v>14318.871194062362</v>
      </c>
      <c r="H152">
        <v>23329.477917240263</v>
      </c>
      <c r="I152">
        <v>0</v>
      </c>
      <c r="J152">
        <v>7488.7624114341252</v>
      </c>
      <c r="K152">
        <v>8165.3172710340914</v>
      </c>
      <c r="L152">
        <v>0.05</v>
      </c>
      <c r="M152">
        <v>0.05</v>
      </c>
      <c r="N152">
        <v>0.35000000000000003</v>
      </c>
      <c r="O152">
        <v>0.1</v>
      </c>
      <c r="P152">
        <v>0.2</v>
      </c>
      <c r="Q152">
        <v>0</v>
      </c>
      <c r="R152">
        <v>0.05</v>
      </c>
      <c r="S152">
        <v>0.05</v>
      </c>
      <c r="T152">
        <v>42683.1</v>
      </c>
      <c r="U152" t="s">
        <v>94</v>
      </c>
      <c r="V152">
        <v>4</v>
      </c>
      <c r="W152">
        <v>2</v>
      </c>
      <c r="X152">
        <v>3</v>
      </c>
      <c r="Y152">
        <v>3</v>
      </c>
      <c r="Z152">
        <v>4</v>
      </c>
      <c r="AA152">
        <v>4</v>
      </c>
      <c r="AB152">
        <v>4</v>
      </c>
      <c r="AC152">
        <v>4</v>
      </c>
      <c r="AD152">
        <v>3</v>
      </c>
      <c r="AE152" s="6">
        <v>0.22105263157894736</v>
      </c>
      <c r="AF152" s="6">
        <v>0.3571428571428571</v>
      </c>
      <c r="AG152" s="6">
        <v>7.8947368421052613E-2</v>
      </c>
      <c r="AH152">
        <v>0</v>
      </c>
    </row>
    <row r="153" spans="1:34">
      <c r="A153" t="s">
        <v>348</v>
      </c>
      <c r="B153" t="s">
        <v>347</v>
      </c>
      <c r="C153">
        <v>13725</v>
      </c>
      <c r="D153">
        <v>2669</v>
      </c>
      <c r="E153">
        <v>623.97613362068967</v>
      </c>
      <c r="F153">
        <v>8400</v>
      </c>
      <c r="G153">
        <v>526.55138078333516</v>
      </c>
      <c r="H153">
        <v>3832.3171540256176</v>
      </c>
      <c r="I153">
        <v>9607.7999999999993</v>
      </c>
      <c r="J153">
        <v>1230.1738064422234</v>
      </c>
      <c r="K153">
        <v>1341.3110039089661</v>
      </c>
      <c r="L153">
        <v>0.15000000000000002</v>
      </c>
      <c r="M153">
        <v>0.05</v>
      </c>
      <c r="N153">
        <v>0.5</v>
      </c>
      <c r="O153">
        <v>0.05</v>
      </c>
      <c r="P153">
        <v>0.25</v>
      </c>
      <c r="Q153">
        <v>0.60000000000000009</v>
      </c>
      <c r="R153">
        <v>0.1</v>
      </c>
      <c r="S153">
        <v>0.1</v>
      </c>
      <c r="T153">
        <v>9607.7999999999993</v>
      </c>
      <c r="U153" t="s">
        <v>97</v>
      </c>
      <c r="V153">
        <v>2</v>
      </c>
      <c r="W153">
        <v>2</v>
      </c>
      <c r="X153">
        <v>3</v>
      </c>
      <c r="Y153">
        <v>3</v>
      </c>
      <c r="Z153">
        <v>3</v>
      </c>
      <c r="AA153">
        <v>3</v>
      </c>
      <c r="AB153">
        <v>3</v>
      </c>
      <c r="AC153">
        <v>3</v>
      </c>
      <c r="AD153">
        <v>3</v>
      </c>
      <c r="AE153" s="6">
        <v>0.23529411764705882</v>
      </c>
      <c r="AF153" s="6">
        <v>0.33333333333333331</v>
      </c>
      <c r="AG153" s="6">
        <v>7.8431372549019607E-2</v>
      </c>
      <c r="AH153">
        <v>0</v>
      </c>
    </row>
    <row r="154" spans="1:34">
      <c r="A154" t="s">
        <v>333</v>
      </c>
      <c r="B154" t="s">
        <v>316</v>
      </c>
      <c r="C154">
        <v>46215</v>
      </c>
      <c r="D154">
        <v>1025</v>
      </c>
      <c r="E154">
        <v>257.8809837219161</v>
      </c>
      <c r="F154">
        <v>2800</v>
      </c>
      <c r="G154">
        <v>966.93994402349165</v>
      </c>
      <c r="H154">
        <v>1443.131982687471</v>
      </c>
      <c r="I154">
        <v>0</v>
      </c>
      <c r="J154">
        <v>463.24536644267823</v>
      </c>
      <c r="K154">
        <v>505.09619394061485</v>
      </c>
      <c r="L154">
        <v>0.15000000000000002</v>
      </c>
      <c r="M154">
        <v>0.05</v>
      </c>
      <c r="N154">
        <v>0.4</v>
      </c>
      <c r="O154">
        <v>0.15000000000000002</v>
      </c>
      <c r="P154">
        <v>0.2</v>
      </c>
      <c r="Q154">
        <v>0</v>
      </c>
      <c r="R154">
        <v>0.05</v>
      </c>
      <c r="S154">
        <v>0.05</v>
      </c>
      <c r="T154">
        <v>2800</v>
      </c>
      <c r="U154" t="s">
        <v>94</v>
      </c>
      <c r="V154">
        <v>3</v>
      </c>
      <c r="W154">
        <v>3</v>
      </c>
      <c r="X154">
        <v>3</v>
      </c>
      <c r="Y154">
        <v>3</v>
      </c>
      <c r="Z154">
        <v>3</v>
      </c>
      <c r="AA154">
        <v>4</v>
      </c>
      <c r="AB154">
        <v>3</v>
      </c>
      <c r="AC154">
        <v>3</v>
      </c>
      <c r="AD154">
        <v>3</v>
      </c>
      <c r="AE154" s="6">
        <v>0.20175438596491227</v>
      </c>
      <c r="AF154" s="6">
        <v>0.38405797101449268</v>
      </c>
      <c r="AG154" s="6">
        <v>7.7485380116959046E-2</v>
      </c>
      <c r="AH154">
        <v>0</v>
      </c>
    </row>
    <row r="155" spans="1:34">
      <c r="A155" t="s">
        <v>424</v>
      </c>
      <c r="B155" t="s">
        <v>423</v>
      </c>
      <c r="C155">
        <v>99873</v>
      </c>
      <c r="D155">
        <v>48872</v>
      </c>
      <c r="E155">
        <v>7548.0190967110184</v>
      </c>
      <c r="F155">
        <v>81194.615000000005</v>
      </c>
      <c r="G155">
        <v>29208.222446137479</v>
      </c>
      <c r="H155">
        <v>37209.959199669524</v>
      </c>
      <c r="I155">
        <v>0</v>
      </c>
      <c r="J155">
        <v>11944.396903093917</v>
      </c>
      <c r="K155">
        <v>13023.485719884333</v>
      </c>
      <c r="L155">
        <v>0.2</v>
      </c>
      <c r="M155">
        <v>0.05</v>
      </c>
      <c r="N155">
        <v>0.35000000000000003</v>
      </c>
      <c r="O155">
        <v>0.15000000000000002</v>
      </c>
      <c r="P155">
        <v>0.15000000000000002</v>
      </c>
      <c r="Q155">
        <v>0</v>
      </c>
      <c r="R155">
        <v>0.05</v>
      </c>
      <c r="S155">
        <v>0.05</v>
      </c>
      <c r="T155">
        <v>81194.615000000005</v>
      </c>
      <c r="U155" t="s">
        <v>94</v>
      </c>
      <c r="V155">
        <v>2</v>
      </c>
      <c r="W155">
        <v>1</v>
      </c>
      <c r="X155">
        <v>3</v>
      </c>
      <c r="Y155">
        <v>3</v>
      </c>
      <c r="Z155">
        <v>3</v>
      </c>
      <c r="AA155">
        <v>2</v>
      </c>
      <c r="AB155">
        <v>3</v>
      </c>
      <c r="AC155">
        <v>3</v>
      </c>
      <c r="AD155">
        <v>2</v>
      </c>
      <c r="AE155" s="6">
        <v>0.21568627450980393</v>
      </c>
      <c r="AF155" s="6">
        <v>0.35858585858585867</v>
      </c>
      <c r="AG155" s="6">
        <v>7.734204793028325E-2</v>
      </c>
      <c r="AH155">
        <v>0</v>
      </c>
    </row>
    <row r="156" spans="1:34">
      <c r="A156" t="s">
        <v>236</v>
      </c>
      <c r="B156" t="s">
        <v>235</v>
      </c>
      <c r="C156">
        <v>24142</v>
      </c>
      <c r="D156">
        <v>8130</v>
      </c>
      <c r="E156">
        <v>2832.2792786890295</v>
      </c>
      <c r="F156">
        <v>38767</v>
      </c>
      <c r="G156">
        <v>11016.833570855109</v>
      </c>
      <c r="H156">
        <v>12271.508219474423</v>
      </c>
      <c r="I156">
        <v>30728.399999999998</v>
      </c>
      <c r="J156">
        <v>3926.8826302318153</v>
      </c>
      <c r="K156">
        <v>4295.0278768160479</v>
      </c>
      <c r="L156">
        <v>0.15000000000000002</v>
      </c>
      <c r="M156">
        <v>0.05</v>
      </c>
      <c r="N156">
        <v>0.75</v>
      </c>
      <c r="O156">
        <v>0.2</v>
      </c>
      <c r="P156">
        <v>0.25</v>
      </c>
      <c r="Q156">
        <v>0.60000000000000009</v>
      </c>
      <c r="R156">
        <v>0.1</v>
      </c>
      <c r="S156">
        <v>0.1</v>
      </c>
      <c r="T156">
        <v>38767</v>
      </c>
      <c r="U156" t="s">
        <v>94</v>
      </c>
      <c r="V156">
        <v>3</v>
      </c>
      <c r="W156">
        <v>2</v>
      </c>
      <c r="X156">
        <v>3</v>
      </c>
      <c r="Y156">
        <v>3</v>
      </c>
      <c r="Z156">
        <v>1</v>
      </c>
      <c r="AA156">
        <v>2</v>
      </c>
      <c r="AB156">
        <v>1</v>
      </c>
      <c r="AC156">
        <v>1</v>
      </c>
      <c r="AD156">
        <v>2</v>
      </c>
      <c r="AE156" s="6">
        <v>0.20588235294117646</v>
      </c>
      <c r="AF156" s="6">
        <v>0.36507936507936495</v>
      </c>
      <c r="AG156" s="6">
        <v>7.5163398692810426E-2</v>
      </c>
      <c r="AH156">
        <v>0</v>
      </c>
    </row>
    <row r="157" spans="1:34">
      <c r="A157" t="s">
        <v>501</v>
      </c>
      <c r="B157" t="s">
        <v>100</v>
      </c>
      <c r="C157">
        <v>45274</v>
      </c>
      <c r="D157">
        <v>2005</v>
      </c>
      <c r="E157">
        <v>352.89594895911921</v>
      </c>
      <c r="F157">
        <v>8800</v>
      </c>
      <c r="G157">
        <v>682.39534427035653</v>
      </c>
      <c r="H157">
        <v>2402.70758211262</v>
      </c>
      <c r="I157">
        <v>0</v>
      </c>
      <c r="J157">
        <v>768.8664262760384</v>
      </c>
      <c r="K157">
        <v>840.94765373941698</v>
      </c>
      <c r="L157">
        <v>0.2</v>
      </c>
      <c r="M157">
        <v>0.05</v>
      </c>
      <c r="N157">
        <v>0.9</v>
      </c>
      <c r="O157">
        <v>0.05</v>
      </c>
      <c r="P157">
        <v>0.25</v>
      </c>
      <c r="Q157">
        <v>0</v>
      </c>
      <c r="R157">
        <v>0.1</v>
      </c>
      <c r="S157">
        <v>0.1</v>
      </c>
      <c r="T157">
        <v>8800</v>
      </c>
      <c r="U157" t="s">
        <v>94</v>
      </c>
      <c r="V157">
        <v>3</v>
      </c>
      <c r="W157">
        <v>2</v>
      </c>
      <c r="X157">
        <v>3</v>
      </c>
      <c r="Y157">
        <v>3</v>
      </c>
      <c r="Z157">
        <v>4</v>
      </c>
      <c r="AA157">
        <v>2</v>
      </c>
      <c r="AB157">
        <v>4</v>
      </c>
      <c r="AC157">
        <v>4</v>
      </c>
      <c r="AD157">
        <v>3</v>
      </c>
      <c r="AE157" s="6">
        <v>0.14864864864864866</v>
      </c>
      <c r="AF157" s="6">
        <v>0.50505050505050497</v>
      </c>
      <c r="AG157" s="6">
        <v>7.5075075075075062E-2</v>
      </c>
      <c r="AH157">
        <v>0</v>
      </c>
    </row>
    <row r="158" spans="1:34">
      <c r="A158" t="s">
        <v>631</v>
      </c>
      <c r="B158" t="s">
        <v>630</v>
      </c>
      <c r="C158">
        <v>263765</v>
      </c>
      <c r="D158">
        <v>9985</v>
      </c>
      <c r="E158">
        <v>3359.3773568367869</v>
      </c>
      <c r="F158">
        <v>18502.945</v>
      </c>
      <c r="G158">
        <v>7907.3921391003178</v>
      </c>
      <c r="H158">
        <v>10147.48094161231</v>
      </c>
      <c r="I158">
        <v>3421.7775000000001</v>
      </c>
      <c r="J158">
        <v>3257.3413822575512</v>
      </c>
      <c r="K158">
        <v>3551.6183295643077</v>
      </c>
      <c r="L158">
        <v>0.2</v>
      </c>
      <c r="M158">
        <v>0.05</v>
      </c>
      <c r="N158">
        <v>0.35000000000000003</v>
      </c>
      <c r="O158">
        <v>0.15000000000000002</v>
      </c>
      <c r="P158">
        <v>0.2</v>
      </c>
      <c r="Q158">
        <v>0.05</v>
      </c>
      <c r="R158">
        <v>0.05</v>
      </c>
      <c r="S158">
        <v>0.05</v>
      </c>
      <c r="T158">
        <v>18502.945</v>
      </c>
      <c r="U158" t="s">
        <v>94</v>
      </c>
      <c r="V158">
        <v>3</v>
      </c>
      <c r="W158">
        <v>2</v>
      </c>
      <c r="X158">
        <v>3</v>
      </c>
      <c r="Y158">
        <v>4</v>
      </c>
      <c r="Z158">
        <v>3</v>
      </c>
      <c r="AA158">
        <v>1</v>
      </c>
      <c r="AB158">
        <v>3</v>
      </c>
      <c r="AC158">
        <v>3</v>
      </c>
      <c r="AD158">
        <v>3</v>
      </c>
      <c r="AE158" s="6">
        <v>0.15498938428874734</v>
      </c>
      <c r="AF158" s="6">
        <v>0.48325722983257213</v>
      </c>
      <c r="AG158" s="6">
        <v>7.4899740504836013E-2</v>
      </c>
      <c r="AH158">
        <v>0</v>
      </c>
    </row>
    <row r="159" spans="1:34">
      <c r="A159" t="s">
        <v>289</v>
      </c>
      <c r="B159" t="s">
        <v>288</v>
      </c>
      <c r="C159">
        <v>829856</v>
      </c>
      <c r="D159">
        <v>392</v>
      </c>
      <c r="E159">
        <v>297.91205260869572</v>
      </c>
      <c r="F159">
        <v>2000</v>
      </c>
      <c r="G159">
        <v>209.70964428889977</v>
      </c>
      <c r="H159">
        <v>562.00574270415348</v>
      </c>
      <c r="I159">
        <v>1879.2</v>
      </c>
      <c r="J159">
        <v>180.40384340803325</v>
      </c>
      <c r="K159">
        <v>196.7020099464537</v>
      </c>
      <c r="L159">
        <v>0.15000000000000002</v>
      </c>
      <c r="M159">
        <v>0.15000000000000002</v>
      </c>
      <c r="N159">
        <v>0.85000000000000009</v>
      </c>
      <c r="O159">
        <v>0.1</v>
      </c>
      <c r="P159">
        <v>0.25</v>
      </c>
      <c r="Q159">
        <v>0.8</v>
      </c>
      <c r="R159">
        <v>0.1</v>
      </c>
      <c r="S159">
        <v>0.1</v>
      </c>
      <c r="T159">
        <v>2000</v>
      </c>
      <c r="U159" t="s">
        <v>94</v>
      </c>
      <c r="V159">
        <v>3</v>
      </c>
      <c r="W159">
        <v>4</v>
      </c>
      <c r="X159">
        <v>3</v>
      </c>
      <c r="Y159">
        <v>3</v>
      </c>
      <c r="Z159">
        <v>4</v>
      </c>
      <c r="AA159">
        <v>3</v>
      </c>
      <c r="AB159">
        <v>4</v>
      </c>
      <c r="AC159">
        <v>4</v>
      </c>
      <c r="AD159">
        <v>4</v>
      </c>
      <c r="AE159" s="6">
        <v>0.1621160409556314</v>
      </c>
      <c r="AF159" s="6">
        <v>0.46169590643274855</v>
      </c>
      <c r="AG159" s="6">
        <v>7.484831247629882E-2</v>
      </c>
      <c r="AH159">
        <v>1</v>
      </c>
    </row>
    <row r="160" spans="1:34">
      <c r="A160" t="s">
        <v>462</v>
      </c>
      <c r="B160" t="s">
        <v>461</v>
      </c>
      <c r="C160">
        <v>58940</v>
      </c>
      <c r="D160">
        <v>17179</v>
      </c>
      <c r="E160">
        <v>1827.1077707490199</v>
      </c>
      <c r="F160">
        <v>21705.455000000002</v>
      </c>
      <c r="G160">
        <v>10280.43031349696</v>
      </c>
      <c r="H160">
        <v>11855.220556172742</v>
      </c>
      <c r="I160">
        <v>4014.0225</v>
      </c>
      <c r="J160">
        <v>3793.6705779752774</v>
      </c>
      <c r="K160">
        <v>4149.32719466046</v>
      </c>
      <c r="L160">
        <v>0.30000000000000004</v>
      </c>
      <c r="M160">
        <v>0.05</v>
      </c>
      <c r="N160">
        <v>0.35000000000000003</v>
      </c>
      <c r="O160">
        <v>0.15000000000000002</v>
      </c>
      <c r="P160">
        <v>0.2</v>
      </c>
      <c r="Q160">
        <v>0.05</v>
      </c>
      <c r="R160">
        <v>0.05</v>
      </c>
      <c r="S160">
        <v>0.05</v>
      </c>
      <c r="T160">
        <v>21705.455000000002</v>
      </c>
      <c r="U160" t="s">
        <v>94</v>
      </c>
      <c r="V160">
        <v>3</v>
      </c>
      <c r="W160">
        <v>2</v>
      </c>
      <c r="X160">
        <v>4</v>
      </c>
      <c r="Y160">
        <v>3</v>
      </c>
      <c r="Z160">
        <v>4</v>
      </c>
      <c r="AA160">
        <v>2</v>
      </c>
      <c r="AB160">
        <v>4</v>
      </c>
      <c r="AC160">
        <v>4</v>
      </c>
      <c r="AD160">
        <v>3</v>
      </c>
      <c r="AE160" s="6">
        <v>0.14893617021276595</v>
      </c>
      <c r="AF160" s="6">
        <v>0.49206349206349198</v>
      </c>
      <c r="AG160" s="6">
        <v>7.3286052009456246E-2</v>
      </c>
      <c r="AH160">
        <v>0</v>
      </c>
    </row>
    <row r="161" spans="1:34">
      <c r="A161" t="s">
        <v>200</v>
      </c>
      <c r="B161" t="s">
        <v>199</v>
      </c>
      <c r="C161">
        <v>211010</v>
      </c>
      <c r="D161">
        <v>4906</v>
      </c>
      <c r="E161">
        <v>910.18086668605383</v>
      </c>
      <c r="F161">
        <v>11200</v>
      </c>
      <c r="G161">
        <v>1558.6935086411447</v>
      </c>
      <c r="H161">
        <v>696.79264464438666</v>
      </c>
      <c r="I161">
        <v>0</v>
      </c>
      <c r="J161">
        <v>222.97364628620372</v>
      </c>
      <c r="K161">
        <v>243.8774256255353</v>
      </c>
      <c r="L161">
        <v>0.2</v>
      </c>
      <c r="M161">
        <v>0.05</v>
      </c>
      <c r="N161">
        <v>0.45</v>
      </c>
      <c r="O161">
        <v>0.05</v>
      </c>
      <c r="P161">
        <v>0.05</v>
      </c>
      <c r="Q161">
        <v>0</v>
      </c>
      <c r="R161">
        <v>0</v>
      </c>
      <c r="S161">
        <v>0</v>
      </c>
      <c r="T161">
        <v>11200</v>
      </c>
      <c r="U161" t="s">
        <v>94</v>
      </c>
      <c r="V161">
        <v>2</v>
      </c>
      <c r="W161">
        <v>1</v>
      </c>
      <c r="X161">
        <v>3</v>
      </c>
      <c r="Y161">
        <v>3</v>
      </c>
      <c r="Z161">
        <v>3</v>
      </c>
      <c r="AA161">
        <v>2</v>
      </c>
      <c r="AB161">
        <v>3</v>
      </c>
      <c r="AC161">
        <v>3</v>
      </c>
      <c r="AD161">
        <v>2</v>
      </c>
      <c r="AE161" s="6">
        <v>0.1962962962962963</v>
      </c>
      <c r="AF161" s="6">
        <v>0.37316561844863733</v>
      </c>
      <c r="AG161" s="6">
        <v>7.3251028806584365E-2</v>
      </c>
      <c r="AH161">
        <v>0</v>
      </c>
    </row>
    <row r="162" spans="1:34">
      <c r="A162" t="s">
        <v>299</v>
      </c>
      <c r="B162" t="s">
        <v>298</v>
      </c>
      <c r="C162">
        <v>16810</v>
      </c>
      <c r="D162">
        <v>41026</v>
      </c>
      <c r="E162">
        <v>5893.3736835116115</v>
      </c>
      <c r="F162">
        <v>43800</v>
      </c>
      <c r="G162">
        <v>18662.554054976968</v>
      </c>
      <c r="H162">
        <v>25122.889304806355</v>
      </c>
      <c r="I162">
        <v>14202.27</v>
      </c>
      <c r="J162">
        <v>8039.3245775380328</v>
      </c>
      <c r="K162">
        <v>8793.0112566822227</v>
      </c>
      <c r="L162">
        <v>0.4</v>
      </c>
      <c r="M162">
        <v>0.05</v>
      </c>
      <c r="N162">
        <v>0.4</v>
      </c>
      <c r="O162">
        <v>0.2</v>
      </c>
      <c r="P162">
        <v>0.25</v>
      </c>
      <c r="Q162">
        <v>0.15000000000000002</v>
      </c>
      <c r="R162">
        <v>0.1</v>
      </c>
      <c r="S162">
        <v>0.1</v>
      </c>
      <c r="T162">
        <v>43800</v>
      </c>
      <c r="U162" t="s">
        <v>94</v>
      </c>
      <c r="V162">
        <v>2</v>
      </c>
      <c r="W162">
        <v>2</v>
      </c>
      <c r="X162">
        <v>4</v>
      </c>
      <c r="Y162">
        <v>3</v>
      </c>
      <c r="Z162">
        <v>2</v>
      </c>
      <c r="AA162">
        <v>2</v>
      </c>
      <c r="AB162">
        <v>2</v>
      </c>
      <c r="AC162">
        <v>2</v>
      </c>
      <c r="AD162">
        <v>2</v>
      </c>
      <c r="AE162" s="6">
        <v>0.19230769230769232</v>
      </c>
      <c r="AF162" s="6">
        <v>0.37777777777777771</v>
      </c>
      <c r="AG162" s="6">
        <v>7.2649572649572641E-2</v>
      </c>
      <c r="AH162">
        <v>0</v>
      </c>
    </row>
    <row r="163" spans="1:34">
      <c r="A163" t="s">
        <v>189</v>
      </c>
      <c r="B163" t="s">
        <v>188</v>
      </c>
      <c r="C163">
        <v>143501</v>
      </c>
      <c r="D163">
        <v>5695</v>
      </c>
      <c r="E163">
        <v>688.18447739880594</v>
      </c>
      <c r="F163">
        <v>8400</v>
      </c>
      <c r="G163">
        <v>1785.1604140213531</v>
      </c>
      <c r="H163">
        <v>4338.5168143169494</v>
      </c>
      <c r="I163">
        <v>0</v>
      </c>
      <c r="J163">
        <v>1392.6638973957408</v>
      </c>
      <c r="K163">
        <v>1518.4808850109323</v>
      </c>
      <c r="L163">
        <v>0.25</v>
      </c>
      <c r="M163">
        <v>0.05</v>
      </c>
      <c r="N163">
        <v>0.4</v>
      </c>
      <c r="O163">
        <v>0.1</v>
      </c>
      <c r="P163">
        <v>0.2</v>
      </c>
      <c r="Q163">
        <v>0</v>
      </c>
      <c r="R163">
        <v>0.05</v>
      </c>
      <c r="S163">
        <v>0.05</v>
      </c>
      <c r="T163">
        <v>8400</v>
      </c>
      <c r="U163" t="s">
        <v>94</v>
      </c>
      <c r="V163">
        <v>2</v>
      </c>
      <c r="W163">
        <v>1</v>
      </c>
      <c r="X163">
        <v>3</v>
      </c>
      <c r="Y163">
        <v>3</v>
      </c>
      <c r="Z163">
        <v>4</v>
      </c>
      <c r="AA163">
        <v>2</v>
      </c>
      <c r="AB163">
        <v>4</v>
      </c>
      <c r="AC163">
        <v>4</v>
      </c>
      <c r="AD163">
        <v>2</v>
      </c>
      <c r="AE163" s="6">
        <v>0.16666666666666666</v>
      </c>
      <c r="AF163" s="6">
        <v>0.42698412698412697</v>
      </c>
      <c r="AG163" s="6">
        <v>7.1164021164021152E-2</v>
      </c>
      <c r="AH163">
        <v>0</v>
      </c>
    </row>
    <row r="164" spans="1:34">
      <c r="A164" t="s">
        <v>258</v>
      </c>
      <c r="B164" t="s">
        <v>203</v>
      </c>
      <c r="C164">
        <v>20359</v>
      </c>
      <c r="D164">
        <v>7272</v>
      </c>
      <c r="E164">
        <v>1225.5224837356045</v>
      </c>
      <c r="F164">
        <v>10858.385</v>
      </c>
      <c r="G164">
        <v>3570.2601250770635</v>
      </c>
      <c r="H164">
        <v>5909.1407818646749</v>
      </c>
      <c r="I164">
        <v>0</v>
      </c>
      <c r="J164">
        <v>1896.8341909785606</v>
      </c>
      <c r="K164">
        <v>2068.1992736526358</v>
      </c>
      <c r="L164">
        <v>0.25</v>
      </c>
      <c r="M164">
        <v>0.05</v>
      </c>
      <c r="N164">
        <v>0.35000000000000003</v>
      </c>
      <c r="O164">
        <v>0.1</v>
      </c>
      <c r="P164">
        <v>0.2</v>
      </c>
      <c r="Q164">
        <v>0</v>
      </c>
      <c r="R164">
        <v>0.05</v>
      </c>
      <c r="S164">
        <v>0.05</v>
      </c>
      <c r="T164">
        <v>10858.385</v>
      </c>
      <c r="U164" t="s">
        <v>94</v>
      </c>
      <c r="V164">
        <v>3</v>
      </c>
      <c r="W164">
        <v>3</v>
      </c>
      <c r="X164">
        <v>4</v>
      </c>
      <c r="Y164">
        <v>4</v>
      </c>
      <c r="Z164">
        <v>4</v>
      </c>
      <c r="AA164">
        <v>4</v>
      </c>
      <c r="AB164">
        <v>4</v>
      </c>
      <c r="AC164">
        <v>4</v>
      </c>
      <c r="AD164">
        <v>4</v>
      </c>
      <c r="AE164" s="6">
        <v>0.18181818181818182</v>
      </c>
      <c r="AF164" s="6">
        <v>0.38888888888888884</v>
      </c>
      <c r="AG164" s="6">
        <v>7.0707070707070704E-2</v>
      </c>
      <c r="AH164">
        <v>1</v>
      </c>
    </row>
    <row r="165" spans="1:34">
      <c r="A165" t="s">
        <v>726</v>
      </c>
      <c r="B165" t="s">
        <v>725</v>
      </c>
      <c r="C165">
        <v>203435</v>
      </c>
      <c r="D165">
        <v>30285</v>
      </c>
      <c r="E165">
        <v>9525.9719389903403</v>
      </c>
      <c r="F165">
        <v>75929.125</v>
      </c>
      <c r="G165">
        <v>36216.495686004047</v>
      </c>
      <c r="H165">
        <v>49581.218778502669</v>
      </c>
      <c r="I165">
        <v>28083.375</v>
      </c>
      <c r="J165">
        <v>15865.990009120855</v>
      </c>
      <c r="K165">
        <v>17353.426572475935</v>
      </c>
      <c r="L165">
        <v>0.15000000000000002</v>
      </c>
      <c r="M165">
        <v>0.05</v>
      </c>
      <c r="N165">
        <v>0.35000000000000003</v>
      </c>
      <c r="O165">
        <v>0.15000000000000002</v>
      </c>
      <c r="P165">
        <v>0.25</v>
      </c>
      <c r="Q165">
        <v>0.15000000000000002</v>
      </c>
      <c r="R165">
        <v>0.1</v>
      </c>
      <c r="S165">
        <v>0.1</v>
      </c>
      <c r="T165">
        <v>75929.125</v>
      </c>
      <c r="U165" t="s">
        <v>94</v>
      </c>
      <c r="V165">
        <v>3</v>
      </c>
      <c r="W165">
        <v>2</v>
      </c>
      <c r="X165">
        <v>3</v>
      </c>
      <c r="Y165">
        <v>3</v>
      </c>
      <c r="Z165">
        <v>4</v>
      </c>
      <c r="AA165">
        <v>3</v>
      </c>
      <c r="AB165">
        <v>4</v>
      </c>
      <c r="AC165">
        <v>4</v>
      </c>
      <c r="AD165">
        <v>3</v>
      </c>
      <c r="AE165" s="6">
        <v>0.1457725947521866</v>
      </c>
      <c r="AF165" s="6">
        <v>0.48222222222222205</v>
      </c>
      <c r="AG165" s="6">
        <v>7.0294784580498842E-2</v>
      </c>
      <c r="AH165">
        <v>0</v>
      </c>
    </row>
    <row r="166" spans="1:34">
      <c r="A166" t="s">
        <v>324</v>
      </c>
      <c r="B166" t="s">
        <v>323</v>
      </c>
      <c r="C166">
        <v>10874</v>
      </c>
      <c r="D166">
        <v>3063</v>
      </c>
      <c r="E166">
        <v>424.67871277834007</v>
      </c>
      <c r="F166">
        <v>4191.66</v>
      </c>
      <c r="G166">
        <v>881.64855293492519</v>
      </c>
      <c r="H166">
        <v>2290.3437934194194</v>
      </c>
      <c r="I166">
        <v>0</v>
      </c>
      <c r="J166">
        <v>732.91001389421422</v>
      </c>
      <c r="K166">
        <v>801.62032769679672</v>
      </c>
      <c r="L166">
        <v>0.25</v>
      </c>
      <c r="M166">
        <v>0.05</v>
      </c>
      <c r="N166">
        <v>0.35000000000000003</v>
      </c>
      <c r="O166">
        <v>0.1</v>
      </c>
      <c r="P166">
        <v>0.2</v>
      </c>
      <c r="Q166">
        <v>0</v>
      </c>
      <c r="R166">
        <v>0.05</v>
      </c>
      <c r="S166">
        <v>0.05</v>
      </c>
      <c r="T166">
        <v>4191.66</v>
      </c>
      <c r="U166" t="s">
        <v>94</v>
      </c>
      <c r="V166">
        <v>2</v>
      </c>
      <c r="W166">
        <v>1</v>
      </c>
      <c r="X166">
        <v>3</v>
      </c>
      <c r="Y166">
        <v>3</v>
      </c>
      <c r="Z166">
        <v>3</v>
      </c>
      <c r="AA166">
        <v>3</v>
      </c>
      <c r="AB166">
        <v>3</v>
      </c>
      <c r="AC166">
        <v>3</v>
      </c>
      <c r="AD166">
        <v>3</v>
      </c>
      <c r="AE166" s="6">
        <v>0.15384615384615385</v>
      </c>
      <c r="AF166" s="6">
        <v>0.44444444444444431</v>
      </c>
      <c r="AG166" s="6">
        <v>6.8376068376068355E-2</v>
      </c>
      <c r="AH166">
        <v>0</v>
      </c>
    </row>
    <row r="167" spans="1:34">
      <c r="A167" t="s">
        <v>273</v>
      </c>
      <c r="B167" t="s">
        <v>100</v>
      </c>
      <c r="C167">
        <v>166166</v>
      </c>
      <c r="D167">
        <v>1613</v>
      </c>
      <c r="E167">
        <v>697.61988669560958</v>
      </c>
      <c r="F167">
        <v>7700</v>
      </c>
      <c r="G167">
        <v>429.39301219337653</v>
      </c>
      <c r="H167">
        <v>4481.9202736243888</v>
      </c>
      <c r="I167">
        <v>0</v>
      </c>
      <c r="J167">
        <v>1434.2144875598046</v>
      </c>
      <c r="K167">
        <v>1568.6720957685359</v>
      </c>
      <c r="L167">
        <v>0.1</v>
      </c>
      <c r="M167">
        <v>0.05</v>
      </c>
      <c r="N167">
        <v>0.45</v>
      </c>
      <c r="O167">
        <v>0</v>
      </c>
      <c r="P167">
        <v>0.25</v>
      </c>
      <c r="Q167">
        <v>0</v>
      </c>
      <c r="R167">
        <v>0.1</v>
      </c>
      <c r="S167">
        <v>0.1</v>
      </c>
      <c r="T167">
        <v>7700</v>
      </c>
      <c r="U167" t="s">
        <v>94</v>
      </c>
      <c r="V167">
        <v>2</v>
      </c>
      <c r="W167">
        <v>2</v>
      </c>
      <c r="X167">
        <v>3</v>
      </c>
      <c r="Y167">
        <v>4</v>
      </c>
      <c r="Z167">
        <v>4</v>
      </c>
      <c r="AA167">
        <v>2</v>
      </c>
      <c r="AB167">
        <v>4</v>
      </c>
      <c r="AC167">
        <v>4</v>
      </c>
      <c r="AD167">
        <v>2</v>
      </c>
      <c r="AE167" s="6">
        <v>0.12698412698412698</v>
      </c>
      <c r="AF167" s="6">
        <v>0.5347222222222221</v>
      </c>
      <c r="AG167" s="6">
        <v>6.7901234567901217E-2</v>
      </c>
      <c r="AH167">
        <v>0</v>
      </c>
    </row>
    <row r="168" spans="1:34">
      <c r="A168" t="s">
        <v>660</v>
      </c>
      <c r="B168" t="s">
        <v>276</v>
      </c>
      <c r="C168">
        <v>21305</v>
      </c>
      <c r="D168">
        <v>663</v>
      </c>
      <c r="E168">
        <v>869.01905017355637</v>
      </c>
      <c r="F168">
        <v>10643.4</v>
      </c>
      <c r="G168">
        <v>3570.5693405609359</v>
      </c>
      <c r="H168">
        <v>5878.7610245610849</v>
      </c>
      <c r="I168">
        <v>0</v>
      </c>
      <c r="J168">
        <v>1887.0822888841083</v>
      </c>
      <c r="K168">
        <v>2057.5663585963794</v>
      </c>
      <c r="L168">
        <v>0</v>
      </c>
      <c r="M168">
        <v>0.05</v>
      </c>
      <c r="N168">
        <v>0.35000000000000003</v>
      </c>
      <c r="O168">
        <v>0.1</v>
      </c>
      <c r="P168">
        <v>0.2</v>
      </c>
      <c r="Q168">
        <v>0</v>
      </c>
      <c r="R168">
        <v>0.05</v>
      </c>
      <c r="S168">
        <v>0.05</v>
      </c>
      <c r="T168">
        <v>10643.4</v>
      </c>
      <c r="U168" t="s">
        <v>94</v>
      </c>
      <c r="V168">
        <v>2</v>
      </c>
      <c r="W168">
        <v>1</v>
      </c>
      <c r="X168">
        <v>3</v>
      </c>
      <c r="Y168">
        <v>3</v>
      </c>
      <c r="Z168">
        <v>2</v>
      </c>
      <c r="AA168">
        <v>2</v>
      </c>
      <c r="AB168">
        <v>2</v>
      </c>
      <c r="AC168">
        <v>2</v>
      </c>
      <c r="AD168">
        <v>2</v>
      </c>
      <c r="AE168" s="6">
        <v>0.19565217391304349</v>
      </c>
      <c r="AF168" s="6">
        <v>0.34567901234567899</v>
      </c>
      <c r="AG168" s="6">
        <v>6.7632850241545889E-2</v>
      </c>
      <c r="AH168">
        <v>0</v>
      </c>
    </row>
    <row r="169" spans="1:34">
      <c r="A169" t="s">
        <v>581</v>
      </c>
      <c r="B169" t="s">
        <v>580</v>
      </c>
      <c r="C169">
        <v>14300</v>
      </c>
      <c r="D169">
        <v>11398</v>
      </c>
      <c r="E169">
        <v>2531.4080645362196</v>
      </c>
      <c r="F169">
        <v>14372.605</v>
      </c>
      <c r="G169">
        <v>2065.9507327970409</v>
      </c>
      <c r="H169">
        <v>7855.226933963655</v>
      </c>
      <c r="I169">
        <v>23626.2</v>
      </c>
      <c r="J169">
        <v>2513.6726188683697</v>
      </c>
      <c r="K169">
        <v>2749.3294268872792</v>
      </c>
      <c r="L169">
        <v>0.30000000000000004</v>
      </c>
      <c r="M169">
        <v>0.05</v>
      </c>
      <c r="N169">
        <v>0.35000000000000003</v>
      </c>
      <c r="O169">
        <v>0.05</v>
      </c>
      <c r="P169">
        <v>0.2</v>
      </c>
      <c r="Q169">
        <v>0.60000000000000009</v>
      </c>
      <c r="R169">
        <v>0.05</v>
      </c>
      <c r="S169">
        <v>0.05</v>
      </c>
      <c r="T169">
        <v>23626.2</v>
      </c>
      <c r="U169" t="s">
        <v>97</v>
      </c>
      <c r="V169">
        <v>3</v>
      </c>
      <c r="W169">
        <v>2</v>
      </c>
      <c r="X169">
        <v>3</v>
      </c>
      <c r="Y169">
        <v>3</v>
      </c>
      <c r="Z169">
        <v>3</v>
      </c>
      <c r="AA169">
        <v>2</v>
      </c>
      <c r="AB169">
        <v>3</v>
      </c>
      <c r="AC169">
        <v>3</v>
      </c>
      <c r="AD169">
        <v>3</v>
      </c>
      <c r="AE169" s="6">
        <v>0.2</v>
      </c>
      <c r="AF169" s="6">
        <v>0.33333333333333331</v>
      </c>
      <c r="AG169" s="6">
        <v>6.6666666666666666E-2</v>
      </c>
      <c r="AH169">
        <v>0</v>
      </c>
    </row>
    <row r="170" spans="1:34">
      <c r="A170" t="s">
        <v>399</v>
      </c>
      <c r="B170" t="s">
        <v>398</v>
      </c>
      <c r="C170">
        <v>996230</v>
      </c>
      <c r="D170">
        <v>7113</v>
      </c>
      <c r="E170">
        <v>2625.1246631407112</v>
      </c>
      <c r="F170">
        <v>24500</v>
      </c>
      <c r="G170">
        <v>3212.5750178089393</v>
      </c>
      <c r="H170">
        <v>7478.9383706577783</v>
      </c>
      <c r="I170">
        <v>8473.14</v>
      </c>
      <c r="J170">
        <v>2393.260278610489</v>
      </c>
      <c r="K170">
        <v>2617.6284297302227</v>
      </c>
      <c r="L170">
        <v>0.1</v>
      </c>
      <c r="M170">
        <v>0.05</v>
      </c>
      <c r="N170">
        <v>0.4</v>
      </c>
      <c r="O170">
        <v>0.05</v>
      </c>
      <c r="P170">
        <v>0.1</v>
      </c>
      <c r="Q170">
        <v>0.15000000000000002</v>
      </c>
      <c r="R170">
        <v>0.05</v>
      </c>
      <c r="S170">
        <v>0.05</v>
      </c>
      <c r="T170">
        <v>24500</v>
      </c>
      <c r="U170" t="s">
        <v>94</v>
      </c>
      <c r="V170">
        <v>3</v>
      </c>
      <c r="W170">
        <v>2</v>
      </c>
      <c r="X170">
        <v>3</v>
      </c>
      <c r="Y170">
        <v>3</v>
      </c>
      <c r="Z170">
        <v>3</v>
      </c>
      <c r="AA170">
        <v>2</v>
      </c>
      <c r="AB170">
        <v>3</v>
      </c>
      <c r="AC170">
        <v>3</v>
      </c>
      <c r="AD170">
        <v>3</v>
      </c>
      <c r="AE170" s="6">
        <v>0.15927977839335181</v>
      </c>
      <c r="AF170" s="6">
        <v>0.4173913043478259</v>
      </c>
      <c r="AG170" s="6">
        <v>6.6481994459833771E-2</v>
      </c>
      <c r="AH170">
        <v>0</v>
      </c>
    </row>
    <row r="171" spans="1:34">
      <c r="A171" t="s">
        <v>365</v>
      </c>
      <c r="B171" t="s">
        <v>364</v>
      </c>
      <c r="C171">
        <v>24391</v>
      </c>
      <c r="D171">
        <v>5022</v>
      </c>
      <c r="E171">
        <v>1437.5561402678572</v>
      </c>
      <c r="F171">
        <v>10326.215</v>
      </c>
      <c r="G171">
        <v>2807.2836822234208</v>
      </c>
      <c r="H171">
        <v>3146.3216527686955</v>
      </c>
      <c r="I171">
        <v>0</v>
      </c>
      <c r="J171">
        <v>1006.8229288859826</v>
      </c>
      <c r="K171">
        <v>1101.2125784690434</v>
      </c>
      <c r="L171">
        <v>0.2</v>
      </c>
      <c r="M171">
        <v>0.05</v>
      </c>
      <c r="N171">
        <v>0.35000000000000003</v>
      </c>
      <c r="O171">
        <v>0.1</v>
      </c>
      <c r="P171">
        <v>0.1</v>
      </c>
      <c r="Q171">
        <v>0</v>
      </c>
      <c r="R171">
        <v>0.05</v>
      </c>
      <c r="S171">
        <v>0.05</v>
      </c>
      <c r="T171">
        <v>10326.215</v>
      </c>
      <c r="U171" t="s">
        <v>94</v>
      </c>
      <c r="V171">
        <v>4</v>
      </c>
      <c r="W171">
        <v>2</v>
      </c>
      <c r="X171">
        <v>4</v>
      </c>
      <c r="Y171">
        <v>3</v>
      </c>
      <c r="Z171">
        <v>3</v>
      </c>
      <c r="AA171">
        <v>2</v>
      </c>
      <c r="AB171">
        <v>3</v>
      </c>
      <c r="AC171">
        <v>3</v>
      </c>
      <c r="AD171">
        <v>3</v>
      </c>
      <c r="AE171" s="6">
        <v>0.16981132075471697</v>
      </c>
      <c r="AF171" s="6">
        <v>0.38888888888888867</v>
      </c>
      <c r="AG171" s="6">
        <v>6.6037735849056561E-2</v>
      </c>
      <c r="AH171">
        <v>0</v>
      </c>
    </row>
    <row r="172" spans="1:34">
      <c r="A172" t="s">
        <v>166</v>
      </c>
      <c r="B172" t="s">
        <v>165</v>
      </c>
      <c r="C172">
        <v>58516</v>
      </c>
      <c r="D172">
        <v>22545</v>
      </c>
      <c r="E172">
        <v>4518.0852922033991</v>
      </c>
      <c r="F172">
        <v>53558.64</v>
      </c>
      <c r="G172">
        <v>18542.705483909733</v>
      </c>
      <c r="H172">
        <v>35128.519976030446</v>
      </c>
      <c r="I172">
        <v>0</v>
      </c>
      <c r="J172">
        <v>11276.254912305772</v>
      </c>
      <c r="K172">
        <v>12294.981991610653</v>
      </c>
      <c r="L172">
        <v>0.15000000000000002</v>
      </c>
      <c r="M172">
        <v>0.05</v>
      </c>
      <c r="N172">
        <v>0.35000000000000003</v>
      </c>
      <c r="O172">
        <v>0.15000000000000002</v>
      </c>
      <c r="P172">
        <v>0.25</v>
      </c>
      <c r="Q172">
        <v>0</v>
      </c>
      <c r="R172">
        <v>0.1</v>
      </c>
      <c r="S172">
        <v>0.1</v>
      </c>
      <c r="T172">
        <v>53558.64</v>
      </c>
      <c r="U172" t="s">
        <v>94</v>
      </c>
      <c r="V172">
        <v>4</v>
      </c>
      <c r="W172">
        <v>2</v>
      </c>
      <c r="X172">
        <v>4</v>
      </c>
      <c r="Y172">
        <v>3</v>
      </c>
      <c r="Z172">
        <v>4</v>
      </c>
      <c r="AA172">
        <v>4</v>
      </c>
      <c r="AB172">
        <v>4</v>
      </c>
      <c r="AC172">
        <v>4</v>
      </c>
      <c r="AD172">
        <v>4</v>
      </c>
      <c r="AE172" s="6">
        <v>0.16304347826086957</v>
      </c>
      <c r="AF172" s="6">
        <v>0.40370370370370368</v>
      </c>
      <c r="AG172" s="6">
        <v>6.5821256038647344E-2</v>
      </c>
      <c r="AH172">
        <v>0</v>
      </c>
    </row>
    <row r="173" spans="1:34">
      <c r="A173" t="s">
        <v>573</v>
      </c>
      <c r="B173" t="s">
        <v>180</v>
      </c>
      <c r="C173">
        <v>21871</v>
      </c>
      <c r="D173">
        <v>5057</v>
      </c>
      <c r="E173">
        <v>2066.5821854677597</v>
      </c>
      <c r="F173">
        <v>8335.8700000000008</v>
      </c>
      <c r="G173">
        <v>557.68394852382698</v>
      </c>
      <c r="H173">
        <v>4555.8999598207565</v>
      </c>
      <c r="I173">
        <v>0</v>
      </c>
      <c r="J173">
        <v>1457.887987142642</v>
      </c>
      <c r="K173">
        <v>1594.5649859372645</v>
      </c>
      <c r="L173">
        <v>0.2</v>
      </c>
      <c r="M173">
        <v>0.1</v>
      </c>
      <c r="N173">
        <v>0.35000000000000003</v>
      </c>
      <c r="O173">
        <v>0</v>
      </c>
      <c r="P173">
        <v>0.2</v>
      </c>
      <c r="Q173">
        <v>0</v>
      </c>
      <c r="R173">
        <v>0.05</v>
      </c>
      <c r="S173">
        <v>0.05</v>
      </c>
      <c r="T173">
        <v>8335.8700000000008</v>
      </c>
      <c r="U173" t="s">
        <v>94</v>
      </c>
      <c r="V173">
        <v>3</v>
      </c>
      <c r="W173">
        <v>2</v>
      </c>
      <c r="X173">
        <v>3</v>
      </c>
      <c r="Y173">
        <v>3</v>
      </c>
      <c r="Z173">
        <v>3</v>
      </c>
      <c r="AA173">
        <v>2</v>
      </c>
      <c r="AB173">
        <v>3</v>
      </c>
      <c r="AC173">
        <v>3</v>
      </c>
      <c r="AD173">
        <v>3</v>
      </c>
      <c r="AE173" s="6">
        <v>0.16666666666666666</v>
      </c>
      <c r="AF173" s="6">
        <v>0.38888888888888867</v>
      </c>
      <c r="AG173" s="6">
        <v>6.481481481481477E-2</v>
      </c>
      <c r="AH173">
        <v>0</v>
      </c>
    </row>
    <row r="174" spans="1:34">
      <c r="A174" t="s">
        <v>101</v>
      </c>
      <c r="B174" t="s">
        <v>100</v>
      </c>
      <c r="C174">
        <v>1943901</v>
      </c>
      <c r="D174">
        <v>8505</v>
      </c>
      <c r="E174">
        <v>1047.3853281418537</v>
      </c>
      <c r="F174">
        <v>11530.715</v>
      </c>
      <c r="G174">
        <v>2827.5996516653167</v>
      </c>
      <c r="H174">
        <v>6283.4335677643003</v>
      </c>
      <c r="I174">
        <v>4264.7849999999999</v>
      </c>
      <c r="J174">
        <v>2010.6987416845761</v>
      </c>
      <c r="K174">
        <v>2199.2017487175049</v>
      </c>
      <c r="L174">
        <v>0.25</v>
      </c>
      <c r="M174">
        <v>0.05</v>
      </c>
      <c r="N174">
        <v>0.35000000000000003</v>
      </c>
      <c r="O174">
        <v>0.1</v>
      </c>
      <c r="P174">
        <v>0.2</v>
      </c>
      <c r="Q174">
        <v>0.15000000000000002</v>
      </c>
      <c r="R174">
        <v>0.05</v>
      </c>
      <c r="S174">
        <v>0.05</v>
      </c>
      <c r="T174">
        <v>11530.715</v>
      </c>
      <c r="U174" t="s">
        <v>94</v>
      </c>
      <c r="V174">
        <v>2</v>
      </c>
      <c r="W174">
        <v>2</v>
      </c>
      <c r="X174">
        <v>3</v>
      </c>
      <c r="Y174">
        <v>4</v>
      </c>
      <c r="Z174">
        <v>4</v>
      </c>
      <c r="AA174">
        <v>3</v>
      </c>
      <c r="AB174">
        <v>4</v>
      </c>
      <c r="AC174">
        <v>4</v>
      </c>
      <c r="AD174">
        <v>3</v>
      </c>
      <c r="AE174" s="6">
        <v>0.16974494283201408</v>
      </c>
      <c r="AF174" s="6">
        <v>0.37372865093072355</v>
      </c>
      <c r="AG174" s="6">
        <v>6.3438548486921417E-2</v>
      </c>
      <c r="AH174">
        <v>0</v>
      </c>
    </row>
    <row r="175" spans="1:34">
      <c r="A175" t="s">
        <v>405</v>
      </c>
      <c r="B175" t="s">
        <v>404</v>
      </c>
      <c r="C175">
        <v>174099</v>
      </c>
      <c r="D175">
        <v>8556</v>
      </c>
      <c r="E175">
        <v>805.38895250687324</v>
      </c>
      <c r="F175">
        <v>17400</v>
      </c>
      <c r="G175">
        <v>2479.4893026590148</v>
      </c>
      <c r="H175">
        <v>4107.0443748487796</v>
      </c>
      <c r="I175">
        <v>0</v>
      </c>
      <c r="J175">
        <v>1314.2541999516095</v>
      </c>
      <c r="K175">
        <v>1437.4655311970728</v>
      </c>
      <c r="L175">
        <v>0.35000000000000003</v>
      </c>
      <c r="M175">
        <v>0.05</v>
      </c>
      <c r="N175">
        <v>0.70000000000000007</v>
      </c>
      <c r="O175">
        <v>0.1</v>
      </c>
      <c r="P175">
        <v>0.15000000000000002</v>
      </c>
      <c r="Q175">
        <v>0</v>
      </c>
      <c r="R175">
        <v>0.05</v>
      </c>
      <c r="S175">
        <v>0.05</v>
      </c>
      <c r="T175">
        <v>17400</v>
      </c>
      <c r="U175" t="s">
        <v>94</v>
      </c>
      <c r="V175">
        <v>2</v>
      </c>
      <c r="W175">
        <v>1</v>
      </c>
      <c r="X175">
        <v>3</v>
      </c>
      <c r="Y175">
        <v>3</v>
      </c>
      <c r="Z175">
        <v>2</v>
      </c>
      <c r="AA175">
        <v>2</v>
      </c>
      <c r="AB175">
        <v>2</v>
      </c>
      <c r="AC175">
        <v>2</v>
      </c>
      <c r="AD175">
        <v>2</v>
      </c>
      <c r="AE175" s="6">
        <v>0.14141414141414141</v>
      </c>
      <c r="AF175" s="6">
        <v>0.44841269841269843</v>
      </c>
      <c r="AG175" s="6">
        <v>6.3411896745230081E-2</v>
      </c>
      <c r="AH175">
        <v>0</v>
      </c>
    </row>
    <row r="176" spans="1:34">
      <c r="A176" t="s">
        <v>733</v>
      </c>
      <c r="B176" t="s">
        <v>276</v>
      </c>
      <c r="C176">
        <v>97463</v>
      </c>
      <c r="D176">
        <v>16834</v>
      </c>
      <c r="E176">
        <v>4756.3259010896445</v>
      </c>
      <c r="F176">
        <v>36377.724999999999</v>
      </c>
      <c r="G176">
        <v>14982.530651763009</v>
      </c>
      <c r="H176">
        <v>23754.414948008503</v>
      </c>
      <c r="I176">
        <v>13454.775</v>
      </c>
      <c r="J176">
        <v>7601.4127833627208</v>
      </c>
      <c r="K176">
        <v>8314.0452318029766</v>
      </c>
      <c r="L176">
        <v>0.15000000000000002</v>
      </c>
      <c r="M176">
        <v>0.05</v>
      </c>
      <c r="N176">
        <v>0.35000000000000003</v>
      </c>
      <c r="O176">
        <v>0.15000000000000002</v>
      </c>
      <c r="P176">
        <v>0.25</v>
      </c>
      <c r="Q176">
        <v>0.15000000000000002</v>
      </c>
      <c r="R176">
        <v>0.1</v>
      </c>
      <c r="S176">
        <v>0.1</v>
      </c>
      <c r="T176">
        <v>36377.724999999999</v>
      </c>
      <c r="U176" t="s">
        <v>94</v>
      </c>
      <c r="V176">
        <v>3</v>
      </c>
      <c r="W176">
        <v>2</v>
      </c>
      <c r="X176">
        <v>3</v>
      </c>
      <c r="Y176">
        <v>4</v>
      </c>
      <c r="Z176">
        <v>4</v>
      </c>
      <c r="AA176">
        <v>3</v>
      </c>
      <c r="AB176">
        <v>4</v>
      </c>
      <c r="AC176">
        <v>4</v>
      </c>
      <c r="AD176">
        <v>3</v>
      </c>
      <c r="AE176" s="6">
        <v>0.125</v>
      </c>
      <c r="AF176" s="6">
        <v>0.50653594771241828</v>
      </c>
      <c r="AG176" s="6">
        <v>6.3316993464052285E-2</v>
      </c>
      <c r="AH176">
        <v>0</v>
      </c>
    </row>
    <row r="177" spans="1:34">
      <c r="A177" t="s">
        <v>477</v>
      </c>
      <c r="B177" t="s">
        <v>476</v>
      </c>
      <c r="C177">
        <v>144947</v>
      </c>
      <c r="D177">
        <v>5423</v>
      </c>
      <c r="E177">
        <v>5456.6570784762444</v>
      </c>
      <c r="F177">
        <v>78378.64</v>
      </c>
      <c r="G177">
        <v>30147.151139031852</v>
      </c>
      <c r="H177">
        <v>51371.200323210702</v>
      </c>
      <c r="I177">
        <v>0</v>
      </c>
      <c r="J177">
        <v>16438.784103427424</v>
      </c>
      <c r="K177">
        <v>17979.920113123746</v>
      </c>
      <c r="L177">
        <v>0.05</v>
      </c>
      <c r="M177">
        <v>0.05</v>
      </c>
      <c r="N177">
        <v>0.35000000000000003</v>
      </c>
      <c r="O177">
        <v>0.15000000000000002</v>
      </c>
      <c r="P177">
        <v>0.25</v>
      </c>
      <c r="Q177">
        <v>0</v>
      </c>
      <c r="R177">
        <v>0.1</v>
      </c>
      <c r="S177">
        <v>0.1</v>
      </c>
      <c r="T177">
        <v>78378.64</v>
      </c>
      <c r="U177" t="s">
        <v>94</v>
      </c>
      <c r="V177">
        <v>3</v>
      </c>
      <c r="W177">
        <v>3</v>
      </c>
      <c r="X177">
        <v>3</v>
      </c>
      <c r="Y177">
        <v>3</v>
      </c>
      <c r="Z177">
        <v>4</v>
      </c>
      <c r="AA177">
        <v>3</v>
      </c>
      <c r="AB177">
        <v>4</v>
      </c>
      <c r="AC177">
        <v>4</v>
      </c>
      <c r="AD177">
        <v>3</v>
      </c>
      <c r="AE177" s="6">
        <v>0.15053763440860216</v>
      </c>
      <c r="AF177" s="6">
        <v>0.41666666666666663</v>
      </c>
      <c r="AG177" s="6">
        <v>6.2724014336917558E-2</v>
      </c>
      <c r="AH177">
        <v>1</v>
      </c>
    </row>
    <row r="178" spans="1:34">
      <c r="A178" t="s">
        <v>647</v>
      </c>
      <c r="B178" t="s">
        <v>180</v>
      </c>
      <c r="C178">
        <v>15285</v>
      </c>
      <c r="D178">
        <v>1108</v>
      </c>
      <c r="E178">
        <v>154.43348450889914</v>
      </c>
      <c r="F178">
        <v>1699.44</v>
      </c>
      <c r="G178">
        <v>937.93561225383792</v>
      </c>
      <c r="H178">
        <v>563.19982161227165</v>
      </c>
      <c r="I178">
        <v>0</v>
      </c>
      <c r="J178">
        <v>180.22394291592693</v>
      </c>
      <c r="K178">
        <v>197.11993756429504</v>
      </c>
      <c r="L178">
        <v>0.25</v>
      </c>
      <c r="M178">
        <v>0.05</v>
      </c>
      <c r="N178">
        <v>0.35000000000000003</v>
      </c>
      <c r="O178">
        <v>0.2</v>
      </c>
      <c r="P178">
        <v>0.1</v>
      </c>
      <c r="Q178">
        <v>0</v>
      </c>
      <c r="R178">
        <v>0.05</v>
      </c>
      <c r="S178">
        <v>0.05</v>
      </c>
      <c r="T178">
        <v>1699.44</v>
      </c>
      <c r="U178" t="s">
        <v>94</v>
      </c>
      <c r="V178">
        <v>3</v>
      </c>
      <c r="W178">
        <v>1</v>
      </c>
      <c r="X178">
        <v>3</v>
      </c>
      <c r="Y178">
        <v>3</v>
      </c>
      <c r="Z178">
        <v>2</v>
      </c>
      <c r="AA178">
        <v>3</v>
      </c>
      <c r="AB178">
        <v>2</v>
      </c>
      <c r="AC178">
        <v>2</v>
      </c>
      <c r="AD178">
        <v>3</v>
      </c>
      <c r="AE178" s="6">
        <v>0.14634146341463414</v>
      </c>
      <c r="AF178" s="6">
        <v>0.41666666666666669</v>
      </c>
      <c r="AG178" s="6">
        <v>6.097560975609756E-2</v>
      </c>
      <c r="AH178">
        <v>0</v>
      </c>
    </row>
    <row r="179" spans="1:34">
      <c r="A179" t="s">
        <v>464</v>
      </c>
      <c r="B179" t="s">
        <v>463</v>
      </c>
      <c r="C179">
        <v>27515</v>
      </c>
      <c r="D179">
        <v>35886</v>
      </c>
      <c r="E179">
        <v>10643.490049850534</v>
      </c>
      <c r="F179">
        <v>94146.274999999994</v>
      </c>
      <c r="G179">
        <v>33543.140159372037</v>
      </c>
      <c r="H179">
        <v>61705.678392851456</v>
      </c>
      <c r="I179">
        <v>154761</v>
      </c>
      <c r="J179">
        <v>19745.817085712464</v>
      </c>
      <c r="K179">
        <v>21596.987437498006</v>
      </c>
      <c r="L179">
        <v>0.15000000000000002</v>
      </c>
      <c r="M179">
        <v>0.05</v>
      </c>
      <c r="N179">
        <v>0.35000000000000003</v>
      </c>
      <c r="O179">
        <v>0.15000000000000002</v>
      </c>
      <c r="P179">
        <v>0.25</v>
      </c>
      <c r="Q179">
        <v>0.60000000000000009</v>
      </c>
      <c r="R179">
        <v>0.1</v>
      </c>
      <c r="S179">
        <v>0.1</v>
      </c>
      <c r="T179">
        <v>154761</v>
      </c>
      <c r="U179" t="s">
        <v>97</v>
      </c>
      <c r="V179">
        <v>4</v>
      </c>
      <c r="W179">
        <v>3</v>
      </c>
      <c r="X179">
        <v>4</v>
      </c>
      <c r="Y179">
        <v>3</v>
      </c>
      <c r="Z179">
        <v>4</v>
      </c>
      <c r="AA179">
        <v>3</v>
      </c>
      <c r="AB179">
        <v>4</v>
      </c>
      <c r="AC179">
        <v>4</v>
      </c>
      <c r="AD179">
        <v>3</v>
      </c>
      <c r="AE179" s="6">
        <v>0.18181818181818182</v>
      </c>
      <c r="AF179" s="6">
        <v>0.33333333333333331</v>
      </c>
      <c r="AG179" s="6">
        <v>6.0606060606060608E-2</v>
      </c>
      <c r="AH179">
        <v>1</v>
      </c>
    </row>
    <row r="180" spans="1:34">
      <c r="A180" t="s">
        <v>264</v>
      </c>
      <c r="B180" t="s">
        <v>263</v>
      </c>
      <c r="C180">
        <v>48538</v>
      </c>
      <c r="D180">
        <v>6373</v>
      </c>
      <c r="E180">
        <v>7704.3234166661578</v>
      </c>
      <c r="F180">
        <v>58761.714999999997</v>
      </c>
      <c r="G180">
        <v>27407.382433939973</v>
      </c>
      <c r="H180">
        <v>38373.800139023515</v>
      </c>
      <c r="I180">
        <v>0</v>
      </c>
      <c r="J180">
        <v>12279.616044487524</v>
      </c>
      <c r="K180">
        <v>13430.830048658228</v>
      </c>
      <c r="L180">
        <v>0.05</v>
      </c>
      <c r="M180">
        <v>0.05</v>
      </c>
      <c r="N180">
        <v>0.35000000000000003</v>
      </c>
      <c r="O180">
        <v>0.15000000000000002</v>
      </c>
      <c r="P180">
        <v>0.25</v>
      </c>
      <c r="Q180">
        <v>0</v>
      </c>
      <c r="R180">
        <v>0.1</v>
      </c>
      <c r="S180">
        <v>0.1</v>
      </c>
      <c r="T180">
        <v>58761.714999999997</v>
      </c>
      <c r="U180" t="s">
        <v>94</v>
      </c>
      <c r="V180">
        <v>2</v>
      </c>
      <c r="W180">
        <v>2</v>
      </c>
      <c r="X180">
        <v>3</v>
      </c>
      <c r="Y180">
        <v>4</v>
      </c>
      <c r="Z180">
        <v>3</v>
      </c>
      <c r="AA180">
        <v>2</v>
      </c>
      <c r="AB180">
        <v>3</v>
      </c>
      <c r="AC180">
        <v>3</v>
      </c>
      <c r="AD180">
        <v>2</v>
      </c>
      <c r="AE180" s="6">
        <v>0.1797752808988764</v>
      </c>
      <c r="AF180" s="6">
        <v>0.33333333333333331</v>
      </c>
      <c r="AG180" s="6">
        <v>5.9925093632958795E-2</v>
      </c>
      <c r="AH180">
        <v>0</v>
      </c>
    </row>
    <row r="181" spans="1:34">
      <c r="A181" t="s">
        <v>682</v>
      </c>
      <c r="B181" t="s">
        <v>180</v>
      </c>
      <c r="C181">
        <v>31185</v>
      </c>
      <c r="D181">
        <v>11709</v>
      </c>
      <c r="E181">
        <v>1176.967145846462</v>
      </c>
      <c r="F181">
        <v>21576.61</v>
      </c>
      <c r="G181">
        <v>10136.559796715932</v>
      </c>
      <c r="H181">
        <v>14101.228213556771</v>
      </c>
      <c r="I181">
        <v>0</v>
      </c>
      <c r="J181">
        <v>4512.3930283381669</v>
      </c>
      <c r="K181">
        <v>4935.4298747448702</v>
      </c>
      <c r="L181">
        <v>0.2</v>
      </c>
      <c r="M181">
        <v>0</v>
      </c>
      <c r="N181">
        <v>0.35000000000000003</v>
      </c>
      <c r="O181">
        <v>0.15000000000000002</v>
      </c>
      <c r="P181">
        <v>0.25</v>
      </c>
      <c r="Q181">
        <v>0</v>
      </c>
      <c r="R181">
        <v>0.1</v>
      </c>
      <c r="S181">
        <v>0.1</v>
      </c>
      <c r="T181">
        <v>21576.61</v>
      </c>
      <c r="U181" t="s">
        <v>94</v>
      </c>
      <c r="V181">
        <v>2</v>
      </c>
      <c r="W181">
        <v>2</v>
      </c>
      <c r="X181">
        <v>3</v>
      </c>
      <c r="Y181">
        <v>3</v>
      </c>
      <c r="Z181">
        <v>3</v>
      </c>
      <c r="AA181">
        <v>2</v>
      </c>
      <c r="AB181">
        <v>3</v>
      </c>
      <c r="AC181">
        <v>3</v>
      </c>
      <c r="AD181">
        <v>2</v>
      </c>
      <c r="AE181" s="6">
        <v>0.12318840579710146</v>
      </c>
      <c r="AF181" s="6">
        <v>0.48366013071895397</v>
      </c>
      <c r="AG181" s="6">
        <v>5.9581320450885634E-2</v>
      </c>
      <c r="AH181">
        <v>1</v>
      </c>
    </row>
    <row r="182" spans="1:34">
      <c r="A182" t="s">
        <v>210</v>
      </c>
      <c r="B182" t="s">
        <v>209</v>
      </c>
      <c r="C182">
        <v>144754</v>
      </c>
      <c r="D182">
        <v>7736</v>
      </c>
      <c r="E182">
        <v>1587.675273980743</v>
      </c>
      <c r="F182">
        <v>13995.56</v>
      </c>
      <c r="G182">
        <v>2906.6436473137446</v>
      </c>
      <c r="H182">
        <v>5506.7845266178247</v>
      </c>
      <c r="I182">
        <v>0</v>
      </c>
      <c r="J182">
        <v>1767.6778330443217</v>
      </c>
      <c r="K182">
        <v>1927.3745843162387</v>
      </c>
      <c r="L182">
        <v>0.2</v>
      </c>
      <c r="M182">
        <v>0.05</v>
      </c>
      <c r="N182">
        <v>0.35000000000000003</v>
      </c>
      <c r="O182">
        <v>0.1</v>
      </c>
      <c r="P182">
        <v>0.15000000000000002</v>
      </c>
      <c r="Q182">
        <v>0</v>
      </c>
      <c r="R182">
        <v>0.05</v>
      </c>
      <c r="S182">
        <v>0.05</v>
      </c>
      <c r="T182">
        <v>13995.56</v>
      </c>
      <c r="U182" t="s">
        <v>94</v>
      </c>
      <c r="V182">
        <v>2</v>
      </c>
      <c r="W182">
        <v>1</v>
      </c>
      <c r="X182">
        <v>3</v>
      </c>
      <c r="Y182">
        <v>3</v>
      </c>
      <c r="Z182">
        <v>3</v>
      </c>
      <c r="AA182">
        <v>2</v>
      </c>
      <c r="AB182">
        <v>3</v>
      </c>
      <c r="AC182">
        <v>3</v>
      </c>
      <c r="AD182">
        <v>2</v>
      </c>
      <c r="AE182" s="6">
        <v>0.12820512820512819</v>
      </c>
      <c r="AF182" s="6">
        <v>0.45999999999999991</v>
      </c>
      <c r="AG182" s="6">
        <v>5.8974358974358959E-2</v>
      </c>
      <c r="AH182">
        <v>0</v>
      </c>
    </row>
    <row r="183" spans="1:34">
      <c r="A183" t="s">
        <v>586</v>
      </c>
      <c r="B183" t="s">
        <v>203</v>
      </c>
      <c r="C183">
        <v>358919</v>
      </c>
      <c r="D183">
        <v>14448</v>
      </c>
      <c r="E183">
        <v>2212.9798862816215</v>
      </c>
      <c r="F183">
        <v>22147.47</v>
      </c>
      <c r="G183">
        <v>7493.618245715983</v>
      </c>
      <c r="H183">
        <v>7287.7381323869377</v>
      </c>
      <c r="I183">
        <v>8191.5300000000007</v>
      </c>
      <c r="J183">
        <v>2332.0762023638199</v>
      </c>
      <c r="K183">
        <v>2550.7083463354279</v>
      </c>
      <c r="L183">
        <v>0.25</v>
      </c>
      <c r="M183">
        <v>0.05</v>
      </c>
      <c r="N183">
        <v>0.35000000000000003</v>
      </c>
      <c r="O183">
        <v>0.1</v>
      </c>
      <c r="P183">
        <v>0.1</v>
      </c>
      <c r="Q183">
        <v>0.15000000000000002</v>
      </c>
      <c r="R183">
        <v>0.05</v>
      </c>
      <c r="S183">
        <v>0.05</v>
      </c>
      <c r="T183">
        <v>22147.47</v>
      </c>
      <c r="U183" t="s">
        <v>94</v>
      </c>
      <c r="V183">
        <v>3</v>
      </c>
      <c r="W183">
        <v>2</v>
      </c>
      <c r="X183">
        <v>3</v>
      </c>
      <c r="Y183">
        <v>3</v>
      </c>
      <c r="Z183">
        <v>4</v>
      </c>
      <c r="AA183">
        <v>3</v>
      </c>
      <c r="AB183">
        <v>4</v>
      </c>
      <c r="AC183">
        <v>4</v>
      </c>
      <c r="AD183">
        <v>3</v>
      </c>
      <c r="AE183" s="6">
        <v>0.14139344262295081</v>
      </c>
      <c r="AF183" s="6">
        <v>0.40177133655394526</v>
      </c>
      <c r="AG183" s="6">
        <v>5.6807832422586517E-2</v>
      </c>
      <c r="AH183">
        <v>0</v>
      </c>
    </row>
    <row r="184" spans="1:34">
      <c r="A184" t="s">
        <v>172</v>
      </c>
      <c r="B184" t="s">
        <v>171</v>
      </c>
      <c r="C184">
        <v>100125</v>
      </c>
      <c r="D184">
        <v>2024</v>
      </c>
      <c r="E184">
        <v>782.46237614377844</v>
      </c>
      <c r="F184">
        <v>7500</v>
      </c>
      <c r="G184">
        <v>2960.1249813816162</v>
      </c>
      <c r="H184">
        <v>2042.0259744486805</v>
      </c>
      <c r="I184">
        <v>1152.2249999999999</v>
      </c>
      <c r="J184">
        <v>655.49033779802642</v>
      </c>
      <c r="K184">
        <v>714.70909105703822</v>
      </c>
      <c r="L184">
        <v>0.25</v>
      </c>
      <c r="M184">
        <v>0.1</v>
      </c>
      <c r="N184">
        <v>0.9</v>
      </c>
      <c r="O184">
        <v>0.35000000000000003</v>
      </c>
      <c r="P184">
        <v>0.25</v>
      </c>
      <c r="Q184">
        <v>0.15000000000000002</v>
      </c>
      <c r="R184">
        <v>0.1</v>
      </c>
      <c r="S184">
        <v>0.1</v>
      </c>
      <c r="T184">
        <v>7500</v>
      </c>
      <c r="U184" t="s">
        <v>94</v>
      </c>
      <c r="V184">
        <v>3</v>
      </c>
      <c r="W184">
        <v>3</v>
      </c>
      <c r="X184">
        <v>4</v>
      </c>
      <c r="Y184">
        <v>4</v>
      </c>
      <c r="Z184">
        <v>5</v>
      </c>
      <c r="AA184">
        <v>2</v>
      </c>
      <c r="AB184">
        <v>5</v>
      </c>
      <c r="AC184">
        <v>5</v>
      </c>
      <c r="AD184">
        <v>4</v>
      </c>
      <c r="AE184" s="6">
        <v>0.16783216783216784</v>
      </c>
      <c r="AF184" s="6">
        <v>0.33333333333333331</v>
      </c>
      <c r="AG184" s="6">
        <v>5.5944055944055944E-2</v>
      </c>
      <c r="AH184">
        <v>0</v>
      </c>
    </row>
    <row r="185" spans="1:34">
      <c r="A185" t="s">
        <v>673</v>
      </c>
      <c r="B185" t="s">
        <v>203</v>
      </c>
      <c r="C185">
        <v>30715</v>
      </c>
      <c r="D185">
        <v>4654</v>
      </c>
      <c r="E185">
        <v>575.83036183599347</v>
      </c>
      <c r="F185">
        <v>9830</v>
      </c>
      <c r="G185">
        <v>1494.9659260213348</v>
      </c>
      <c r="H185">
        <v>4163.1709137784565</v>
      </c>
      <c r="I185">
        <v>0</v>
      </c>
      <c r="J185">
        <v>1332.2146924091062</v>
      </c>
      <c r="K185">
        <v>1457.1098198224595</v>
      </c>
      <c r="L185">
        <v>0.2</v>
      </c>
      <c r="M185">
        <v>0.05</v>
      </c>
      <c r="N185">
        <v>0.45</v>
      </c>
      <c r="O185">
        <v>0.05</v>
      </c>
      <c r="P185">
        <v>0.2</v>
      </c>
      <c r="Q185">
        <v>0</v>
      </c>
      <c r="R185">
        <v>0.05</v>
      </c>
      <c r="S185">
        <v>0.05</v>
      </c>
      <c r="T185">
        <v>9830</v>
      </c>
      <c r="U185" t="s">
        <v>94</v>
      </c>
      <c r="V185">
        <v>3</v>
      </c>
      <c r="W185">
        <v>1</v>
      </c>
      <c r="X185">
        <v>3</v>
      </c>
      <c r="Y185">
        <v>3</v>
      </c>
      <c r="Z185">
        <v>2</v>
      </c>
      <c r="AA185">
        <v>3</v>
      </c>
      <c r="AB185">
        <v>2</v>
      </c>
      <c r="AC185">
        <v>2</v>
      </c>
      <c r="AD185">
        <v>3</v>
      </c>
      <c r="AE185" s="6">
        <v>0.15555555555555556</v>
      </c>
      <c r="AF185" s="6">
        <v>0.35714285714285715</v>
      </c>
      <c r="AG185" s="6">
        <v>5.5555555555555559E-2</v>
      </c>
      <c r="AH185">
        <v>0</v>
      </c>
    </row>
    <row r="186" spans="1:34">
      <c r="A186" t="s">
        <v>708</v>
      </c>
      <c r="B186" t="s">
        <v>707</v>
      </c>
      <c r="C186">
        <v>11929</v>
      </c>
      <c r="D186">
        <v>1734</v>
      </c>
      <c r="E186">
        <v>3113.2588394437125</v>
      </c>
      <c r="F186">
        <v>15189.84</v>
      </c>
      <c r="G186">
        <v>6960.4254978717099</v>
      </c>
      <c r="H186">
        <v>8265.7212702245997</v>
      </c>
      <c r="I186">
        <v>18727.2</v>
      </c>
      <c r="J186">
        <v>2645.030806471872</v>
      </c>
      <c r="K186">
        <v>2893.0024445786098</v>
      </c>
      <c r="L186">
        <v>0.05</v>
      </c>
      <c r="M186">
        <v>0.05</v>
      </c>
      <c r="N186">
        <v>0.35000000000000003</v>
      </c>
      <c r="O186">
        <v>0.15000000000000002</v>
      </c>
      <c r="P186">
        <v>0.2</v>
      </c>
      <c r="Q186">
        <v>0.45</v>
      </c>
      <c r="R186">
        <v>0.05</v>
      </c>
      <c r="S186">
        <v>0.05</v>
      </c>
      <c r="T186">
        <v>18727.2</v>
      </c>
      <c r="U186" t="s">
        <v>97</v>
      </c>
      <c r="V186">
        <v>3</v>
      </c>
      <c r="W186">
        <v>3</v>
      </c>
      <c r="X186">
        <v>4</v>
      </c>
      <c r="Y186">
        <v>3</v>
      </c>
      <c r="Z186">
        <v>4</v>
      </c>
      <c r="AA186">
        <v>4</v>
      </c>
      <c r="AB186">
        <v>4</v>
      </c>
      <c r="AC186">
        <v>4</v>
      </c>
      <c r="AD186">
        <v>3</v>
      </c>
      <c r="AE186" s="6">
        <v>0.16666666666666666</v>
      </c>
      <c r="AF186" s="6">
        <v>0.33333333333333331</v>
      </c>
      <c r="AG186" s="6">
        <v>5.5555555555555552E-2</v>
      </c>
      <c r="AH186">
        <v>1</v>
      </c>
    </row>
    <row r="187" spans="1:34">
      <c r="A187" t="s">
        <v>275</v>
      </c>
      <c r="B187" t="s">
        <v>274</v>
      </c>
      <c r="C187">
        <v>149606</v>
      </c>
      <c r="D187">
        <v>0</v>
      </c>
      <c r="E187">
        <v>2746.9106472440089</v>
      </c>
      <c r="F187">
        <v>36460.945</v>
      </c>
      <c r="G187">
        <v>6729.1439243947816</v>
      </c>
      <c r="H187">
        <v>25705.486702254173</v>
      </c>
      <c r="I187">
        <v>0</v>
      </c>
      <c r="J187">
        <v>8225.7557447213348</v>
      </c>
      <c r="K187">
        <v>8996.9203457889598</v>
      </c>
      <c r="L187">
        <v>0</v>
      </c>
      <c r="M187">
        <v>0.05</v>
      </c>
      <c r="N187">
        <v>0.35000000000000003</v>
      </c>
      <c r="O187">
        <v>0.05</v>
      </c>
      <c r="P187">
        <v>0.25</v>
      </c>
      <c r="Q187">
        <v>0</v>
      </c>
      <c r="R187">
        <v>0.1</v>
      </c>
      <c r="S187">
        <v>0.1</v>
      </c>
      <c r="T187">
        <v>36460.945</v>
      </c>
      <c r="U187" t="s">
        <v>94</v>
      </c>
      <c r="V187">
        <v>2</v>
      </c>
      <c r="W187">
        <v>3</v>
      </c>
      <c r="X187">
        <v>3</v>
      </c>
      <c r="Y187">
        <v>4</v>
      </c>
      <c r="Z187">
        <v>4</v>
      </c>
      <c r="AA187">
        <v>3</v>
      </c>
      <c r="AB187">
        <v>4</v>
      </c>
      <c r="AC187">
        <v>4</v>
      </c>
      <c r="AD187">
        <v>3</v>
      </c>
      <c r="AE187" s="6">
        <v>0.13656387665198239</v>
      </c>
      <c r="AF187" s="6">
        <v>0.40143369175627236</v>
      </c>
      <c r="AG187" s="6">
        <v>5.4821341164953498E-2</v>
      </c>
      <c r="AH187">
        <v>1</v>
      </c>
    </row>
    <row r="188" spans="1:34">
      <c r="A188" t="s">
        <v>110</v>
      </c>
      <c r="B188" t="s">
        <v>109</v>
      </c>
      <c r="C188">
        <v>104228</v>
      </c>
      <c r="D188">
        <v>4082</v>
      </c>
      <c r="E188">
        <v>641.18154432629694</v>
      </c>
      <c r="F188">
        <v>11200</v>
      </c>
      <c r="G188">
        <v>1591.1768315739082</v>
      </c>
      <c r="H188">
        <v>1644.2622461458618</v>
      </c>
      <c r="I188">
        <v>6200.1</v>
      </c>
      <c r="J188">
        <v>526.16391876667569</v>
      </c>
      <c r="K188">
        <v>575.49178615105154</v>
      </c>
      <c r="L188">
        <v>0.30000000000000004</v>
      </c>
      <c r="M188">
        <v>0.05</v>
      </c>
      <c r="N188">
        <v>0.8</v>
      </c>
      <c r="O188">
        <v>0.1</v>
      </c>
      <c r="P188">
        <v>0.1</v>
      </c>
      <c r="Q188">
        <v>0.45</v>
      </c>
      <c r="R188">
        <v>0.05</v>
      </c>
      <c r="S188">
        <v>0.05</v>
      </c>
      <c r="T188">
        <v>11200</v>
      </c>
      <c r="U188" t="s">
        <v>94</v>
      </c>
      <c r="V188">
        <v>3</v>
      </c>
      <c r="W188">
        <v>2</v>
      </c>
      <c r="X188">
        <v>3</v>
      </c>
      <c r="Y188">
        <v>4</v>
      </c>
      <c r="Z188">
        <v>4</v>
      </c>
      <c r="AA188">
        <v>3</v>
      </c>
      <c r="AB188">
        <v>4</v>
      </c>
      <c r="AC188">
        <v>4</v>
      </c>
      <c r="AD188">
        <v>3</v>
      </c>
      <c r="AE188" s="6">
        <v>0.15656565656565657</v>
      </c>
      <c r="AF188" s="6">
        <v>0.3476702508960573</v>
      </c>
      <c r="AG188" s="6">
        <v>5.4433221099887762E-2</v>
      </c>
      <c r="AH188">
        <v>0</v>
      </c>
    </row>
    <row r="189" spans="1:34">
      <c r="A189" t="s">
        <v>489</v>
      </c>
      <c r="B189" t="s">
        <v>207</v>
      </c>
      <c r="C189">
        <v>135432</v>
      </c>
      <c r="D189">
        <v>32935</v>
      </c>
      <c r="E189">
        <v>1556.4735311369282</v>
      </c>
      <c r="F189">
        <v>14425.53</v>
      </c>
      <c r="G189">
        <v>2847.4822893862083</v>
      </c>
      <c r="H189">
        <v>7892.0089973949462</v>
      </c>
      <c r="I189">
        <v>5335.47</v>
      </c>
      <c r="J189">
        <v>2533.3348881637776</v>
      </c>
      <c r="K189">
        <v>2762.2031490882309</v>
      </c>
      <c r="L189">
        <v>0.85000000000000009</v>
      </c>
      <c r="M189">
        <v>0.05</v>
      </c>
      <c r="N189">
        <v>0.35000000000000003</v>
      </c>
      <c r="O189">
        <v>0.05</v>
      </c>
      <c r="P189">
        <v>0.2</v>
      </c>
      <c r="Q189">
        <v>0.15000000000000002</v>
      </c>
      <c r="R189">
        <v>0.05</v>
      </c>
      <c r="S189">
        <v>0.05</v>
      </c>
      <c r="T189">
        <v>32935</v>
      </c>
      <c r="U189" t="s">
        <v>92</v>
      </c>
      <c r="V189">
        <v>3</v>
      </c>
      <c r="W189">
        <v>1</v>
      </c>
      <c r="X189">
        <v>3</v>
      </c>
      <c r="Y189">
        <v>3</v>
      </c>
      <c r="Z189">
        <v>4</v>
      </c>
      <c r="AA189">
        <v>3</v>
      </c>
      <c r="AB189">
        <v>4</v>
      </c>
      <c r="AC189">
        <v>4</v>
      </c>
      <c r="AD189">
        <v>3</v>
      </c>
      <c r="AE189" s="6">
        <v>0.10377358490566038</v>
      </c>
      <c r="AF189" s="6">
        <v>0.51515151515151503</v>
      </c>
      <c r="AG189" s="6">
        <v>5.3459119496855334E-2</v>
      </c>
      <c r="AH189">
        <v>0</v>
      </c>
    </row>
    <row r="190" spans="1:34">
      <c r="A190" t="s">
        <v>474</v>
      </c>
      <c r="B190" t="s">
        <v>473</v>
      </c>
      <c r="C190">
        <v>252242</v>
      </c>
      <c r="D190">
        <v>14782</v>
      </c>
      <c r="E190">
        <v>8814.0211796490003</v>
      </c>
      <c r="F190">
        <v>41502.69</v>
      </c>
      <c r="G190">
        <v>14852.772180237374</v>
      </c>
      <c r="H190">
        <v>27201.837157956728</v>
      </c>
      <c r="I190">
        <v>51167.700000000004</v>
      </c>
      <c r="J190">
        <v>8731.7897277041102</v>
      </c>
      <c r="K190">
        <v>9520.6430052848536</v>
      </c>
      <c r="L190">
        <v>0.15000000000000002</v>
      </c>
      <c r="M190">
        <v>0.1</v>
      </c>
      <c r="N190">
        <v>0.35000000000000003</v>
      </c>
      <c r="O190">
        <v>0.15000000000000002</v>
      </c>
      <c r="P190">
        <v>0.25</v>
      </c>
      <c r="Q190">
        <v>0.45</v>
      </c>
      <c r="R190">
        <v>0.1</v>
      </c>
      <c r="S190">
        <v>0.1</v>
      </c>
      <c r="T190">
        <v>51167.700000000004</v>
      </c>
      <c r="U190" t="s">
        <v>97</v>
      </c>
      <c r="V190">
        <v>3</v>
      </c>
      <c r="W190">
        <v>2</v>
      </c>
      <c r="X190">
        <v>3</v>
      </c>
      <c r="Y190">
        <v>3</v>
      </c>
      <c r="Z190">
        <v>4</v>
      </c>
      <c r="AA190">
        <v>4</v>
      </c>
      <c r="AB190">
        <v>4</v>
      </c>
      <c r="AC190">
        <v>4</v>
      </c>
      <c r="AD190">
        <v>3</v>
      </c>
      <c r="AE190" s="6">
        <v>0.14285714285714285</v>
      </c>
      <c r="AF190" s="6">
        <v>0.36879432624113473</v>
      </c>
      <c r="AG190" s="6">
        <v>5.2684903748733532E-2</v>
      </c>
      <c r="AH190">
        <v>0</v>
      </c>
    </row>
    <row r="191" spans="1:34">
      <c r="A191" t="s">
        <v>472</v>
      </c>
      <c r="B191" t="s">
        <v>471</v>
      </c>
      <c r="C191">
        <v>58156</v>
      </c>
      <c r="D191">
        <v>4445</v>
      </c>
      <c r="E191">
        <v>1829.0509454631263</v>
      </c>
      <c r="F191">
        <v>14161.27</v>
      </c>
      <c r="G191">
        <v>2198.4547173935935</v>
      </c>
      <c r="H191">
        <v>9281.6287447839604</v>
      </c>
      <c r="I191">
        <v>0</v>
      </c>
      <c r="J191">
        <v>2979.4028270756512</v>
      </c>
      <c r="K191">
        <v>3248.5700606743858</v>
      </c>
      <c r="L191">
        <v>0.1</v>
      </c>
      <c r="M191">
        <v>0.05</v>
      </c>
      <c r="N191">
        <v>0.35000000000000003</v>
      </c>
      <c r="O191">
        <v>0.05</v>
      </c>
      <c r="P191">
        <v>0.25</v>
      </c>
      <c r="Q191">
        <v>0</v>
      </c>
      <c r="R191">
        <v>0.1</v>
      </c>
      <c r="S191">
        <v>0.1</v>
      </c>
      <c r="T191">
        <v>14161.27</v>
      </c>
      <c r="U191" t="s">
        <v>94</v>
      </c>
      <c r="V191">
        <v>2</v>
      </c>
      <c r="W191">
        <v>1</v>
      </c>
      <c r="X191">
        <v>3</v>
      </c>
      <c r="Y191">
        <v>3</v>
      </c>
      <c r="Z191">
        <v>3</v>
      </c>
      <c r="AA191">
        <v>3</v>
      </c>
      <c r="AB191">
        <v>3</v>
      </c>
      <c r="AC191">
        <v>3</v>
      </c>
      <c r="AD191">
        <v>3</v>
      </c>
      <c r="AE191" s="6">
        <v>0.14814814814814814</v>
      </c>
      <c r="AF191" s="6">
        <v>0.3518518518518518</v>
      </c>
      <c r="AG191" s="6">
        <v>5.212620027434841E-2</v>
      </c>
      <c r="AH191">
        <v>0</v>
      </c>
    </row>
    <row r="192" spans="1:34">
      <c r="A192" t="s">
        <v>498</v>
      </c>
      <c r="B192" t="s">
        <v>497</v>
      </c>
      <c r="C192">
        <v>33738</v>
      </c>
      <c r="D192">
        <v>161344</v>
      </c>
      <c r="E192">
        <v>21117.765311778934</v>
      </c>
      <c r="F192">
        <v>202395.05499999999</v>
      </c>
      <c r="G192">
        <v>43027.272228408598</v>
      </c>
      <c r="H192">
        <v>110727.55005107232</v>
      </c>
      <c r="I192">
        <v>0</v>
      </c>
      <c r="J192">
        <v>35432.816016343146</v>
      </c>
      <c r="K192">
        <v>38754.642517875305</v>
      </c>
      <c r="L192">
        <v>0.30000000000000004</v>
      </c>
      <c r="M192">
        <v>0.05</v>
      </c>
      <c r="N192">
        <v>0.35000000000000003</v>
      </c>
      <c r="O192">
        <v>0.1</v>
      </c>
      <c r="P192">
        <v>0.2</v>
      </c>
      <c r="Q192">
        <v>0</v>
      </c>
      <c r="R192">
        <v>0.05</v>
      </c>
      <c r="S192">
        <v>0.05</v>
      </c>
      <c r="T192">
        <v>202395.05499999999</v>
      </c>
      <c r="U192" t="s">
        <v>94</v>
      </c>
      <c r="V192">
        <v>3</v>
      </c>
      <c r="W192">
        <v>2</v>
      </c>
      <c r="X192">
        <v>3</v>
      </c>
      <c r="Y192">
        <v>3</v>
      </c>
      <c r="Z192">
        <v>3</v>
      </c>
      <c r="AA192">
        <v>2</v>
      </c>
      <c r="AB192">
        <v>3</v>
      </c>
      <c r="AC192">
        <v>3</v>
      </c>
      <c r="AD192">
        <v>3</v>
      </c>
      <c r="AE192" s="6">
        <v>0.10714285714285714</v>
      </c>
      <c r="AF192" s="6">
        <v>0.46296296296296285</v>
      </c>
      <c r="AG192" s="6">
        <v>4.9603174603174587E-2</v>
      </c>
      <c r="AH192">
        <v>0</v>
      </c>
    </row>
    <row r="193" spans="1:34">
      <c r="A193" t="s">
        <v>516</v>
      </c>
      <c r="B193" t="s">
        <v>515</v>
      </c>
      <c r="C193">
        <v>28294</v>
      </c>
      <c r="D193">
        <v>5165</v>
      </c>
      <c r="E193">
        <v>1201.0811480764187</v>
      </c>
      <c r="F193">
        <v>15082.895</v>
      </c>
      <c r="G193">
        <v>5321.9602595917095</v>
      </c>
      <c r="H193">
        <v>4978.0056190645055</v>
      </c>
      <c r="I193">
        <v>24793.8</v>
      </c>
      <c r="J193">
        <v>1592.9617981006418</v>
      </c>
      <c r="K193">
        <v>1742.3019666725768</v>
      </c>
      <c r="L193">
        <v>0.1</v>
      </c>
      <c r="M193">
        <v>0.05</v>
      </c>
      <c r="N193">
        <v>0.35000000000000003</v>
      </c>
      <c r="O193">
        <v>0.15000000000000002</v>
      </c>
      <c r="P193">
        <v>0.1</v>
      </c>
      <c r="Q193">
        <v>0.60000000000000009</v>
      </c>
      <c r="R193">
        <v>0.05</v>
      </c>
      <c r="S193">
        <v>0.05</v>
      </c>
      <c r="T193">
        <v>24793.8</v>
      </c>
      <c r="U193" t="s">
        <v>97</v>
      </c>
      <c r="V193">
        <v>2</v>
      </c>
      <c r="W193">
        <v>2</v>
      </c>
      <c r="X193">
        <v>3</v>
      </c>
      <c r="Y193">
        <v>3</v>
      </c>
      <c r="Z193">
        <v>1</v>
      </c>
      <c r="AA193">
        <v>4</v>
      </c>
      <c r="AB193">
        <v>1</v>
      </c>
      <c r="AC193">
        <v>1</v>
      </c>
      <c r="AD193">
        <v>2</v>
      </c>
      <c r="AE193" s="6">
        <v>0.1111111111111111</v>
      </c>
      <c r="AF193" s="6">
        <v>0.44444444444444431</v>
      </c>
      <c r="AG193" s="6">
        <v>4.9382716049382699E-2</v>
      </c>
      <c r="AH193">
        <v>0</v>
      </c>
    </row>
    <row r="194" spans="1:34">
      <c r="A194" t="s">
        <v>493</v>
      </c>
      <c r="B194" t="s">
        <v>318</v>
      </c>
      <c r="C194">
        <v>18218</v>
      </c>
      <c r="D194">
        <v>11748</v>
      </c>
      <c r="E194">
        <v>1863.5224573282942</v>
      </c>
      <c r="F194">
        <v>12864.424999999999</v>
      </c>
      <c r="G194">
        <v>1309.4217816871515</v>
      </c>
      <c r="H194">
        <v>8445.5399153843882</v>
      </c>
      <c r="I194">
        <v>4758.0749999999998</v>
      </c>
      <c r="J194">
        <v>2702.5727729230043</v>
      </c>
      <c r="K194">
        <v>2955.9389703845359</v>
      </c>
      <c r="L194">
        <v>0.35000000000000003</v>
      </c>
      <c r="M194">
        <v>0.05</v>
      </c>
      <c r="N194">
        <v>0.35000000000000003</v>
      </c>
      <c r="O194">
        <v>0.05</v>
      </c>
      <c r="P194">
        <v>0.25</v>
      </c>
      <c r="Q194">
        <v>0.15000000000000002</v>
      </c>
      <c r="R194">
        <v>0.1</v>
      </c>
      <c r="S194">
        <v>0.1</v>
      </c>
      <c r="T194">
        <v>12864.424999999999</v>
      </c>
      <c r="U194" t="s">
        <v>94</v>
      </c>
      <c r="V194">
        <v>3</v>
      </c>
      <c r="W194">
        <v>2</v>
      </c>
      <c r="X194">
        <v>4</v>
      </c>
      <c r="Y194">
        <v>3</v>
      </c>
      <c r="Z194">
        <v>3</v>
      </c>
      <c r="AA194">
        <v>2</v>
      </c>
      <c r="AB194">
        <v>3</v>
      </c>
      <c r="AC194">
        <v>3</v>
      </c>
      <c r="AD194">
        <v>3</v>
      </c>
      <c r="AE194" s="6">
        <v>0.14285714285714285</v>
      </c>
      <c r="AF194" s="6">
        <v>0.33333333333333331</v>
      </c>
      <c r="AG194" s="6">
        <v>4.7619047619047616E-2</v>
      </c>
      <c r="AH194">
        <v>0</v>
      </c>
    </row>
    <row r="195" spans="1:34">
      <c r="A195" t="s">
        <v>330</v>
      </c>
      <c r="B195" t="s">
        <v>329</v>
      </c>
      <c r="C195">
        <v>23388</v>
      </c>
      <c r="D195">
        <v>60234</v>
      </c>
      <c r="E195">
        <v>13084.568833454498</v>
      </c>
      <c r="F195">
        <v>78955.34</v>
      </c>
      <c r="G195">
        <v>18116.337224203919</v>
      </c>
      <c r="H195">
        <v>51769.906793867834</v>
      </c>
      <c r="I195">
        <v>0</v>
      </c>
      <c r="J195">
        <v>16566.370174037707</v>
      </c>
      <c r="K195">
        <v>18119.46737785374</v>
      </c>
      <c r="L195">
        <v>0.30000000000000004</v>
      </c>
      <c r="M195">
        <v>0.05</v>
      </c>
      <c r="N195">
        <v>0.35000000000000003</v>
      </c>
      <c r="O195">
        <v>0.1</v>
      </c>
      <c r="P195">
        <v>0.25</v>
      </c>
      <c r="Q195">
        <v>0</v>
      </c>
      <c r="R195">
        <v>0.1</v>
      </c>
      <c r="S195">
        <v>0.1</v>
      </c>
      <c r="T195">
        <v>78955.34</v>
      </c>
      <c r="U195" t="s">
        <v>94</v>
      </c>
      <c r="V195">
        <v>3</v>
      </c>
      <c r="W195">
        <v>2</v>
      </c>
      <c r="X195">
        <v>3</v>
      </c>
      <c r="Y195">
        <v>3</v>
      </c>
      <c r="Z195">
        <v>3</v>
      </c>
      <c r="AA195">
        <v>2</v>
      </c>
      <c r="AB195">
        <v>3</v>
      </c>
      <c r="AC195">
        <v>3</v>
      </c>
      <c r="AD195">
        <v>3</v>
      </c>
      <c r="AE195" s="6">
        <v>0.13698630136986301</v>
      </c>
      <c r="AF195" s="6">
        <v>0.33333333333333331</v>
      </c>
      <c r="AG195" s="6">
        <v>4.5662100456621002E-2</v>
      </c>
      <c r="AH195">
        <v>0</v>
      </c>
    </row>
    <row r="196" spans="1:34">
      <c r="A196" t="s">
        <v>702</v>
      </c>
      <c r="B196" t="s">
        <v>701</v>
      </c>
      <c r="C196">
        <v>21966</v>
      </c>
      <c r="D196">
        <v>13497</v>
      </c>
      <c r="E196">
        <v>3796.9556356222247</v>
      </c>
      <c r="F196">
        <v>33534.375</v>
      </c>
      <c r="G196">
        <v>12126.705141717055</v>
      </c>
      <c r="H196">
        <v>18248.105096642761</v>
      </c>
      <c r="I196">
        <v>55125</v>
      </c>
      <c r="J196">
        <v>5857.6417360223268</v>
      </c>
      <c r="K196">
        <v>6386.836783824966</v>
      </c>
      <c r="L196">
        <v>0.15000000000000002</v>
      </c>
      <c r="M196">
        <v>0.05</v>
      </c>
      <c r="N196">
        <v>0.35000000000000003</v>
      </c>
      <c r="O196">
        <v>0.15000000000000002</v>
      </c>
      <c r="P196">
        <v>0.2</v>
      </c>
      <c r="Q196">
        <v>0.60000000000000009</v>
      </c>
      <c r="R196">
        <v>0.05</v>
      </c>
      <c r="S196">
        <v>0.05</v>
      </c>
      <c r="T196">
        <v>55125</v>
      </c>
      <c r="U196" t="s">
        <v>97</v>
      </c>
      <c r="V196">
        <v>3</v>
      </c>
      <c r="W196">
        <v>3</v>
      </c>
      <c r="X196">
        <v>3</v>
      </c>
      <c r="Y196">
        <v>3</v>
      </c>
      <c r="Z196">
        <v>4</v>
      </c>
      <c r="AA196">
        <v>3</v>
      </c>
      <c r="AB196">
        <v>4</v>
      </c>
      <c r="AC196">
        <v>4</v>
      </c>
      <c r="AD196">
        <v>3</v>
      </c>
      <c r="AE196" s="6">
        <v>0.11538461538461539</v>
      </c>
      <c r="AF196" s="6">
        <v>0.38888888888888867</v>
      </c>
      <c r="AG196" s="6">
        <v>4.4871794871794851E-2</v>
      </c>
      <c r="AH196">
        <v>1</v>
      </c>
    </row>
    <row r="197" spans="1:34">
      <c r="A197" t="s">
        <v>716</v>
      </c>
      <c r="B197" t="s">
        <v>715</v>
      </c>
      <c r="C197">
        <v>128729</v>
      </c>
      <c r="D197">
        <v>3964</v>
      </c>
      <c r="E197">
        <v>982.13525880133534</v>
      </c>
      <c r="F197">
        <v>9100</v>
      </c>
      <c r="G197">
        <v>1347.7145588794669</v>
      </c>
      <c r="H197">
        <v>2586.5263587700383</v>
      </c>
      <c r="I197">
        <v>7783.7999999999993</v>
      </c>
      <c r="J197">
        <v>827.68843480641226</v>
      </c>
      <c r="K197">
        <v>905.28422556951341</v>
      </c>
      <c r="L197">
        <v>0.30000000000000004</v>
      </c>
      <c r="M197">
        <v>0.1</v>
      </c>
      <c r="N197">
        <v>0.70000000000000007</v>
      </c>
      <c r="O197">
        <v>0.1</v>
      </c>
      <c r="P197">
        <v>0.2</v>
      </c>
      <c r="Q197">
        <v>0.60000000000000009</v>
      </c>
      <c r="R197">
        <v>0.05</v>
      </c>
      <c r="S197">
        <v>0.05</v>
      </c>
      <c r="T197">
        <v>9100</v>
      </c>
      <c r="U197" t="s">
        <v>94</v>
      </c>
      <c r="V197">
        <v>2</v>
      </c>
      <c r="W197">
        <v>2</v>
      </c>
      <c r="X197">
        <v>4</v>
      </c>
      <c r="Y197">
        <v>5</v>
      </c>
      <c r="Z197">
        <v>4</v>
      </c>
      <c r="AA197">
        <v>3</v>
      </c>
      <c r="AB197">
        <v>4</v>
      </c>
      <c r="AC197">
        <v>4</v>
      </c>
      <c r="AD197">
        <v>4</v>
      </c>
      <c r="AE197" s="6">
        <v>0.11724137931034483</v>
      </c>
      <c r="AF197" s="6">
        <v>0.38235294117647056</v>
      </c>
      <c r="AG197" s="6">
        <v>4.4827586206896551E-2</v>
      </c>
      <c r="AH197">
        <v>0</v>
      </c>
    </row>
    <row r="198" spans="1:34">
      <c r="A198" t="s">
        <v>659</v>
      </c>
      <c r="B198" t="s">
        <v>658</v>
      </c>
      <c r="C198">
        <v>19031</v>
      </c>
      <c r="D198">
        <v>2917</v>
      </c>
      <c r="E198">
        <v>1571.4522412250521</v>
      </c>
      <c r="F198">
        <v>17747.395</v>
      </c>
      <c r="G198">
        <v>4229.6640949479497</v>
      </c>
      <c r="H198">
        <v>5881.5431542640636</v>
      </c>
      <c r="I198">
        <v>0</v>
      </c>
      <c r="J198">
        <v>1882.0938093645004</v>
      </c>
      <c r="K198">
        <v>2058.5401039924218</v>
      </c>
      <c r="L198">
        <v>0.05</v>
      </c>
      <c r="M198">
        <v>0.05</v>
      </c>
      <c r="N198">
        <v>0.35000000000000003</v>
      </c>
      <c r="O198">
        <v>0.1</v>
      </c>
      <c r="P198">
        <v>0.1</v>
      </c>
      <c r="Q198">
        <v>0</v>
      </c>
      <c r="R198">
        <v>0.05</v>
      </c>
      <c r="S198">
        <v>0.05</v>
      </c>
      <c r="T198">
        <v>17747.395</v>
      </c>
      <c r="U198" t="s">
        <v>94</v>
      </c>
      <c r="V198">
        <v>3</v>
      </c>
      <c r="W198">
        <v>1</v>
      </c>
      <c r="X198">
        <v>3</v>
      </c>
      <c r="Y198">
        <v>3</v>
      </c>
      <c r="Z198">
        <v>4</v>
      </c>
      <c r="AA198">
        <v>2</v>
      </c>
      <c r="AB198">
        <v>4</v>
      </c>
      <c r="AC198">
        <v>4</v>
      </c>
      <c r="AD198">
        <v>3</v>
      </c>
      <c r="AE198" s="6">
        <v>0.1</v>
      </c>
      <c r="AF198" s="6">
        <v>0.44444444444444431</v>
      </c>
      <c r="AG198" s="6">
        <v>4.4444444444444432E-2</v>
      </c>
      <c r="AH198">
        <v>0</v>
      </c>
    </row>
    <row r="199" spans="1:34">
      <c r="A199" t="s">
        <v>234</v>
      </c>
      <c r="B199" t="s">
        <v>233</v>
      </c>
      <c r="C199">
        <v>40126</v>
      </c>
      <c r="D199">
        <v>7045</v>
      </c>
      <c r="E199">
        <v>1855.7296584467563</v>
      </c>
      <c r="F199">
        <v>8120.52</v>
      </c>
      <c r="G199">
        <v>3844.302297622447</v>
      </c>
      <c r="H199">
        <v>5330.8961390804643</v>
      </c>
      <c r="I199">
        <v>13348.8</v>
      </c>
      <c r="J199">
        <v>1705.8867645057487</v>
      </c>
      <c r="K199">
        <v>1865.8136486781621</v>
      </c>
      <c r="L199">
        <v>0.30000000000000004</v>
      </c>
      <c r="M199">
        <v>0.1</v>
      </c>
      <c r="N199">
        <v>0.35000000000000003</v>
      </c>
      <c r="O199">
        <v>0.15000000000000002</v>
      </c>
      <c r="P199">
        <v>0.25</v>
      </c>
      <c r="Q199">
        <v>0.60000000000000009</v>
      </c>
      <c r="R199">
        <v>0.1</v>
      </c>
      <c r="S199">
        <v>0.1</v>
      </c>
      <c r="T199">
        <v>13348.8</v>
      </c>
      <c r="U199" t="s">
        <v>97</v>
      </c>
      <c r="V199">
        <v>2</v>
      </c>
      <c r="W199">
        <v>2</v>
      </c>
      <c r="X199">
        <v>3</v>
      </c>
      <c r="Y199">
        <v>3</v>
      </c>
      <c r="Z199">
        <v>3</v>
      </c>
      <c r="AA199">
        <v>3</v>
      </c>
      <c r="AB199">
        <v>3</v>
      </c>
      <c r="AC199">
        <v>3</v>
      </c>
      <c r="AD199">
        <v>3</v>
      </c>
      <c r="AE199" s="6">
        <v>0.125</v>
      </c>
      <c r="AF199" s="6">
        <v>0.33333333333333331</v>
      </c>
      <c r="AG199" s="6">
        <v>4.1666666666666664E-2</v>
      </c>
      <c r="AH199">
        <v>0</v>
      </c>
    </row>
    <row r="200" spans="1:34">
      <c r="A200" t="s">
        <v>510</v>
      </c>
      <c r="B200" t="s">
        <v>509</v>
      </c>
      <c r="C200">
        <v>24238</v>
      </c>
      <c r="D200">
        <v>2610</v>
      </c>
      <c r="E200">
        <v>1948.696026563121</v>
      </c>
      <c r="F200">
        <v>26673.47</v>
      </c>
      <c r="G200">
        <v>9683.3668470724515</v>
      </c>
      <c r="H200">
        <v>8803.3950736876777</v>
      </c>
      <c r="I200">
        <v>43846.799999999996</v>
      </c>
      <c r="J200">
        <v>2825.8898186537444</v>
      </c>
      <c r="K200">
        <v>3081.1882757906874</v>
      </c>
      <c r="L200">
        <v>0.05</v>
      </c>
      <c r="M200">
        <v>0.05</v>
      </c>
      <c r="N200">
        <v>0.35000000000000003</v>
      </c>
      <c r="O200">
        <v>0.15000000000000002</v>
      </c>
      <c r="P200">
        <v>0.1</v>
      </c>
      <c r="Q200">
        <v>0.60000000000000009</v>
      </c>
      <c r="R200">
        <v>0.05</v>
      </c>
      <c r="S200">
        <v>0.05</v>
      </c>
      <c r="T200">
        <v>43846.799999999996</v>
      </c>
      <c r="U200" t="s">
        <v>97</v>
      </c>
      <c r="V200">
        <v>3</v>
      </c>
      <c r="W200">
        <v>2</v>
      </c>
      <c r="X200">
        <v>3</v>
      </c>
      <c r="Y200">
        <v>3</v>
      </c>
      <c r="Z200">
        <v>3</v>
      </c>
      <c r="AA200">
        <v>2</v>
      </c>
      <c r="AB200">
        <v>3</v>
      </c>
      <c r="AC200">
        <v>3</v>
      </c>
      <c r="AD200">
        <v>3</v>
      </c>
      <c r="AE200" s="6">
        <v>0.125</v>
      </c>
      <c r="AF200" s="6">
        <v>0.33333333333333331</v>
      </c>
      <c r="AG200" s="6">
        <v>4.1666666666666664E-2</v>
      </c>
      <c r="AH200">
        <v>0</v>
      </c>
    </row>
    <row r="201" spans="1:34">
      <c r="A201" t="s">
        <v>523</v>
      </c>
      <c r="B201" t="s">
        <v>522</v>
      </c>
      <c r="C201">
        <v>40409</v>
      </c>
      <c r="D201">
        <v>450</v>
      </c>
      <c r="E201">
        <v>1000.7781082326004</v>
      </c>
      <c r="F201">
        <v>9863.3950000000004</v>
      </c>
      <c r="G201">
        <v>1166.3467736388704</v>
      </c>
      <c r="H201">
        <v>1085.1151968958382</v>
      </c>
      <c r="I201">
        <v>3648.105</v>
      </c>
      <c r="J201">
        <v>347.23686300666822</v>
      </c>
      <c r="K201">
        <v>379.79031891354339</v>
      </c>
      <c r="L201">
        <v>0</v>
      </c>
      <c r="M201">
        <v>0.05</v>
      </c>
      <c r="N201">
        <v>0.35000000000000003</v>
      </c>
      <c r="O201">
        <v>0.05</v>
      </c>
      <c r="P201">
        <v>0.05</v>
      </c>
      <c r="Q201">
        <v>0.15000000000000002</v>
      </c>
      <c r="R201">
        <v>0</v>
      </c>
      <c r="S201">
        <v>0</v>
      </c>
      <c r="T201">
        <v>9863.3950000000004</v>
      </c>
      <c r="U201" t="s">
        <v>94</v>
      </c>
      <c r="V201">
        <v>2</v>
      </c>
      <c r="W201">
        <v>2</v>
      </c>
      <c r="X201">
        <v>3</v>
      </c>
      <c r="Y201">
        <v>3</v>
      </c>
      <c r="Z201">
        <v>2</v>
      </c>
      <c r="AA201">
        <v>4</v>
      </c>
      <c r="AB201">
        <v>2</v>
      </c>
      <c r="AC201">
        <v>2</v>
      </c>
      <c r="AD201">
        <v>2</v>
      </c>
      <c r="AE201" s="6">
        <v>0.10416666666666667</v>
      </c>
      <c r="AF201" s="6">
        <v>0.39999999999999991</v>
      </c>
      <c r="AG201" s="6">
        <v>4.1666666666666657E-2</v>
      </c>
      <c r="AH201">
        <v>0</v>
      </c>
    </row>
    <row r="202" spans="1:34">
      <c r="A202" t="s">
        <v>735</v>
      </c>
      <c r="B202" t="s">
        <v>734</v>
      </c>
      <c r="C202">
        <v>65545</v>
      </c>
      <c r="D202">
        <v>28723</v>
      </c>
      <c r="E202">
        <v>2943.3221117728585</v>
      </c>
      <c r="F202">
        <v>25600</v>
      </c>
      <c r="G202">
        <v>11444.747850492135</v>
      </c>
      <c r="H202">
        <v>15975.150918629586</v>
      </c>
      <c r="I202">
        <v>40215.599999999999</v>
      </c>
      <c r="J202">
        <v>5128.0234448800966</v>
      </c>
      <c r="K202">
        <v>5591.3028215203549</v>
      </c>
      <c r="L202">
        <v>0.45</v>
      </c>
      <c r="M202">
        <v>0.05</v>
      </c>
      <c r="N202">
        <v>0.4</v>
      </c>
      <c r="O202">
        <v>0.15000000000000002</v>
      </c>
      <c r="P202">
        <v>0.25</v>
      </c>
      <c r="Q202">
        <v>0.60000000000000009</v>
      </c>
      <c r="R202">
        <v>0.1</v>
      </c>
      <c r="S202">
        <v>0.1</v>
      </c>
      <c r="T202">
        <v>40215.599999999999</v>
      </c>
      <c r="U202" t="s">
        <v>97</v>
      </c>
      <c r="V202">
        <v>4</v>
      </c>
      <c r="W202">
        <v>1</v>
      </c>
      <c r="X202">
        <v>4</v>
      </c>
      <c r="Y202">
        <v>5</v>
      </c>
      <c r="Z202">
        <v>4</v>
      </c>
      <c r="AA202">
        <v>4</v>
      </c>
      <c r="AB202">
        <v>4</v>
      </c>
      <c r="AC202">
        <v>4</v>
      </c>
      <c r="AD202">
        <v>4</v>
      </c>
      <c r="AE202" s="6">
        <v>7.8947368421052627E-2</v>
      </c>
      <c r="AF202" s="6">
        <v>0.52777777777777757</v>
      </c>
      <c r="AG202" s="6">
        <v>4.166666666666665E-2</v>
      </c>
      <c r="AH202">
        <v>0</v>
      </c>
    </row>
    <row r="203" spans="1:34">
      <c r="A203" t="s">
        <v>283</v>
      </c>
      <c r="B203" t="s">
        <v>282</v>
      </c>
      <c r="C203">
        <v>182493</v>
      </c>
      <c r="D203">
        <v>4312</v>
      </c>
      <c r="E203">
        <v>314.40830904005691</v>
      </c>
      <c r="F203">
        <v>7700</v>
      </c>
      <c r="G203">
        <v>303.65470564064265</v>
      </c>
      <c r="H203">
        <v>5548.0393350945496</v>
      </c>
      <c r="I203">
        <v>0</v>
      </c>
      <c r="J203">
        <v>1780.9206265653504</v>
      </c>
      <c r="K203">
        <v>1941.8137672830919</v>
      </c>
      <c r="L203">
        <v>0.35000000000000003</v>
      </c>
      <c r="M203">
        <v>0</v>
      </c>
      <c r="N203">
        <v>0.60000000000000009</v>
      </c>
      <c r="O203">
        <v>0</v>
      </c>
      <c r="P203">
        <v>0.45</v>
      </c>
      <c r="Q203">
        <v>0</v>
      </c>
      <c r="R203">
        <v>0.15000000000000002</v>
      </c>
      <c r="S203">
        <v>0.15000000000000002</v>
      </c>
      <c r="T203">
        <v>7700</v>
      </c>
      <c r="U203" t="s">
        <v>94</v>
      </c>
      <c r="V203">
        <v>2</v>
      </c>
      <c r="W203">
        <v>2</v>
      </c>
      <c r="X203">
        <v>3</v>
      </c>
      <c r="Y203">
        <v>3</v>
      </c>
      <c r="Z203">
        <v>4</v>
      </c>
      <c r="AA203">
        <v>2</v>
      </c>
      <c r="AB203">
        <v>4</v>
      </c>
      <c r="AC203">
        <v>4</v>
      </c>
      <c r="AD203">
        <v>2</v>
      </c>
      <c r="AE203" s="6">
        <v>0.11913357400722022</v>
      </c>
      <c r="AF203" s="6">
        <v>0.34343434343434343</v>
      </c>
      <c r="AG203" s="6">
        <v>4.0914560770156434E-2</v>
      </c>
      <c r="AH203">
        <v>0</v>
      </c>
    </row>
    <row r="204" spans="1:34">
      <c r="A204" t="s">
        <v>728</v>
      </c>
      <c r="B204" t="s">
        <v>727</v>
      </c>
      <c r="C204">
        <v>122734</v>
      </c>
      <c r="D204">
        <v>0</v>
      </c>
      <c r="E204">
        <v>6512.8598284746859</v>
      </c>
      <c r="F204">
        <v>45807.864999999998</v>
      </c>
      <c r="G204">
        <v>15704.379175137039</v>
      </c>
      <c r="H204">
        <v>29912.234288767508</v>
      </c>
      <c r="I204">
        <v>16942.635000000002</v>
      </c>
      <c r="J204">
        <v>9571.9149724056024</v>
      </c>
      <c r="K204">
        <v>10469.282001068626</v>
      </c>
      <c r="L204">
        <v>0</v>
      </c>
      <c r="M204">
        <v>0.05</v>
      </c>
      <c r="N204">
        <v>0.35000000000000003</v>
      </c>
      <c r="O204">
        <v>0.15000000000000002</v>
      </c>
      <c r="P204">
        <v>0.25</v>
      </c>
      <c r="Q204">
        <v>0.15000000000000002</v>
      </c>
      <c r="R204">
        <v>0.1</v>
      </c>
      <c r="S204">
        <v>0.1</v>
      </c>
      <c r="T204">
        <v>45807.864999999998</v>
      </c>
      <c r="U204" t="s">
        <v>94</v>
      </c>
      <c r="V204">
        <v>1</v>
      </c>
      <c r="W204">
        <v>2</v>
      </c>
      <c r="X204">
        <v>4</v>
      </c>
      <c r="Y204">
        <v>4</v>
      </c>
      <c r="Z204">
        <v>4</v>
      </c>
      <c r="AA204">
        <v>3</v>
      </c>
      <c r="AB204">
        <v>4</v>
      </c>
      <c r="AC204">
        <v>4</v>
      </c>
      <c r="AD204">
        <v>3</v>
      </c>
      <c r="AE204" s="6">
        <v>9.8591549295774641E-2</v>
      </c>
      <c r="AF204" s="6">
        <v>0.39417989417989424</v>
      </c>
      <c r="AG204" s="6">
        <v>3.8862806468440272E-2</v>
      </c>
      <c r="AH204">
        <v>0</v>
      </c>
    </row>
    <row r="205" spans="1:34">
      <c r="A205" t="s">
        <v>500</v>
      </c>
      <c r="B205" t="s">
        <v>227</v>
      </c>
      <c r="C205">
        <v>62751</v>
      </c>
      <c r="D205">
        <v>8737</v>
      </c>
      <c r="E205">
        <v>898.68985601416614</v>
      </c>
      <c r="F205">
        <v>10436.81</v>
      </c>
      <c r="G205">
        <v>2770.1186547035877</v>
      </c>
      <c r="H205">
        <v>5709.8351619733603</v>
      </c>
      <c r="I205">
        <v>0</v>
      </c>
      <c r="J205">
        <v>1827.1472518314754</v>
      </c>
      <c r="K205">
        <v>1998.4423066906759</v>
      </c>
      <c r="L205">
        <v>0.30000000000000004</v>
      </c>
      <c r="M205">
        <v>0.05</v>
      </c>
      <c r="N205">
        <v>0.35000000000000003</v>
      </c>
      <c r="O205">
        <v>0.1</v>
      </c>
      <c r="P205">
        <v>0.2</v>
      </c>
      <c r="Q205">
        <v>0</v>
      </c>
      <c r="R205">
        <v>0.05</v>
      </c>
      <c r="S205">
        <v>0.05</v>
      </c>
      <c r="T205">
        <v>10436.81</v>
      </c>
      <c r="U205" t="s">
        <v>94</v>
      </c>
      <c r="V205">
        <v>3</v>
      </c>
      <c r="W205">
        <v>2</v>
      </c>
      <c r="X205">
        <v>3</v>
      </c>
      <c r="Y205">
        <v>4</v>
      </c>
      <c r="Z205">
        <v>3</v>
      </c>
      <c r="AA205">
        <v>2</v>
      </c>
      <c r="AB205">
        <v>3</v>
      </c>
      <c r="AC205">
        <v>3</v>
      </c>
      <c r="AD205">
        <v>3</v>
      </c>
      <c r="AE205" s="6">
        <v>0.11627906976744186</v>
      </c>
      <c r="AF205" s="6">
        <v>0.33333333333333331</v>
      </c>
      <c r="AG205" s="6">
        <v>3.875968992248062E-2</v>
      </c>
      <c r="AH205">
        <v>0</v>
      </c>
    </row>
    <row r="206" spans="1:34">
      <c r="A206" t="s">
        <v>529</v>
      </c>
      <c r="B206" t="s">
        <v>528</v>
      </c>
      <c r="C206">
        <v>97667</v>
      </c>
      <c r="D206">
        <v>11556</v>
      </c>
      <c r="E206">
        <v>790.32703456896263</v>
      </c>
      <c r="F206">
        <v>7732.5249999999996</v>
      </c>
      <c r="G206">
        <v>1456.9017377648943</v>
      </c>
      <c r="H206">
        <v>2009.9342229665276</v>
      </c>
      <c r="I206">
        <v>0</v>
      </c>
      <c r="J206">
        <v>643.17895134928881</v>
      </c>
      <c r="K206">
        <v>703.47697803828476</v>
      </c>
      <c r="L206">
        <v>0.55000000000000004</v>
      </c>
      <c r="M206">
        <v>0.05</v>
      </c>
      <c r="N206">
        <v>0.35000000000000003</v>
      </c>
      <c r="O206">
        <v>0.05</v>
      </c>
      <c r="P206">
        <v>0.1</v>
      </c>
      <c r="Q206">
        <v>0</v>
      </c>
      <c r="R206">
        <v>0.05</v>
      </c>
      <c r="S206">
        <v>0.05</v>
      </c>
      <c r="T206">
        <v>11556</v>
      </c>
      <c r="U206" t="s">
        <v>92</v>
      </c>
      <c r="V206">
        <v>2</v>
      </c>
      <c r="W206">
        <v>2</v>
      </c>
      <c r="X206">
        <v>3</v>
      </c>
      <c r="Y206">
        <v>3</v>
      </c>
      <c r="Z206">
        <v>2</v>
      </c>
      <c r="AA206">
        <v>4</v>
      </c>
      <c r="AB206">
        <v>2</v>
      </c>
      <c r="AC206">
        <v>2</v>
      </c>
      <c r="AD206">
        <v>2</v>
      </c>
      <c r="AE206" s="6">
        <v>8.3333333333333329E-2</v>
      </c>
      <c r="AF206" s="6">
        <v>0.44444444444444436</v>
      </c>
      <c r="AG206" s="6">
        <v>3.7037037037037028E-2</v>
      </c>
      <c r="AH206">
        <v>0</v>
      </c>
    </row>
    <row r="207" spans="1:34">
      <c r="A207" t="s">
        <v>470</v>
      </c>
      <c r="B207" t="s">
        <v>469</v>
      </c>
      <c r="C207">
        <v>117888</v>
      </c>
      <c r="D207">
        <v>684</v>
      </c>
      <c r="E207">
        <v>1624.1428270476888</v>
      </c>
      <c r="F207">
        <v>25472.255000000001</v>
      </c>
      <c r="G207">
        <v>12153.83749973066</v>
      </c>
      <c r="H207">
        <v>13912.59483332986</v>
      </c>
      <c r="I207">
        <v>0</v>
      </c>
      <c r="J207">
        <v>4452.030346665555</v>
      </c>
      <c r="K207">
        <v>4869.4081916654504</v>
      </c>
      <c r="L207">
        <v>0</v>
      </c>
      <c r="M207">
        <v>0</v>
      </c>
      <c r="N207">
        <v>0.35000000000000003</v>
      </c>
      <c r="O207">
        <v>0.15000000000000002</v>
      </c>
      <c r="P207">
        <v>0.2</v>
      </c>
      <c r="Q207">
        <v>0</v>
      </c>
      <c r="R207">
        <v>0.05</v>
      </c>
      <c r="S207">
        <v>0.05</v>
      </c>
      <c r="T207">
        <v>25472.255000000001</v>
      </c>
      <c r="U207" t="s">
        <v>94</v>
      </c>
      <c r="V207">
        <v>3</v>
      </c>
      <c r="W207">
        <v>2</v>
      </c>
      <c r="X207">
        <v>3</v>
      </c>
      <c r="Y207">
        <v>3</v>
      </c>
      <c r="Z207">
        <v>4</v>
      </c>
      <c r="AA207">
        <v>2</v>
      </c>
      <c r="AB207">
        <v>4</v>
      </c>
      <c r="AC207">
        <v>4</v>
      </c>
      <c r="AD207">
        <v>3</v>
      </c>
      <c r="AE207" s="6">
        <v>7.6086956521739135E-2</v>
      </c>
      <c r="AF207" s="6">
        <v>0.46825396825396809</v>
      </c>
      <c r="AG207" s="6">
        <v>3.5628019323671489E-2</v>
      </c>
      <c r="AH207">
        <v>0</v>
      </c>
    </row>
    <row r="208" spans="1:34">
      <c r="A208" t="s">
        <v>748</v>
      </c>
      <c r="B208" t="s">
        <v>747</v>
      </c>
      <c r="C208">
        <v>352920</v>
      </c>
      <c r="D208">
        <v>16275</v>
      </c>
      <c r="E208">
        <v>18458.621817052488</v>
      </c>
      <c r="F208">
        <v>131724.12</v>
      </c>
      <c r="G208">
        <v>30713.05727595514</v>
      </c>
      <c r="H208">
        <v>143848.22999999998</v>
      </c>
      <c r="I208">
        <v>162399.6</v>
      </c>
      <c r="J208">
        <v>46031.433599999997</v>
      </c>
      <c r="K208">
        <v>50346.880499999999</v>
      </c>
      <c r="L208">
        <v>0.05</v>
      </c>
      <c r="M208">
        <v>0.05</v>
      </c>
      <c r="N208">
        <v>0.35000000000000003</v>
      </c>
      <c r="O208">
        <v>0.1</v>
      </c>
      <c r="P208">
        <v>0.4</v>
      </c>
      <c r="Q208">
        <v>0.45</v>
      </c>
      <c r="R208">
        <v>0.15000000000000002</v>
      </c>
      <c r="S208">
        <v>0.15000000000000002</v>
      </c>
      <c r="T208">
        <v>162399.6</v>
      </c>
      <c r="U208" t="s">
        <v>97</v>
      </c>
      <c r="V208">
        <v>2</v>
      </c>
      <c r="W208">
        <v>3</v>
      </c>
      <c r="X208">
        <v>3</v>
      </c>
      <c r="Y208">
        <v>4</v>
      </c>
      <c r="Z208">
        <v>4</v>
      </c>
      <c r="AA208">
        <v>3</v>
      </c>
      <c r="AB208">
        <v>4</v>
      </c>
      <c r="AC208">
        <v>4</v>
      </c>
      <c r="AD208">
        <v>3</v>
      </c>
      <c r="AE208" s="6">
        <v>7.6062639821029079E-2</v>
      </c>
      <c r="AF208" s="6">
        <v>0.46568627450980382</v>
      </c>
      <c r="AG208" s="6">
        <v>3.5421327367636084E-2</v>
      </c>
      <c r="AH208">
        <v>0</v>
      </c>
    </row>
    <row r="209" spans="1:34">
      <c r="A209" t="s">
        <v>395</v>
      </c>
      <c r="B209" t="s">
        <v>237</v>
      </c>
      <c r="C209">
        <v>47245</v>
      </c>
      <c r="D209">
        <v>3589</v>
      </c>
      <c r="E209">
        <v>1189.1478528783309</v>
      </c>
      <c r="F209">
        <v>14200</v>
      </c>
      <c r="G209">
        <v>2387.1514870308474</v>
      </c>
      <c r="H209">
        <v>7269.7336864531699</v>
      </c>
      <c r="I209">
        <v>0</v>
      </c>
      <c r="J209">
        <v>2333.5845133514676</v>
      </c>
      <c r="K209">
        <v>2544.4067902586098</v>
      </c>
      <c r="L209">
        <v>0.1</v>
      </c>
      <c r="M209">
        <v>0.05</v>
      </c>
      <c r="N209">
        <v>0.4</v>
      </c>
      <c r="O209">
        <v>0.05</v>
      </c>
      <c r="P209">
        <v>0.2</v>
      </c>
      <c r="Q209">
        <v>0</v>
      </c>
      <c r="R209">
        <v>0.05</v>
      </c>
      <c r="S209">
        <v>0.05</v>
      </c>
      <c r="T209">
        <v>14200</v>
      </c>
      <c r="U209" t="s">
        <v>94</v>
      </c>
      <c r="V209">
        <v>3</v>
      </c>
      <c r="W209">
        <v>2</v>
      </c>
      <c r="X209">
        <v>3</v>
      </c>
      <c r="Y209">
        <v>3</v>
      </c>
      <c r="Z209">
        <v>3</v>
      </c>
      <c r="AA209">
        <v>3</v>
      </c>
      <c r="AB209">
        <v>3</v>
      </c>
      <c r="AC209">
        <v>3</v>
      </c>
      <c r="AD209">
        <v>3</v>
      </c>
      <c r="AE209" s="6">
        <v>8.3333333333333329E-2</v>
      </c>
      <c r="AF209" s="6">
        <v>0.41666666666666669</v>
      </c>
      <c r="AG209" s="6">
        <v>3.4722222222222224E-2</v>
      </c>
      <c r="AH209">
        <v>0</v>
      </c>
    </row>
    <row r="210" spans="1:34">
      <c r="A210" t="s">
        <v>525</v>
      </c>
      <c r="B210" t="s">
        <v>524</v>
      </c>
      <c r="C210">
        <v>48952</v>
      </c>
      <c r="D210">
        <v>0</v>
      </c>
      <c r="E210">
        <v>1103.2166846083849</v>
      </c>
      <c r="F210">
        <v>13781.67</v>
      </c>
      <c r="G210">
        <v>2402.4245040400083</v>
      </c>
      <c r="H210">
        <v>4548.5452693327561</v>
      </c>
      <c r="I210">
        <v>22654.799999999999</v>
      </c>
      <c r="J210">
        <v>1455.5344861864819</v>
      </c>
      <c r="K210">
        <v>1591.9908442664644</v>
      </c>
      <c r="L210">
        <v>0</v>
      </c>
      <c r="M210">
        <v>0.05</v>
      </c>
      <c r="N210">
        <v>0.35000000000000003</v>
      </c>
      <c r="O210">
        <v>0.05</v>
      </c>
      <c r="P210">
        <v>0.1</v>
      </c>
      <c r="Q210">
        <v>0.60000000000000009</v>
      </c>
      <c r="R210">
        <v>0.05</v>
      </c>
      <c r="S210">
        <v>0.05</v>
      </c>
      <c r="T210">
        <v>22654.799999999999</v>
      </c>
      <c r="U210" t="s">
        <v>97</v>
      </c>
      <c r="V210">
        <v>1</v>
      </c>
      <c r="W210">
        <v>2</v>
      </c>
      <c r="X210">
        <v>3</v>
      </c>
      <c r="Y210">
        <v>3</v>
      </c>
      <c r="Z210">
        <v>1</v>
      </c>
      <c r="AA210">
        <v>4</v>
      </c>
      <c r="AB210">
        <v>1</v>
      </c>
      <c r="AC210">
        <v>1</v>
      </c>
      <c r="AD210">
        <v>2</v>
      </c>
      <c r="AE210" s="6">
        <v>7.792207792207792E-2</v>
      </c>
      <c r="AF210" s="6">
        <v>0.42592592592592582</v>
      </c>
      <c r="AG210" s="6">
        <v>3.3189033189033178E-2</v>
      </c>
      <c r="AH210">
        <v>0</v>
      </c>
    </row>
    <row r="211" spans="1:34">
      <c r="A211" t="s">
        <v>185</v>
      </c>
      <c r="B211" t="s">
        <v>184</v>
      </c>
      <c r="C211">
        <v>407109</v>
      </c>
      <c r="D211">
        <v>2602</v>
      </c>
      <c r="E211">
        <v>2820.5739515941978</v>
      </c>
      <c r="F211">
        <v>42740.404999999999</v>
      </c>
      <c r="G211">
        <v>13587.822532323293</v>
      </c>
      <c r="H211">
        <v>23360.799347315569</v>
      </c>
      <c r="I211">
        <v>0</v>
      </c>
      <c r="J211">
        <v>7498.8165904882981</v>
      </c>
      <c r="K211">
        <v>8176.2797715604493</v>
      </c>
      <c r="L211">
        <v>0</v>
      </c>
      <c r="M211">
        <v>0</v>
      </c>
      <c r="N211">
        <v>0.35000000000000003</v>
      </c>
      <c r="O211">
        <v>0.1</v>
      </c>
      <c r="P211">
        <v>0.2</v>
      </c>
      <c r="Q211">
        <v>0</v>
      </c>
      <c r="R211">
        <v>0.05</v>
      </c>
      <c r="S211">
        <v>0.05</v>
      </c>
      <c r="T211">
        <v>42740.404999999999</v>
      </c>
      <c r="U211" t="s">
        <v>94</v>
      </c>
      <c r="V211">
        <v>2</v>
      </c>
      <c r="W211">
        <v>2</v>
      </c>
      <c r="X211">
        <v>3</v>
      </c>
      <c r="Y211">
        <v>4</v>
      </c>
      <c r="Z211">
        <v>3</v>
      </c>
      <c r="AA211">
        <v>2</v>
      </c>
      <c r="AB211">
        <v>3</v>
      </c>
      <c r="AC211">
        <v>3</v>
      </c>
      <c r="AD211">
        <v>2</v>
      </c>
      <c r="AE211" s="6">
        <v>7.3463268365817097E-2</v>
      </c>
      <c r="AF211" s="6">
        <v>0.44444444444444431</v>
      </c>
      <c r="AG211" s="6">
        <v>3.2650341495918701E-2</v>
      </c>
      <c r="AH211">
        <v>0</v>
      </c>
    </row>
    <row r="212" spans="1:34">
      <c r="A212" t="s">
        <v>194</v>
      </c>
      <c r="B212" t="s">
        <v>193</v>
      </c>
      <c r="C212">
        <v>99852</v>
      </c>
      <c r="D212">
        <v>2184</v>
      </c>
      <c r="E212">
        <v>425.99653851825843</v>
      </c>
      <c r="F212">
        <v>5200</v>
      </c>
      <c r="G212">
        <v>1213.8393721090986</v>
      </c>
      <c r="H212">
        <v>2614.441663292575</v>
      </c>
      <c r="I212">
        <v>0</v>
      </c>
      <c r="J212">
        <v>839.23577391691663</v>
      </c>
      <c r="K212">
        <v>915.05458215240117</v>
      </c>
      <c r="L212">
        <v>0.15000000000000002</v>
      </c>
      <c r="M212">
        <v>0.05</v>
      </c>
      <c r="N212">
        <v>0.4</v>
      </c>
      <c r="O212">
        <v>0.1</v>
      </c>
      <c r="P212">
        <v>0.2</v>
      </c>
      <c r="Q212">
        <v>0</v>
      </c>
      <c r="R212">
        <v>0.05</v>
      </c>
      <c r="S212">
        <v>0.05</v>
      </c>
      <c r="T212">
        <v>5200</v>
      </c>
      <c r="U212" t="s">
        <v>94</v>
      </c>
      <c r="V212">
        <v>3</v>
      </c>
      <c r="W212">
        <v>1</v>
      </c>
      <c r="X212">
        <v>3</v>
      </c>
      <c r="Y212">
        <v>3</v>
      </c>
      <c r="Z212">
        <v>3</v>
      </c>
      <c r="AA212">
        <v>2</v>
      </c>
      <c r="AB212">
        <v>3</v>
      </c>
      <c r="AC212">
        <v>3</v>
      </c>
      <c r="AD212">
        <v>3</v>
      </c>
      <c r="AE212" s="6">
        <v>6.8322981366459631E-2</v>
      </c>
      <c r="AF212" s="6">
        <v>0.4747474747474747</v>
      </c>
      <c r="AG212" s="6">
        <v>3.243616287094548E-2</v>
      </c>
      <c r="AH212">
        <v>0</v>
      </c>
    </row>
    <row r="213" spans="1:34">
      <c r="A213" t="s">
        <v>226</v>
      </c>
      <c r="B213" t="s">
        <v>225</v>
      </c>
      <c r="C213">
        <v>26042</v>
      </c>
      <c r="D213">
        <v>1763</v>
      </c>
      <c r="E213">
        <v>1991.3478835207732</v>
      </c>
      <c r="F213">
        <v>22400</v>
      </c>
      <c r="G213">
        <v>7128.4096028049971</v>
      </c>
      <c r="H213">
        <v>6970.563627381779</v>
      </c>
      <c r="I213">
        <v>3927.2849999999999</v>
      </c>
      <c r="J213">
        <v>2230.5803607621692</v>
      </c>
      <c r="K213">
        <v>2439.6972695836225</v>
      </c>
      <c r="L213">
        <v>0.05</v>
      </c>
      <c r="M213">
        <v>0.05</v>
      </c>
      <c r="N213">
        <v>0.75</v>
      </c>
      <c r="O213">
        <v>0.25</v>
      </c>
      <c r="P213">
        <v>0.25</v>
      </c>
      <c r="Q213">
        <v>0.15000000000000002</v>
      </c>
      <c r="R213">
        <v>0.1</v>
      </c>
      <c r="S213">
        <v>0.1</v>
      </c>
      <c r="T213">
        <v>22400</v>
      </c>
      <c r="U213" t="s">
        <v>94</v>
      </c>
      <c r="V213">
        <v>2</v>
      </c>
      <c r="W213">
        <v>2</v>
      </c>
      <c r="X213">
        <v>4</v>
      </c>
      <c r="Y213">
        <v>3</v>
      </c>
      <c r="Z213">
        <v>2</v>
      </c>
      <c r="AA213">
        <v>2</v>
      </c>
      <c r="AB213">
        <v>2</v>
      </c>
      <c r="AC213">
        <v>2</v>
      </c>
      <c r="AD213">
        <v>2</v>
      </c>
      <c r="AE213" s="6">
        <v>6.1224489795918366E-2</v>
      </c>
      <c r="AF213" s="6">
        <v>0.5</v>
      </c>
      <c r="AG213" s="6">
        <v>3.0612244897959183E-2</v>
      </c>
      <c r="AH213">
        <v>0</v>
      </c>
    </row>
    <row r="214" spans="1:34">
      <c r="A214" t="s">
        <v>601</v>
      </c>
      <c r="B214" t="s">
        <v>600</v>
      </c>
      <c r="C214">
        <v>33124</v>
      </c>
      <c r="D214">
        <v>11422</v>
      </c>
      <c r="E214">
        <v>1154.498159594782</v>
      </c>
      <c r="F214">
        <v>17085.5</v>
      </c>
      <c r="G214">
        <v>7429.7611499163168</v>
      </c>
      <c r="H214">
        <v>8850.5458811363824</v>
      </c>
      <c r="I214">
        <v>0</v>
      </c>
      <c r="J214">
        <v>2841.0252278447788</v>
      </c>
      <c r="K214">
        <v>3097.6910583977333</v>
      </c>
      <c r="L214">
        <v>0.25</v>
      </c>
      <c r="M214">
        <v>0.05</v>
      </c>
      <c r="N214">
        <v>0.4</v>
      </c>
      <c r="O214">
        <v>0.15000000000000002</v>
      </c>
      <c r="P214">
        <v>0.2</v>
      </c>
      <c r="Q214">
        <v>0</v>
      </c>
      <c r="R214">
        <v>0.05</v>
      </c>
      <c r="S214">
        <v>0.05</v>
      </c>
      <c r="T214">
        <v>17085.5</v>
      </c>
      <c r="U214" t="s">
        <v>94</v>
      </c>
      <c r="V214">
        <v>2</v>
      </c>
      <c r="W214">
        <v>1</v>
      </c>
      <c r="X214">
        <v>3</v>
      </c>
      <c r="Y214">
        <v>3</v>
      </c>
      <c r="Z214">
        <v>2</v>
      </c>
      <c r="AA214">
        <v>2</v>
      </c>
      <c r="AB214">
        <v>2</v>
      </c>
      <c r="AC214">
        <v>2</v>
      </c>
      <c r="AD214">
        <v>2</v>
      </c>
      <c r="AE214" s="6">
        <v>9.0909090909090912E-2</v>
      </c>
      <c r="AF214" s="6">
        <v>0.33333333333333331</v>
      </c>
      <c r="AG214" s="6">
        <v>3.0303030303030304E-2</v>
      </c>
      <c r="AH214">
        <v>0</v>
      </c>
    </row>
    <row r="215" spans="1:34">
      <c r="A215" t="s">
        <v>375</v>
      </c>
      <c r="B215" t="s">
        <v>374</v>
      </c>
      <c r="C215">
        <v>33025</v>
      </c>
      <c r="D215">
        <v>0</v>
      </c>
      <c r="E215">
        <v>4996.6350896594977</v>
      </c>
      <c r="F215">
        <v>47095.22</v>
      </c>
      <c r="G215">
        <v>15897.48084798592</v>
      </c>
      <c r="H215">
        <v>28699.133308362321</v>
      </c>
      <c r="I215">
        <v>17418.78</v>
      </c>
      <c r="J215">
        <v>9183.7226586759425</v>
      </c>
      <c r="K215">
        <v>10044.696657926812</v>
      </c>
      <c r="L215">
        <v>0</v>
      </c>
      <c r="M215">
        <v>0.05</v>
      </c>
      <c r="N215">
        <v>0.35000000000000003</v>
      </c>
      <c r="O215">
        <v>0.1</v>
      </c>
      <c r="P215">
        <v>0.2</v>
      </c>
      <c r="Q215">
        <v>0.15000000000000002</v>
      </c>
      <c r="R215">
        <v>0.05</v>
      </c>
      <c r="S215">
        <v>0.1</v>
      </c>
      <c r="T215">
        <v>47095.22</v>
      </c>
      <c r="U215" t="s">
        <v>94</v>
      </c>
      <c r="V215">
        <v>3</v>
      </c>
      <c r="W215">
        <v>2</v>
      </c>
      <c r="X215">
        <v>4</v>
      </c>
      <c r="Y215">
        <v>4</v>
      </c>
      <c r="Z215">
        <v>4</v>
      </c>
      <c r="AA215">
        <v>2</v>
      </c>
      <c r="AB215">
        <v>4</v>
      </c>
      <c r="AC215">
        <v>4</v>
      </c>
      <c r="AD215">
        <v>3</v>
      </c>
      <c r="AE215" s="6">
        <v>7.3529411764705885E-2</v>
      </c>
      <c r="AF215" s="6">
        <v>0.38888888888888867</v>
      </c>
      <c r="AG215" s="6">
        <v>2.8594771241830051E-2</v>
      </c>
      <c r="AH215">
        <v>0</v>
      </c>
    </row>
    <row r="216" spans="1:34">
      <c r="A216" t="s">
        <v>585</v>
      </c>
      <c r="B216" t="s">
        <v>584</v>
      </c>
      <c r="C216">
        <v>58192</v>
      </c>
      <c r="D216">
        <v>3085</v>
      </c>
      <c r="E216">
        <v>411.79607385815615</v>
      </c>
      <c r="F216">
        <v>8200</v>
      </c>
      <c r="G216">
        <v>782.74782937169016</v>
      </c>
      <c r="H216">
        <v>1235.1609966292108</v>
      </c>
      <c r="I216">
        <v>0</v>
      </c>
      <c r="J216">
        <v>395.2515189213475</v>
      </c>
      <c r="K216">
        <v>432.30634882022372</v>
      </c>
      <c r="L216">
        <v>0.30000000000000004</v>
      </c>
      <c r="M216">
        <v>0.05</v>
      </c>
      <c r="N216">
        <v>0.8</v>
      </c>
      <c r="O216">
        <v>0.1</v>
      </c>
      <c r="P216">
        <v>0.1</v>
      </c>
      <c r="Q216">
        <v>0</v>
      </c>
      <c r="R216">
        <v>0.05</v>
      </c>
      <c r="S216">
        <v>0.05</v>
      </c>
      <c r="T216">
        <v>8200</v>
      </c>
      <c r="U216" t="s">
        <v>94</v>
      </c>
      <c r="V216">
        <v>3</v>
      </c>
      <c r="W216">
        <v>2</v>
      </c>
      <c r="X216">
        <v>3</v>
      </c>
      <c r="Y216">
        <v>3</v>
      </c>
      <c r="Z216">
        <v>3</v>
      </c>
      <c r="AA216">
        <v>2</v>
      </c>
      <c r="AB216">
        <v>3</v>
      </c>
      <c r="AC216">
        <v>3</v>
      </c>
      <c r="AD216">
        <v>3</v>
      </c>
      <c r="AE216" s="6">
        <v>6.6666666666666666E-2</v>
      </c>
      <c r="AF216" s="6">
        <v>0.40740740740740727</v>
      </c>
      <c r="AG216" s="6">
        <v>2.7160493827160483E-2</v>
      </c>
      <c r="AH216">
        <v>0</v>
      </c>
    </row>
    <row r="217" spans="1:34">
      <c r="A217" t="s">
        <v>305</v>
      </c>
      <c r="B217" t="s">
        <v>304</v>
      </c>
      <c r="C217">
        <v>32564</v>
      </c>
      <c r="D217">
        <v>370</v>
      </c>
      <c r="E217">
        <v>373.09920837778191</v>
      </c>
      <c r="F217">
        <v>4055.15</v>
      </c>
      <c r="G217">
        <v>364.77624849130399</v>
      </c>
      <c r="H217">
        <v>2215.7540530207029</v>
      </c>
      <c r="I217">
        <v>749.92499999999995</v>
      </c>
      <c r="J217">
        <v>711.25705101964559</v>
      </c>
      <c r="K217">
        <v>775.51391855724603</v>
      </c>
      <c r="L217">
        <v>0.05</v>
      </c>
      <c r="M217">
        <v>0.05</v>
      </c>
      <c r="N217">
        <v>0.35000000000000003</v>
      </c>
      <c r="O217">
        <v>0.05</v>
      </c>
      <c r="P217">
        <v>0.2</v>
      </c>
      <c r="Q217">
        <v>0.05</v>
      </c>
      <c r="R217">
        <v>0.05</v>
      </c>
      <c r="S217">
        <v>0.05</v>
      </c>
      <c r="T217">
        <v>4055.15</v>
      </c>
      <c r="U217" t="s">
        <v>94</v>
      </c>
      <c r="V217">
        <v>2</v>
      </c>
      <c r="W217">
        <v>2</v>
      </c>
      <c r="X217">
        <v>3</v>
      </c>
      <c r="Y217">
        <v>2</v>
      </c>
      <c r="Z217">
        <v>2</v>
      </c>
      <c r="AA217">
        <v>4</v>
      </c>
      <c r="AB217">
        <v>2</v>
      </c>
      <c r="AC217">
        <v>2</v>
      </c>
      <c r="AD217">
        <v>2</v>
      </c>
      <c r="AE217" s="6">
        <v>7.4999999999999997E-2</v>
      </c>
      <c r="AF217" s="6">
        <v>0.33333333333333331</v>
      </c>
      <c r="AG217" s="6">
        <v>2.4999999999999998E-2</v>
      </c>
      <c r="AH217">
        <v>0</v>
      </c>
    </row>
    <row r="218" spans="1:34">
      <c r="A218" t="s">
        <v>435</v>
      </c>
      <c r="B218" t="s">
        <v>100</v>
      </c>
      <c r="C218">
        <v>217537</v>
      </c>
      <c r="D218">
        <v>5038</v>
      </c>
      <c r="E218">
        <v>601.39446715371628</v>
      </c>
      <c r="F218">
        <v>7512.0649999999996</v>
      </c>
      <c r="G218">
        <v>2287.1514982759304</v>
      </c>
      <c r="H218">
        <v>3442.6375709185327</v>
      </c>
      <c r="I218">
        <v>1389.2175</v>
      </c>
      <c r="J218">
        <v>1105.0866602648489</v>
      </c>
      <c r="K218">
        <v>1204.9231498214863</v>
      </c>
      <c r="L218">
        <v>0.25</v>
      </c>
      <c r="M218">
        <v>0.05</v>
      </c>
      <c r="N218">
        <v>0.35000000000000003</v>
      </c>
      <c r="O218">
        <v>0.1</v>
      </c>
      <c r="P218">
        <v>0.15000000000000002</v>
      </c>
      <c r="Q218">
        <v>0.05</v>
      </c>
      <c r="R218">
        <v>0.05</v>
      </c>
      <c r="S218">
        <v>0.05</v>
      </c>
      <c r="T218">
        <v>7512.0649999999996</v>
      </c>
      <c r="U218" t="s">
        <v>94</v>
      </c>
      <c r="V218">
        <v>3</v>
      </c>
      <c r="W218">
        <v>2</v>
      </c>
      <c r="X218">
        <v>3</v>
      </c>
      <c r="Y218">
        <v>3</v>
      </c>
      <c r="Z218">
        <v>3</v>
      </c>
      <c r="AA218">
        <v>2</v>
      </c>
      <c r="AB218">
        <v>3</v>
      </c>
      <c r="AC218">
        <v>3</v>
      </c>
      <c r="AD218">
        <v>3</v>
      </c>
      <c r="AE218" s="6">
        <v>5.5865921787709494E-2</v>
      </c>
      <c r="AF218" s="6">
        <v>0.44166666666666671</v>
      </c>
      <c r="AG218" s="6">
        <v>2.4674115456238363E-2</v>
      </c>
      <c r="AH218">
        <v>0</v>
      </c>
    </row>
    <row r="219" spans="1:34">
      <c r="A219" t="s">
        <v>486</v>
      </c>
      <c r="B219" t="s">
        <v>485</v>
      </c>
      <c r="C219">
        <v>209987</v>
      </c>
      <c r="D219">
        <v>3543</v>
      </c>
      <c r="E219">
        <v>8570.8188499345197</v>
      </c>
      <c r="F219">
        <v>69824.5</v>
      </c>
      <c r="G219">
        <v>22396.212342262392</v>
      </c>
      <c r="H219">
        <v>45764.616188390435</v>
      </c>
      <c r="I219">
        <v>0</v>
      </c>
      <c r="J219">
        <v>14644.67718028494</v>
      </c>
      <c r="K219">
        <v>16017.615665936652</v>
      </c>
      <c r="L219">
        <v>0</v>
      </c>
      <c r="M219">
        <v>0.05</v>
      </c>
      <c r="N219">
        <v>0.35000000000000003</v>
      </c>
      <c r="O219">
        <v>0.1</v>
      </c>
      <c r="P219">
        <v>0.25</v>
      </c>
      <c r="Q219">
        <v>0</v>
      </c>
      <c r="R219">
        <v>0.1</v>
      </c>
      <c r="S219">
        <v>0.1</v>
      </c>
      <c r="T219">
        <v>69824.5</v>
      </c>
      <c r="U219" t="s">
        <v>94</v>
      </c>
      <c r="V219">
        <v>2</v>
      </c>
      <c r="W219">
        <v>1</v>
      </c>
      <c r="X219">
        <v>3</v>
      </c>
      <c r="Y219">
        <v>3</v>
      </c>
      <c r="Z219">
        <v>4</v>
      </c>
      <c r="AA219">
        <v>2</v>
      </c>
      <c r="AB219">
        <v>4</v>
      </c>
      <c r="AC219">
        <v>4</v>
      </c>
      <c r="AD219">
        <v>2</v>
      </c>
      <c r="AE219" s="6">
        <v>6.7226890756302518E-2</v>
      </c>
      <c r="AF219" s="6">
        <v>0.35416666666666669</v>
      </c>
      <c r="AG219" s="6">
        <v>2.3809523809523808E-2</v>
      </c>
      <c r="AH219">
        <v>0</v>
      </c>
    </row>
    <row r="220" spans="1:34">
      <c r="A220" t="s">
        <v>714</v>
      </c>
      <c r="B220" t="s">
        <v>713</v>
      </c>
      <c r="C220">
        <v>40702</v>
      </c>
      <c r="D220">
        <v>407399</v>
      </c>
      <c r="E220">
        <v>72481.959421549807</v>
      </c>
      <c r="F220">
        <v>725544.08</v>
      </c>
      <c r="G220">
        <v>246169.73099071888</v>
      </c>
      <c r="H220">
        <v>475623.18</v>
      </c>
      <c r="I220">
        <v>268351.92</v>
      </c>
      <c r="J220">
        <v>152199.41759999999</v>
      </c>
      <c r="K220">
        <v>166468.11299999998</v>
      </c>
      <c r="L220">
        <v>0.2</v>
      </c>
      <c r="M220">
        <v>0.05</v>
      </c>
      <c r="N220">
        <v>0.35000000000000003</v>
      </c>
      <c r="O220">
        <v>0.1</v>
      </c>
      <c r="P220">
        <v>0.25</v>
      </c>
      <c r="Q220">
        <v>0.15000000000000002</v>
      </c>
      <c r="R220">
        <v>0.1</v>
      </c>
      <c r="S220">
        <v>0.1</v>
      </c>
      <c r="T220">
        <v>725544.08</v>
      </c>
      <c r="U220" t="s">
        <v>94</v>
      </c>
      <c r="V220">
        <v>2</v>
      </c>
      <c r="W220">
        <v>3</v>
      </c>
      <c r="X220">
        <v>4</v>
      </c>
      <c r="Y220">
        <v>5</v>
      </c>
      <c r="Z220">
        <v>5</v>
      </c>
      <c r="AA220">
        <v>3</v>
      </c>
      <c r="AB220">
        <v>5</v>
      </c>
      <c r="AC220">
        <v>5</v>
      </c>
      <c r="AD220">
        <v>4</v>
      </c>
      <c r="AE220" s="6">
        <v>5.3191489361702128E-2</v>
      </c>
      <c r="AF220" s="6">
        <v>0.44444444444444431</v>
      </c>
      <c r="AG220" s="6">
        <v>2.3640661938534271E-2</v>
      </c>
      <c r="AH220">
        <v>1</v>
      </c>
    </row>
    <row r="221" spans="1:34">
      <c r="A221" t="s">
        <v>232</v>
      </c>
      <c r="B221" t="s">
        <v>231</v>
      </c>
      <c r="C221">
        <v>65390</v>
      </c>
      <c r="D221">
        <v>21591</v>
      </c>
      <c r="E221">
        <v>1297.1731768772693</v>
      </c>
      <c r="F221">
        <v>28000</v>
      </c>
      <c r="G221">
        <v>3621.390173575317</v>
      </c>
      <c r="H221">
        <v>10028.49676865043</v>
      </c>
      <c r="I221">
        <v>2825.0775000000003</v>
      </c>
      <c r="J221">
        <v>3219.1474627367879</v>
      </c>
      <c r="K221">
        <v>3509.9738690276508</v>
      </c>
      <c r="L221">
        <v>0.5</v>
      </c>
      <c r="M221">
        <v>0.05</v>
      </c>
      <c r="N221">
        <v>0.65</v>
      </c>
      <c r="O221">
        <v>0.1</v>
      </c>
      <c r="P221">
        <v>0.25</v>
      </c>
      <c r="Q221">
        <v>0.05</v>
      </c>
      <c r="R221">
        <v>0.1</v>
      </c>
      <c r="S221">
        <v>0.1</v>
      </c>
      <c r="T221">
        <v>28000</v>
      </c>
      <c r="U221" t="s">
        <v>94</v>
      </c>
      <c r="V221">
        <v>2</v>
      </c>
      <c r="W221">
        <v>2</v>
      </c>
      <c r="X221">
        <v>3</v>
      </c>
      <c r="Y221">
        <v>3</v>
      </c>
      <c r="Z221">
        <v>2</v>
      </c>
      <c r="AA221">
        <v>3</v>
      </c>
      <c r="AB221">
        <v>2</v>
      </c>
      <c r="AC221">
        <v>2</v>
      </c>
      <c r="AD221">
        <v>2</v>
      </c>
      <c r="AE221" s="6">
        <v>7.0707070707070704E-2</v>
      </c>
      <c r="AF221" s="6">
        <v>0.33333333333333331</v>
      </c>
      <c r="AG221" s="6">
        <v>2.3569023569023566E-2</v>
      </c>
      <c r="AH221">
        <v>0</v>
      </c>
    </row>
    <row r="222" spans="1:34">
      <c r="A222" t="s">
        <v>599</v>
      </c>
      <c r="B222" t="s">
        <v>598</v>
      </c>
      <c r="C222">
        <v>122053</v>
      </c>
      <c r="D222">
        <v>19152</v>
      </c>
      <c r="E222">
        <v>2284.2050741202611</v>
      </c>
      <c r="F222">
        <v>18093.05</v>
      </c>
      <c r="G222">
        <v>4021.2830935506327</v>
      </c>
      <c r="H222">
        <v>11907.221042961875</v>
      </c>
      <c r="I222">
        <v>0</v>
      </c>
      <c r="J222">
        <v>3810.3107337478</v>
      </c>
      <c r="K222">
        <v>4167.5273650366571</v>
      </c>
      <c r="L222">
        <v>0.4</v>
      </c>
      <c r="M222">
        <v>0.05</v>
      </c>
      <c r="N222">
        <v>0.35000000000000003</v>
      </c>
      <c r="O222">
        <v>0.1</v>
      </c>
      <c r="P222">
        <v>0.25</v>
      </c>
      <c r="Q222">
        <v>0</v>
      </c>
      <c r="R222">
        <v>0.1</v>
      </c>
      <c r="S222">
        <v>0.1</v>
      </c>
      <c r="T222">
        <v>19152</v>
      </c>
      <c r="U222" t="s">
        <v>92</v>
      </c>
      <c r="V222">
        <v>2</v>
      </c>
      <c r="W222">
        <v>1</v>
      </c>
      <c r="X222">
        <v>3</v>
      </c>
      <c r="Y222">
        <v>4</v>
      </c>
      <c r="Z222">
        <v>3</v>
      </c>
      <c r="AA222">
        <v>2</v>
      </c>
      <c r="AB222">
        <v>3</v>
      </c>
      <c r="AC222">
        <v>3</v>
      </c>
      <c r="AD222">
        <v>2</v>
      </c>
      <c r="AE222" s="6">
        <v>6.6666666666666666E-2</v>
      </c>
      <c r="AF222" s="6">
        <v>0.33333333333333331</v>
      </c>
      <c r="AG222" s="6">
        <v>2.222222222222222E-2</v>
      </c>
      <c r="AH222">
        <v>0</v>
      </c>
    </row>
    <row r="223" spans="1:34">
      <c r="A223" t="s">
        <v>686</v>
      </c>
      <c r="B223" t="s">
        <v>685</v>
      </c>
      <c r="C223">
        <v>41481</v>
      </c>
      <c r="D223">
        <v>3908</v>
      </c>
      <c r="E223">
        <v>978.79765969788377</v>
      </c>
      <c r="F223">
        <v>6418.89</v>
      </c>
      <c r="G223">
        <v>1504.7730863603952</v>
      </c>
      <c r="H223">
        <v>3495.846998505845</v>
      </c>
      <c r="I223">
        <v>0</v>
      </c>
      <c r="J223">
        <v>1122.1668865203762</v>
      </c>
      <c r="K223">
        <v>1223.5464494770456</v>
      </c>
      <c r="L223">
        <v>0.2</v>
      </c>
      <c r="M223">
        <v>0.05</v>
      </c>
      <c r="N223">
        <v>0.35000000000000003</v>
      </c>
      <c r="O223">
        <v>0.1</v>
      </c>
      <c r="P223">
        <v>0.2</v>
      </c>
      <c r="Q223">
        <v>0</v>
      </c>
      <c r="R223">
        <v>0.05</v>
      </c>
      <c r="S223">
        <v>0.05</v>
      </c>
      <c r="T223">
        <v>6418.89</v>
      </c>
      <c r="U223" t="s">
        <v>94</v>
      </c>
      <c r="V223">
        <v>2</v>
      </c>
      <c r="W223">
        <v>1</v>
      </c>
      <c r="X223">
        <v>3</v>
      </c>
      <c r="Y223">
        <v>3</v>
      </c>
      <c r="Z223">
        <v>3</v>
      </c>
      <c r="AA223">
        <v>2</v>
      </c>
      <c r="AB223">
        <v>3</v>
      </c>
      <c r="AC223">
        <v>3</v>
      </c>
      <c r="AD223">
        <v>2</v>
      </c>
      <c r="AE223" s="6">
        <v>6.3829787234042548E-2</v>
      </c>
      <c r="AF223" s="6">
        <v>0.33333333333333331</v>
      </c>
      <c r="AG223" s="6">
        <v>2.1276595744680847E-2</v>
      </c>
      <c r="AH223">
        <v>0</v>
      </c>
    </row>
    <row r="224" spans="1:34">
      <c r="A224" t="s">
        <v>666</v>
      </c>
      <c r="B224" t="s">
        <v>665</v>
      </c>
      <c r="C224">
        <v>47549</v>
      </c>
      <c r="D224">
        <v>2443</v>
      </c>
      <c r="E224">
        <v>1032.2732347856095</v>
      </c>
      <c r="F224">
        <v>11465.38</v>
      </c>
      <c r="G224">
        <v>2214.0888526971544</v>
      </c>
      <c r="H224">
        <v>3799.6634013068465</v>
      </c>
      <c r="I224">
        <v>2120.31</v>
      </c>
      <c r="J224">
        <v>1219.6919518194977</v>
      </c>
      <c r="K224">
        <v>1329.8821904573963</v>
      </c>
      <c r="L224">
        <v>0.1</v>
      </c>
      <c r="M224">
        <v>0.05</v>
      </c>
      <c r="N224">
        <v>0.35000000000000003</v>
      </c>
      <c r="O224">
        <v>0.05</v>
      </c>
      <c r="P224">
        <v>0.1</v>
      </c>
      <c r="Q224">
        <v>0.05</v>
      </c>
      <c r="R224">
        <v>0.05</v>
      </c>
      <c r="S224">
        <v>0.05</v>
      </c>
      <c r="T224">
        <v>11465.38</v>
      </c>
      <c r="U224" t="s">
        <v>94</v>
      </c>
      <c r="V224">
        <v>2</v>
      </c>
      <c r="W224">
        <v>1</v>
      </c>
      <c r="X224">
        <v>3</v>
      </c>
      <c r="Y224">
        <v>3</v>
      </c>
      <c r="Z224">
        <v>2</v>
      </c>
      <c r="AA224">
        <v>2</v>
      </c>
      <c r="AB224">
        <v>2</v>
      </c>
      <c r="AC224">
        <v>2</v>
      </c>
      <c r="AD224">
        <v>2</v>
      </c>
      <c r="AE224" s="6">
        <v>0.05</v>
      </c>
      <c r="AF224" s="6">
        <v>0.40740740740740727</v>
      </c>
      <c r="AG224" s="6">
        <v>2.0370370370370365E-2</v>
      </c>
      <c r="AH224">
        <v>0</v>
      </c>
    </row>
    <row r="225" spans="1:34">
      <c r="A225" t="s">
        <v>270</v>
      </c>
      <c r="B225" t="s">
        <v>269</v>
      </c>
      <c r="C225">
        <v>176218</v>
      </c>
      <c r="D225">
        <v>4857</v>
      </c>
      <c r="E225">
        <v>2247.6550118364421</v>
      </c>
      <c r="F225">
        <v>23934.875</v>
      </c>
      <c r="G225">
        <v>9984.748005802081</v>
      </c>
      <c r="H225">
        <v>15630.451044570606</v>
      </c>
      <c r="I225">
        <v>0</v>
      </c>
      <c r="J225">
        <v>5017.3747853071645</v>
      </c>
      <c r="K225">
        <v>5470.6578655997118</v>
      </c>
      <c r="L225">
        <v>0.05</v>
      </c>
      <c r="M225">
        <v>0.05</v>
      </c>
      <c r="N225">
        <v>0.35000000000000003</v>
      </c>
      <c r="O225">
        <v>0.15000000000000002</v>
      </c>
      <c r="P225">
        <v>0.25</v>
      </c>
      <c r="Q225">
        <v>0</v>
      </c>
      <c r="R225">
        <v>0.1</v>
      </c>
      <c r="S225">
        <v>0.1</v>
      </c>
      <c r="T225">
        <v>23934.875</v>
      </c>
      <c r="U225" t="s">
        <v>94</v>
      </c>
      <c r="V225">
        <v>2</v>
      </c>
      <c r="W225">
        <v>2</v>
      </c>
      <c r="X225">
        <v>3</v>
      </c>
      <c r="Y225">
        <v>3</v>
      </c>
      <c r="Z225">
        <v>4</v>
      </c>
      <c r="AA225">
        <v>2</v>
      </c>
      <c r="AB225">
        <v>4</v>
      </c>
      <c r="AC225">
        <v>4</v>
      </c>
      <c r="AD225">
        <v>2</v>
      </c>
      <c r="AE225" s="6">
        <v>4.924242424242424E-2</v>
      </c>
      <c r="AF225" s="6">
        <v>0.41025641025641024</v>
      </c>
      <c r="AG225" s="6">
        <v>2.02020202020202E-2</v>
      </c>
      <c r="AH225">
        <v>0</v>
      </c>
    </row>
    <row r="226" spans="1:34">
      <c r="A226" t="s">
        <v>218</v>
      </c>
      <c r="B226" t="s">
        <v>217</v>
      </c>
      <c r="C226">
        <v>41232</v>
      </c>
      <c r="D226">
        <v>4452</v>
      </c>
      <c r="E226">
        <v>1025.3949492626957</v>
      </c>
      <c r="F226">
        <v>11200</v>
      </c>
      <c r="G226">
        <v>1095.9410729399117</v>
      </c>
      <c r="H226">
        <v>709.02866701210633</v>
      </c>
      <c r="I226">
        <v>0</v>
      </c>
      <c r="J226">
        <v>226.88917344387403</v>
      </c>
      <c r="K226">
        <v>248.16003345423721</v>
      </c>
      <c r="L226">
        <v>0.2</v>
      </c>
      <c r="M226">
        <v>0.05</v>
      </c>
      <c r="N226">
        <v>0.45</v>
      </c>
      <c r="O226">
        <v>0.05</v>
      </c>
      <c r="P226">
        <v>0.05</v>
      </c>
      <c r="Q226">
        <v>0</v>
      </c>
      <c r="R226">
        <v>0</v>
      </c>
      <c r="S226">
        <v>0</v>
      </c>
      <c r="T226">
        <v>11200</v>
      </c>
      <c r="U226" t="s">
        <v>94</v>
      </c>
      <c r="V226">
        <v>2</v>
      </c>
      <c r="W226">
        <v>2</v>
      </c>
      <c r="X226">
        <v>4</v>
      </c>
      <c r="Y226">
        <v>3</v>
      </c>
      <c r="Z226">
        <v>3</v>
      </c>
      <c r="AA226">
        <v>2</v>
      </c>
      <c r="AB226">
        <v>3</v>
      </c>
      <c r="AC226">
        <v>3</v>
      </c>
      <c r="AD226">
        <v>2</v>
      </c>
      <c r="AE226" s="6">
        <v>4.1095890410958902E-2</v>
      </c>
      <c r="AF226" s="6">
        <v>0.44444444444444436</v>
      </c>
      <c r="AG226" s="6">
        <v>1.8264840182648397E-2</v>
      </c>
      <c r="AH226">
        <v>0</v>
      </c>
    </row>
    <row r="227" spans="1:34">
      <c r="A227" t="s">
        <v>693</v>
      </c>
      <c r="B227" t="s">
        <v>692</v>
      </c>
      <c r="C227">
        <v>13180</v>
      </c>
      <c r="D227">
        <v>1762</v>
      </c>
      <c r="E227">
        <v>3848.9964002932934</v>
      </c>
      <c r="F227">
        <v>37608.14</v>
      </c>
      <c r="G227">
        <v>4886.9141415836402</v>
      </c>
      <c r="H227">
        <v>24578.511862029907</v>
      </c>
      <c r="I227">
        <v>0</v>
      </c>
      <c r="J227">
        <v>7889.702307711601</v>
      </c>
      <c r="K227">
        <v>8602.4791517104677</v>
      </c>
      <c r="L227">
        <v>0</v>
      </c>
      <c r="M227">
        <v>0.05</v>
      </c>
      <c r="N227">
        <v>0.35000000000000003</v>
      </c>
      <c r="O227">
        <v>0.05</v>
      </c>
      <c r="P227">
        <v>0.25</v>
      </c>
      <c r="Q227">
        <v>0</v>
      </c>
      <c r="R227">
        <v>0.1</v>
      </c>
      <c r="S227">
        <v>0.1</v>
      </c>
      <c r="T227">
        <v>37608.14</v>
      </c>
      <c r="U227" t="s">
        <v>94</v>
      </c>
      <c r="V227">
        <v>2</v>
      </c>
      <c r="W227">
        <v>1</v>
      </c>
      <c r="X227">
        <v>4</v>
      </c>
      <c r="Y227">
        <v>3</v>
      </c>
      <c r="Z227">
        <v>4</v>
      </c>
      <c r="AA227">
        <v>2</v>
      </c>
      <c r="AB227">
        <v>4</v>
      </c>
      <c r="AC227">
        <v>4</v>
      </c>
      <c r="AD227">
        <v>2</v>
      </c>
      <c r="AE227" s="6">
        <v>2.8571428571428571E-2</v>
      </c>
      <c r="AF227" s="6">
        <v>0.61111111111111094</v>
      </c>
      <c r="AG227" s="6">
        <v>1.7460317460317454E-2</v>
      </c>
      <c r="AH227">
        <v>0</v>
      </c>
    </row>
    <row r="228" spans="1:34">
      <c r="A228" t="s">
        <v>490</v>
      </c>
      <c r="B228" t="s">
        <v>209</v>
      </c>
      <c r="C228">
        <v>187075</v>
      </c>
      <c r="D228">
        <v>10823</v>
      </c>
      <c r="E228">
        <v>1338.3356306597902</v>
      </c>
      <c r="F228">
        <v>12591.04</v>
      </c>
      <c r="G228">
        <v>2134.9111339864476</v>
      </c>
      <c r="H228">
        <v>6888.3847572019658</v>
      </c>
      <c r="I228">
        <v>0</v>
      </c>
      <c r="J228">
        <v>2204.2831223046287</v>
      </c>
      <c r="K228">
        <v>2410.934665020688</v>
      </c>
      <c r="L228">
        <v>0.30000000000000004</v>
      </c>
      <c r="M228">
        <v>0.05</v>
      </c>
      <c r="N228">
        <v>0.35000000000000003</v>
      </c>
      <c r="O228">
        <v>0.05</v>
      </c>
      <c r="P228">
        <v>0.2</v>
      </c>
      <c r="Q228">
        <v>0</v>
      </c>
      <c r="R228">
        <v>0.05</v>
      </c>
      <c r="S228">
        <v>0.05</v>
      </c>
      <c r="T228">
        <v>12591.04</v>
      </c>
      <c r="U228" t="s">
        <v>94</v>
      </c>
      <c r="V228">
        <v>2</v>
      </c>
      <c r="W228">
        <v>2</v>
      </c>
      <c r="X228">
        <v>3</v>
      </c>
      <c r="Y228">
        <v>4</v>
      </c>
      <c r="Z228">
        <v>4</v>
      </c>
      <c r="AA228">
        <v>2</v>
      </c>
      <c r="AB228">
        <v>4</v>
      </c>
      <c r="AC228">
        <v>4</v>
      </c>
      <c r="AD228">
        <v>2</v>
      </c>
      <c r="AE228" s="6">
        <v>4.712041884816754E-2</v>
      </c>
      <c r="AF228" s="6">
        <v>0.37037037037037029</v>
      </c>
      <c r="AG228" s="6">
        <v>1.7452006980802789E-2</v>
      </c>
      <c r="AH228">
        <v>0</v>
      </c>
    </row>
    <row r="229" spans="1:34">
      <c r="A229" t="s">
        <v>597</v>
      </c>
      <c r="B229" t="s">
        <v>180</v>
      </c>
      <c r="C229">
        <v>61630</v>
      </c>
      <c r="D229">
        <v>0</v>
      </c>
      <c r="E229">
        <v>136.085768063969</v>
      </c>
      <c r="F229">
        <v>1541.76</v>
      </c>
      <c r="G229">
        <v>340.19368156891676</v>
      </c>
      <c r="H229">
        <v>507.32400328294295</v>
      </c>
      <c r="I229">
        <v>0</v>
      </c>
      <c r="J229">
        <v>162.34368105054176</v>
      </c>
      <c r="K229">
        <v>177.56340114903</v>
      </c>
      <c r="L229">
        <v>0</v>
      </c>
      <c r="M229">
        <v>0.05</v>
      </c>
      <c r="N229">
        <v>0.35000000000000003</v>
      </c>
      <c r="O229">
        <v>0.1</v>
      </c>
      <c r="P229">
        <v>0.1</v>
      </c>
      <c r="Q229">
        <v>0</v>
      </c>
      <c r="R229">
        <v>0.05</v>
      </c>
      <c r="S229">
        <v>0.05</v>
      </c>
      <c r="T229">
        <v>1541.76</v>
      </c>
      <c r="U229" t="s">
        <v>94</v>
      </c>
      <c r="V229">
        <v>3</v>
      </c>
      <c r="W229">
        <v>3</v>
      </c>
      <c r="X229">
        <v>4</v>
      </c>
      <c r="Y229">
        <v>4</v>
      </c>
      <c r="Z229">
        <v>4</v>
      </c>
      <c r="AA229">
        <v>4</v>
      </c>
      <c r="AB229">
        <v>4</v>
      </c>
      <c r="AC229">
        <v>4</v>
      </c>
      <c r="AD229">
        <v>4</v>
      </c>
      <c r="AE229" s="6">
        <v>3.7735849056603772E-2</v>
      </c>
      <c r="AF229" s="6">
        <v>0.45833333333333326</v>
      </c>
      <c r="AG229" s="6">
        <v>1.7295597484276726E-2</v>
      </c>
      <c r="AH229">
        <v>1</v>
      </c>
    </row>
    <row r="230" spans="1:34">
      <c r="A230" t="s">
        <v>697</v>
      </c>
      <c r="B230" t="s">
        <v>696</v>
      </c>
      <c r="C230">
        <v>101620</v>
      </c>
      <c r="D230">
        <v>3816</v>
      </c>
      <c r="E230">
        <v>1776.5089459650733</v>
      </c>
      <c r="F230">
        <v>8198.6299999999992</v>
      </c>
      <c r="G230">
        <v>1709.8437548794254</v>
      </c>
      <c r="H230">
        <v>5358.1518444516068</v>
      </c>
      <c r="I230">
        <v>10107.9</v>
      </c>
      <c r="J230">
        <v>1714.6085902245143</v>
      </c>
      <c r="K230">
        <v>1875.3531455580624</v>
      </c>
      <c r="L230">
        <v>0.15000000000000002</v>
      </c>
      <c r="M230">
        <v>0.1</v>
      </c>
      <c r="N230">
        <v>0.35000000000000003</v>
      </c>
      <c r="O230">
        <v>0.1</v>
      </c>
      <c r="P230">
        <v>0.25</v>
      </c>
      <c r="Q230">
        <v>0.45</v>
      </c>
      <c r="R230">
        <v>0.1</v>
      </c>
      <c r="S230">
        <v>0.1</v>
      </c>
      <c r="T230">
        <v>10107.9</v>
      </c>
      <c r="U230" t="s">
        <v>97</v>
      </c>
      <c r="V230">
        <v>2</v>
      </c>
      <c r="W230">
        <v>2</v>
      </c>
      <c r="X230">
        <v>3</v>
      </c>
      <c r="Y230">
        <v>3</v>
      </c>
      <c r="Z230">
        <v>4</v>
      </c>
      <c r="AA230">
        <v>2</v>
      </c>
      <c r="AB230">
        <v>4</v>
      </c>
      <c r="AC230">
        <v>4</v>
      </c>
      <c r="AD230">
        <v>2</v>
      </c>
      <c r="AE230" s="6">
        <v>2.9850746268656716E-2</v>
      </c>
      <c r="AF230" s="6">
        <v>0.55555555555555536</v>
      </c>
      <c r="AG230" s="6">
        <v>1.6583747927031503E-2</v>
      </c>
      <c r="AH230">
        <v>0</v>
      </c>
    </row>
    <row r="231" spans="1:34">
      <c r="A231" t="s">
        <v>378</v>
      </c>
      <c r="B231" t="s">
        <v>129</v>
      </c>
      <c r="C231">
        <v>141987</v>
      </c>
      <c r="D231">
        <v>2390</v>
      </c>
      <c r="E231">
        <v>729.7478730795533</v>
      </c>
      <c r="F231">
        <v>5600</v>
      </c>
      <c r="G231">
        <v>1238.2303048707349</v>
      </c>
      <c r="H231">
        <v>1497.3692952839319</v>
      </c>
      <c r="I231">
        <v>0</v>
      </c>
      <c r="J231">
        <v>479.15817449085819</v>
      </c>
      <c r="K231">
        <v>524.07925334937613</v>
      </c>
      <c r="L231">
        <v>0.2</v>
      </c>
      <c r="M231">
        <v>0.05</v>
      </c>
      <c r="N231">
        <v>0.4</v>
      </c>
      <c r="O231">
        <v>0.1</v>
      </c>
      <c r="P231">
        <v>0.1</v>
      </c>
      <c r="Q231">
        <v>0</v>
      </c>
      <c r="R231">
        <v>0.05</v>
      </c>
      <c r="S231">
        <v>0.05</v>
      </c>
      <c r="T231">
        <v>5600</v>
      </c>
      <c r="U231" t="s">
        <v>94</v>
      </c>
      <c r="V231">
        <v>3</v>
      </c>
      <c r="W231">
        <v>2</v>
      </c>
      <c r="X231">
        <v>3</v>
      </c>
      <c r="Y231">
        <v>4</v>
      </c>
      <c r="Z231">
        <v>4</v>
      </c>
      <c r="AA231">
        <v>2</v>
      </c>
      <c r="AB231">
        <v>4</v>
      </c>
      <c r="AC231">
        <v>4</v>
      </c>
      <c r="AD231">
        <v>3</v>
      </c>
      <c r="AE231" s="6">
        <v>4.4222539229671898E-2</v>
      </c>
      <c r="AF231" s="6">
        <v>0.37275985663082428</v>
      </c>
      <c r="AG231" s="6">
        <v>1.64843873831035E-2</v>
      </c>
      <c r="AH231">
        <v>0</v>
      </c>
    </row>
    <row r="232" spans="1:34">
      <c r="A232" t="s">
        <v>468</v>
      </c>
      <c r="B232" t="s">
        <v>467</v>
      </c>
      <c r="C232">
        <v>61213</v>
      </c>
      <c r="D232">
        <v>16036</v>
      </c>
      <c r="E232">
        <v>11441.380194558114</v>
      </c>
      <c r="F232">
        <v>54099.57</v>
      </c>
      <c r="G232">
        <v>13405.051233996901</v>
      </c>
      <c r="H232">
        <v>35458.127978101686</v>
      </c>
      <c r="I232">
        <v>66698.100000000006</v>
      </c>
      <c r="J232">
        <v>11346.60095299254</v>
      </c>
      <c r="K232">
        <v>12410.344792335587</v>
      </c>
      <c r="L232">
        <v>0.1</v>
      </c>
      <c r="M232">
        <v>0.1</v>
      </c>
      <c r="N232">
        <v>0.35000000000000003</v>
      </c>
      <c r="O232">
        <v>0.1</v>
      </c>
      <c r="P232">
        <v>0.25</v>
      </c>
      <c r="Q232">
        <v>0.45</v>
      </c>
      <c r="R232">
        <v>0.1</v>
      </c>
      <c r="S232">
        <v>0.1</v>
      </c>
      <c r="T232">
        <v>66698.100000000006</v>
      </c>
      <c r="U232" t="s">
        <v>97</v>
      </c>
      <c r="V232">
        <v>3</v>
      </c>
      <c r="W232">
        <v>1</v>
      </c>
      <c r="X232">
        <v>3</v>
      </c>
      <c r="Y232">
        <v>3</v>
      </c>
      <c r="Z232">
        <v>3</v>
      </c>
      <c r="AA232">
        <v>2</v>
      </c>
      <c r="AB232">
        <v>3</v>
      </c>
      <c r="AC232">
        <v>3</v>
      </c>
      <c r="AD232">
        <v>3</v>
      </c>
      <c r="AE232" s="6">
        <v>3.2967032967032968E-2</v>
      </c>
      <c r="AF232" s="6">
        <v>0.48148148148148134</v>
      </c>
      <c r="AG232" s="6">
        <v>1.5873015873015869E-2</v>
      </c>
      <c r="AH232">
        <v>0</v>
      </c>
    </row>
    <row r="233" spans="1:34">
      <c r="A233" t="s">
        <v>449</v>
      </c>
      <c r="B233" t="s">
        <v>203</v>
      </c>
      <c r="C233">
        <v>55840</v>
      </c>
      <c r="D233">
        <v>4924</v>
      </c>
      <c r="E233">
        <v>7633.7607358854439</v>
      </c>
      <c r="F233">
        <v>92919.5</v>
      </c>
      <c r="G233">
        <v>36531.301399839474</v>
      </c>
      <c r="H233">
        <v>49080.736704498151</v>
      </c>
      <c r="I233">
        <v>16618.095000000001</v>
      </c>
      <c r="J233">
        <v>15705.83574543941</v>
      </c>
      <c r="K233">
        <v>17178.25784657435</v>
      </c>
      <c r="L233">
        <v>0</v>
      </c>
      <c r="M233">
        <v>0.05</v>
      </c>
      <c r="N233">
        <v>0.4</v>
      </c>
      <c r="O233">
        <v>0.15000000000000002</v>
      </c>
      <c r="P233">
        <v>0.2</v>
      </c>
      <c r="Q233">
        <v>0.05</v>
      </c>
      <c r="R233">
        <v>0.05</v>
      </c>
      <c r="S233">
        <v>0.05</v>
      </c>
      <c r="T233">
        <v>92919.5</v>
      </c>
      <c r="U233" t="s">
        <v>94</v>
      </c>
      <c r="V233">
        <v>3</v>
      </c>
      <c r="W233">
        <v>1</v>
      </c>
      <c r="X233">
        <v>3</v>
      </c>
      <c r="Y233">
        <v>3</v>
      </c>
      <c r="Z233">
        <v>3</v>
      </c>
      <c r="AA233">
        <v>2</v>
      </c>
      <c r="AB233">
        <v>3</v>
      </c>
      <c r="AC233">
        <v>3</v>
      </c>
      <c r="AD233">
        <v>3</v>
      </c>
      <c r="AE233" s="6">
        <v>4.6153846153846156E-2</v>
      </c>
      <c r="AF233" s="6">
        <v>0.33333333333333331</v>
      </c>
      <c r="AG233" s="6">
        <v>1.5384615384615385E-2</v>
      </c>
      <c r="AH233">
        <v>0</v>
      </c>
    </row>
    <row r="234" spans="1:34">
      <c r="A234" t="s">
        <v>712</v>
      </c>
      <c r="B234" t="s">
        <v>711</v>
      </c>
      <c r="C234">
        <v>263056</v>
      </c>
      <c r="D234">
        <v>14463</v>
      </c>
      <c r="E234">
        <v>1496.6943562930883</v>
      </c>
      <c r="F234">
        <v>12669.15</v>
      </c>
      <c r="G234">
        <v>5524.6626052729607</v>
      </c>
      <c r="H234">
        <v>6894.0596234500163</v>
      </c>
      <c r="I234">
        <v>4685.8499999999995</v>
      </c>
      <c r="J234">
        <v>2212.9931391274549</v>
      </c>
      <c r="K234">
        <v>2412.9208682075055</v>
      </c>
      <c r="L234">
        <v>0.4</v>
      </c>
      <c r="M234">
        <v>0.05</v>
      </c>
      <c r="N234">
        <v>0.35000000000000003</v>
      </c>
      <c r="O234">
        <v>0.15000000000000002</v>
      </c>
      <c r="P234">
        <v>0.2</v>
      </c>
      <c r="Q234">
        <v>0.15000000000000002</v>
      </c>
      <c r="R234">
        <v>0.05</v>
      </c>
      <c r="S234">
        <v>0.05</v>
      </c>
      <c r="T234">
        <v>14463</v>
      </c>
      <c r="U234" t="s">
        <v>92</v>
      </c>
      <c r="V234">
        <v>2</v>
      </c>
      <c r="W234">
        <v>2</v>
      </c>
      <c r="X234">
        <v>3</v>
      </c>
      <c r="Y234">
        <v>4</v>
      </c>
      <c r="Z234">
        <v>4</v>
      </c>
      <c r="AA234">
        <v>4</v>
      </c>
      <c r="AB234">
        <v>4</v>
      </c>
      <c r="AC234">
        <v>4</v>
      </c>
      <c r="AD234">
        <v>3</v>
      </c>
      <c r="AE234" s="6">
        <v>3.8674033149171269E-2</v>
      </c>
      <c r="AF234" s="6">
        <v>0.35317460317460314</v>
      </c>
      <c r="AG234" s="6">
        <v>1.365868631062001E-2</v>
      </c>
      <c r="AH234">
        <v>0</v>
      </c>
    </row>
    <row r="235" spans="1:34">
      <c r="A235" t="s">
        <v>674</v>
      </c>
      <c r="B235" t="s">
        <v>642</v>
      </c>
      <c r="C235">
        <v>54213</v>
      </c>
      <c r="D235">
        <v>4637</v>
      </c>
      <c r="E235">
        <v>817.84521050715773</v>
      </c>
      <c r="F235">
        <v>11637.295</v>
      </c>
      <c r="G235">
        <v>1700.2718086262826</v>
      </c>
      <c r="H235">
        <v>6337.8875158286055</v>
      </c>
      <c r="I235">
        <v>0</v>
      </c>
      <c r="J235">
        <v>2028.1240050651536</v>
      </c>
      <c r="K235">
        <v>2218.2606305400118</v>
      </c>
      <c r="L235">
        <v>0.15000000000000002</v>
      </c>
      <c r="M235">
        <v>0.05</v>
      </c>
      <c r="N235">
        <v>0.35000000000000003</v>
      </c>
      <c r="O235">
        <v>0.05</v>
      </c>
      <c r="P235">
        <v>0.2</v>
      </c>
      <c r="Q235">
        <v>0</v>
      </c>
      <c r="R235">
        <v>0.05</v>
      </c>
      <c r="S235">
        <v>0.05</v>
      </c>
      <c r="T235">
        <v>11637.295</v>
      </c>
      <c r="U235" t="s">
        <v>94</v>
      </c>
      <c r="V235">
        <v>3</v>
      </c>
      <c r="W235">
        <v>3</v>
      </c>
      <c r="X235">
        <v>3</v>
      </c>
      <c r="Y235">
        <v>3</v>
      </c>
      <c r="Z235">
        <v>2</v>
      </c>
      <c r="AA235">
        <v>2</v>
      </c>
      <c r="AB235">
        <v>2</v>
      </c>
      <c r="AC235">
        <v>2</v>
      </c>
      <c r="AD235">
        <v>3</v>
      </c>
      <c r="AE235" s="6">
        <v>3.875968992248062E-2</v>
      </c>
      <c r="AF235" s="6">
        <v>0.33333333333333331</v>
      </c>
      <c r="AG235" s="6">
        <v>1.2919896640826873E-2</v>
      </c>
      <c r="AH235">
        <v>1</v>
      </c>
    </row>
    <row r="236" spans="1:34">
      <c r="A236" t="s">
        <v>668</v>
      </c>
      <c r="B236" t="s">
        <v>667</v>
      </c>
      <c r="C236">
        <v>28521</v>
      </c>
      <c r="D236">
        <v>9366</v>
      </c>
      <c r="E236">
        <v>2478.0140410177223</v>
      </c>
      <c r="F236">
        <v>20232.314999999999</v>
      </c>
      <c r="G236">
        <v>6118.5979452721185</v>
      </c>
      <c r="H236">
        <v>6705.0535463466149</v>
      </c>
      <c r="I236">
        <v>0</v>
      </c>
      <c r="J236">
        <v>2145.6171348309172</v>
      </c>
      <c r="K236">
        <v>2346.7687412213149</v>
      </c>
      <c r="L236">
        <v>0.15000000000000002</v>
      </c>
      <c r="M236">
        <v>0.05</v>
      </c>
      <c r="N236">
        <v>0.35000000000000003</v>
      </c>
      <c r="O236">
        <v>0.1</v>
      </c>
      <c r="P236">
        <v>0.1</v>
      </c>
      <c r="Q236">
        <v>0</v>
      </c>
      <c r="R236">
        <v>0.05</v>
      </c>
      <c r="S236">
        <v>0.05</v>
      </c>
      <c r="T236">
        <v>20232.314999999999</v>
      </c>
      <c r="U236" t="s">
        <v>94</v>
      </c>
      <c r="V236">
        <v>2</v>
      </c>
      <c r="W236">
        <v>1</v>
      </c>
      <c r="X236">
        <v>3</v>
      </c>
      <c r="Y236">
        <v>3</v>
      </c>
      <c r="Z236">
        <v>3</v>
      </c>
      <c r="AA236">
        <v>2</v>
      </c>
      <c r="AB236">
        <v>3</v>
      </c>
      <c r="AC236">
        <v>3</v>
      </c>
      <c r="AD236">
        <v>2</v>
      </c>
      <c r="AE236" s="6">
        <v>3.6363636363636362E-2</v>
      </c>
      <c r="AF236" s="6">
        <v>0.33333333333333331</v>
      </c>
      <c r="AG236" s="6">
        <v>1.2121212121212119E-2</v>
      </c>
      <c r="AH236">
        <v>0</v>
      </c>
    </row>
    <row r="237" spans="1:34">
      <c r="A237" t="s">
        <v>202</v>
      </c>
      <c r="B237" t="s">
        <v>201</v>
      </c>
      <c r="C237">
        <v>38574</v>
      </c>
      <c r="D237">
        <v>60911</v>
      </c>
      <c r="E237">
        <v>17693.869597495635</v>
      </c>
      <c r="F237">
        <v>132073.06</v>
      </c>
      <c r="G237">
        <v>32131.916071263273</v>
      </c>
      <c r="H237">
        <v>51966.329549590555</v>
      </c>
      <c r="I237">
        <v>0</v>
      </c>
      <c r="J237">
        <v>16629.225455868978</v>
      </c>
      <c r="K237">
        <v>18188.215342356692</v>
      </c>
      <c r="L237">
        <v>0.15000000000000002</v>
      </c>
      <c r="M237">
        <v>0.05</v>
      </c>
      <c r="N237">
        <v>0.35000000000000003</v>
      </c>
      <c r="O237">
        <v>0.1</v>
      </c>
      <c r="P237">
        <v>0.15000000000000002</v>
      </c>
      <c r="Q237">
        <v>0</v>
      </c>
      <c r="R237">
        <v>0.05</v>
      </c>
      <c r="S237">
        <v>0.05</v>
      </c>
      <c r="T237">
        <v>132073.06</v>
      </c>
      <c r="U237" t="s">
        <v>94</v>
      </c>
      <c r="V237">
        <v>2</v>
      </c>
      <c r="W237">
        <v>1</v>
      </c>
      <c r="X237">
        <v>3</v>
      </c>
      <c r="Y237">
        <v>4</v>
      </c>
      <c r="Z237">
        <v>3</v>
      </c>
      <c r="AA237">
        <v>3</v>
      </c>
      <c r="AB237">
        <v>3</v>
      </c>
      <c r="AC237">
        <v>3</v>
      </c>
      <c r="AD237">
        <v>3</v>
      </c>
      <c r="AE237" s="6">
        <v>3.3898305084745763E-2</v>
      </c>
      <c r="AF237" s="6">
        <v>0.33333333333333331</v>
      </c>
      <c r="AG237" s="6">
        <v>1.1299435028248588E-2</v>
      </c>
      <c r="AH237">
        <v>0</v>
      </c>
    </row>
    <row r="238" spans="1:34">
      <c r="A238" t="s">
        <v>410</v>
      </c>
      <c r="B238" t="s">
        <v>207</v>
      </c>
      <c r="C238">
        <v>61381</v>
      </c>
      <c r="D238">
        <v>4642</v>
      </c>
      <c r="E238">
        <v>2466.1111424030519</v>
      </c>
      <c r="F238">
        <v>37278.544999999998</v>
      </c>
      <c r="G238">
        <v>13344.091291575234</v>
      </c>
      <c r="H238">
        <v>17084.053400253753</v>
      </c>
      <c r="I238">
        <v>0</v>
      </c>
      <c r="J238">
        <v>5483.9811414814549</v>
      </c>
      <c r="K238">
        <v>5979.4186900888135</v>
      </c>
      <c r="L238">
        <v>0.05</v>
      </c>
      <c r="M238">
        <v>0</v>
      </c>
      <c r="N238">
        <v>0.35000000000000003</v>
      </c>
      <c r="O238">
        <v>0.15000000000000002</v>
      </c>
      <c r="P238">
        <v>0.15000000000000002</v>
      </c>
      <c r="Q238">
        <v>0</v>
      </c>
      <c r="R238">
        <v>0.05</v>
      </c>
      <c r="S238">
        <v>0.05</v>
      </c>
      <c r="T238">
        <v>37278.544999999998</v>
      </c>
      <c r="U238" t="s">
        <v>94</v>
      </c>
      <c r="V238">
        <v>3</v>
      </c>
      <c r="W238">
        <v>2</v>
      </c>
      <c r="X238">
        <v>3</v>
      </c>
      <c r="Y238">
        <v>3</v>
      </c>
      <c r="Z238">
        <v>2</v>
      </c>
      <c r="AA238">
        <v>3</v>
      </c>
      <c r="AB238">
        <v>2</v>
      </c>
      <c r="AC238">
        <v>2</v>
      </c>
      <c r="AD238">
        <v>3</v>
      </c>
      <c r="AE238" s="6">
        <v>2.5000000000000001E-2</v>
      </c>
      <c r="AF238" s="6">
        <v>0.44444444444444431</v>
      </c>
      <c r="AG238" s="6">
        <v>1.1111111111111108E-2</v>
      </c>
      <c r="AH238">
        <v>0</v>
      </c>
    </row>
    <row r="239" spans="1:34">
      <c r="A239" t="s">
        <v>192</v>
      </c>
      <c r="B239" t="s">
        <v>100</v>
      </c>
      <c r="C239">
        <v>114355</v>
      </c>
      <c r="D239">
        <v>8775</v>
      </c>
      <c r="E239">
        <v>3880.6235656391223</v>
      </c>
      <c r="F239">
        <v>45953.864999999998</v>
      </c>
      <c r="G239">
        <v>15410.149695459808</v>
      </c>
      <c r="H239">
        <v>25117.193426188365</v>
      </c>
      <c r="I239">
        <v>0</v>
      </c>
      <c r="J239">
        <v>8037.5018963802777</v>
      </c>
      <c r="K239">
        <v>8791.0176991659282</v>
      </c>
      <c r="L239">
        <v>0.05</v>
      </c>
      <c r="M239">
        <v>0.05</v>
      </c>
      <c r="N239">
        <v>0.35000000000000003</v>
      </c>
      <c r="O239">
        <v>0.1</v>
      </c>
      <c r="P239">
        <v>0.2</v>
      </c>
      <c r="Q239">
        <v>0</v>
      </c>
      <c r="R239">
        <v>0.05</v>
      </c>
      <c r="S239">
        <v>0.05</v>
      </c>
      <c r="T239">
        <v>45953.864999999998</v>
      </c>
      <c r="U239" t="s">
        <v>94</v>
      </c>
      <c r="V239">
        <v>2</v>
      </c>
      <c r="W239">
        <v>1</v>
      </c>
      <c r="X239">
        <v>3</v>
      </c>
      <c r="Y239">
        <v>3</v>
      </c>
      <c r="Z239">
        <v>3</v>
      </c>
      <c r="AA239">
        <v>2</v>
      </c>
      <c r="AB239">
        <v>3</v>
      </c>
      <c r="AC239">
        <v>3</v>
      </c>
      <c r="AD239">
        <v>2</v>
      </c>
      <c r="AE239" s="6">
        <v>2.8571428571428571E-2</v>
      </c>
      <c r="AF239" s="6">
        <v>0.37777777777777771</v>
      </c>
      <c r="AG239" s="6">
        <v>1.0793650793650791E-2</v>
      </c>
      <c r="AH239">
        <v>0</v>
      </c>
    </row>
    <row r="240" spans="1:34">
      <c r="A240" t="s">
        <v>672</v>
      </c>
      <c r="B240" t="s">
        <v>671</v>
      </c>
      <c r="C240">
        <v>55409</v>
      </c>
      <c r="D240">
        <v>12392</v>
      </c>
      <c r="E240">
        <v>20776.441349154215</v>
      </c>
      <c r="F240">
        <v>50809.46</v>
      </c>
      <c r="G240">
        <v>14544.995300628078</v>
      </c>
      <c r="H240">
        <v>33676.833319465062</v>
      </c>
      <c r="I240">
        <v>0</v>
      </c>
      <c r="J240">
        <v>10776.586662228819</v>
      </c>
      <c r="K240">
        <v>11786.89166181277</v>
      </c>
      <c r="L240">
        <v>0.1</v>
      </c>
      <c r="M240">
        <v>0.15000000000000002</v>
      </c>
      <c r="N240">
        <v>0.35000000000000003</v>
      </c>
      <c r="O240">
        <v>0.1</v>
      </c>
      <c r="P240">
        <v>0.25</v>
      </c>
      <c r="Q240">
        <v>0</v>
      </c>
      <c r="R240">
        <v>0.1</v>
      </c>
      <c r="S240">
        <v>0.1</v>
      </c>
      <c r="T240">
        <v>50809.46</v>
      </c>
      <c r="U240" t="s">
        <v>94</v>
      </c>
      <c r="V240">
        <v>2</v>
      </c>
      <c r="W240">
        <v>2</v>
      </c>
      <c r="X240">
        <v>3</v>
      </c>
      <c r="Y240">
        <v>3</v>
      </c>
      <c r="Z240">
        <v>4</v>
      </c>
      <c r="AA240">
        <v>2</v>
      </c>
      <c r="AB240">
        <v>4</v>
      </c>
      <c r="AC240">
        <v>4</v>
      </c>
      <c r="AD240">
        <v>2</v>
      </c>
      <c r="AE240" s="6">
        <v>2.2988505747126436E-2</v>
      </c>
      <c r="AF240" s="6">
        <v>0.44444444444444431</v>
      </c>
      <c r="AG240" s="6">
        <v>1.0217113665389525E-2</v>
      </c>
      <c r="AH240">
        <v>1</v>
      </c>
    </row>
    <row r="241" spans="1:34">
      <c r="A241" t="s">
        <v>517</v>
      </c>
      <c r="B241" t="s">
        <v>221</v>
      </c>
      <c r="C241">
        <v>28309</v>
      </c>
      <c r="D241">
        <v>8008</v>
      </c>
      <c r="E241">
        <v>1364.7572244034973</v>
      </c>
      <c r="F241">
        <v>18268.25</v>
      </c>
      <c r="G241">
        <v>6015.0133949058263</v>
      </c>
      <c r="H241">
        <v>2009.7700331064902</v>
      </c>
      <c r="I241">
        <v>30030</v>
      </c>
      <c r="J241">
        <v>643.1264105940769</v>
      </c>
      <c r="K241">
        <v>703.41951158727159</v>
      </c>
      <c r="L241">
        <v>0.15000000000000002</v>
      </c>
      <c r="M241">
        <v>0.05</v>
      </c>
      <c r="N241">
        <v>0.35000000000000003</v>
      </c>
      <c r="O241">
        <v>0.1</v>
      </c>
      <c r="P241">
        <v>0.05</v>
      </c>
      <c r="Q241">
        <v>0.60000000000000009</v>
      </c>
      <c r="R241">
        <v>0</v>
      </c>
      <c r="S241">
        <v>0</v>
      </c>
      <c r="T241">
        <v>30030</v>
      </c>
      <c r="U241" t="s">
        <v>97</v>
      </c>
      <c r="V241">
        <v>2</v>
      </c>
      <c r="W241">
        <v>2</v>
      </c>
      <c r="X241">
        <v>3</v>
      </c>
      <c r="Y241">
        <v>3</v>
      </c>
      <c r="Z241">
        <v>3</v>
      </c>
      <c r="AA241">
        <v>4</v>
      </c>
      <c r="AB241">
        <v>3</v>
      </c>
      <c r="AC241">
        <v>3</v>
      </c>
      <c r="AD241">
        <v>3</v>
      </c>
      <c r="AE241" s="6">
        <v>2.2727272727272728E-2</v>
      </c>
      <c r="AF241" s="6">
        <v>0.44444444444444431</v>
      </c>
      <c r="AG241" s="6">
        <v>1.0101010101010098E-2</v>
      </c>
      <c r="AH241">
        <v>0</v>
      </c>
    </row>
    <row r="242" spans="1:34">
      <c r="A242" t="s">
        <v>251</v>
      </c>
      <c r="B242" t="s">
        <v>250</v>
      </c>
      <c r="C242">
        <v>98274</v>
      </c>
      <c r="D242">
        <v>9408</v>
      </c>
      <c r="E242">
        <v>6357.5386841085128</v>
      </c>
      <c r="F242">
        <v>65773</v>
      </c>
      <c r="G242">
        <v>25902.874823037222</v>
      </c>
      <c r="H242">
        <v>42952.455634489117</v>
      </c>
      <c r="I242">
        <v>0</v>
      </c>
      <c r="J242">
        <v>13787.738258671006</v>
      </c>
      <c r="K242">
        <v>15033.359472071188</v>
      </c>
      <c r="L242">
        <v>0.05</v>
      </c>
      <c r="M242">
        <v>0.05</v>
      </c>
      <c r="N242">
        <v>0.35000000000000003</v>
      </c>
      <c r="O242">
        <v>0.15000000000000002</v>
      </c>
      <c r="P242">
        <v>0.25</v>
      </c>
      <c r="Q242">
        <v>0</v>
      </c>
      <c r="R242">
        <v>0.1</v>
      </c>
      <c r="S242">
        <v>0.1</v>
      </c>
      <c r="T242">
        <v>65773</v>
      </c>
      <c r="U242" t="s">
        <v>94</v>
      </c>
      <c r="V242">
        <v>2</v>
      </c>
      <c r="W242">
        <v>3</v>
      </c>
      <c r="X242">
        <v>3</v>
      </c>
      <c r="Y242">
        <v>4</v>
      </c>
      <c r="Z242">
        <v>4</v>
      </c>
      <c r="AA242">
        <v>3</v>
      </c>
      <c r="AB242">
        <v>4</v>
      </c>
      <c r="AC242">
        <v>4</v>
      </c>
      <c r="AD242">
        <v>3</v>
      </c>
      <c r="AE242" s="6">
        <v>2.2727272727272728E-2</v>
      </c>
      <c r="AF242" s="6">
        <v>0.33333333333333331</v>
      </c>
      <c r="AG242" s="6">
        <v>7.575757575757576E-3</v>
      </c>
      <c r="AH242">
        <v>1</v>
      </c>
    </row>
    <row r="243" spans="1:34">
      <c r="A243" t="s">
        <v>268</v>
      </c>
      <c r="B243" t="s">
        <v>267</v>
      </c>
      <c r="C243">
        <v>104536</v>
      </c>
      <c r="D243">
        <v>3885</v>
      </c>
      <c r="E243">
        <v>2979.6105942653098</v>
      </c>
      <c r="F243">
        <v>34808.955000000002</v>
      </c>
      <c r="G243">
        <v>14705.995417972239</v>
      </c>
      <c r="H243">
        <v>22731.669458903019</v>
      </c>
      <c r="I243">
        <v>0</v>
      </c>
      <c r="J243">
        <v>7274.1342268489661</v>
      </c>
      <c r="K243">
        <v>7956.0843106160555</v>
      </c>
      <c r="L243">
        <v>0.05</v>
      </c>
      <c r="M243">
        <v>0.05</v>
      </c>
      <c r="N243">
        <v>0.35000000000000003</v>
      </c>
      <c r="O243">
        <v>0.15000000000000002</v>
      </c>
      <c r="P243">
        <v>0.25</v>
      </c>
      <c r="Q243">
        <v>0</v>
      </c>
      <c r="R243">
        <v>0.1</v>
      </c>
      <c r="S243">
        <v>0.1</v>
      </c>
      <c r="T243">
        <v>34808.955000000002</v>
      </c>
      <c r="U243" t="s">
        <v>94</v>
      </c>
      <c r="V243">
        <v>2</v>
      </c>
      <c r="W243">
        <v>2</v>
      </c>
      <c r="X243">
        <v>3</v>
      </c>
      <c r="Y243">
        <v>4</v>
      </c>
      <c r="Z243">
        <v>4</v>
      </c>
      <c r="AA243">
        <v>2</v>
      </c>
      <c r="AB243">
        <v>4</v>
      </c>
      <c r="AC243">
        <v>4</v>
      </c>
      <c r="AD243">
        <v>2</v>
      </c>
      <c r="AE243" s="6">
        <v>2.1276595744680851E-2</v>
      </c>
      <c r="AF243" s="6">
        <v>0.33333333333333331</v>
      </c>
      <c r="AG243" s="6">
        <v>7.0921985815602835E-3</v>
      </c>
      <c r="AH243">
        <v>0</v>
      </c>
    </row>
    <row r="244" spans="1:34">
      <c r="A244" t="s">
        <v>646</v>
      </c>
      <c r="B244" t="s">
        <v>645</v>
      </c>
      <c r="C244">
        <v>83176</v>
      </c>
      <c r="D244">
        <v>3536</v>
      </c>
      <c r="E244">
        <v>898.455174473238</v>
      </c>
      <c r="F244">
        <v>10124.735000000001</v>
      </c>
      <c r="G244">
        <v>3330.8621270632366</v>
      </c>
      <c r="H244">
        <v>6710.7387679135736</v>
      </c>
      <c r="I244">
        <v>0</v>
      </c>
      <c r="J244">
        <v>2154.1471445002571</v>
      </c>
      <c r="K244">
        <v>2348.7585687697506</v>
      </c>
      <c r="L244">
        <v>0.15000000000000002</v>
      </c>
      <c r="M244">
        <v>0.05</v>
      </c>
      <c r="N244">
        <v>0.35000000000000003</v>
      </c>
      <c r="O244">
        <v>0.1</v>
      </c>
      <c r="P244">
        <v>0.25</v>
      </c>
      <c r="Q244">
        <v>0</v>
      </c>
      <c r="R244">
        <v>0.1</v>
      </c>
      <c r="S244">
        <v>0.1</v>
      </c>
      <c r="T244">
        <v>10124.735000000001</v>
      </c>
      <c r="U244" t="s">
        <v>94</v>
      </c>
      <c r="V244">
        <v>2</v>
      </c>
      <c r="W244">
        <v>1</v>
      </c>
      <c r="X244">
        <v>3</v>
      </c>
      <c r="Y244">
        <v>3</v>
      </c>
      <c r="Z244">
        <v>4</v>
      </c>
      <c r="AA244">
        <v>2</v>
      </c>
      <c r="AB244">
        <v>4</v>
      </c>
      <c r="AC244">
        <v>4</v>
      </c>
      <c r="AD244">
        <v>2</v>
      </c>
      <c r="AE244" s="6">
        <v>1.8518518518518517E-2</v>
      </c>
      <c r="AF244" s="6">
        <v>0.33333333333333331</v>
      </c>
      <c r="AG244" s="6">
        <v>6.1728395061728392E-3</v>
      </c>
      <c r="AH244">
        <v>0</v>
      </c>
    </row>
    <row r="245" spans="1:34">
      <c r="A245" t="s">
        <v>281</v>
      </c>
      <c r="B245" t="s">
        <v>280</v>
      </c>
      <c r="C245">
        <v>157437</v>
      </c>
      <c r="D245">
        <v>2865</v>
      </c>
      <c r="E245">
        <v>805.34152665643967</v>
      </c>
      <c r="F245">
        <v>11200</v>
      </c>
      <c r="G245">
        <v>1531.6189700667658</v>
      </c>
      <c r="H245">
        <v>4422.7343252444371</v>
      </c>
      <c r="I245">
        <v>0</v>
      </c>
      <c r="J245">
        <v>1419.697718403464</v>
      </c>
      <c r="K245">
        <v>1547.9570138355527</v>
      </c>
      <c r="L245">
        <v>0.15000000000000002</v>
      </c>
      <c r="M245">
        <v>0.05</v>
      </c>
      <c r="N245">
        <v>0.65</v>
      </c>
      <c r="O245">
        <v>0.1</v>
      </c>
      <c r="P245">
        <v>0.25</v>
      </c>
      <c r="Q245">
        <v>0</v>
      </c>
      <c r="R245">
        <v>0.1</v>
      </c>
      <c r="S245">
        <v>0.1</v>
      </c>
      <c r="T245">
        <v>11200</v>
      </c>
      <c r="U245" t="s">
        <v>94</v>
      </c>
      <c r="V245">
        <v>2</v>
      </c>
      <c r="W245">
        <v>2</v>
      </c>
      <c r="X245">
        <v>3</v>
      </c>
      <c r="Y245">
        <v>3</v>
      </c>
      <c r="Z245">
        <v>4</v>
      </c>
      <c r="AA245">
        <v>2</v>
      </c>
      <c r="AB245">
        <v>4</v>
      </c>
      <c r="AC245">
        <v>4</v>
      </c>
      <c r="AD245">
        <v>2</v>
      </c>
      <c r="AE245" s="6">
        <v>8.1632653061224497E-3</v>
      </c>
      <c r="AF245" s="6">
        <v>0.33333333333333331</v>
      </c>
      <c r="AG245" s="6">
        <v>2.7210884353741499E-3</v>
      </c>
      <c r="AH245">
        <v>0</v>
      </c>
    </row>
    <row r="246" spans="1:34">
      <c r="A246" t="s">
        <v>699</v>
      </c>
      <c r="B246" t="s">
        <v>698</v>
      </c>
      <c r="C246">
        <v>100759</v>
      </c>
      <c r="D246">
        <v>4744</v>
      </c>
      <c r="E246">
        <v>619.609644587086</v>
      </c>
      <c r="F246">
        <v>10390.09</v>
      </c>
      <c r="G246">
        <v>1742.9051091990448</v>
      </c>
      <c r="H246">
        <v>5658.6364528299455</v>
      </c>
      <c r="I246">
        <v>0</v>
      </c>
      <c r="J246">
        <v>1810.7636649055826</v>
      </c>
      <c r="K246">
        <v>1980.5227584904806</v>
      </c>
      <c r="L246">
        <v>0.15000000000000002</v>
      </c>
      <c r="M246">
        <v>0</v>
      </c>
      <c r="N246">
        <v>0.35000000000000003</v>
      </c>
      <c r="O246">
        <v>0.05</v>
      </c>
      <c r="P246">
        <v>0.2</v>
      </c>
      <c r="Q246">
        <v>0</v>
      </c>
      <c r="R246">
        <v>0.05</v>
      </c>
      <c r="S246">
        <v>0.05</v>
      </c>
      <c r="T246">
        <v>10390.09</v>
      </c>
      <c r="U246" t="s">
        <v>94</v>
      </c>
      <c r="V246">
        <v>1</v>
      </c>
      <c r="W246">
        <v>2</v>
      </c>
      <c r="X246">
        <v>3</v>
      </c>
      <c r="Y246">
        <v>3</v>
      </c>
      <c r="Z246">
        <v>4</v>
      </c>
      <c r="AA246">
        <v>2</v>
      </c>
      <c r="AB246">
        <v>4</v>
      </c>
      <c r="AC246">
        <v>4</v>
      </c>
      <c r="AD246">
        <v>2</v>
      </c>
      <c r="AE246" s="6">
        <v>8.0000000000000002E-3</v>
      </c>
      <c r="AF246" s="6">
        <v>0.33333333333333331</v>
      </c>
      <c r="AG246" s="6">
        <v>2.6666666666666666E-3</v>
      </c>
      <c r="AH246">
        <v>0</v>
      </c>
    </row>
    <row r="247" spans="1:34">
      <c r="A247" t="s">
        <v>460</v>
      </c>
      <c r="B247" t="s">
        <v>459</v>
      </c>
      <c r="C247">
        <v>240755</v>
      </c>
      <c r="D247">
        <v>11592</v>
      </c>
      <c r="E247">
        <v>3999.3011938744403</v>
      </c>
      <c r="F247">
        <v>44001.845000000001</v>
      </c>
      <c r="G247">
        <v>10037.878729624295</v>
      </c>
      <c r="H247">
        <v>28839.842003967755</v>
      </c>
      <c r="I247">
        <v>0</v>
      </c>
      <c r="J247">
        <v>9257.5892832736499</v>
      </c>
      <c r="K247">
        <v>10093.944701388713</v>
      </c>
      <c r="L247">
        <v>0.1</v>
      </c>
      <c r="M247">
        <v>0.05</v>
      </c>
      <c r="N247">
        <v>0.35000000000000003</v>
      </c>
      <c r="O247">
        <v>0.1</v>
      </c>
      <c r="P247">
        <v>0.25</v>
      </c>
      <c r="Q247">
        <v>0</v>
      </c>
      <c r="R247">
        <v>0.1</v>
      </c>
      <c r="S247">
        <v>0.1</v>
      </c>
      <c r="T247">
        <v>44001.845000000001</v>
      </c>
      <c r="U247" t="s">
        <v>94</v>
      </c>
      <c r="V247">
        <v>2</v>
      </c>
      <c r="W247">
        <v>1</v>
      </c>
      <c r="X247">
        <v>3</v>
      </c>
      <c r="Y247">
        <v>3</v>
      </c>
      <c r="Z247">
        <v>3</v>
      </c>
      <c r="AA247">
        <v>3</v>
      </c>
      <c r="AB247">
        <v>3</v>
      </c>
      <c r="AC247">
        <v>3</v>
      </c>
      <c r="AD247">
        <v>3</v>
      </c>
      <c r="AE247" s="6">
        <v>6.8493150684931503E-3</v>
      </c>
      <c r="AF247" s="6">
        <v>0.33333333333333331</v>
      </c>
      <c r="AG247" s="6">
        <v>2.2831050228310501E-3</v>
      </c>
      <c r="AH247">
        <v>0</v>
      </c>
    </row>
    <row r="248" spans="1:34">
      <c r="A248" t="s">
        <v>722</v>
      </c>
      <c r="B248" t="s">
        <v>721</v>
      </c>
      <c r="C248">
        <v>30484</v>
      </c>
      <c r="D248">
        <v>1563</v>
      </c>
      <c r="E248">
        <v>509.86292503653624</v>
      </c>
      <c r="F248">
        <v>7700</v>
      </c>
      <c r="G248">
        <v>726.38710305892255</v>
      </c>
      <c r="H248">
        <v>2243.4771602115143</v>
      </c>
      <c r="I248">
        <v>5626.2</v>
      </c>
      <c r="J248">
        <v>717.91269126768452</v>
      </c>
      <c r="K248">
        <v>785.21700607403011</v>
      </c>
      <c r="L248">
        <v>0.15000000000000002</v>
      </c>
      <c r="M248">
        <v>0.05</v>
      </c>
      <c r="N248">
        <v>0.8</v>
      </c>
      <c r="O248">
        <v>0.1</v>
      </c>
      <c r="P248">
        <v>0.25</v>
      </c>
      <c r="Q248">
        <v>0.60000000000000009</v>
      </c>
      <c r="R248">
        <v>0.1</v>
      </c>
      <c r="S248">
        <v>0.1</v>
      </c>
      <c r="T248">
        <v>7700</v>
      </c>
      <c r="U248" t="s">
        <v>94</v>
      </c>
      <c r="V248">
        <v>3</v>
      </c>
      <c r="W248">
        <v>3</v>
      </c>
      <c r="X248">
        <v>3</v>
      </c>
      <c r="Y248">
        <v>5</v>
      </c>
      <c r="Z248">
        <v>4</v>
      </c>
      <c r="AA248">
        <v>4</v>
      </c>
      <c r="AB248">
        <v>4</v>
      </c>
      <c r="AC248">
        <v>4</v>
      </c>
      <c r="AD248">
        <v>4</v>
      </c>
      <c r="AE248" s="6">
        <v>0</v>
      </c>
      <c r="AF248" s="6">
        <v>0</v>
      </c>
      <c r="AG248" s="6">
        <v>0</v>
      </c>
      <c r="AH248">
        <v>1</v>
      </c>
    </row>
    <row r="249" spans="1:34">
      <c r="A249" t="s">
        <v>118</v>
      </c>
      <c r="B249" t="s">
        <v>117</v>
      </c>
      <c r="C249">
        <v>2300</v>
      </c>
      <c r="D249">
        <v>10784</v>
      </c>
      <c r="E249">
        <v>1139.1017697671107</v>
      </c>
      <c r="F249">
        <v>18200</v>
      </c>
      <c r="G249">
        <v>2576.5539253173292</v>
      </c>
      <c r="H249">
        <v>3986.3036585868931</v>
      </c>
      <c r="I249">
        <v>4509.4049999999997</v>
      </c>
      <c r="J249">
        <v>1275.6171707478059</v>
      </c>
      <c r="K249">
        <v>1395.2062805054125</v>
      </c>
      <c r="L249">
        <v>0.30000000000000004</v>
      </c>
      <c r="M249">
        <v>0.05</v>
      </c>
      <c r="N249">
        <v>0.55000000000000004</v>
      </c>
      <c r="O249">
        <v>0.1</v>
      </c>
      <c r="P249">
        <v>0.1</v>
      </c>
      <c r="Q249">
        <v>0.15000000000000002</v>
      </c>
      <c r="R249">
        <v>0.05</v>
      </c>
      <c r="S249">
        <v>0.05</v>
      </c>
      <c r="T249">
        <v>18200</v>
      </c>
      <c r="U249" t="s">
        <v>94</v>
      </c>
      <c r="V249">
        <v>4</v>
      </c>
      <c r="W249">
        <v>3</v>
      </c>
      <c r="X249">
        <v>4</v>
      </c>
      <c r="Y249">
        <v>3</v>
      </c>
      <c r="Z249">
        <v>4</v>
      </c>
      <c r="AA249">
        <v>5</v>
      </c>
      <c r="AB249">
        <v>4</v>
      </c>
      <c r="AC249">
        <v>4</v>
      </c>
      <c r="AD249">
        <v>4</v>
      </c>
      <c r="AE249" s="6">
        <v>0</v>
      </c>
      <c r="AF249" s="6">
        <v>0</v>
      </c>
      <c r="AG249" s="6">
        <v>0</v>
      </c>
      <c r="AH249">
        <v>1</v>
      </c>
    </row>
    <row r="250" spans="1:34">
      <c r="A250" t="s">
        <v>128</v>
      </c>
      <c r="B250" t="s">
        <v>127</v>
      </c>
      <c r="C250">
        <v>14653</v>
      </c>
      <c r="D250">
        <v>4011</v>
      </c>
      <c r="E250">
        <v>333.36352493202162</v>
      </c>
      <c r="F250">
        <v>3378.8049999999998</v>
      </c>
      <c r="G250">
        <v>1205.5446487473928</v>
      </c>
      <c r="H250">
        <v>1104.7275085333315</v>
      </c>
      <c r="I250">
        <v>0</v>
      </c>
      <c r="J250">
        <v>353.51280273066607</v>
      </c>
      <c r="K250">
        <v>386.65462798666601</v>
      </c>
      <c r="L250">
        <v>0.45</v>
      </c>
      <c r="M250">
        <v>0.05</v>
      </c>
      <c r="N250">
        <v>0.35000000000000003</v>
      </c>
      <c r="O250">
        <v>0.15000000000000002</v>
      </c>
      <c r="P250">
        <v>0.1</v>
      </c>
      <c r="Q250">
        <v>0</v>
      </c>
      <c r="R250">
        <v>0.05</v>
      </c>
      <c r="S250">
        <v>0.05</v>
      </c>
      <c r="T250">
        <v>4011</v>
      </c>
      <c r="U250" t="s">
        <v>92</v>
      </c>
      <c r="V250">
        <v>4</v>
      </c>
      <c r="W250">
        <v>1</v>
      </c>
      <c r="X250">
        <v>3</v>
      </c>
      <c r="Y250">
        <v>3</v>
      </c>
      <c r="Z250">
        <v>2</v>
      </c>
      <c r="AA250">
        <v>2</v>
      </c>
      <c r="AB250">
        <v>2</v>
      </c>
      <c r="AC250">
        <v>2</v>
      </c>
      <c r="AD250">
        <v>2</v>
      </c>
      <c r="AE250" s="6">
        <v>0</v>
      </c>
      <c r="AF250" s="6">
        <v>0</v>
      </c>
      <c r="AG250" s="6">
        <v>0</v>
      </c>
      <c r="AH250">
        <v>0</v>
      </c>
    </row>
    <row r="251" spans="1:34">
      <c r="A251" t="s">
        <v>134</v>
      </c>
      <c r="B251" t="s">
        <v>133</v>
      </c>
      <c r="C251">
        <v>30016</v>
      </c>
      <c r="D251">
        <v>49834</v>
      </c>
      <c r="E251">
        <v>6347.9932718436048</v>
      </c>
      <c r="F251">
        <v>68107.175000000003</v>
      </c>
      <c r="G251">
        <v>21566.181098022618</v>
      </c>
      <c r="H251">
        <v>37113.649032223722</v>
      </c>
      <c r="I251">
        <v>0</v>
      </c>
      <c r="J251">
        <v>11876.367690311592</v>
      </c>
      <c r="K251">
        <v>12989.777161278302</v>
      </c>
      <c r="L251">
        <v>0.25</v>
      </c>
      <c r="M251">
        <v>0.05</v>
      </c>
      <c r="N251">
        <v>0.35000000000000003</v>
      </c>
      <c r="O251">
        <v>0.1</v>
      </c>
      <c r="P251">
        <v>0.2</v>
      </c>
      <c r="Q251">
        <v>0</v>
      </c>
      <c r="R251">
        <v>0.05</v>
      </c>
      <c r="S251">
        <v>0.05</v>
      </c>
      <c r="T251">
        <v>68107.175000000003</v>
      </c>
      <c r="U251" t="s">
        <v>94</v>
      </c>
      <c r="V251">
        <v>3</v>
      </c>
      <c r="W251">
        <v>1</v>
      </c>
      <c r="X251">
        <v>3</v>
      </c>
      <c r="Y251">
        <v>4</v>
      </c>
      <c r="Z251">
        <v>3</v>
      </c>
      <c r="AA251">
        <v>2</v>
      </c>
      <c r="AB251">
        <v>3</v>
      </c>
      <c r="AC251">
        <v>3</v>
      </c>
      <c r="AD251">
        <v>3</v>
      </c>
      <c r="AE251" s="6">
        <v>0</v>
      </c>
      <c r="AF251" s="6">
        <v>0</v>
      </c>
      <c r="AG251" s="6">
        <v>0</v>
      </c>
      <c r="AH251">
        <v>0</v>
      </c>
    </row>
    <row r="252" spans="1:34">
      <c r="A252" t="s">
        <v>138</v>
      </c>
      <c r="B252" t="s">
        <v>137</v>
      </c>
      <c r="C252">
        <v>13476</v>
      </c>
      <c r="D252">
        <v>8691</v>
      </c>
      <c r="E252">
        <v>1033.4588004943298</v>
      </c>
      <c r="F252">
        <v>14120.39</v>
      </c>
      <c r="G252">
        <v>5194.9364259822232</v>
      </c>
      <c r="H252">
        <v>9233.5504796630576</v>
      </c>
      <c r="I252">
        <v>0</v>
      </c>
      <c r="J252">
        <v>2954.7361534921783</v>
      </c>
      <c r="K252">
        <v>3231.7426678820698</v>
      </c>
      <c r="L252">
        <v>0.2</v>
      </c>
      <c r="M252">
        <v>0.05</v>
      </c>
      <c r="N252">
        <v>0.35000000000000003</v>
      </c>
      <c r="O252">
        <v>0.15000000000000002</v>
      </c>
      <c r="P252">
        <v>0.25</v>
      </c>
      <c r="Q252">
        <v>0</v>
      </c>
      <c r="R252">
        <v>0.1</v>
      </c>
      <c r="S252">
        <v>0.1</v>
      </c>
      <c r="T252">
        <v>14120.39</v>
      </c>
      <c r="U252" t="s">
        <v>94</v>
      </c>
      <c r="V252">
        <v>3</v>
      </c>
      <c r="W252">
        <v>3</v>
      </c>
      <c r="X252">
        <v>4</v>
      </c>
      <c r="Y252">
        <v>3</v>
      </c>
      <c r="Z252">
        <v>2</v>
      </c>
      <c r="AA252">
        <v>3</v>
      </c>
      <c r="AB252">
        <v>2</v>
      </c>
      <c r="AC252">
        <v>2</v>
      </c>
      <c r="AD252">
        <v>3</v>
      </c>
      <c r="AE252" s="6">
        <v>0</v>
      </c>
      <c r="AF252" s="6">
        <v>0</v>
      </c>
      <c r="AG252" s="6">
        <v>0</v>
      </c>
      <c r="AH252">
        <v>0</v>
      </c>
    </row>
    <row r="253" spans="1:34">
      <c r="A253" t="s">
        <v>144</v>
      </c>
      <c r="B253" t="s">
        <v>143</v>
      </c>
      <c r="C253">
        <v>32655</v>
      </c>
      <c r="D253">
        <v>2700</v>
      </c>
      <c r="E253">
        <v>4932.8788742499491</v>
      </c>
      <c r="F253">
        <v>27300</v>
      </c>
      <c r="G253">
        <v>2091.9090466414323</v>
      </c>
      <c r="H253">
        <v>13338.18679102983</v>
      </c>
      <c r="I253">
        <v>33325.799999999996</v>
      </c>
      <c r="J253">
        <v>4268.2197731295455</v>
      </c>
      <c r="K253">
        <v>4668.365376860439</v>
      </c>
      <c r="L253">
        <v>0.05</v>
      </c>
      <c r="M253">
        <v>0.1</v>
      </c>
      <c r="N253">
        <v>0.5</v>
      </c>
      <c r="O253">
        <v>0.05</v>
      </c>
      <c r="P253">
        <v>0.25</v>
      </c>
      <c r="Q253">
        <v>0.60000000000000009</v>
      </c>
      <c r="R253">
        <v>0.1</v>
      </c>
      <c r="S253">
        <v>0.1</v>
      </c>
      <c r="T253">
        <v>33325.799999999996</v>
      </c>
      <c r="U253" t="s">
        <v>97</v>
      </c>
      <c r="V253">
        <v>3</v>
      </c>
      <c r="W253">
        <v>2</v>
      </c>
      <c r="X253">
        <v>3</v>
      </c>
      <c r="Y253">
        <v>3</v>
      </c>
      <c r="Z253">
        <v>2</v>
      </c>
      <c r="AA253">
        <v>3</v>
      </c>
      <c r="AB253">
        <v>2</v>
      </c>
      <c r="AC253">
        <v>2</v>
      </c>
      <c r="AD253">
        <v>3</v>
      </c>
      <c r="AE253" s="6">
        <v>0</v>
      </c>
      <c r="AF253" s="6">
        <v>0</v>
      </c>
      <c r="AG253" s="6">
        <v>0</v>
      </c>
      <c r="AH253">
        <v>1</v>
      </c>
    </row>
    <row r="254" spans="1:34">
      <c r="A254" t="s">
        <v>152</v>
      </c>
      <c r="B254" t="s">
        <v>151</v>
      </c>
      <c r="C254">
        <v>9047</v>
      </c>
      <c r="D254">
        <v>3026</v>
      </c>
      <c r="E254">
        <v>3417.4794151314604</v>
      </c>
      <c r="F254">
        <v>12100</v>
      </c>
      <c r="G254">
        <v>386.41111982904505</v>
      </c>
      <c r="H254">
        <v>5996.3366071694882</v>
      </c>
      <c r="I254">
        <v>19976</v>
      </c>
      <c r="J254">
        <v>1924.8240509014058</v>
      </c>
      <c r="K254">
        <v>2098.717812509321</v>
      </c>
      <c r="L254">
        <v>0.1</v>
      </c>
      <c r="M254">
        <v>0.15000000000000002</v>
      </c>
      <c r="N254">
        <v>0.5</v>
      </c>
      <c r="O254">
        <v>0</v>
      </c>
      <c r="P254">
        <v>0.25</v>
      </c>
      <c r="Q254">
        <v>0.8</v>
      </c>
      <c r="R254">
        <v>0.1</v>
      </c>
      <c r="S254">
        <v>0.1</v>
      </c>
      <c r="T254">
        <v>19976</v>
      </c>
      <c r="U254" t="s">
        <v>97</v>
      </c>
      <c r="V254">
        <v>4</v>
      </c>
      <c r="W254">
        <v>1</v>
      </c>
      <c r="X254">
        <v>3</v>
      </c>
      <c r="Y254">
        <v>3</v>
      </c>
      <c r="Z254">
        <v>2</v>
      </c>
      <c r="AA254">
        <v>2</v>
      </c>
      <c r="AB254">
        <v>2</v>
      </c>
      <c r="AC254">
        <v>2</v>
      </c>
      <c r="AD254">
        <v>2</v>
      </c>
      <c r="AE254" s="6">
        <v>0</v>
      </c>
      <c r="AF254" s="6">
        <v>0</v>
      </c>
      <c r="AG254" s="6">
        <v>0</v>
      </c>
      <c r="AH254">
        <v>0</v>
      </c>
    </row>
    <row r="255" spans="1:34">
      <c r="A255" t="s">
        <v>160</v>
      </c>
      <c r="B255" t="s">
        <v>159</v>
      </c>
      <c r="C255">
        <v>9768</v>
      </c>
      <c r="D255">
        <v>54084</v>
      </c>
      <c r="E255">
        <v>16279.187688197813</v>
      </c>
      <c r="F255">
        <v>151950.23000000001</v>
      </c>
      <c r="G255">
        <v>52451.343098291385</v>
      </c>
      <c r="H255">
        <v>83052.063587334997</v>
      </c>
      <c r="I255">
        <v>0</v>
      </c>
      <c r="J255">
        <v>26576.6603479472</v>
      </c>
      <c r="K255">
        <v>29068.222255567242</v>
      </c>
      <c r="L255">
        <v>0.15000000000000002</v>
      </c>
      <c r="M255">
        <v>0.05</v>
      </c>
      <c r="N255">
        <v>0.35000000000000003</v>
      </c>
      <c r="O255">
        <v>0.15000000000000002</v>
      </c>
      <c r="P255">
        <v>0.2</v>
      </c>
      <c r="Q255">
        <v>0</v>
      </c>
      <c r="R255">
        <v>0.05</v>
      </c>
      <c r="S255">
        <v>0.05</v>
      </c>
      <c r="T255">
        <v>151950.23000000001</v>
      </c>
      <c r="U255" t="s">
        <v>94</v>
      </c>
      <c r="V255">
        <v>3</v>
      </c>
      <c r="W255">
        <v>1</v>
      </c>
      <c r="X255">
        <v>3</v>
      </c>
      <c r="Y255">
        <v>3</v>
      </c>
      <c r="Z255">
        <v>2</v>
      </c>
      <c r="AA255">
        <v>4</v>
      </c>
      <c r="AB255">
        <v>2</v>
      </c>
      <c r="AC255">
        <v>2</v>
      </c>
      <c r="AD255">
        <v>3</v>
      </c>
      <c r="AE255" s="6">
        <v>0</v>
      </c>
      <c r="AF255" s="6">
        <v>0</v>
      </c>
      <c r="AG255" s="6">
        <v>0</v>
      </c>
      <c r="AH255">
        <v>0</v>
      </c>
    </row>
    <row r="256" spans="1:34">
      <c r="A256" t="s">
        <v>181</v>
      </c>
      <c r="B256" t="s">
        <v>180</v>
      </c>
      <c r="C256">
        <v>38047</v>
      </c>
      <c r="D256">
        <v>38884</v>
      </c>
      <c r="E256">
        <v>6392.629447164305</v>
      </c>
      <c r="F256">
        <v>78758.97</v>
      </c>
      <c r="G256">
        <v>30250.578094044064</v>
      </c>
      <c r="H256">
        <v>43047.614896752777</v>
      </c>
      <c r="I256">
        <v>0</v>
      </c>
      <c r="J256">
        <v>13775.236766960888</v>
      </c>
      <c r="K256">
        <v>15066.665213863471</v>
      </c>
      <c r="L256">
        <v>0.2</v>
      </c>
      <c r="M256">
        <v>0.05</v>
      </c>
      <c r="N256">
        <v>0.35000000000000003</v>
      </c>
      <c r="O256">
        <v>0.15000000000000002</v>
      </c>
      <c r="P256">
        <v>0.2</v>
      </c>
      <c r="Q256">
        <v>0</v>
      </c>
      <c r="R256">
        <v>0.05</v>
      </c>
      <c r="S256">
        <v>0.05</v>
      </c>
      <c r="T256">
        <v>78758.97</v>
      </c>
      <c r="U256" t="s">
        <v>94</v>
      </c>
      <c r="V256">
        <v>2</v>
      </c>
      <c r="W256">
        <v>1</v>
      </c>
      <c r="X256">
        <v>3</v>
      </c>
      <c r="Y256">
        <v>3</v>
      </c>
      <c r="Z256">
        <v>2</v>
      </c>
      <c r="AA256">
        <v>2</v>
      </c>
      <c r="AB256">
        <v>2</v>
      </c>
      <c r="AC256">
        <v>2</v>
      </c>
      <c r="AD256">
        <v>2</v>
      </c>
      <c r="AE256" s="6">
        <v>0</v>
      </c>
      <c r="AF256" s="6">
        <v>0</v>
      </c>
      <c r="AG256" s="6">
        <v>0</v>
      </c>
      <c r="AH256">
        <v>0</v>
      </c>
    </row>
    <row r="257" spans="1:34">
      <c r="A257" t="s">
        <v>183</v>
      </c>
      <c r="B257" t="s">
        <v>182</v>
      </c>
      <c r="C257">
        <v>16627</v>
      </c>
      <c r="D257">
        <v>6228</v>
      </c>
      <c r="E257">
        <v>1259.4906836444238</v>
      </c>
      <c r="F257">
        <v>14396.33</v>
      </c>
      <c r="G257">
        <v>6225.9650139530877</v>
      </c>
      <c r="H257">
        <v>7868.6614333144407</v>
      </c>
      <c r="I257">
        <v>2662.335</v>
      </c>
      <c r="J257">
        <v>2517.971658660621</v>
      </c>
      <c r="K257">
        <v>2754.0315016600548</v>
      </c>
      <c r="L257">
        <v>0.15000000000000002</v>
      </c>
      <c r="M257">
        <v>0.05</v>
      </c>
      <c r="N257">
        <v>0.35000000000000003</v>
      </c>
      <c r="O257">
        <v>0.15000000000000002</v>
      </c>
      <c r="P257">
        <v>0.2</v>
      </c>
      <c r="Q257">
        <v>0.05</v>
      </c>
      <c r="R257">
        <v>0.05</v>
      </c>
      <c r="S257">
        <v>0.05</v>
      </c>
      <c r="T257">
        <v>14396.33</v>
      </c>
      <c r="U257" t="s">
        <v>94</v>
      </c>
      <c r="V257">
        <v>3</v>
      </c>
      <c r="W257">
        <v>1</v>
      </c>
      <c r="X257">
        <v>3</v>
      </c>
      <c r="Y257">
        <v>3</v>
      </c>
      <c r="Z257">
        <v>2</v>
      </c>
      <c r="AA257">
        <v>2</v>
      </c>
      <c r="AB257">
        <v>2</v>
      </c>
      <c r="AC257">
        <v>2</v>
      </c>
      <c r="AD257">
        <v>2</v>
      </c>
      <c r="AE257" s="6">
        <v>0</v>
      </c>
      <c r="AF257" s="6">
        <v>0</v>
      </c>
      <c r="AG257" s="6">
        <v>0</v>
      </c>
      <c r="AH257">
        <v>0</v>
      </c>
    </row>
    <row r="258" spans="1:34">
      <c r="A258" t="s">
        <v>191</v>
      </c>
      <c r="B258" t="s">
        <v>190</v>
      </c>
      <c r="C258">
        <v>48800</v>
      </c>
      <c r="D258">
        <v>31124</v>
      </c>
      <c r="E258">
        <v>4506.5957131958357</v>
      </c>
      <c r="F258">
        <v>54030.584999999999</v>
      </c>
      <c r="G258">
        <v>18335.03499985169</v>
      </c>
      <c r="H258">
        <v>29531.719570815454</v>
      </c>
      <c r="I258">
        <v>0</v>
      </c>
      <c r="J258">
        <v>9479.6819822317611</v>
      </c>
      <c r="K258">
        <v>10336.101849785409</v>
      </c>
      <c r="L258">
        <v>0.2</v>
      </c>
      <c r="M258">
        <v>0.05</v>
      </c>
      <c r="N258">
        <v>0.35000000000000003</v>
      </c>
      <c r="O258">
        <v>0.1</v>
      </c>
      <c r="P258">
        <v>0.2</v>
      </c>
      <c r="Q258">
        <v>0</v>
      </c>
      <c r="R258">
        <v>0.05</v>
      </c>
      <c r="S258">
        <v>0.05</v>
      </c>
      <c r="T258">
        <v>54030.584999999999</v>
      </c>
      <c r="U258" t="s">
        <v>94</v>
      </c>
      <c r="V258">
        <v>2</v>
      </c>
      <c r="W258">
        <v>1</v>
      </c>
      <c r="X258">
        <v>3</v>
      </c>
      <c r="Y258">
        <v>4</v>
      </c>
      <c r="Z258">
        <v>3</v>
      </c>
      <c r="AA258">
        <v>2</v>
      </c>
      <c r="AB258">
        <v>3</v>
      </c>
      <c r="AC258">
        <v>3</v>
      </c>
      <c r="AD258">
        <v>2</v>
      </c>
      <c r="AE258" s="6">
        <v>0</v>
      </c>
      <c r="AF258" s="6">
        <v>0</v>
      </c>
      <c r="AG258" s="6">
        <v>0</v>
      </c>
      <c r="AH258">
        <v>0</v>
      </c>
    </row>
    <row r="259" spans="1:34">
      <c r="A259" t="s">
        <v>196</v>
      </c>
      <c r="B259" t="s">
        <v>195</v>
      </c>
      <c r="C259">
        <v>25540</v>
      </c>
      <c r="D259">
        <v>1562</v>
      </c>
      <c r="E259">
        <v>1812.6728286743305</v>
      </c>
      <c r="F259">
        <v>21900</v>
      </c>
      <c r="G259">
        <v>1947.0969898683175</v>
      </c>
      <c r="H259">
        <v>6055.2513038751149</v>
      </c>
      <c r="I259">
        <v>0</v>
      </c>
      <c r="J259">
        <v>1937.6804172400368</v>
      </c>
      <c r="K259">
        <v>2119.3379563562903</v>
      </c>
      <c r="L259">
        <v>0.05</v>
      </c>
      <c r="M259">
        <v>0.05</v>
      </c>
      <c r="N259">
        <v>0.5</v>
      </c>
      <c r="O259">
        <v>0.05</v>
      </c>
      <c r="P259">
        <v>0.15000000000000002</v>
      </c>
      <c r="Q259">
        <v>0</v>
      </c>
      <c r="R259">
        <v>0.05</v>
      </c>
      <c r="S259">
        <v>0.05</v>
      </c>
      <c r="T259">
        <v>21900</v>
      </c>
      <c r="U259" t="s">
        <v>94</v>
      </c>
      <c r="V259">
        <v>3</v>
      </c>
      <c r="W259">
        <v>1</v>
      </c>
      <c r="X259">
        <v>3</v>
      </c>
      <c r="Y259">
        <v>3</v>
      </c>
      <c r="Z259">
        <v>3</v>
      </c>
      <c r="AA259">
        <v>2</v>
      </c>
      <c r="AB259">
        <v>3</v>
      </c>
      <c r="AC259">
        <v>3</v>
      </c>
      <c r="AD259">
        <v>3</v>
      </c>
      <c r="AE259" s="6">
        <v>0</v>
      </c>
      <c r="AF259" s="6">
        <v>0</v>
      </c>
      <c r="AG259" s="6">
        <v>0</v>
      </c>
      <c r="AH259">
        <v>0</v>
      </c>
    </row>
    <row r="260" spans="1:34">
      <c r="A260" t="s">
        <v>198</v>
      </c>
      <c r="B260" t="s">
        <v>197</v>
      </c>
      <c r="C260">
        <v>23279</v>
      </c>
      <c r="D260">
        <v>8118</v>
      </c>
      <c r="E260">
        <v>3306.2876662788221</v>
      </c>
      <c r="F260">
        <v>30480.055</v>
      </c>
      <c r="G260">
        <v>8707.8034025486122</v>
      </c>
      <c r="H260">
        <v>7195.7290131067421</v>
      </c>
      <c r="I260">
        <v>11273.445</v>
      </c>
      <c r="J260">
        <v>2302.6332841941576</v>
      </c>
      <c r="K260">
        <v>2518.5051545873594</v>
      </c>
      <c r="L260">
        <v>0.1</v>
      </c>
      <c r="M260">
        <v>0.05</v>
      </c>
      <c r="N260">
        <v>0.35000000000000003</v>
      </c>
      <c r="O260">
        <v>0.1</v>
      </c>
      <c r="P260">
        <v>0.1</v>
      </c>
      <c r="Q260">
        <v>0.15000000000000002</v>
      </c>
      <c r="R260">
        <v>0.05</v>
      </c>
      <c r="S260">
        <v>0.05</v>
      </c>
      <c r="T260">
        <v>30480.055</v>
      </c>
      <c r="U260" t="s">
        <v>94</v>
      </c>
      <c r="V260">
        <v>3</v>
      </c>
      <c r="W260">
        <v>1</v>
      </c>
      <c r="X260">
        <v>3</v>
      </c>
      <c r="Y260">
        <v>3</v>
      </c>
      <c r="Z260">
        <v>3</v>
      </c>
      <c r="AA260">
        <v>4</v>
      </c>
      <c r="AB260">
        <v>3</v>
      </c>
      <c r="AC260">
        <v>3</v>
      </c>
      <c r="AD260">
        <v>3</v>
      </c>
      <c r="AE260" s="6">
        <v>0</v>
      </c>
      <c r="AF260" s="6">
        <v>0</v>
      </c>
      <c r="AG260" s="6">
        <v>0</v>
      </c>
      <c r="AH260">
        <v>0</v>
      </c>
    </row>
    <row r="261" spans="1:34">
      <c r="A261" t="s">
        <v>204</v>
      </c>
      <c r="B261" t="s">
        <v>203</v>
      </c>
      <c r="C261">
        <v>114509</v>
      </c>
      <c r="D261">
        <v>17100</v>
      </c>
      <c r="E261">
        <v>2112.0067110644577</v>
      </c>
      <c r="F261">
        <v>47700</v>
      </c>
      <c r="G261">
        <v>4205.5268157862192</v>
      </c>
      <c r="H261">
        <v>7763.698746203655</v>
      </c>
      <c r="I261">
        <v>0</v>
      </c>
      <c r="J261">
        <v>2484.3835987851699</v>
      </c>
      <c r="K261">
        <v>2717.2945611712789</v>
      </c>
      <c r="L261">
        <v>0.30000000000000004</v>
      </c>
      <c r="M261">
        <v>0.05</v>
      </c>
      <c r="N261">
        <v>0.9</v>
      </c>
      <c r="O261">
        <v>0.1</v>
      </c>
      <c r="P261">
        <v>0.15000000000000002</v>
      </c>
      <c r="Q261">
        <v>0</v>
      </c>
      <c r="R261">
        <v>0.05</v>
      </c>
      <c r="S261">
        <v>0.05</v>
      </c>
      <c r="T261">
        <v>47700</v>
      </c>
      <c r="U261" t="s">
        <v>94</v>
      </c>
      <c r="V261">
        <v>2</v>
      </c>
      <c r="W261">
        <v>1</v>
      </c>
      <c r="X261">
        <v>3</v>
      </c>
      <c r="Y261">
        <v>3</v>
      </c>
      <c r="Z261">
        <v>3</v>
      </c>
      <c r="AA261">
        <v>2</v>
      </c>
      <c r="AB261">
        <v>3</v>
      </c>
      <c r="AC261">
        <v>3</v>
      </c>
      <c r="AD261">
        <v>2</v>
      </c>
      <c r="AE261" s="6">
        <v>0</v>
      </c>
      <c r="AF261" s="6">
        <v>0</v>
      </c>
      <c r="AG261" s="6">
        <v>0</v>
      </c>
      <c r="AH261">
        <v>0</v>
      </c>
    </row>
    <row r="262" spans="1:34">
      <c r="A262" t="s">
        <v>206</v>
      </c>
      <c r="B262" t="s">
        <v>205</v>
      </c>
      <c r="C262">
        <v>14161</v>
      </c>
      <c r="D262">
        <v>5055</v>
      </c>
      <c r="E262">
        <v>1231.0694342439137</v>
      </c>
      <c r="F262">
        <v>21000</v>
      </c>
      <c r="G262">
        <v>1763.0692104279424</v>
      </c>
      <c r="H262">
        <v>2294.5988706338317</v>
      </c>
      <c r="I262">
        <v>0</v>
      </c>
      <c r="J262">
        <v>734.27163860282621</v>
      </c>
      <c r="K262">
        <v>803.10960472184104</v>
      </c>
      <c r="L262">
        <v>0.2</v>
      </c>
      <c r="M262">
        <v>0.05</v>
      </c>
      <c r="N262">
        <v>0.8</v>
      </c>
      <c r="O262">
        <v>0.05</v>
      </c>
      <c r="P262">
        <v>0.1</v>
      </c>
      <c r="Q262">
        <v>0</v>
      </c>
      <c r="R262">
        <v>0.05</v>
      </c>
      <c r="S262">
        <v>0.05</v>
      </c>
      <c r="T262">
        <v>21000</v>
      </c>
      <c r="U262" t="s">
        <v>94</v>
      </c>
      <c r="V262">
        <v>1</v>
      </c>
      <c r="W262">
        <v>1</v>
      </c>
      <c r="X262">
        <v>3</v>
      </c>
      <c r="Y262">
        <v>3</v>
      </c>
      <c r="Z262">
        <v>3</v>
      </c>
      <c r="AA262">
        <v>1</v>
      </c>
      <c r="AB262">
        <v>3</v>
      </c>
      <c r="AC262">
        <v>3</v>
      </c>
      <c r="AD262">
        <v>1</v>
      </c>
      <c r="AE262" s="6">
        <v>0</v>
      </c>
      <c r="AF262" s="6">
        <v>0</v>
      </c>
      <c r="AG262" s="6">
        <v>0</v>
      </c>
      <c r="AH262">
        <v>0</v>
      </c>
    </row>
    <row r="263" spans="1:34">
      <c r="A263" t="s">
        <v>208</v>
      </c>
      <c r="B263" t="s">
        <v>207</v>
      </c>
      <c r="C263">
        <v>21271</v>
      </c>
      <c r="D263">
        <v>5870</v>
      </c>
      <c r="E263">
        <v>2350.918913724151</v>
      </c>
      <c r="F263">
        <v>19997.255000000001</v>
      </c>
      <c r="G263">
        <v>4358.0776772139025</v>
      </c>
      <c r="H263">
        <v>9441.9008092993136</v>
      </c>
      <c r="I263">
        <v>0</v>
      </c>
      <c r="J263">
        <v>3030.8501597850795</v>
      </c>
      <c r="K263">
        <v>3304.6652832547597</v>
      </c>
      <c r="L263">
        <v>0.1</v>
      </c>
      <c r="M263">
        <v>0.05</v>
      </c>
      <c r="N263">
        <v>0.35000000000000003</v>
      </c>
      <c r="O263">
        <v>0.1</v>
      </c>
      <c r="P263">
        <v>0.15000000000000002</v>
      </c>
      <c r="Q263">
        <v>0</v>
      </c>
      <c r="R263">
        <v>0.05</v>
      </c>
      <c r="S263">
        <v>0.05</v>
      </c>
      <c r="T263">
        <v>19997.255000000001</v>
      </c>
      <c r="U263" t="s">
        <v>94</v>
      </c>
      <c r="V263">
        <v>3</v>
      </c>
      <c r="W263">
        <v>1</v>
      </c>
      <c r="X263">
        <v>3</v>
      </c>
      <c r="Y263">
        <v>3</v>
      </c>
      <c r="Z263">
        <v>3</v>
      </c>
      <c r="AA263">
        <v>2</v>
      </c>
      <c r="AB263">
        <v>3</v>
      </c>
      <c r="AC263">
        <v>3</v>
      </c>
      <c r="AD263">
        <v>3</v>
      </c>
      <c r="AE263" s="6">
        <v>0</v>
      </c>
      <c r="AF263" s="6">
        <v>0</v>
      </c>
      <c r="AG263" s="6">
        <v>0</v>
      </c>
      <c r="AH263">
        <v>0</v>
      </c>
    </row>
    <row r="264" spans="1:34">
      <c r="A264" t="s">
        <v>212</v>
      </c>
      <c r="B264" t="s">
        <v>211</v>
      </c>
      <c r="C264">
        <v>123122</v>
      </c>
      <c r="D264">
        <v>3843</v>
      </c>
      <c r="E264">
        <v>2735.4918458675638</v>
      </c>
      <c r="F264">
        <v>24408.645</v>
      </c>
      <c r="G264">
        <v>3993.8365335946228</v>
      </c>
      <c r="H264">
        <v>5762.3910126514802</v>
      </c>
      <c r="I264">
        <v>9027.8549999999996</v>
      </c>
      <c r="J264">
        <v>1849.7275150611254</v>
      </c>
      <c r="K264">
        <v>2016.8368544280179</v>
      </c>
      <c r="L264">
        <v>0.05</v>
      </c>
      <c r="M264">
        <v>0.05</v>
      </c>
      <c r="N264">
        <v>0.35000000000000003</v>
      </c>
      <c r="O264">
        <v>0.05</v>
      </c>
      <c r="P264">
        <v>0.1</v>
      </c>
      <c r="Q264">
        <v>0.15000000000000002</v>
      </c>
      <c r="R264">
        <v>0.05</v>
      </c>
      <c r="S264">
        <v>0.05</v>
      </c>
      <c r="T264">
        <v>24408.645</v>
      </c>
      <c r="U264" t="s">
        <v>94</v>
      </c>
      <c r="V264">
        <v>2</v>
      </c>
      <c r="W264">
        <v>1</v>
      </c>
      <c r="X264">
        <v>3</v>
      </c>
      <c r="Y264">
        <v>3</v>
      </c>
      <c r="Z264">
        <v>3</v>
      </c>
      <c r="AA264">
        <v>2</v>
      </c>
      <c r="AB264">
        <v>3</v>
      </c>
      <c r="AC264">
        <v>3</v>
      </c>
      <c r="AD264">
        <v>2</v>
      </c>
      <c r="AE264" s="6">
        <v>0</v>
      </c>
      <c r="AF264" s="6">
        <v>0</v>
      </c>
      <c r="AG264" s="6">
        <v>0</v>
      </c>
      <c r="AH264">
        <v>0</v>
      </c>
    </row>
    <row r="265" spans="1:34">
      <c r="A265" t="s">
        <v>214</v>
      </c>
      <c r="B265" t="s">
        <v>213</v>
      </c>
      <c r="C265">
        <v>12816</v>
      </c>
      <c r="D265">
        <v>5699</v>
      </c>
      <c r="E265">
        <v>1722.2307831849673</v>
      </c>
      <c r="F265">
        <v>18900</v>
      </c>
      <c r="G265">
        <v>1658.9896070815421</v>
      </c>
      <c r="H265">
        <v>5892.8224154022146</v>
      </c>
      <c r="I265">
        <v>5539.3200000000006</v>
      </c>
      <c r="J265">
        <v>1891.5959953441111</v>
      </c>
      <c r="K265">
        <v>2062.487845390775</v>
      </c>
      <c r="L265">
        <v>0.15000000000000002</v>
      </c>
      <c r="M265">
        <v>0.05</v>
      </c>
      <c r="N265">
        <v>0.45</v>
      </c>
      <c r="O265">
        <v>0.05</v>
      </c>
      <c r="P265">
        <v>0.15000000000000002</v>
      </c>
      <c r="Q265">
        <v>0.15000000000000002</v>
      </c>
      <c r="R265">
        <v>0.05</v>
      </c>
      <c r="S265">
        <v>0.05</v>
      </c>
      <c r="T265">
        <v>18900</v>
      </c>
      <c r="U265" t="s">
        <v>94</v>
      </c>
      <c r="V265">
        <v>3</v>
      </c>
      <c r="W265">
        <v>1</v>
      </c>
      <c r="X265">
        <v>4</v>
      </c>
      <c r="Y265">
        <v>3</v>
      </c>
      <c r="Z265">
        <v>3</v>
      </c>
      <c r="AA265">
        <v>1</v>
      </c>
      <c r="AB265">
        <v>3</v>
      </c>
      <c r="AC265">
        <v>3</v>
      </c>
      <c r="AD265">
        <v>3</v>
      </c>
      <c r="AE265" s="6">
        <v>0</v>
      </c>
      <c r="AF265" s="6">
        <v>0</v>
      </c>
      <c r="AG265" s="6">
        <v>0</v>
      </c>
      <c r="AH265">
        <v>0</v>
      </c>
    </row>
    <row r="266" spans="1:34">
      <c r="A266" t="s">
        <v>224</v>
      </c>
      <c r="B266" t="s">
        <v>180</v>
      </c>
      <c r="C266">
        <v>52872</v>
      </c>
      <c r="D266">
        <v>9894</v>
      </c>
      <c r="E266">
        <v>1291.7422728640395</v>
      </c>
      <c r="F266">
        <v>8125.9949999999999</v>
      </c>
      <c r="G266">
        <v>2363.3583442033496</v>
      </c>
      <c r="H266">
        <v>4445.408603932503</v>
      </c>
      <c r="I266">
        <v>17810.400000000001</v>
      </c>
      <c r="J266">
        <v>1422.5307532584011</v>
      </c>
      <c r="K266">
        <v>1555.8930113763761</v>
      </c>
      <c r="L266">
        <v>0.45</v>
      </c>
      <c r="M266">
        <v>0.05</v>
      </c>
      <c r="N266">
        <v>0.35000000000000003</v>
      </c>
      <c r="O266">
        <v>0.1</v>
      </c>
      <c r="P266">
        <v>0.2</v>
      </c>
      <c r="Q266">
        <v>0.8</v>
      </c>
      <c r="R266">
        <v>0.05</v>
      </c>
      <c r="S266">
        <v>0.05</v>
      </c>
      <c r="T266">
        <v>17810.400000000001</v>
      </c>
      <c r="U266" t="s">
        <v>97</v>
      </c>
      <c r="V266">
        <v>2</v>
      </c>
      <c r="W266">
        <v>2</v>
      </c>
      <c r="X266">
        <v>4</v>
      </c>
      <c r="Y266">
        <v>3</v>
      </c>
      <c r="Z266">
        <v>3</v>
      </c>
      <c r="AA266">
        <v>2</v>
      </c>
      <c r="AB266">
        <v>3</v>
      </c>
      <c r="AC266">
        <v>3</v>
      </c>
      <c r="AD266">
        <v>2</v>
      </c>
      <c r="AE266" s="6">
        <v>0</v>
      </c>
      <c r="AF266" s="6">
        <v>0</v>
      </c>
      <c r="AG266" s="6">
        <v>0</v>
      </c>
      <c r="AH266">
        <v>0</v>
      </c>
    </row>
    <row r="267" spans="1:34">
      <c r="A267" t="s">
        <v>230</v>
      </c>
      <c r="B267" t="s">
        <v>229</v>
      </c>
      <c r="C267">
        <v>37493</v>
      </c>
      <c r="D267">
        <v>2512</v>
      </c>
      <c r="E267">
        <v>7859.3203884388549</v>
      </c>
      <c r="F267">
        <v>36678.120000000003</v>
      </c>
      <c r="G267">
        <v>6927.7815860897972</v>
      </c>
      <c r="H267">
        <v>24078.168429697846</v>
      </c>
      <c r="I267">
        <v>45219.6</v>
      </c>
      <c r="J267">
        <v>7705.0138975033105</v>
      </c>
      <c r="K267">
        <v>8427.3589503942458</v>
      </c>
      <c r="L267">
        <v>0</v>
      </c>
      <c r="M267">
        <v>0.1</v>
      </c>
      <c r="N267">
        <v>0.35000000000000003</v>
      </c>
      <c r="O267">
        <v>0.05</v>
      </c>
      <c r="P267">
        <v>0.25</v>
      </c>
      <c r="Q267">
        <v>0.45</v>
      </c>
      <c r="R267">
        <v>0.1</v>
      </c>
      <c r="S267">
        <v>0.1</v>
      </c>
      <c r="T267">
        <v>45219.6</v>
      </c>
      <c r="U267" t="s">
        <v>97</v>
      </c>
      <c r="V267">
        <v>3</v>
      </c>
      <c r="W267">
        <v>2</v>
      </c>
      <c r="X267">
        <v>3</v>
      </c>
      <c r="Y267">
        <v>3</v>
      </c>
      <c r="Z267">
        <v>3</v>
      </c>
      <c r="AA267">
        <v>2</v>
      </c>
      <c r="AB267">
        <v>3</v>
      </c>
      <c r="AC267">
        <v>3</v>
      </c>
      <c r="AD267">
        <v>3</v>
      </c>
      <c r="AE267" s="6">
        <v>0</v>
      </c>
      <c r="AF267" s="6">
        <v>0</v>
      </c>
      <c r="AG267" s="6">
        <v>0</v>
      </c>
      <c r="AH267">
        <v>0</v>
      </c>
    </row>
    <row r="268" spans="1:34">
      <c r="A268" t="s">
        <v>238</v>
      </c>
      <c r="B268" t="s">
        <v>237</v>
      </c>
      <c r="C268">
        <v>16144</v>
      </c>
      <c r="D268">
        <v>7980</v>
      </c>
      <c r="E268">
        <v>1849.4484320327797</v>
      </c>
      <c r="F268">
        <v>18200</v>
      </c>
      <c r="G268">
        <v>1194.7859218025274</v>
      </c>
      <c r="H268">
        <v>4988.0108291638817</v>
      </c>
      <c r="I268">
        <v>12490.199999999999</v>
      </c>
      <c r="J268">
        <v>1596.1634653324422</v>
      </c>
      <c r="K268">
        <v>1745.8037902073586</v>
      </c>
      <c r="L268">
        <v>0.4</v>
      </c>
      <c r="M268">
        <v>0.1</v>
      </c>
      <c r="N268">
        <v>0.85000000000000009</v>
      </c>
      <c r="O268">
        <v>0.05</v>
      </c>
      <c r="P268">
        <v>0.25</v>
      </c>
      <c r="Q268">
        <v>0.60000000000000009</v>
      </c>
      <c r="R268">
        <v>0.1</v>
      </c>
      <c r="S268">
        <v>0.1</v>
      </c>
      <c r="T268">
        <v>18200</v>
      </c>
      <c r="U268" t="s">
        <v>94</v>
      </c>
      <c r="V268">
        <v>3</v>
      </c>
      <c r="W268">
        <v>2</v>
      </c>
      <c r="X268">
        <v>3</v>
      </c>
      <c r="Y268">
        <v>3</v>
      </c>
      <c r="Z268">
        <v>3</v>
      </c>
      <c r="AA268">
        <v>2</v>
      </c>
      <c r="AB268">
        <v>3</v>
      </c>
      <c r="AC268">
        <v>3</v>
      </c>
      <c r="AD268">
        <v>3</v>
      </c>
      <c r="AE268" s="6">
        <v>0</v>
      </c>
      <c r="AF268" s="6">
        <v>0</v>
      </c>
      <c r="AG268" s="6">
        <v>0</v>
      </c>
      <c r="AH268">
        <v>0</v>
      </c>
    </row>
    <row r="269" spans="1:34">
      <c r="A269" t="s">
        <v>247</v>
      </c>
      <c r="B269" t="s">
        <v>246</v>
      </c>
      <c r="C269">
        <v>28450</v>
      </c>
      <c r="D269">
        <v>21230</v>
      </c>
      <c r="E269">
        <v>10679.864389374021</v>
      </c>
      <c r="F269">
        <v>56087.724999999999</v>
      </c>
      <c r="G269">
        <v>19383.11853008662</v>
      </c>
      <c r="H269">
        <v>30522.979536967126</v>
      </c>
      <c r="I269">
        <v>0</v>
      </c>
      <c r="J269">
        <v>9797.8764313664469</v>
      </c>
      <c r="K269">
        <v>10683.042837938494</v>
      </c>
      <c r="L269">
        <v>0.15000000000000002</v>
      </c>
      <c r="M269">
        <v>0.05</v>
      </c>
      <c r="N269">
        <v>0.35000000000000003</v>
      </c>
      <c r="O269">
        <v>0.15000000000000002</v>
      </c>
      <c r="P269">
        <v>0.2</v>
      </c>
      <c r="Q269">
        <v>0</v>
      </c>
      <c r="R269">
        <v>0.05</v>
      </c>
      <c r="S269">
        <v>0.05</v>
      </c>
      <c r="T269">
        <v>56087.724999999999</v>
      </c>
      <c r="U269" t="s">
        <v>94</v>
      </c>
      <c r="V269">
        <v>3</v>
      </c>
      <c r="W269">
        <v>2</v>
      </c>
      <c r="X269">
        <v>4</v>
      </c>
      <c r="Y269">
        <v>4</v>
      </c>
      <c r="Z269">
        <v>4</v>
      </c>
      <c r="AA269">
        <v>3</v>
      </c>
      <c r="AB269">
        <v>4</v>
      </c>
      <c r="AC269">
        <v>4</v>
      </c>
      <c r="AD269">
        <v>3</v>
      </c>
      <c r="AE269" s="6">
        <v>0</v>
      </c>
      <c r="AF269" s="6">
        <v>0</v>
      </c>
      <c r="AG269" s="6">
        <v>0</v>
      </c>
      <c r="AH269">
        <v>0</v>
      </c>
    </row>
    <row r="270" spans="1:34">
      <c r="A270" t="s">
        <v>266</v>
      </c>
      <c r="B270" t="s">
        <v>265</v>
      </c>
      <c r="C270">
        <v>150277</v>
      </c>
      <c r="D270">
        <v>16330</v>
      </c>
      <c r="E270">
        <v>8367.4211679149848</v>
      </c>
      <c r="F270">
        <v>68117.03</v>
      </c>
      <c r="G270">
        <v>25367.005990331818</v>
      </c>
      <c r="H270">
        <v>44483.202971252096</v>
      </c>
      <c r="I270">
        <v>0</v>
      </c>
      <c r="J270">
        <v>14234.624950800671</v>
      </c>
      <c r="K270">
        <v>15569.121039938234</v>
      </c>
      <c r="L270">
        <v>0.1</v>
      </c>
      <c r="M270">
        <v>0.05</v>
      </c>
      <c r="N270">
        <v>0.35000000000000003</v>
      </c>
      <c r="O270">
        <v>0.15000000000000002</v>
      </c>
      <c r="P270">
        <v>0.25</v>
      </c>
      <c r="Q270">
        <v>0</v>
      </c>
      <c r="R270">
        <v>0.1</v>
      </c>
      <c r="S270">
        <v>0.1</v>
      </c>
      <c r="T270">
        <v>68117.03</v>
      </c>
      <c r="U270" t="s">
        <v>94</v>
      </c>
      <c r="V270">
        <v>2</v>
      </c>
      <c r="W270">
        <v>3</v>
      </c>
      <c r="X270">
        <v>3</v>
      </c>
      <c r="Y270">
        <v>3</v>
      </c>
      <c r="Z270">
        <v>3</v>
      </c>
      <c r="AA270">
        <v>2</v>
      </c>
      <c r="AB270">
        <v>3</v>
      </c>
      <c r="AC270">
        <v>3</v>
      </c>
      <c r="AD270">
        <v>3</v>
      </c>
      <c r="AE270" s="6">
        <v>0</v>
      </c>
      <c r="AF270" s="6">
        <v>0</v>
      </c>
      <c r="AG270" s="6">
        <v>0</v>
      </c>
      <c r="AH270">
        <v>1</v>
      </c>
    </row>
    <row r="271" spans="1:34">
      <c r="A271" t="s">
        <v>285</v>
      </c>
      <c r="B271" t="s">
        <v>284</v>
      </c>
      <c r="C271">
        <v>93257</v>
      </c>
      <c r="D271">
        <v>6238</v>
      </c>
      <c r="E271">
        <v>778.64504700271868</v>
      </c>
      <c r="F271">
        <v>7700</v>
      </c>
      <c r="G271">
        <v>871.52670008632879</v>
      </c>
      <c r="H271">
        <v>8025.2714933742463</v>
      </c>
      <c r="I271">
        <v>0</v>
      </c>
      <c r="J271">
        <v>2576.1121493731334</v>
      </c>
      <c r="K271">
        <v>2808.8450226809864</v>
      </c>
      <c r="L271">
        <v>0.35000000000000003</v>
      </c>
      <c r="M271">
        <v>0.05</v>
      </c>
      <c r="N271">
        <v>0.4</v>
      </c>
      <c r="O271">
        <v>0.05</v>
      </c>
      <c r="P271">
        <v>0.45</v>
      </c>
      <c r="Q271">
        <v>0</v>
      </c>
      <c r="R271">
        <v>0.15000000000000002</v>
      </c>
      <c r="S271">
        <v>0.15000000000000002</v>
      </c>
      <c r="T271">
        <v>8025.2714933742463</v>
      </c>
      <c r="U271" t="s">
        <v>96</v>
      </c>
      <c r="V271">
        <v>2</v>
      </c>
      <c r="W271">
        <v>2</v>
      </c>
      <c r="X271">
        <v>3</v>
      </c>
      <c r="Y271">
        <v>3</v>
      </c>
      <c r="Z271">
        <v>4</v>
      </c>
      <c r="AA271">
        <v>2</v>
      </c>
      <c r="AB271">
        <v>4</v>
      </c>
      <c r="AC271">
        <v>4</v>
      </c>
      <c r="AD271">
        <v>2</v>
      </c>
      <c r="AE271" s="6">
        <v>0</v>
      </c>
      <c r="AF271" s="6">
        <v>0</v>
      </c>
      <c r="AG271" s="6">
        <v>0</v>
      </c>
      <c r="AH271">
        <v>0</v>
      </c>
    </row>
    <row r="272" spans="1:34">
      <c r="A272" t="s">
        <v>287</v>
      </c>
      <c r="B272" t="s">
        <v>286</v>
      </c>
      <c r="C272">
        <v>64124</v>
      </c>
      <c r="D272">
        <v>31933</v>
      </c>
      <c r="E272">
        <v>4544.6124012872333</v>
      </c>
      <c r="F272">
        <v>39845.955000000002</v>
      </c>
      <c r="G272">
        <v>7246.9228898259717</v>
      </c>
      <c r="H272">
        <v>46819.945121696583</v>
      </c>
      <c r="I272">
        <v>0</v>
      </c>
      <c r="J272">
        <v>14982.382438942906</v>
      </c>
      <c r="K272">
        <v>16386.980792593804</v>
      </c>
      <c r="L272">
        <v>0.30000000000000004</v>
      </c>
      <c r="M272">
        <v>0.05</v>
      </c>
      <c r="N272">
        <v>0.35000000000000003</v>
      </c>
      <c r="O272">
        <v>0.05</v>
      </c>
      <c r="P272">
        <v>0.45</v>
      </c>
      <c r="Q272">
        <v>0</v>
      </c>
      <c r="R272">
        <v>0.15000000000000002</v>
      </c>
      <c r="S272">
        <v>0.15000000000000002</v>
      </c>
      <c r="T272">
        <v>46819.945121696583</v>
      </c>
      <c r="U272" t="s">
        <v>96</v>
      </c>
      <c r="V272">
        <v>2</v>
      </c>
      <c r="W272">
        <v>2</v>
      </c>
      <c r="X272">
        <v>3</v>
      </c>
      <c r="Y272">
        <v>4</v>
      </c>
      <c r="Z272">
        <v>4</v>
      </c>
      <c r="AA272">
        <v>2</v>
      </c>
      <c r="AB272">
        <v>4</v>
      </c>
      <c r="AC272">
        <v>4</v>
      </c>
      <c r="AD272">
        <v>2</v>
      </c>
      <c r="AE272" s="6">
        <v>0</v>
      </c>
      <c r="AF272" s="6">
        <v>0</v>
      </c>
      <c r="AG272" s="6">
        <v>0</v>
      </c>
      <c r="AH272">
        <v>0</v>
      </c>
    </row>
    <row r="273" spans="1:34">
      <c r="A273" t="s">
        <v>294</v>
      </c>
      <c r="B273" t="s">
        <v>293</v>
      </c>
      <c r="C273">
        <v>97687</v>
      </c>
      <c r="D273">
        <v>9669</v>
      </c>
      <c r="E273">
        <v>3020.7010416679373</v>
      </c>
      <c r="F273">
        <v>22400</v>
      </c>
      <c r="G273">
        <v>2224.6410759086475</v>
      </c>
      <c r="H273">
        <v>6507.468808159284</v>
      </c>
      <c r="I273">
        <v>16350</v>
      </c>
      <c r="J273">
        <v>2082.3900186109709</v>
      </c>
      <c r="K273">
        <v>2277.6140828557491</v>
      </c>
      <c r="L273">
        <v>0.35000000000000003</v>
      </c>
      <c r="M273">
        <v>0.1</v>
      </c>
      <c r="N273">
        <v>0.8</v>
      </c>
      <c r="O273">
        <v>0.1</v>
      </c>
      <c r="P273">
        <v>0.25</v>
      </c>
      <c r="Q273">
        <v>0.60000000000000009</v>
      </c>
      <c r="R273">
        <v>0.1</v>
      </c>
      <c r="S273">
        <v>0.1</v>
      </c>
      <c r="T273">
        <v>22400</v>
      </c>
      <c r="U273" t="s">
        <v>94</v>
      </c>
      <c r="V273">
        <v>1</v>
      </c>
      <c r="W273">
        <v>2</v>
      </c>
      <c r="X273">
        <v>3</v>
      </c>
      <c r="Y273">
        <v>3</v>
      </c>
      <c r="Z273">
        <v>2</v>
      </c>
      <c r="AA273">
        <v>2</v>
      </c>
      <c r="AB273">
        <v>2</v>
      </c>
      <c r="AC273">
        <v>2</v>
      </c>
      <c r="AD273">
        <v>2</v>
      </c>
      <c r="AE273" s="6">
        <v>0</v>
      </c>
      <c r="AF273" s="6">
        <v>0</v>
      </c>
      <c r="AG273" s="6">
        <v>0</v>
      </c>
      <c r="AH273">
        <v>0</v>
      </c>
    </row>
    <row r="274" spans="1:34">
      <c r="A274" t="s">
        <v>295</v>
      </c>
      <c r="B274" t="s">
        <v>184</v>
      </c>
      <c r="C274">
        <v>11906</v>
      </c>
      <c r="D274">
        <v>7524</v>
      </c>
      <c r="E274">
        <v>1153.0693155530209</v>
      </c>
      <c r="F274">
        <v>11030.665000000001</v>
      </c>
      <c r="G274">
        <v>1694.8917954765736</v>
      </c>
      <c r="H274">
        <v>7216.9620128947436</v>
      </c>
      <c r="I274">
        <v>18132.599999999999</v>
      </c>
      <c r="J274">
        <v>2309.4278441263177</v>
      </c>
      <c r="K274">
        <v>2525.9367045131603</v>
      </c>
      <c r="L274">
        <v>0.25</v>
      </c>
      <c r="M274">
        <v>0.05</v>
      </c>
      <c r="N274">
        <v>0.35000000000000003</v>
      </c>
      <c r="O274">
        <v>0.05</v>
      </c>
      <c r="P274">
        <v>0.25</v>
      </c>
      <c r="Q274">
        <v>0.60000000000000009</v>
      </c>
      <c r="R274">
        <v>0.1</v>
      </c>
      <c r="S274">
        <v>0.1</v>
      </c>
      <c r="T274">
        <v>18132.599999999999</v>
      </c>
      <c r="U274" t="s">
        <v>97</v>
      </c>
      <c r="V274">
        <v>3</v>
      </c>
      <c r="W274">
        <v>1</v>
      </c>
      <c r="X274">
        <v>3</v>
      </c>
      <c r="Y274">
        <v>3</v>
      </c>
      <c r="Z274">
        <v>2</v>
      </c>
      <c r="AA274">
        <v>2</v>
      </c>
      <c r="AB274">
        <v>2</v>
      </c>
      <c r="AC274">
        <v>2</v>
      </c>
      <c r="AD274">
        <v>2</v>
      </c>
      <c r="AE274" s="6">
        <v>0</v>
      </c>
      <c r="AF274" s="6">
        <v>0</v>
      </c>
      <c r="AG274" s="6">
        <v>0</v>
      </c>
      <c r="AH274">
        <v>0</v>
      </c>
    </row>
    <row r="275" spans="1:34">
      <c r="A275" t="s">
        <v>297</v>
      </c>
      <c r="B275" t="s">
        <v>296</v>
      </c>
      <c r="C275">
        <v>9454</v>
      </c>
      <c r="D275">
        <v>2808</v>
      </c>
      <c r="E275">
        <v>772.55810387521024</v>
      </c>
      <c r="F275">
        <v>2800</v>
      </c>
      <c r="G275">
        <v>1642.1886787801559</v>
      </c>
      <c r="H275">
        <v>1571.8223741396118</v>
      </c>
      <c r="I275">
        <v>3949.2</v>
      </c>
      <c r="J275">
        <v>502.98315972467583</v>
      </c>
      <c r="K275">
        <v>550.13783094886412</v>
      </c>
      <c r="L275">
        <v>0.45</v>
      </c>
      <c r="M275">
        <v>0.1</v>
      </c>
      <c r="N275">
        <v>0.45</v>
      </c>
      <c r="O275">
        <v>0.25</v>
      </c>
      <c r="P275">
        <v>0.25</v>
      </c>
      <c r="Q275">
        <v>0.60000000000000009</v>
      </c>
      <c r="R275">
        <v>0.1</v>
      </c>
      <c r="S275">
        <v>0.1</v>
      </c>
      <c r="T275">
        <v>3949.2</v>
      </c>
      <c r="U275" t="s">
        <v>97</v>
      </c>
      <c r="V275">
        <v>2</v>
      </c>
      <c r="W275">
        <v>2</v>
      </c>
      <c r="X275">
        <v>4</v>
      </c>
      <c r="Y275">
        <v>2</v>
      </c>
      <c r="Z275">
        <v>2</v>
      </c>
      <c r="AA275">
        <v>3</v>
      </c>
      <c r="AB275">
        <v>2</v>
      </c>
      <c r="AC275">
        <v>2</v>
      </c>
      <c r="AD275">
        <v>2</v>
      </c>
      <c r="AE275" s="6">
        <v>0</v>
      </c>
      <c r="AF275" s="6">
        <v>0</v>
      </c>
      <c r="AG275" s="6">
        <v>0</v>
      </c>
      <c r="AH275">
        <v>0</v>
      </c>
    </row>
    <row r="276" spans="1:34">
      <c r="A276" t="s">
        <v>328</v>
      </c>
      <c r="B276" t="s">
        <v>327</v>
      </c>
      <c r="C276">
        <v>41510</v>
      </c>
      <c r="D276">
        <v>3089</v>
      </c>
      <c r="E276">
        <v>1434.2983296366374</v>
      </c>
      <c r="F276">
        <v>11200</v>
      </c>
      <c r="G276">
        <v>1658.8970476193463</v>
      </c>
      <c r="H276">
        <v>6100.6430133808199</v>
      </c>
      <c r="I276">
        <v>11470.95</v>
      </c>
      <c r="J276">
        <v>1958.3064072952432</v>
      </c>
      <c r="K276">
        <v>2135.225054683287</v>
      </c>
      <c r="L276">
        <v>0.1</v>
      </c>
      <c r="M276">
        <v>0.05</v>
      </c>
      <c r="N276">
        <v>0.45</v>
      </c>
      <c r="O276">
        <v>0.05</v>
      </c>
      <c r="P276">
        <v>0.25</v>
      </c>
      <c r="Q276">
        <v>0.45</v>
      </c>
      <c r="R276">
        <v>0.1</v>
      </c>
      <c r="S276">
        <v>0.1</v>
      </c>
      <c r="T276">
        <v>11470.95</v>
      </c>
      <c r="U276" t="s">
        <v>97</v>
      </c>
      <c r="V276">
        <v>3</v>
      </c>
      <c r="W276">
        <v>3</v>
      </c>
      <c r="X276">
        <v>3</v>
      </c>
      <c r="Y276">
        <v>3</v>
      </c>
      <c r="Z276">
        <v>4</v>
      </c>
      <c r="AA276">
        <v>4</v>
      </c>
      <c r="AB276">
        <v>4</v>
      </c>
      <c r="AC276">
        <v>4</v>
      </c>
      <c r="AD276">
        <v>3</v>
      </c>
      <c r="AE276" s="6">
        <v>0</v>
      </c>
      <c r="AF276" s="6">
        <v>0</v>
      </c>
      <c r="AG276" s="6">
        <v>0</v>
      </c>
      <c r="AH276">
        <v>1</v>
      </c>
    </row>
    <row r="277" spans="1:34">
      <c r="A277" t="s">
        <v>337</v>
      </c>
      <c r="B277" t="s">
        <v>336</v>
      </c>
      <c r="C277">
        <v>11232</v>
      </c>
      <c r="D277">
        <v>2727</v>
      </c>
      <c r="E277">
        <v>540.28139075847002</v>
      </c>
      <c r="F277">
        <v>7700</v>
      </c>
      <c r="G277">
        <v>867.92845520858828</v>
      </c>
      <c r="H277">
        <v>2797.31470276043</v>
      </c>
      <c r="I277">
        <v>1893.5099999999998</v>
      </c>
      <c r="J277">
        <v>895.14070488333755</v>
      </c>
      <c r="K277">
        <v>979.06014596615046</v>
      </c>
      <c r="L277">
        <v>0.2</v>
      </c>
      <c r="M277">
        <v>0.05</v>
      </c>
      <c r="N277">
        <v>0.55000000000000004</v>
      </c>
      <c r="O277">
        <v>0.05</v>
      </c>
      <c r="P277">
        <v>0.2</v>
      </c>
      <c r="Q277">
        <v>0.15000000000000002</v>
      </c>
      <c r="R277">
        <v>0.05</v>
      </c>
      <c r="S277">
        <v>0.05</v>
      </c>
      <c r="T277">
        <v>7700</v>
      </c>
      <c r="U277" t="s">
        <v>94</v>
      </c>
      <c r="V277">
        <v>3</v>
      </c>
      <c r="W277">
        <v>2</v>
      </c>
      <c r="X277">
        <v>3</v>
      </c>
      <c r="Y277">
        <v>3</v>
      </c>
      <c r="Z277">
        <v>3</v>
      </c>
      <c r="AA277">
        <v>2</v>
      </c>
      <c r="AB277">
        <v>3</v>
      </c>
      <c r="AC277">
        <v>3</v>
      </c>
      <c r="AD277">
        <v>3</v>
      </c>
      <c r="AE277" s="6">
        <v>0</v>
      </c>
      <c r="AF277" s="6">
        <v>0</v>
      </c>
      <c r="AG277" s="6">
        <v>0</v>
      </c>
      <c r="AH277">
        <v>0</v>
      </c>
    </row>
    <row r="278" spans="1:34">
      <c r="A278" t="s">
        <v>339</v>
      </c>
      <c r="B278" t="s">
        <v>338</v>
      </c>
      <c r="C278">
        <v>41579</v>
      </c>
      <c r="D278">
        <v>1418</v>
      </c>
      <c r="E278">
        <v>916.92668144987113</v>
      </c>
      <c r="F278">
        <v>8400</v>
      </c>
      <c r="G278">
        <v>932.3776863418052</v>
      </c>
      <c r="H278">
        <v>2167.6895411594974</v>
      </c>
      <c r="I278">
        <v>6521.4</v>
      </c>
      <c r="J278">
        <v>693.66065317103926</v>
      </c>
      <c r="K278">
        <v>758.69133940582401</v>
      </c>
      <c r="L278">
        <v>0.15000000000000002</v>
      </c>
      <c r="M278">
        <v>0.1</v>
      </c>
      <c r="N278">
        <v>0.75</v>
      </c>
      <c r="O278">
        <v>0.1</v>
      </c>
      <c r="P278">
        <v>0.2</v>
      </c>
      <c r="Q278">
        <v>0.60000000000000009</v>
      </c>
      <c r="R278">
        <v>0.05</v>
      </c>
      <c r="S278">
        <v>0.05</v>
      </c>
      <c r="T278">
        <v>8400</v>
      </c>
      <c r="U278" t="s">
        <v>94</v>
      </c>
      <c r="V278">
        <v>3</v>
      </c>
      <c r="W278">
        <v>3</v>
      </c>
      <c r="X278">
        <v>3</v>
      </c>
      <c r="Y278">
        <v>3</v>
      </c>
      <c r="Z278">
        <v>3</v>
      </c>
      <c r="AA278">
        <v>4</v>
      </c>
      <c r="AB278">
        <v>3</v>
      </c>
      <c r="AC278">
        <v>3</v>
      </c>
      <c r="AD278">
        <v>3</v>
      </c>
      <c r="AE278" s="6">
        <v>0</v>
      </c>
      <c r="AF278" s="6">
        <v>0</v>
      </c>
      <c r="AG278" s="6">
        <v>0</v>
      </c>
      <c r="AH278">
        <v>1</v>
      </c>
    </row>
    <row r="279" spans="1:34">
      <c r="A279" t="s">
        <v>344</v>
      </c>
      <c r="B279" t="s">
        <v>343</v>
      </c>
      <c r="C279">
        <v>19300</v>
      </c>
      <c r="D279">
        <v>1314</v>
      </c>
      <c r="E279">
        <v>210.86923722366373</v>
      </c>
      <c r="F279">
        <v>2800</v>
      </c>
      <c r="G279">
        <v>359.99597372483004</v>
      </c>
      <c r="H279">
        <v>1414.1736128856162</v>
      </c>
      <c r="I279">
        <v>3545.4</v>
      </c>
      <c r="J279">
        <v>452.53555612339721</v>
      </c>
      <c r="K279">
        <v>494.96076450996566</v>
      </c>
      <c r="L279">
        <v>0.2</v>
      </c>
      <c r="M279">
        <v>0.05</v>
      </c>
      <c r="N279">
        <v>0.45</v>
      </c>
      <c r="O279">
        <v>0.05</v>
      </c>
      <c r="P279">
        <v>0.25</v>
      </c>
      <c r="Q279">
        <v>0.60000000000000009</v>
      </c>
      <c r="R279">
        <v>0.1</v>
      </c>
      <c r="S279">
        <v>0.1</v>
      </c>
      <c r="T279">
        <v>3545.4</v>
      </c>
      <c r="U279" t="s">
        <v>97</v>
      </c>
      <c r="V279">
        <v>2</v>
      </c>
      <c r="W279">
        <v>3</v>
      </c>
      <c r="X279">
        <v>3</v>
      </c>
      <c r="Y279">
        <v>3</v>
      </c>
      <c r="Z279">
        <v>3</v>
      </c>
      <c r="AA279">
        <v>4</v>
      </c>
      <c r="AB279">
        <v>3</v>
      </c>
      <c r="AC279">
        <v>3</v>
      </c>
      <c r="AD279">
        <v>3</v>
      </c>
      <c r="AE279" s="6">
        <v>0</v>
      </c>
      <c r="AF279" s="6">
        <v>0</v>
      </c>
      <c r="AG279" s="6">
        <v>0</v>
      </c>
      <c r="AH279">
        <v>1</v>
      </c>
    </row>
    <row r="280" spans="1:34">
      <c r="A280" t="s">
        <v>349</v>
      </c>
      <c r="B280" t="s">
        <v>147</v>
      </c>
      <c r="C280">
        <v>10628</v>
      </c>
      <c r="D280">
        <v>1384</v>
      </c>
      <c r="E280">
        <v>301.29848694933526</v>
      </c>
      <c r="F280">
        <v>7000</v>
      </c>
      <c r="G280">
        <v>996.43837198321842</v>
      </c>
      <c r="H280">
        <v>1703.7971984658748</v>
      </c>
      <c r="I280">
        <v>1153.3049999999998</v>
      </c>
      <c r="J280">
        <v>546.91890070754584</v>
      </c>
      <c r="K280">
        <v>596.32901946305617</v>
      </c>
      <c r="L280">
        <v>0.15000000000000002</v>
      </c>
      <c r="M280">
        <v>0.05</v>
      </c>
      <c r="N280">
        <v>0.8</v>
      </c>
      <c r="O280">
        <v>0.1</v>
      </c>
      <c r="P280">
        <v>0.2</v>
      </c>
      <c r="Q280">
        <v>0.15000000000000002</v>
      </c>
      <c r="R280">
        <v>0.05</v>
      </c>
      <c r="S280">
        <v>0.05</v>
      </c>
      <c r="T280">
        <v>7000</v>
      </c>
      <c r="U280" t="s">
        <v>94</v>
      </c>
      <c r="V280">
        <v>3</v>
      </c>
      <c r="W280">
        <v>3</v>
      </c>
      <c r="X280">
        <v>4</v>
      </c>
      <c r="Y280">
        <v>3</v>
      </c>
      <c r="Z280">
        <v>3</v>
      </c>
      <c r="AA280">
        <v>4</v>
      </c>
      <c r="AB280">
        <v>3</v>
      </c>
      <c r="AC280">
        <v>3</v>
      </c>
      <c r="AD280">
        <v>3</v>
      </c>
      <c r="AE280" s="6">
        <v>0</v>
      </c>
      <c r="AF280" s="6">
        <v>0</v>
      </c>
      <c r="AG280" s="6">
        <v>0</v>
      </c>
      <c r="AH280">
        <v>1</v>
      </c>
    </row>
    <row r="281" spans="1:34">
      <c r="A281" t="s">
        <v>351</v>
      </c>
      <c r="B281" t="s">
        <v>350</v>
      </c>
      <c r="C281">
        <v>11030</v>
      </c>
      <c r="D281">
        <v>3019</v>
      </c>
      <c r="E281">
        <v>806.86685380035101</v>
      </c>
      <c r="F281">
        <v>12397.955</v>
      </c>
      <c r="G281">
        <v>3734.0644683244968</v>
      </c>
      <c r="H281">
        <v>8129.1648517322274</v>
      </c>
      <c r="I281">
        <v>2292.7725</v>
      </c>
      <c r="J281">
        <v>2609.4619174060449</v>
      </c>
      <c r="K281">
        <v>2845.2076981062792</v>
      </c>
      <c r="L281">
        <v>0.1</v>
      </c>
      <c r="M281">
        <v>0</v>
      </c>
      <c r="N281">
        <v>0.35000000000000003</v>
      </c>
      <c r="O281">
        <v>0.1</v>
      </c>
      <c r="P281">
        <v>0.25</v>
      </c>
      <c r="Q281">
        <v>0.05</v>
      </c>
      <c r="R281">
        <v>0.1</v>
      </c>
      <c r="S281">
        <v>0.1</v>
      </c>
      <c r="T281">
        <v>12397.955</v>
      </c>
      <c r="U281" t="s">
        <v>94</v>
      </c>
      <c r="V281">
        <v>3</v>
      </c>
      <c r="W281">
        <v>2</v>
      </c>
      <c r="X281">
        <v>3</v>
      </c>
      <c r="Y281">
        <v>3</v>
      </c>
      <c r="Z281">
        <v>3</v>
      </c>
      <c r="AA281">
        <v>4</v>
      </c>
      <c r="AB281">
        <v>3</v>
      </c>
      <c r="AC281">
        <v>3</v>
      </c>
      <c r="AD281">
        <v>3</v>
      </c>
      <c r="AE281" s="6">
        <v>0</v>
      </c>
      <c r="AF281" s="6">
        <v>0</v>
      </c>
      <c r="AG281" s="6">
        <v>0</v>
      </c>
      <c r="AH281">
        <v>0</v>
      </c>
    </row>
    <row r="282" spans="1:34">
      <c r="A282" t="s">
        <v>356</v>
      </c>
      <c r="B282" t="s">
        <v>355</v>
      </c>
      <c r="C282">
        <v>5519</v>
      </c>
      <c r="D282">
        <v>3102</v>
      </c>
      <c r="E282">
        <v>1020.2898625197403</v>
      </c>
      <c r="F282">
        <v>7700</v>
      </c>
      <c r="G282">
        <v>1352.440333635805</v>
      </c>
      <c r="H282">
        <v>1943.4438825821976</v>
      </c>
      <c r="I282">
        <v>7863.75</v>
      </c>
      <c r="J282">
        <v>621.9020424263033</v>
      </c>
      <c r="K282">
        <v>680.20535890376914</v>
      </c>
      <c r="L282">
        <v>0.2</v>
      </c>
      <c r="M282">
        <v>0.05</v>
      </c>
      <c r="N282">
        <v>0.45</v>
      </c>
      <c r="O282">
        <v>0.1</v>
      </c>
      <c r="P282">
        <v>0.1</v>
      </c>
      <c r="Q282">
        <v>0.45</v>
      </c>
      <c r="R282">
        <v>0.05</v>
      </c>
      <c r="S282">
        <v>0.05</v>
      </c>
      <c r="T282">
        <v>7863.75</v>
      </c>
      <c r="U282" t="s">
        <v>97</v>
      </c>
      <c r="V282">
        <v>3</v>
      </c>
      <c r="W282">
        <v>2</v>
      </c>
      <c r="X282">
        <v>3</v>
      </c>
      <c r="Y282">
        <v>2</v>
      </c>
      <c r="Z282">
        <v>3</v>
      </c>
      <c r="AA282">
        <v>4</v>
      </c>
      <c r="AB282">
        <v>3</v>
      </c>
      <c r="AC282">
        <v>3</v>
      </c>
      <c r="AD282">
        <v>3</v>
      </c>
      <c r="AE282" s="6">
        <v>0</v>
      </c>
      <c r="AF282" s="6">
        <v>0</v>
      </c>
      <c r="AG282" s="6">
        <v>0</v>
      </c>
      <c r="AH282">
        <v>0</v>
      </c>
    </row>
    <row r="283" spans="1:34">
      <c r="A283" t="s">
        <v>360</v>
      </c>
      <c r="B283" t="s">
        <v>359</v>
      </c>
      <c r="C283">
        <v>8349</v>
      </c>
      <c r="D283">
        <v>21943</v>
      </c>
      <c r="E283">
        <v>6207.3295043550697</v>
      </c>
      <c r="F283">
        <v>45122.03</v>
      </c>
      <c r="G283">
        <v>14355.36541941502</v>
      </c>
      <c r="H283">
        <v>13748.350194711096</v>
      </c>
      <c r="I283">
        <v>16688.97</v>
      </c>
      <c r="J283">
        <v>4399.4720623075509</v>
      </c>
      <c r="K283">
        <v>4811.9225681488833</v>
      </c>
      <c r="L283">
        <v>0.2</v>
      </c>
      <c r="M283">
        <v>0.05</v>
      </c>
      <c r="N283">
        <v>0.35000000000000003</v>
      </c>
      <c r="O283">
        <v>0.1</v>
      </c>
      <c r="P283">
        <v>0.1</v>
      </c>
      <c r="Q283">
        <v>0.15000000000000002</v>
      </c>
      <c r="R283">
        <v>0.05</v>
      </c>
      <c r="S283">
        <v>0.05</v>
      </c>
      <c r="T283">
        <v>45122.03</v>
      </c>
      <c r="U283" t="s">
        <v>94</v>
      </c>
      <c r="V283">
        <v>3</v>
      </c>
      <c r="W283">
        <v>2</v>
      </c>
      <c r="X283">
        <v>4</v>
      </c>
      <c r="Y283">
        <v>4</v>
      </c>
      <c r="Z283">
        <v>3</v>
      </c>
      <c r="AA283">
        <v>3</v>
      </c>
      <c r="AB283">
        <v>3</v>
      </c>
      <c r="AC283">
        <v>3</v>
      </c>
      <c r="AD283">
        <v>3</v>
      </c>
      <c r="AE283" s="6">
        <v>0</v>
      </c>
      <c r="AF283" s="6">
        <v>0</v>
      </c>
      <c r="AG283" s="6">
        <v>0</v>
      </c>
      <c r="AH283">
        <v>1</v>
      </c>
    </row>
    <row r="284" spans="1:34">
      <c r="A284" t="s">
        <v>386</v>
      </c>
      <c r="B284" t="s">
        <v>385</v>
      </c>
      <c r="C284">
        <v>126178</v>
      </c>
      <c r="D284">
        <v>92924</v>
      </c>
      <c r="E284">
        <v>43618.730557566108</v>
      </c>
      <c r="F284">
        <v>371835.72</v>
      </c>
      <c r="G284">
        <v>106430.13227180515</v>
      </c>
      <c r="H284">
        <v>202318.84329826702</v>
      </c>
      <c r="I284">
        <v>0</v>
      </c>
      <c r="J284">
        <v>64944.348698743721</v>
      </c>
      <c r="K284">
        <v>70811.59515439345</v>
      </c>
      <c r="L284">
        <v>0.1</v>
      </c>
      <c r="M284">
        <v>0.05</v>
      </c>
      <c r="N284">
        <v>0.35000000000000003</v>
      </c>
      <c r="O284">
        <v>0.1</v>
      </c>
      <c r="P284">
        <v>0.2</v>
      </c>
      <c r="Q284">
        <v>0</v>
      </c>
      <c r="R284">
        <v>0.05</v>
      </c>
      <c r="S284">
        <v>0.05</v>
      </c>
      <c r="T284">
        <v>371835.72</v>
      </c>
      <c r="U284" t="s">
        <v>94</v>
      </c>
      <c r="V284">
        <v>2</v>
      </c>
      <c r="W284">
        <v>2</v>
      </c>
      <c r="X284">
        <v>3</v>
      </c>
      <c r="Y284">
        <v>4</v>
      </c>
      <c r="Z284">
        <v>4</v>
      </c>
      <c r="AA284">
        <v>3</v>
      </c>
      <c r="AB284">
        <v>4</v>
      </c>
      <c r="AC284">
        <v>4</v>
      </c>
      <c r="AD284">
        <v>3</v>
      </c>
      <c r="AE284" s="6">
        <v>0</v>
      </c>
      <c r="AF284" s="6">
        <v>0</v>
      </c>
      <c r="AG284" s="6">
        <v>0</v>
      </c>
      <c r="AH284">
        <v>0</v>
      </c>
    </row>
    <row r="285" spans="1:34">
      <c r="A285" t="s">
        <v>403</v>
      </c>
      <c r="B285" t="s">
        <v>402</v>
      </c>
      <c r="C285">
        <v>123880</v>
      </c>
      <c r="D285">
        <v>4245</v>
      </c>
      <c r="E285">
        <v>469.55532719131901</v>
      </c>
      <c r="F285">
        <v>6300</v>
      </c>
      <c r="G285">
        <v>1424.1678098333255</v>
      </c>
      <c r="H285">
        <v>1460.7916965566078</v>
      </c>
      <c r="I285">
        <v>0</v>
      </c>
      <c r="J285">
        <v>468.91413459467111</v>
      </c>
      <c r="K285">
        <v>511.27709379481269</v>
      </c>
      <c r="L285">
        <v>0.30000000000000004</v>
      </c>
      <c r="M285">
        <v>0.05</v>
      </c>
      <c r="N285">
        <v>0.45</v>
      </c>
      <c r="O285">
        <v>0.1</v>
      </c>
      <c r="P285">
        <v>0.1</v>
      </c>
      <c r="Q285">
        <v>0</v>
      </c>
      <c r="R285">
        <v>0.05</v>
      </c>
      <c r="S285">
        <v>0.05</v>
      </c>
      <c r="T285">
        <v>6300</v>
      </c>
      <c r="U285" t="s">
        <v>94</v>
      </c>
      <c r="V285">
        <v>3</v>
      </c>
      <c r="W285">
        <v>1</v>
      </c>
      <c r="X285">
        <v>3</v>
      </c>
      <c r="Y285">
        <v>3</v>
      </c>
      <c r="Z285">
        <v>4</v>
      </c>
      <c r="AA285">
        <v>3</v>
      </c>
      <c r="AB285">
        <v>4</v>
      </c>
      <c r="AC285">
        <v>4</v>
      </c>
      <c r="AD285">
        <v>3</v>
      </c>
      <c r="AE285" s="6">
        <v>0</v>
      </c>
      <c r="AF285" s="6">
        <v>0</v>
      </c>
      <c r="AG285" s="6">
        <v>0</v>
      </c>
      <c r="AH285">
        <v>0</v>
      </c>
    </row>
    <row r="286" spans="1:34">
      <c r="A286" t="s">
        <v>428</v>
      </c>
      <c r="B286" t="s">
        <v>427</v>
      </c>
      <c r="C286">
        <v>9441</v>
      </c>
      <c r="D286">
        <v>7679</v>
      </c>
      <c r="E286">
        <v>857.33692726325989</v>
      </c>
      <c r="F286">
        <v>9248.3700000000008</v>
      </c>
      <c r="G286">
        <v>1349.8584867288907</v>
      </c>
      <c r="H286">
        <v>2543.0120238647428</v>
      </c>
      <c r="I286">
        <v>0</v>
      </c>
      <c r="J286">
        <v>813.76384763671763</v>
      </c>
      <c r="K286">
        <v>890.05420835265988</v>
      </c>
      <c r="L286">
        <v>0.30000000000000004</v>
      </c>
      <c r="M286">
        <v>0.05</v>
      </c>
      <c r="N286">
        <v>0.35000000000000003</v>
      </c>
      <c r="O286">
        <v>0.05</v>
      </c>
      <c r="P286">
        <v>0.1</v>
      </c>
      <c r="Q286">
        <v>0</v>
      </c>
      <c r="R286">
        <v>0.05</v>
      </c>
      <c r="S286">
        <v>0.05</v>
      </c>
      <c r="T286">
        <v>9248.3700000000008</v>
      </c>
      <c r="U286" t="s">
        <v>94</v>
      </c>
      <c r="V286">
        <v>2</v>
      </c>
      <c r="W286">
        <v>1</v>
      </c>
      <c r="X286">
        <v>3</v>
      </c>
      <c r="Y286">
        <v>3</v>
      </c>
      <c r="Z286">
        <v>2</v>
      </c>
      <c r="AA286">
        <v>2</v>
      </c>
      <c r="AB286">
        <v>2</v>
      </c>
      <c r="AC286">
        <v>2</v>
      </c>
      <c r="AD286">
        <v>2</v>
      </c>
      <c r="AE286" s="6">
        <v>0</v>
      </c>
      <c r="AF286" s="6">
        <v>0</v>
      </c>
      <c r="AG286" s="6">
        <v>0</v>
      </c>
      <c r="AH286">
        <v>0</v>
      </c>
    </row>
    <row r="287" spans="1:34">
      <c r="A287" t="s">
        <v>430</v>
      </c>
      <c r="B287" t="s">
        <v>429</v>
      </c>
      <c r="C287">
        <v>9064</v>
      </c>
      <c r="D287">
        <v>551</v>
      </c>
      <c r="E287">
        <v>101.06160878920954</v>
      </c>
      <c r="F287">
        <v>2550.4</v>
      </c>
      <c r="G287">
        <v>349.47561915041911</v>
      </c>
      <c r="H287">
        <v>327.0848601221565</v>
      </c>
      <c r="I287">
        <v>0</v>
      </c>
      <c r="J287">
        <v>104.99424009921225</v>
      </c>
      <c r="K287">
        <v>114.47970104275477</v>
      </c>
      <c r="L287">
        <v>0.15000000000000002</v>
      </c>
      <c r="M287">
        <v>0.05</v>
      </c>
      <c r="N287">
        <v>0.8</v>
      </c>
      <c r="O287">
        <v>0.1</v>
      </c>
      <c r="P287">
        <v>0.1</v>
      </c>
      <c r="Q287">
        <v>0</v>
      </c>
      <c r="R287">
        <v>0.05</v>
      </c>
      <c r="S287">
        <v>0.05</v>
      </c>
      <c r="T287">
        <v>2550.4</v>
      </c>
      <c r="U287" t="s">
        <v>94</v>
      </c>
      <c r="V287">
        <v>3</v>
      </c>
      <c r="W287">
        <v>1</v>
      </c>
      <c r="X287">
        <v>3</v>
      </c>
      <c r="Y287">
        <v>3</v>
      </c>
      <c r="Z287">
        <v>2</v>
      </c>
      <c r="AA287">
        <v>2</v>
      </c>
      <c r="AB287">
        <v>2</v>
      </c>
      <c r="AC287">
        <v>2</v>
      </c>
      <c r="AD287">
        <v>2</v>
      </c>
      <c r="AE287" s="6">
        <v>0</v>
      </c>
      <c r="AF287" s="6">
        <v>0</v>
      </c>
      <c r="AG287" s="6">
        <v>0</v>
      </c>
      <c r="AH287">
        <v>0</v>
      </c>
    </row>
    <row r="288" spans="1:34">
      <c r="A288" t="s">
        <v>444</v>
      </c>
      <c r="B288" t="s">
        <v>443</v>
      </c>
      <c r="C288">
        <v>19008</v>
      </c>
      <c r="D288">
        <v>3804</v>
      </c>
      <c r="E288">
        <v>360.08565603655256</v>
      </c>
      <c r="F288">
        <v>4165.7449999999999</v>
      </c>
      <c r="G288">
        <v>1296.6873932481874</v>
      </c>
      <c r="H288">
        <v>1145.4493736036115</v>
      </c>
      <c r="I288">
        <v>770.37750000000005</v>
      </c>
      <c r="J288">
        <v>366.54379955315574</v>
      </c>
      <c r="K288">
        <v>400.90728076126402</v>
      </c>
      <c r="L288">
        <v>0.35000000000000003</v>
      </c>
      <c r="M288">
        <v>0.05</v>
      </c>
      <c r="N288">
        <v>0.35000000000000003</v>
      </c>
      <c r="O288">
        <v>0.1</v>
      </c>
      <c r="P288">
        <v>0.1</v>
      </c>
      <c r="Q288">
        <v>0.05</v>
      </c>
      <c r="R288">
        <v>0.05</v>
      </c>
      <c r="S288">
        <v>0.05</v>
      </c>
      <c r="T288">
        <v>4165.7449999999999</v>
      </c>
      <c r="U288" t="s">
        <v>94</v>
      </c>
      <c r="V288">
        <v>3</v>
      </c>
      <c r="W288">
        <v>1</v>
      </c>
      <c r="X288">
        <v>4</v>
      </c>
      <c r="Y288">
        <v>3</v>
      </c>
      <c r="Z288">
        <v>3</v>
      </c>
      <c r="AA288">
        <v>3</v>
      </c>
      <c r="AB288">
        <v>3</v>
      </c>
      <c r="AC288">
        <v>3</v>
      </c>
      <c r="AD288">
        <v>3</v>
      </c>
      <c r="AE288" s="6">
        <v>0</v>
      </c>
      <c r="AF288" s="6">
        <v>0</v>
      </c>
      <c r="AG288" s="6">
        <v>0</v>
      </c>
      <c r="AH288">
        <v>0</v>
      </c>
    </row>
    <row r="289" spans="1:34">
      <c r="A289" t="s">
        <v>466</v>
      </c>
      <c r="B289" t="s">
        <v>465</v>
      </c>
      <c r="C289">
        <v>51712</v>
      </c>
      <c r="D289">
        <v>19075</v>
      </c>
      <c r="E289">
        <v>7370.8181050802659</v>
      </c>
      <c r="F289">
        <v>51798.245000000003</v>
      </c>
      <c r="G289">
        <v>13051.285569376869</v>
      </c>
      <c r="H289">
        <v>33949.78555746498</v>
      </c>
      <c r="I289">
        <v>19158.254999999997</v>
      </c>
      <c r="J289">
        <v>10863.931378388796</v>
      </c>
      <c r="K289">
        <v>11882.424945112743</v>
      </c>
      <c r="L289">
        <v>0.15000000000000002</v>
      </c>
      <c r="M289">
        <v>0.05</v>
      </c>
      <c r="N289">
        <v>0.35000000000000003</v>
      </c>
      <c r="O289">
        <v>0.1</v>
      </c>
      <c r="P289">
        <v>0.25</v>
      </c>
      <c r="Q289">
        <v>0.15000000000000002</v>
      </c>
      <c r="R289">
        <v>0.1</v>
      </c>
      <c r="S289">
        <v>0.1</v>
      </c>
      <c r="T289">
        <v>51798.245000000003</v>
      </c>
      <c r="U289" t="s">
        <v>94</v>
      </c>
      <c r="V289">
        <v>1</v>
      </c>
      <c r="W289">
        <v>1</v>
      </c>
      <c r="X289">
        <v>3</v>
      </c>
      <c r="Y289">
        <v>3</v>
      </c>
      <c r="Z289">
        <v>4</v>
      </c>
      <c r="AA289">
        <v>3</v>
      </c>
      <c r="AB289">
        <v>4</v>
      </c>
      <c r="AC289">
        <v>4</v>
      </c>
      <c r="AD289">
        <v>3</v>
      </c>
      <c r="AE289" s="6">
        <v>0</v>
      </c>
      <c r="AF289" s="6">
        <v>0</v>
      </c>
      <c r="AG289" s="6">
        <v>0</v>
      </c>
      <c r="AH289">
        <v>0</v>
      </c>
    </row>
    <row r="290" spans="1:34">
      <c r="A290" t="s">
        <v>479</v>
      </c>
      <c r="B290" t="s">
        <v>478</v>
      </c>
      <c r="C290">
        <v>68255</v>
      </c>
      <c r="D290">
        <v>7260</v>
      </c>
      <c r="E290">
        <v>1270.4765280160575</v>
      </c>
      <c r="F290">
        <v>18000</v>
      </c>
      <c r="G290">
        <v>4535.1505941661726</v>
      </c>
      <c r="H290">
        <v>10420.600713800832</v>
      </c>
      <c r="I290">
        <v>0</v>
      </c>
      <c r="J290">
        <v>3334.5922284162662</v>
      </c>
      <c r="K290">
        <v>3647.2102498302911</v>
      </c>
      <c r="L290">
        <v>0.15000000000000002</v>
      </c>
      <c r="M290">
        <v>0.05</v>
      </c>
      <c r="N290">
        <v>0.4</v>
      </c>
      <c r="O290">
        <v>0.1</v>
      </c>
      <c r="P290">
        <v>0.25</v>
      </c>
      <c r="Q290">
        <v>0</v>
      </c>
      <c r="R290">
        <v>0.1</v>
      </c>
      <c r="S290">
        <v>0.1</v>
      </c>
      <c r="T290">
        <v>18000</v>
      </c>
      <c r="U290" t="s">
        <v>94</v>
      </c>
      <c r="V290">
        <v>1</v>
      </c>
      <c r="W290">
        <v>1</v>
      </c>
      <c r="X290">
        <v>3</v>
      </c>
      <c r="Y290">
        <v>3</v>
      </c>
      <c r="Z290">
        <v>3</v>
      </c>
      <c r="AA290">
        <v>2</v>
      </c>
      <c r="AB290">
        <v>3</v>
      </c>
      <c r="AC290">
        <v>3</v>
      </c>
      <c r="AD290">
        <v>2</v>
      </c>
      <c r="AE290" s="6">
        <v>0</v>
      </c>
      <c r="AF290" s="6">
        <v>0</v>
      </c>
      <c r="AG290" s="6">
        <v>0</v>
      </c>
      <c r="AH290">
        <v>0</v>
      </c>
    </row>
    <row r="291" spans="1:34">
      <c r="A291" t="s">
        <v>519</v>
      </c>
      <c r="B291" t="s">
        <v>518</v>
      </c>
      <c r="C291">
        <v>71466</v>
      </c>
      <c r="D291">
        <v>5725</v>
      </c>
      <c r="E291">
        <v>1042.5382410310722</v>
      </c>
      <c r="F291">
        <v>13321.04</v>
      </c>
      <c r="G291">
        <v>2403.5124428855265</v>
      </c>
      <c r="H291">
        <v>1465.5058367283609</v>
      </c>
      <c r="I291">
        <v>21897.599999999999</v>
      </c>
      <c r="J291">
        <v>470.42737358980389</v>
      </c>
      <c r="K291">
        <v>512.9270428549263</v>
      </c>
      <c r="L291">
        <v>0.15000000000000002</v>
      </c>
      <c r="M291">
        <v>0.05</v>
      </c>
      <c r="N291">
        <v>0.35000000000000003</v>
      </c>
      <c r="O291">
        <v>0.05</v>
      </c>
      <c r="P291">
        <v>0.05</v>
      </c>
      <c r="Q291">
        <v>0.60000000000000009</v>
      </c>
      <c r="R291">
        <v>0</v>
      </c>
      <c r="S291">
        <v>0</v>
      </c>
      <c r="T291">
        <v>21897.599999999999</v>
      </c>
      <c r="U291" t="s">
        <v>97</v>
      </c>
      <c r="V291">
        <v>3</v>
      </c>
      <c r="W291">
        <v>2</v>
      </c>
      <c r="X291">
        <v>3</v>
      </c>
      <c r="Y291">
        <v>3</v>
      </c>
      <c r="Z291">
        <v>2</v>
      </c>
      <c r="AA291">
        <v>4</v>
      </c>
      <c r="AB291">
        <v>2</v>
      </c>
      <c r="AC291">
        <v>2</v>
      </c>
      <c r="AD291">
        <v>3</v>
      </c>
      <c r="AE291" s="6">
        <v>0</v>
      </c>
      <c r="AF291" s="6">
        <v>0</v>
      </c>
      <c r="AG291" s="6">
        <v>0</v>
      </c>
      <c r="AH291">
        <v>0</v>
      </c>
    </row>
    <row r="292" spans="1:34">
      <c r="A292" t="s">
        <v>521</v>
      </c>
      <c r="B292" t="s">
        <v>520</v>
      </c>
      <c r="C292">
        <v>68490</v>
      </c>
      <c r="D292">
        <v>19419</v>
      </c>
      <c r="E292">
        <v>2890.6980307975059</v>
      </c>
      <c r="F292">
        <v>36451.455000000002</v>
      </c>
      <c r="G292">
        <v>6781.7569346061528</v>
      </c>
      <c r="H292">
        <v>12030.551682092657</v>
      </c>
      <c r="I292">
        <v>59920.2</v>
      </c>
      <c r="J292">
        <v>3849.7765382696502</v>
      </c>
      <c r="K292">
        <v>4210.6930887324297</v>
      </c>
      <c r="L292">
        <v>0.2</v>
      </c>
      <c r="M292">
        <v>0.05</v>
      </c>
      <c r="N292">
        <v>0.35000000000000003</v>
      </c>
      <c r="O292">
        <v>0.05</v>
      </c>
      <c r="P292">
        <v>0.1</v>
      </c>
      <c r="Q292">
        <v>0.60000000000000009</v>
      </c>
      <c r="R292">
        <v>0.05</v>
      </c>
      <c r="S292">
        <v>0.05</v>
      </c>
      <c r="T292">
        <v>59920.2</v>
      </c>
      <c r="U292" t="s">
        <v>97</v>
      </c>
      <c r="V292">
        <v>3</v>
      </c>
      <c r="W292">
        <v>2</v>
      </c>
      <c r="X292">
        <v>3</v>
      </c>
      <c r="Y292">
        <v>3</v>
      </c>
      <c r="Z292">
        <v>2</v>
      </c>
      <c r="AA292">
        <v>4</v>
      </c>
      <c r="AB292">
        <v>2</v>
      </c>
      <c r="AC292">
        <v>2</v>
      </c>
      <c r="AD292">
        <v>3</v>
      </c>
      <c r="AE292" s="6">
        <v>0</v>
      </c>
      <c r="AF292" s="6">
        <v>0</v>
      </c>
      <c r="AG292" s="6">
        <v>0</v>
      </c>
      <c r="AH292">
        <v>0</v>
      </c>
    </row>
    <row r="293" spans="1:34">
      <c r="A293" t="s">
        <v>527</v>
      </c>
      <c r="B293" t="s">
        <v>526</v>
      </c>
      <c r="C293">
        <v>35691</v>
      </c>
      <c r="D293">
        <v>874</v>
      </c>
      <c r="E293">
        <v>283.07551045075127</v>
      </c>
      <c r="F293">
        <v>4800</v>
      </c>
      <c r="G293">
        <v>548.50316720818068</v>
      </c>
      <c r="H293">
        <v>368.70546341625953</v>
      </c>
      <c r="I293">
        <v>5509.2</v>
      </c>
      <c r="J293">
        <v>117.98574829320305</v>
      </c>
      <c r="K293">
        <v>129.04691219569082</v>
      </c>
      <c r="L293">
        <v>0.1</v>
      </c>
      <c r="M293">
        <v>0.05</v>
      </c>
      <c r="N293">
        <v>0.5</v>
      </c>
      <c r="O293">
        <v>0.05</v>
      </c>
      <c r="P293">
        <v>0.05</v>
      </c>
      <c r="Q293">
        <v>0.60000000000000009</v>
      </c>
      <c r="R293">
        <v>0</v>
      </c>
      <c r="S293">
        <v>0</v>
      </c>
      <c r="T293">
        <v>5509.2</v>
      </c>
      <c r="U293" t="s">
        <v>97</v>
      </c>
      <c r="V293">
        <v>2</v>
      </c>
      <c r="W293">
        <v>2</v>
      </c>
      <c r="X293">
        <v>3</v>
      </c>
      <c r="Y293">
        <v>3</v>
      </c>
      <c r="Z293">
        <v>1</v>
      </c>
      <c r="AA293">
        <v>4</v>
      </c>
      <c r="AB293">
        <v>1</v>
      </c>
      <c r="AC293">
        <v>1</v>
      </c>
      <c r="AD293">
        <v>2</v>
      </c>
      <c r="AE293" s="6">
        <v>0</v>
      </c>
      <c r="AF293" s="6">
        <v>0</v>
      </c>
      <c r="AG293" s="6">
        <v>0</v>
      </c>
      <c r="AH293">
        <v>0</v>
      </c>
    </row>
    <row r="294" spans="1:34">
      <c r="A294" t="s">
        <v>531</v>
      </c>
      <c r="B294" t="s">
        <v>530</v>
      </c>
      <c r="C294">
        <v>26423</v>
      </c>
      <c r="D294">
        <v>71091</v>
      </c>
      <c r="E294">
        <v>10325.885254931716</v>
      </c>
      <c r="F294">
        <v>56482.654999999999</v>
      </c>
      <c r="G294">
        <v>14899.692363806806</v>
      </c>
      <c r="H294">
        <v>29363.350597252887</v>
      </c>
      <c r="I294">
        <v>69636.150000000009</v>
      </c>
      <c r="J294">
        <v>9396.2721911209246</v>
      </c>
      <c r="K294">
        <v>10277.17270903851</v>
      </c>
      <c r="L294">
        <v>0.45</v>
      </c>
      <c r="M294">
        <v>0.05</v>
      </c>
      <c r="N294">
        <v>0.35000000000000003</v>
      </c>
      <c r="O294">
        <v>0.1</v>
      </c>
      <c r="P294">
        <v>0.2</v>
      </c>
      <c r="Q294">
        <v>0.45</v>
      </c>
      <c r="R294">
        <v>0.05</v>
      </c>
      <c r="S294">
        <v>0.05</v>
      </c>
      <c r="T294">
        <v>71091</v>
      </c>
      <c r="U294" t="s">
        <v>92</v>
      </c>
      <c r="V294">
        <v>3</v>
      </c>
      <c r="W294">
        <v>2</v>
      </c>
      <c r="X294">
        <v>3</v>
      </c>
      <c r="Y294">
        <v>3</v>
      </c>
      <c r="Z294">
        <v>1</v>
      </c>
      <c r="AA294">
        <v>3</v>
      </c>
      <c r="AB294">
        <v>1</v>
      </c>
      <c r="AC294">
        <v>1</v>
      </c>
      <c r="AD294">
        <v>3</v>
      </c>
      <c r="AE294" s="6">
        <v>0</v>
      </c>
      <c r="AF294" s="6">
        <v>0</v>
      </c>
      <c r="AG294" s="6">
        <v>0</v>
      </c>
      <c r="AH294">
        <v>0</v>
      </c>
    </row>
    <row r="295" spans="1:34">
      <c r="A295" t="s">
        <v>533</v>
      </c>
      <c r="B295" t="s">
        <v>532</v>
      </c>
      <c r="C295">
        <v>36924</v>
      </c>
      <c r="D295">
        <v>29434</v>
      </c>
      <c r="E295">
        <v>1302.5412101897991</v>
      </c>
      <c r="F295">
        <v>16777.224999999999</v>
      </c>
      <c r="G295">
        <v>3212.9177316097021</v>
      </c>
      <c r="H295">
        <v>7268.2421964169953</v>
      </c>
      <c r="I295">
        <v>0</v>
      </c>
      <c r="J295">
        <v>2325.8375028534383</v>
      </c>
      <c r="K295">
        <v>2543.8847687459483</v>
      </c>
      <c r="L295">
        <v>0.65</v>
      </c>
      <c r="M295">
        <v>0.05</v>
      </c>
      <c r="N295">
        <v>0.35000000000000003</v>
      </c>
      <c r="O295">
        <v>0.05</v>
      </c>
      <c r="P295">
        <v>0.15000000000000002</v>
      </c>
      <c r="Q295">
        <v>0</v>
      </c>
      <c r="R295">
        <v>0.05</v>
      </c>
      <c r="S295">
        <v>0.05</v>
      </c>
      <c r="T295">
        <v>29434</v>
      </c>
      <c r="U295" t="s">
        <v>92</v>
      </c>
      <c r="V295">
        <v>3</v>
      </c>
      <c r="W295">
        <v>2</v>
      </c>
      <c r="X295">
        <v>3</v>
      </c>
      <c r="Y295">
        <v>3</v>
      </c>
      <c r="Z295">
        <v>2</v>
      </c>
      <c r="AA295">
        <v>4</v>
      </c>
      <c r="AB295">
        <v>2</v>
      </c>
      <c r="AC295">
        <v>2</v>
      </c>
      <c r="AD295">
        <v>3</v>
      </c>
      <c r="AE295" s="6">
        <v>0</v>
      </c>
      <c r="AF295" s="6">
        <v>0</v>
      </c>
      <c r="AG295" s="6">
        <v>0</v>
      </c>
      <c r="AH295">
        <v>0</v>
      </c>
    </row>
    <row r="296" spans="1:34">
      <c r="A296" t="s">
        <v>535</v>
      </c>
      <c r="B296" t="s">
        <v>534</v>
      </c>
      <c r="C296">
        <v>8985</v>
      </c>
      <c r="D296">
        <v>107958</v>
      </c>
      <c r="E296">
        <v>8696.0417474611477</v>
      </c>
      <c r="F296">
        <v>71903.539999999994</v>
      </c>
      <c r="G296">
        <v>17762.778481389076</v>
      </c>
      <c r="H296">
        <v>18690.063827590944</v>
      </c>
      <c r="I296">
        <v>0</v>
      </c>
      <c r="J296">
        <v>5980.8204248291022</v>
      </c>
      <c r="K296">
        <v>6541.5223396568299</v>
      </c>
      <c r="L296">
        <v>0.55000000000000004</v>
      </c>
      <c r="M296">
        <v>0.05</v>
      </c>
      <c r="N296">
        <v>0.35000000000000003</v>
      </c>
      <c r="O296">
        <v>0.1</v>
      </c>
      <c r="P296">
        <v>0.1</v>
      </c>
      <c r="Q296">
        <v>0</v>
      </c>
      <c r="R296">
        <v>0.05</v>
      </c>
      <c r="S296">
        <v>0.05</v>
      </c>
      <c r="T296">
        <v>107958</v>
      </c>
      <c r="U296" t="s">
        <v>92</v>
      </c>
      <c r="V296">
        <v>3</v>
      </c>
      <c r="W296">
        <v>2</v>
      </c>
      <c r="X296">
        <v>3</v>
      </c>
      <c r="Y296">
        <v>3</v>
      </c>
      <c r="Z296">
        <v>1</v>
      </c>
      <c r="AA296">
        <v>4</v>
      </c>
      <c r="AB296">
        <v>1</v>
      </c>
      <c r="AC296">
        <v>1</v>
      </c>
      <c r="AD296">
        <v>3</v>
      </c>
      <c r="AE296" s="6">
        <v>0</v>
      </c>
      <c r="AF296" s="6">
        <v>0</v>
      </c>
      <c r="AG296" s="6">
        <v>0</v>
      </c>
      <c r="AH296">
        <v>0</v>
      </c>
    </row>
    <row r="297" spans="1:34">
      <c r="A297" t="s">
        <v>567</v>
      </c>
      <c r="B297" t="s">
        <v>566</v>
      </c>
      <c r="C297">
        <v>20073</v>
      </c>
      <c r="D297">
        <v>3313</v>
      </c>
      <c r="E297">
        <v>834.19808545334001</v>
      </c>
      <c r="F297">
        <v>8163.2250000000004</v>
      </c>
      <c r="G297">
        <v>1008.1076222661311</v>
      </c>
      <c r="H297">
        <v>4461.5422804707596</v>
      </c>
      <c r="I297">
        <v>0</v>
      </c>
      <c r="J297">
        <v>1427.6935297506429</v>
      </c>
      <c r="K297">
        <v>1561.5397981647659</v>
      </c>
      <c r="L297">
        <v>0.15000000000000002</v>
      </c>
      <c r="M297">
        <v>0.05</v>
      </c>
      <c r="N297">
        <v>0.35000000000000003</v>
      </c>
      <c r="O297">
        <v>0.05</v>
      </c>
      <c r="P297">
        <v>0.2</v>
      </c>
      <c r="Q297">
        <v>0</v>
      </c>
      <c r="R297">
        <v>0.05</v>
      </c>
      <c r="S297">
        <v>0.05</v>
      </c>
      <c r="T297">
        <v>8163.2250000000004</v>
      </c>
      <c r="U297" t="s">
        <v>94</v>
      </c>
      <c r="V297">
        <v>3</v>
      </c>
      <c r="W297">
        <v>2</v>
      </c>
      <c r="X297">
        <v>3</v>
      </c>
      <c r="Y297">
        <v>2</v>
      </c>
      <c r="Z297">
        <v>4</v>
      </c>
      <c r="AA297">
        <v>2</v>
      </c>
      <c r="AB297">
        <v>4</v>
      </c>
      <c r="AC297">
        <v>4</v>
      </c>
      <c r="AD297">
        <v>2</v>
      </c>
      <c r="AE297" s="6">
        <v>0</v>
      </c>
      <c r="AF297" s="6">
        <v>0</v>
      </c>
      <c r="AG297" s="6">
        <v>0</v>
      </c>
      <c r="AH297">
        <v>0</v>
      </c>
    </row>
    <row r="298" spans="1:34">
      <c r="A298" t="s">
        <v>570</v>
      </c>
      <c r="B298" t="s">
        <v>569</v>
      </c>
      <c r="C298">
        <v>31111</v>
      </c>
      <c r="D298">
        <v>6414</v>
      </c>
      <c r="E298">
        <v>1537.2418604392319</v>
      </c>
      <c r="F298">
        <v>13041.815000000001</v>
      </c>
      <c r="G298">
        <v>1978.4485672164108</v>
      </c>
      <c r="H298">
        <v>8553.4737611536257</v>
      </c>
      <c r="I298">
        <v>21438.6</v>
      </c>
      <c r="J298">
        <v>2745.6650773303136</v>
      </c>
      <c r="K298">
        <v>2993.7158164037687</v>
      </c>
      <c r="L298">
        <v>0.2</v>
      </c>
      <c r="M298">
        <v>0.05</v>
      </c>
      <c r="N298">
        <v>0.35000000000000003</v>
      </c>
      <c r="O298">
        <v>0.05</v>
      </c>
      <c r="P298">
        <v>0.25</v>
      </c>
      <c r="Q298">
        <v>0.60000000000000009</v>
      </c>
      <c r="R298">
        <v>0.1</v>
      </c>
      <c r="S298">
        <v>0.1</v>
      </c>
      <c r="T298">
        <v>21438.6</v>
      </c>
      <c r="U298" t="s">
        <v>97</v>
      </c>
      <c r="V298">
        <v>4</v>
      </c>
      <c r="W298">
        <v>2</v>
      </c>
      <c r="X298">
        <v>3</v>
      </c>
      <c r="Y298">
        <v>3</v>
      </c>
      <c r="Z298">
        <v>3</v>
      </c>
      <c r="AA298">
        <v>3</v>
      </c>
      <c r="AB298">
        <v>3</v>
      </c>
      <c r="AC298">
        <v>3</v>
      </c>
      <c r="AD298">
        <v>3</v>
      </c>
      <c r="AE298" s="6">
        <v>0</v>
      </c>
      <c r="AF298" s="6">
        <v>0</v>
      </c>
      <c r="AG298" s="6">
        <v>0</v>
      </c>
      <c r="AH298">
        <v>0</v>
      </c>
    </row>
    <row r="299" spans="1:34">
      <c r="A299" t="s">
        <v>575</v>
      </c>
      <c r="B299" t="s">
        <v>574</v>
      </c>
      <c r="C299">
        <v>20915</v>
      </c>
      <c r="D299">
        <v>813</v>
      </c>
      <c r="E299">
        <v>559.55234364825174</v>
      </c>
      <c r="F299">
        <v>5338.8549999999996</v>
      </c>
      <c r="G299">
        <v>1034.4343188909027</v>
      </c>
      <c r="H299">
        <v>2917.9065028591913</v>
      </c>
      <c r="I299">
        <v>0</v>
      </c>
      <c r="J299">
        <v>933.73008091494125</v>
      </c>
      <c r="K299">
        <v>1021.2672760007168</v>
      </c>
      <c r="L299">
        <v>0.05</v>
      </c>
      <c r="M299">
        <v>0.05</v>
      </c>
      <c r="N299">
        <v>0.35000000000000003</v>
      </c>
      <c r="O299">
        <v>0.05</v>
      </c>
      <c r="P299">
        <v>0.2</v>
      </c>
      <c r="Q299">
        <v>0</v>
      </c>
      <c r="R299">
        <v>0.05</v>
      </c>
      <c r="S299">
        <v>0.05</v>
      </c>
      <c r="T299">
        <v>5338.8549999999996</v>
      </c>
      <c r="U299" t="s">
        <v>94</v>
      </c>
      <c r="V299">
        <v>3</v>
      </c>
      <c r="W299">
        <v>3</v>
      </c>
      <c r="X299">
        <v>3</v>
      </c>
      <c r="Y299">
        <v>3</v>
      </c>
      <c r="Z299">
        <v>4</v>
      </c>
      <c r="AA299">
        <v>3</v>
      </c>
      <c r="AB299">
        <v>4</v>
      </c>
      <c r="AC299">
        <v>4</v>
      </c>
      <c r="AD299">
        <v>3</v>
      </c>
      <c r="AE299" s="6">
        <v>0</v>
      </c>
      <c r="AF299" s="6">
        <v>0</v>
      </c>
      <c r="AG299" s="6">
        <v>0</v>
      </c>
      <c r="AH299">
        <v>1</v>
      </c>
    </row>
    <row r="300" spans="1:34">
      <c r="A300" t="s">
        <v>578</v>
      </c>
      <c r="B300" t="s">
        <v>100</v>
      </c>
      <c r="C300">
        <v>9586</v>
      </c>
      <c r="D300">
        <v>7731</v>
      </c>
      <c r="E300">
        <v>2441.753786154798</v>
      </c>
      <c r="F300">
        <v>21720.42</v>
      </c>
      <c r="G300">
        <v>1885.123341986196</v>
      </c>
      <c r="H300">
        <v>11871.113705622807</v>
      </c>
      <c r="I300">
        <v>0</v>
      </c>
      <c r="J300">
        <v>3798.7563857992982</v>
      </c>
      <c r="K300">
        <v>4154.8897969679829</v>
      </c>
      <c r="L300">
        <v>0.15000000000000002</v>
      </c>
      <c r="M300">
        <v>0.05</v>
      </c>
      <c r="N300">
        <v>0.35000000000000003</v>
      </c>
      <c r="O300">
        <v>0.05</v>
      </c>
      <c r="P300">
        <v>0.2</v>
      </c>
      <c r="Q300">
        <v>0</v>
      </c>
      <c r="R300">
        <v>0.05</v>
      </c>
      <c r="S300">
        <v>0.05</v>
      </c>
      <c r="T300">
        <v>21720.42</v>
      </c>
      <c r="U300" t="s">
        <v>94</v>
      </c>
      <c r="V300">
        <v>4</v>
      </c>
      <c r="W300">
        <v>2</v>
      </c>
      <c r="X300">
        <v>3</v>
      </c>
      <c r="Y300">
        <v>3</v>
      </c>
      <c r="Z300">
        <v>3</v>
      </c>
      <c r="AA300">
        <v>2</v>
      </c>
      <c r="AB300">
        <v>3</v>
      </c>
      <c r="AC300">
        <v>3</v>
      </c>
      <c r="AD300">
        <v>3</v>
      </c>
      <c r="AE300" s="6">
        <v>0</v>
      </c>
      <c r="AF300" s="6">
        <v>0</v>
      </c>
      <c r="AG300" s="6">
        <v>0</v>
      </c>
      <c r="AH300">
        <v>0</v>
      </c>
    </row>
    <row r="301" spans="1:34">
      <c r="A301" t="s">
        <v>579</v>
      </c>
      <c r="B301" t="s">
        <v>528</v>
      </c>
      <c r="C301">
        <v>22338</v>
      </c>
      <c r="D301">
        <v>65550</v>
      </c>
      <c r="E301">
        <v>18143.747461477506</v>
      </c>
      <c r="F301">
        <v>133963.39499999999</v>
      </c>
      <c r="G301">
        <v>30150.587126316201</v>
      </c>
      <c r="H301">
        <v>87859.886379891061</v>
      </c>
      <c r="I301">
        <v>49548.105000000003</v>
      </c>
      <c r="J301">
        <v>28203.023527945032</v>
      </c>
      <c r="K301">
        <v>30750.960232961868</v>
      </c>
      <c r="L301">
        <v>0.2</v>
      </c>
      <c r="M301">
        <v>0.05</v>
      </c>
      <c r="N301">
        <v>0.35000000000000003</v>
      </c>
      <c r="O301">
        <v>0.1</v>
      </c>
      <c r="P301">
        <v>0.25</v>
      </c>
      <c r="Q301">
        <v>0.15000000000000002</v>
      </c>
      <c r="R301">
        <v>0.1</v>
      </c>
      <c r="S301">
        <v>0.1</v>
      </c>
      <c r="T301">
        <v>133963.39499999999</v>
      </c>
      <c r="U301" t="s">
        <v>94</v>
      </c>
      <c r="V301">
        <v>3</v>
      </c>
      <c r="W301">
        <v>3</v>
      </c>
      <c r="X301">
        <v>3</v>
      </c>
      <c r="Y301">
        <v>4</v>
      </c>
      <c r="Z301">
        <v>3</v>
      </c>
      <c r="AA301">
        <v>2</v>
      </c>
      <c r="AB301">
        <v>3</v>
      </c>
      <c r="AC301">
        <v>3</v>
      </c>
      <c r="AD301">
        <v>3</v>
      </c>
      <c r="AE301" s="6">
        <v>0</v>
      </c>
      <c r="AF301" s="6">
        <v>0</v>
      </c>
      <c r="AG301" s="6">
        <v>0</v>
      </c>
      <c r="AH301">
        <v>1</v>
      </c>
    </row>
    <row r="302" spans="1:34">
      <c r="A302" t="s">
        <v>588</v>
      </c>
      <c r="B302" t="s">
        <v>587</v>
      </c>
      <c r="C302">
        <v>38511</v>
      </c>
      <c r="D302">
        <v>21357</v>
      </c>
      <c r="E302">
        <v>6500.6362125534288</v>
      </c>
      <c r="F302">
        <v>23002.3</v>
      </c>
      <c r="G302">
        <v>8705.1525610777862</v>
      </c>
      <c r="H302">
        <v>15138.048620687057</v>
      </c>
      <c r="I302">
        <v>37812</v>
      </c>
      <c r="J302">
        <v>4844.1755586198578</v>
      </c>
      <c r="K302">
        <v>5298.3170172404698</v>
      </c>
      <c r="L302">
        <v>0.35000000000000003</v>
      </c>
      <c r="M302">
        <v>0.1</v>
      </c>
      <c r="N302">
        <v>0.35000000000000003</v>
      </c>
      <c r="O302">
        <v>0.15000000000000002</v>
      </c>
      <c r="P302">
        <v>0.25</v>
      </c>
      <c r="Q302">
        <v>0.60000000000000009</v>
      </c>
      <c r="R302">
        <v>0.1</v>
      </c>
      <c r="S302">
        <v>0.1</v>
      </c>
      <c r="T302">
        <v>37812</v>
      </c>
      <c r="U302" t="s">
        <v>97</v>
      </c>
      <c r="V302">
        <v>4</v>
      </c>
      <c r="W302">
        <v>2</v>
      </c>
      <c r="X302">
        <v>4</v>
      </c>
      <c r="Y302">
        <v>4</v>
      </c>
      <c r="Z302">
        <v>5</v>
      </c>
      <c r="AA302">
        <v>4</v>
      </c>
      <c r="AB302">
        <v>5</v>
      </c>
      <c r="AC302">
        <v>5</v>
      </c>
      <c r="AD302">
        <v>4</v>
      </c>
      <c r="AE302" s="6">
        <v>0</v>
      </c>
      <c r="AF302" s="6">
        <v>0</v>
      </c>
      <c r="AG302" s="6">
        <v>0</v>
      </c>
      <c r="AH302">
        <v>0</v>
      </c>
    </row>
    <row r="303" spans="1:34">
      <c r="A303" t="s">
        <v>611</v>
      </c>
      <c r="B303" t="s">
        <v>610</v>
      </c>
      <c r="C303">
        <v>41000</v>
      </c>
      <c r="D303">
        <v>6063</v>
      </c>
      <c r="E303">
        <v>2444.3455748165311</v>
      </c>
      <c r="F303">
        <v>8386.24</v>
      </c>
      <c r="G303">
        <v>2433.6208823545603</v>
      </c>
      <c r="H303">
        <v>4599.2251812771865</v>
      </c>
      <c r="I303">
        <v>0</v>
      </c>
      <c r="J303">
        <v>1471.7520580086998</v>
      </c>
      <c r="K303">
        <v>1609.7288134470152</v>
      </c>
      <c r="L303">
        <v>0.25</v>
      </c>
      <c r="M303">
        <v>0.1</v>
      </c>
      <c r="N303">
        <v>0.35000000000000003</v>
      </c>
      <c r="O303">
        <v>0.1</v>
      </c>
      <c r="P303">
        <v>0.2</v>
      </c>
      <c r="Q303">
        <v>0</v>
      </c>
      <c r="R303">
        <v>0.05</v>
      </c>
      <c r="S303">
        <v>0.05</v>
      </c>
      <c r="T303">
        <v>8386.24</v>
      </c>
      <c r="U303" t="s">
        <v>94</v>
      </c>
      <c r="V303">
        <v>3</v>
      </c>
      <c r="W303">
        <v>1</v>
      </c>
      <c r="X303">
        <v>4</v>
      </c>
      <c r="Y303">
        <v>4</v>
      </c>
      <c r="Z303">
        <v>2</v>
      </c>
      <c r="AA303">
        <v>2</v>
      </c>
      <c r="AB303">
        <v>2</v>
      </c>
      <c r="AC303">
        <v>2</v>
      </c>
      <c r="AD303">
        <v>2</v>
      </c>
      <c r="AE303" s="6">
        <v>0</v>
      </c>
      <c r="AF303" s="6">
        <v>0</v>
      </c>
      <c r="AG303" s="6">
        <v>0</v>
      </c>
      <c r="AH303">
        <v>0</v>
      </c>
    </row>
    <row r="304" spans="1:34">
      <c r="A304" t="s">
        <v>613</v>
      </c>
      <c r="B304" t="s">
        <v>612</v>
      </c>
      <c r="C304">
        <v>9879</v>
      </c>
      <c r="D304">
        <v>4364</v>
      </c>
      <c r="E304">
        <v>328.35682092048978</v>
      </c>
      <c r="F304">
        <v>5059.63</v>
      </c>
      <c r="G304">
        <v>2079.4913569233327</v>
      </c>
      <c r="H304">
        <v>2774.8284933349732</v>
      </c>
      <c r="I304">
        <v>0</v>
      </c>
      <c r="J304">
        <v>887.94511786719136</v>
      </c>
      <c r="K304">
        <v>971.18997266724068</v>
      </c>
      <c r="L304">
        <v>0.30000000000000004</v>
      </c>
      <c r="M304">
        <v>0</v>
      </c>
      <c r="N304">
        <v>0.35000000000000003</v>
      </c>
      <c r="O304">
        <v>0.15000000000000002</v>
      </c>
      <c r="P304">
        <v>0.2</v>
      </c>
      <c r="Q304">
        <v>0</v>
      </c>
      <c r="R304">
        <v>0.05</v>
      </c>
      <c r="S304">
        <v>0.05</v>
      </c>
      <c r="T304">
        <v>5059.63</v>
      </c>
      <c r="U304" t="s">
        <v>94</v>
      </c>
      <c r="V304">
        <v>1</v>
      </c>
      <c r="W304">
        <v>2</v>
      </c>
      <c r="X304">
        <v>3</v>
      </c>
      <c r="Y304">
        <v>3</v>
      </c>
      <c r="Z304">
        <v>2</v>
      </c>
      <c r="AA304">
        <v>1</v>
      </c>
      <c r="AB304">
        <v>2</v>
      </c>
      <c r="AC304">
        <v>2</v>
      </c>
      <c r="AD304">
        <v>2</v>
      </c>
      <c r="AE304" s="6">
        <v>0</v>
      </c>
      <c r="AF304" s="6">
        <v>0</v>
      </c>
      <c r="AG304" s="6">
        <v>0</v>
      </c>
      <c r="AH304">
        <v>0</v>
      </c>
    </row>
    <row r="305" spans="1:34">
      <c r="A305" t="s">
        <v>627</v>
      </c>
      <c r="B305" t="s">
        <v>626</v>
      </c>
      <c r="C305">
        <v>5905</v>
      </c>
      <c r="D305">
        <v>416</v>
      </c>
      <c r="E305">
        <v>105.62325593337326</v>
      </c>
      <c r="F305">
        <v>1415.5263157894738</v>
      </c>
      <c r="G305">
        <v>202.30879295016928</v>
      </c>
      <c r="H305">
        <v>300.02257580511184</v>
      </c>
      <c r="I305">
        <v>0</v>
      </c>
      <c r="J305">
        <v>96.3072468334409</v>
      </c>
      <c r="K305">
        <v>105.00790153178914</v>
      </c>
      <c r="L305">
        <v>0.15000000000000002</v>
      </c>
      <c r="M305">
        <v>0.05</v>
      </c>
      <c r="N305">
        <v>0.55000000000000004</v>
      </c>
      <c r="O305">
        <v>0.1</v>
      </c>
      <c r="P305">
        <v>0.1</v>
      </c>
      <c r="Q305">
        <v>0</v>
      </c>
      <c r="R305">
        <v>0.05</v>
      </c>
      <c r="S305">
        <v>0.05</v>
      </c>
      <c r="T305">
        <v>1415.5263157894738</v>
      </c>
      <c r="U305" t="s">
        <v>94</v>
      </c>
      <c r="V305">
        <v>2</v>
      </c>
      <c r="W305">
        <v>2</v>
      </c>
      <c r="X305">
        <v>4</v>
      </c>
      <c r="Y305">
        <v>3</v>
      </c>
      <c r="Z305">
        <v>3</v>
      </c>
      <c r="AA305">
        <v>2</v>
      </c>
      <c r="AB305">
        <v>3</v>
      </c>
      <c r="AC305">
        <v>3</v>
      </c>
      <c r="AD305">
        <v>2</v>
      </c>
      <c r="AE305" s="6">
        <v>0</v>
      </c>
      <c r="AF305" s="6">
        <v>0</v>
      </c>
      <c r="AG305" s="6">
        <v>0</v>
      </c>
      <c r="AH305">
        <v>0</v>
      </c>
    </row>
    <row r="306" spans="1:34">
      <c r="A306" t="s">
        <v>634</v>
      </c>
      <c r="B306" t="s">
        <v>157</v>
      </c>
      <c r="C306">
        <v>2445</v>
      </c>
      <c r="D306">
        <v>3261</v>
      </c>
      <c r="E306">
        <v>210.86653352856581</v>
      </c>
      <c r="F306">
        <v>2856.49</v>
      </c>
      <c r="G306">
        <v>531.95229840460456</v>
      </c>
      <c r="H306">
        <v>939.9426254006421</v>
      </c>
      <c r="I306">
        <v>0</v>
      </c>
      <c r="J306">
        <v>300.78164012820548</v>
      </c>
      <c r="K306">
        <v>328.97991889022472</v>
      </c>
      <c r="L306">
        <v>0.4</v>
      </c>
      <c r="M306">
        <v>0.05</v>
      </c>
      <c r="N306">
        <v>0.35000000000000003</v>
      </c>
      <c r="O306">
        <v>0.05</v>
      </c>
      <c r="P306">
        <v>0.1</v>
      </c>
      <c r="Q306">
        <v>0</v>
      </c>
      <c r="R306">
        <v>0.05</v>
      </c>
      <c r="S306">
        <v>0.05</v>
      </c>
      <c r="T306">
        <v>3261</v>
      </c>
      <c r="U306" t="s">
        <v>92</v>
      </c>
      <c r="V306">
        <v>2</v>
      </c>
      <c r="W306">
        <v>2</v>
      </c>
      <c r="X306">
        <v>3</v>
      </c>
      <c r="Y306">
        <v>3</v>
      </c>
      <c r="Z306">
        <v>2</v>
      </c>
      <c r="AA306">
        <v>1</v>
      </c>
      <c r="AB306">
        <v>2</v>
      </c>
      <c r="AC306">
        <v>2</v>
      </c>
      <c r="AD306">
        <v>2</v>
      </c>
      <c r="AE306" s="6">
        <v>0</v>
      </c>
      <c r="AF306" s="6">
        <v>0</v>
      </c>
      <c r="AG306" s="6">
        <v>0</v>
      </c>
      <c r="AH306">
        <v>0</v>
      </c>
    </row>
    <row r="307" spans="1:34">
      <c r="A307" t="s">
        <v>651</v>
      </c>
      <c r="B307" t="s">
        <v>650</v>
      </c>
      <c r="C307">
        <v>27358</v>
      </c>
      <c r="D307">
        <v>1441</v>
      </c>
      <c r="E307">
        <v>694.48460611633641</v>
      </c>
      <c r="F307">
        <v>7102.9</v>
      </c>
      <c r="G307">
        <v>592.15632997733667</v>
      </c>
      <c r="H307">
        <v>4707.8473060888346</v>
      </c>
      <c r="I307">
        <v>0</v>
      </c>
      <c r="J307">
        <v>1511.2189852545159</v>
      </c>
      <c r="K307">
        <v>1647.7465571310918</v>
      </c>
      <c r="L307">
        <v>0.05</v>
      </c>
      <c r="M307">
        <v>0.05</v>
      </c>
      <c r="N307">
        <v>0.35000000000000003</v>
      </c>
      <c r="O307">
        <v>0.05</v>
      </c>
      <c r="P307">
        <v>0.25</v>
      </c>
      <c r="Q307">
        <v>0</v>
      </c>
      <c r="R307">
        <v>0.1</v>
      </c>
      <c r="S307">
        <v>0.1</v>
      </c>
      <c r="T307">
        <v>7102.9</v>
      </c>
      <c r="U307" t="s">
        <v>94</v>
      </c>
      <c r="V307">
        <v>3</v>
      </c>
      <c r="W307">
        <v>1</v>
      </c>
      <c r="X307">
        <v>3</v>
      </c>
      <c r="Y307">
        <v>3</v>
      </c>
      <c r="Z307">
        <v>4</v>
      </c>
      <c r="AA307">
        <v>2</v>
      </c>
      <c r="AB307">
        <v>4</v>
      </c>
      <c r="AC307">
        <v>4</v>
      </c>
      <c r="AD307">
        <v>3</v>
      </c>
      <c r="AE307" s="6">
        <v>0</v>
      </c>
      <c r="AF307" s="6">
        <v>0</v>
      </c>
      <c r="AG307" s="6">
        <v>0</v>
      </c>
      <c r="AH307">
        <v>0</v>
      </c>
    </row>
    <row r="308" spans="1:34">
      <c r="A308" t="s">
        <v>657</v>
      </c>
      <c r="B308" t="s">
        <v>656</v>
      </c>
      <c r="C308">
        <v>5331</v>
      </c>
      <c r="D308">
        <v>749</v>
      </c>
      <c r="E308">
        <v>642.5012691935076</v>
      </c>
      <c r="F308">
        <v>7379.57</v>
      </c>
      <c r="G308">
        <v>1976.8928440547584</v>
      </c>
      <c r="H308">
        <v>4891.2259421636199</v>
      </c>
      <c r="I308">
        <v>0</v>
      </c>
      <c r="J308">
        <v>1565.1923014923584</v>
      </c>
      <c r="K308">
        <v>1711.9290797572671</v>
      </c>
      <c r="L308">
        <v>0.05</v>
      </c>
      <c r="M308">
        <v>0.05</v>
      </c>
      <c r="N308">
        <v>0.35000000000000003</v>
      </c>
      <c r="O308">
        <v>0.1</v>
      </c>
      <c r="P308">
        <v>0.25</v>
      </c>
      <c r="Q308">
        <v>0</v>
      </c>
      <c r="R308">
        <v>0.1</v>
      </c>
      <c r="S308">
        <v>0.1</v>
      </c>
      <c r="T308">
        <v>7379.57</v>
      </c>
      <c r="U308" t="s">
        <v>94</v>
      </c>
      <c r="V308">
        <v>2</v>
      </c>
      <c r="W308">
        <v>1</v>
      </c>
      <c r="X308">
        <v>3</v>
      </c>
      <c r="Y308">
        <v>3</v>
      </c>
      <c r="Z308">
        <v>2</v>
      </c>
      <c r="AA308">
        <v>1</v>
      </c>
      <c r="AB308">
        <v>2</v>
      </c>
      <c r="AC308">
        <v>2</v>
      </c>
      <c r="AD308">
        <v>2</v>
      </c>
      <c r="AE308" s="6">
        <v>0</v>
      </c>
      <c r="AF308" s="6">
        <v>0</v>
      </c>
      <c r="AG308" s="6">
        <v>0</v>
      </c>
      <c r="AH308">
        <v>0</v>
      </c>
    </row>
    <row r="309" spans="1:34">
      <c r="A309" t="s">
        <v>662</v>
      </c>
      <c r="B309" t="s">
        <v>661</v>
      </c>
      <c r="C309">
        <v>12606</v>
      </c>
      <c r="D309">
        <v>3303</v>
      </c>
      <c r="E309">
        <v>741.48890425405136</v>
      </c>
      <c r="F309">
        <v>8266.8850000000002</v>
      </c>
      <c r="G309">
        <v>2372.8880785709603</v>
      </c>
      <c r="H309">
        <v>4566.1199741181063</v>
      </c>
      <c r="I309">
        <v>0</v>
      </c>
      <c r="J309">
        <v>1461.1583917177941</v>
      </c>
      <c r="K309">
        <v>1598.1419909413371</v>
      </c>
      <c r="L309">
        <v>0.15000000000000002</v>
      </c>
      <c r="M309">
        <v>0.05</v>
      </c>
      <c r="N309">
        <v>0.35000000000000003</v>
      </c>
      <c r="O309">
        <v>0.1</v>
      </c>
      <c r="P309">
        <v>0.2</v>
      </c>
      <c r="Q309">
        <v>0</v>
      </c>
      <c r="R309">
        <v>0.05</v>
      </c>
      <c r="S309">
        <v>0.05</v>
      </c>
      <c r="T309">
        <v>8266.8850000000002</v>
      </c>
      <c r="U309" t="s">
        <v>94</v>
      </c>
      <c r="V309">
        <v>2</v>
      </c>
      <c r="W309">
        <v>1</v>
      </c>
      <c r="X309">
        <v>4</v>
      </c>
      <c r="Y309">
        <v>3</v>
      </c>
      <c r="Z309">
        <v>2</v>
      </c>
      <c r="AA309">
        <v>3</v>
      </c>
      <c r="AB309">
        <v>2</v>
      </c>
      <c r="AC309">
        <v>2</v>
      </c>
      <c r="AD309">
        <v>2</v>
      </c>
      <c r="AE309" s="6">
        <v>0</v>
      </c>
      <c r="AF309" s="6">
        <v>0</v>
      </c>
      <c r="AG309" s="6">
        <v>0</v>
      </c>
      <c r="AH309">
        <v>0</v>
      </c>
    </row>
    <row r="310" spans="1:34">
      <c r="A310" t="s">
        <v>681</v>
      </c>
      <c r="B310" t="s">
        <v>680</v>
      </c>
      <c r="C310">
        <v>20485</v>
      </c>
      <c r="D310">
        <v>2693</v>
      </c>
      <c r="E310">
        <v>1058.7697482615831</v>
      </c>
      <c r="F310">
        <v>19200</v>
      </c>
      <c r="G310">
        <v>4953.3977725632158</v>
      </c>
      <c r="H310">
        <v>8431.6982991370351</v>
      </c>
      <c r="I310">
        <v>0</v>
      </c>
      <c r="J310">
        <v>2698.1434557238513</v>
      </c>
      <c r="K310">
        <v>2951.0944046979625</v>
      </c>
      <c r="L310">
        <v>0.05</v>
      </c>
      <c r="M310">
        <v>0</v>
      </c>
      <c r="N310">
        <v>0.45</v>
      </c>
      <c r="O310">
        <v>0.1</v>
      </c>
      <c r="P310">
        <v>0.2</v>
      </c>
      <c r="Q310">
        <v>0</v>
      </c>
      <c r="R310">
        <v>0.05</v>
      </c>
      <c r="S310">
        <v>0.05</v>
      </c>
      <c r="T310">
        <v>19200</v>
      </c>
      <c r="U310" t="s">
        <v>94</v>
      </c>
      <c r="V310">
        <v>2</v>
      </c>
      <c r="W310">
        <v>1</v>
      </c>
      <c r="X310">
        <v>3</v>
      </c>
      <c r="Y310">
        <v>3</v>
      </c>
      <c r="Z310">
        <v>3</v>
      </c>
      <c r="AA310">
        <v>2</v>
      </c>
      <c r="AB310">
        <v>3</v>
      </c>
      <c r="AC310">
        <v>3</v>
      </c>
      <c r="AD310">
        <v>2</v>
      </c>
      <c r="AE310" s="6">
        <v>0</v>
      </c>
      <c r="AF310" s="6">
        <v>0</v>
      </c>
      <c r="AG310" s="6">
        <v>0</v>
      </c>
      <c r="AH310">
        <v>0</v>
      </c>
    </row>
    <row r="311" spans="1:34">
      <c r="A311" t="s">
        <v>684</v>
      </c>
      <c r="B311" t="s">
        <v>683</v>
      </c>
      <c r="C311">
        <v>69732</v>
      </c>
      <c r="D311">
        <v>7822</v>
      </c>
      <c r="E311">
        <v>1011.0992329205294</v>
      </c>
      <c r="F311">
        <v>9600</v>
      </c>
      <c r="G311">
        <v>1116.9085374350739</v>
      </c>
      <c r="H311">
        <v>3998.1787035680691</v>
      </c>
      <c r="I311">
        <v>0</v>
      </c>
      <c r="J311">
        <v>1279.4171851417823</v>
      </c>
      <c r="K311">
        <v>1399.3625462488242</v>
      </c>
      <c r="L311">
        <v>0.4</v>
      </c>
      <c r="M311">
        <v>0.05</v>
      </c>
      <c r="N311">
        <v>0.5</v>
      </c>
      <c r="O311">
        <v>0.05</v>
      </c>
      <c r="P311">
        <v>0.2</v>
      </c>
      <c r="Q311">
        <v>0</v>
      </c>
      <c r="R311">
        <v>0.05</v>
      </c>
      <c r="S311">
        <v>0.05</v>
      </c>
      <c r="T311">
        <v>9600</v>
      </c>
      <c r="U311" t="s">
        <v>94</v>
      </c>
      <c r="V311">
        <v>3</v>
      </c>
      <c r="W311">
        <v>1</v>
      </c>
      <c r="X311">
        <v>3</v>
      </c>
      <c r="Y311">
        <v>3</v>
      </c>
      <c r="Z311">
        <v>3</v>
      </c>
      <c r="AA311">
        <v>2</v>
      </c>
      <c r="AB311">
        <v>3</v>
      </c>
      <c r="AC311">
        <v>3</v>
      </c>
      <c r="AD311">
        <v>3</v>
      </c>
      <c r="AE311" s="6">
        <v>0</v>
      </c>
      <c r="AF311" s="6">
        <v>0</v>
      </c>
      <c r="AG311" s="6">
        <v>0</v>
      </c>
      <c r="AH311">
        <v>0</v>
      </c>
    </row>
    <row r="312" spans="1:34">
      <c r="A312" t="s">
        <v>689</v>
      </c>
      <c r="B312" t="s">
        <v>688</v>
      </c>
      <c r="C312">
        <v>19673</v>
      </c>
      <c r="D312">
        <v>15063</v>
      </c>
      <c r="E312">
        <v>3140.3300244250358</v>
      </c>
      <c r="F312">
        <v>21993.075000000001</v>
      </c>
      <c r="G312">
        <v>6639.3574819902069</v>
      </c>
      <c r="H312">
        <v>14373.405724665281</v>
      </c>
      <c r="I312">
        <v>0</v>
      </c>
      <c r="J312">
        <v>4613.8632376175556</v>
      </c>
      <c r="K312">
        <v>5030.6920036328484</v>
      </c>
      <c r="L312">
        <v>0.25</v>
      </c>
      <c r="M312">
        <v>0.05</v>
      </c>
      <c r="N312">
        <v>0.35000000000000003</v>
      </c>
      <c r="O312">
        <v>0.1</v>
      </c>
      <c r="P312">
        <v>0.25</v>
      </c>
      <c r="Q312">
        <v>0</v>
      </c>
      <c r="R312">
        <v>0.1</v>
      </c>
      <c r="S312">
        <v>0.1</v>
      </c>
      <c r="T312">
        <v>21993.075000000001</v>
      </c>
      <c r="U312" t="s">
        <v>94</v>
      </c>
      <c r="V312">
        <v>4</v>
      </c>
      <c r="W312">
        <v>2</v>
      </c>
      <c r="X312">
        <v>3</v>
      </c>
      <c r="Y312">
        <v>3</v>
      </c>
      <c r="Z312">
        <v>3</v>
      </c>
      <c r="AA312">
        <v>2</v>
      </c>
      <c r="AB312">
        <v>3</v>
      </c>
      <c r="AC312">
        <v>3</v>
      </c>
      <c r="AD312">
        <v>3</v>
      </c>
      <c r="AE312" s="6">
        <v>0</v>
      </c>
      <c r="AF312" s="6">
        <v>0</v>
      </c>
      <c r="AG312" s="6">
        <v>0</v>
      </c>
      <c r="AH312">
        <v>0</v>
      </c>
    </row>
    <row r="313" spans="1:34">
      <c r="A313" t="s">
        <v>691</v>
      </c>
      <c r="B313" t="s">
        <v>690</v>
      </c>
      <c r="C313">
        <v>17200</v>
      </c>
      <c r="D313">
        <v>32561</v>
      </c>
      <c r="E313">
        <v>3623.5597150443477</v>
      </c>
      <c r="F313">
        <v>37929.705000000002</v>
      </c>
      <c r="G313">
        <v>11254.360580322158</v>
      </c>
      <c r="H313">
        <v>24788.668204962938</v>
      </c>
      <c r="I313">
        <v>0</v>
      </c>
      <c r="J313">
        <v>7932.3738255881408</v>
      </c>
      <c r="K313">
        <v>8676.0338717370269</v>
      </c>
      <c r="L313">
        <v>0.30000000000000004</v>
      </c>
      <c r="M313">
        <v>0.05</v>
      </c>
      <c r="N313">
        <v>0.35000000000000003</v>
      </c>
      <c r="O313">
        <v>0.1</v>
      </c>
      <c r="P313">
        <v>0.25</v>
      </c>
      <c r="Q313">
        <v>0</v>
      </c>
      <c r="R313">
        <v>0.1</v>
      </c>
      <c r="S313">
        <v>0.1</v>
      </c>
      <c r="T313">
        <v>37929.705000000002</v>
      </c>
      <c r="U313" t="s">
        <v>94</v>
      </c>
      <c r="V313">
        <v>4</v>
      </c>
      <c r="W313">
        <v>3</v>
      </c>
      <c r="X313">
        <v>3</v>
      </c>
      <c r="Y313">
        <v>3</v>
      </c>
      <c r="Z313">
        <v>3</v>
      </c>
      <c r="AA313">
        <v>2</v>
      </c>
      <c r="AB313">
        <v>3</v>
      </c>
      <c r="AC313">
        <v>3</v>
      </c>
      <c r="AD313">
        <v>3</v>
      </c>
      <c r="AE313" s="6">
        <v>0</v>
      </c>
      <c r="AF313" s="6">
        <v>0</v>
      </c>
      <c r="AG313" s="6">
        <v>0</v>
      </c>
      <c r="AH313">
        <v>0</v>
      </c>
    </row>
    <row r="314" spans="1:34">
      <c r="A314" t="s">
        <v>695</v>
      </c>
      <c r="B314" t="s">
        <v>694</v>
      </c>
      <c r="C314">
        <v>58932</v>
      </c>
      <c r="D314">
        <v>3236</v>
      </c>
      <c r="E314">
        <v>719.34171979746759</v>
      </c>
      <c r="F314">
        <v>8600</v>
      </c>
      <c r="G314">
        <v>1718.854180887447</v>
      </c>
      <c r="H314">
        <v>3860.0225757413</v>
      </c>
      <c r="I314">
        <v>0</v>
      </c>
      <c r="J314">
        <v>1239.0672468129574</v>
      </c>
      <c r="K314">
        <v>1351.0079015094548</v>
      </c>
      <c r="L314">
        <v>0.15000000000000002</v>
      </c>
      <c r="M314">
        <v>0.05</v>
      </c>
      <c r="N314">
        <v>0.45</v>
      </c>
      <c r="O314">
        <v>0.1</v>
      </c>
      <c r="P314">
        <v>0.2</v>
      </c>
      <c r="Q314">
        <v>0</v>
      </c>
      <c r="R314">
        <v>0.05</v>
      </c>
      <c r="S314">
        <v>0.05</v>
      </c>
      <c r="T314">
        <v>8600</v>
      </c>
      <c r="U314" t="s">
        <v>94</v>
      </c>
      <c r="V314">
        <v>3</v>
      </c>
      <c r="W314">
        <v>3</v>
      </c>
      <c r="X314">
        <v>3</v>
      </c>
      <c r="Y314">
        <v>3</v>
      </c>
      <c r="Z314">
        <v>4</v>
      </c>
      <c r="AA314">
        <v>2</v>
      </c>
      <c r="AB314">
        <v>4</v>
      </c>
      <c r="AC314">
        <v>4</v>
      </c>
      <c r="AD314">
        <v>3</v>
      </c>
      <c r="AE314" s="6">
        <v>0</v>
      </c>
      <c r="AF314" s="6">
        <v>0</v>
      </c>
      <c r="AG314" s="6">
        <v>0</v>
      </c>
      <c r="AH314">
        <v>1</v>
      </c>
    </row>
    <row r="315" spans="1:34">
      <c r="A315" t="s">
        <v>700</v>
      </c>
      <c r="B315" t="s">
        <v>203</v>
      </c>
      <c r="C315">
        <v>18988</v>
      </c>
      <c r="D315">
        <v>4066</v>
      </c>
      <c r="E315">
        <v>988.64560982563501</v>
      </c>
      <c r="F315">
        <v>7500</v>
      </c>
      <c r="G315">
        <v>2203.3600343207081</v>
      </c>
      <c r="H315">
        <v>2907.3030004094485</v>
      </c>
      <c r="I315">
        <v>7318.8</v>
      </c>
      <c r="J315">
        <v>930.33696013102349</v>
      </c>
      <c r="K315">
        <v>1017.5560501433068</v>
      </c>
      <c r="L315">
        <v>0.35000000000000003</v>
      </c>
      <c r="M315">
        <v>0.1</v>
      </c>
      <c r="N315">
        <v>0.60000000000000009</v>
      </c>
      <c r="O315">
        <v>0.2</v>
      </c>
      <c r="P315">
        <v>0.25</v>
      </c>
      <c r="Q315">
        <v>0.60000000000000009</v>
      </c>
      <c r="R315">
        <v>0.1</v>
      </c>
      <c r="S315">
        <v>0.1</v>
      </c>
      <c r="T315">
        <v>7500</v>
      </c>
      <c r="U315" t="s">
        <v>94</v>
      </c>
      <c r="V315">
        <v>3</v>
      </c>
      <c r="W315">
        <v>2</v>
      </c>
      <c r="X315">
        <v>3</v>
      </c>
      <c r="Y315">
        <v>3</v>
      </c>
      <c r="Z315">
        <v>3</v>
      </c>
      <c r="AA315">
        <v>2</v>
      </c>
      <c r="AB315">
        <v>3</v>
      </c>
      <c r="AC315">
        <v>3</v>
      </c>
      <c r="AD315">
        <v>3</v>
      </c>
      <c r="AE315" s="6">
        <v>0</v>
      </c>
      <c r="AF315" s="6">
        <v>0</v>
      </c>
      <c r="AG315" s="6">
        <v>0</v>
      </c>
      <c r="AH315">
        <v>0</v>
      </c>
    </row>
    <row r="316" spans="1:34">
      <c r="A316" t="s">
        <v>704</v>
      </c>
      <c r="B316" t="s">
        <v>703</v>
      </c>
      <c r="C316">
        <v>27840</v>
      </c>
      <c r="D316">
        <v>14759</v>
      </c>
      <c r="E316">
        <v>12650.699210643514</v>
      </c>
      <c r="F316">
        <v>98180.62</v>
      </c>
      <c r="G316">
        <v>45790.255526923123</v>
      </c>
      <c r="H316">
        <v>64111.298530426022</v>
      </c>
      <c r="I316">
        <v>161392.79999999999</v>
      </c>
      <c r="J316">
        <v>20579.726828266754</v>
      </c>
      <c r="K316">
        <v>22438.954485649108</v>
      </c>
      <c r="L316">
        <v>0.05</v>
      </c>
      <c r="M316">
        <v>0.05</v>
      </c>
      <c r="N316">
        <v>0.35000000000000003</v>
      </c>
      <c r="O316">
        <v>0.15000000000000002</v>
      </c>
      <c r="P316">
        <v>0.25</v>
      </c>
      <c r="Q316">
        <v>0.60000000000000009</v>
      </c>
      <c r="R316">
        <v>0.1</v>
      </c>
      <c r="S316">
        <v>0.1</v>
      </c>
      <c r="T316">
        <v>161392.79999999999</v>
      </c>
      <c r="U316" t="s">
        <v>97</v>
      </c>
      <c r="V316">
        <v>2</v>
      </c>
      <c r="W316">
        <v>1</v>
      </c>
      <c r="X316">
        <v>3</v>
      </c>
      <c r="Y316">
        <v>3</v>
      </c>
      <c r="Z316">
        <v>3</v>
      </c>
      <c r="AA316">
        <v>2</v>
      </c>
      <c r="AB316">
        <v>3</v>
      </c>
      <c r="AC316">
        <v>3</v>
      </c>
      <c r="AD316">
        <v>2</v>
      </c>
      <c r="AE316" s="6">
        <v>0</v>
      </c>
      <c r="AF316" s="6">
        <v>0</v>
      </c>
      <c r="AG316" s="6">
        <v>0</v>
      </c>
      <c r="AH316">
        <v>0</v>
      </c>
    </row>
    <row r="317" spans="1:34">
      <c r="A317" t="s">
        <v>710</v>
      </c>
      <c r="B317" t="s">
        <v>709</v>
      </c>
      <c r="C317">
        <v>89847</v>
      </c>
      <c r="D317">
        <v>9609</v>
      </c>
      <c r="E317">
        <v>8392.6171726725388</v>
      </c>
      <c r="F317">
        <v>48047.504999999997</v>
      </c>
      <c r="G317">
        <v>20046.072436259514</v>
      </c>
      <c r="H317">
        <v>31374.704465067924</v>
      </c>
      <c r="I317">
        <v>17770.994999999999</v>
      </c>
      <c r="J317">
        <v>10071.280133286804</v>
      </c>
      <c r="K317">
        <v>10981.146562773774</v>
      </c>
      <c r="L317">
        <v>0.05</v>
      </c>
      <c r="M317">
        <v>0.05</v>
      </c>
      <c r="N317">
        <v>0.35000000000000003</v>
      </c>
      <c r="O317">
        <v>0.15000000000000002</v>
      </c>
      <c r="P317">
        <v>0.25</v>
      </c>
      <c r="Q317">
        <v>0.15000000000000002</v>
      </c>
      <c r="R317">
        <v>0.1</v>
      </c>
      <c r="S317">
        <v>0.1</v>
      </c>
      <c r="T317">
        <v>48047.504999999997</v>
      </c>
      <c r="U317" t="s">
        <v>94</v>
      </c>
      <c r="V317">
        <v>3</v>
      </c>
      <c r="W317">
        <v>2</v>
      </c>
      <c r="X317">
        <v>3</v>
      </c>
      <c r="Y317">
        <v>3</v>
      </c>
      <c r="Z317">
        <v>3</v>
      </c>
      <c r="AA317">
        <v>4</v>
      </c>
      <c r="AB317">
        <v>3</v>
      </c>
      <c r="AC317">
        <v>3</v>
      </c>
      <c r="AD317">
        <v>3</v>
      </c>
      <c r="AE317" s="6">
        <v>0</v>
      </c>
      <c r="AF317" s="6">
        <v>0</v>
      </c>
      <c r="AG317" s="6">
        <v>0</v>
      </c>
      <c r="AH317">
        <v>0</v>
      </c>
    </row>
    <row r="318" spans="1:34">
      <c r="A318" t="s">
        <v>720</v>
      </c>
      <c r="B318" t="s">
        <v>719</v>
      </c>
      <c r="C318">
        <v>118756</v>
      </c>
      <c r="D318">
        <v>3247</v>
      </c>
      <c r="E318">
        <v>2467.22718487559</v>
      </c>
      <c r="F318">
        <v>11378.875</v>
      </c>
      <c r="G318">
        <v>4984.6427237542912</v>
      </c>
      <c r="H318">
        <v>7430.3304671064543</v>
      </c>
      <c r="I318">
        <v>18705</v>
      </c>
      <c r="J318">
        <v>2377.7057494740652</v>
      </c>
      <c r="K318">
        <v>2600.6156634872591</v>
      </c>
      <c r="L318">
        <v>0.1</v>
      </c>
      <c r="M318">
        <v>0.1</v>
      </c>
      <c r="N318">
        <v>0.35000000000000003</v>
      </c>
      <c r="O318">
        <v>0.15000000000000002</v>
      </c>
      <c r="P318">
        <v>0.25</v>
      </c>
      <c r="Q318">
        <v>0.60000000000000009</v>
      </c>
      <c r="R318">
        <v>0.1</v>
      </c>
      <c r="S318">
        <v>0.1</v>
      </c>
      <c r="T318">
        <v>18705</v>
      </c>
      <c r="U318" t="s">
        <v>97</v>
      </c>
      <c r="V318">
        <v>3</v>
      </c>
      <c r="W318">
        <v>3</v>
      </c>
      <c r="X318">
        <v>3</v>
      </c>
      <c r="Y318">
        <v>4</v>
      </c>
      <c r="Z318">
        <v>4</v>
      </c>
      <c r="AA318">
        <v>4</v>
      </c>
      <c r="AB318">
        <v>4</v>
      </c>
      <c r="AC318">
        <v>4</v>
      </c>
      <c r="AD318">
        <v>3</v>
      </c>
      <c r="AE318" s="6">
        <v>0</v>
      </c>
      <c r="AF318" s="6">
        <v>0</v>
      </c>
      <c r="AG318" s="6">
        <v>0</v>
      </c>
      <c r="AH318">
        <v>1</v>
      </c>
    </row>
    <row r="319" spans="1:34">
      <c r="A319" t="s">
        <v>742</v>
      </c>
      <c r="B319" t="s">
        <v>203</v>
      </c>
      <c r="C319">
        <v>60819</v>
      </c>
      <c r="D319">
        <v>691</v>
      </c>
      <c r="E319">
        <v>2649.657498886203</v>
      </c>
      <c r="F319">
        <v>22703.73</v>
      </c>
      <c r="G319">
        <v>8064.0540727214702</v>
      </c>
      <c r="H319">
        <v>14825.386229830176</v>
      </c>
      <c r="I319">
        <v>0</v>
      </c>
      <c r="J319">
        <v>4758.9489797754868</v>
      </c>
      <c r="K319">
        <v>5188.8851804405604</v>
      </c>
      <c r="L319">
        <v>0</v>
      </c>
      <c r="M319">
        <v>0.05</v>
      </c>
      <c r="N319">
        <v>0.35000000000000003</v>
      </c>
      <c r="O319">
        <v>0.15000000000000002</v>
      </c>
      <c r="P319">
        <v>0.25</v>
      </c>
      <c r="Q319">
        <v>0</v>
      </c>
      <c r="R319">
        <v>0.1</v>
      </c>
      <c r="S319">
        <v>0.1</v>
      </c>
      <c r="T319">
        <v>22703.73</v>
      </c>
      <c r="U319" t="s">
        <v>94</v>
      </c>
      <c r="V319">
        <v>1</v>
      </c>
      <c r="W319">
        <v>2</v>
      </c>
      <c r="X319">
        <v>3</v>
      </c>
      <c r="Y319">
        <v>4</v>
      </c>
      <c r="Z319">
        <v>4</v>
      </c>
      <c r="AA319">
        <v>2</v>
      </c>
      <c r="AB319">
        <v>4</v>
      </c>
      <c r="AC319">
        <v>4</v>
      </c>
      <c r="AD319">
        <v>2</v>
      </c>
      <c r="AE319" s="6">
        <v>0</v>
      </c>
      <c r="AF319" s="6">
        <v>0</v>
      </c>
      <c r="AG319" s="6">
        <v>0</v>
      </c>
      <c r="AH319">
        <v>0</v>
      </c>
    </row>
    <row r="320" spans="1:34">
      <c r="A320" t="s">
        <v>744</v>
      </c>
      <c r="B320" t="s">
        <v>743</v>
      </c>
      <c r="C320">
        <v>52624</v>
      </c>
      <c r="D320">
        <v>0</v>
      </c>
      <c r="E320">
        <v>2216.227866304348</v>
      </c>
      <c r="F320">
        <v>19641.38</v>
      </c>
      <c r="G320">
        <v>7118.3492301004626</v>
      </c>
      <c r="H320">
        <v>12825.691839484609</v>
      </c>
      <c r="I320">
        <v>7264.62</v>
      </c>
      <c r="J320">
        <v>4117.0470804745601</v>
      </c>
      <c r="K320">
        <v>4488.9921438196125</v>
      </c>
      <c r="L320">
        <v>0</v>
      </c>
      <c r="M320">
        <v>0.05</v>
      </c>
      <c r="N320">
        <v>0.35000000000000003</v>
      </c>
      <c r="O320">
        <v>0.15000000000000002</v>
      </c>
      <c r="P320">
        <v>0.25</v>
      </c>
      <c r="Q320">
        <v>0.15000000000000002</v>
      </c>
      <c r="R320">
        <v>0.1</v>
      </c>
      <c r="S320">
        <v>0.1</v>
      </c>
      <c r="T320">
        <v>19641.38</v>
      </c>
      <c r="U320" t="s">
        <v>94</v>
      </c>
      <c r="V320">
        <v>1</v>
      </c>
      <c r="W320">
        <v>2</v>
      </c>
      <c r="X320">
        <v>3</v>
      </c>
      <c r="Y320">
        <v>3</v>
      </c>
      <c r="Z320">
        <v>4</v>
      </c>
      <c r="AA320">
        <v>3</v>
      </c>
      <c r="AB320">
        <v>4</v>
      </c>
      <c r="AC320">
        <v>4</v>
      </c>
      <c r="AD320">
        <v>3</v>
      </c>
      <c r="AE320" s="6">
        <v>0</v>
      </c>
      <c r="AF320" s="6">
        <v>0</v>
      </c>
      <c r="AG320" s="6">
        <v>0</v>
      </c>
      <c r="AH320">
        <v>0</v>
      </c>
    </row>
    <row r="321" spans="1:34">
      <c r="A321" t="s">
        <v>369</v>
      </c>
      <c r="B321" t="s">
        <v>368</v>
      </c>
      <c r="C321">
        <v>17097</v>
      </c>
      <c r="D321">
        <v>13534</v>
      </c>
      <c r="E321">
        <v>3862.6008584669858</v>
      </c>
      <c r="F321">
        <v>27829.79</v>
      </c>
      <c r="G321">
        <v>9043.2888174120781</v>
      </c>
      <c r="H321">
        <v>16959.064065391955</v>
      </c>
      <c r="I321">
        <v>10293.210000000001</v>
      </c>
      <c r="J321">
        <v>5443.8595649908175</v>
      </c>
      <c r="K321">
        <v>5935.6724228871835</v>
      </c>
      <c r="L321">
        <v>0.2</v>
      </c>
      <c r="M321">
        <v>0.05</v>
      </c>
      <c r="N321">
        <v>0.35000000000000003</v>
      </c>
      <c r="O321">
        <v>0.1</v>
      </c>
      <c r="P321">
        <v>0.2</v>
      </c>
      <c r="Q321">
        <v>0.15000000000000002</v>
      </c>
      <c r="R321">
        <v>0.05</v>
      </c>
      <c r="S321">
        <v>0.1</v>
      </c>
      <c r="T321">
        <v>27829.79</v>
      </c>
      <c r="U321" t="s">
        <v>94</v>
      </c>
      <c r="V321">
        <v>3</v>
      </c>
      <c r="W321">
        <v>3</v>
      </c>
      <c r="X321">
        <v>3</v>
      </c>
      <c r="Y321">
        <v>4</v>
      </c>
      <c r="Z321">
        <v>2</v>
      </c>
      <c r="AA321">
        <v>3</v>
      </c>
      <c r="AB321">
        <v>2</v>
      </c>
      <c r="AC321">
        <v>2</v>
      </c>
      <c r="AD321">
        <v>3</v>
      </c>
      <c r="AH321">
        <v>0</v>
      </c>
    </row>
    <row r="322" spans="1:34">
      <c r="A322" t="s">
        <v>373</v>
      </c>
      <c r="B322" t="s">
        <v>372</v>
      </c>
      <c r="C322">
        <v>120889</v>
      </c>
      <c r="D322">
        <v>6973</v>
      </c>
      <c r="E322">
        <v>2565.9408945649348</v>
      </c>
      <c r="F322">
        <v>14337.93</v>
      </c>
      <c r="G322">
        <v>3248.3825137372783</v>
      </c>
      <c r="H322">
        <v>4368.6616649839143</v>
      </c>
      <c r="I322">
        <v>17676.900000000001</v>
      </c>
      <c r="J322">
        <v>1397.9717327948524</v>
      </c>
      <c r="K322">
        <v>1529.0315827443701</v>
      </c>
      <c r="L322">
        <v>0.2</v>
      </c>
      <c r="M322">
        <v>0.05</v>
      </c>
      <c r="N322">
        <v>0.35000000000000003</v>
      </c>
      <c r="O322">
        <v>0.1</v>
      </c>
      <c r="P322">
        <v>0.1</v>
      </c>
      <c r="Q322">
        <v>0.45</v>
      </c>
      <c r="R322">
        <v>0.05</v>
      </c>
      <c r="S322">
        <v>0.05</v>
      </c>
      <c r="T322">
        <v>17676.900000000001</v>
      </c>
      <c r="U322" t="s">
        <v>97</v>
      </c>
      <c r="V322">
        <v>4</v>
      </c>
      <c r="W322">
        <v>2</v>
      </c>
      <c r="X322">
        <v>3</v>
      </c>
      <c r="Y322">
        <v>4</v>
      </c>
      <c r="Z322">
        <v>2</v>
      </c>
      <c r="AA322">
        <v>3</v>
      </c>
      <c r="AB322">
        <v>2</v>
      </c>
      <c r="AC322">
        <v>2</v>
      </c>
      <c r="AD322">
        <v>3</v>
      </c>
      <c r="AH322">
        <v>0</v>
      </c>
    </row>
    <row r="323" spans="1:34">
      <c r="A323" t="s">
        <v>377</v>
      </c>
      <c r="B323" t="s">
        <v>376</v>
      </c>
      <c r="C323">
        <v>27664</v>
      </c>
      <c r="D323">
        <v>2073</v>
      </c>
      <c r="E323">
        <v>625.45348391388063</v>
      </c>
      <c r="F323">
        <v>5600</v>
      </c>
      <c r="G323">
        <v>859.20182473808234</v>
      </c>
      <c r="H323">
        <v>1298.9656394025792</v>
      </c>
      <c r="I323">
        <v>7008</v>
      </c>
      <c r="J323">
        <v>415.66900460882539</v>
      </c>
      <c r="K323">
        <v>454.63797379090266</v>
      </c>
      <c r="L323">
        <v>0.2</v>
      </c>
      <c r="M323">
        <v>0.05</v>
      </c>
      <c r="N323">
        <v>0.5</v>
      </c>
      <c r="O323">
        <v>0.05</v>
      </c>
      <c r="P323">
        <v>0.1</v>
      </c>
      <c r="Q323">
        <v>0.60000000000000009</v>
      </c>
      <c r="R323">
        <v>0.05</v>
      </c>
      <c r="S323">
        <v>0.05</v>
      </c>
      <c r="T323">
        <v>7008</v>
      </c>
      <c r="U323" t="s">
        <v>97</v>
      </c>
      <c r="V323">
        <v>3</v>
      </c>
      <c r="W323">
        <v>2</v>
      </c>
      <c r="X323">
        <v>3</v>
      </c>
      <c r="Y323">
        <v>4</v>
      </c>
      <c r="Z323">
        <v>2</v>
      </c>
      <c r="AA323">
        <v>2</v>
      </c>
      <c r="AB323">
        <v>2</v>
      </c>
      <c r="AC323">
        <v>2</v>
      </c>
      <c r="AD323">
        <v>2</v>
      </c>
      <c r="AH323">
        <v>0</v>
      </c>
    </row>
    <row r="324" spans="1:34">
      <c r="A324" t="s">
        <v>380</v>
      </c>
      <c r="B324" t="s">
        <v>379</v>
      </c>
      <c r="C324">
        <v>74559</v>
      </c>
      <c r="D324">
        <v>11258</v>
      </c>
      <c r="E324">
        <v>3592.7632025827461</v>
      </c>
      <c r="F324">
        <v>23150.49</v>
      </c>
      <c r="G324">
        <v>6657.7792676099816</v>
      </c>
      <c r="H324">
        <v>14107.567576155474</v>
      </c>
      <c r="I324">
        <v>28541.7</v>
      </c>
      <c r="J324">
        <v>4514.421624369752</v>
      </c>
      <c r="K324">
        <v>4937.6486516544155</v>
      </c>
      <c r="L324">
        <v>0.2</v>
      </c>
      <c r="M324">
        <v>0.05</v>
      </c>
      <c r="N324">
        <v>0.35000000000000003</v>
      </c>
      <c r="O324">
        <v>0.1</v>
      </c>
      <c r="P324">
        <v>0.2</v>
      </c>
      <c r="Q324">
        <v>0.45</v>
      </c>
      <c r="R324">
        <v>0.05</v>
      </c>
      <c r="S324">
        <v>0.1</v>
      </c>
      <c r="T324">
        <v>28541.7</v>
      </c>
      <c r="U324" t="s">
        <v>97</v>
      </c>
      <c r="V324">
        <v>3</v>
      </c>
      <c r="W324">
        <v>2</v>
      </c>
      <c r="X324">
        <v>3</v>
      </c>
      <c r="Y324">
        <v>4</v>
      </c>
      <c r="Z324">
        <v>4</v>
      </c>
      <c r="AA324">
        <v>3</v>
      </c>
      <c r="AB324">
        <v>4</v>
      </c>
      <c r="AC324">
        <v>4</v>
      </c>
      <c r="AD324">
        <v>3</v>
      </c>
      <c r="AH324">
        <v>0</v>
      </c>
    </row>
    <row r="325" spans="1:34">
      <c r="A325" t="s">
        <v>384</v>
      </c>
      <c r="B325" t="s">
        <v>383</v>
      </c>
      <c r="C325">
        <v>38408</v>
      </c>
      <c r="D325">
        <v>3870</v>
      </c>
      <c r="E325">
        <v>1663.6718543774771</v>
      </c>
      <c r="F325">
        <v>18643.834999999999</v>
      </c>
      <c r="G325">
        <v>4302.0118652724377</v>
      </c>
      <c r="H325">
        <v>10144.26244967467</v>
      </c>
      <c r="I325">
        <v>0</v>
      </c>
      <c r="J325">
        <v>3246.1639838958945</v>
      </c>
      <c r="K325">
        <v>3550.4918573861346</v>
      </c>
      <c r="L325">
        <v>0.1</v>
      </c>
      <c r="M325">
        <v>0.05</v>
      </c>
      <c r="N325">
        <v>0.35000000000000003</v>
      </c>
      <c r="O325">
        <v>0.1</v>
      </c>
      <c r="P325">
        <v>0.2</v>
      </c>
      <c r="Q325">
        <v>0</v>
      </c>
      <c r="R325">
        <v>0.05</v>
      </c>
      <c r="S325">
        <v>0.05</v>
      </c>
      <c r="T325">
        <v>18643.834999999999</v>
      </c>
      <c r="U325" t="s">
        <v>94</v>
      </c>
      <c r="V325">
        <v>3</v>
      </c>
      <c r="W325">
        <v>3</v>
      </c>
      <c r="X325">
        <v>3</v>
      </c>
      <c r="Y325">
        <v>4</v>
      </c>
      <c r="Z325">
        <v>2</v>
      </c>
      <c r="AA325">
        <v>3</v>
      </c>
      <c r="AB325">
        <v>2</v>
      </c>
      <c r="AC325">
        <v>2</v>
      </c>
      <c r="AD325">
        <v>3</v>
      </c>
      <c r="AH325">
        <v>1</v>
      </c>
    </row>
    <row r="326" spans="1:34">
      <c r="A326" t="s">
        <v>388</v>
      </c>
      <c r="B326" t="s">
        <v>387</v>
      </c>
      <c r="C326">
        <v>11426</v>
      </c>
      <c r="D326">
        <v>36625</v>
      </c>
      <c r="E326">
        <v>5174.8080732378194</v>
      </c>
      <c r="F326">
        <v>37697.199999999997</v>
      </c>
      <c r="G326">
        <v>7697.8646659721835</v>
      </c>
      <c r="H326">
        <v>24613.624208831036</v>
      </c>
      <c r="I326">
        <v>0</v>
      </c>
      <c r="J326">
        <v>7900.9733710347627</v>
      </c>
      <c r="K326">
        <v>8614.7684730908622</v>
      </c>
      <c r="L326">
        <v>0.35000000000000003</v>
      </c>
      <c r="M326">
        <v>0.05</v>
      </c>
      <c r="N326">
        <v>0.35000000000000003</v>
      </c>
      <c r="O326">
        <v>0.05</v>
      </c>
      <c r="P326">
        <v>0.25</v>
      </c>
      <c r="Q326">
        <v>0</v>
      </c>
      <c r="R326">
        <v>0.1</v>
      </c>
      <c r="S326">
        <v>0.1</v>
      </c>
      <c r="T326">
        <v>37697.199999999997</v>
      </c>
      <c r="U326" t="s">
        <v>94</v>
      </c>
      <c r="V326">
        <v>3</v>
      </c>
      <c r="W326">
        <v>2</v>
      </c>
      <c r="X326">
        <v>3</v>
      </c>
      <c r="Y326">
        <v>4</v>
      </c>
      <c r="Z326">
        <v>2</v>
      </c>
      <c r="AA326">
        <v>4</v>
      </c>
      <c r="AB326">
        <v>2</v>
      </c>
      <c r="AC326">
        <v>2</v>
      </c>
      <c r="AD326">
        <v>3</v>
      </c>
      <c r="AH326">
        <v>0</v>
      </c>
    </row>
    <row r="327" spans="1:34">
      <c r="A327" t="s">
        <v>390</v>
      </c>
      <c r="B327" t="s">
        <v>389</v>
      </c>
      <c r="C327">
        <v>13161</v>
      </c>
      <c r="D327">
        <v>16538</v>
      </c>
      <c r="E327">
        <v>4123.4214478426702</v>
      </c>
      <c r="F327">
        <v>46236.375</v>
      </c>
      <c r="G327">
        <v>8754.3366301038095</v>
      </c>
      <c r="H327">
        <v>30189.105796414318</v>
      </c>
      <c r="I327">
        <v>8550.5625</v>
      </c>
      <c r="J327">
        <v>9690.7029606489959</v>
      </c>
      <c r="K327">
        <v>10566.187028745009</v>
      </c>
      <c r="L327">
        <v>0.15000000000000002</v>
      </c>
      <c r="M327">
        <v>0.05</v>
      </c>
      <c r="N327">
        <v>0.35000000000000003</v>
      </c>
      <c r="O327">
        <v>0.05</v>
      </c>
      <c r="P327">
        <v>0.25</v>
      </c>
      <c r="Q327">
        <v>0.05</v>
      </c>
      <c r="R327">
        <v>0.1</v>
      </c>
      <c r="S327">
        <v>0.1</v>
      </c>
      <c r="T327">
        <v>46236.375</v>
      </c>
      <c r="U327" t="s">
        <v>94</v>
      </c>
      <c r="V327">
        <v>4</v>
      </c>
      <c r="W327">
        <v>3</v>
      </c>
      <c r="X327">
        <v>3</v>
      </c>
      <c r="Y327">
        <v>3</v>
      </c>
      <c r="Z327">
        <v>2</v>
      </c>
      <c r="AA327">
        <v>2</v>
      </c>
      <c r="AB327">
        <v>2</v>
      </c>
      <c r="AC327">
        <v>2</v>
      </c>
      <c r="AD327">
        <v>3</v>
      </c>
      <c r="AH327">
        <v>0</v>
      </c>
    </row>
    <row r="328" spans="1:34">
      <c r="A328" t="s">
        <v>392</v>
      </c>
      <c r="B328" t="s">
        <v>391</v>
      </c>
      <c r="C328">
        <v>62027</v>
      </c>
      <c r="D328">
        <v>44156</v>
      </c>
      <c r="E328">
        <v>5023.1804908069553</v>
      </c>
      <c r="F328">
        <v>64982.775000000001</v>
      </c>
      <c r="G328">
        <v>26944.260546227328</v>
      </c>
      <c r="H328">
        <v>21214.594239055157</v>
      </c>
      <c r="I328">
        <v>0</v>
      </c>
      <c r="J328">
        <v>6788.6701564976502</v>
      </c>
      <c r="K328">
        <v>7425.1079836693043</v>
      </c>
      <c r="L328">
        <v>0.25</v>
      </c>
      <c r="M328">
        <v>0.05</v>
      </c>
      <c r="N328">
        <v>0.35000000000000003</v>
      </c>
      <c r="O328">
        <v>0.15000000000000002</v>
      </c>
      <c r="P328">
        <v>0.1</v>
      </c>
      <c r="Q328">
        <v>0</v>
      </c>
      <c r="R328">
        <v>0.05</v>
      </c>
      <c r="S328">
        <v>0.05</v>
      </c>
      <c r="T328">
        <v>64982.775000000001</v>
      </c>
      <c r="U328" t="s">
        <v>94</v>
      </c>
      <c r="V328">
        <v>3</v>
      </c>
      <c r="W328">
        <v>3</v>
      </c>
      <c r="X328">
        <v>3</v>
      </c>
      <c r="Y328">
        <v>4</v>
      </c>
      <c r="Z328">
        <v>4</v>
      </c>
      <c r="AA328">
        <v>3</v>
      </c>
      <c r="AB328">
        <v>4</v>
      </c>
      <c r="AC328">
        <v>4</v>
      </c>
      <c r="AD328">
        <v>3</v>
      </c>
      <c r="AH328">
        <v>0</v>
      </c>
    </row>
    <row r="329" spans="1:34">
      <c r="A329" t="s">
        <v>420</v>
      </c>
      <c r="B329" t="s">
        <v>419</v>
      </c>
      <c r="C329">
        <v>4242</v>
      </c>
      <c r="D329">
        <v>2534</v>
      </c>
      <c r="E329">
        <v>522.72420593754259</v>
      </c>
      <c r="F329">
        <v>5473.54</v>
      </c>
      <c r="G329">
        <v>1002.8945037551084</v>
      </c>
      <c r="H329">
        <v>1505.0520289634417</v>
      </c>
      <c r="I329">
        <v>0</v>
      </c>
      <c r="J329">
        <v>481.61664926830133</v>
      </c>
      <c r="K329">
        <v>526.76821013720451</v>
      </c>
      <c r="L329">
        <v>0.15000000000000002</v>
      </c>
      <c r="M329">
        <v>0.05</v>
      </c>
      <c r="N329">
        <v>0.35000000000000003</v>
      </c>
      <c r="O329">
        <v>0.05</v>
      </c>
      <c r="P329">
        <v>0.1</v>
      </c>
      <c r="Q329">
        <v>0</v>
      </c>
      <c r="R329">
        <v>0.05</v>
      </c>
      <c r="S329">
        <v>0.05</v>
      </c>
      <c r="T329">
        <v>5473.54</v>
      </c>
      <c r="U329" t="s">
        <v>94</v>
      </c>
      <c r="V329">
        <v>4</v>
      </c>
      <c r="W329">
        <v>2</v>
      </c>
      <c r="X329">
        <v>4</v>
      </c>
      <c r="Y329">
        <v>3</v>
      </c>
      <c r="Z329">
        <v>2</v>
      </c>
      <c r="AA329">
        <v>2</v>
      </c>
      <c r="AB329">
        <v>2</v>
      </c>
      <c r="AC329">
        <v>2</v>
      </c>
      <c r="AD329">
        <v>2</v>
      </c>
      <c r="AH329">
        <v>0</v>
      </c>
    </row>
    <row r="330" spans="1:34">
      <c r="A330" t="s">
        <v>422</v>
      </c>
      <c r="B330" t="s">
        <v>421</v>
      </c>
      <c r="C330">
        <v>13083</v>
      </c>
      <c r="D330">
        <v>845</v>
      </c>
      <c r="E330">
        <v>207.64490296220634</v>
      </c>
      <c r="F330">
        <v>4495</v>
      </c>
      <c r="G330">
        <v>292.25911754380951</v>
      </c>
      <c r="H330">
        <v>167.27260924729282</v>
      </c>
      <c r="I330">
        <v>0</v>
      </c>
      <c r="J330">
        <v>53.527234959133693</v>
      </c>
      <c r="K330">
        <v>58.545413236552477</v>
      </c>
      <c r="L330">
        <v>0.15000000000000002</v>
      </c>
      <c r="M330">
        <v>0.05</v>
      </c>
      <c r="N330">
        <v>0.9</v>
      </c>
      <c r="O330">
        <v>0.05</v>
      </c>
      <c r="P330">
        <v>0.05</v>
      </c>
      <c r="Q330">
        <v>0</v>
      </c>
      <c r="R330">
        <v>0</v>
      </c>
      <c r="S330">
        <v>0</v>
      </c>
      <c r="T330">
        <v>4495</v>
      </c>
      <c r="U330" t="s">
        <v>94</v>
      </c>
      <c r="V330">
        <v>3</v>
      </c>
      <c r="W330">
        <v>2</v>
      </c>
      <c r="X330">
        <v>4</v>
      </c>
      <c r="Y330">
        <v>3</v>
      </c>
      <c r="Z330">
        <v>2</v>
      </c>
      <c r="AA330">
        <v>2</v>
      </c>
      <c r="AB330">
        <v>2</v>
      </c>
      <c r="AC330">
        <v>2</v>
      </c>
      <c r="AD330">
        <v>2</v>
      </c>
      <c r="AH330">
        <v>0</v>
      </c>
    </row>
    <row r="331" spans="1:34">
      <c r="A331" t="s">
        <v>426</v>
      </c>
      <c r="B331" t="s">
        <v>425</v>
      </c>
      <c r="C331">
        <v>27632</v>
      </c>
      <c r="D331">
        <v>746</v>
      </c>
      <c r="E331">
        <v>693.6631542500686</v>
      </c>
      <c r="F331">
        <v>8165.05</v>
      </c>
      <c r="G331">
        <v>1868.6308938031632</v>
      </c>
      <c r="H331">
        <v>2245.1329613171638</v>
      </c>
      <c r="I331">
        <v>0</v>
      </c>
      <c r="J331">
        <v>718.44254762149239</v>
      </c>
      <c r="K331">
        <v>785.79653646100724</v>
      </c>
      <c r="L331">
        <v>0.05</v>
      </c>
      <c r="M331">
        <v>0.05</v>
      </c>
      <c r="N331">
        <v>0.35000000000000003</v>
      </c>
      <c r="O331">
        <v>0.1</v>
      </c>
      <c r="P331">
        <v>0.1</v>
      </c>
      <c r="Q331">
        <v>0</v>
      </c>
      <c r="R331">
        <v>0.05</v>
      </c>
      <c r="S331">
        <v>0.05</v>
      </c>
      <c r="T331">
        <v>8165.05</v>
      </c>
      <c r="U331" t="s">
        <v>94</v>
      </c>
      <c r="V331">
        <v>4</v>
      </c>
      <c r="W331">
        <v>1</v>
      </c>
      <c r="X331">
        <v>3</v>
      </c>
      <c r="Y331">
        <v>3</v>
      </c>
      <c r="Z331">
        <v>2</v>
      </c>
      <c r="AA331">
        <v>2</v>
      </c>
      <c r="AB331">
        <v>2</v>
      </c>
      <c r="AC331">
        <v>2</v>
      </c>
      <c r="AD331">
        <v>2</v>
      </c>
      <c r="AH331">
        <v>0</v>
      </c>
    </row>
    <row r="332" spans="1:34">
      <c r="A332" t="s">
        <v>432</v>
      </c>
      <c r="B332" t="s">
        <v>431</v>
      </c>
      <c r="C332">
        <v>14666</v>
      </c>
      <c r="D332">
        <v>731</v>
      </c>
      <c r="E332">
        <v>361.92584057595525</v>
      </c>
      <c r="F332">
        <v>4900</v>
      </c>
      <c r="G332">
        <v>568.89259314690139</v>
      </c>
      <c r="H332">
        <v>1099.884314844649</v>
      </c>
      <c r="I332">
        <v>0</v>
      </c>
      <c r="J332">
        <v>351.96298075028767</v>
      </c>
      <c r="K332">
        <v>384.9595101956271</v>
      </c>
      <c r="L332">
        <v>0.05</v>
      </c>
      <c r="M332">
        <v>0.05</v>
      </c>
      <c r="N332">
        <v>0.45</v>
      </c>
      <c r="O332">
        <v>0.05</v>
      </c>
      <c r="P332">
        <v>0.1</v>
      </c>
      <c r="Q332">
        <v>0</v>
      </c>
      <c r="R332">
        <v>0.05</v>
      </c>
      <c r="S332">
        <v>0.05</v>
      </c>
      <c r="T332">
        <v>4900</v>
      </c>
      <c r="U332" t="s">
        <v>94</v>
      </c>
      <c r="V332">
        <v>3</v>
      </c>
      <c r="W332">
        <v>1</v>
      </c>
      <c r="X332">
        <v>3</v>
      </c>
      <c r="Y332">
        <v>3</v>
      </c>
      <c r="Z332">
        <v>2</v>
      </c>
      <c r="AA332">
        <v>2</v>
      </c>
      <c r="AB332">
        <v>2</v>
      </c>
      <c r="AC332">
        <v>2</v>
      </c>
      <c r="AD332">
        <v>2</v>
      </c>
      <c r="AH332">
        <v>0</v>
      </c>
    </row>
    <row r="333" spans="1:34">
      <c r="A333" t="s">
        <v>434</v>
      </c>
      <c r="B333" t="s">
        <v>433</v>
      </c>
      <c r="C333">
        <v>4895</v>
      </c>
      <c r="D333">
        <v>1215</v>
      </c>
      <c r="E333">
        <v>618.26089629892681</v>
      </c>
      <c r="F333">
        <v>14000</v>
      </c>
      <c r="G333">
        <v>1588.824253037423</v>
      </c>
      <c r="H333">
        <v>3251.9467963766192</v>
      </c>
      <c r="I333">
        <v>1312.2675000000002</v>
      </c>
      <c r="J333">
        <v>1040.6229748405181</v>
      </c>
      <c r="K333">
        <v>1138.1813787318165</v>
      </c>
      <c r="L333">
        <v>0.05</v>
      </c>
      <c r="M333">
        <v>0.05</v>
      </c>
      <c r="N333">
        <v>0.70000000000000007</v>
      </c>
      <c r="O333">
        <v>0.1</v>
      </c>
      <c r="P333">
        <v>0.15000000000000002</v>
      </c>
      <c r="Q333">
        <v>0.05</v>
      </c>
      <c r="R333">
        <v>0.05</v>
      </c>
      <c r="S333">
        <v>0.05</v>
      </c>
      <c r="T333">
        <v>14000</v>
      </c>
      <c r="U333" t="s">
        <v>94</v>
      </c>
      <c r="V333">
        <v>4</v>
      </c>
      <c r="W333">
        <v>2</v>
      </c>
      <c r="X333">
        <v>4</v>
      </c>
      <c r="Y333">
        <v>3</v>
      </c>
      <c r="Z333">
        <v>1</v>
      </c>
      <c r="AA333">
        <v>2</v>
      </c>
      <c r="AB333">
        <v>1</v>
      </c>
      <c r="AC333">
        <v>1</v>
      </c>
      <c r="AD333">
        <v>2</v>
      </c>
      <c r="AH333">
        <v>0</v>
      </c>
    </row>
    <row r="334" spans="1:34">
      <c r="A334" t="s">
        <v>440</v>
      </c>
      <c r="B334" t="s">
        <v>439</v>
      </c>
      <c r="C334">
        <v>3188</v>
      </c>
      <c r="D334">
        <v>11018</v>
      </c>
      <c r="E334">
        <v>1286.4335878708293</v>
      </c>
      <c r="F334">
        <v>14355.45</v>
      </c>
      <c r="G334">
        <v>4434.8305882454169</v>
      </c>
      <c r="H334">
        <v>6578.8317216960249</v>
      </c>
      <c r="I334">
        <v>0</v>
      </c>
      <c r="J334">
        <v>2105.2261509427281</v>
      </c>
      <c r="K334">
        <v>2302.5911025936089</v>
      </c>
      <c r="L334">
        <v>0.30000000000000004</v>
      </c>
      <c r="M334">
        <v>0.05</v>
      </c>
      <c r="N334">
        <v>0.35000000000000003</v>
      </c>
      <c r="O334">
        <v>0.1</v>
      </c>
      <c r="P334">
        <v>0.15000000000000002</v>
      </c>
      <c r="Q334">
        <v>0</v>
      </c>
      <c r="R334">
        <v>0.05</v>
      </c>
      <c r="S334">
        <v>0.05</v>
      </c>
      <c r="T334">
        <v>14355.45</v>
      </c>
      <c r="U334" t="s">
        <v>94</v>
      </c>
      <c r="V334">
        <v>3</v>
      </c>
      <c r="W334">
        <v>1</v>
      </c>
      <c r="X334">
        <v>4</v>
      </c>
      <c r="Y334">
        <v>3</v>
      </c>
      <c r="Z334">
        <v>2</v>
      </c>
      <c r="AA334">
        <v>2</v>
      </c>
      <c r="AB334">
        <v>2</v>
      </c>
      <c r="AC334">
        <v>2</v>
      </c>
      <c r="AD334">
        <v>2</v>
      </c>
      <c r="AH334">
        <v>0</v>
      </c>
    </row>
    <row r="335" spans="1:34">
      <c r="A335" t="s">
        <v>452</v>
      </c>
      <c r="B335" t="s">
        <v>451</v>
      </c>
      <c r="C335">
        <v>34030</v>
      </c>
      <c r="D335">
        <v>5158</v>
      </c>
      <c r="E335">
        <v>1432.7110070311301</v>
      </c>
      <c r="F335">
        <v>11900</v>
      </c>
      <c r="G335">
        <v>1771.5963990566322</v>
      </c>
      <c r="H335">
        <v>6730.7238706762373</v>
      </c>
      <c r="I335">
        <v>12660.75</v>
      </c>
      <c r="J335">
        <v>2153.831638616396</v>
      </c>
      <c r="K335">
        <v>2355.7533547366834</v>
      </c>
      <c r="L335">
        <v>0.2</v>
      </c>
      <c r="M335">
        <v>0.05</v>
      </c>
      <c r="N335">
        <v>0.4</v>
      </c>
      <c r="O335">
        <v>0.05</v>
      </c>
      <c r="P335">
        <v>0.25</v>
      </c>
      <c r="Q335">
        <v>0.45</v>
      </c>
      <c r="R335">
        <v>0.1</v>
      </c>
      <c r="S335">
        <v>0.1</v>
      </c>
      <c r="T335">
        <v>12660.75</v>
      </c>
      <c r="U335" t="s">
        <v>97</v>
      </c>
      <c r="V335">
        <v>4</v>
      </c>
      <c r="W335">
        <v>1</v>
      </c>
      <c r="X335">
        <v>3</v>
      </c>
      <c r="Y335">
        <v>3</v>
      </c>
      <c r="Z335">
        <v>2</v>
      </c>
      <c r="AA335">
        <v>3</v>
      </c>
      <c r="AB335">
        <v>2</v>
      </c>
      <c r="AC335">
        <v>2</v>
      </c>
      <c r="AD335">
        <v>3</v>
      </c>
      <c r="AH335">
        <v>0</v>
      </c>
    </row>
    <row r="336" spans="1:34">
      <c r="A336" t="s">
        <v>547</v>
      </c>
      <c r="B336" t="s">
        <v>546</v>
      </c>
      <c r="C336">
        <v>37553</v>
      </c>
      <c r="D336">
        <v>7586</v>
      </c>
      <c r="E336">
        <v>898.4298243468595</v>
      </c>
      <c r="F336">
        <v>10100</v>
      </c>
      <c r="G336">
        <v>1075.9238296589212</v>
      </c>
      <c r="H336">
        <v>1570.1869903278748</v>
      </c>
      <c r="I336">
        <v>0</v>
      </c>
      <c r="J336">
        <v>504.03002389524778</v>
      </c>
      <c r="K336">
        <v>549.56544661475607</v>
      </c>
      <c r="L336">
        <v>0.45</v>
      </c>
      <c r="M336">
        <v>0.05</v>
      </c>
      <c r="N336">
        <v>0.60000000000000009</v>
      </c>
      <c r="O336">
        <v>0.05</v>
      </c>
      <c r="P336">
        <v>0.1</v>
      </c>
      <c r="Q336">
        <v>0</v>
      </c>
      <c r="R336">
        <v>0.05</v>
      </c>
      <c r="S336">
        <v>0.05</v>
      </c>
      <c r="T336">
        <v>10100</v>
      </c>
      <c r="U336" t="s">
        <v>94</v>
      </c>
      <c r="V336">
        <v>4</v>
      </c>
      <c r="W336">
        <v>2</v>
      </c>
      <c r="X336">
        <v>3</v>
      </c>
      <c r="Y336">
        <v>3</v>
      </c>
      <c r="Z336">
        <v>1</v>
      </c>
      <c r="AA336">
        <v>2</v>
      </c>
      <c r="AB336">
        <v>1</v>
      </c>
      <c r="AC336">
        <v>1</v>
      </c>
      <c r="AD336">
        <v>2</v>
      </c>
      <c r="AH336">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85ec44e-1bab-4c0b-9df0-6ba128686fc9" xsi:nil="true"/>
    <lcf76f155ced4ddcb4097134ff3c332f xmlns="0292b1bc-dc04-4c7a-906e-4a7c2dc29542">
      <Terms xmlns="http://schemas.microsoft.com/office/infopath/2007/PartnerControls"/>
    </lcf76f155ced4ddcb4097134ff3c332f>
    <SharedWithUsers xmlns="bd0faaa1-daec-4526-9aaa-a3949102b502">
      <UserInfo>
        <DisplayName>Veronique Durroux</DisplayName>
        <AccountId>803</AccountId>
        <AccountType/>
      </UserInfo>
      <UserInfo>
        <DisplayName>Elena Imberti</DisplayName>
        <AccountId>240</AccountId>
        <AccountType/>
      </UserInfo>
      <UserInfo>
        <DisplayName>Himshem Him</DisplayName>
        <AccountId>781</AccountId>
        <AccountType/>
      </UserInfo>
      <UserInfo>
        <DisplayName>Tamara Pulita</DisplayName>
        <AccountId>533</AccountId>
        <AccountType/>
      </UserInfo>
      <UserInfo>
        <DisplayName>Dario Alvarez</DisplayName>
        <AccountId>801</AccountId>
        <AccountType/>
      </UserInfo>
      <UserInfo>
        <DisplayName>Leila De Paiva Nazareth Andrade De Oliveira</DisplayName>
        <AccountId>485</AccountId>
        <AccountType/>
      </UserInfo>
      <UserInfo>
        <DisplayName>Ana Maria Pereira</DisplayName>
        <AccountId>201</AccountId>
        <AccountType/>
      </UserInfo>
    </SharedWithUsers>
    <MediaLengthInSeconds xmlns="0292b1bc-dc04-4c7a-906e-4a7c2dc29542" xsi:nil="true"/>
    <number xmlns="0292b1bc-dc04-4c7a-906e-4a7c2dc2954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D2420C65C3D64282C0DC1E7CB9D7DB" ma:contentTypeVersion="19" ma:contentTypeDescription="Create a new document." ma:contentTypeScope="" ma:versionID="883ec2ce05feacc4ec2d7df2db902288">
  <xsd:schema xmlns:xsd="http://www.w3.org/2001/XMLSchema" xmlns:xs="http://www.w3.org/2001/XMLSchema" xmlns:p="http://schemas.microsoft.com/office/2006/metadata/properties" xmlns:ns2="0292b1bc-dc04-4c7a-906e-4a7c2dc29542" xmlns:ns3="bd0faaa1-daec-4526-9aaa-a3949102b502" xmlns:ns4="985ec44e-1bab-4c0b-9df0-6ba128686fc9" targetNamespace="http://schemas.microsoft.com/office/2006/metadata/properties" ma:root="true" ma:fieldsID="a755c093cdb7230b58b97c76881b6b66" ns2:_="" ns3:_="" ns4:_="">
    <xsd:import namespace="0292b1bc-dc04-4c7a-906e-4a7c2dc29542"/>
    <xsd:import namespace="bd0faaa1-daec-4526-9aaa-a3949102b502"/>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Location" minOccurs="0"/>
                <xsd:element ref="ns2:MediaServiceObjectDetectorVersions" minOccurs="0"/>
                <xsd:element ref="ns2:numbe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92b1bc-dc04-4c7a-906e-4a7c2dc295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number" ma:index="25" nillable="true" ma:displayName="number" ma:format="Dropdown" ma:internalName="number" ma:percentage="FALSE">
      <xsd:simpleType>
        <xsd:restriction base="dms:Number"/>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0faaa1-daec-4526-9aaa-a3949102b50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57b60393-6312-4664-b71c-b46f1aae1162}" ma:internalName="TaxCatchAll" ma:showField="CatchAllData" ma:web="bd0faaa1-daec-4526-9aaa-a3949102b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2773FCC-826E-4CAD-9139-51980A25E697}"/>
</file>

<file path=customXml/itemProps2.xml><?xml version="1.0" encoding="utf-8"?>
<ds:datastoreItem xmlns:ds="http://schemas.openxmlformats.org/officeDocument/2006/customXml" ds:itemID="{4DB33FB5-1F5A-4D1B-85FB-9C0BE1535D94}"/>
</file>

<file path=customXml/itemProps3.xml><?xml version="1.0" encoding="utf-8"?>
<ds:datastoreItem xmlns:ds="http://schemas.openxmlformats.org/officeDocument/2006/customXml" ds:itemID="{F7EB81E1-0980-46D4-9E2E-7371F8D41E17}"/>
</file>

<file path=customXml/itemProps4.xml><?xml version="1.0" encoding="utf-8"?>
<ds:datastoreItem xmlns:ds="http://schemas.openxmlformats.org/officeDocument/2006/customXml" ds:itemID="{39BA3362-B553-4C18-82A9-9E38B32353F9}"/>
</file>

<file path=docMetadata/LabelInfo.xml><?xml version="1.0" encoding="utf-8"?>
<clbl:labelList xmlns:clbl="http://schemas.microsoft.com/office/2020/mipLabelMetadata">
  <clbl:label id="{7eb58d0f-f804-411f-a20e-09ebfae62b4c}"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Kashif NADEEM</dc:creator>
  <cp:keywords/>
  <dc:description/>
  <cp:lastModifiedBy>ANA LUCIA ESPINOZA</cp:lastModifiedBy>
  <cp:revision/>
  <dcterms:created xsi:type="dcterms:W3CDTF">2021-12-15T14:13:54Z</dcterms:created>
  <dcterms:modified xsi:type="dcterms:W3CDTF">2025-12-08T23:10:41Z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0x010100F5D2420C65C3D64282C0DC1E7CB9D7DB</vt:lpwstr>
  </property>
  <property fmtid="{D5CDD505-2E9C-101B-9397-08002B2CF9AE}" pid="3" name="Order">
    <vt:r8>138800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